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WEB TEAM" sheetId="1" r:id="rId3"/>
    <sheet state="visible" name="CODE" sheetId="2" r:id="rId4"/>
    <sheet state="visible" name="Vignettes - FOR WEB" sheetId="3" r:id="rId5"/>
    <sheet state="visible" name="Popular Article - FOR WEB" sheetId="4" r:id="rId6"/>
    <sheet state="visible" name="Popular Article - NOT FOR WEB" sheetId="5" r:id="rId7"/>
    <sheet state="visible" name="Academic Article - FOR WEB" sheetId="6" r:id="rId8"/>
    <sheet state="visible" name="Academic Article - NOT FOR WEB" sheetId="7" r:id="rId9"/>
    <sheet state="visible" name="Vignettes - NOT FOR WEB" sheetId="8" r:id="rId10"/>
    <sheet state="visible" name="Organizations" sheetId="9" r:id="rId11"/>
    <sheet state="visible" name="Interventions Video Audio" sheetId="10" r:id="rId12"/>
    <sheet state="visible" name="Intervention Experts" sheetId="11" r:id="rId13"/>
    <sheet state="visible" name="Events" sheetId="12" r:id="rId14"/>
    <sheet state="visible" name="Sheet1" sheetId="13" r:id="rId15"/>
    <sheet state="visible" name="Look for Articles" sheetId="14" r:id="rId16"/>
    <sheet state="visible" name="Websites Products &amp; Tools" sheetId="15" r:id="rId17"/>
    <sheet state="visible" name="Books &amp; Excerpts" sheetId="16" r:id="rId18"/>
    <sheet state="visible" name="Potential Partners" sheetId="17" r:id="rId19"/>
  </sheets>
  <definedNames>
    <definedName hidden="1" localSheetId="0" name="_xlnm._FilterDatabase">'WEB TEAM'!$A$1:$BO$1038</definedName>
  </definedNames>
  <calcPr/>
</workbook>
</file>

<file path=xl/comments1.xml><?xml version="1.0" encoding="utf-8"?>
<comments xmlns="http://schemas.openxmlformats.org/spreadsheetml/2006/main">
  <authors>
    <author/>
  </authors>
  <commentList>
    <comment authorId="0" ref="K420">
      <text>
        <t xml:space="preserve">madeline chuania chua:
About future lock-in</t>
      </text>
    </comment>
    <comment authorId="0" ref="K479">
      <text>
        <t xml:space="preserve">madeline chuania chua:
About future lock-in</t>
      </text>
    </comment>
    <comment authorId="0" ref="T569">
      <text>
        <t xml:space="preserve">Pauline Miller:
Nya: I think you highlighted this because of the "…," but it's APA standard for articles with over 7 authors</t>
      </text>
    </comment>
    <comment authorId="0" ref="K610">
      <text>
        <t xml:space="preserve">madeline chuania chua:
About future lock-in</t>
      </text>
    </comment>
    <comment authorId="0" ref="K856">
      <text>
        <t xml:space="preserve">Wendy:
missing substep</t>
      </text>
    </comment>
    <comment authorId="0" ref="AZ856">
      <text>
        <t xml:space="preserve">Wendy:
missing substep</t>
      </text>
    </comment>
    <comment authorId="0" ref="AE1">
      <text>
        <t xml:space="preserve">Is there a significance to the cell AE 571 being "None listed" rather than just being blank?
	-O'Hoon Kwon</t>
      </text>
    </comment>
    <comment authorId="0" ref="AC1">
      <text>
        <t xml:space="preserve">Is there a significance to the cell AC 571 being "None listed" rather than just being blank?
	-O'Hoon Kwon</t>
      </text>
    </comment>
    <comment authorId="0" ref="X1">
      <text>
        <t xml:space="preserve">Is there a special significance to cells denoted N/A? Otherwise, I would like to leave them as blanks.
Also, is there a significance to the o preceding the link on cell X 520?
	-O'Hoon Kwon</t>
      </text>
    </comment>
    <comment authorId="0" ref="J1">
      <text>
        <t xml:space="preserve">please note: ones with none are denoted with blank cells
	-O'Hoon Kwon</t>
      </text>
    </comment>
    <comment authorId="0" ref="H1">
      <text>
        <t xml:space="preserve">please note: ones denoted as none are denoted with a blank cell
	-O'Hoon Kwon</t>
      </text>
    </comment>
    <comment authorId="0" ref="E1">
      <text>
        <t xml:space="preserve">please note problem and solution are separated into 2 columns, with values of true or false
	-O'Hoon Kwon</t>
      </text>
    </comment>
    <comment authorId="0" ref="C1">
      <text>
        <t xml:space="preserve">please note: this column will not be necessary, but should greatly assist in human readability, so I do suggest keeping this column
	-O'Hoon Kwon</t>
      </text>
    </comment>
    <comment authorId="0" ref="B1">
      <text>
        <t xml:space="preserve">please note: values in published column is best defined by true or false
	-O'Hoon Kwon</t>
      </text>
    </comment>
    <comment authorId="0" ref="A1">
      <text>
        <t xml:space="preserve">please note: the naming convention on titles of columns is with lower case and underscore
	-O'Hoon Kwon</t>
      </text>
    </comment>
  </commentList>
</comments>
</file>

<file path=xl/comments2.xml><?xml version="1.0" encoding="utf-8"?>
<comments xmlns="http://schemas.openxmlformats.org/spreadsheetml/2006/main">
  <authors>
    <author/>
  </authors>
  <commentList>
    <comment authorId="0" ref="B257">
      <text>
        <t xml:space="preserve">Wendy:
Requires log in/sign up to view article</t>
      </text>
    </comment>
    <comment authorId="0" ref="G379">
      <text>
        <t xml:space="preserve">Wendy:
missing substep</t>
      </text>
    </comment>
    <comment authorId="0" ref="AJ379">
      <text>
        <t xml:space="preserve">Wendy:
missing substep</t>
      </text>
    </comment>
  </commentList>
</comments>
</file>

<file path=xl/comments3.xml><?xml version="1.0" encoding="utf-8"?>
<comments xmlns="http://schemas.openxmlformats.org/spreadsheetml/2006/main">
  <authors>
    <author/>
  </authors>
  <commentList>
    <comment authorId="0" ref="H23">
      <text>
        <t xml:space="preserve">Wendy:
It doesn't look like the original article is there. It's just a blurb of what RS is.</t>
      </text>
    </comment>
    <comment authorId="0" ref="A26">
      <text>
        <t xml:space="preserve">Wendy:
Only very briefly says "this study talks about how imagery can be used more effectively etc" but no other details…? So the subject/content could potentially be useful but not this particular article
</t>
      </text>
    </comment>
    <comment authorId="0" ref="A31">
      <text>
        <t xml:space="preserve">Wendy:
Could not find article through URL or google search</t>
      </text>
    </comment>
    <comment authorId="0" ref="A38">
      <text>
        <t xml:space="preserve">Wendy:
Could not find article through URL or google search</t>
      </text>
    </comment>
    <comment authorId="0" ref="A39">
      <text>
        <t xml:space="preserve">Wendy:
URL did not direct to an article and could not find article otherwise either</t>
      </text>
    </comment>
    <comment authorId="0" ref="A47">
      <text>
        <t xml:space="preserve">Wendy:
Does not look like original article is there</t>
      </text>
    </comment>
    <comment authorId="0" ref="A68">
      <text>
        <t xml:space="preserve">Wendy:
Could not read article without subscribing (said I reached my article limit?)</t>
      </text>
    </comment>
    <comment authorId="0" ref="A71">
      <text>
        <t xml:space="preserve">Wendy:
Link requires you to register for an account in order to view the article</t>
      </text>
    </comment>
    <comment authorId="0" ref="A87">
      <text>
        <t xml:space="preserve">Wendy:
missing URL and could not find article</t>
      </text>
    </comment>
    <comment authorId="0" ref="N92">
      <text>
        <t xml:space="preserve">Kirby Culbertson:
From Rod: I haven’t reviewed this article yet, but it seems to indicate very strong effects of small interventions involving cognitive dissonance and other principles on success of disadvantaged students in college.  These students apparently held two dominant ideas: I don’t fit in, and I (and the social context) will never change – ideas that may be held by people we are trying to convince to undertake fisheries reform for example (may be in other conservation contexts as well).  The interventions involved having upperclassman (maybe veterans of fisheries reform in similar fishreies, in our fishreies case) write essays about how you can fit in eventually and individuals and context do change so that you can be successful.  I think the subjects then had to reflect these messages back to another group of students.  These simple interventions had remarkable effects on both self-reported status and performance in school.</t>
      </text>
    </comment>
    <comment authorId="0" ref="A94">
      <text>
        <t xml:space="preserve">Wendy:
Link directs to a general discription on our website. Does not seem to have original article</t>
      </text>
    </comment>
    <comment authorId="0" ref="A116">
      <text>
        <t xml:space="preserve">Wendy:
does not direct to an article, just our website page
</t>
      </text>
    </comment>
    <comment authorId="0" ref="A117">
      <text>
        <t xml:space="preserve">Wendy:
Does not show article only directs to a description of behavioral science on our website</t>
      </text>
    </comment>
    <comment authorId="0" ref="A123">
      <text>
        <t xml:space="preserve">Wendy:
Does not show article only directs to a description of behavioral science on our website</t>
      </text>
    </comment>
    <comment authorId="0" ref="I144">
      <text>
        <t xml:space="preserve">Pauline Miller:
original link broken</t>
      </text>
    </comment>
  </commentList>
</comments>
</file>

<file path=xl/comments4.xml><?xml version="1.0" encoding="utf-8"?>
<comments xmlns="http://schemas.openxmlformats.org/spreadsheetml/2006/main">
  <authors>
    <author/>
  </authors>
  <commentList>
    <comment authorId="0" ref="N64">
      <text>
        <t xml:space="preserve">Pauline Miller:
Nya: I think you highlighted this because of the "…," but it's APA standard for articles with over 7 authors</t>
      </text>
    </comment>
    <comment authorId="0" ref="G345">
      <text>
        <t xml:space="preserve">madeline chuania chua:
About future lock-in</t>
      </text>
    </comment>
    <comment authorId="0" ref="G346">
      <text>
        <t xml:space="preserve">madeline chuania chua:
About future lock-in</t>
      </text>
    </comment>
    <comment authorId="0" ref="G347">
      <text>
        <t xml:space="preserve">madeline chuania chua:
About future lock-in</t>
      </text>
    </comment>
  </commentList>
</comments>
</file>

<file path=xl/comments5.xml><?xml version="1.0" encoding="utf-8"?>
<comments xmlns="http://schemas.openxmlformats.org/spreadsheetml/2006/main">
  <authors>
    <author/>
  </authors>
  <commentList>
    <comment authorId="0" ref="B10">
      <text>
        <t xml:space="preserve">Pauline Miller:
this would be yes but Tools of Change should be contacted </t>
      </text>
    </comment>
    <comment authorId="0" ref="J10">
      <text>
        <t xml:space="preserve">Microsoft Office User:
Does this maybe not go in this tab then?</t>
      </text>
    </comment>
    <comment authorId="0" ref="C26">
      <text>
        <t xml:space="preserve">Madeline chuania chua:
This is just a study about replicating 100 famous psych lits </t>
      </text>
    </comment>
  </commentList>
</comments>
</file>

<file path=xl/comments6.xml><?xml version="1.0" encoding="utf-8"?>
<comments xmlns="http://schemas.openxmlformats.org/spreadsheetml/2006/main">
  <authors>
    <author/>
  </authors>
  <commentList>
    <comment authorId="0" ref="A169">
      <text>
        <t xml:space="preserve">Wendy:
Page not found but based on previous pages from the similar website, going to assume this one is not useful either</t>
      </text>
    </comment>
  </commentList>
</comments>
</file>

<file path=xl/sharedStrings.xml><?xml version="1.0" encoding="utf-8"?>
<sst xmlns="http://schemas.openxmlformats.org/spreadsheetml/2006/main" count="36475" uniqueCount="8911">
  <si>
    <t>environmental_tags</t>
  </si>
  <si>
    <t>Website (Yes, No, Maybe, Future)? THESE SHOULD ALL BE YES</t>
  </si>
  <si>
    <t>resource_id</t>
  </si>
  <si>
    <t>environmental_subtags</t>
  </si>
  <si>
    <t>building_blocks</t>
  </si>
  <si>
    <t>principles</t>
  </si>
  <si>
    <t>Problem or Solution?</t>
  </si>
  <si>
    <t>is_published</t>
  </si>
  <si>
    <t>BUILDING BLOCK or PROBLEM</t>
  </si>
  <si>
    <t>Substep</t>
  </si>
  <si>
    <t>Environmental Tag (Parent - Child)</t>
  </si>
  <si>
    <t>world_region</t>
  </si>
  <si>
    <t>cognitive_biases</t>
  </si>
  <si>
    <t>resource_type</t>
  </si>
  <si>
    <t>Environmental Sub-Tag (GRANDCHILDREN)</t>
  </si>
  <si>
    <t>World Region</t>
  </si>
  <si>
    <t>id</t>
  </si>
  <si>
    <t>VIGNETTE</t>
  </si>
  <si>
    <t>Academic Citation 1</t>
  </si>
  <si>
    <t>Academic Citation 2</t>
  </si>
  <si>
    <t xml:space="preserve">Title </t>
  </si>
  <si>
    <t xml:space="preserve">Author </t>
  </si>
  <si>
    <t xml:space="preserve">News Source </t>
  </si>
  <si>
    <t xml:space="preserve">Day-Month-Year </t>
  </si>
  <si>
    <t>URL</t>
  </si>
  <si>
    <t xml:space="preserve">Title 2 </t>
  </si>
  <si>
    <t xml:space="preserve">Author 2 </t>
  </si>
  <si>
    <t xml:space="preserve">News Source 2 </t>
  </si>
  <si>
    <t xml:space="preserve">Date 2 </t>
  </si>
  <si>
    <t xml:space="preserve">URL 2 </t>
  </si>
  <si>
    <t>Sample group</t>
  </si>
  <si>
    <t>name</t>
  </si>
  <si>
    <t>environmental_tag_id</t>
  </si>
  <si>
    <t>building_block_id</t>
  </si>
  <si>
    <t>Vignette Ranking (1 = good sources, well written; 2 = good sources, ? written; 3 = ? sources, well written; 4 = ? Sources, ? Written-- training guide only)</t>
  </si>
  <si>
    <t>Climate</t>
  </si>
  <si>
    <t>Ranking Notes</t>
  </si>
  <si>
    <t xml:space="preserve">PG, Web, Training </t>
  </si>
  <si>
    <t>Belief</t>
  </si>
  <si>
    <t xml:space="preserve">Yes </t>
  </si>
  <si>
    <t>resource_type_id</t>
  </si>
  <si>
    <t>is_problem</t>
  </si>
  <si>
    <t>is_solution</t>
  </si>
  <si>
    <t>cognitive_bias</t>
  </si>
  <si>
    <t>cognitive_bias_id</t>
  </si>
  <si>
    <t>building_block</t>
  </si>
  <si>
    <t>principle</t>
  </si>
  <si>
    <t>principle_id</t>
  </si>
  <si>
    <t>environmental_tag</t>
  </si>
  <si>
    <t>environmental_subtag</t>
  </si>
  <si>
    <t>environmental_subtag_id</t>
  </si>
  <si>
    <t>world_region_id</t>
  </si>
  <si>
    <t>title</t>
  </si>
  <si>
    <t>author</t>
  </si>
  <si>
    <t>news_source</t>
  </si>
  <si>
    <t>date</t>
  </si>
  <si>
    <t>abstract</t>
  </si>
  <si>
    <t>url</t>
  </si>
  <si>
    <t>case_study</t>
  </si>
  <si>
    <t>academic_citation_1</t>
  </si>
  <si>
    <t>academic_citation_2</t>
  </si>
  <si>
    <t>popular_article_title</t>
  </si>
  <si>
    <t>popular_article_author</t>
  </si>
  <si>
    <t>popular_article_news_source</t>
  </si>
  <si>
    <t>Solution</t>
  </si>
  <si>
    <t>popular_article_date</t>
  </si>
  <si>
    <t>popular_article_url</t>
  </si>
  <si>
    <t>Notes</t>
  </si>
  <si>
    <t xml:space="preserve">Ordinary </t>
  </si>
  <si>
    <t xml:space="preserve">Provide positive social proof </t>
  </si>
  <si>
    <t xml:space="preserve">Energy - Electricity </t>
  </si>
  <si>
    <t>Included in Vingettes?</t>
  </si>
  <si>
    <t>Included in Case Studies?</t>
  </si>
  <si>
    <t xml:space="preserve">Potential new vignettes </t>
  </si>
  <si>
    <t>Essential, Not Essential</t>
  </si>
  <si>
    <t>Posted on Twitter? (needs post, not suitable, or yes)</t>
  </si>
  <si>
    <t>Actual Tweet</t>
  </si>
  <si>
    <t>Tweet Date</t>
  </si>
  <si>
    <t>Retweet</t>
  </si>
  <si>
    <t>2nd Twitter Post Date</t>
  </si>
  <si>
    <t>Posted on FB?</t>
  </si>
  <si>
    <t>Actual Facebook Post</t>
  </si>
  <si>
    <t>FB Post Date</t>
  </si>
  <si>
    <t>Included in Decision Science News?</t>
  </si>
  <si>
    <t>Date Sent</t>
  </si>
  <si>
    <t>Included in Newsletter?</t>
  </si>
  <si>
    <t>Date Sent in Newsletter</t>
  </si>
  <si>
    <t>Included in Website?</t>
  </si>
  <si>
    <t>Josh</t>
  </si>
  <si>
    <t>Substep NOTES</t>
  </si>
  <si>
    <t>Environmental Sub-Tag NOTES</t>
  </si>
  <si>
    <t>Case Study Sample Group</t>
  </si>
  <si>
    <t>Case Study Ranking (1 = good sources, well written; 2 = good sources, ? written; 3 = ? sources, well written; 4 = ? Sources, ? Written-- training guide only)</t>
  </si>
  <si>
    <t>Case Study Ranking Notes</t>
  </si>
  <si>
    <t xml:space="preserve">Case Study Suitable for PG, Web, Training </t>
  </si>
  <si>
    <t xml:space="preserve">Europe </t>
  </si>
  <si>
    <t>As a means to create a positive social norm, a student group at the Roskilde University implemented an intervention project called “Click”. The group created eye-catching posters with the word “click” and a finger pointing towards a light switch against a green backdrop. The poster also came with the message “More than 85% of the students at Roskilde University remember to turn off the lights. Do you?” This attention-grabbing poster served the purpose of reminding students to perform the simple task of switching off the light by comparing them to their peers.  As a result, buildings in which “click” was implemented showed a 26.4% reduction in number of lights that were left on.</t>
  </si>
  <si>
    <t>Utilize BENEFITS</t>
  </si>
  <si>
    <t xml:space="preserve">Utilize outcome-based incentives </t>
  </si>
  <si>
    <t>Click</t>
  </si>
  <si>
    <t>Simon Maaloe</t>
  </si>
  <si>
    <t>Inudgeyou</t>
  </si>
  <si>
    <t xml:space="preserve">http://inudgeyou.com/click/ </t>
  </si>
  <si>
    <t xml:space="preserve">Sample group: college students </t>
  </si>
  <si>
    <t>Canada &amp; the US</t>
  </si>
  <si>
    <t xml:space="preserve">Anchoring Effect </t>
  </si>
  <si>
    <t>Academic Article</t>
  </si>
  <si>
    <t>Consumption</t>
  </si>
  <si>
    <t>Communication</t>
  </si>
  <si>
    <t>Make it EASY</t>
  </si>
  <si>
    <t>Build off of existing goals and behaviors</t>
  </si>
  <si>
    <t>Europe</t>
  </si>
  <si>
    <t>Attitude Polarization</t>
  </si>
  <si>
    <t xml:space="preserve">Secondary source. Primary source unlocated -- check Thinking Fast and Slow; one pop article supporting </t>
  </si>
  <si>
    <t xml:space="preserve">web, training </t>
  </si>
  <si>
    <t xml:space="preserve">Solution </t>
  </si>
  <si>
    <t>Consumption - Freshwater</t>
  </si>
  <si>
    <t xml:space="preserve">Canada and the US </t>
  </si>
  <si>
    <t>Simply providing social comparisons can increase conservation behavior. In Cobb County, Georgia, a study provided social norm messaging and information alongside water bills—providing households with information of their water consumption, as well as their neighbors’ in comparison. Using a strong social norm resulted in reduced average water use among approximately 11,700 households by 12%. This reduction was about 53.4% higher than that of the control group and was significantly higher than the treatment that used a weaker social norm message urging people to conserve water and highlighted the amount of water the county used as a whole. Additionally, the strong social norm reduced water use significantly more than the treatment group that only received technical advice on water conservation.</t>
  </si>
  <si>
    <t>Ferraro, P.J., &amp; Price, M. K. (2013). Using Nonpecuniary Strategies to Influence Behavior: Evidence from a Large-Scale Field Experiment. Review of Economics and Statistics, 95(1), 64-73. doi: 10.1162/REST_a_00344</t>
  </si>
  <si>
    <t xml:space="preserve">Sample group: county residents </t>
  </si>
  <si>
    <t xml:space="preserve">Primary source --  industry report </t>
  </si>
  <si>
    <t xml:space="preserve">Transportation - Sustainable, Waste Management - Littering </t>
  </si>
  <si>
    <t xml:space="preserve">Social influence can be used to sway attitudes on important environmental policies. A British study provided survey respondents with a list of policy measures related to driving reduction and littering reduction. For each behavior, researchers offered punitive policy measures—taxing car use and fining littering behavior, and non-coercive policy measures—tokens for public transit use and increased public receptacles for waste alongside information on how widely each policy was supported by the public. Across the board, respondents reported greater acceptance of policy measures when they believed the measures were supported by the majority of the UK population—public approval was found to make high cost punitive policies like taxation on car use more palatable to respondents. </t>
  </si>
  <si>
    <t>De Groot, J. I. M., &amp; Schitema, G. (2012). How to make the unpopular popular? Policy characteristics, social norms and the acceptability of environmental policies. Environmental Science &amp; Policy, 19-20, 100-107. doi: 10.1016/j.envsci.2012.03.004</t>
  </si>
  <si>
    <t xml:space="preserve">Sample group: random UK population </t>
  </si>
  <si>
    <t xml:space="preserve">Primary source </t>
  </si>
  <si>
    <t xml:space="preserve">Energy - Electricity, Consumption - Energy </t>
  </si>
  <si>
    <t xml:space="preserve">The impact of social proof on behavior is often stronger than we might expect. Researchers in San Marcos explored the impact of different motivational appeals on household energy consumption by placing door hangers detailing four different energy saving actions on the doors of local homes. Participants rated descriptive norm messages—or messages containing information about what “most neighbors” do— as least motivational when compared with messages appealing to environmental and social responsibility. However, meter readings detected that descriptive norms detailing the conservation behavior of participants’ peers appeared to be the largest motivating driver of behavior change. This discrepancy between perceived influence and actual behavior demonstrates the subtle power of social norms. </t>
  </si>
  <si>
    <t>Nolan, J. M., Schultz, P. W., Cialdini, R. B., Goldstein, N. J., &amp; Griskevicius, V. (2008). Normative Social Influence is Underdetected. Personality and Social Psychology Bulletin, 34(7), 913-923. doi:10.1177/0146167208316691</t>
  </si>
  <si>
    <t xml:space="preserve">Sample group: California citizens </t>
  </si>
  <si>
    <t xml:space="preserve">Consumption - Freshwater, Consumption - Energy </t>
  </si>
  <si>
    <t>Descriptive norms can help improve uptake of conservation efforts. You may have noticed cards in hotel bathrooms urging reuse of towels in order to save water and protect the environment. To measure the effectiveness of social proof on consumer behavior, researchers placed two different signs in the rooms of guests in a hotel chain across the Midwest. One towel rack sign urged guests to help save the environment by reusing towels during their stay. The other urged patrons to join their fellow guests in saving the environment, stating that 75% of guests who were asked to participate in the towel reuse program complied by using their towels more than once. Researchers found that guests who viewed the sign describing the positive environmental behavior of most guests were significantly more likely to reuse their towels than those who viewed the environmental sign. In a related study, when researchers tested messages containing more specific group identities, they found that guests were most receptive to towel reuse when they were told that most people in their very hotel room reused their towel. This study shows not only that social norms are powerful influencers, but that the situational similarity between the target audience and the norm-setting group can be particularly impactful, even for such a socially arbitrary similarity as having used the same room.</t>
  </si>
  <si>
    <t>Goldstein, N. J., Cialdini, R. B., &amp; Griskevicius, V. (2008). A Room with a Viewpoint: Using Social Norms to Motivate Environmental Conservation in Hotels. Journal of Consumer Research, 35(3), 472-482. doi: 10.1086/586910</t>
  </si>
  <si>
    <t xml:space="preserve">Sample group: hotel guests across the Midwest </t>
  </si>
  <si>
    <t>Avoid regression to the mean</t>
  </si>
  <si>
    <t>By combining descriptive and injunctive messages, we can enhance the impact of social norms. In an evaluation of East Bay MUD’s home water report, researchers found that customized social-norm based home water reports consisting of descriptive norm comparisons along with injunctive “Watersmart emoticons” led to a 4-6% reduction in daily home water use across the service area. These reports descriptively compare the users’ water use to the average use as well as efficient users and sum up the users’ relative performance with happy, neutral, or smiley faces—serving as injunctive representations of their usage. Households that received these custom home water reports were also 6.2 times more likely to participate in the affiliated utility’s audit programs and 2.3 times more likely to enroll in conservation programs.</t>
  </si>
  <si>
    <t>Mitchell, D. L., &amp; Chestnutt, T. W. (2013). Evaluation of East Bay Municipal Utility District’s Pilot of WaterSmart Home Water Reports. Retrieved from http://www.financingsustainablewater.org/sites/www.financingsustainablewater.org/files/resource_pdfs/MCubed-Watersmart_evaluation_report_FINAL_12-12-13(00238356).pdf, accessed July 24, 2015.</t>
  </si>
  <si>
    <t xml:space="preserve">Sample group: CA random sample of service area </t>
  </si>
  <si>
    <t>Primary Source: consulting report. My advice: use this for training-- not clear that the conservation behavior is due to the injunctive norm, more of a practical example of how injunctive and descriptive can be used.</t>
  </si>
  <si>
    <t>web, training</t>
  </si>
  <si>
    <t xml:space="preserve">Socially model the desired behavior </t>
  </si>
  <si>
    <t xml:space="preserve">Waste Management - Composting </t>
  </si>
  <si>
    <t xml:space="preserve">When we observe our peers conducting environmentally friendly actions, we may be more likely to follow suit. In a study on composting behavior, researchers tested the effect of signs and social modelling in three fast food establishments. Social modeling was proven more effective than exposure to tabletop signs urging customers to compost their waste. Results showed people were more likely to correctly compost their leftovers when they witnessed others correctly composting before them. Despite the fact that posters above the waste cans clearly depicted where items ordered in the restaurants should go, customers were much more likely to correctly compost the remainders of their meal when they were able to observe their peers’ behavior. Researchers hypothesize that social modelling increases our desire to conform to the norm while offering us more information needed to confidently compost. </t>
  </si>
  <si>
    <t>Sussman, R., &amp; Gifford, R. (2013). Be the Change You Want to See: Modeling Food Composting in Public Places. Environment and Behavior, 45(3), 323-343. doi: 10.1177/0013916511431274</t>
  </si>
  <si>
    <t xml:space="preserve">Sample group: consumers at two food courts and one fast food restaurant </t>
  </si>
  <si>
    <t xml:space="preserve">PG, web, training </t>
  </si>
  <si>
    <t xml:space="preserve">Social modelling is a powerful tool to guide behavior modification. In the wake of an early 1980s water shortage, researchers set out to test strategies aimed to encourage students to save energy by conserving water in the men’s shower room at UC Santa Cruz. At the time of the study, a mere 6% of showering students turned off the shower while soaping up, though 93% of students were aware of signs placed in the shower rooms asking students to suspend their water use. This number roughly tripled when researchers tried adding more noticeable signs. Most impressive, however, was the increased rate of student cooperation that resulted from modelling the behavior. When a peer actor demonstrated the behavior by turning off the water and soaping up in front of other students, compliance jumped to 49%. When two peer actors demonstrated the behavior, cooperation rose even more – to 67%. Observing a peer conduct environmentally friendly behaviors may be just the push we need to transform awareness into action. </t>
  </si>
  <si>
    <t xml:space="preserve">Aronson, E., &amp; O’Leary, M. (1982). The Relative Effectiveness of Models and Prompts on Energy Conservation: A Field Experiment in a Shower Room. Journal of Environmental Systems, 12(3), 219-224. doi:10.2190/ubd5-4y9b-61ef-wum6 </t>
  </si>
  <si>
    <t xml:space="preserve">Sample group: UC Santa Cruz male students using athletic facilities </t>
  </si>
  <si>
    <t>Primary source from 1983 -- also referenced by DMM</t>
  </si>
  <si>
    <t xml:space="preserve">Land Use - Agriculture </t>
  </si>
  <si>
    <t xml:space="preserve">Asia </t>
  </si>
  <si>
    <t>Social modelling in close communities can influence the uptake of important environmental programs. The Grain-to-Green Program in China was a popular soil conservation program in which farmers were compensated for converting their cropland to forestland.  After a maximum of eight years, farmers were offered the environmentally friendly choice to re-enroll in the program, or reconvert their forestland back to cropland. A study conducted during this program surveyed participants’ intentions for re-enrolling or reconverting their land given different scenarios, including different likelihoods of neighbors deciding to reenroll or reconvert their land. The average farmer’s decision to re-enroll was found to be substantially affected by the decisions of his or her neighbor’s choice. On average, for every additional 10% of neighbors that planned on reconverting their forested land back to cropland, a farmer’s likelihood of re-enrolling in the conservation program dropped by a little over 6%. As exemplified by Chinese farmers, social information can help us to make important decisions, with important impacts on conservation efforts.</t>
  </si>
  <si>
    <t>Chen, X., Lupi, F., He, G., &amp; Liu, J. (2009). Linking Social Norms to Efficient Conservation Investment in Payments for Ecosystems. Proceedings of the National Academy of Sciences, 106(28), 11812-11817. doi: 10.1073/pnas.0809980106</t>
  </si>
  <si>
    <t xml:space="preserve">Sample group: grain to green program participants </t>
  </si>
  <si>
    <t xml:space="preserve">Waste Management - Littering </t>
  </si>
  <si>
    <t>When we observe someone conducting an environmentally friendly action, we receive the injunctive cue that environmentally responsible behavior is normal. In an effort to test the effect of social modelling on anti-littering behavior, researchers observed the behavior of participants in a parking garage after they were exposed to a peer picking up a piece of litter in plain sight. Researchers found that when an experimental confederate picked up a fast-food bag off of the ground in front of participants as they walked to their cars, participants were 9% less likely to litter a handbill placed on their car. Most interesting, when two handbills were placed on participants’ cars, they became roughly 4 times less likely (34%) to litter than those who found only one handbill on their cars. These results suggest that social modelling may be strongest in cases where the non-normative environmental behavior corresponds to a high degree of nonconformity with the observed norm.</t>
  </si>
  <si>
    <t>Kallgren, C. A., Reno, R. R., &amp; Cialdini, R. B. (2000). A Focus Theory of Normative Conduct: When Norms Do and Do Not Affect Behavior. Personality and Social Psychology Bulletin, 26(8), 1002-1012. doi: 10.1177/01461672002610009</t>
  </si>
  <si>
    <t xml:space="preserve">Sample group: visitors to a hospital who had parked in parking lot </t>
  </si>
  <si>
    <t xml:space="preserve">Contextually model the desired behavior </t>
  </si>
  <si>
    <t xml:space="preserve">Often, our physical surroundings help communicate the prevalence of certain behaviors. In a study measuring the impact of contextual norms on behavior, researchers observed how often participants littered in two different environments: one highly littered environment, and one clean environment. Researchers found that when people exited an elevator and found a littered environment, they were more likely to litter handbills placed on their cars. Conversely, when people entered a clean parking garage, they were found more likely to properly discard of the leaflet placed on their vehicle. These findings were made even more extreme when a study confederate walked in front of participants and littered—those in the clean condition were found even less likely to litter, while those in the litter condition were found more likely to litter. Researchers concluded that depending on the cleanliness of the surrounding environment, witnessing another person litter can actually promote an anti-littering norm. When the surrounding environment is otherwise clean, one person’s litter may become highly salient and draw attention to the predominant anti-littering norm that has been violated. This study exemplifies the importance of context in communicating norms. </t>
  </si>
  <si>
    <t>Cialdini, R. B., Reno, R. R., Kallgren, C. A. (1990). A Focus Theory of Normative Conduct: Recycling the Concept of Norms to Reduce Littering in Public Places. Journal of Personality and Social Psychology, 58(6), 1015–1026. doi: 10.1037/0022-3514.58.6.1015</t>
  </si>
  <si>
    <t>Cialdini, R. B. (2003). Crafting Normative Messages to Protect the Environment. Current Directions in Psychological Science, 12(4), 105–109. doi: 10.1111/1467-8721.01242</t>
  </si>
  <si>
    <t xml:space="preserve">Inferred norms help us to determine what acceptable behaviors are. To test the effects of different norm contexts on behavior, researchers at a Midwestern University manipulated the lighting of public bathrooms and measured how often users turned the lights off when exiting the bathroom. Researchers found that people were more likely to turn off the light after use when their context set the norm for energy conservation. Only 11.7% of people observed turned off the lights if they were already on when they entered the bathroom while 32.4% of people turned the light back off upon exiting the bathroom when it was already off. These results highlight how powerful the perceived prior behavior of our peers can be in determining our current actions. </t>
  </si>
  <si>
    <t>Dwyer, P. C., Maki, A. &amp; Rothman, A. J. (2015). Promoting Energy Conservation Behavior in Public Settings: The Influence of Social Norms and Personal Responsibility. Journal of Environmental Psychology, 41, 30–34. doi: 10.1016/j.jenvp.2014.11.002</t>
  </si>
  <si>
    <t>Sample group: public bathroom users at large universities (i.e. mostly college students)</t>
  </si>
  <si>
    <t xml:space="preserve">Lasting </t>
  </si>
  <si>
    <t>Design a habit supportive environment</t>
  </si>
  <si>
    <t>Transportation - Sustainable</t>
  </si>
  <si>
    <t xml:space="preserve">External disruptions in our habitual routines can spur behavioral change. Researchers tested the effect of parking shortages and traffic on the travel routines of those in the community surrounding the University of Utah during the 2002 Olympics. Researchers sought to examine whether the disruption to normal habits in addition to an education media campaign on the region’s light rail and bus systems would cause increased use of the environmentally friendly alternate transportation option. Naturally, this major driving inconvenience caused over half of study participants to use public transportation at least once during the obstruction time. Through a serious of surveys and questionnaires, researchers found that many individuals who began using the light rail in lieu of their normal driving routine during the Olympics continued to use it once the external deterrent was removed. In particular, those study participants who developed transit specific activities during their commutes were more likely to continue riding the light rail long after the Olympics. This study suggests that temporary changes in context can catalyze environmentally friendly habit formation. </t>
  </si>
  <si>
    <t>Brown, B. B., Werner, C. M., &amp; Kim, N. (2003). Personal and Contextual Factors Supporting the Switch to Transit Use: Evaluating a Natural Transit Intervention. Analyses of Social Issues and Public Policy, 3(1), 139-160. doi: 10.1111/j.1530-2415.2003.00019.x</t>
  </si>
  <si>
    <t>Sample group: commuters around the University of Utah who visited booths placed around campus</t>
  </si>
  <si>
    <t>Problem</t>
  </si>
  <si>
    <t xml:space="preserve">Start with a tiny behavior </t>
  </si>
  <si>
    <t xml:space="preserve">Consumption - Buying </t>
  </si>
  <si>
    <t>While enacting small environmentally friendly actions can enhance other environmentally friendly habits, sometimes positive habits can backfire, by licensing individuals to indulge themselves. In a study conducted by affiliates of the Harvard Business School, researchers found that when people imagined themselves bringing a reusable bag to the grocery store, they become more willing to spend money on organic foods through the effects of priming, but also more likely to see themselves buying unhealthy, or indulgent treats. These findings were then substantiated by analysis of grocery store data indicating that grocery store patrons are more likely to both buy organic and increase their purchase of indulgent items when toting a reusable bag. This study suggests that moral licensing carries the potential to impact the positive effects of small pro-environmental habits.</t>
  </si>
  <si>
    <t>Karmarkar, U. R., &amp; Bollinger, B. (2015). BYOB: How Bringing Your Own Shopping Bags Leads to Treating Yourself and the Environment. Journal of Marketing, 79(4), 1-15. doi: 10.1509/jm.13.0228</t>
  </si>
  <si>
    <t>Using Reusable Bags Changes Shopping Habits, Harvard Study Finds</t>
  </si>
  <si>
    <t>Chris McKinnon</t>
  </si>
  <si>
    <t xml:space="preserve">CBS Local </t>
  </si>
  <si>
    <t>http://boston.cbslocal.com/2015/05/21/using-reusable-bags-changes-shopping-habits-harvard-study-finds/</t>
  </si>
  <si>
    <t xml:space="preserve">Sample group: shoppers from one grocery store, part of larger chain </t>
  </si>
  <si>
    <t xml:space="preserve">Primary source, may be too specific for PG </t>
  </si>
  <si>
    <t xml:space="preserve">Temporarily reward habit forming behaviors </t>
  </si>
  <si>
    <t xml:space="preserve">Consumption - Energy </t>
  </si>
  <si>
    <t xml:space="preserve">Working toward temporary rewards can alter behavior in the long run. At the University of British Columbia, students participated in Campus Conservation Nationals, a nation-wide competition aimed to engage students in reducing their energy use. In their push for first place, students rallied on the event’s Facebook page, and encouraged their peers to practice a myriad of energy saving behaviors. The University offered prizes to the dorms leading the competition with the greatest reduction in energy use. By the end of the three-week competition, students at UCB were estimated to have saved enough energy to power 200 bulbs for an entire month. The dorm that achieved the greatest reduction received a “house brunch” and participation prizes such as ipods and ski tickets were distributed to individual students. Students reported the event as a great success, and dorm resident leaders shared that students continued to engage in energy saving behaviors, such as taking the stairs instead of the elevator, for the rest of the school year and long after the competition had ended. This example shows how short term, reward-based competitions can help individuals to create meaningful environmental habits. </t>
  </si>
  <si>
    <t xml:space="preserve">Do it in the dark: Part 1 </t>
  </si>
  <si>
    <t xml:space="preserve">None listed </t>
  </si>
  <si>
    <t xml:space="preserve">University of British Columbia </t>
  </si>
  <si>
    <t>https://sustain.ubc.ca/stories/do-it-dark-part-1</t>
  </si>
  <si>
    <t xml:space="preserve">Do it in the dark: Part 2 </t>
  </si>
  <si>
    <t>https://sustain.ubc.ca/stories/do-it-dark-part-2</t>
  </si>
  <si>
    <t>Campus media reports on energy reduction college competition</t>
  </si>
  <si>
    <t>News source -- no study, should be used as an example of a fun way to promote environmentally friendly habit formation</t>
  </si>
  <si>
    <t>Web, training</t>
  </si>
  <si>
    <t xml:space="preserve">Benefits </t>
  </si>
  <si>
    <t xml:space="preserve">Build off of existing goals and behaviors </t>
  </si>
  <si>
    <t xml:space="preserve">Transportation - Sustainable </t>
  </si>
  <si>
    <t xml:space="preserve">Canada and the Us </t>
  </si>
  <si>
    <t xml:space="preserve">We often put off actions that substantially affect our wallet and wait until the big purchase becomes an absolute necessity. However, with an incentive boost, we become more likely to push up the timeline of our purchase, and modify the type of purchase we make. The federal Cash for Clunkers program used subsidies to incentivize car owners to sell their old, gas guzzling cars and replace them with new, more fuel efficient cars. This program was intended to jumpstart purchasing by offering consumers $3,500 to purchase a car with an MPG rating of 4-9, $4,500 to purchase a car with an MPG of 10 or more, and for those in the market for utility trucks, $3,500 for 2-4 MPG or more. Research on the program has found that not only did Cash for Clunkers accelerate the behavior of people who were already considering buying a new car, but also changed their preference toward more fuel efficient options. </t>
  </si>
  <si>
    <t>Huang, E. (2010). Do Public Subsidies Sell Green Cars? Evidence from the US 'Cash for Clunkers' Program. Evidence from the US 'Cash for Clunkers' Program (July 27, 2010).</t>
  </si>
  <si>
    <t xml:space="preserve">Gayer, T., &amp; Parker, E. (2013). Cash for Clunkers: An evaluation of the car allowance rebate system. Brookings Institution, 9. </t>
  </si>
  <si>
    <t>2 analyses of cash for clunkers, one natural experiment + one overview of the program. Can find a better example for the PG?</t>
  </si>
  <si>
    <t xml:space="preserve">Use penalties wisely </t>
  </si>
  <si>
    <t xml:space="preserve">Waste management - Recycling and reuse </t>
  </si>
  <si>
    <t xml:space="preserve">Disincentives can jumpstart sustainable behaviors. In the early 80s, Seattle, Washington started basing residents’ waste disposal costs on the number of cans of landfill waste they put out to the curb each week. In the past, like many cities, Seattle charged their residents a flat fee for unlimited waste disposal. But this system was environmentally unfriendly and expensive for the city. The new disincentive system was meant to regain the cost of covering landfills while increasing long term recycling rates. Between 1981 and 1992 the cost per can jumped from $6.40 to $14.98. During this time, the percent of residents using one garbage can or less shot up from 18% to 89%, and recycling rose from 15% to 40% of the total waste stream. This case shows how well an obvious and recurring financial disincentive can work at getting people to reduce waste. </t>
  </si>
  <si>
    <t xml:space="preserve">Cuthbert, R. (1994). Variable disposal fee impact. BioCycle, May, 63-65. </t>
  </si>
  <si>
    <t xml:space="preserve">Data collected from Seattle residents </t>
  </si>
  <si>
    <t>Secondary source case study - can be used for website and training</t>
  </si>
  <si>
    <t>Website, training</t>
  </si>
  <si>
    <t xml:space="preserve">Make benefits and costs immediate </t>
  </si>
  <si>
    <t xml:space="preserve">Often, shifting an environmentally unfriendly habit requires introducing an immediate cost to that behavior. In many large cities around the world, car horns stand in for birdsong as the most pervasive ambient noise around. The cacophony of frustrated drivers leaning on their horns day and night isn’t good for anyone, and the environment is no exception. It contributes a seldom discussed environmental disturbance known as noise pollution, which, despite its seeming harmlessness, leads to elevated stress levels and cardiovascular problems, and has been shown to disrupt many animals’ natural behaviors. For many drivers, excessive honking is an ingrained habit. The Indian company Briefcase has developed a clever system to combat this problem, called Bleep. Briefcase installs a red button with a frowning face on into participating cars. When the driver honks, the button beeps loudly back at them and blinks, and the driver must press the button to turn it off. In a study conducted by the company, bleep was found to reduce the instance of honking in participants by an average of 61%! Disincentives, when immediate, can make us consider our unsustainable habits more consciously. </t>
  </si>
  <si>
    <t xml:space="preserve">Project: reducing honking on Indian roads </t>
  </si>
  <si>
    <t xml:space="preserve">Briefcase </t>
  </si>
  <si>
    <t>None listed</t>
  </si>
  <si>
    <t>http://brief-case.co/bleep.html</t>
  </si>
  <si>
    <t xml:space="preserve">30 Indian drivers </t>
  </si>
  <si>
    <t xml:space="preserve">Study conducted by Indian company -- not academic but could be used for web + trainings </t>
  </si>
  <si>
    <t xml:space="preserve">Tailor the incentive </t>
  </si>
  <si>
    <t xml:space="preserve">Non-Environmental </t>
  </si>
  <si>
    <t xml:space="preserve">In 2004, researchers conducted a study to measure the relative influence of different rewards on people’s behavior. Participants were asked to complete several attention-demanding and mind-numbing tasks on a computer. They dragged digital balls across a screen and tried to complete unsolvable number puzzles while researchers observed their level of effort. Importantly, participants were informed beforehand that they would either receive a medium amount of candy, a small amount of candy, a medium amount of money, or a small amount of money for their participation (the equivalent financial versions of the candy rewards). As it turns out, the medium amount of candy offer elicited the greatest amount of effort from participants, followed by the medium amount of money, and then then the small candy reward, and so on. These results suggest that presenting our audiences with attractive tangible rewards can motivate them more effectively than money, at a fraction of the cost. </t>
  </si>
  <si>
    <t>Heyman, J., &amp; Ariely, D. (2004). Effort for Payment: A Tale of Two Markets. Psychological Science, 15(11), 787-793. doi: 10.1111/j.0956-7976.2004.00757</t>
  </si>
  <si>
    <t>Primary source</t>
  </si>
  <si>
    <t>None</t>
  </si>
  <si>
    <t xml:space="preserve">Waste management - Recycling abd Reuse </t>
  </si>
  <si>
    <t>Hopeful, Vivid</t>
  </si>
  <si>
    <t xml:space="preserve">Middle East </t>
  </si>
  <si>
    <t>3, 5</t>
  </si>
  <si>
    <t>Hopeful - Provide feedback, Vivid - Make the encouraged behavior obvious</t>
  </si>
  <si>
    <t>304, 500</t>
  </si>
  <si>
    <t xml:space="preserve">Creative incentives can help combat multiple issues at once. Turkey has a problem: too many stray, hungry dogs and cats wander the streets of its cities. In Instanbul alone, there are 150,000 strays, spreading disease and risking public safety. The Istanbul-based company Pugedon created an innovative solution: a vending machine that accepts plastic bottles for recycling, and dispenses animal food and water of equal monetary value. People deposit bottles at the top, and food comes out of the bottom for passing dogs to munch on. Once installed, these vending machines are fully funded by the value of the recycled bottles, requiring no extra cost to operate. By coupling recycling with the improvement of animal welfare, Pugedon offers incentivizes residents to recycle while helping feed stray animals. </t>
  </si>
  <si>
    <t>This Genius Machine Feeds Stray Dogs In Exchange For Recycled Bottles</t>
  </si>
  <si>
    <t>Kimberly Yam</t>
  </si>
  <si>
    <t xml:space="preserve">Huffington Post </t>
  </si>
  <si>
    <t>http://www.huffingtonpost.com/2014/07/23/pugedon-vending-machine_n_5606494.html</t>
  </si>
  <si>
    <t xml:space="preserve">Not an experiment, but rather an example of an innovative incentive to recycle. Could be used for website, training </t>
  </si>
  <si>
    <t xml:space="preserve">Waste Management - Hazardous Waste </t>
  </si>
  <si>
    <t>Popular Article</t>
  </si>
  <si>
    <t>Energy</t>
  </si>
  <si>
    <t>Sometimes, monetary incentives can backfire by reducing intrinsic motivation. In 1993, researchers at the University of Zurich asked residents of two small Swiss towns if they’d be willing to have spent radioactive waste deposited in underground storage near their towns. Even though 80% of respondents stated they believed that members of their communities would suffer “long term effects” in the event of a storage accident, through sheer social obligation, about 51% of residents agreed to the proposition. To get even more people on board, the researchers offered residents of participating towns a generous payment of about $2,175 per person. Surprisingly, this financial incentive cut the number of people willing to accept the nuclear waste down to 24.6%, Even when offered more money -  $4,330, and then $6,525, the majority of previously supportive locals remained uninterested. While respondents to the initial request were compelled by a sense of intrinsic duty, the prospect of money shifted their mental focus to a cost-benefit analysis—causing them to respond negatively to what they now perceived as an attempt to monetize their health risks.</t>
  </si>
  <si>
    <t>Frey, B. S., &amp; Oberholzer-Gee, F. (1997). The cost of price incentives: An empirical analysis of motivation crowding-out. The American economic review, 87(4), 746-755.</t>
  </si>
  <si>
    <t xml:space="preserve">Sample: Swiss residents </t>
  </si>
  <si>
    <t xml:space="preserve">Primary source, well written </t>
  </si>
  <si>
    <t xml:space="preserve">Incentives can be built in the form of a fun experience, or an exciting new way to act in favor of the environment. Saving energy in your office might not be the most exciting pastime, but the creators of Energy Chickens are hoping to change that. In this virtual game, several chickens represent different office appliances for which a player is responsible, and the player’s energy consumption directly affects the health of their chickens. In a 2014 study conducted in a commercial office building, 42 employees were introduced to “Energy Chickens” and encouraged to play for 12 weeks. During this time, participants’ average energy consumption dropped by 13%. In a follow-up survey, 69% of participants reported that the game made them more aware of their energy consumption, and some even said this effect spilled over into their behavior at home. Innovative games like Energy Chickens can incentivize short term behavioral change and help players to better comprehend the impact of energy saving actions over time. </t>
  </si>
  <si>
    <t>Orland, B., Ram, N., Lang, D., Houser, K., Kling, N., &amp; Coccia, M. (2014). Saving energy in an office environment: A serious game intervention. Energy and Buildings, 74, 43-52. doi:10.1016/j.enbuild.2014.01.036</t>
  </si>
  <si>
    <t xml:space="preserve">Sample: 57 workers from a midsize commercial office </t>
  </si>
  <si>
    <t>Waste Management - Recycling</t>
  </si>
  <si>
    <t>Using Smart Meters for Household Water Consumption Feedback: Knowns and Unknowns</t>
  </si>
  <si>
    <t>By providing people with a uniquely useful reward, we can incentivize environmental behavior. Chinese company, Incom, has created reverse vending machines that allow people to exchange beverage containers for subway fare and mobile minutes. Users who dispose of their empty bottles in the vending machine receive credits toward their next subway ride, or additional mobile minutes, depending on value of the bottle submitted. Not only do the machines pay out about double the informal recycling market rate, they also provide a convenient and attractive way for people to recycle and save money on a service they regularly use. As of mid 2015, 150,000 people are actively recycling at 1,323 Incom machines across Beijing.</t>
  </si>
  <si>
    <t>Sønderlund, A. L., Smith, J. R., Hutton, C., &amp; Kapelan, Z.</t>
  </si>
  <si>
    <t xml:space="preserve">Chinese firm takes recycling into the 'smart' era </t>
  </si>
  <si>
    <t>16th Water Distribution System Analysis Conference</t>
  </si>
  <si>
    <t xml:space="preserve">Rebecca Kanthor </t>
  </si>
  <si>
    <t xml:space="preserve">Plastics News </t>
  </si>
  <si>
    <t>http://www.plasticsnews.com/article/20150708/NEWS/150709927/chinese-firm-takes-recycling-into-the-smart-era</t>
  </si>
  <si>
    <t xml:space="preserve">Bejing introduces recycling banks that pay subway credits for bottles </t>
  </si>
  <si>
    <t xml:space="preserve">Jonathan Watts </t>
  </si>
  <si>
    <t>The guardian</t>
  </si>
  <si>
    <t>https://www.theguardian.com/environment/2012/jul/04/beijing-recycling-banks-subway-bottles</t>
  </si>
  <si>
    <t>3 or 4</t>
  </si>
  <si>
    <t>can't find a primary source</t>
  </si>
  <si>
    <t>A range of adaptive strategies are needed to mitigate the growing threats to water security. Demand management will play a central role in adaptation. The proliferation of smart metering provides a means for utilities to better quantify end user demand, and to provide consumption feedback to consumers in (near) real-time. Such feedback can help close the gap between perceived and actual water consumption. However, relatively few studies have considered the effectiveness of feedback in promoting water saving behavior. This paper evaluates the evidence for the effectiveness of water consumption feedback technology in promoting water saving behavior.</t>
  </si>
  <si>
    <t xml:space="preserve">web, Training </t>
  </si>
  <si>
    <t>http://www.sciencedirect.com/science/article/pii/S1877705814023315</t>
  </si>
  <si>
    <t xml:space="preserve">Awareness </t>
  </si>
  <si>
    <t xml:space="preserve">Teach simple mindfulness practices </t>
  </si>
  <si>
    <t xml:space="preserve">Non-environmental </t>
  </si>
  <si>
    <t>Emissions</t>
  </si>
  <si>
    <t>Salient = Yes; Feedback = No</t>
  </si>
  <si>
    <t>Salient = No; Feedback = No</t>
  </si>
  <si>
    <t>Emphasize HOPEFULNESS</t>
  </si>
  <si>
    <t>Asia</t>
  </si>
  <si>
    <t>Authority Bias</t>
  </si>
  <si>
    <t>Case Study</t>
  </si>
  <si>
    <t xml:space="preserve">Learning and adopting even a simple mindfulness practice can have hugely beneficial impacts on our ability to focus. A 2007 study tested the effects of a short-term meditation program on 40 Chinese undergraduate students. The treatment group performed meditation for just 5 days, 20 minutes each day, and then took tests assessing their levels of attention and emotional management. They exhibited significantly higher levels of attention and better stress management, as indicated by lower cortisol levels in the blood, than a control group given non-meditative relaxation training. They also displayed better moods, more energy and ability to handle conflict, and lower instances of depression and anger. This study suggests that meditation can help produce the presence necessary to enact and teach environmentally friendly behaviors. </t>
  </si>
  <si>
    <t>Environmental Justice</t>
  </si>
  <si>
    <t>Mitigation</t>
  </si>
  <si>
    <t>Tang, Y., Ma, Y., Wang, J., Fan, Y., Feng, S., Lu, Q.,  Posner, M. I. (2007). Short-term meditation training improves attention and self-regulation. Proceedings of the National Academy of Sciences, 104(43), 17152-17156. doi:10.1073/pnas.0707678104</t>
  </si>
  <si>
    <t>Frame for the right ASSOCIATIONS</t>
  </si>
  <si>
    <t>Lasting</t>
  </si>
  <si>
    <t>Reward specific behaviors</t>
  </si>
  <si>
    <t xml:space="preserve">40 undergraduate chinese medicine students </t>
  </si>
  <si>
    <t>Africa</t>
  </si>
  <si>
    <t>Availability Bias</t>
  </si>
  <si>
    <t>Primary source, non-environmental</t>
  </si>
  <si>
    <t>Consumption - Energy, Consumption - General</t>
  </si>
  <si>
    <t>Video</t>
  </si>
  <si>
    <t xml:space="preserve">PG (?) web, training </t>
  </si>
  <si>
    <t>Canada and the US</t>
  </si>
  <si>
    <t>Environmental Policy</t>
  </si>
  <si>
    <t>Green Living Certification: Rewarding Residents for Environmentally Friendly Lifestyles</t>
  </si>
  <si>
    <t xml:space="preserve">Notice that you can choose to act on your values even when it is difficult </t>
  </si>
  <si>
    <t>Take Action</t>
  </si>
  <si>
    <t>Bailey Rowland and Julian Goresko</t>
  </si>
  <si>
    <t>Design it to be VIVID</t>
  </si>
  <si>
    <t>AASHE: Association for the Advancement of Sustainability in Higher Education. </t>
  </si>
  <si>
    <t>Make benefits and costs immediate</t>
  </si>
  <si>
    <t>Oceania</t>
  </si>
  <si>
    <t>Backfire Effect</t>
  </si>
  <si>
    <t>Mindfulness can help us to align our behavior with our moral values. In a recent study, researchers tested the impact of mindfulness on reported beliefs and ethical behavior. Researchers offered a group of students a questionnaire designed to measure mindful awareness, and then gave participants a series of anagrams to solve in four minutes, with instructions to score their own work. Participants were paid for each right answer they reported, which increased their incentive to cheat and say they got the right answer when they hadn’t. Overall, researchers found that those who reported higher levels of mindfulness were more likely to report that they acted in accordance with their ethical beliefs and principles. The results supported the researchers’ hypothesis: those reporting higher levels of mindfulness cheated less severely and less often than participants with low reported rates of mindful awareness. This study suggests that when we are more mindful of our thoughts and actions (or if we believe that we are more mindful), it is easier for us to act in line with our our ethical framework.</t>
  </si>
  <si>
    <t>Ruedy, N. E., &amp; Schweitzer, M. E. (2010). In the Moment: The Effect of Mindfulness on Ethical Decision Making. Journal of Business Ethics, 95(1), 73-87. doi:10.1007/s10551-011-0796-y</t>
  </si>
  <si>
    <t xml:space="preserve">undergraduate students </t>
  </si>
  <si>
    <t xml:space="preserve">Primary source, non-environmentsl </t>
  </si>
  <si>
    <t xml:space="preserve">(PG?) web, training </t>
  </si>
  <si>
    <t xml:space="preserve">Elicit awareness at the moment of choice </t>
  </si>
  <si>
    <t xml:space="preserve">Consumption - Paper </t>
  </si>
  <si>
    <t>When delivered at the right time, prompts can poignantly remind us to consume paper responsibly. A guerilla public service movement in the Silicon Valley sells labels with the message “Remember…These come from trees” printed on them. Field testing in an elementary school showed that sticking this label on paper towel dispensers led to a 29% reduction in paper towel usage. A simple yet noticeable message such as this helps foster pro-environmental behavior by catching users’ attention at the critical moment just before the action.</t>
  </si>
  <si>
    <t xml:space="preserve">These come from trees sticker </t>
  </si>
  <si>
    <t xml:space="preserve">These come from trees blog </t>
  </si>
  <si>
    <t>http://thesecomefromtrees.blogspot.com/2009/08/wow-29-paper-towel-use-reduction-at.html</t>
  </si>
  <si>
    <t>"The Green Living Certification certifies and rewards residents living in on-campus residential buildings for making day-to-day choices that reduce their environmental footprint. Residents fill out an online survey that calculates their score based on how environmentally friendly their daily habits and choices are. "</t>
  </si>
  <si>
    <t xml:space="preserve">blog post with no link to primary source or indication of how the research was collected </t>
  </si>
  <si>
    <t>https://hub.aashe.org/browse/types/casestudy/</t>
  </si>
  <si>
    <t>Lasting - Temporary Rewards</t>
  </si>
  <si>
    <t xml:space="preserve">Prompts are a great way influence actions by informing the audience at the exact time of the environmental behavior. In a study measuring the efficacy of prompts in college bathrooms, researchers placed polite signs near light switches. Signs read “Washroom empty? Conserve energy – Please turn off the lights. Turning off the lights for even 5 seconds saves electricity, which reduces greenhouse gas emissions… and that’s a good thing, thanks!” Researchers found that lights were 8 times more likely to be turned off in washrooms with signs than than in those without signs. The simple reminder helped encourage those leaving the bathroom to conserve energy by prompting them with a specific suggestion and environmental motivator. </t>
  </si>
  <si>
    <t>Sussman, R., &amp; Gifford, R. (2012). Please turn off the lights: The effectiveness of visual prompts. Applied ergonomics, 43(3), 596-603.</t>
  </si>
  <si>
    <t xml:space="preserve">college students, people entering college bathroom </t>
  </si>
  <si>
    <t>Definition</t>
  </si>
  <si>
    <t>Climate, Pollution, Whole system</t>
  </si>
  <si>
    <t>2000, 16000, 22000</t>
  </si>
  <si>
    <t>Food</t>
  </si>
  <si>
    <t>Climate - Take Action, Pollution - General, Whole system - Ecosystem/Conservation</t>
  </si>
  <si>
    <t>General</t>
  </si>
  <si>
    <t>Canada and the US, Europe</t>
  </si>
  <si>
    <t>40, 41</t>
  </si>
  <si>
    <t>Encourage consistent IDENTITY</t>
  </si>
  <si>
    <t>Cognition and Risk Perception in Business Environmental Sustainability Education</t>
  </si>
  <si>
    <t xml:space="preserve">Schwering, R. E. </t>
  </si>
  <si>
    <t>Academy of Educational Leadership Journal</t>
  </si>
  <si>
    <t xml:space="preserve">Small reminders can help shape positive environmental behaviors by causing us to think twice before we act. In a study on energy efficiency in the classroom, selected professors received letters from faculty members stressing the importance of energy conservation, informing them that an unscheduled period followed their class, and requesting assistance in turning off the lights after their class had ended in order to avoid wasting energy in unused classrooms. Researchers found the percentage of unlit rooms increased by 13% in one target group. However, researchers noticed a downward slide in light conservation toward the end of their observation. When the letters were provided alongside a classroom poster encouraging all classroom users to turn off the lights following class periods, the percentage of unlit classrooms increased by an additional 4%. In addition to the personalized letters, prompts placed near the light switch helped sustain environmentally friendly behavior. </t>
  </si>
  <si>
    <t>Central &amp; South America</t>
  </si>
  <si>
    <t>Base Rate Fallacy</t>
  </si>
  <si>
    <t>Luyben, P. D. (1980). Effects of informational prompts on energy conservation in college classrooms. Journal of Applied Behavior Analysis,13(4), 611-617</t>
  </si>
  <si>
    <t xml:space="preserve">college professors </t>
  </si>
  <si>
    <t>Freshwater</t>
  </si>
  <si>
    <t xml:space="preserve">Primary source, but the study itself is somewhat old, and findings are weak -- the classrooms that conserved most (group 1) already had high conservation rates. </t>
  </si>
  <si>
    <t>Autos</t>
  </si>
  <si>
    <t>Demonstrate what is ORDINARY</t>
  </si>
  <si>
    <t>Limit the availability of benefits</t>
  </si>
  <si>
    <t>Serious global environmental challenges such as climate change, loss of biodiversity and other pollution issues are creating substantial risks and associated strategic opportunities for business enterprises. Many experts suggest that rapid responses are required from all societal institutions to include government, industry and academia. Nevertheless, many leaders in these institutions still deny the criticality of these problems and, as a result, the rate of adaptive change is frustratingly slow. This paper uses the theories of cognitive and behavioral decision sciences to forward an integrative framework seeking to explain why business executives may inappropriately discount such environmental risks as well as their responsibilities in addressing these challenges. Following an articulation of the key variables in this framework, the author then suggests practical classroom strategies that have been used in executive, graduate and undergraduate business education to counteract judgment biases and errors that predispose individuals to deny their responsibilities in addressing the imperatives of environmental sustainability. Educators as well as internal and external change agents and consultants will find this paper useful in promoting environmental awareness and responsible decision making.</t>
  </si>
  <si>
    <t xml:space="preserve"> Strategically placed signs and magnets can help us to remember the right environmental behavior. Officials at Oberlin College set out to educate students about the benefits of washing their clothes with cold water in washing machines in an effort to encourage simple reduction in energy consumption. Officials observed that none of the washing machines in the six dorms studied were set to cold water cycles.  Focus groups showed that 50% of students had no water preference, and that most students mindlessly followed the default setting or the same method of washing they had learned from their parents.  The college implemented a campaign using posters containing facts about the benefits of cold water washing on clothes and the environment. Additionally, magnets that read “Cool is clean, use cold water, please choose bright colors setting” were placed on laundry machines. Oberlin found that its intervention led to an impressive increase in cold water usage, from virtually 0 to 45% -- the University was able to reduce energy while simultaneously educating participating students through the use of prompts. </t>
  </si>
  <si>
    <t>Mostow, D., Kahl, S., Xu, S., Flynn, B., &amp; Frantz, C. (2015).  Reducing Carbon Emissions Through Promoting Cold Water Washing on a College Campus. Oberlin College. Retrieved from http://new.oberlin.edu/office/environmental-sustainability/CBSM/Laundry_Pilot_2015+Final+Report.pdf</t>
  </si>
  <si>
    <t xml:space="preserve">college students </t>
  </si>
  <si>
    <t xml:space="preserve">primary source: University report </t>
  </si>
  <si>
    <t xml:space="preserve">Web, training </t>
  </si>
  <si>
    <t>Consumption, Whole system, Pollution, Wildlife</t>
  </si>
  <si>
    <t>Blind spot Bias</t>
  </si>
  <si>
    <t xml:space="preserve">Visually striking prompts are great tools to draw in our awareness at the appropriate time. In a residential study conducted in Twin Rivers, New Jersey, participants were informed that when outside temperatures were below 68 degrees Farenheit, air conditioning was unnecessary and windows could be opened to cool the house. In some participants’ homes, a blue light was also installed in the kitchen. This light blinked when the temperature outside was below 68 degrees Fahrenheit and the resident’s air conditioner was still active; under these conditions, the light did not stop blinking until the air conditioner was turned off. Residents who received the visible prompt reduced their energy use by 15.7%, compared to homeowners who did not have the light. Without the blue light prompt, participants in this group were unlikely to remember to turn off their air conditioning at the appropriate time. </t>
  </si>
  <si>
    <t>Fundraising</t>
  </si>
  <si>
    <t>Seligman, C., Darley, J. M., &amp; Becker, L. J. (1978). Behavioral approaches to residential energy conservation. Energy and buildings, 1(3), 325-337.</t>
  </si>
  <si>
    <t>Craft it to be RELATABLE</t>
  </si>
  <si>
    <t xml:space="preserve">New Jersey residents </t>
  </si>
  <si>
    <t>Optimize resources</t>
  </si>
  <si>
    <t xml:space="preserve">primary source, fact checked by Hillary </t>
  </si>
  <si>
    <t>Boomerang Effect</t>
  </si>
  <si>
    <t xml:space="preserve">Create opportunities for people to connect with nature </t>
  </si>
  <si>
    <t xml:space="preserve">Human health - go into nature </t>
  </si>
  <si>
    <t>3000, 22000, 16000, 23000</t>
  </si>
  <si>
    <t>Human health</t>
  </si>
  <si>
    <t>Foster AWARENESS</t>
  </si>
  <si>
    <t>Consumption - Energy, Consumption - Freshwater, Whole system - Ecosystem/Conservation, Pollution - General, Wildlife - Conservation</t>
  </si>
  <si>
    <t>Set the stage for easy action</t>
  </si>
  <si>
    <t>Confirmation Bias</t>
  </si>
  <si>
    <t xml:space="preserve">Research suggests that exposure to nature helps us behave more pro-socially. In a study testing the effects of awe on behavior, subjects were escorted out into the field and stood either in a grove of giant eucalyptus trees or next to a building. After participants spent one minute observing their setting, the researcher “accidentally” dropped a box of pens. Subjects exposed to the trees were significantly more likely to help pick up the pens than those who had looked at the building. The researchers conclude that awe temporarily increases one’s openness to the vast world around them and reduces their own ego, leading to greater altruism. This study finds that the sense of awe we derive from natural settings influences the way we interact with those around us, and suggests that increased awareness of nature can drive behaviors that are good for the environment as well as people. </t>
  </si>
  <si>
    <t>Sustainability in Strategic Management Education: The Quest for New Root Metaphors</t>
  </si>
  <si>
    <t>Auderbrand, L. K.</t>
  </si>
  <si>
    <t>Land use</t>
  </si>
  <si>
    <t>Academy of Management Learning &amp; Education</t>
  </si>
  <si>
    <t>Piff, P. K., Dietze, P., Feinberg, M., Stancato, D. M., &amp; Keltner, D. (2015). Awe, the small self, and prosocial behavior. Journal of Personality and Social Psychology, 108(6), 883-899. doi:10.1037/pspi0000018</t>
  </si>
  <si>
    <t>Achieve LASTING change</t>
  </si>
  <si>
    <t>Reduce hassle factors</t>
  </si>
  <si>
    <t xml:space="preserve">students </t>
  </si>
  <si>
    <t>General Cognitive Biases</t>
  </si>
  <si>
    <t xml:space="preserve">primary source </t>
  </si>
  <si>
    <t>PG, web, training</t>
  </si>
  <si>
    <t xml:space="preserve">Easy </t>
  </si>
  <si>
    <t>Maintenance</t>
  </si>
  <si>
    <t>Easy - Set the stage for easy action</t>
  </si>
  <si>
    <t>Reduce choices</t>
  </si>
  <si>
    <t>The integration of sustainability into strategic management education has recently evolved from a marginal issue into one of greater importance and centrality. Sustainability- related subjects (e.g., reducing energy consumption, conserving water supplies, improving air quality, preserving endangered species and ecosystems) have been added to the curricula of undergraduate and graduate programs and to strategic management textbooks. The current reforms will not, however, create deep or lasting change if the root metaphors underlying strategic management education remain unchanged. Metaphors are integral to the way we act, interact, and think about the world. They are also central to the discussion of sustainability in strategic management, as with any complex and fluid phenomenon. While various metaphors have waxed and waned in popularity over the years, the war metaphor still guides strategic management theory, research, and education. In light of the challenges of sustainability, a reappraisal of the war metaphor is overdue. We need to consider its role and impact in our approach to sustainable strategic management education. My purpose in this exercise is twofold: (1) to arrive at an enriched understanding and deeper appreciation of the war metaphor in strategic management education, and (2) to provide some insights into how new metaphors can be created, assessed, and promoted to establish sustainability as a framework for strategic management education.</t>
  </si>
  <si>
    <t>Identifiable Victim Effect</t>
  </si>
  <si>
    <t>Simply providing people with the basic resources necessary to carry out environmental behaviors can result in an easy boost in action. A study conducted on three floors of a residential dorm building at Southern Illinois University in Carbondale sought to determine the best method to improve student recycling. To test the impact of learning and convenience on recycling, researchers offered students on the 8th floor individual dorm room recycling bins and students on the 9th floor the same bins, in addition to educational materials on recycling. Students on the 7th floor were offered no bins or educational materials. Students on the bin only floor increased their recycling by 19% relative to the control floor, but those on the bin and education floor increased recycling by 26% relative to the bin only floor, suggesting that educational campaigns are made more effective alongside modifications in settings. Overall, researchers found a near 50% increase in individual recycling between the two floors.  This points to the important role of proper infrastructure as a prerequisite to successful behavioral change campaigns.</t>
  </si>
  <si>
    <t>Natural disasters</t>
  </si>
  <si>
    <t>Lopeman, B. A. (2014). Campus recycling - Influrnces and decisions (Doctoral dissertation, Southern Illinois University Carbondale).</t>
  </si>
  <si>
    <t>Design information to be easy to understand and execute</t>
  </si>
  <si>
    <t xml:space="preserve">Illusion of Causality </t>
  </si>
  <si>
    <t>Relatable</t>
  </si>
  <si>
    <t>Non-environmental</t>
  </si>
  <si>
    <t>Relatable - Connect at a local level</t>
  </si>
  <si>
    <t xml:space="preserve">Use choice architecture </t>
  </si>
  <si>
    <t>Loss Aversion</t>
  </si>
  <si>
    <t>Oceans</t>
  </si>
  <si>
    <t>Make it the default setting</t>
  </si>
  <si>
    <t>Moral Licensing</t>
  </si>
  <si>
    <t>Pollution</t>
  </si>
  <si>
    <t>Erect barriers to undesirable actions</t>
  </si>
  <si>
    <t>Motivated Reasoning</t>
  </si>
  <si>
    <t>Population</t>
  </si>
  <si>
    <t>Highlight successes</t>
  </si>
  <si>
    <t>Optimism Bias</t>
  </si>
  <si>
    <t xml:space="preserve">source: doctoral thesis -- not cited by any other author -- not sure if the source is credible </t>
  </si>
  <si>
    <t>Private Sector</t>
  </si>
  <si>
    <t>Use doomsday language sparingly</t>
  </si>
  <si>
    <t>Present Focus Bias</t>
  </si>
  <si>
    <t>Technology</t>
  </si>
  <si>
    <t>Offer appropriately scaled solutions</t>
  </si>
  <si>
    <t>Projection Bias</t>
  </si>
  <si>
    <t>Transportation</t>
  </si>
  <si>
    <t>Underscore collective engagement</t>
  </si>
  <si>
    <t>Scope Insensitivity</t>
  </si>
  <si>
    <t>Waste management</t>
  </si>
  <si>
    <t>Provide feedback</t>
  </si>
  <si>
    <t>Status Quo Bias</t>
  </si>
  <si>
    <t>Whole system</t>
  </si>
  <si>
    <t>Empower the audience</t>
  </si>
  <si>
    <t>Why distance matters: effects on cooperation, persuasion and deception</t>
  </si>
  <si>
    <t>Bradner, E., &amp; Mark, G.</t>
  </si>
  <si>
    <t>ACM</t>
  </si>
  <si>
    <t>Wildlife</t>
  </si>
  <si>
    <t>Focus on the positive</t>
  </si>
  <si>
    <t xml:space="preserve">General </t>
  </si>
  <si>
    <t xml:space="preserve">Meet people where they are </t>
  </si>
  <si>
    <t>In this study, we examine how geographic distance affects collaboration using computer-mediated communication technology. We investigated experimentally the effects of cooperating partners being in the same or distant city on three behaviors: cooperation, persuasion, and deception using video conferencing and instant messaging (IM). Our results indicate that subjects are more likely to deceive, be less persuaded by, and initially cooperate less, with someone they believe is in a distant city, as opposed to in the same city as them. Although people initially cooperate less with someone they believe is far away, their willingness to cooperate increases quickly with interaction. Since the same media were used in both the far and near city conditions, these effects cannot be attributed to the media, but rather to social differences. This study confirms how CSCW needs to be concerned with developing technologies for bridging social distance, as well as geographic distance.</t>
  </si>
  <si>
    <t>Highlight the right identity</t>
  </si>
  <si>
    <t xml:space="preserve">Use engaging metaphors </t>
  </si>
  <si>
    <t xml:space="preserve">web, training   </t>
  </si>
  <si>
    <t xml:space="preserve">Emphasize potential loss over potential gain </t>
  </si>
  <si>
    <t>Yes</t>
  </si>
  <si>
    <t>Easy</t>
  </si>
  <si>
    <t>Easy - Make the call to action easy to understand and execute</t>
  </si>
  <si>
    <t>Canada and US</t>
  </si>
  <si>
    <t>Minimize uncertainty</t>
  </si>
  <si>
    <t>Make the target behavior obvious</t>
  </si>
  <si>
    <t xml:space="preserve">Simple design modifications can go a long way in making recycling more intuitive and cognitively easy. Similar features shared among recycling bins and trash cans might make it tricky to differentiate between both types of disposal containers. Bins with specialized lids, on the other hand, are easily distinguishable. In a study testing the efficacy of these lids, researchers measured the effect of tailored lids on recycling and waste behavior by comparing them to normal, open lid containers. Different experimental lids were designed to clearly indicate waste type: flap lids for trash cans, lids containing a 6-inch circular hole for collecting glass, aluminum and plastic cans, and lids with a 2-inch wide slit for paper waste. Researchers found that specialized lids resulted in a 34% increase in recycling rates and reduced the amount of contaminants entering recycling bins by 95%. These findings suggest that simplifying the pathway to action, through designs like specialized lids, is an easy method to enhance environmental compliance. </t>
  </si>
  <si>
    <t>Use everyday analogies</t>
  </si>
  <si>
    <t>Duffy, S., &amp; Verges, M. (2009). It Matters a Hole Lot Perceptual Affordances of Waste Containers Influence Recycling Compliance. Environment and Behavior, 41(5), 741-749.</t>
  </si>
  <si>
    <t xml:space="preserve"> Recycling Bins 34% More Effective When They Have...Holes!</t>
  </si>
  <si>
    <t>Jaymi Heimbuch</t>
  </si>
  <si>
    <t>Tree Hugger</t>
  </si>
  <si>
    <t>Link the action to its impact</t>
  </si>
  <si>
    <t>http://www.treehugger.com/clean-technology/recycling-bins-34-more-effective-when-they-haveholes.html</t>
  </si>
  <si>
    <t>Academic article; pop article supporting</t>
  </si>
  <si>
    <t>Focus on immediate impacts</t>
  </si>
  <si>
    <t>Easy - make the call to action easy to understand and execute</t>
  </si>
  <si>
    <t>Food - Waste</t>
  </si>
  <si>
    <t xml:space="preserve">Elevate the desirable choice </t>
  </si>
  <si>
    <t>Make the message memorable</t>
  </si>
  <si>
    <t xml:space="preserve">Small changes in the characteristics of everyday items can have major impacts on behavior. In a research study exploring the efficacy of waste reduction strategies, researchers measured the behavior of guests in 7 European restaurants part of a large hotel chain. Participating hotels offered some buffet visitors a smaller plate while others encountered a sign emphasizing that guests could help themselves more than once at the entrance of the buffet.  Hotels that introduced smaller default plates in their buffet lines were able to reduce the amount of food thrown away by about 19.5 % percent, and hotels that implemented the signs reduced food waste by 20.5%. The study suggests that while defaults work to thoughtlessly reorient behavior, providing restaurant goers with simple information to help offer them an alternative to acting wastefully can be just as effective! </t>
  </si>
  <si>
    <t xml:space="preserve">Kallbekken, S., &amp; Sælen, H. (2013). Nudging’ hotel guests to reduce food waste as a win-win environmental measure. Economic Letters, 119 (3), 325-327. </t>
  </si>
  <si>
    <t>Callout: Timing matters</t>
  </si>
  <si>
    <t xml:space="preserve">restaurant guests </t>
  </si>
  <si>
    <t>Tap into the audience’s ideal self</t>
  </si>
  <si>
    <t>Affirm and validate</t>
  </si>
  <si>
    <t>Ask for a commitment</t>
  </si>
  <si>
    <t xml:space="preserve">Effectively designed instructions can help increase recycling. In two departments at Florida State University, researches placed instructive cues above both recycling bins and trash receptacles. Green signs placed above the recycling bins were titled “RECYCLABLE MATERIALS” and displayed sample images of paper products that could be recycled. Red signs placed above the trash cans read, “TRASH” and provided examples of non-recyclable items. When the trash and recycling bins, with their respective signs, were placed next to one another, recycling increased from 51% during the baseline to 84% with the introduction of signs in department A, and from 51% to 66% under the same conditions in department B. In this study, specific examples of recyclable and non-recyclable products helped to produce more effective cues. The study suggests that by providing audiences with clear and easy to understand information about how to take the right environmental action, we can increase participation in our efforts. </t>
  </si>
  <si>
    <t>Use “implementation Intentions”</t>
  </si>
  <si>
    <t>Austin, J., Hatfield, D. B., Grindle, A. C., &amp; Bailey, J. S. (1993). Increasing recycling in office environments: The effects of specific, informative cues.Journal of Applied Behavior Analysis, 26(2), 247-253.</t>
  </si>
  <si>
    <t xml:space="preserve">sample group: staff and students in two academic departments </t>
  </si>
  <si>
    <t>Ask the audience to make a time investment</t>
  </si>
  <si>
    <t>Pg, web, training</t>
  </si>
  <si>
    <t>Effective communication of risks</t>
  </si>
  <si>
    <t>No</t>
  </si>
  <si>
    <t>Elicit cognitive dissonance</t>
  </si>
  <si>
    <t>Easy - Consider choice architecture</t>
  </si>
  <si>
    <t>Provide positive social proof</t>
  </si>
  <si>
    <t xml:space="preserve">Easy, Lasting </t>
  </si>
  <si>
    <t>2, 10</t>
  </si>
  <si>
    <t xml:space="preserve">Call attention to society’s expectations </t>
  </si>
  <si>
    <t xml:space="preserve">The relative size of waste containers is a form of choice architecture that can signal the appropriate environmental behavior to users. In a study performed on 34 offices throughout the US, researchers randomly assigned four separate recycling conditions, all of which included the distribution of an informational flier on recycling. In the first condition, two bins of equal size—one for trash and one for recycling— were placed side by side at each desk.  In the second condition, participants were offered a desk recycling bin without a trash bin, and in the third condition, participants found a small trash bin that hung off the side of a larger recycling bin in their workspaces.  In the fourth condition, or control, participants received the informational flier alone, while the existing bins were left untouched. While all three bin conditions spurred increased recycling behavior, researchers found that large recycling bins paired with a small trash bin worked most successfully. This condition nudged users to not only increase recycling, but also properly sort trash and recycling waste. By providing more room to recycle and less room to improperly dispose of trash, this design effectively curbs unsustainable waste behavior—making the sustainable much easier. </t>
  </si>
  <si>
    <t>Consumption - Energy</t>
  </si>
  <si>
    <t>Socially model the desired behavior</t>
  </si>
  <si>
    <t>Keep America Beautiful. (2015). Workplace Recycling New Research: Bin Set-Up Can Boost Recycling. Retrieved from https://www.kab.org/sites/default/files/ImproveRecycling_ForAffiliates-Businesses-Teachers_RecyclingatWork_WorkplaceRecyclingFactSheet_April2015.pdf</t>
  </si>
  <si>
    <t>Home, Habits, and Energy: Examining Domestic Interactions and Energy Consumption</t>
  </si>
  <si>
    <t>Pierce, J., Schiano, D. J., &amp; Paulos, E.</t>
  </si>
  <si>
    <t xml:space="preserve">office workers </t>
  </si>
  <si>
    <t xml:space="preserve">souce: overview of a research study conducted by Action research -- can't find primary research article </t>
  </si>
  <si>
    <t>Strengthen the norm through social networks</t>
  </si>
  <si>
    <t>Easy - Reduce hassle factors</t>
  </si>
  <si>
    <t xml:space="preserve">This paper presents findings from a qualitative study of people’s everyday interactions with energy-consuming products and systems in the home. Initial results from a large online survey are also considered. This research focuses not only on “conservation behavior” but importantly investigates interactions with technology that may be characterized as “normal consumption” or “over- consumption.” A novel vocabulary for analyzing and designing energy-conserving interactions is proposed based on our findings, including: cutting, trimming, switching, upgrading, and shifting. Using the proposed vocabulary, and informed by theoretical developments from various literatures, this paper demonstrates ways in which everyday interactions with technology in the home are performed without conscious consideration of energy consumption but rather are unconscious, habitual, and irrational. Implications for the design of energy-conserving interactions with technology and broader challenges for HCI research are proposed. </t>
  </si>
  <si>
    <t>Callout: timing matters</t>
  </si>
  <si>
    <t>http://www.paulos.net/papers/2010/HomeHabitsEnergy_CHI2010.pdf</t>
  </si>
  <si>
    <t>Relate it to what the audience already cares about</t>
  </si>
  <si>
    <t>Research suggests that reducing hassle factors can enable people to act in a certain manner. This is exemplified by research on recycling behavior. In a study designed to test the effects of container proximity on recycling, researchers examined the behavior of a group of office employees in two conditions. One group received a memo detailing the introduction of a central recycling container along with an informational definition of recyclable paper. The other group received a memo detailing the introduction of local, desktop recycling bins alongside the same information on appropriate paper recyclables.  Researchers found that recycling rates for those who received desktop containers roughly tripled that of those with central bins. This study suggests that by removing the physical hassle of distance, recycling is made easier.</t>
  </si>
  <si>
    <t>This paper presents findings from a qualitative study of people’s everyday interactions with energy-consuming products and systems in the home.  Initial results from a large online survey are also considered.  This research focuses not only on “conservation behavior” but importantly investigates interactions with technology that may be characterized as “normal consumption” or “over-consumption.”  A novel vocabulary for analyzing and designing energy-conserving interactions is proposed based on our findings, including: cutting, trimming, switching, upgrading, and shifting.  Using the proposed vocabulary, and informed by theoretical developments from various literatures, this paper demonstrates ways in which everyday interactions with technology in the home are performed without conscious consideration of energy consumption but rather are unconscious, habitual, and irrational. Implications for the design of energy-conserving interactions with technology and broader challenges for HCI research are proposed. </t>
  </si>
  <si>
    <t>Link it to personal experience</t>
  </si>
  <si>
    <t xml:space="preserve">Brothers, K. J., Krantz, P., &amp; McClannahan, L. E. (1994). Office paper recycling: a function of container proximity. Journal of Applied Behavior Analysis, 27(1), 153-160. </t>
  </si>
  <si>
    <t xml:space="preserve">employees of the Princeton child developlemt institute </t>
  </si>
  <si>
    <t>Connect at a local level</t>
  </si>
  <si>
    <t xml:space="preserve">Single out audience members </t>
  </si>
  <si>
    <t>Identity</t>
  </si>
  <si>
    <t>Identity - Elicit cognitive dissonance</t>
  </si>
  <si>
    <t>The messenger matters</t>
  </si>
  <si>
    <t>Human health - Tobacco use</t>
  </si>
  <si>
    <t>Cognitive dissonance in tobacco smokers</t>
  </si>
  <si>
    <t>Foster empathy</t>
  </si>
  <si>
    <t>McMaster, C., &amp; Lee, C.</t>
  </si>
  <si>
    <t xml:space="preserve">Addictive Behaviors </t>
  </si>
  <si>
    <t xml:space="preserve">Reducing hassle factors is an important mechanism to encourage people to act more environmentally friendly. In an effort to overcome barriers related to recycling, the City of Edinburgh  provided 140,000 households with a small, 140-litre landfill waste bin and asked them to use their larger 240-litre bin for all recyclable materials. The introduction of this large mixed recycling bin allowed homeowners to consolidate their recyclables and reduce the number of bins they used, as well as made the recycling process cognitively easier. The collection system was simplified by scheduling pick up for both recycling and landfill waste on the same day. The combination of mixed recycling, a smaller landfill waste bin, and a less-frequent pick up schedule made recycling much more desirable than what it was before, resulting in a 85% increase in rates of recycling. </t>
  </si>
  <si>
    <t xml:space="preserve">Entertain the audience </t>
  </si>
  <si>
    <t>Edinburgh ‘nudging’ success in recycling</t>
  </si>
  <si>
    <t>Iain Gulland</t>
  </si>
  <si>
    <t>Zero Waste Scotland</t>
  </si>
  <si>
    <t xml:space="preserve">Learn to practice mindfulness yourself </t>
  </si>
  <si>
    <t>The knowledge and beliefs about smoking of smokers, non-smokers, and ex-smokers were examined within a cognitive dissonance framework. The 186 respondents completed a questionnaire concerned with smoking habits, knowledge of the effects of smoking, beliefs about smoking, and estimates of risk of lung cancer to themselves and to the average Australian smoker. Smokers estimated their risk of contracting lung cancer as greater than the risk non-smoker or ex-smokers saw for themselves, but less than the risk for the average Australian smoker. No differences were found in the amount of factual knowledge about the effects of smoking. However, smokers endorsed significantly more rationalisations and distortions of logic regarding smoking than did non-smokers or ex-smokers. Smokers may experience cognitive dissonance as a result of using tobacco despite its well-publicised ill-effects, and it may be that interventions targeting rationalisations for smoking will be useful in smoking cessation.</t>
  </si>
  <si>
    <t>http://www.sciencedirect.com/science/article/pii/030646039190028G</t>
  </si>
  <si>
    <t>Very relevant to climate change denial/skepticism</t>
  </si>
  <si>
    <t>Notice cognitive biases and practice thinking flexibly</t>
  </si>
  <si>
    <t xml:space="preserve">Use values to guide awareness </t>
  </si>
  <si>
    <t>Elicit awareness at the moment of choice</t>
  </si>
  <si>
    <t>Hopeful, Identity</t>
  </si>
  <si>
    <t>3, 6</t>
  </si>
  <si>
    <t>Use mindfulness to connect compassionately with an "other”</t>
  </si>
  <si>
    <t>Hopeful- Offer appropriately scaled solutions, Identity - Use "implementation intentions"</t>
  </si>
  <si>
    <t>302, 603</t>
  </si>
  <si>
    <t>Implementation Intentions and Goal Achievement: A Meta-analysis of Effects and Processes</t>
  </si>
  <si>
    <t>Create opportunities for the audience to connect with nature</t>
  </si>
  <si>
    <t>Gollwitzer, P. M., &amp; Sheeran, P.</t>
  </si>
  <si>
    <t>Advances in Experimental Social Psychology</t>
  </si>
  <si>
    <t>Start with a tiny behavior</t>
  </si>
  <si>
    <t>No primary source</t>
  </si>
  <si>
    <t xml:space="preserve">Cannot locate primary source for PG; not sure reported correctly in vignette -- correctly reporting blog post put out by Zero Waste Scotland </t>
  </si>
  <si>
    <t xml:space="preserve">Web, training   </t>
  </si>
  <si>
    <t>Capitalize on moments of change</t>
  </si>
  <si>
    <t>Easy - Make it the default setting</t>
  </si>
  <si>
    <t>Holding a strong goal intention (“I intend to reach Z!”) does not guarantee goal achievement, because people may fail to deal effectively with self‐regulatory problems during goal striving. This review analyzes whether realization of goal intentions is facilitated by forming an implementation intention that spells out the when, where, and how of goal striving in advance (“If situation Y is encountered, then I will initiate goal‐directed behavior X!”). Findings from 94 independent tests showed that implementation intentions had a positive effect of medium‐to‐large magnitude (d = .65) on goal attainment. Implementation intentions were effective in promoting the initiation of goal striving, the shielding of ongoing goal pursuit from unwanted influences, disengagement from failing courses of action, and conservation of capability for future goal striving. There was also strong support for postulated component processes: Implementation intention formation both enhanced the accessibility of specified opportunities and automated respective goal‐directed responses. Several directions for future research are outlined.</t>
  </si>
  <si>
    <t>Transportation - General</t>
  </si>
  <si>
    <t>http://www.sciencedirect.com/science/article/pii/S0065260106380021</t>
  </si>
  <si>
    <t xml:space="preserve">Bundle actions with cues and temptations </t>
  </si>
  <si>
    <t xml:space="preserve">Good overview of implementation intentions from Gollwitzer -- use this for recommendation content </t>
  </si>
  <si>
    <t>no</t>
  </si>
  <si>
    <t>Temporarily reward habit forming behaviors</t>
  </si>
  <si>
    <t xml:space="preserve">Research confirms that default settings encourage people to choose the most environmentally friendly path. As part of their payment process, travelers attending conferences in the Canary Islands were presented with information on how travel impacts the environment alongside a notification that as part of the Conference Bureau’s commitment to sustainability, travelers would be offered the opportunity to offset their carbon impact. When travelers in the “opt in” condition were asked to click a box to pay a carbon impact fee, they were much less willing to contribute compared to travelers in the “opt out” condition who were told their conference fee included their carbon offset, and were then asked to click a box if they wanted to undo their contribution. Importantly, this effect was most significant for small donations and diminished as the price increased – while contributions of 10 euros were strengthened through the opt-out frame, contributions over 60 euros prompted little difference between travelers across the two conditions. This example of carbon offsetting schemes demonstrates the benefits of setting defaults in favor of environmentally friendly behavior. </t>
  </si>
  <si>
    <t>Araña, J. E. &amp; León, C. (2012). Can Defaults Save the Climate? Evidence from aField Experiment on Carbon Offsetting Programs. Environmental and Resource Economics, 54(4), 613-626.</t>
  </si>
  <si>
    <t>Repeat interventions until habits are formed</t>
  </si>
  <si>
    <t xml:space="preserve">business travelers to Canary Islands </t>
  </si>
  <si>
    <t>Hopeful</t>
  </si>
  <si>
    <t>Consumption - Buying (lighting</t>
  </si>
  <si>
    <t>Land use - Agriculture</t>
  </si>
  <si>
    <t>The FARMSCAPE approach to decision support: farmers’, advisers’, researchers’ monitoring, simulation, communication and performance evaluation</t>
  </si>
  <si>
    <t xml:space="preserve">Defaults are particularly helpful in swaying behavior that might be difficult to encourage otherwise. We know that switching light bulbs from traditional incandescent to energy-efficient compact fluorescents can have significant impacts on energy use in a home or office. However, the high price of compact fluorescents may turn away many potential customers. In a study on defaults and energy consumption, researchers asked participants to imagine they were remodeling their homes and checking in with their contractors, who had just installed light fixtures. When participants were offered compact fluorescent bulbs by their contractors with the option to switch to incandescent bulbs, the environmentally friendly CFL bulbs were chosen almost twice as often as when traditional, cheaper incandescent bulbs were offered as the default—despite the price difference. This study suggests that willingness to stick with the default can have a major impact on conservation behavior. </t>
  </si>
  <si>
    <t>Carberrya,P. S., Hochmana, Z.,McCown, R. L., Dalgliesha, N. P., Foale, M. A., Poulton, P. L., …, &amp; Robertson, M. J.
Poultona,J.N.G. Hargreavesa, D.M.G. Hargreavesa, S. Cawthraya, N. Hillcoatb, M.J.
Robertsonb</t>
  </si>
  <si>
    <t xml:space="preserve">Agricultural Systems </t>
  </si>
  <si>
    <t xml:space="preserve">Dinner, I., Johnson, E. J., Goldstein, D. G. &amp; Liu, K. (2011). Partitioning Default Effects: Why People Choose Not to Choose. Journal of Experimental Psychology: Applied, 17(4), 332-341. </t>
  </si>
  <si>
    <t>Energy - Renewables; Consumption - Energy</t>
  </si>
  <si>
    <t xml:space="preserve">“Opt-out” defaults can dramatically influence environmental behaviors. In a study conducted by students at a German University in cooperation with an electric provider, researchers offered two groups of consumers visiting the provider’s website two different electricity contracts. The “opt-in”, or control group, was offered the opportunity to enroll in a green energy contract by checking a blank box next to “100% green energy.” The “opt-out”, or green treatment group, encountered the same green energy box already checked, with the opportunity to reject the green energy option. The “100% green energy” option displayed an annual fee on average 9€ more expensive than the normal contract. After 4 weeks, 4720 customers signed up for a contract. Amazingly, 7.2% of those asked to “opt-in” to a green energy program chose the green option, while 69.1% in the “opt-out” treatment purchased green contracts. Simply suggesting the default was enough to deter consumers from the action of opting out. </t>
  </si>
  <si>
    <t>FARMSCAPE (Farmers', Advisers', Researchers', Monitoring, Simulation, Communication And Performance Evaluation) is a program of participatory research with the farming community of northeast Australia. It initially involved research to explore whether farmers and their advisers could gain benefit from tools such as soil characterisation and sampling, climate forecasts and, in particular, simulation modelling. Its current focus is facilitating the implementation of commercial delivery systems for these same tools in order to meet industry demand for their access. This paper presents the story of what was done over the past decade, it provides performance indicators of impact, it reflects on what was learnt over this period and it outlines where this research is likely to head in the future. Over the past 10 years, the FARMSCAPE team employed a Participatory Action Research approach to explore whether farmers could value simulation as a decision support tool for managing their farming system and if so, could it be delivered cost-effectively. Through farmer group engagement, on-farm trials, soil characterisation, monitoring of crops, soils and climate, and sessions to apply the APSIM systems simulator, FARMSCAPE represented a research program on decision support intervention. Initial scepticism by farmers and commercial consultants about the value of APSIM was addressed by testing its performance both against measured data from on-farm trials and against farmers' experiences with past commercial crops. Once this credibility check was passed, simulation sessions usually evolved into participants interactively inquiring of the model the consequence of alternative management options. These ‘What if’ questions using APSIM were contextualised using local climate and soil data and the farmer's actual or proposed management rules. The active participation of farmers and their advisers, and working in the context of their own farming operations, were the key ingredients in the design, implementation and interpretation of the FARMSCAPE approach to decision support. The attraction of the APSIM systems simulator to farmers contemplating change was that it allowed them to explore their own system in a manner equivalent to learning from experience. To achieve this, APSIM had to be credible and flexible. While direct engagement of farmers initially enabled only a limited number of beneficiaries, this approach generated a commercial market for timely and high quality interactions based on soil monitoring and simulation amongst a significant sector of the farming community. Current efforts are therefore focused on the training, support and accreditation of commercial agronomists in the application of the FARMSCAPE approach and tools. The FARMSCAPE approach to decision support has come to represent an approach to guiding science-based engagement with farm decision making which is being tested nationally and internationally.</t>
  </si>
  <si>
    <t xml:space="preserve">Ebeling, F. (2012). Why Do Defaults Work? Evidence from a Field Experiment. University of Cologne Department of Economics. </t>
  </si>
  <si>
    <t>Primary source is not published but seems valid</t>
  </si>
  <si>
    <t>Environmental</t>
  </si>
  <si>
    <t>Easy - Make if the default setting</t>
  </si>
  <si>
    <t>Consumption - Paper use, printing</t>
  </si>
  <si>
    <t>Environmental policy</t>
  </si>
  <si>
    <t>Environmental problems and human behavior</t>
  </si>
  <si>
    <t xml:space="preserve">Gardner, G. T., &amp; Stern, P. C. </t>
  </si>
  <si>
    <t>Allyn &amp; Bacon</t>
  </si>
  <si>
    <t xml:space="preserve">Playing on people’s tendency to accept defaults can be a simple method for increasing environmental action. In a study aimed to determine whether default settings are effective in conserving resources, researchers switched the printer default from single to double sided at a large Swedish University. As a result, daily paper consumption dropped by 15 percent! In fact, researchers found that default alternatives are responsible for one third of all printing. This example demonstrates how default switches can spur an immediate and lasting reduction in unsustainable behavior. </t>
  </si>
  <si>
    <t xml:space="preserve">Egebark, J., &amp; Ekström, M. (2013). Can Indifference Make the World Greener? Research Institute of Industrial Economics, 76, 1-13. </t>
  </si>
  <si>
    <t>Primary source valid</t>
  </si>
  <si>
    <t xml:space="preserve">This textbook helps establish important new links between environmental science and behavioral science. It develops a framework for addressing key questions about human behaviors that harm the environment, summarizes knowledge from psychology and related fields about these behaviors, and uses that knowledge to point the way to realistic solutions. This book develops a framework for addressing these questions, drawing on behavioral theory, real world case studies, field experiments, and other evidence. Because its central focus is individual behavior, it draws most heavily on concepts from social, cognitive, and behavioral psychology. However, it puts behavior in the context of the economic, institutional, and policy forces that shape it and emphasizes arenas where individual action makes a real difference to the natural environment. The result is an interdisciplinary treatment, rooted in behavioral science but addressing practical issues of environmental policy. </t>
  </si>
  <si>
    <t>Easy - Erect barrier to undersirable behaviors</t>
  </si>
  <si>
    <t>x</t>
  </si>
  <si>
    <t xml:space="preserve">This [textbook] helps establish important new links between #environmental #science and #behavioral science. http://ow.ly/X5wYB </t>
  </si>
  <si>
    <t xml:space="preserve">The implementation of subtle barriers to influence behavioral choice can lead people to make more environmentally friendly decisions. Health care company Novo Nordisk has constructed simple yet effective choice architecture to cut down on its GHG emissions and maximize its fleet fuel efficiency. In a notable example, the company made small changes to impact how their employees could obtain company cars. Requests made by drivers seeking to borrow a minivan or SUV had to be approved by a supervisor. By making it slightly less convenient to choose the less environmentally friendly option, the number of larger vehicles ordered was brought down significantly. </t>
  </si>
  <si>
    <t>Thaler, H. R., &amp; Sunstein, C. R. (2009). Nudge: Improving Decisions About Health, Wealth, and Happiness. New York City, NY: Penguin Group</t>
  </si>
  <si>
    <t>Secondary sources- no access to primary; no measurable impact aside from reporting on Nudge blog</t>
  </si>
  <si>
    <t>Food - Waste; Consumption - Overconsumption</t>
  </si>
  <si>
    <t>By making it inconvenient to overconsume, practitioners can curb the drive to pile more than we need onto our plates at mealtime. A study conducted by a foodservice company observed the impact of carrying trays on waste production in 25 all-you-can-eat college and university cafeterias. On days when researchers removed trays from the cafeterias, 11,505 pounds less waste was produced than on days when trays were kept, marking a 25-30% reduction in waste per student. Eliminating trays not only reduced food waste but also conserved water, detergent, and energy. The University of Maine saved 288,288 gallons of water that would have otherwise been used to wash these trays. This experiment proved extraordinarily successful because it made environmental action effortless. By removing trays, students had no choice but to take only the food they could carry with their hands, effectively reducing excess food consumption by increasing the effort required to over-consume.</t>
  </si>
  <si>
    <t>Aramark. (2008). The Business and Cultural Acceptance Case for Trayless Dining. Retrieved from: http://www.elon.edu/docs/e-web/bft/sustainability/ARAMARK%20Trayless%20Dining%20July%202008%20FINAL.pdf</t>
  </si>
  <si>
    <t xml:space="preserve">college sample </t>
  </si>
  <si>
    <t>Primary source is corporate research summary</t>
  </si>
  <si>
    <t>Relatable - Match the message to what your audience already cares about</t>
  </si>
  <si>
    <t>In an effort to match conservation efforts to the values and top concerns of citizens, New Zealand’s government expanded its previous home energy efficiency program to emphasize public health benefits. The new and improved messaging of the “Warm Up New Zealand: Heat Smart” program focuses on how well-insulated homes promote better health, citing studies proving that inhabitants of warmer and drier homes get sick less often and have fewer respiratory issues and medical costs. From its inception in 2009 to its expected conclusion in 2016, the program has been widely well received and is estimated to insulate over 275,000 homes. Together the health and energy cost savings from the program have been valued at $951 million dollars, making it a resounding success.</t>
  </si>
  <si>
    <t>Xili, L., Noh, J., Oldham, F., &amp; Vilarreal, C. (2014). Changing behavior for a better environment. Sonoma County Water Agency.</t>
  </si>
  <si>
    <t>Associations</t>
  </si>
  <si>
    <t>Evaluation of Warm Up New Zealand: Heat Smart</t>
  </si>
  <si>
    <t xml:space="preserve">Healthy Housing: He Kainga Oranga </t>
  </si>
  <si>
    <t xml:space="preserve">None Listed </t>
  </si>
  <si>
    <t>Climate - General</t>
  </si>
  <si>
    <t>http://www.healthyhousing.org.nz/research/current-research/evaluation-of-warm-up-new-zealand-heat-smart/</t>
  </si>
  <si>
    <t xml:space="preserve">Why Insulate? </t>
  </si>
  <si>
    <t>Warm up NZ</t>
  </si>
  <si>
    <t>http://www.warmupnz.co.nz/why-insulate/</t>
  </si>
  <si>
    <t xml:space="preserve">Secondary sources only; example found in consulting report -- no original study linked </t>
  </si>
  <si>
    <t>Study Suggests ‘Moral Purity’ May Overcome Right-Wing Resistance to Environmental Science</t>
  </si>
  <si>
    <t>Paul Rosenberg</t>
  </si>
  <si>
    <t>Alternet</t>
  </si>
  <si>
    <t>Climate - Science acceptance</t>
  </si>
  <si>
    <t>Using terminology that is relatable to the target audience is crucial in relaying climate responses. A survey of farmers in Iowa found that talking about changing weather patterns, rather than about “climate change”, was more effective at getting farmers to use adaptation strategies. Researchers found that farmers believed phrases like “climate change" echoed mitigation policies enacted by detached government and environmental groups with no regard for the economic hardships they cause. Their survey found that farmers were keenly aware of, and interested in, adapting to increasingly unusual weather, which most had experienced firsthand. But farmers were more receptive to adaptation strategies aimed to combat irregular weather, despite the fact that weather stems from the same overarching environmental issue of climate change.</t>
  </si>
  <si>
    <t>Arbuckle, J. G., Morton, L. W., &amp; Hobbs, J. (2013). Understanding Farmer Perspectives on Climate Change Adaptation and Mitigation: The Roles of Trust in Sources of Climate Information, Climate Change Beliefs, and Perceived Risk. Environment and Behavior, 47(2), 205-234.</t>
  </si>
  <si>
    <t>What Do Farmers Think about Climate Change?</t>
  </si>
  <si>
    <t>Niina Heikkinen</t>
  </si>
  <si>
    <t>Scientific American</t>
  </si>
  <si>
    <t>Material taken from pop article which is interview with academic article's author - not actual findings of academic article.</t>
  </si>
  <si>
    <t>Relatable - Relate to personal experience</t>
  </si>
  <si>
    <t>Climate - Science acceptance; Land Use - Agriculture</t>
  </si>
  <si>
    <t xml:space="preserve">Personal experiences can connect a wide variety of people to climate change impacts and motivate us to action. The agricultural sector is as much a victim as a vector of climate change. As such, farmers have recently become a primary target for behavioral research surrounding support for climate change mitigation. A study conducted among farmers from California’s Central Valley found that farmers who admitted direct previous experience with unusual climate occurrences, in particular significant changes in water availability over time, were more willing to adopt climate change mitigating practices. Researchers found that other climate impacts, like irregular temperature changes, were less likely to produce support for mitigation, because these effects were not personally perceived by farmers. </t>
  </si>
  <si>
    <t>Haden, V.R., Niles, M.T., Lubell, M., Perlman, J., &amp; Jackson, L.E. (2012). Global and Local Concerns: What Attitude and Beliefs Motivate Farmers to Mitigate and Adapt to Climate Change?  PLOS ONE , 7(12), e52882.</t>
  </si>
  <si>
    <t>Reference not great</t>
  </si>
  <si>
    <t>Primary article is not very solid/ does not have sounds findings.</t>
  </si>
  <si>
    <t>Needs Post</t>
  </si>
  <si>
    <t>Pollution - Air, Climate - Science acceptance</t>
  </si>
  <si>
    <t xml:space="preserve">Direct experience with air pollution can have a strong effect on attitudes toward climate change mitigation. Researchers have found that individuals who have experienced health consequences related to air pollution are more likely to recognize anthropogenic causes to global warming.  This group of people is also more likely to believe that they can affect change on an individual or societal level. They are more likely to engage in pro-environmental behaviors such as using public transport, participating in environmental campaigns and using energy-efficient light bulbs out of personal concern for climate change. </t>
  </si>
  <si>
    <t>Hopeful - Provide feedback</t>
  </si>
  <si>
    <t>Whitmarsh, L. (2008). Are Flood Victims More Concerned about Climate Change than Other People? The Role of Direct Experience in Risk Perception and Behavioral Response. Journal of Risk Research, 11(3), 351–374.</t>
  </si>
  <si>
    <t>Energy - Electricity</t>
  </si>
  <si>
    <t xml:space="preserve">People-centered initiatives for increasing energy savings. </t>
  </si>
  <si>
    <t>Primary academic article is good.</t>
  </si>
  <si>
    <t>Shultz, P. W.</t>
  </si>
  <si>
    <t>American Council for an Energy Efficient Economy (ACEEE)</t>
  </si>
  <si>
    <t>none</t>
  </si>
  <si>
    <t>http://aceee.org/sites/default/files/publications/ebook/eb01.pdf</t>
  </si>
  <si>
    <t>Climate - Science acceptance; Pollution - Air and water; Human health - Waste management</t>
  </si>
  <si>
    <t>Feedback = No; Salient = No</t>
  </si>
  <si>
    <t>When we are able to clearly see how environmental issues impact our lives, we are more likely to behave sustainably. In fact, our sense of impact may be a larger predictor of pro-environmental behaviors than any demographic factor. An Orange County survey found that people who view environmental issues, such as air and water pollution, as personal threats to their health and well-being were more likely to recycle, cut back on driving, purchase environmentally safe products, and reduce water use at home.</t>
  </si>
  <si>
    <t>Homes</t>
  </si>
  <si>
    <t>Baldassare, M., &amp; Katz, C. (1992). The Personal Threat of Environmental Problems as Predictor of Environmental Practices. Environment and Behavior, 24(5), 602–616.</t>
  </si>
  <si>
    <t>Source seems ok but vignette written from abstract; unable to verify as no access to full article.</t>
  </si>
  <si>
    <t xml:space="preserve">web, training (PG if the source can be verified) </t>
  </si>
  <si>
    <t>Associations, Benefits, Easy, Relatable</t>
  </si>
  <si>
    <t>4, 1, 2, 8</t>
  </si>
  <si>
    <t>Associations - Emphasize potential loss over potential gain, Benefits - Reward specific behaviors, Easy - Make it the default setting, Easy - Reduce choices, Relatable - The messenger matters</t>
  </si>
  <si>
    <t>403, 103, 205, 202, 804</t>
  </si>
  <si>
    <t>Energy - General</t>
  </si>
  <si>
    <t>When "Not Losing" is Better Than "Winning:" Using Behavioral Science to Drive Customer Investment in Energy Efficiency</t>
  </si>
  <si>
    <t>Sullivan, D., Armel, C., &amp; Todd, A.</t>
  </si>
  <si>
    <t>To comply with legal mandates and least-cost service obligations, electric and natural gas utilities in the United States increasingly must help their customers save energy. However, motivating customers to make large investments in energy efficiency has been challenging. Existing approaches (incentives, traditional marketing designed to raise awareness of energy efficiency programs) could be augmented with approaches derived from behavioral science to better encourage individuals to purchase, install, and properly use technology. This paper uses the TITE model: program designers should choose Target behaviors, choose the level of Intervention, determine the Techniques Resonate for changing behavior, implement the program, and Evaluate the results. Particular attention is devoted to exploring techniques that incorporate psychology, design, and behavioral economics insights into utility energy efficiency programs.</t>
  </si>
  <si>
    <t>http://aceee.org/files/proceedings/2012/data/papers/0193-000413.pdf</t>
  </si>
  <si>
    <t>general framework?</t>
  </si>
  <si>
    <t>Climate Mitigations - General</t>
  </si>
  <si>
    <t>Using #Behavioral #Science to Drive Customer Investment in #Energy #Efficiency http://ow.ly/Xqyic</t>
  </si>
  <si>
    <t xml:space="preserve">One of the most personal ways we can connect to climate change is through an experienced threat to our own livelihood. A survey of forest owners across Europe asked farmers if they believed in climate change, if they perceived it as affecting their forests and if they had taken any adaptive measures in their forests. Researchers found a strong correlation between personal belief in climate change and local perception of its effects on willingness to adopt related management strategies. While researchers were unable to determine whether strength of belief or personal experience played a stronger role in motivating farmers to adopt mitigation practices, Portuguese owners were the strongest believers in the local effects of climate change and accordingly about 54% of them had taken adaptation measures, while Swedish farmers were found both most skeptical of the local effects of climate change and the least active in adaptation. Results suggest that tapping into personal experience can help boost the motivation to farmers support climate change mitigation. </t>
  </si>
  <si>
    <t>Blennow K, Persson J, Tomé M, Hanewinkel M (2012). Climate Change: Believing and Seeing Implies Adapting. PLoS ONE 7(11).</t>
  </si>
  <si>
    <t xml:space="preserve">Plos One article; not sure about strength of data-- no explicit effect found between experience and motivation -- could be that belief strengthens our expereicne of reality which in turn strengthens our motivation. </t>
  </si>
  <si>
    <t>Waste Management - Littering, Human Health - Waste management</t>
  </si>
  <si>
    <t>Results from recent real-time feedback studies</t>
  </si>
  <si>
    <t>Foster, B., &amp; Mazur-Stommen, S.</t>
  </si>
  <si>
    <t>Tapping in to people’s sense of identity can be a useful tool in shaping behavior. The “Don’t Mess with Texas” campaign successfully curbed littering behavior by 72% by associating litter reduction with Texan identity. By connecting the act of littering with an assault on a being Texan— a source of pride for residents— the campaign urged citizens to actively protect their home turf. Through the campaign, citizens have been encouraged to participate in community highway cleaning activities, sponsor or adopt sections of highways, and report littering they witness on the road, all in the name of reinforcing the shared “Don’t Mess with Texas” sentiment.</t>
  </si>
  <si>
    <t>McClure, T., &amp; Spence, R. (2006). Don't Mess with Texas: The Story Behind the Legend. Idea City Press.</t>
  </si>
  <si>
    <t xml:space="preserve">Don't Mess with Texas </t>
  </si>
  <si>
    <t>http://www.dontmesswithtexas.org/</t>
  </si>
  <si>
    <t xml:space="preserve">72% figure pulled from book, assumed primary source. Rest of vignette pulled from campaign website </t>
  </si>
  <si>
    <t>This report summarizes the results of recent, large-scale real-time feedback pilots and experiments in the U.S., U.K., and Ireland.  It builds upon a previous meta-review by ACEEE of small residential feedback pilot studies, and was undertaken to further investigate the range of savings found in the earlier report in light of recent large-scale pilots conducted in the U.S. and Europe.  The studies reviewed here tested various combinations of interventions, but we have limited our discussion to savings from interventions providing direct, real-time feedback on residential electricity consumption and prices through in-home displays, web interfaces, and prepayment meters.   Residential electricity savings from real-time feedback in the nine pilots reviewed here ranged from 0 to 19.5%, with average savings across the pilots of 3.8%. The largest savings came from the replacement of pre-existing prepayment meters in Northern Irish homes with new prepayment meters having a real-time display.  The smallest savings were observed in two pilots, which found no aggregate effect of real-time feedback on overall electricity consumption. One of the most promising results is that a small percentage of households in several of the pilots had large savings of up to 25%.  We propose calling this group the cybernetically sensitive, because they seem to respond more readily to feedback.</t>
  </si>
  <si>
    <t>http://aceee.org/research-report/b122</t>
  </si>
  <si>
    <t>Climate - Communication</t>
  </si>
  <si>
    <t>When it comes to converting climate change skeptics into environmental advocates, the way we frame our message is everything. A Canadian study enlisted residents from different regions to report their level of climate change engagement and the strength of their attachment to their local area after being exposed to one of two different messages. Participants in the local condition read about climate change impacts relevant to their home-region: pine beetle deforestation, forest fires, and rising sea levels. Those in the global condition read about a wide-spread global impact of climate change. Researchers found that participants in the local condition found the climate change message more personally engaging than those in the control group, and no difference was found in engagement between the control and the global message groups. Based on the results of this study, locally framed messages are more likely to engage audiences than globally framed ones.</t>
  </si>
  <si>
    <t>Scannell, L., &amp; Gifford, R. (2011). Personally Relevant Climate Change: The Role of Place Attachment and Local Versus Global Message Framing in Engagement. Environment and Behavior, 45(1), 60-85.</t>
  </si>
  <si>
    <t>Primary academic article.</t>
  </si>
  <si>
    <t>non-environmental</t>
  </si>
  <si>
    <t>Ordinary - Socially model the desired behavior, Ordinary - Strengthen the norm through social networks</t>
  </si>
  <si>
    <t>702, 704</t>
  </si>
  <si>
    <t>Energy - Consumption</t>
  </si>
  <si>
    <t xml:space="preserve">When it comes to connecting at a local level, it may be worth considering how spatial distance influences social interaction. Researchers in California found that, in video conferencing groups, students who were interacting with other students in the same region were more likely to work together, and this initial ability to persuade and cooperate declined as physical distance increased. Additionally, researchers found that as physical distance increased between partners, so did the willingness to employ deception.  This study suggests that when people are in closer proximity, they are more concerned with the impacts of their behavior and develop a sense of shared outcome. </t>
  </si>
  <si>
    <t>Greening Work Styles: An Analysis of Energy Behavior Programs in the Workplace</t>
  </si>
  <si>
    <t>Bradner, E., &amp; Mark, G. (2002). Why distance matters: effects on cooperation, persuasion and deception. In Proceedings of the 2002 ACM conference on Computer supported cooperative work (pp. 226-235). ACM.</t>
  </si>
  <si>
    <t>Bin, S.</t>
  </si>
  <si>
    <t xml:space="preserve">Primary source good. Note: I wonder the impact of students hearing it from students, eg, relatable groups, versus for eg professionals hearing it from students – this may be a control worth looking into for another vignette topic. </t>
  </si>
  <si>
    <t>Relatable - Single out audience members</t>
  </si>
  <si>
    <t>Personalized messages help us to follow through. In a study detailing the effect of Post-It notes on attention and urgency, a group of 150 university faculty members were administered a survey packet. 50 participants were given packets containing a Post-It note on the cover, urging them to fill out and return the packet promptly. The other 100 participants were given packets containing either no Post-It, or a Post-It with no message at all.  Researchers found the group given Post-It notes with direct messages had a much higher rate of survey return than the other groups. The simple act of placing a bright and relatable post-it note made the message more personally salient to survey respondents. This small touch can help environmental practitioners generate an increase in responses to outreach efforts. 
</t>
  </si>
  <si>
    <t>Garner, R. (2005). Post-It Note Persuasion: A Sticky Influence. Journal Of Consumer Psychology, 15(3), 230.</t>
  </si>
  <si>
    <t>This report focuses on energy behavior programs in the workplace, which aim to reduce building energy use through change in employees’ attitudes and behaviors. The report reviews five energy behavior projects across the U.S. and Canada. Energy savings of the studied energy behavior projects are from 4% (savings from a stand-alone behavior program) to nearly 75% (savings from a comprehensive project in which a behavior program is a component).  The report also identifies four intervention strategies shared by the reviewed energy behavior projects: (1) setting the tone with strong support from upper management and good program branding; (2) building a team consisting of a stakeholder-oriented program committee and peer champions selected from building occupants; (3) employing communication tools including e-mail, Web sites, prompts, posters and public meetings; and (4) deploying key engagement techniques such as feedback, benign peer pressure, competition, rewards, and reference to Resonate social norms.  The report suggests that the energy research community and energy efficiency professionals should work together to develop an improved evaluation framework to better document, study, and evaluate energy behavior programs. The integration of energy behavior programs into relevant building energy efficiency initiatives would help promote the development and deployment of advanced technologies in a more conservation-conscious environment. Moreover, government at every level should consider leading by example by implementing their own energy behavior programs, which would help promote a culture of energy saving in their workplaces and beyond.</t>
  </si>
  <si>
    <t>http://aceee.org/research-report/b121</t>
  </si>
  <si>
    <t>FEEDBACK AND PROMPTS, only 2 of the case studies mentioned would be applicable for the feedback analysis</t>
  </si>
  <si>
    <t>Essential</t>
  </si>
  <si>
    <t>energy efficiency and behavior</t>
  </si>
  <si>
    <t>Primary source ok; not 100% sure of relevancy of this vignette to enviro sector, so perhaps website only.</t>
  </si>
  <si>
    <t>Identity - Use language that draws on identity</t>
  </si>
  <si>
    <t>Advanced Metering Initiatives and Residential Feedback Programs: A Meta-Review for Household Electricity-Saving Opportunities</t>
  </si>
  <si>
    <t>Karen Ehrhardt-Martinez, Kat A. Donnelly and John A. Laitner</t>
  </si>
  <si>
    <t>American Council for an Energy-Efficient Economy</t>
  </si>
  <si>
    <t xml:space="preserve">By employing language that draws on audience members’ sense of self, we can increase the efficacy of our message. Shortly before the 2009 New Jersey gubernatorial elections, a nationally representative sample of 214 registered voters were asked to complete a survey on the importance of voting. Half of the participants were presented with a non-based presenting participants with questions such as “How important is it for you to be a voter in the next election?” The other half received a similar verb-based survey with questions like “How important is it for you to vote in the next election?” The survey using nouns was designed to evoke a sense of voter self-identification, while the survey using verbs remained more identity neutral –referencing behavior only. A follow-up analysis found that 89.9% of those who took the noun version ended up voting, compared to 79% of those who took the verb version. This illustrates that simple changes in word form can have a surprisingly powerful impact on our behavior. </t>
  </si>
  <si>
    <t>Bryan, C. J., Walton, G. M., Rogers, T., &amp; Dweck, C. S. (2011). Motivating Voter Turnout by Invoking the Self. Proceedings of the National Academy of Sciences, 108(31), 12653–12656.</t>
  </si>
  <si>
    <t xml:space="preserve">Primary source, non-environmental but strong example </t>
  </si>
  <si>
    <t>Identity - Use affirmation and validation</t>
  </si>
  <si>
    <t>Climate - Science acceptance, Communication</t>
  </si>
  <si>
    <t>quote: "Feedback gadgets alone are unlikely to maximize household energy savings... Incorporating the best motivational techniques and behavioral approaches will be important to realize optimal savings. Such approaches include the use of: commitments, goal setting, social comparisons, normative messaging, and engaging participants in small, actionable steps."</t>
  </si>
  <si>
    <t xml:space="preserve">non essential </t>
  </si>
  <si>
    <t>Not Suitable</t>
  </si>
  <si>
    <t>Hopeful - Feedback</t>
  </si>
  <si>
    <t>When target recipients are encouraged to express affirmations emphasizing their self-worth before being presented with conflicting information, they may become more capable of digesting the information. In a study, self-identified Republicans were asked to recall a time they felt confident about themselves. Researchers found that this simple mental exercise helped reduce misperceptions and strengthen receptivity to correct information among conservatives regarding climate change. In this case, affirmation allowed participants to view the information disproving their beliefs as less of a threat, and in turn opened them up to the idea that their beliefs on this complex issue were understandably misinformed. Researchers suggest that affirmation makes people better able to navigate the dissonance they feel when their ideas are confronted.</t>
  </si>
  <si>
    <t>Nyhan, B. &amp; Reifler, J. (2016). The role of information deficits and identity threat in the prevalence of misperceptions. Dartmouth.</t>
  </si>
  <si>
    <t xml:space="preserve">primary source unpublished </t>
  </si>
  <si>
    <t xml:space="preserve">pg (?) web, training </t>
  </si>
  <si>
    <t xml:space="preserve">Unpublished/ Yes </t>
  </si>
  <si>
    <t>Identity - Ask the audience for commitments</t>
  </si>
  <si>
    <t xml:space="preserve">Commitments are a great tool to strengthen the target group's rate of follow-through. In a study on resident participation in a municipal curbside recycling program, researchers at the University of Utah tested several different community outreach techniques.  Participants received one of four treatments: flyers, telephone call plus flier, a face-to-face interaction in addition to a telephone call and flier, and finally, a written commitment in addition to the three treatment conditions. Researchers compared the recycling behaviors of people among the four groups to determine the most effective method of increasing resident participation. Researchers found that commitments were most influential -- those who signed a written commitment were the most consistent recyclers in the program, and their dedication continued for several months after the commitment was made. This study suggests that adding a simple commitment component can help yield greater participation. </t>
  </si>
  <si>
    <t>Werner, C. M., Turner, J., Shipman, K., Twitchell, F. S., Dickinson, B. R., Bruschke, G. V., von Bismarck, W. B. (1995). Commitment, behavior, and attitude change: An analysis of voluntary recycling. Journal of Environmental Psychology 15(3), 197-208.</t>
  </si>
  <si>
    <t>Asia, Canada and the US</t>
  </si>
  <si>
    <t>42, 40</t>
  </si>
  <si>
    <t>Default tips</t>
  </si>
  <si>
    <t>Haggag, K., &amp; Paci, G.</t>
  </si>
  <si>
    <t>American Economic Journal: Applied Economics</t>
  </si>
  <si>
    <t xml:space="preserve">We examine the role of defaults in high-frequency, small-scale choices using unique data on over 13 million New York City taxi rides. Using a regression discontinuity design, we show that default tip suggestions have a large impact on tip amounts. These results are supported by a secondary analysis that uses the quasi-random assignment of customers to different cars to examine default effects on a wider range of fares. Finally, we highlight a potential cost of setting defaults too high, as a higher proportion of customers opt to leave no credit card tip when presented with the higher suggested amounts. </t>
  </si>
  <si>
    <t xml:space="preserve">Individual social orientation plays a critical role in determining the efficacy of goal setting. Study subjects participating in a computer simulated washing machine activity were either given specific energy reduction goals or told to set their own. Those who set their own goals decreased their energy use by 21.9%, while those given goals reduced theirs by 19.5%. Interestingly, individualist-oriented participants, those who preferred to increase their own gain in a social orientation test, saved more energy when allowed to set their own goals. Meanwhile, more collectivist-oriented participants, those who preferred to share gains with peers, achieved more dramatic savings when their goals were assigned. The researchers hypothesize that socially-oriented individuals were more willing to accommodate the input of others and were therefore more likely to take assigned goals seriously. </t>
  </si>
  <si>
    <t>McCalley, L. T., &amp; Cees J. H. M. (2002). Energy conservation through product-integrated feedback: The roles of goal-setting and social orientation. Journal of Economic Psychology, 23(5), 589-603.</t>
  </si>
  <si>
    <t xml:space="preserve">primary souce  -- not suitable for PG because too specific </t>
  </si>
  <si>
    <t>Pollution - Toxins</t>
  </si>
  <si>
    <t>Are Risk Regulators Rational?  Evidence from Hazardous Waste Cleanup Decisions</t>
  </si>
  <si>
    <t>Viscusi, W. K., &amp; Hamilton, J. T.</t>
  </si>
  <si>
    <t>American Economic Review</t>
  </si>
  <si>
    <t>In a study designed to examine the efficacy of goals set by participants in the Citizens Utility Board of Illinois Energy Saver program, researchers measured energy reduction and the individual reference points set by consumers. As part of the program, participants chose between energy reduction goals of 0%, 10-15%, 15-50%, and over 50%. 
Experts defined realistic energy use reduction goals as those between 0% and 15%. Participants who set goals within this range reduced their energy use by 13% over a two-month period and by approximately 11% over eighteen months. In contrast, participants who set no goal saved a measly 1.5%, while those who set a goal above 15% fared even worse, saving an average of only 1%. This study demonstrates that when we set goals that are too low or too high, we are unable to follow through with our environmental intentions.  
</t>
  </si>
  <si>
    <t>Harding, M., &amp; Hsiaw, A. (2014). Goal setting and energy efficiency. Journal of Economic Behavior and Organization 107(A), 209-227.</t>
  </si>
  <si>
    <t>Using original data on the cleanup of 130 hazardous waste sites, we examine the degree Superfund decisions are driven by efficiency concerns, biases in risk perceptions, and political factors. Target risk levels chosen by regulators are largely a function of political variables and risk perception biases. Regulators exhibit biases consistent with anchoring and the availability heuristic, and do not distinguish between current risks to actual residents and potential risks to hypothetically exposed populations. Quantile regressions indicate that political factors affect decisions on the cost per case of cancer averted, especially for the most inefficient cleanup efforts.</t>
  </si>
  <si>
    <t xml:space="preserve">primary soruce </t>
  </si>
  <si>
    <t xml:space="preserve">pg, web, training </t>
  </si>
  <si>
    <t xml:space="preserve">Our desire to avoid hypocrisy can be a powerful behavior-change motivator. In a study on water conservation conducted at the University of California, Santa Cruz, researchers targeted women headed from the campus pool to the shower room. Some subjects were asked to participate in a short survey on their showering behavior, others were asked to sign a commitment pledge on a flier that read, ”IF I CAN DO IT SO CAN YOU!” and a group called the “hypocrisy” condition received a combination of both treatments. A control group of subjects had their shower time recorded but didn’t take the survey or the pledge. The survey and commitment conditions reduced their shower time and were observed turning off the shower at higher rates than the control group. However, researchers found that participants in the “hypocrisy” condition exhibited the most impressive change in conservation behavior – this group stayed in the shower for 3 minutes and 40 seconds on average, about 80 seconds fewer than those in the control group. The study suggests that prompting people to focus on their environmental intentions before they perform a related behavior can significantly impact our environmental efforts. </t>
  </si>
  <si>
    <t>Dickerson, C.A., Thibodeau, R., Aronson, E. &amp; Miller, D. (1992). Using Cognitive Dissonance to Encourage Water Conservation. Journal of Applied Social Psychology 22(11), 841-854.</t>
  </si>
  <si>
    <t xml:space="preserve">primay source good </t>
  </si>
  <si>
    <t>Identity - Use implementation intentions</t>
  </si>
  <si>
    <t>A classic study led by Yale professor Howard Leventhal tested the effect of appeals to fear on rates of tetanus shots. The Yale Health Center provided two test groups with different materials— one group was given a High Fear booklet which included frightening, graphic pictures of tetanus victims and highly descriptive language on the horrors of tetanus, and the other received a Low Fear booklet with similar information but lacking the pictures and descriptive language. Surprisingly, both booklets resulted in the same increase in vaccination. What really helped lift vaccination rates was a campus map with the location of the health center circled, along with a list of times that tetanus vaccines were available. The booklets prompted students with questions about making a plan, asking when they would visit and which route they would take. By simply highlighting the health center’s location and including steps that nudged students towards making a commitment to visit, the study resulted in a successful increase in vaccination rates.</t>
  </si>
  <si>
    <t xml:space="preserve">Cooney, N. (2011). Change of Heart: What Psychology Can Teach Us About Social Change.  Brooklyn, NY: Lantern Book </t>
  </si>
  <si>
    <t>no primary source</t>
  </si>
  <si>
    <t>Ordinary</t>
  </si>
  <si>
    <t xml:space="preserve">needs primary source to be included in web, training </t>
  </si>
  <si>
    <t>Ordinary - Call attention to society’s expectations</t>
  </si>
  <si>
    <t>The Short-Run and Long-Run Effects of Behavioral Intervention: Experimental Evidence from Energy Conservation</t>
  </si>
  <si>
    <t>Allcott, H., &amp; Rogers, T.</t>
  </si>
  <si>
    <t xml:space="preserve">We are more likely to achieve our goals when we design a detailed plan for how, when, or where we will enact the intended behavior. In a study on transportation behavior, German researchers tested the effect of implementation intentions on students who agreed to try out the University’s new bus route. Among a group of German students, 53.3% of those who picked a specific day and time to conduct the bus-route test actually completed the test, while only 31.1% of those who stated a goal of riding the bus route one time over the course of the week, but made no specific plans, conducted the test. This study suggests that implementation intentions help us to complete the first step in working towards goal achievement and can help solidify environmental goals. </t>
  </si>
  <si>
    <t>Bamberg, S. (2002). Effects Of Implementation Intentions On The Actual Performance Of New Environmentally Friendly Behaviours — Results Of Two Field Experiments.</t>
  </si>
  <si>
    <t xml:space="preserve">primary source good </t>
  </si>
  <si>
    <t>Identity - Ask the audience to make an investment</t>
  </si>
  <si>
    <t>By asking people to take on a small commitment, we can increase the likelihood that they will be comply with larger efforts later.
In a study on the foot-in-the-door phenomenon, researchers found that residents of Palo Alto, CA who were first asked either to sign a petition or to place a small sign in their car window were more likely to agree to displaying a much larger “Drive Carefully” sign on their lawns two weeks later. Those in the control group made no initial contact with the researchers, but were approached regarding the large sign at the same time. Researchers found that about 55% of the residents who received the first request agreed to display the large sign, while less than 20% of those who received only the large request were willing to display the large sign. This study demonstrates the effectiveness of starting with a smaller request in order to build compliance with later, more burdensome efforts.  
</t>
  </si>
  <si>
    <t>Freedman, J. L., &amp; Fraser, S. C. (1966). Compliance Without Pressure: The Foot-In-The-Door Technique. Journal of Personality and Social Psychology, 4(2), 195-202.</t>
  </si>
  <si>
    <t xml:space="preserve">random sample </t>
  </si>
  <si>
    <t xml:space="preserve">primary source good, but old, and nonenvironmental. Good example for web and trainings. </t>
  </si>
  <si>
    <t>While interventions to affect smoking, exercise, and other behaviors sometimes have short-run impacts, there is limited evidence on long-run effects. We study the three longest-running sites of the Opower energy conservation program, in which home energy reports with social comparisons and energy conservation tips are repeatedly mailed to more than six million households nationwide. At first, there is a pattern of "action and backsliding": the reports cue immediate conservation, but consumers' initial efforts begin to decay within less than two weeks. As more reports are delivered, this high-frequency cycling attenuates. In the long-run, consumers form a new stock of physical capital or consumption habits: if reports are discontinued after two years, the effects are much more persistent than they had been between the initial reports. Remarkably, however, consumers do not fully habituate: they still respond substantially if treatment is continued after two years. We show that the previous conservative assumptions about long-run persistence had dramatically understated cost effectiveness, and we illustrate how estimates of persistence and habituation can be used to optimize program design.</t>
  </si>
  <si>
    <t>https://www.aeaweb.org/articles?id=10.1257/aer.104.10.3003</t>
  </si>
  <si>
    <t>By getting our audiences to exert a small amount of effort upfront, we may increase their motivation to follow through on larger conservation efforts. In a study on home electricity consumption, researchers found that Portland homeowners who consented to take a brief energy conservation questionnaire and were asked to commit to a 10% energy reduction were more likely to reduce their energy use than those who only took the survey or those who only received an energy reduction request. 71% of survey and request participants reduced their energy, while only 44% of participants who received the survey alone reduced their consumption. Finally, only 37% of subjects who received the commitment request alone reduced their energy consumption. This study highlights the importance of easing into larger commitments through techniques such as “foot in the door.”</t>
  </si>
  <si>
    <t>Katzev, R. D., &amp; Johnson, T. R. (1983). A social-psychological analysis of residential electricity consumption: the impact of minimal justification techniques. Journal of Economic Psychology, 3(3-4), 267-284.</t>
  </si>
  <si>
    <t>primary source good but a little old (83)</t>
  </si>
  <si>
    <t>pg?, web, training</t>
  </si>
  <si>
    <t>Ordinary - Provide positive social proof</t>
  </si>
  <si>
    <t xml:space="preserve">Informing people of discrepancies between their beliefs and behaviors can help spur behavioral change through cognitive dissonance. Participants in a study at the University of California, Santa Cruz were asked to perform a public speech on the importance of recycling. Researchers asked one group to recall a time at which they had failed to recycle, while another group remained unprimed by their hypocritical past behaviors. Of the students in the hypocrisy condition, researchers offered a subset the opportunity to misattribute their reactions through a questionnaire on the lab room. When researchers asked students at the end of the study to state whether they would be interested in volunteering to conduct calls for the recycling campaign, participants in the hypocrisy-only condition opted in with the highest percentage. Interestingly, students in the misattribution condition, who were also asked to rate their experience in the lab, were far less likely to volunteer for calls. These results suggest that arousal of hypocrisy is a powerful strategy to increase pro-environmental ambition. </t>
  </si>
  <si>
    <t>Fried, C. B., &amp; Aronson, E. (1995). Hypocrisy, misattribution, and dissonance reduction. Personality and Social Psychology Bulletin (21), 925–933. doi: 10.1177/0146167295219007</t>
  </si>
  <si>
    <t>The Persistence of Treatment Effects with Norm-Based Policy Instruments: Evidence from a Randomized Environmental Policy Experiment</t>
  </si>
  <si>
    <t>Ferraro, P. J., &amp; Price, M. K.</t>
  </si>
  <si>
    <t>Policymakers increasingly use norm-based messages to promote conservation efforts. Despite the apparent success of such strategies, empirical analyses have thus far focused exclusively on short-run effects. From a policy perspective, however, whether and how such strategies influence behavior in the long-run is of equal interest. We partner with a metropolitan water utility to implement a natural field experiment examining the effect of such messages on longer-run patterns of water use. Empirical results are striking. While appeals to pro-social preferences affect short-run patterns of water use, only messages augmented with social comparisons have a lasting impact on water demand.</t>
  </si>
  <si>
    <t>http://pubs.aeaweb.org/doi/abs/10.1257/aer.101.3.318</t>
  </si>
  <si>
    <t>Persistence of Treatment Effects with Norm-Based Policy Instruments:Evidence from an Environmental Policy Experiment http://ow.ly/XqxQ8</t>
  </si>
  <si>
    <t xml:space="preserve">By inducing cognitive dissonance, researchers are able to measure the influence of past statements on current behavior. In a study on energy use, researchers sent four different letters to Australian homeowners with above average electricity consumption who had indicated that they felt conserving electricity was a personal duty. Homeowners in the dissonance condition received a letter alerting them of their high energy use, a reminder about their previously stated duty to conservation, and some information on how to reduce energy consumption. Others received the same information minus the reminder of personal duty, while the last two groups received either energy saving tips only or a thank you note with the same postcard sent to all conditions for requests of further energy tips. Researchers measured the largest decrease in the dissonance group over a four-week period, and participants in this group also reported a higher level of conscious focus on reducing their electricity usage. This study demonstrates the importance of coupling dissonance with actionable tips to motivate behavior change. </t>
  </si>
  <si>
    <t>Kantola, S. J., Syme, G.J. &amp; Campbell, N. A. (1984). Cognitive Dissonance and Energy Conservation. Journal of Applied Psychology, 69(3), 416-421.</t>
  </si>
  <si>
    <t xml:space="preserve">primary source good, perhaps a little old </t>
  </si>
  <si>
    <t>pg, web, training</t>
  </si>
  <si>
    <t>Easy, Vivid</t>
  </si>
  <si>
    <t>2, 5</t>
  </si>
  <si>
    <t xml:space="preserve">Easy - Make it the default setting, Vivid - None </t>
  </si>
  <si>
    <t>Food - Labeling</t>
  </si>
  <si>
    <t xml:space="preserve">Cognitive dissonance has the potential of inducing what is known as the backfire effect, or a tendency for certain undesirable beliefs to strengthen when presented with contradictory evidence. Attempts by the CDC to correct the common misconception that the flu vaccine can cause the flu actually reduced levels of intent to vaccinate among those most concerned with flu vaccine side effects. A separate study found that disproving the vaccine-autism link also reduced willingness to vaccinate among the parents who were most suspicious of the vaccines. The authors hypothesized that in the absence of evidence for their beliefs, these respondents generated alternate reasons to not vaccinate. In their effort to assuage their feelings of cognitive dissonance, respondents reinforced their original beliefs rather than correcting them. </t>
  </si>
  <si>
    <t>The Psychology of Food Consumption: Strategies for Promoting Healthier Food Choices</t>
  </si>
  <si>
    <t>Nyhan, B., &amp; Reifler, R. (2015). Does correcting myths about the flu vaccine work? An experimental evaluation of the effects of corrective information. Vaccine, 33(3), 459-464.</t>
  </si>
  <si>
    <t>Downs, J. S., Loewenstein, G., &amp; Wisdom, J.</t>
  </si>
  <si>
    <t>Nyhan, B., Reifler, R., Richey, S., Freed, G. L. (2014). Effective Messages in Vaccine Promotion: A Randomized Trial. Pediatrics.</t>
  </si>
  <si>
    <t>Brendan Nyhan</t>
  </si>
  <si>
    <t xml:space="preserve">none </t>
  </si>
  <si>
    <t>NY Times</t>
  </si>
  <si>
    <t>http://www.cl.cam.ac.uk/~rja14/shb09/downs3.pdf</t>
  </si>
  <si>
    <t>Benefits, Easy</t>
  </si>
  <si>
    <t>1, 2</t>
  </si>
  <si>
    <t>Benefits - Build off of existing goals and behaviors, Easy - Reduce hassle factors, Easy - Set the stage for easy action</t>
  </si>
  <si>
    <t>101, 201, 200</t>
  </si>
  <si>
    <t xml:space="preserve">primary sources good, nonenvironmental + vague reporting of findings render it unfit for the PG </t>
  </si>
  <si>
    <t xml:space="preserve">Africa </t>
  </si>
  <si>
    <t>Transportation - Flying, Climate - Science acceptance</t>
  </si>
  <si>
    <t>Nudging farmers to Use Fertilizer: Theory and Experimental Evidence from Kenya</t>
  </si>
  <si>
    <t>Duflo, E., Kremer, M., &amp; Robinson, J.</t>
  </si>
  <si>
    <t>We model farmers as facing small fixed costs of purchasing fertilizer and assume some are stochastically present biased and not fully sophisticated about this bias. Such farmers may procrastinate, postponing fertilizer purchases until later periods, when they may be too impatient to purchase fertilizer. Consistent with the model, many farmers in Western Kenya fail to take advantage of apparently profitable fertilizer investments, but they do invest in response to small, time-limited discounts on the cost of acquiring fertilizer (free delivery) just after harvest. Calibration suggests that this policy can yield higher welfare than either laissez - faire policies or heavy subsidies.</t>
  </si>
  <si>
    <t xml:space="preserve">Tools involving the stirring up of cognitive dissonance can be rendered ineffective when the target audience employs guilt suppression and denial to ignore behavioral changes that feel overwhelming. In a study on behavioral addiction and climate change, researchers interviewed 30 British and Norwegian frequent flyers, confronting them with facts on the negative environmental impact of air travel. Despite the fact that many interviewees expressed concerns over the environmental consequences of flying and disdain for frequent short-distance travel on cheap airlines in particular, they offered various justifications and rationalizations for future flying. Many saw purchasing carbon offsets as a way to completely neutralize their negative effect, and some even denied that they traveled enough to personally impact climate change, while others expressed that climate change remediation was the responsibility of governments and larger organizations. This study suggests that some environmentally destructive behaviors are so deeply embedded that they become addictive, and require more intensive strategies to resolve. </t>
  </si>
  <si>
    <t>https://www.povertyactionlab.org/sites/default/files/publications/312_408%20Nudging%20Farmers%20to%20Use%20Fertilizer%20-%20Experimental%20Evidence%20from%20Kenya%20AER%20Oct%202011.pdf</t>
  </si>
  <si>
    <t>Cohen, S. A., Higham, J. E. S., &amp; Cavaliere, C. T. (2011). Binge Flying: Behavioral Addiction and Climate Change. Annals of Tourism Research, 38(3), 1070-1089.</t>
  </si>
  <si>
    <t>yes</t>
  </si>
  <si>
    <t xml:space="preserve">source fine but too specific for the pg </t>
  </si>
  <si>
    <t>fertilizer use</t>
  </si>
  <si>
    <t>Vivid</t>
  </si>
  <si>
    <t>Vivid - Make the target behavior obvious</t>
  </si>
  <si>
    <t xml:space="preserve">Visual salience plays an important role in recycling habits. Researchers have found that color can help capture people’s attention and guide them toward the right behavior. When university students were prompted to dispose of recyclables in a low salience condition - in which one gray trashcan was situated next to a grey “recycle” can - 52% of students recycled. When a second group was prompted to recycle in a high salience condition - in which one grey trashcan was situated next to a green recycling can - 88% of students recycled. By making the recycling bin stand out from the trash bin, the rate of recycling increased remarkably. </t>
  </si>
  <si>
    <t>Montazeri, S., Gonzalez, R., Yoon, C., &amp; Papalambros, P. Y. (2012). Color, cognition, and recycling: How the design of everyday objects prompt behavior change. In DS 70: Proceedings of DESIGN 2012, the 12th International Design Conference, Dubrovnik, Croatia.</t>
  </si>
  <si>
    <t>Identity - Ask for a commitment</t>
  </si>
  <si>
    <t xml:space="preserve">this source is a bit weak, not cited by many others, speculative findings </t>
  </si>
  <si>
    <t>Public Commitment and Energy Conservation</t>
  </si>
  <si>
    <t xml:space="preserve">Vivid </t>
  </si>
  <si>
    <t>Shippee, G., &amp; Gregory W. L.</t>
  </si>
  <si>
    <t>American Journal of Community Psychology</t>
  </si>
  <si>
    <t xml:space="preserve">Visual cues can help make the appropriate action salient. In a simple and inexpensive attempt to reduce cleaning costs in the men’s urinals at Amsterdam’s Schiphol Airport, the image of a black house fly was etched onto the bowl of each urinal. According to the airport, providing men with the small addition of an attention grabbing target caused users to more easily prevent spillage and resulted in an 80% reduction in spillage overnight. Through this easy to implement design feature, men subconsciously chose the optimum behavior. </t>
  </si>
  <si>
    <t xml:space="preserve">Aiming to Reduce Cleaning Costs </t>
  </si>
  <si>
    <t>Blake Evans-Pritchard</t>
  </si>
  <si>
    <t>Works that work</t>
  </si>
  <si>
    <t>https://worksthatwork.com/1/urinal-fly</t>
  </si>
  <si>
    <t>A field experiment was conducted to evaluate comparatively the effectiveness of two community interventions designed to reduce energy consumption. Building on prior research which discovered that energy conservation could be increased if residents perceived themselves to be publicly committed to conservation, the present research evaluatively contrasted "'mild" and "'strong" forms of public commitment. The results suggested that the milder form of public commitment which simply associated volunteers in an energy conservation program to community conservation efforts was more effective than a strong commitment intervention. The latter intervention was designed to inform the community at large of the progress registered (energy saved) by program participants. Various conceptual explanations for this effect are explored and the policy implications for community energy conservation programming are also discussed.</t>
  </si>
  <si>
    <t xml:space="preserve">Vivid - Make the target behavior obvious </t>
  </si>
  <si>
    <t>Waste Management - Littering</t>
  </si>
  <si>
    <t>http://download.springer.com/static/pdf/97/art%253A10.1007%252FBF00903306.pdf?originUrl=http%3A%2F%2Flink.springer.com%2Farticle%2F10.1007%2FBF00903306&amp;token2=exp=1435704278~acl=%2Fstatic%2Fpdf%2F97%2Fart%25253A10.1007%25252FBF00903306.pdf%3ForiginUrl%3Dhttp%253A%252F%252Flink.springer.com%252Farticle%252F10.1007%252FBF00903306*~hmac=a586f72d43f937d78b6f2fdaa42f43bb0eb55929075b25c545643235cefc932f</t>
  </si>
  <si>
    <t xml:space="preserve">In Copenhagen, Denmark, surveys found that while the public overwhelmingly considered littering unacceptable, there was a gap between this reported belief and the high frequency with which littering took place. To find out more, researchers at Roskilde University gave pedestrians caramels and observed where the wrappers wound up. They found that placing green footprints on the sidewalk leading to trash cans led to an impressive 46% reduction in littering. The simple presence of green footprints was a friendly and engaging way to make the locations of trash cans more noticeable and nudge people to use them. These footprints are both much cheaper and more effective at curbing littering than anti-littering laws, which are notoriously hard to enforce. </t>
  </si>
  <si>
    <t>Commitments can be too strong</t>
  </si>
  <si>
    <t xml:space="preserve">Green nudge: Nudging litter into the bin </t>
  </si>
  <si>
    <t>Simon Aarestrup</t>
  </si>
  <si>
    <t>http://inudgeyou.com/archives/819</t>
  </si>
  <si>
    <t xml:space="preserve">no primary source </t>
  </si>
  <si>
    <t xml:space="preserve">Vivid - Use everyday analogies </t>
  </si>
  <si>
    <t>Consumption - Energy, Energy - Electricity</t>
  </si>
  <si>
    <t xml:space="preserve">The way in which environmental impacts are depicted influences how messages are received and subsequent conservation behavior. A group of trained PG&amp;E employees tested out different methods to communicate potential sources of energy loss in a way that vividly captured the homeowner’s attention and effectively framed everyday occurrences as immediate problems. During the implementation of one such strategy, assessors described excessive cracks around and under doors in terms of their cumulative impact, comparing the total open space to a football sized hole on their customer’s wall when promoting installation of weather stripping. The study found that significantly more customers who met with trained auditors actually applied for retrofit finance programs. </t>
  </si>
  <si>
    <t>Gonzales, M. H., Aronson, E., &amp; Costanzo, M. A. (1988). Using Social Cognition and Persuasion to Promote Energy Conservation: A Quasi-Experiment. Journal of Applied Social Psychology, 18(12), doi: 1049-1066. 10.1111/j.1559-1816.1988.tb01192.x</t>
  </si>
  <si>
    <t xml:space="preserve">this study uses other strategies like framing and does not measure a direct effect between this football analogy and increased retrofitting -- better example should be used in the PG </t>
  </si>
  <si>
    <t>Overcoming Denial and Increasing the Intention to Use Condoms through the Induction of Hypocrisy</t>
  </si>
  <si>
    <t>Aronson, E., Fried, C., &amp; Stone, J.</t>
  </si>
  <si>
    <t>American Journal of Public Health</t>
  </si>
  <si>
    <t xml:space="preserve">Consumption - Energy, Energy - Electricity </t>
  </si>
  <si>
    <t>Feelings of hypocrisy were induced in college students to increase condom use. Hypocrisy was created by making subjects mindful of their past failure to use condoms and then having them persuade others about the importance of condoms for AIDS prevention. The induction of hypocrisy decreased denial and led to greater intent to improve condom use relative to the control conditions. The implications of these findings for AIDS prevention are discussed.</t>
  </si>
  <si>
    <t>http://www.ncbi.nlm.nih.gov/pmc/articles/PMC1405296/</t>
  </si>
  <si>
    <t>In its efforts to promote energy efficiency in the residential sector, the Victorian Government created a short video that vividly conveys the extent of GHG emissions resulting from such seemingly inconsequential actions as leaving household appliances on. The video shows black balloons (each representing 50g of greenhouse gas) coming out of different appliances in use. The black balloons escape houses and gradually fill up the sky, giving us a vivid visual message that shows how the process of many people wasting small amounts of energy leads to damaging increases in GHG emissions. After this campaign ran, the Victorian government found that the number of citizens buying their power from government-accredited GreenPower renewable energy suppliers almost doubled, from 80,000 in December 2005 to 157,000 by December 2007, making the campaign a resounding success.</t>
  </si>
  <si>
    <t xml:space="preserve">Black balloons inflate green awareness </t>
  </si>
  <si>
    <t>Another seminal study by Aronson</t>
  </si>
  <si>
    <t xml:space="preserve">David Road </t>
  </si>
  <si>
    <t>Possibly</t>
  </si>
  <si>
    <t xml:space="preserve">The Age </t>
  </si>
  <si>
    <t>o http://www.theage.com.au/news/national/black-balloons-inflate-green-awareness/2007/03/12/1173548107194.html</t>
  </si>
  <si>
    <t xml:space="preserve">Greenhouse gas escapes in black balloons </t>
  </si>
  <si>
    <t>Duncan Macleod</t>
  </si>
  <si>
    <t>Inspiration Room</t>
  </si>
  <si>
    <t>http://theinspirationroom.com/daily/2006/greenhouse-gas-in-black-balloons/</t>
  </si>
  <si>
    <t xml:space="preserve">no primary source, no direct connection between commercial and conservation behavior cited </t>
  </si>
  <si>
    <t>Vivid - Link the action to its impact</t>
  </si>
  <si>
    <t>Consumption - Paper use, Land Use - Logging</t>
  </si>
  <si>
    <t xml:space="preserve">Relatable - Single out audience members </t>
  </si>
  <si>
    <t xml:space="preserve">Technology can be used to create virtual situations that simulate first-hand experience and nudge people to imagine how they might react in certain situations, thereby making a memory more salient. After being informed about paper consumption and deforestation, 24 study participants were asked to participate in the virtual experience of cutting down a tree. They heard and felt a chainsaw start, and were instructed to move a haptic joystick back and forth to cut the tree down. After two minutes of sawing, participants witnessed the tree trunk crash down to the ground. Participants who went through this virtual experience later used 20% fewer napkins, compared to those who simply read a printed description about deforestation. </t>
  </si>
  <si>
    <t xml:space="preserve">Ahn, S. J., Bailenson, J. N., &amp; Park, D. (2014). Short- And Long-Term Effects of Embodied Experiences in Immersive Virtual Environments on Environmental Locus Of Control And Behavior. Computers In Human Behavior, 39, 235-245. </t>
  </si>
  <si>
    <t xml:space="preserve">By showing our audience the impact of their consumption practices, we can increase the salience of our issue. As part of the Food Recovery Network’s “Weigh Your Waste” program, students at Willamette University discarded their food scraps into a special bin rather than the waste cans they typically use. The point of the campaign is to make students aware of the amount of food waste they contribute and to motivate increased responsibility when it comes to waste in general and food waste specifically.  At the end of the night, the bin was weighed, and students were able to quantify their collective waste at 140 pounds, the equivalent of over 100 meals! Students reported that the program made them think more about portion size and how much waste they were producing. When Jacksonville University implemented the program over the course of the 2010-2011 school year, the amount of food waste consistently decreased from 5307 pounds in January to 2963 pounds in April. </t>
  </si>
  <si>
    <t>Jacksonville University. Weigh the Waste 2010-11 Official Totals.  Retrieved from: http://www.ju.edu/sustainability/Documents/WTW2010-11OfficialTotals.pdf</t>
  </si>
  <si>
    <t>A clear reminder about food waste sparks conversation</t>
  </si>
  <si>
    <t>Autumn Rauchwerk</t>
  </si>
  <si>
    <t>Bon Appetit</t>
  </si>
  <si>
    <t>http://www.bamco.com/blog/happens-collect-700-students-food-waste-giant-bin/</t>
  </si>
  <si>
    <t>Physicians' recommendations for mammography: do tailored messages make a difference?</t>
  </si>
  <si>
    <t>Skinner, C. S., Strecher, V. J., &amp; Hospers, H.</t>
  </si>
  <si>
    <t xml:space="preserve">American Journal of Public Health </t>
  </si>
  <si>
    <t>Objectives: Message tailoring, based on individual needs and circumstances, is commonly used to enhance face-to-face patient counseling. Only recently has individual tailoring become feasible for printed messages. This study sought to determine whether printed tailored recommendations addressing women's specific screening and risk status and perceptions about breast cancer and mammography are more effective than standardized printed recommendations. Methods: Computer-assisted telephone interviews were conducted with 435 women, aged 40 to 65 years, who had visited family practice groups within the previous 2 years. Subjects were randomly allocated to receive individually tailored or standardized mammography recommendation letters mailed from physicians to patients' homes. Follow-up interviews were conducted 8 months later. Results: Tailored letter recipients were more likely to remember and to have read more of their letters than standardized version recipients. After controlling for baseline status, tailored letter receipt was associated with more favorable follow-up mammography status for women with incomes below $26,000 and for Black women. Conclusions: Tailored messages are a more effective medium for physicians' mammography recommendations; tailoring may be especially important for women of low socioeconomic status.</t>
  </si>
  <si>
    <t xml:space="preserve">no primary source, school data included for 1/2 of the example -- needs to be focused on Jacksonville in order to make it into the PG </t>
  </si>
  <si>
    <t>Elevate the desired choice</t>
  </si>
  <si>
    <t>Climate - Belief</t>
  </si>
  <si>
    <t>The way information is anchored plays a huge role in how we view environmental issues. In a study on perspectives toward global warming, participants were found more likely to agree with the statement “global warming is occurring now” after being asked “Do you believe that the Earth’s temperature will rise by exactly 10 degrees Fahrenheit over the next 10 years?” than those asked if they believed that the Earth’s temperature would rise by only 1 degree Fahrenheit. Those exposed to the higher anchor also expressed a higher willingness to pay to help support climate remediation, suggesting that setting appropriate anchors can significantly influence the audience’s motivation.</t>
  </si>
  <si>
    <t xml:space="preserve">Joireman, J., Truelove, H. B., &amp; Duell, B. (2010). Effect of outdoor temperature, heat primes and anchoring on belief in global warming. Journal or Environmental Psychology, 30(4), 358-367. </t>
  </si>
  <si>
    <t xml:space="preserve">Make the message memorable </t>
  </si>
  <si>
    <t>Use of Tailored messages to motivate behavior chagne</t>
  </si>
  <si>
    <t>Yes (Removed)</t>
  </si>
  <si>
    <t>Subjects in an experiment were exposed to individual pictures of other people, flashed very rapidly on a screen in front of them. These pictures were flashed at a speed that was not detectable to the conscious mind, but when subjects later met the pictured individuals, they rated them as more likeable than entirely new acquaintances. Subjects were also more likely to agree with the opinions expressed by these people. This study suggests that repeated exposure to an environmental organization, regardless of whether that exposure is consciously registered, can lead to greater affinity for that organization, and even greater agreement with that organization’s message.  </t>
  </si>
  <si>
    <t xml:space="preserve">Bornstein, R. F., Leone, D. R., Galley, D. J. (1987). The Generalizability of Subliminal Mere Exposure Effects: Influence of Stimuli Perceived Without Awareness on Social Behavior. Journal of Personality and Social Psychology, 53(6), 1070-1079. </t>
  </si>
  <si>
    <t>primary source fine, but non-environmental, and connection of human faces to environmental organizations is shaky. Would be better used in training to substantiate the psychological importance of repetition.</t>
  </si>
  <si>
    <t xml:space="preserve">training only </t>
  </si>
  <si>
    <t>Timing matters</t>
  </si>
  <si>
    <t>Energy - electricity</t>
  </si>
  <si>
    <t xml:space="preserve">Psychology and Global Climate Change: Addressing a Multi-faceted Phenomenon and Set of Challenges </t>
  </si>
  <si>
    <t xml:space="preserve">Swim, J., Clayton, S., Doherty, T., Gifford, R., Howard, G., Reser, J., …, &amp; Weber, E. </t>
  </si>
  <si>
    <t>American Psychological Association</t>
  </si>
  <si>
    <t xml:space="preserve">The salience of energy consumption may vary over the course of a month. In a study conducted on San Diego homes, researchers installed hidden smart meters in nearly 11,000 households to track energy use patterns. The results of this study suggest that after an energy bill is received in a household, people become more aware of their energy usage. Households naturally reduced their energy consumption by about 1% in the first week following a new billing period, suggesting that the fiscal costs associated with energy use are most salient just after the bill has arrived. This study demonstrates that conservation efforts might be better geared toward households directly following a monthly bill.  </t>
  </si>
  <si>
    <t xml:space="preserve">Gilbert, B., &amp; Zivin, G. (2013). Dynamic Salience with Intermittent Billing: Evidence from Smart Electricity Meters. The National Bureau of Economic Research. </t>
  </si>
  <si>
    <t xml:space="preserve">primary source good -- result isn't that strong, suggest using different vignette for PG </t>
  </si>
  <si>
    <t xml:space="preserve">Addressing climate change is arguably one of the most pressing issues facing our planet and its inhabitants. In bio and geophysical terms, climate change is defined as changes over time
in the averages and variability of surface temperature, precipitation, and wind as well as associated changes in Earth’s atmosphere, oceans and natural water supplies, snow and ice, land
surface, ecosystems, and living organisms (Intergovernmental Panel on Climate Change [IPCC], 2007b). What is unique about current global climate change, relative to historical changes, is the causal role of human activity (also called anthropogenic forcing) and the current and projected dramatic changes in climate across the globe. Our primary aim in our report is to engage members of the psychology community (teachers, researchers, those in practice, and students) in the issue of climate change. To this end, this American Psychological Association (APA) task force report describes the contributions of psychological research to an understanding of psychological dimensions of global climate change, provides research recommendations, and proposes policies for APA to assist psychologists’ engagement with this issue. </t>
  </si>
  <si>
    <t xml:space="preserve">Our current state plays a large role in how we relate to environmental issues. In a series of studies, participants in the US and Australia were asked how they thought the current day’s temperature compared to the temperature on the same day the year before. People who stated that the present day was warmer than the previous year also expressed greater belief in and concern for climate change. Even more impressive, in a second study, when given the opportunity to donate a portion of their participation money to an environmental charity, participants who believed the current day was warmer donated over four times as much money as those who noted it was cooler than usual. </t>
  </si>
  <si>
    <t xml:space="preserve">Li, Y., Johnson, E. J., &amp; Zaval, L. (2011). Local Warming: Daily Temperature Change Influences Belief In Global Warming. Psychological Science, 22(4), 454-459. </t>
  </si>
  <si>
    <t xml:space="preserve">Timing matters </t>
  </si>
  <si>
    <t xml:space="preserve">Researchers at Cornell University conducted several studies to show how current physical states can drastically affect the reported perception of environmental problems. In one study, half of the participants sat in a cubicle heated to an average of 73 degrees, while the other half sat in a slightly warmer cubicle heated to 81 degrees. Students were asked to complete a survey on their political and environmental views. Researchers found that students were more likely to report concern for climate change if they were sitting in the warm room. In fact, room temperature was found to influence these statements as strongly as political beliefs! The researchers concluded that viscerally experiencing a sensation makes it easier for our brains to connect to other contexts that also involve that sensation, so a warm room makes us more likely to connect with the occurrence of global warming. </t>
  </si>
  <si>
    <t>Teaching tip sheet: cognitive dissonance</t>
  </si>
  <si>
    <t xml:space="preserve">Risen, J. L., &amp; Critcher, C. R. (2011). Visceral fit: While in a visceral state, associated states of the world seem more likely. Journal of Personality and Social Psychology, 100(5), 777-793. </t>
  </si>
  <si>
    <t>Ann O'Leary</t>
  </si>
  <si>
    <t>Succint explanation of cognitive dissonance and synopsis of Aronson condom/HIV study</t>
  </si>
  <si>
    <t xml:space="preserve">Unpublished/Yes </t>
  </si>
  <si>
    <t>As part of a series of experiments conducted at Cornell University, researchers tested whether the state of experiencing thirst could impact environmental attitudes. Researchers made one group of subjects thirsty by feeding them pretzels, primed another group with letters and words related to “thirst”, and asked the control group to write an essay on their last experience riding in a taxi. Compared to the other groups, the pretzel group was significantly more likely than the control to report that desertification and drought are a major and increasing threat to people worldwide. The researchers concluded that viscerally experiencing a sensation makes it easier for our brains to connect to other contexts that also involve that sensation.</t>
  </si>
  <si>
    <t>Risen, J. L., &amp; Critcher, C. R. (2011). Visceral fit: While in a visceral state, associated states of the world seem more likely. Journal of Personality and Social Psychology, 100(5), 777-793. doi:10.1037/a0022460</t>
  </si>
  <si>
    <t>Identity, Hopeful</t>
  </si>
  <si>
    <t>6, 3</t>
  </si>
  <si>
    <t xml:space="preserve">Identity - Use "implementation intentions", Hopeful - Provide feedback, Hopeful - Offer appropriately scaled solutions </t>
  </si>
  <si>
    <t>603, 304, 302</t>
  </si>
  <si>
    <t>Building a Practically Useful Theory of Goal Setting and Task Motivation: a 35 Year Odyssey</t>
  </si>
  <si>
    <t>Locke, E. &amp; Latham, G. P.</t>
  </si>
  <si>
    <t xml:space="preserve">American Psychologist </t>
  </si>
  <si>
    <t>The authors summarize 35 years of empirical research on goal-setting theory. They describe the core findings of the theory, the mechanisms by which goals operate, moderators of goal effects, the relation of goals and satisfaction, and the role of goals as mediators of incentives. The external validity and practical significance of goal-setting theory are explained, and new directions in goal-setting research are discussed. The relationships of goal setting to other theories are described as are the theory's limitations.</t>
  </si>
  <si>
    <t>http://www-2.rotman.utoronto.ca/facbios/file/09%20-%20Locke%20&amp;%20Latham%202002%20AP.pdf</t>
  </si>
  <si>
    <t>Great overview of goal setting</t>
  </si>
  <si>
    <t>Consistent = Yes; Feedback = No</t>
  </si>
  <si>
    <t>Consistent = No; Feedback = No</t>
  </si>
  <si>
    <t xml:space="preserve">Associations - Highlight the right identity </t>
  </si>
  <si>
    <t>Transportation - Reduce flying</t>
  </si>
  <si>
    <t>Binge flying: Behavioural addiction and climate change</t>
  </si>
  <si>
    <t>Cohen, S. A., Higham, J. E. S., &amp; Cavaliere, C. T.</t>
  </si>
  <si>
    <t>Annals of Tourism Research</t>
  </si>
  <si>
    <t>Recent popular press suggests that ‘binge flying’ constitutes a new site of behavioural addiction. We theoretically appraise and empirically support this proposition through interviews with consumers in Norway and the United Kingdom conducted in 2009. Consistent findings from across two national contexts evidence a growing negative discourse towards frequent short-haul tourist air travel and illustrate strategies of guilt suppression and denial used to span a cognitive dissonance between the short-term Relatable benefits of tourism and the air travel’s associated long-term consequences for climate change. Tensions between tourism consumption and changing social norms towards acceptable flying practice exemplify how this social group is beginning to (re)frame what constitutes ‘excessive’ holiday flying, despite concomitantly continuing their own frequent air travels.</t>
  </si>
  <si>
    <t>http://www.sciencedirect.com/science/article/pii/S0160738311000193</t>
  </si>
  <si>
    <t>Primarily concerned with addiction but has interesting implications for cognitive dissonance and excessive consumption</t>
  </si>
  <si>
    <t>Awareness</t>
  </si>
  <si>
    <t>Mindful visitors: Heritage and Tourism</t>
  </si>
  <si>
    <t xml:space="preserve">Moscardo, G. </t>
  </si>
  <si>
    <t xml:space="preserve">Annals of Tourism Research </t>
  </si>
  <si>
    <t>This paper begins with the premise that interpretation is the key to ensuring the quality of the tourism experience and argues that successful interpretation is critical both for the effective management and conservation of built heritage sites and for sustainable tourism. The paper introduces the concept of mindfulness and outlines its use in developing a model for designing effective interpretation at built heritage sites. A supporting set of principles for this design is provided. It is argued that mindfulness is an integrating concept that can be used to enhance the quality of visitor experiences and create a sustainable link between tourism and built heritage.</t>
  </si>
  <si>
    <t xml:space="preserve">Easy - Use choice architecture </t>
  </si>
  <si>
    <t>Consumption - Food</t>
  </si>
  <si>
    <t>Environmental factors that increase the food intake and consumption volume of unknowing consumers</t>
  </si>
  <si>
    <t xml:space="preserve">Wansink, B. </t>
  </si>
  <si>
    <t>Annual Review of Nutrition</t>
  </si>
  <si>
    <t>Package size, plate shape, lighting, socializing, and variety are only a few of the environmental factors that can influence the consumption volume of food far more than most people realize. Although such environmental factors appear unrelated, they generally influence consumption volume by inhibiting consumption monitoring and by suggesting alternative consumption norms. For researchers, this review suggests that redirecting the focus of investigations to the psychological mechanisms behind consumption will raise the profile and impact of research. For health professionals, this review underscores how small structural changes in personal environments can reduce the unknowing overconsumption of food.</t>
  </si>
  <si>
    <t>http://mindlesseating.org/pdf/EnvironCues-ARN_2004.pdf</t>
  </si>
  <si>
    <t xml:space="preserve">Attitudes and Attitude Change </t>
  </si>
  <si>
    <t>Cooper, J., &amp; Croyle, R. T.</t>
  </si>
  <si>
    <t>Annual Review of Psychology</t>
  </si>
  <si>
    <t xml:space="preserve">Lasting - Capitalize on life changes, Lasting - Design a habit supportive environment, Lasting - Temporarily reward habit forming behaviors </t>
  </si>
  <si>
    <t>1001, 1003</t>
  </si>
  <si>
    <t>Psychology of Habit</t>
  </si>
  <si>
    <t>Wood, W., &amp; Runger, D.</t>
  </si>
  <si>
    <t>Annual Review of Psychology; Department of Psychology; UCLA</t>
  </si>
  <si>
    <t xml:space="preserve">As the proverbial creatures of habit, people tend to repeat the same behaviors in recurring contexts. This review characterizes habits in terms of their cognitive, motivational, and neurobiological properties. In so doing, we identify three ways that habits interface with deliberate goal pursuit: First, habits form as people pursue goals by repeating the same responses in a given con- text. Second, as outlined in computational models, habits and deliberate goal pursuit guide actions synergistically, although habits are the efficient, default mode of response. Third, people tend to infer from the frequency of habit performance that the behavior must have been intended. We conclude by applying insights from habit research to understand stress and addiction as well as the design of effective interventions to change health and consumer behaviors. </t>
  </si>
  <si>
    <t>https://dornsife.usc.edu/assets/sites/545/docs/Wendy_Wood_Research_Articles/wood.runger.2016.pdf</t>
  </si>
  <si>
    <t xml:space="preserve">As the proverbial creatures of habit, people tend to repeat the same behaviors in recurring contexts. This review characterizes habits in terms of their cognitive, motivational, and neurobiological properties. In so doing, we identify three ways that habits interface with deliberate goal pursuit: First, habits form as people pursue goals by repeating the same responses in a given context. Second, as outlined in computational models, habits and deliberate goal pursuit guide actions synergistically, although habits are the efficient, default mode of response. Third, people tend to infer from the frequency of habit performance that the behavior must have been intended. We conclude by applying insights from habit research to understand stress and addiction as well as the design of effective interventions to change health and consumer behaviors. </t>
  </si>
  <si>
    <t>Psychology of Habits</t>
  </si>
  <si>
    <t>Wendy Wood and Dennis Runger</t>
  </si>
  <si>
    <t>Annual Review of Psychology; Department of Psychology; USCLA</t>
  </si>
  <si>
    <t>Habit automaticity, formation, and neurobiology, and how to change unwanted habits</t>
  </si>
  <si>
    <t>jam packed with info pertaining to habit formation and why unwanted habits stick around.  Also gives practical insights on how to go about changing unwanted habits</t>
  </si>
  <si>
    <t>essential</t>
  </si>
  <si>
    <t>Lasting - Altering the Context, Lasting - Tiny Behaviors, Lasting - Capitalize on Life Changes</t>
  </si>
  <si>
    <t>Vivid - timing matters</t>
  </si>
  <si>
    <t>Human health - How people cook and eat</t>
  </si>
  <si>
    <t>The shaping role of hunger on self-reported external eating status</t>
  </si>
  <si>
    <t xml:space="preserve">Evers, C., Stok, F. M., Danner, U. N., Salmon, S. J., de Ridder, D. T. D., &amp; Adriaanse, M. A. </t>
  </si>
  <si>
    <t>Appetite</t>
  </si>
  <si>
    <t>As people are relatively incompetent in assessing the impact of visceral states on their behavior, two studies tested the hypothesis that hunger affects the extent to which people assess themselves as external eaters. In Study 1 participants’ current self-reported hunger states were linked to their scores on an external eating scale. Hungrier participants perceived themselves more strongly as external eaters. In Study 2 hunger was experimentally manipulated, after which self-reported external eating was assessed. Hunger was found to affect people's self-reported external eating status, such that hungry participants scored higher and above the average norm score on external eating compared to satiated participants, who scored below this average norm score. The key implications of these findings are discussed.</t>
  </si>
  <si>
    <t>Please turn off the lights: The effectiveness of visual prompts</t>
  </si>
  <si>
    <t>Two early studies showed that visual prompts can be effectively used to encourage people to turn off the lights in unoccupied classrooms, but they were methodologically limited. The current study used an ABAB-B design with an 11-week follow-up to investigate whether two different visual prompts (large and small signs) could be employed to increase “lights off” behaviour in 17 unoccupied washrooms. The odds were eight times higher that lights would be turned off in washrooms with signs than washrooms without, and large signs trended toward being more effective than small signs. Signs in washrooms with windows appeared to be the most effective, but this finding merits further research. Behaviour change persisted throughout the follow-up period, but reactance by a single washroom user resulted in some signs being removed. Compared to previous research, the current study used an improved methodology with a larger number of study sites. This study demonstrated that a simple, well-designed sign can effectively encourage energy conservation.</t>
  </si>
  <si>
    <t>http://www.sciencedirect.com/science/article/pii/S0003687011001499</t>
  </si>
  <si>
    <t>YES</t>
  </si>
  <si>
    <t>lighting</t>
  </si>
  <si>
    <t>Identity, Ordinary</t>
  </si>
  <si>
    <t>6, 7</t>
  </si>
  <si>
    <t>Identity - Ask for a commitment, Ordinary - Contextually model the desired behavior</t>
  </si>
  <si>
    <t>602, 703</t>
  </si>
  <si>
    <t>Applying a Modified Moral Decision Making Model to Change Habitual Car Use: How Can Commitment be Effective?</t>
  </si>
  <si>
    <t>Matthies, E. Klockner, C. A., &amp; Preibner, C. L.</t>
  </si>
  <si>
    <t>Applied Psychology</t>
  </si>
  <si>
    <t>A theory-driven intervention was carried out to initiate the try-out of a newtravel mode behavior (try out taking public transport instead of car) in asample of habitual car users (N=297). A modified moral decision makingmodel based on the theory of Schwartz and Howard (1981) served asbackground for the design of an intervention combining a habit-defrostingtechnique (temporary gift of a free ticket) with a norm-focused technique(plea for commitment). The sample consisted of 297 German citizens withgood car access and living in areas with a convenient supply of public trans-portation. Participants were randomly assigned to four groups (commitmentpreceded by a free ticket, commitment only, free ticket only, and control) andhad to report their travel mode choice for a particular, regular trip (e.g. tripto work) for a period of 8 weeks and a 2-week follow-up period. Additionally,model variables (Relatable norm to reduce car use, social norm, perceivedbehavioral costs, and habit) were recorded every 2 weeks. Although overalleffects of the interventions were small, results indicate that a moral motivationis a relevant predictor for travel mode choices and can be stabilised by acommitment intervention preceded by a temporary change of the situation.</t>
  </si>
  <si>
    <t>http://onlinelibrary.wiley.com/doi/10.1111/j.1464-0597.2006.00237.x/abstract</t>
  </si>
  <si>
    <t>More focused on norms</t>
  </si>
  <si>
    <t>Critical Thinking: First Remove Bias</t>
  </si>
  <si>
    <t>appmothers</t>
  </si>
  <si>
    <t>Appmothers</t>
  </si>
  <si>
    <t>Decision Science; cognitive biases</t>
  </si>
  <si>
    <t>Climate - Mitigation</t>
  </si>
  <si>
    <t>Public Perceptions Of Climate Change: Risk, Trust, and Policy</t>
  </si>
  <si>
    <t>Hagen, B.</t>
  </si>
  <si>
    <t>Arizona State University</t>
  </si>
  <si>
    <t>Global climate change (GCC) is among the most important issues of the 21st century. Adaptation to and mitigation of climate change are some of the salient local and regional challenges scientists, decision makers, and the general public face today and will be in the near future. However, designed adaptation and mitigation strategies do not guarantee success in coping with global climate change. Despite the robust and convincing body for anthropogenic global climate change research and science there is still a significant gap between the recommendations provided by the scientific community and the actual actions by the public and policy makers.  In order to design, implement, and generate sufficient public support for policies and planning interventions at the national and international level, it is necessary to have a good understanding of the public's perceptions regarding GCC. Based on survey research in nine countries, the purpose of this study is two-fold: First, to understand the nature of public perceptions of global climate change in different countries; and secondly to identify perception factors which have a significant impact on the public’s willingness to sup- port GCC policies or commit to behavioral changes to reduce GHG emissions. Factors such as trust in GCC information which need to be considered in future climate change communication efforts are also dealt with in this dissertation.  This study has identified several aspects that need to be considered in future communication programs. GCC is characterized by high uncertainties, unfamiliar risks, and other characteristics of hazards which make personal connections, responsibility and engagement difficult. Communication efforts need to acknowledge these obstacles, build up trust and motivate the public to be more engaged in reducing GCC by emphasizing the multiple benefits of many policies outside of just reducing GCC. Levels of skepticism among the public towards the reality of GCC as well as the trustworthiness and sufficiency of the scientific findings varies by country. Thus, communicators need to be aware of their audience in order to decide how educational their program needs to be.</t>
  </si>
  <si>
    <t>Can Empathy Lead to Better Decisions in Water Usage?</t>
  </si>
  <si>
    <t>Liz Marquez</t>
  </si>
  <si>
    <t xml:space="preserve">study testing how empathy can be used to drough water debates </t>
  </si>
  <si>
    <t>https://sustainability.asu.edu/dcdc/2015/08/28/can-empathy-lead-to-better-decisions-in-water-usage/</t>
  </si>
  <si>
    <t>Can empathy lead to better decisions in water usage? http://ow.ly/TYLjW </t>
  </si>
  <si>
    <t xml:space="preserve">Easy, Awareness </t>
  </si>
  <si>
    <t>2, 9</t>
  </si>
  <si>
    <t xml:space="preserve">Easy - None, Awareness - None </t>
  </si>
  <si>
    <t>Creating Sustainable Innovation through Design for Behavior Change</t>
  </si>
  <si>
    <t>Niedderer, K., Cain, R., Clune, S., Lockton, D., Luden, G., Mackrill, J., &amp; Morris, A.</t>
  </si>
  <si>
    <t>Arts and Humanities Research Council</t>
  </si>
  <si>
    <t xml:space="preserve">Design is a significant driver of behavioural change, enabling, encouraging or discouraging particular practices from taking place. Already, approaches derived from the concept have enabled us to recycle, heat more efficiently, increase our exercise patterns and change the way we think about interaction, along with many more examples besides. Despite design’s clear influence on human behaviour, the understanding of design for behaviour change is still fragmented and limited frameworks exist for its effective implementation in professional and
public contexts. In response, this project has surveyed current approaches of design for behaviour change and their use by private and public stakeholders. The aim was to elicit the challenges for professional stakeholders in understanding, accessing and implementing behaviour change through design. The further aim was to develop a cross-sectional overview or ‘map’ of current approaches, their purpose and their application as a first step to facilitate easier access and understanding. The project focused on small and medium size enterprises
(SMEs), which constitute 99% of European businesses. The project comprised of three parts: a cross-sectional literature review, a broad online survey and two follow-up focus groups with private and public stakeholders. The literature review provides a cross-sectional overview of current design for behaviour change approaches from key areas of ecological sustainability, health and well-being, safety and social design. It has surveyed current design for behaviour change approaches, how they are delineated from established behaviour change approaches in the social and behavioural sciences, and how they have influenced examples in the four key areas included in the review. The online survey has complemented the literature review by finding out about current understandings and uses of design for behaviour change in the private and public sector. It has provided insights into which theories are being used by non-academic stakeholders, what obstacles there are to access and implementation, as well as additional examples. The focus groups have added to the findings of the online survey elaborating on the understanding of design for behaviour change and its ethical implications as well as on ways to address obstacles and challenges to its implementation. The complete results of the investigation are presented in this Full Project Report. It details the background of design for behaviour change and the methodological approach of the investigation. It then presents the findings of the ‘theory review’, which is divided into behavioural science approaches to behaviour change, design approaches and examples, and the relationship of which is visualised graphically. The theory review is followed by the ‘access and innovation review’ which provides a discussion of the understandings, access, obstacles and future potential elicited through the online survey and focus groups. The report concludes with reflections on the uptake of current design for behaviour change approaches by private and public stakeholders with a set of recommendations for the way forward.  The contribution of the project comprises firstly the broad overview of the diverse design for behaviour change approaches, their derivation, relation and application, supported by relevant examples within the different areas. Secondly, it offers insights into the understanding of design for behaviour change by SMEs and the perceived benefits and obstacles to its implementation. The findings highlight the currently still rather eclectic approach to design for behaviour change and the need for more systematic development, evidence based testing and more systematic and detailed representation of evidence based examples. In summary, the project outcomes offer a first step towards better access to design for behaviour change approaches through the positioning, explanation and visual mapping of the diverse approaches; through pointing out areas for development of research and examples to make design for behaviour change more accessible and useful to SMEs; and through providing a platform and forum for access and discussion. </t>
  </si>
  <si>
    <t>https://wlv.openrepository.com/wlv/bitstream/2436/336632/1/Niedderer-et-al-2014-AHRC-Design-for-Behaviour-Change-Full-Report.pdf</t>
  </si>
  <si>
    <t xml:space="preserve">Awareness - Elicit awareness at the moment of choice </t>
  </si>
  <si>
    <t>Turn it Off: Encouraging Environmentally-Friendly Behaviours in the Workplace</t>
  </si>
  <si>
    <t>Evans, A., Russell, S., Fielding, K., &amp; Hill, C.</t>
  </si>
  <si>
    <t xml:space="preserve">Asia Pacific Centre for Sustainable Enterprise </t>
  </si>
  <si>
    <t xml:space="preserve">This paper reports the results of a pre-test post-test intervention study that aimed to encourage energy conservation behaviour by office workers at a large Australian hospital. Using visual prompts and top management support for energy conservation behaviour, significant long-term improvements were made for behaviours with individual responsibility. However, for behaviours with collective responsibility the results were mixed. Energy audits were used as an objective measure of behaviour change. Additionally, pre- and post-intervention surveys revealed significant changes in self-reported behaviour, perceived top management support, perceived internal environmental orientation, norms, and knowledge regarding energy conservation behaviour. The findings suggest that different intervention strategies may be required depending on whether the targeted behaviours have collective or individual responsibility. </t>
  </si>
  <si>
    <t>Consumption, Waste management</t>
  </si>
  <si>
    <t>3000, 21000</t>
  </si>
  <si>
    <t>Consumption - General, Waste management - Recycling and reuse</t>
  </si>
  <si>
    <t>Seven Cognitive Concepts for Successful Sustainable Design</t>
  </si>
  <si>
    <t>MacDonald, E., &amp; She, J.</t>
  </si>
  <si>
    <t>ASME 2012 International Design Engineering Technical Conferences and Computers and Information in Engineering Conference</t>
  </si>
  <si>
    <t>For the past forty years, social science researchers have studied how to encourage pro-environmental behaviors such as the adoption of recycling programs, water conservation strategies, and purchase of sustainable products. This article presents a synthesis of these research findings as they relate to the design of sustainable products and technologies. Research from environmental psychology, consumer studies, economics, decision sciences, public policy, and behavioral psychology are organized into cognitive concepts that are crucial to the successful purchase and use of sustainable products. The cognitive concepts reviewed are: responsibility, complex decision-making skills, decision heuristics, the altruism- sacrifice link, trust, cognitive dissonance/guilt, and motivation. Product examples are provided to highlight the role of these cognitive concepts in sustainable design. Design recommendations and relevant design methods are discussed. The recommendations require dynamic and on-going coordination between designers, manufacturers, marketers, and government policy-makers to achieve positive changes in individuals’ behaviors. The success of sustainable products depends on the success of this coordination.</t>
  </si>
  <si>
    <t>Associations, Easy</t>
  </si>
  <si>
    <t>4, 2</t>
  </si>
  <si>
    <t>People Value Resources More Consistently When They Are Scarce</t>
  </si>
  <si>
    <t>Anuj K. Shah</t>
  </si>
  <si>
    <t>Association of Psychological Science</t>
  </si>
  <si>
    <t>Decision Science; scarcity; income and perception of scarcity</t>
  </si>
  <si>
    <t xml:space="preserve">essential </t>
  </si>
  <si>
    <t>We may make more rational decisions when we believe that our resources are scarce http://bit.ly/1HsNZL0 </t>
  </si>
  <si>
    <t>Hopeful - Trigger collective responsibility</t>
  </si>
  <si>
    <t>Waste management - General</t>
  </si>
  <si>
    <t xml:space="preserve">A drop in the bucket': collective efficacy perceptions and environmental behavior </t>
  </si>
  <si>
    <t>Bonniface, L., &amp; Henley, N.</t>
  </si>
  <si>
    <t xml:space="preserve">Australian Journal of Social Issues </t>
  </si>
  <si>
    <t>Environmental degradation is a complex problem, many aspects of which may not be solved unless collective effort is undertaken. Collective Efficacy theory provides a useful framework to investigate how people view their ability and the effectiveness of their actions to solve environmental problems, which has been largely overlooked until now. Six focus groups were conducted to explore efficacy beliefs expressed by environmental Activists and Non‑Activists in Perth, Western Australia, relating to waste management. All participants (n=38) expressed pessimistic views about the abilities of others to perform pro‑environmental behaviours. However, Activists were positive that a collective effort would be effective (‘many drops will fill up the bucket’) while Non‑Activists felt strongly that the problem would still exist even if everyone performed waste‑minimising behaviours (‘it’s just a drop in the bucket’). Behaviour change interventions might be more effective if they focus on convincing people that collective effort will be effective in solving environmental problems.</t>
  </si>
  <si>
    <t>http://search.proquest.com/openview/5629ddbcd39b97322a011bf3da7c2fd2/1?pq-origsite=gscholar</t>
  </si>
  <si>
    <t>Every Flush You Take</t>
  </si>
  <si>
    <t>Andrew Leonard</t>
  </si>
  <si>
    <t>Backchannel</t>
  </si>
  <si>
    <t>Behavior; Social norms and water use</t>
  </si>
  <si>
    <t>Ordinary - Comparison</t>
  </si>
  <si>
    <t>Waste management, Food</t>
  </si>
  <si>
    <t>21000, 7000</t>
  </si>
  <si>
    <t>Waste Management – Recycle/Reuse/Repurpose, Food - Organic/Sustainable</t>
  </si>
  <si>
    <t>A Clear Reminder About Food Waste Sparks Conversation</t>
  </si>
  <si>
    <t>Rauchwerk, A.</t>
  </si>
  <si>
    <t>BAMCO</t>
  </si>
  <si>
    <t>Lasting - Altering the Context</t>
  </si>
  <si>
    <t>Confirmation Bias, Moral Licensing</t>
  </si>
  <si>
    <t>58, 63</t>
  </si>
  <si>
    <t>Waste management - Recycling and reuse
</t>
  </si>
  <si>
    <t>Validation, Persuasion and Recycling: Capitalizing on the Social Ecology of Newspaper Use</t>
  </si>
  <si>
    <t>Werner, C. M., Byerly, S., White, P. H., &amp; Kieffer, M.</t>
  </si>
  <si>
    <t>Basic and Applied Social Psychology</t>
  </si>
  <si>
    <t>Two experiments used clinical validation to increase scrutiny of messages posted in public settings. The first experiment used a 2 (validation: no/yes) x 2 (persuasion: none/"it is important") factorial design to develop messages about newspaper recycling. The prompt (no validation/no persuasion) had little impact on newspaper recycling, but the other 3 signs all resulted in in- creased recycling while the signs were in place. After signs were removed, recycling remained significantly higher than baseline (marginally significant for validation/persuasion). At the end of the study, number of cognitions favoring recycling was significantly higher in the validation-only condition and was lower in the validation/persuasion condition. Experiment 2 tested whether signs would have more impact if they were sensitive to the social ecology of newspaper recycling; that is, readers' tendency to leave newspapers behind so others may read them. Messages based on a 2 (message: validation-only/validation plus persuasion) x 2 (ecology: no social ecology/social ecology) factorial design supported social ecology's importance. Further- more, because of the increased sharing in the social ecology conditions, total numbers of newspapers used was significantly lower in those buildings. Validation only yielded sustained behavior change in both Experiments 1 and 2, supporting additional research on the question of whether validation can, by itself, lead to cognitive elaboration and self-persuasion.</t>
  </si>
  <si>
    <t>Benefits, Lasting</t>
  </si>
  <si>
    <t>1, 10</t>
  </si>
  <si>
    <t>Benefits - None, Lasting - Temporarily reward habit forming behaviors</t>
  </si>
  <si>
    <t>Choice of Travel Mode in the Theory of Planned Behavior: The Roles of Past Behavior, Habit, and Reasoned Action</t>
  </si>
  <si>
    <t>Bamberg, S., Ajzen, I., &amp; Schmidt, P.</t>
  </si>
  <si>
    <t>Relying on the theory of planned behavior (Ajzen, 1991), a longitudinal study investigated the effects of an intervention-introduction of a prepaid bus ticket-on increased bus use among college students. In this context, the logic of the proposition that past behavior is the best predictor of later behavior was also examined. The intervention was found to influence attitudes toward bus use, subjective norms, and perceptions of behavioral control and, consistent with the theory, to affect intentions and behavior in the desired direction. Furthermore, the theory afforded accurate prediction of intention and behavior both before and after the intervention. In contrast, a measure of past behavior improved prediction of travel mode prior to the intervention, but lost its predictive utility for behavior following the intervention. In a test of the proposition that the effect of past on later behavior is due to habit formation, an independent measure of habit failed to mediate the effects of past on later behavior. It is concluded that choice of travel mode is largely a reasoned decision; that this decision can be affected by interventions that produce change in attitudes, subjective norms, and perceptions of behavioral control; and that past travel choice contributes to the prediction of later behavior only if circumstances remain relatively stable.</t>
  </si>
  <si>
    <t>http://www.stthomasu.ca/~nhiggins/Bamberg_Ajzen_Schmidt-2003.pdf</t>
  </si>
  <si>
    <t>"Relying on the theory of planned behavior (Ajzen, 1991), a longitudinal study investigated the effects of an intervention-introduction of a prepaid bus ticket-on increased bus use among college students"</t>
  </si>
  <si>
    <t>Benefits, Ordinary</t>
  </si>
  <si>
    <t>1, 7</t>
  </si>
  <si>
    <t xml:space="preserve">Benefits - Reward specific behaviors, Ordinary - Provide positive social proof </t>
  </si>
  <si>
    <t>103, 700</t>
  </si>
  <si>
    <t>Neighbors, Knowledge, and Nuggets: Two Natural Field Experiments on the Role of Incentives on Energy Conservation</t>
  </si>
  <si>
    <t xml:space="preserve">Dolan, P., &amp; Metcalfe, R. D. </t>
  </si>
  <si>
    <t>Becker Friedman Institute for Research in Economics Working Paper</t>
  </si>
  <si>
    <t>There is increasing research on the impact of social norms on economic behavior. The research to date has a number of limitations: 1) it has not de-coupled the impact of the norm and the knowledge required to understand how to change behavior based upon it; and 2) it has not understood the impact of social norms under different incentive structures. We address these limitations using two natural field experiments. We find, firstly, that norms change energy consumption irrespective of whether information is provided or not. We find that social norms reduce consumption by around 6% (0.2 standard deviations). Secondly, we find that large financial rewards for targeted consumption reductions work very well in reducing consumption, with a 8% reduction (0.35 standard deviations) in energy consumption. The effect persists even when the financial incentive has been removed, suggesting no crowding out of financial incentives. Perhaps most interestingly, we find that the large effect of financial incentives completely disappears when information on social norms is included.</t>
  </si>
  <si>
    <t>http://papers.ssrn.com/sol3/papers.cfm?abstract_id=2589269</t>
  </si>
  <si>
    <t>homes</t>
  </si>
  <si>
    <t>Feedback and Goal-Setting Interventions to Reduce Electricity Use in the Real World</t>
  </si>
  <si>
    <t>Frazer, P., &amp; Leslie, J.</t>
  </si>
  <si>
    <t>Behavior and Social Issues</t>
  </si>
  <si>
    <t>A field experiment explored the effect of feedback and goal-setting interventions on residential electricity use in households in Northern Ireland. Alternating orders of presentation of feedback and no feedback conditions were used to explore the longer-term effect of feedback on conservation performance. Group 1 received 5 months of feedback followed by 5 months of no feedback, Group 2 underwent 5 months of no feedback followed by 5 months of feedback, and Group 3 experienced alternating 2-month periods of feedback and no feedback over 10 months, using a reversal design. Group 1 saved a mean 9.54% of electricity during the feedback condition, but Group 2 increased their use by a mean 14.24%. Group 3 showed a pattern of cumulative reductions over successive feedback periods, with a mean reduction in electricity use of 33%. Participants in Group 3 did not show a return to baseline levels of electricity use during the no feedback condition. The importance of exploring different reactions to feedback is discussed.</t>
  </si>
  <si>
    <t>http://www.academia.edu/8542197/FEEDBACK_AND_GOAL-SETTING_INTERVENTIONS_TO_REDUCE_ELECTRICITY_USE_IN_THE_REAL_WORLD</t>
  </si>
  <si>
    <t>How feedback is implemented can affect goal outcomes</t>
  </si>
  <si>
    <t>Relatable = No; Feedback = No; Consistent = No; Salient = No</t>
  </si>
  <si>
    <t>FEEDBACK AND GOAL-SETTING INTERVENTIONS TO REDUCE ELECTRICITY USE IN THE REAL WORLD http://ow.ly/Xs6bv</t>
  </si>
  <si>
    <t>Energy - Non-renewables</t>
  </si>
  <si>
    <t>Television feedback used to modify gasoline consumption</t>
  </si>
  <si>
    <t>Rothstein, R. N.</t>
  </si>
  <si>
    <t>Behavior Therapy</t>
  </si>
  <si>
    <t>Feedback has proven effective in reducing electricity and fuel oil consumption. For the vital energy conservation necessary today, the effect of feedback on the performance of an entire community needs to be examined. The present study provided feedback on the amount of gasoline consumed daily to a mass audience in West Texas via a nightly news television program. The amount of gasoline consumed was reported by gasoline station managers who took the information from automatic pump counters; university students tabulated this data from a random sample (N=18) of all 190 gasoline stations in the area. Results indicated that a mass audience can reduce gasoline consumption 31.5% when it receives appropriate feedback.</t>
  </si>
  <si>
    <t>Fuel, Oil</t>
  </si>
  <si>
    <t>Decisions by Default</t>
  </si>
  <si>
    <t xml:space="preserve">Johnson, E. J., &amp; Goldstein, D. </t>
  </si>
  <si>
    <t>Behavioral Foundations of Policy</t>
  </si>
  <si>
    <t>The article discusses how should policy-makers choose defaults regarding organ donors. First, consider that every policy must have a no-action default, and defaults impose physical, cognitive, and, in the case of donation, emotional costs on those who must change their status. Second, note that defaults can lead to two kinds of misclassification, willing donors who are not identified or people who become donors against their wishes. Changes in defaults could increase donations in the United States of additional thousands of donors a year. Because each donor can be used for about three transplants, the consequences are substantial in lives saved.</t>
  </si>
  <si>
    <t>Ordinary - Provide positive social proof, Ordinary - Strengthen the norm through social networks</t>
  </si>
  <si>
    <t>700, 704</t>
  </si>
  <si>
    <t>Climate, Consumption</t>
  </si>
  <si>
    <t>2000, 3000</t>
  </si>
  <si>
    <t>Climate - General, Consumption - General</t>
  </si>
  <si>
    <t>EAST Four Simple Ways to Apply Behavioral Insights</t>
  </si>
  <si>
    <t>Service, O., Hallsworth, M., Halpern, D., Algate, F., Gallagher, R., Nguyen, S., …, &amp; Kirkman, E.</t>
  </si>
  <si>
    <t>Behavioral Insights Team Ltd.</t>
  </si>
  <si>
    <t>One of the key objectives of the Behavioural Insights Team at its creation in 2010 was to spread the understanding of behavioural approaches across the policy community. Alongside the policy work and trials conducted by the Team over the last three years, we have conducted many seminars, workshops and talks with policymakers, academics and practitioners. From these many sessions, together with our trials and policy work, has emerged a simple, pragmatic framework: the EAST framework. EAST stands for Easy, Attractive, Social and Timely. Though we do not claim that EAST is a comprehensive summary of all there is to know about behavioural science, we do think that for busy policymakers, the EAST framework is an accessible, simple way to make more effective and efficient policy.</t>
  </si>
  <si>
    <t>http://www.behaviouralinsights.co.uk/wp-content/uploads/2015/07/BIT-Publication-EAST_FA_WEB.pdf</t>
  </si>
  <si>
    <t>Waste management - Recycling and reuse</t>
  </si>
  <si>
    <t>Brief Report: Effects of Information Feedback on Aluminum Can Recycling</t>
  </si>
  <si>
    <t>Larson, M. E., Houlihand, D., &amp; Goernert, P. N.</t>
  </si>
  <si>
    <t>Behavioral Interventions</t>
  </si>
  <si>
    <t>The impact of informational feedback on the depositing of aluminum cans in recycling receptacles at a medium-sized university was investigated. Informational signs were placed over 20-recycling receptacles in three academic buildings. Each informational sign was placed at eye level, with the number of aluminum cans deposited for recycling during the previous week displayed in red digits. A 65% increase in the number of aluminum cans deposited in recycling receptacles with the informational signs was observed. Furthermore, removal of the informational signs was observed to reliably decrease the number of aluminum cans deposited. These results are discussed in the context of employing feedback to increase environmental protection behaviors.</t>
  </si>
  <si>
    <t>http://onlinelibrary.wiley.com/doi/10.1002/bin.2360100207/abstract;jsessionid=5A03EBBFBC85FB608F9E7361F77B3B24.f02t04</t>
  </si>
  <si>
    <t>Global Warming: Science or Sensation? Feeling Warm Makes People More Likely to Believe in Phenomenon</t>
  </si>
  <si>
    <t>Clayton Critcher</t>
  </si>
  <si>
    <t>Berkeley Haas School of Business</t>
  </si>
  <si>
    <t>study shows that people in a warmer room will be more likely to believe in climate change</t>
  </si>
  <si>
    <t>New UC Berkeley study proves that people are more likely to say #climatechange is an issue when in hot weather!</t>
  </si>
  <si>
    <t>Vivid - Timing matters</t>
  </si>
  <si>
    <t>Climate, Wildlife</t>
  </si>
  <si>
    <t>2000, 23000</t>
  </si>
  <si>
    <t>Climate - General, Wildlife - Invasive species</t>
  </si>
  <si>
    <t>Public perceptions of natural disturbance in Canada’s national parks: The case of the mountain pine beetle (Dendroctonus ponderosae Hopkins)</t>
  </si>
  <si>
    <t>Mcfarlane, B. L., Stumpf-Allen, R. C., &amp; Watson, D. O.</t>
  </si>
  <si>
    <t>Biological Conservation</t>
  </si>
  <si>
    <t>Since the 1990s, the mountain pine beetle (MPB) population has exploded in western Can- ada. In national parks, MPB has the potential to impact visual quality and safety of visitors, and to spread beyond park boundaries to the industrial forest landbase. Control measures have been initiated in some parks to lessen these impacts. A study was undertaken to examine public attitudes, knowledge, issue salience, and management preferences for MPB in Banff and Kootenay national parks. Data were collected by mail survey in 2003 from 1385 residents living in or near the parks. MPB was an important issue for the major- ity of respondents and they had low knowledge of MPB, expressed negative attitudes towards it, and supported measures to control it. Preferred control measures included those directed at the current infestation. Proactive approaches in uninfested forests were generally not supported. Issue salience and knowledge were the best predictors of atti- tudes toward the MPB. Attitudes were the best predictors of support for no intervention in beetle infestations in national parks. Management implications include the lack of knowledge and support for natural disturbance and ecological integrity policies in national parks.</t>
  </si>
  <si>
    <t>http://www.sciencedirect.com/science/article/pii/S000632070600005X</t>
  </si>
  <si>
    <t>Ordinary, Easy</t>
  </si>
  <si>
    <t>7, 2</t>
  </si>
  <si>
    <t>Ordinary -Provide positive social proof , Easy - Make it the default</t>
  </si>
  <si>
    <t>700, 205</t>
  </si>
  <si>
    <t>Climate - Belief, Climate - Take Action</t>
  </si>
  <si>
    <t>The Climate Change Challenge and Barriers to the Exercise of Foresight Intelligence</t>
  </si>
  <si>
    <t>Ross, L., Arrow, K., Cialdini, R., Diamond-Smith, N., Diamond, J., Dunne, J., ... &amp; Pirages, D.</t>
  </si>
  <si>
    <t>BioScience</t>
  </si>
  <si>
    <t>Despite solid evidence from the scientific community about climate disruption, much of the US public remains unconvinced about the reality of anthropogenic change, and national governments have been slow to undertake major steps to deal with the climate crisis. In order to understand this lack of foresight intelligence regarding climate disruption, we identify some features of climate disruption and human psychology that combine to create barriers to effective action. We also review encouraging, albeit modest, successes in persuading Americans to conserve energy through “psych-wise” initiatives. Although the reductions in energy consumption accomplished by these initiatives and strategies fall far short of
what is required to address impending global climate change, we believe that the principles underlying these initiatives suggest ways to achieve more substantial reductions. We conclude by offering some specific steps that could be taken to achieve such reductions and more generally meet the building global challenge.</t>
  </si>
  <si>
    <t xml:space="preserve">maybe </t>
  </si>
  <si>
    <t xml:space="preserve">Benefits, Relatable, </t>
  </si>
  <si>
    <t>1, 8</t>
  </si>
  <si>
    <t>Multi-Faith Survey Reveals 5 Keys to Communicating on Climate Change</t>
  </si>
  <si>
    <t>Ryan J. Smith</t>
  </si>
  <si>
    <t>Blessed Tomorrow</t>
  </si>
  <si>
    <t xml:space="preserve">This past May, Blessed Tomorrow encouraged you to participate in a joint effort between COIN (Climate Outreach and Information Network) and Our Voice, to survey what climate messaging strategies work best in the 5 largest faith traditions: Buddhist, Christian, Hindu, Jewish and Muslim. While tradition specific findings are displayed, the survey provides 5 overall takeaways for communicating climate change to a sundry of religious communities. </t>
  </si>
  <si>
    <t>Yes (8/14/2015)</t>
  </si>
  <si>
    <t>Yes (Newsletter #1)</t>
  </si>
  <si>
    <t>Nudging Can Save Europe Billions of Euros on Energy Bills</t>
  </si>
  <si>
    <t>Alex Morales</t>
  </si>
  <si>
    <t>Bloomberg</t>
  </si>
  <si>
    <t>#Nudging Can Save Europe Billions of Euros on Energy Bills http://bloom.bg/1qK7UeR via @BloombergNews</t>
  </si>
  <si>
    <t xml:space="preserve">http://bloom.bg/1qK7UeR </t>
  </si>
  <si>
    <t>With Clean-Energy Default Rules, It's Easy Being Green</t>
  </si>
  <si>
    <t>Cass R. Sunstein</t>
  </si>
  <si>
    <t>Bloomberg Business</t>
  </si>
  <si>
    <t>Compared with mandates, green default rules have the important advantage of maintaining freedom of choice, and they have the potential to protect the environment, save money, increase energy independence, and reduce waste</t>
  </si>
  <si>
    <t>Not</t>
  </si>
  <si>
    <t xml:space="preserve">With Clean-Energy Default Rules, It's Easy Being Green http://ow.ly/TYJxZ  via @CassSunstein </t>
  </si>
  <si>
    <t>Easy - Default</t>
  </si>
  <si>
    <t>Buyer Beware of Cold Snaps</t>
  </si>
  <si>
    <t>Bloomberg View</t>
  </si>
  <si>
    <t xml:space="preserve">Buyers Beware of Cold Snap-- article on projection bias </t>
  </si>
  <si>
    <t>n/a</t>
  </si>
  <si>
    <t xml:space="preserve">All </t>
  </si>
  <si>
    <t>40, 41, 42, 43, 44, 45</t>
  </si>
  <si>
    <t>An international comparison of deceased and living organ donation/transplant rates in opt-in and opt-out systems: a panel study</t>
  </si>
  <si>
    <t>Shepherd, L., O’Carroll, R. E., &amp; Ferguson, E.</t>
  </si>
  <si>
    <t>BMC Medicine</t>
  </si>
  <si>
    <t>Background: Policy decisions about opt-in and opt-out consent for organ donation are based on limited evidence. To fill this gap we investigated the difference between deceased and living organ donation rates in opt-in and opt-out consent systems across a 13 year period. We controlled for extensive covariates and estimated the causal effect of consent with instrumental variables analysis. Method: This panel study used secondary data analysis to compare organ donor and transplant rates in 48 countries that had either opt-in or opt-out consent. Organ donation data were obtained over a 13-year period between 2000 and 2012. The main outcome measures were the number of donors, number of transplants per organ and total number (deceased plus living) of kidneys and livers transplanted. The role of consent on donor and transplant rates was assessed using multilevel modeling and the causal effect estimated with instrumental variables analysis. Results: Deceased donor rates (per-million population) were higher in opt-out (M = 14.24) than opt-in consent countries (M = 9.98; χ = -4.27, 95% confidence interval (CI) = -8.08, -0.45, P = .029). However, the number of living donors was higher in opt-in (M = 9.36) than opt-out countries (M = 5.49; B = 3.86, 95% CI = 1.16, 6.56, P = .006). Importantly, the total number of kidneys transplanted (deceased plus living) was higher in opt-out (M = 28.32) than opt-in countries (M = 22.43; B = -5.89, 95% CI = -11.60, -0.17, P = .044). Similarly, the total number of livers transplanted was higher in opt-out (M = 11.26) than opt-in countries (M = 7.53; B = -3.73, 95% CI = -7.47, 0.01, P = .051). Instrumental variables analysis suggested that the effect of opt-in versus opt-out consent on the difference between deceased and living donor rates is causal. Conclusions: While the number of deceased donors is higher than the number of living donors, opt-out consent leads to a relative increase in the total number of livers and kidneys transplanted.</t>
  </si>
  <si>
    <t>http://bmcmedicine.biomedcentral.com/articles/10.1186/s12916-014-0131-4</t>
  </si>
  <si>
    <t xml:space="preserve">Relatable - Relate it to what the audience already cares about </t>
  </si>
  <si>
    <t>Climate - Take Action</t>
  </si>
  <si>
    <t>Reframing climate change as a public health issue: an exploratory study of public reactions</t>
  </si>
  <si>
    <t>Maibach, E. W., Nisbet, M., Baldwin, P., Akerlof, K., &amp; Diao, G.</t>
  </si>
  <si>
    <t>BMC Public Health</t>
  </si>
  <si>
    <t>Background: Climate change is taking a toll on human health, and some leaders in the public health community have urged their colleagues to give voice to its health implications. Previous research has shown that Americans are only dimly aware of the health implications of climate change, yet the literature on issue framing suggests that providing a novel frame - such as human health - may be potentially useful in enhancing public engagement. We conducted an exploratory study in the United States of people's reactions to a public health-framed short essay on climate change. Methods: U.S. adult respondents (n = 70), stratified by six previously identified audience segments, read the essay and were asked to highlight in green or pink any portions of the essay they found "especially clear and helpful" or alternatively "especially confusing or unhelpful." Two dependent measures were created: a composite sentence-specific score based on reactions to all 18 sentences in the essay; and respondents' general reactions to the essay that were coded for valence (positive, neutral, or negative). We tested the hypothesis that five of the six audience segments would respond positively to the essay on both dependent measures. Results: There was clear evidence that two of the five segments responded positively to the public health essay, and mixed evidence that two other responded positively. There was limited evidence that the fifth segment responded positively. Post-hoc analysis showed that five of the six segments responded more positively to information about the health benefits associated with mitigation-related policy actions than to information about the health risks of climate change. Conclusions: Presentations about climate change that encourage people to consider its human health relevance appear likely to provide many Americans with a useful and engaging new frame of reference. Information about the potential health benefits of specific mitigation-related policy actions appears to be particularly compelling. We believe that the public health community has an important perspective to share about climate change, a perspective that makes the problem more personally relevant, significant, and understandable to members of the public.</t>
  </si>
  <si>
    <t>General, Easy</t>
  </si>
  <si>
    <t>11, 2</t>
  </si>
  <si>
    <t>Under consumers' scrutiny: an investigation of consumers' attitudes and concerns about nudging in the realm of health behavior</t>
  </si>
  <si>
    <t>Junghans, A. F., Cheung, T. L., &amp; de Ridder, D. T.</t>
  </si>
  <si>
    <t>Background: Nudging strategies have recently attracted attention from scholars and policy makers for their potential in influencing people’s behaviors on large scales. But is the fact that nudges do not forbid any choice-options or significantly alter people’s economic incentives sufficient to conclude that nudges should be implemented? While this is discussed amongst scholars from various disciplines the voices of consumers, the target-group of nudges, remain unheard. Since understanding their knowledge about nudging and their opinions on being nudged are crucial for the evaluation of the moral appropriateness of nudging, the current study examines consumers’ knowledge of and attitudes toward nudging in general and the realm of health behavior. Methods: In this qualitative investigation in-depth semi-structured interviews with UK consumers were conducted to examine consumers’ attitudes to four domains of inquiry around which the scholarly discussions about nudging have revolved: consumers’ approval of nudging, consumers’ views on the origin of nudges, consumers’ perceived effectiveness of nudging, and consumers’ concerns about manipulative aspects of nudging. Results: Interviews revealed that consumers are largely unfamiliar with the concept of nudging altogether. Once defined and explained to them most consumers approve of the concept, especially in the realm of health behavior, given particular conditions: 1. Nudges should be designed for benefiting individuals and society; 2. consumers comprehend the decision-making context and the reasoning behind the promotion of the targeted behavior. Interviews revealed very limited concerns with manipulative aspects of nudges. Conclusion: These findings call for better information-management to ensure consumers knowledge of nudges and awareness of their current implementation. Under that condition the findings encourage the implementation of nudges benefitting individuals and society in domains that consumers comprehend, such as health behaviors. Further research is required to clarify consumers’ concerns and requirements for nudges in more complex domains such as financial decisions and retirement plans.</t>
  </si>
  <si>
    <t>Decision Science; nudging</t>
  </si>
  <si>
    <t>non-essential</t>
  </si>
  <si>
    <t>Benefits - Tailor the incentive</t>
  </si>
  <si>
    <t xml:space="preserve">Behavioral Economics and Psychology of Incentives </t>
  </si>
  <si>
    <t>Kamenica, E.</t>
  </si>
  <si>
    <t>Booth School of Business</t>
  </si>
  <si>
    <t>Monetary incentives can backfire while nonstandard interventions, such as framing, can be effective in influencing behavior. I review the empirical evidence on these two sets of anomalies. Paying for inherently interesting tasks, paying for prosocial behavior, paying too much, paying too little, and providing too many options can all be counterproductive. At the same time, proper design of the decision-making environment can be a potent way to induce cer- tain behaviors. After presenting the empirical evidence, I discuss the relative role of beliefs, preferences, and technology in the anomalous impacts of incentives. I argue that inference, signaling, loss aversion, dynamic inconsistency, and choking are the primary factors that explain the data.</t>
  </si>
  <si>
    <t>Waste management, Food, Consumption</t>
  </si>
  <si>
    <t>21000, 7000, 3000</t>
  </si>
  <si>
    <t>Waste Management – Recycle/Reuse/Repurpose, Food - Organic/Sustainable, Consumption – Buying, Consumption - General</t>
  </si>
  <si>
    <t>How Reusable Bags Change Shoppers’ Grocery Buying Habits</t>
  </si>
  <si>
    <t>Boston globe media partners</t>
  </si>
  <si>
    <t>"Shopping with reusable bags can change your grocery buying habits in surprising ways, a recent study found."</t>
  </si>
  <si>
    <t>Lasting - Tiny Behavior</t>
  </si>
  <si>
    <t>Transportation - Biking</t>
  </si>
  <si>
    <t>Boulder 'Right-Sizing' Bike-Lane Project Moves Forward On 3 Of 4 Streets</t>
  </si>
  <si>
    <t>Erica Meltzer</t>
  </si>
  <si>
    <t>Boulder News</t>
  </si>
  <si>
    <t>Overcoming Barriers</t>
  </si>
  <si>
    <t>Pollution - Noise</t>
  </si>
  <si>
    <t>Bleep: Horn Reduction System</t>
  </si>
  <si>
    <t>Anand Damani and Mayur Tekchandaney</t>
  </si>
  <si>
    <t xml:space="preserve">Benefits - Make benefits and costs immediate </t>
  </si>
  <si>
    <t>Benefits, Relatable</t>
  </si>
  <si>
    <t>The great climate communication clash</t>
  </si>
  <si>
    <t>Bristol Cabot Institute</t>
  </si>
  <si>
    <t xml:space="preserve"> Cultural cognition vs. consensus messaging: challenges of climate communication in a polarized world</t>
  </si>
  <si>
    <t>Cultural cognition vs. consensus messaging: Challenges of #climate communication in a polarized world http://ow.ly/XYbvf</t>
  </si>
  <si>
    <t>Yes (6/24/2015)</t>
  </si>
  <si>
    <t xml:space="preserve">Identity </t>
  </si>
  <si>
    <t>Identity - Use "Implementation intentions"</t>
  </si>
  <si>
    <t>Human health - General</t>
  </si>
  <si>
    <t>Combining motivational and volitional interventions to promote exercise participation: Protection motivation theory and implementation intentions</t>
  </si>
  <si>
    <t>Milne, S., Orbell, S., &amp; Sheeran, P.</t>
  </si>
  <si>
    <t>British journal of health psychology</t>
  </si>
  <si>
    <t>Objective: This study compared a motivational intervention based on protection motivation theory (PMT, Rogers, 1975, 1983) with the same motivational intervention augmented by a volitional intervention based on implementation intentions (Gollwitzer, 1993). Design: The study had a longitudinal design, involving three waves of data collection over a 2-week period, incorporating an experimental manipulation of PMT variables at Time 1 and a volitional, implementation intention intervention at Time 2. Method: Participants (N=248) were randomly allocated to a control group or one of two intervention groups. Cognitions and exercise behaviour were measured at three time-points over a 2-week period. Results: The motivational intervention significantly increased threat and coping appraisal and intentions to engage in exercise but did not bring about a significant increase in subsequent exercise behaviour. In contrast, the combined protection motivation theory/implementation intention intervention had a dramatic effect on subsequent exercise behaviour. Thisvolitional intervention did not influence behavioural intention or any other motivational variables. Conclusions: It is concluded that supplementing PMT with implementation intentions strengthens the ability of the model to explain behaviour. This has implications for health education programmes, which should aim to increase both participants' motivation and their volition.</t>
  </si>
  <si>
    <t>http://onlinelibrary.wiley.com/doi/10.1348/135910702169420/full</t>
  </si>
  <si>
    <t>The 'apparent disconnect' towards the adoption of energy-efficient technologies</t>
  </si>
  <si>
    <t>Christie, L., Donn, M., &amp; Walton, D.</t>
  </si>
  <si>
    <t>Building Research &amp; Information</t>
  </si>
  <si>
    <t>Why are homeowners not adopting energy-efficiency technologies when these not only reduce environmental problems, but also improve health, comfort, economic and social well-being? Homeowners declare an apparent preference for energy-efficiency. However, there are apparent inconsistencies in their decisions and actions, as demonstrated by the lack of success of numerous intervention schemes. The motivations behind this apparent reluctance to adopt energy-efficiency technologies are investigated. A large proportion of homeowners demonstrate apparently unreasonable behaviour due to an exaggerated perception of risk. These risk perceptions are found to be caused by numerous social and cognitive biases that affect their decisions and make homeowners' current situation – their status quo – appear the ‘safest’ option. To deliver change at both policy and practical levels, it will be vital to understand the apparently irrational motivations behind homeowners' decisions and how the perception of change can be minimized.</t>
  </si>
  <si>
    <t>http://www.tandfonline.com/doi/abs/10.1080/09613218.2011.592485#aHR0cDovL3d3dy50YW5kZm9ubGluZS5jb20vZG9pL3BkZi8xMC4xMDgwLzA5NjEzMjE4LjIwMTEuNTkyNDg1QEBAMA==</t>
  </si>
  <si>
    <t>Promoting behaviour change through personalized energy feedback in offices</t>
  </si>
  <si>
    <t>Coleman, M.,  Irvine, K.,  Lemon, M., &amp; Shao, L.</t>
  </si>
  <si>
    <t>Building Research and Information</t>
  </si>
  <si>
    <t>A body of research suggests that the provision of energy feedback information to building users can elicit significant energy reductions through behaviour change. However, most studies have focused on energy use in homes and the assessment of interventions and technologies, to the neglect of the non-domestic context and broader issues arising from the introduction of feedback technologies. To address this gap, a non-domestic case study explores the deliveryof personalized energy feedback to office workers through a novel system utilizing wireless technologies. The research demonstrates advantages of monitoring occupancy and quantifying energy use from specific behaviours as a basis for effective energy feedback; this is particularly important where there are highly disaggregated forms of energy use anda range of locations for that activity to take place. Quantitative and qualitative data show that personalized feedback can help individuals identify energy reduction opportunities.  However, the analysis also highlights important contextual barriers and issues that need to be addressed when utilizing feedback technologies in the workplace. If neglected, these issues may limit the effective take-up of feedback interventions.</t>
  </si>
  <si>
    <t>Learning about these 3 psychological biases could forever change how you go grocery shopping</t>
  </si>
  <si>
    <t>Chris Weller</t>
  </si>
  <si>
    <t>Business Insider</t>
  </si>
  <si>
    <t xml:space="preserve">Decision Science-- how cognitive tricks can lead to poor grocery store decisions </t>
  </si>
  <si>
    <t>58 Cognitive Biases That Screw Up Everything We Do</t>
  </si>
  <si>
    <t>Drake Baer and Gus Lubin</t>
  </si>
  <si>
    <t>Want a fun way to learn about glitches in our thinking?</t>
  </si>
  <si>
    <t>Want a fun way to learn about glitches in our thinking? Check out 58 Cognitive Biases That Screw Up Everything We Do http://read.bi/1io40qg</t>
  </si>
  <si>
    <t>Awareness, Lasting</t>
  </si>
  <si>
    <t>9, 10</t>
  </si>
  <si>
    <t>24 Ways to Stop Making Horrible Decisions (and Start Making Better Ones)</t>
  </si>
  <si>
    <t>Rachel Sugar</t>
  </si>
  <si>
    <t>Business Insider/ AOL</t>
  </si>
  <si>
    <t>How to be aware of the decision-making process and how to implement mindfulness; Behavior</t>
  </si>
  <si>
    <t>Evaluation of East Bay Municipal Utility District's Pilot of WaterSmart Home Water Reports</t>
  </si>
  <si>
    <t>Mitchell, D. L., &amp; Chesnutt, T. W.</t>
  </si>
  <si>
    <t>CA Water Foundation and East Bay Municipal Utility District</t>
  </si>
  <si>
    <t>This report presents the results of an independent evaluation of the East Bay Municipal Utility District's (EBMUD) year-long pilot project (Pilot) of WaterSmart Software's Home Water
Reports (HWRs) service. HWRs provide households with periodic information on their current water use and compare it to their past use, the average use of similar households, and the use of the most efficient similar households. This data is coupled with actionable information on ways to use water around the home more efficiently. HWRs aim to motivate households to reduce their water use through changes in behavior or adoption of more water efficient technology. The approach is based on research on social norms marketing coming out of the field of social psychology and for this reason we refer to these type of programs as social-norms-based (SNB) efficiency programs. While SNB efficiency programs have been broadly adopted by energy utilities across the United States in recent years, they are new to water utilities.
</t>
  </si>
  <si>
    <t>http://www.financingsustainablewater.org/sites/www.financingsustainablewater.org/files/resource_pdfs/MCubed-Watersmart_evaluation_report_FINAL_12-12-13(00238356).pdf</t>
  </si>
  <si>
    <t>Waste Management - Electronics</t>
  </si>
  <si>
    <t>Curbside Recycling : Will Convenience Increase Battery Collection</t>
  </si>
  <si>
    <t>Linda Gabor</t>
  </si>
  <si>
    <t>Call2Recycle</t>
  </si>
  <si>
    <t>Cognitively Easy</t>
  </si>
  <si>
    <t xml:space="preserve">Curbside Recycling: Will Convenience Increase Battery Collections? http://ow.ly/TYJiU  </t>
  </si>
  <si>
    <t>Properly dispose of batteries</t>
  </si>
  <si>
    <t>Climate, Environmental Policy</t>
  </si>
  <si>
    <t>2000, 6000</t>
  </si>
  <si>
    <t>Climate - Take Action, Environmental policy</t>
  </si>
  <si>
    <t>Why Do Citizens Discount the Future? Public Opinion and the Timing of Policy Consequences</t>
  </si>
  <si>
    <t>Jacobs, A. M., &amp; Matthews, J. S.</t>
  </si>
  <si>
    <t>Cambridge University Press,</t>
  </si>
  <si>
    <t>It is widely assumed that citizens are myopic, weighing policies’ short-term consequences more heavily than long-term outcomes. Yet no study of public opinion has directly examined whether or why the timing of future policy consequences shapes citizens’ policy attitudes. This article reports the results of an experiment designed to test for the presence and mechanisms of time-discounting in the mass public. The analysis yields evidence of significant discounting of delayed policy benefits and indicates that citizens’ policy bias towards the present derives in large part from uncertainty about the long term: uncertainty about both long-run processes of policy causation and long-term political commitments. There is, in contrast, little evidence that positive time-preferences (impatience) or consumption-smoothing are significant sources of myopic policy attitudes.</t>
  </si>
  <si>
    <t>Waste Management - Recycle/Reuse/Repurpose</t>
  </si>
  <si>
    <t>Push to encourage small changes to household recycling habits could have bigger benefits</t>
  </si>
  <si>
    <t>Tom Joyner</t>
  </si>
  <si>
    <t>Canberra Times</t>
  </si>
  <si>
    <t>"Canberrans can do more to recycle their household waste to stop it from going into landfill, according to a new campaign by the ACT government for lids to be removed from bottles before recycling them."</t>
  </si>
  <si>
    <t>http://www.canberratimes.com.au/act-news/push-to-encourage-small-changes-to-household--recycling-habits-could-have-bigger-benefits-20150215-13fpmp.html</t>
  </si>
  <si>
    <t>CBS Boston</t>
  </si>
  <si>
    <t>"Harvard Business School professor Uma Karmarkar found our shopping habits change when we use these bags. Surprisingly however, it has nothing to do with being earth friendly"</t>
  </si>
  <si>
    <t>Good for vignette</t>
  </si>
  <si>
    <t>Code</t>
  </si>
  <si>
    <t>Published?</t>
  </si>
  <si>
    <t>Type</t>
  </si>
  <si>
    <t>Problem or Solution</t>
  </si>
  <si>
    <t>BUILDING BLOCK or COGNITIVE BIAS</t>
  </si>
  <si>
    <t>Environmental Tag</t>
  </si>
  <si>
    <t>Environmental Sub-Tag</t>
  </si>
  <si>
    <t>Title</t>
  </si>
  <si>
    <t>Author (first name last name, first name last name and first name last name)</t>
  </si>
  <si>
    <t>News Source</t>
  </si>
  <si>
    <t>Date</t>
  </si>
  <si>
    <t>Consumption - Buying</t>
  </si>
  <si>
    <t>When Environmentalism Does More Harm than Good</t>
  </si>
  <si>
    <t>Michael Levy</t>
  </si>
  <si>
    <t>Center for Environmental Policy and Behavior-UC Davis</t>
  </si>
  <si>
    <t>conservatives less likely to buy CFLs with environmental stickers--perhaps out of spite for environmental movement; Associations; Communicating environmental issues; messenger effects</t>
  </si>
  <si>
    <t>Summary</t>
  </si>
  <si>
    <t xml:space="preserve">Ordinary, Vivid </t>
  </si>
  <si>
    <t>Published</t>
  </si>
  <si>
    <t>7, 5</t>
  </si>
  <si>
    <t>Climate, Human Health</t>
  </si>
  <si>
    <t>2000, 10000</t>
  </si>
  <si>
    <t>Climate - Take Action, Human Health - How people cook and eat</t>
  </si>
  <si>
    <t>Nudging environmental behavior</t>
  </si>
  <si>
    <t xml:space="preserve">Website (Yes, No, Maybe, Future)? </t>
  </si>
  <si>
    <t>How to Win Friends and Bamboozle People About Climate Change</t>
  </si>
  <si>
    <t>David Biello</t>
  </si>
  <si>
    <t>"Would this grocery cart, outfitted with a reflection of your face, make you buy more produce" Probably. http://bit.ly/1ILbtvX  #nudges</t>
  </si>
  <si>
    <t>Ordinary - Make the encouraged behavior obvious, Provide positive social proof</t>
  </si>
  <si>
    <t>Behavioral Problem or Solutions --&gt; Problem, Solution, N/A</t>
  </si>
  <si>
    <t>BUILDING BLOCK or PROBLEM (Biases, Heuristics etc)</t>
  </si>
  <si>
    <t>Decision Making Under Climate Uncertainty: The Power of Understanding Judgment and Decision Processes</t>
  </si>
  <si>
    <t>Marx, S. M., &amp; Weber, E. U.</t>
  </si>
  <si>
    <t>Communication; review of a documentary about climate change communication</t>
  </si>
  <si>
    <t>Center for Research on Environmental Decisions</t>
  </si>
  <si>
    <t>The disciplines of economics and political science, as well as applied climate science, have added a great deal to our understanding of the obstacles to the use of climate information. However, in order for climate information to be fully embraced and successfully implemented into risk management, the issue needs to be looked at in terms of risk communication in human decision makers—(as) individuals and (in) groups. What is special about human risk perception and decision making under risk and situations of uncertainty regarding climate? This is where psychology, behavioral economics, and behavioral game theory offer important insights and tools to design effective risk management processes. In this chapter we first discuss uncertainty as a barrier to predictability. We review how normative and descriptive models differ in their postulates about the processes by which people predict the likelihood of uncertain events, choose among actions with uncertain outcomes, and among actions with delayed outcomes. Throughout (this paper we discuss the challenges (and possibly opportunities) that arise from the fact that decision makers employ readily available heuristics, taking advantage of memory and past experience. However, the use of heuristics can also lead to systematic biases, and (b) have multiple and oftentimes conflicting goals, as they are influenced by a range of qualitatively different incentives in their judgments, decisions, and actions. The chapter concludes with suggestions on how to overcome barriers of uncertainty by using insights from behavioral decision research in constructive ways to designing climate risk communication and effective decision environments that will be effective in achieving goals of possible policy interventions.</t>
  </si>
  <si>
    <t>Associations, Identity, Relatable, Vivid</t>
  </si>
  <si>
    <t>4, 6, 8, 5</t>
  </si>
  <si>
    <t xml:space="preserve">Associations - Meet people where they are, Relatable - Connect at a local level , Identity - None, Vivid - None </t>
  </si>
  <si>
    <t>400, 802</t>
  </si>
  <si>
    <t>Future</t>
  </si>
  <si>
    <t>The Psychology of Climate Change Communication</t>
  </si>
  <si>
    <t>Center for Research on Environmental Decisions (CRED)</t>
  </si>
  <si>
    <t>N/A</t>
  </si>
  <si>
    <t>Study of the Day: Why That Last Piece of Chocolate Tastes the Best</t>
  </si>
  <si>
    <t>Hans Villarica</t>
  </si>
  <si>
    <t>The Atlantic</t>
  </si>
  <si>
    <t xml:space="preserve">Ordinary - Provide positive social proof, Identtiy - None </t>
  </si>
  <si>
    <t>The Sustainable Lifestyles Framework</t>
  </si>
  <si>
    <t>Centre of Expertise on Influencing Behaviour</t>
  </si>
  <si>
    <t>The brutally dishonest attacks on Showtime’s landmark climate series</t>
  </si>
  <si>
    <t>Joseph Romm</t>
  </si>
  <si>
    <t>Decision Science; scarcity</t>
  </si>
  <si>
    <t>grist</t>
  </si>
  <si>
    <t>inspiring movements; pseudoscience; climate science</t>
  </si>
  <si>
    <t>Article about error ridden op-ed by Breakthrough Institute in NYT attacks new climate series Years of Living Dangerously, despite rave reviews by others</t>
  </si>
  <si>
    <t>Americans Believe in Science, Just Not its Findings</t>
  </si>
  <si>
    <t>Julie Beck</t>
  </si>
  <si>
    <t>Easy, Lasting, Ordinary, Vivid</t>
  </si>
  <si>
    <t>2, 10, 7 ,5</t>
  </si>
  <si>
    <t>Easy - Set the stage for easy action, Lasting - Temporarily reward habit forming behaviors, Ordinary - Socially model the desired behavior, Vivid - Link the action to its impact</t>
  </si>
  <si>
    <t>200, 1003, 702, 502</t>
  </si>
  <si>
    <t>Behavioral Economics: Seven principles for policy-makers</t>
  </si>
  <si>
    <t xml:space="preserve">Dawnay, E., &amp; Shah, H. </t>
  </si>
  <si>
    <t>Change Labs</t>
  </si>
  <si>
    <t xml:space="preserve">Most people think #science is on their side...but these numbers prove otherwise http://ow.ly/OpUdC  </t>
  </si>
  <si>
    <t>The last one really does taste best. Our brain's last-is-best bias (retweet from thesocialbrain)</t>
  </si>
  <si>
    <t>Five ways that people frame climate change debates</t>
  </si>
  <si>
    <t>Laurence and Alison Matthews</t>
  </si>
  <si>
    <t>The Guardian</t>
  </si>
  <si>
    <t>Communication; Associations</t>
  </si>
  <si>
    <t>The aim of this Briefing is primarily to be an aid to policy-makers who use economic tools, by providing a summary of the latest thinking from behavioural economics. It should also be helpful to the broader policy-making community by providing a theoretical underpinning for many policy approaches that have, up to now, been used intuitively.  The standard (neoclassical) economic analysis assumes that humans are rational and behave in a way to maximise their individual self-interest. Whilst this ‘rational man’ assumption yields a powerful tool for analysis, it has many shortfalls that can lead to unrealistic economic analysis and policy-making. This Briefing distils many concepts from behavioural economics and psychology down to seven key principles, which highlight the main shortfalls in the neoclassical model of human behavior.  The seven principles:  1  Other people’s behaviour matters: people do many things by observing others and copying; people are encouraged to continue to do things when they feel other people approve of their behaviour.  2  Habits are important: people do many things without consciously thinking about them. These habits are hard to change – even though people might want to change their behaviour, it is not easy for them.  3  People are motivated to ‘do the right thing’: there are cases where money is de-motivating as it undermines people’s intrinsic motivation, for example, you would quickly stop inviting friends to dinner if they insisted on paying you.  4  People’s self-expectations influence how they behave: they want their actions to be in line with their values and their commitments.  5  People are loss-averse and hang on to what they consider ‘theirs’.  6  People are bad at computation when making decisions: they put undue weight on recent events and too little on far-off ones; they cannot calculate probabilities well and worry too much about unlikely events; and they are strongly influenced by how the problem/information is presented to them.  7  People need to feel involved and effective to make a change: just giving people the incentives and information is not necessarily enough.  In the following pages these principles are described in more detail, the theory is contrasted with that of neoclassical economics, further illustrative examples are given and finally the implications of these principles for policy-making are discussed. Our aim is to change the analytical framework for policy as well as to maximise the impact of policy interventions. We also hope to reduce unintended outcomes arising from making decisions based solely on a neoclassical economic analysis.</t>
  </si>
  <si>
    <t>five ways that people frame climate change debates (retweet from decisionlab)</t>
  </si>
  <si>
    <t>Research reveals current climate engagement strategies are failing to reach young people</t>
  </si>
  <si>
    <t>Adam Corner</t>
  </si>
  <si>
    <t>Climate Outreach</t>
  </si>
  <si>
    <t>Communication; Communicating environmental issues</t>
  </si>
  <si>
    <t>Manual on behavioral insights and how policy makers can use them to tailor their campaigns</t>
  </si>
  <si>
    <t>Environmental #policy makers, NEF has created a new guide on behavioral economics specifically for you! #advocacy</t>
  </si>
  <si>
    <t>links to related podcast and full report</t>
  </si>
  <si>
    <t>Identity, Lasting</t>
  </si>
  <si>
    <t>6, 10</t>
  </si>
  <si>
    <t>Identity - Use "implementation intentions", Lasting - Capitalize on life changes, Lasting - Design a habit supportive environment</t>
  </si>
  <si>
    <t>Global Warming Scare Tactics</t>
  </si>
  <si>
    <t>603, 1001,</t>
  </si>
  <si>
    <t>Ted Nordhaus and Michael Shellenberger</t>
  </si>
  <si>
    <t>New York Times</t>
  </si>
  <si>
    <t>Associations and fear</t>
  </si>
  <si>
    <t>Green Failure: What's Wrong with Environmental Education?</t>
  </si>
  <si>
    <t>Michelle Nijhuis</t>
  </si>
  <si>
    <t>Habits, Routines, and Sustainable Lifestyles</t>
  </si>
  <si>
    <t>Yale Environment 360</t>
  </si>
  <si>
    <t>Darnton, A., Verplanken, B., White, P., &amp; Withmarsh, L.</t>
  </si>
  <si>
    <t xml:space="preserve">environmental education should incorporate values, stewardship </t>
  </si>
  <si>
    <t>Some Psychological Consequences of Putting a Price on Nature</t>
  </si>
  <si>
    <t>This report provides a summary of findings from a literature review on the role of habit in relation to sustainable behaviours. It sets out the theory on habit from two different perspectives, identifies effective techniques for bringing about habit change, and draws out implications for policy makers and practitioners. The review has highlighted the importance of understanding habit when designing interventions to influence behavior.  The review adopts an interdisciplinary approach, looking at the theory on habits from first a social psychological, and then a sociological, perspective. The aim is to understand and draw out the differences between the two ways of thinking about habits, in order to help policy makers and practitioners identify different ways of intervening to change habits. Because the two approaches (particularly when taken at their more extreme ends) are based on fundamentally different ways of understanding behaviours and practices, the theories are kept distinct in this review. In doing this, the intention is not to present opposing views, but rather to establish the two distinct approaches as offering different opportunities for interventions designed to change habits. When the implications of these two perspectives are drawn out, we arrive at an integrated set of potential interventions, which together can address habits on multiple levels.  The methodology for the study involved a literature review, guided by an expert advisory panel, and included a systematic search of academic databases. A practical workshop with the advisory group was also convened, to draw out implications from the theory on habits, and begin to shape practical interventions for habit change in the context of sustainable behaviours.</t>
  </si>
  <si>
    <t>Tom Crompton</t>
  </si>
  <si>
    <t>Common Cause Foundation</t>
  </si>
  <si>
    <t>Crompton makes the argument that the environmental movement does not always benefit from Associations the importance of natural resources in financial terms. He cites research which showed that those who were exposed to environmental messages that extolled the intrinsic value of nature were more likely to say that they would help work on environmental issues compared to those who received economic messages.</t>
  </si>
  <si>
    <t>Associations, Benefits</t>
  </si>
  <si>
    <t>Consumption - General</t>
  </si>
  <si>
    <t>Green Initiatives Improve a Brand’s Perceived Value</t>
  </si>
  <si>
    <t>Lewis Robinson</t>
  </si>
  <si>
    <t>Triple Pundit</t>
  </si>
  <si>
    <t>Resonate = Yes; Personal = No</t>
  </si>
  <si>
    <t>Resonate = No; Personal = No</t>
  </si>
  <si>
    <t xml:space="preserve">overview of how businesses can successfully incorporate green incentives </t>
  </si>
  <si>
    <t>Report on the importance of habit to sustainable behaviors</t>
  </si>
  <si>
    <t>Some psychological consequences of putting a price on nature http://ow.ly/UdUCz </t>
  </si>
  <si>
    <t>Yes (1/28/2015)</t>
  </si>
  <si>
    <t xml:space="preserve">Associations </t>
  </si>
  <si>
    <t>The Negative Social Impact of Conspiracy Theories</t>
  </si>
  <si>
    <t>Karen Douglas</t>
  </si>
  <si>
    <t>The New York Times</t>
  </si>
  <si>
    <t>behavior; conspiracy theories make people less willing to act/engage because they feel powerless</t>
  </si>
  <si>
    <t>Foot in the Door</t>
  </si>
  <si>
    <t>Changing Minds</t>
  </si>
  <si>
    <t>"These days, if your business isn’t going #green, it’s going extinct." http://ow.ly/OsK2C  @TriplePundit #gogreen</t>
  </si>
  <si>
    <t xml:space="preserve">Another overview </t>
  </si>
  <si>
    <t>Associations, Relatable</t>
  </si>
  <si>
    <t>Climate - Belief, Climate - Communication</t>
  </si>
  <si>
    <t>Finding Common Ground at the Thanksgiving Table</t>
  </si>
  <si>
    <t>Have you heard of the Foot In The Door technique? http://ow.ly/TYKLW </t>
  </si>
  <si>
    <t>Anthony Leiserowirz, Geoff Feinberg and Seth Rosenthal</t>
  </si>
  <si>
    <t>Yale Project on Climate Change Communication</t>
  </si>
  <si>
    <t>Statistics on shared climate.environment behavior between republicans and democrats</t>
  </si>
  <si>
    <t>Natural Disasters</t>
  </si>
  <si>
    <t xml:space="preserve">Hopeful, Identity </t>
  </si>
  <si>
    <t>Hopeful - Provide feedback, Identity - Ask for a commitment</t>
  </si>
  <si>
    <t>Comment: Our Flawed perceptions of risk</t>
  </si>
  <si>
    <t>304, 602</t>
  </si>
  <si>
    <t>Katherine Fox-Glasssman</t>
  </si>
  <si>
    <t>Earth Magazine</t>
  </si>
  <si>
    <t>Decision Science; Risk perception</t>
  </si>
  <si>
    <t>With a little help from a friend: A Shower Calendar to save water.</t>
  </si>
  <si>
    <t>Laschke, M., Hassenzahl, M., Diefenbach, S., &amp; Tippkamper, M.</t>
  </si>
  <si>
    <t>CHI 2011</t>
  </si>
  <si>
    <t>Yale Center for Climate Communication's thoughts on talking about #climatechange with family &amp; friends</t>
  </si>
  <si>
    <t>This design case presents and discusses the Shower Calendar, a "persuasive" concept for reducing the con-sumption of water for showering. It starts from a discussion of different types of feedback employed by earlier design cases. Based on this, we designed the Calendar concept as an ambient, persistent and individualized feedback. A field study with two families (6 individuals) revealed that the Calendar fosters goal setting, comparison, competition, and communication. In addition, quantitative data showed one family to have been more successful in translating the Calendar's offer into actual behavior change, i.e., saving water. This highlights that change is not achieved by the product itself (as in automation or regulation), but by the people involved.</t>
  </si>
  <si>
    <t xml:space="preserve">Why americans ignore the role of luck in everything </t>
  </si>
  <si>
    <t xml:space="preserve">Jesse Singal </t>
  </si>
  <si>
    <t xml:space="preserve">Science of us </t>
  </si>
  <si>
    <t xml:space="preserve">the author explores why some people have such a strong aversion to luck, and would rather rely on explanations having to do with meritocracy-- explores the mental frameworks surrounding this defense and general aversion to luck. </t>
  </si>
  <si>
    <t xml:space="preserve">needs vignette </t>
  </si>
  <si>
    <t>our inability to conceptualize risk influences how we plan for extreme environmental events</t>
  </si>
  <si>
    <t xml:space="preserve">probabilities </t>
  </si>
  <si>
    <t xml:space="preserve">No </t>
  </si>
  <si>
    <t>"This design case presents and discusses the Shower Calendar, a "persuasive" concept for reducing the con-sumption of water for showering"</t>
  </si>
  <si>
    <t>Publicly Recommend</t>
  </si>
  <si>
    <t>Associations, Vivid</t>
  </si>
  <si>
    <t>1 kWh website</t>
  </si>
  <si>
    <t>Opower</t>
  </si>
  <si>
    <t>Website translating electricity consumption effectively; standing out</t>
  </si>
  <si>
    <t>Easy - Erect barriers to undesirable actions, Easy - Make it the default setting, Easy - Reduce choices</t>
  </si>
  <si>
    <t>206, 205, 202</t>
  </si>
  <si>
    <t>Smarter lunchrooms: Using behavioral economics to improve meal selection</t>
  </si>
  <si>
    <t xml:space="preserve">Just, D. R., &amp; Wansink, B. </t>
  </si>
  <si>
    <t>Choices</t>
  </si>
  <si>
    <t>Here are some more unique ways of visualizing energy use from 0power!</t>
  </si>
  <si>
    <t>4, 8</t>
  </si>
  <si>
    <t xml:space="preserve">Here's are some creative ways of visualizing energy usage from 0power! </t>
  </si>
  <si>
    <t>Conservatives don’t hate climate science. They hate the left’s climate solutions</t>
  </si>
  <si>
    <t>Chris Mooney</t>
  </si>
  <si>
    <t>The Washington Post</t>
  </si>
  <si>
    <t>Climate - General Action</t>
  </si>
  <si>
    <t>We Are Not Not Evolved to Respond to Climate Change</t>
  </si>
  <si>
    <t>Jennifer Jacquet</t>
  </si>
  <si>
    <t>Center for Humans &amp; Nature</t>
  </si>
  <si>
    <t>Resonate = Yes; Vivid = No</t>
  </si>
  <si>
    <t>Resonate = No; Vivid = No</t>
  </si>
  <si>
    <t>more greens and grains</t>
  </si>
  <si>
    <t>4, 5</t>
  </si>
  <si>
    <t>How 'Solution Aversion' and Global Warming Prescriptions Polarize the Climate Debate</t>
  </si>
  <si>
    <t>Andrew C. Revkin</t>
  </si>
  <si>
    <t>"...the human brain evolved to respond to threats like terrorism, not #climatechange" http://ow.ly/OpXpM  but #culture plays a part too</t>
  </si>
  <si>
    <t>Consumption, Wildlife</t>
  </si>
  <si>
    <t>3000, 23000</t>
  </si>
  <si>
    <t>Consumption - Plastics, Wildlife - Hunting</t>
  </si>
  <si>
    <t>Revkin shares the results of a recent study appearing in the Journal of Personality and Social Psychology which finds that people will evaluate scientific evidence based on whether they believe its policy implications are politically desirable. Specifically, the study found that Republicans are likely to deny the existence of climate change because they are opposed to government regulation--not the science of climate change itself: Republicans were more likely to believe a statement predicting temperature increases when the proposed solution emphasized the free market than when the proposed solution involved taxes on carbon emissions.</t>
  </si>
  <si>
    <t>Chris Jordan photo series</t>
  </si>
  <si>
    <t>Chris Jordan</t>
  </si>
  <si>
    <t>Think before you drink</t>
  </si>
  <si>
    <t xml:space="preserve">Chris Jordan </t>
  </si>
  <si>
    <t xml:space="preserve">Susanna Rustin </t>
  </si>
  <si>
    <t>salience; Overcoming perceptual barriers, standing out.</t>
  </si>
  <si>
    <t>Creating sustainable habits</t>
  </si>
  <si>
    <t xml:space="preserve">An easy way to save a lot of waste that you may not have thought of #MakeitEasy </t>
  </si>
  <si>
    <t xml:space="preserve">Any easy was to reduce a lot of non recyclable waste! Stick a reusable mug in your bag before going out for the day #makeiteasy #bemindful </t>
  </si>
  <si>
    <t>Social Cohesion: The Secret Weapon in the Fight for Equitable Climate Resilience</t>
  </si>
  <si>
    <t>Danielle Baussan</t>
  </si>
  <si>
    <t>Center for American Progress</t>
  </si>
  <si>
    <t xml:space="preserve">environmental inequality </t>
  </si>
  <si>
    <t xml:space="preserve">Lasting - Start with a tiny behavior </t>
  </si>
  <si>
    <t>Impacts of climate change on travel habits: A national assessment based on individual choices</t>
  </si>
  <si>
    <t>Yes (1/13/2015)</t>
  </si>
  <si>
    <t>Aaheim, H. A., &amp; Hauge, K. E.</t>
  </si>
  <si>
    <t>CICERO Center for International Climate and Environmental Research</t>
  </si>
  <si>
    <t>Social Cohesion: The Secret Weapon in the Fight for Equitable Climate Resilience http://ow.ly/OpRN6  #humanelement #climatechange</t>
  </si>
  <si>
    <t>Impacts of climate change on the choice of transport mode for local trips are estimated from data for the city of Bergen in Norway. By means of a climate scenario for other main cities, the impacts for Norway are assessed under the assumption that people in these cities respond similarly to the people of Bergen. The scenario leads to an increase in public transport and in walking and bicycling, while the use of private transport decreases. The total impacts are small, but may be of significance in certain places. The study also shows that national consequences of climate change cannot be properly estimated by aggregating local-level impacts.</t>
  </si>
  <si>
    <t>Scientists: Earth Endangered by New Strain of Fact-Resistant Humans</t>
  </si>
  <si>
    <t>The New Yorker</t>
  </si>
  <si>
    <t xml:space="preserve">Parody of climate change deniers </t>
  </si>
  <si>
    <t>"Impacts of climate change on the choice of transport mode for local trips are estimated from data for the city of Bergen in Norway. By means of a climate scenario for other main cities, the impacts for Norway are assessed under the assumption that people in these cities respond similarly to the people of Bergen. The scenario leads to an increase in public transport and in walking and bicycling, while the use of private transport decreases"</t>
  </si>
  <si>
    <t>satire</t>
  </si>
  <si>
    <t>"Earth Endangered by New Strain of Fact-Resistant Humans" http://nyr.kr/1GhUQEr  #environmental #satire #haha</t>
  </si>
  <si>
    <t>Why Cyclists Form Stronger Commuting Habits Than Drivers</t>
  </si>
  <si>
    <t>The awful truth about climate change no one wants to admit</t>
  </si>
  <si>
    <t>Eric Jaffe</t>
  </si>
  <si>
    <t>City Lab</t>
  </si>
  <si>
    <t>vox</t>
  </si>
  <si>
    <t>Awareness, General</t>
  </si>
  <si>
    <t>Does shame have a place in the climate fight? Jennifer Jacquet thinks so</t>
  </si>
  <si>
    <t>Amelia Urry</t>
  </si>
  <si>
    <t>"That’s a lot of neuroscience standing between cities and reduced car reliance. But it turns out drivers aren’t the only ones whose brains get beholden to a certain manner of commuting. New evidence claiming to be the first of its kind suggests that people who walk or ride a bike to work also become behaviorally attached to their travel type—and may even form stronger habits than drivers do."</t>
  </si>
  <si>
    <t xml:space="preserve">Why it is easy for individuals to feel guilt about their consumption rather than shame toward corporations contributing to environmental degradation </t>
  </si>
  <si>
    <t>An Underrated Approach to Cutting Car Commutes: Peer Pressure</t>
  </si>
  <si>
    <t>How a Co-Worker's Breast Cancer Diagnosis Affects Colleagues</t>
  </si>
  <si>
    <t>Shankar Vedantam</t>
  </si>
  <si>
    <t>NPR</t>
  </si>
  <si>
    <t>Decision Science; social norms</t>
  </si>
  <si>
    <t xml:space="preserve">Does shame have a place in the #climate fight? @jenniferjacquet thinks so http://ow.ly/P0GiC  </t>
  </si>
  <si>
    <t>Decision-Making</t>
  </si>
  <si>
    <t>Society for Neuroscience</t>
  </si>
  <si>
    <t>Decision Science</t>
  </si>
  <si>
    <t>Food - Animal Product Consumption</t>
  </si>
  <si>
    <t>Sir Paul McCartney raps for Meat Free Monday campaign</t>
  </si>
  <si>
    <t>Haroon Siddique</t>
  </si>
  <si>
    <t>The next steps towards a new kind of climate movement</t>
  </si>
  <si>
    <t>Graham Reeder</t>
  </si>
  <si>
    <t>Climate Access</t>
  </si>
  <si>
    <t>Decision-making, a seamless brain process that we’re usually unaware of—until it results in unexpected consequences. http://ow.ly/TMGo1 </t>
  </si>
  <si>
    <t xml:space="preserve">Benefits, Easy </t>
  </si>
  <si>
    <t>The Curious Politics of the Nudge</t>
  </si>
  <si>
    <t>Craig R. Fox and David Tannenbaum</t>
  </si>
  <si>
    <t>politics</t>
  </si>
  <si>
    <t>Loss Aversion, Status Quo Bias</t>
  </si>
  <si>
    <t>Want to Change Behavior? First Understand What You Are Asking People to Give Up</t>
  </si>
  <si>
    <t>Matthew Willcox</t>
  </si>
  <si>
    <t>Institute of Decision Making</t>
  </si>
  <si>
    <t>THE NEXT STEPS TOWARDS A NEW KIND OF #CLIMATE MOVEMENT http://ow.ly/PcVJV </t>
  </si>
  <si>
    <t>Associations; loss aversion</t>
  </si>
  <si>
    <t>basically he is just trying to sell his book</t>
  </si>
  <si>
    <t>Cognitive Bias - Backfire Effect</t>
  </si>
  <si>
    <t>Associations, Hopeful, Relatable</t>
  </si>
  <si>
    <t>4, 3, 8</t>
  </si>
  <si>
    <t xml:space="preserve">Want To Change Behavior? First Understand What You Are Asking People To Give Up. http://ow.ly/TYLpn  </t>
  </si>
  <si>
    <t>The Backfire Effect</t>
  </si>
  <si>
    <t>David McRaney</t>
  </si>
  <si>
    <t>You Are Not So Smart</t>
  </si>
  <si>
    <t xml:space="preserve">Using New Economic Frames to Drive Climate Action </t>
  </si>
  <si>
    <t>Cara Pike</t>
  </si>
  <si>
    <t>What's really warming the world?</t>
  </si>
  <si>
    <t>Eric Roston and Blacki Migliozzi</t>
  </si>
  <si>
    <t>Examples of how to talk to diverse groups about climate action and why its important</t>
  </si>
  <si>
    <t>Cognitive Bias - Confirmation Bias</t>
  </si>
  <si>
    <t>Why there is no liberal equivalent to climate change denial</t>
  </si>
  <si>
    <t>Ben Adler</t>
  </si>
  <si>
    <t xml:space="preserve">What accounts for the planet's rising temperature? Show this to #climate skeptics: http://ow.ly/OLBeK " </t>
  </si>
  <si>
    <t>Green growth, re-wilding, &amp; stewardship narratives are great ways to inspire climate action! Read more about them:</t>
  </si>
  <si>
    <t>For the Love of…</t>
  </si>
  <si>
    <t>Climate Coalition</t>
  </si>
  <si>
    <t>NOT Decision Science but this may be good contact for our press release…</t>
  </si>
  <si>
    <t xml:space="preserve">nonessential </t>
  </si>
  <si>
    <t xml:space="preserve">. @badler 's theory as to why there is no liberal equivalent to climate change denialism http://ow.ly/OvBEH  </t>
  </si>
  <si>
    <t>Associations, Hopeful, Relatable, Vivid</t>
  </si>
  <si>
    <t>4, 3, 8, 5</t>
  </si>
  <si>
    <t xml:space="preserve">What you need to know about the changing climate conversation </t>
  </si>
  <si>
    <t>Vaccine Opponents Can Be Immune to Education</t>
  </si>
  <si>
    <t xml:space="preserve">Relatable </t>
  </si>
  <si>
    <t>Tips on how to overcome biases in climate change conversations</t>
  </si>
  <si>
    <t>Climate Change Beliefs, Parsed on a Local Level, Paint a Valuable Portrait</t>
  </si>
  <si>
    <t>John H. Cushman Jr.</t>
  </si>
  <si>
    <t>Inside Climate News</t>
  </si>
  <si>
    <t>A new tool created by Yale University allows anyone to investigate  American's attitudes towards climate change down the county level. This information, which makes statistical predictions based on a wide variety of societal and demographic variables, could be incredibly valuable to those hoping to shape environmental policy; A new statistical model created at Yale University allows anyone to examine attitudes towards climate change all over the country down to the local level. This tool is expected to be useful for social scientists, planners, and policy-makers who need this kind of information to make policy decisions and decide how they will rally support for environmental programs; communication</t>
  </si>
  <si>
    <t>This is a #mustread article on psychological biases, climate change &amp;  overcoming both! #hope</t>
  </si>
  <si>
    <t>#ClimateChange Beliefs, Parsed on a Local Level, Paint a Valuable Portrait http://ow.ly/P0XJo </t>
  </si>
  <si>
    <t>Yes (4/14/2015)</t>
  </si>
  <si>
    <t xml:space="preserve">Here's how scientific misinformation, such as climate doubt, spreads through social media </t>
  </si>
  <si>
    <t>Food - General</t>
  </si>
  <si>
    <t>inspired to ignite World Vision's 30 hour famine movement</t>
  </si>
  <si>
    <t xml:space="preserve">CTV Calgary Staff </t>
  </si>
  <si>
    <t>CTV News</t>
  </si>
  <si>
    <t>Communicating through shared values</t>
  </si>
  <si>
    <t>Amy Huva</t>
  </si>
  <si>
    <t xml:space="preserve">Chelsea Harvey </t>
  </si>
  <si>
    <t>Confirmation bias, communicating with conspiracy theorists</t>
  </si>
  <si>
    <t>communication-- According to the toolkit, values-based communication needs to:
Emphasize intrinsic values (or internally motivating values) like connection to people, land, justice or equality.
Avoid extrinsic values (or externally motivating values) like social status, wealth or power.
Creatively engage intrinsic values in ways that may not be obvious and help bridge climate change with other issues, such as health or social justice.</t>
  </si>
  <si>
    <t>Students, adults learn about, experience famine</t>
  </si>
  <si>
    <t>Tom Stockwell</t>
  </si>
  <si>
    <t>St. Helena Star</t>
  </si>
  <si>
    <t>Heres how Confirmation Bias works in climate change disbelief</t>
  </si>
  <si>
    <t>It's clear that values-based messages are among the most effective for reaching audiences http://ow.ly/PcVv8  #climate #communication</t>
  </si>
  <si>
    <t>The Science of Why We Don't Believe Science</t>
  </si>
  <si>
    <t>Mother Jones</t>
  </si>
  <si>
    <t>Time Spent Hungry, Time Well Spent</t>
  </si>
  <si>
    <t>Rosalind S. Helderman</t>
  </si>
  <si>
    <t>Climate - Communication, Climate - Emissions</t>
  </si>
  <si>
    <t>Connecting Climate, Health and Opportunity</t>
  </si>
  <si>
    <t>communication</t>
  </si>
  <si>
    <t>Science Confirms: Politics Wrecks Your Ability to Do Math</t>
  </si>
  <si>
    <t>It takes more than facts to inspire people to care about environmental issues--it takes a powerful story. Scientists are realizing that empowering stories and solution-based discussions promote engagement with and support for environmental campaigns.</t>
  </si>
  <si>
    <t>Dose of Decision Science - Loss Aversion</t>
  </si>
  <si>
    <t>Root Solutions</t>
  </si>
  <si>
    <t xml:space="preserve">Check out our mini Dose of Decision Science about Loss Aversion! </t>
  </si>
  <si>
    <t>Interesting research suggesting ideology skews reasoning more in people with greater reasoning capacities. http://bit.ly/14qVvi5</t>
  </si>
  <si>
    <t>http://bit.ly/14qVvi5</t>
  </si>
  <si>
    <t>CONNECTING CLIMATE, HEALTH AND OPPORTUNITY http://ow.ly/PcVEm  #climatechange #communication</t>
  </si>
  <si>
    <t>RS original</t>
  </si>
  <si>
    <t>Why People "Fly From Facts"</t>
  </si>
  <si>
    <t>Troy Campbell and Justin Friesen</t>
  </si>
  <si>
    <t xml:space="preserve">Polarization and facts-- when facts can increase receptivity to a message and when they worsen it </t>
  </si>
  <si>
    <t>Associations messages around losses vs gains can effect the success of environmental efforts. Read more here http://bit.ly/losavers  #lossaversion</t>
  </si>
  <si>
    <t>Communicating Complexity</t>
  </si>
  <si>
    <t>frameworksinstitute</t>
  </si>
  <si>
    <t>Frameworks Institute</t>
  </si>
  <si>
    <t>Benefits, Hopeful, Relatable, Vivid</t>
  </si>
  <si>
    <t>1, 3, 8, 5</t>
  </si>
  <si>
    <t>Research shows the appeal of untestable beliefs &amp; Why People "Fly from Facts" http://ow.ly/OvD5y </t>
  </si>
  <si>
    <t>Highlights from the Hub</t>
  </si>
  <si>
    <t>Meredith Hurr</t>
  </si>
  <si>
    <t xml:space="preserve">Associations climate conversations in effective ways </t>
  </si>
  <si>
    <t>Cognitive Bias - Confirmation Bias, Cognitive Bias - General</t>
  </si>
  <si>
    <t>Climate Change</t>
  </si>
  <si>
    <t>What Americans Think About Climate Change--It's Complicated</t>
  </si>
  <si>
    <t>Ben Schiller</t>
  </si>
  <si>
    <t>Apocalypse Neuro: Why Our Brains Don't Process the Gravest Threats to Humanity</t>
  </si>
  <si>
    <t>Fast Company</t>
  </si>
  <si>
    <t>Brian Merchant</t>
  </si>
  <si>
    <t>Motherboard</t>
  </si>
  <si>
    <t>belief in global warming depends on location</t>
  </si>
  <si>
    <t>review of the book "Don't Even Think About it: Why Our Brains are Wired to Ignore Climate Change" by George Marshall</t>
  </si>
  <si>
    <t>What you think about #climatechange ultimately comes down to where you live http://ow.ly/OpUSS </t>
  </si>
  <si>
    <t>Why Our Brains Don't Process the Gravest Threats to Humanity http://ow.ly/OcLap  #cognitive reasons as to why people deny #climatechange</t>
  </si>
  <si>
    <t>Cognitive Bias - Confirmation Bias, Cognitive Bias - Identifiable Victim Effect</t>
  </si>
  <si>
    <t>Want People to Save Energy? Choose the Right Imagery</t>
  </si>
  <si>
    <t>The Media's Role in Climate Change Action</t>
  </si>
  <si>
    <t>Cindy Frei</t>
  </si>
  <si>
    <t>Reade Levinson</t>
  </si>
  <si>
    <t>ecoAffect</t>
  </si>
  <si>
    <t>The Stanford Daily</t>
  </si>
  <si>
    <t>The Identifiable Victim Effect, confirmation bias, and the brain's inability to deal with uncertainty all influence how climate change is portrayed in the media--and our reaction to it; Communication; cognitive biases and failures in climate change communucation</t>
  </si>
  <si>
    <t>New research from Resource Media's Visual Story Lab offers insights into the types of images that can inspire people to save energy and support energy-saving programs. Their work has found that the best images to use are those that show real people doing tangible things to save energy.</t>
  </si>
  <si>
    <t>how the media plays on our congitive biases and alters our perception of climate change</t>
  </si>
  <si>
    <t>Use images that illustrate actions your target audience can take to reduce their environmental impact http://bit.ly/1DhffEC </t>
  </si>
  <si>
    <t>Metaphors for Environmental Sustainability: Redefining Our Relationship with Nature</t>
  </si>
  <si>
    <t>Brendon Larson</t>
  </si>
  <si>
    <t>BOOK: Metaphors for Environmental Sustainability: Redefining Our Relationship with #Nature http://ow.ly/P0XgU  @BrendonLarson</t>
  </si>
  <si>
    <t>Benefits, Relatable, Vivid</t>
  </si>
  <si>
    <t>1, 8, 5</t>
  </si>
  <si>
    <t xml:space="preserve">Misleading comparisons of comparisons of probability </t>
  </si>
  <si>
    <t>Inspire Action Through Smart Energy</t>
  </si>
  <si>
    <t>Goldstein, D.</t>
  </si>
  <si>
    <t>Decision Science News</t>
  </si>
  <si>
    <t>Amy Frykman</t>
  </si>
  <si>
    <t xml:space="preserve">different ways to express probability and how the brain processes percentage decreases </t>
  </si>
  <si>
    <t>Using imagery to get people excited about energy efficiency</t>
  </si>
  <si>
    <t>Cognitive Bias - General</t>
  </si>
  <si>
    <t>Cognitive Biases are Bad for Business</t>
  </si>
  <si>
    <t>Jim Taylor</t>
  </si>
  <si>
    <t>Psychology Today</t>
  </si>
  <si>
    <t>The Power of (Finding) a Story</t>
  </si>
  <si>
    <t xml:space="preserve">check out the associated report </t>
  </si>
  <si>
    <t>#Cognitive #Biases Are Bad for Business http://ow.ly/TMGLJ </t>
  </si>
  <si>
    <t>Blissful Ignorance Is Almost Our Natural State</t>
  </si>
  <si>
    <t>Nick Chater</t>
  </si>
  <si>
    <t>WBS Blog</t>
  </si>
  <si>
    <t>Washington Governor Puts Focus on Climate Goals, and Less on Debate</t>
  </si>
  <si>
    <t>Kirk Johnson</t>
  </si>
  <si>
    <t>http://www.nytimes.com/2015/04/05/us/politics/washington-governor-puts-focus-on-climate-goals-and-less-on-debate.html?smprod=nytcore-iphone&amp;smid=nytcore-iphone-share</t>
  </si>
  <si>
    <t>In the words of behavioral science professor Nick Chater: “In our minds, there is a constant struggle between our short-term self and our long-term self. These forces are always battling away when we are considering whether to find out potentially worrying (though perhaps useful) information or whether to just avoid it. But our bias is to favour the immediate rewards of the short-term self and avoid the potentially unwanted information, effectively burying our head in the sand. Even when the information is a matter of life and death people tend to avoid it because of this imbalance to favour the short-term self."; Behavior; Behavior science principles</t>
  </si>
  <si>
    <t>"It's not the flowers," he said. "It's kids' lungs." http://ow.ly/P0c2l  Governor Puts Focus On #Climate Goals, and Less on Debate</t>
  </si>
  <si>
    <t>Using humor effectively to communicate climate change</t>
  </si>
  <si>
    <t>Brian Ettling</t>
  </si>
  <si>
    <t>Communication; Communicating the effects of climate change effectively using humor.</t>
  </si>
  <si>
    <t>Envirnonmental Associations Theory</t>
  </si>
  <si>
    <t>Understanding Environmental Problems</t>
  </si>
  <si>
    <t>Environmental Associations Theory is a new approach to conflict resolution and environmental policy disputes that aids in understanding how and why people act as they do in the context of a particular dispute. This training program guides users through the following three components of Associations activities</t>
  </si>
  <si>
    <t>#Blissful ignorance is almost our natural state http://ow.ly/WMD37</t>
  </si>
  <si>
    <t>All</t>
  </si>
  <si>
    <t>Let's think about cognitive bias</t>
  </si>
  <si>
    <t>Nature</t>
  </si>
  <si>
    <t xml:space="preserve">cognitive science-- confirmation bias and research </t>
  </si>
  <si>
    <t xml:space="preserve">yes </t>
  </si>
  <si>
    <t>Associations, Awareness</t>
  </si>
  <si>
    <t xml:space="preserve">Climate - Communication </t>
  </si>
  <si>
    <t>Systematic Causation and Syria: Obama's Associations Problem</t>
  </si>
  <si>
    <t>USING HUMOR EFFECTIVELY TO COMMUNICATE CLIMATE CHANGE http://ow.ly/TMJ1c </t>
  </si>
  <si>
    <t>Lakoff, G.</t>
  </si>
  <si>
    <t>The Huffington Post Blog</t>
  </si>
  <si>
    <t>more about scientific research than the environment</t>
  </si>
  <si>
    <t>Communicating systemic causation, eg. climate change; cognitive bias; Associations</t>
  </si>
  <si>
    <t>This Graphic Explains 20 Cognitive Biases That Affect Your Decision-Making</t>
  </si>
  <si>
    <t>Patrick Allan</t>
  </si>
  <si>
    <t>lifehacker</t>
  </si>
  <si>
    <t>cognitive biases</t>
  </si>
  <si>
    <t>Human conversation about climate change</t>
  </si>
  <si>
    <t xml:space="preserve">Creating viewpoints of underwater bikepaths sparks converstaion </t>
  </si>
  <si>
    <t>How to Talk About Climate Change So People Will Listen</t>
  </si>
  <si>
    <t>CHARLES C. MANN</t>
  </si>
  <si>
    <t>theatlantic</t>
  </si>
  <si>
    <t xml:space="preserve">How to overcome climate change ideology </t>
  </si>
  <si>
    <t xml:space="preserve">Cognitive Bias - General </t>
  </si>
  <si>
    <t>Marin County is turning flooded bike paths into visuals on the effects of climate change in their community #Vivid</t>
  </si>
  <si>
    <t>How to Talk About Climate Change So People Will Listen http://ow.ly/OpVrB </t>
  </si>
  <si>
    <t>Associations, General</t>
  </si>
  <si>
    <t>Global warming 'pause' didn't happen, study finds</t>
  </si>
  <si>
    <t>karl mathiesen</t>
  </si>
  <si>
    <t>guardian</t>
  </si>
  <si>
    <t xml:space="preserve">Discounting of the "slowed" warming narrative on global warming </t>
  </si>
  <si>
    <t>Climate - Emissions, Environmental Policy</t>
  </si>
  <si>
    <t>Building local support for carbon rules</t>
  </si>
  <si>
    <t>Christa Daniels</t>
  </si>
  <si>
    <t>How gain support for restrictive carbon intiatives amongst crowds that maybe not be in favor of them</t>
  </si>
  <si>
    <t>RT @Coffeewarblers "Global warming 'pause' didn't happen, study finds #climatechange #globalwarming" http://ow.ly/P0HYw </t>
  </si>
  <si>
    <t xml:space="preserve">Social change is not linear </t>
  </si>
  <si>
    <t xml:space="preserve">Climate Access </t>
  </si>
  <si>
    <t>How to talk about climate change amidst climate successes</t>
  </si>
  <si>
    <t>Avoiding Psychological Bias  in Decision Making</t>
  </si>
  <si>
    <t>Mind Tools Editorial Team</t>
  </si>
  <si>
    <t>MindTools</t>
  </si>
  <si>
    <t>How do you turn data into climate action? One way is to use demographic information to influence social norms.</t>
  </si>
  <si>
    <t>Tactics to avoid cognitive bias</t>
  </si>
  <si>
    <t>"Social change isn't linear:" Here's a great #think piece on the ups &amp; downs of our relationship w/ the environment</t>
  </si>
  <si>
    <t>Associations, Ordinary</t>
  </si>
  <si>
    <t>Robustness of social priming results</t>
  </si>
  <si>
    <t>Psychologists strike a blow for reproducibility</t>
  </si>
  <si>
    <t>Yong, E.</t>
  </si>
  <si>
    <t>Nature Journal, News article</t>
  </si>
  <si>
    <t>experimental validity; social priming</t>
  </si>
  <si>
    <t>Climate, Oceans</t>
  </si>
  <si>
    <t>2000, 15000</t>
  </si>
  <si>
    <t>Climate - Communication, Oceans - General</t>
  </si>
  <si>
    <t xml:space="preserve">Case study: visuals and conversations help deepen engagement on climate impact </t>
  </si>
  <si>
    <t>using visuals to communicate about climate change</t>
  </si>
  <si>
    <t>Cognitive Bias - Identifiable Victim Effect</t>
  </si>
  <si>
    <t>Reproducibility of findings on 13 psychological effects; all irreproducible effects involved social priming; pertinent to our Working Group creation</t>
  </si>
  <si>
    <t>Resonate = No; Normal = No</t>
  </si>
  <si>
    <t>The bizarre human tendency that made 'Baby Jessica' a household name in 1987</t>
  </si>
  <si>
    <t xml:space="preserve"> Maz Ali
</t>
  </si>
  <si>
    <t>Upworthy</t>
  </si>
  <si>
    <t>the victim identification effect in the Jessica case</t>
  </si>
  <si>
    <t>How to build climate narratives around national identity and cultural pride</t>
  </si>
  <si>
    <t>George Marshall</t>
  </si>
  <si>
    <t>COIN</t>
  </si>
  <si>
    <t>Associations climate information as narratives that relate to people's national identities can activate instrinsic values of cultural belonging; narratives</t>
  </si>
  <si>
    <t>How can visualizations &amp; dialogue build public concern about climate impacts &amp; involvement in local-level solutions?</t>
  </si>
  <si>
    <t>see Hearth and Hiraeth: Constructing Climate Change Narratives Around National Identity, may be related to make it personal</t>
  </si>
  <si>
    <t>Not suitable</t>
  </si>
  <si>
    <t xml:space="preserve">Cognitive Bias - Illusion of Causality </t>
  </si>
  <si>
    <t>How to build #climate narratives around national identity and cultural pride http://ow.ly/UdR3G  via @climategeorge #climatechange</t>
  </si>
  <si>
    <t>Your brain is primed to reach false conclusions</t>
  </si>
  <si>
    <t>Christie Aschwanden</t>
  </si>
  <si>
    <t>FiveThirtyEight</t>
  </si>
  <si>
    <t>Decision Science; illusion of casuality</t>
  </si>
  <si>
    <t>Associations, Ordinary, Relatable, Vivid</t>
  </si>
  <si>
    <t>4, 7, 8, 5</t>
  </si>
  <si>
    <t>Associations farming</t>
  </si>
  <si>
    <t>Climate Engagement best practices for engaging communities</t>
  </si>
  <si>
    <t>Toronto Environmental Alliance</t>
  </si>
  <si>
    <t>How to frame climate change conversation</t>
  </si>
  <si>
    <t>your brain is primed to reach false conclusions (retweet from fivethirtyeight)</t>
  </si>
  <si>
    <t>2/17/2015; 3/15/2016</t>
  </si>
  <si>
    <t>valuesandframes</t>
  </si>
  <si>
    <t>Cognitive Bias - Loss Aversion, Cognitive Bias - Status Quo Bias</t>
  </si>
  <si>
    <t>The Economics of Tidying Up</t>
  </si>
  <si>
    <t>Bourree Lam</t>
  </si>
  <si>
    <t>Decision Science; mindfulness</t>
  </si>
  <si>
    <t xml:space="preserve">secen important points to remember when creating community based projects, especially #climateaction projects </t>
  </si>
  <si>
    <t>Ordinary - Model the desired behavior</t>
  </si>
  <si>
    <t>Cognitive Bias - Moral licensing</t>
  </si>
  <si>
    <t>The bizarre way that we justify actions that waste energy and are bad for the environment</t>
  </si>
  <si>
    <t>Decision Science; moral licensing; "compensatory green beliefs", cognitive dissonance, social norms, consistency</t>
  </si>
  <si>
    <t>Framing climate risk: We need more than a few magic words</t>
  </si>
  <si>
    <t>Climate Home</t>
  </si>
  <si>
    <t>describes a study of how people respond differently to climate change impacts (ie. people are more likely to resonate with language relating to avoiding waste than they are to language talking about the profits of renewable energy)</t>
  </si>
  <si>
    <t>We justify a little bad with an intended good. It lessens #cognitivedissonance but is it good for the #environment? http://ow.ly/Oq1tk </t>
  </si>
  <si>
    <t>Associations uncertainty assertively</t>
  </si>
  <si>
    <t xml:space="preserve">Sutton Eaves </t>
  </si>
  <si>
    <t>Turning climate change uncertainty into understanding and concern</t>
  </si>
  <si>
    <t>Why One Climate-Friendly Action Doesn't Always Lead to Another (and What to Do About It)</t>
  </si>
  <si>
    <t>Thoughts from Adam Corner at Climate Outreach on the importance of Associations</t>
  </si>
  <si>
    <t>"There may be no ‘magic words’ – but there are definitely better and worse ways of starting a conversation. Associations matters, because starting a conversation with someone on terms they are comfortable with is the first step to building – and sustaining – their engagement."</t>
  </si>
  <si>
    <t>Turn climate change uncertainty into a productive conversation by highlighting risks, impacts, &amp; telling stories.</t>
  </si>
  <si>
    <t>3 Ways to Make Less Biased Decisions</t>
  </si>
  <si>
    <t>Howard Ross</t>
  </si>
  <si>
    <t>Harvard Business Review</t>
  </si>
  <si>
    <t>How to talk about uncertainty in climate science</t>
  </si>
  <si>
    <t>how to reduce bias in personal decision making; behavior; how to reduce bias in personal decision making</t>
  </si>
  <si>
    <t>Leane de Laigue and Adam Corner</t>
  </si>
  <si>
    <t>tips on how to talk to skeptical people about climate change (how to frame certain concepts and connect with the person)</t>
  </si>
  <si>
    <t xml:space="preserve">Why One #Climate-Friendly Action Doesn’t Always Lead to Another (and What to Do About It) http://ow.ly/WMQ5t </t>
  </si>
  <si>
    <t>Green and Mean: Eco-Shopping Has a Side effect</t>
  </si>
  <si>
    <t>Emily Anthes</t>
  </si>
  <si>
    <t>The Scientific American Magazine</t>
  </si>
  <si>
    <t>cognitive bias</t>
  </si>
  <si>
    <t>A New Reality: The Power of Perception</t>
  </si>
  <si>
    <t>values; sense of self</t>
  </si>
  <si>
    <t>what I found interesting was how the article explained that when describing a consequence of climate change to gain support, DON'T cite a fixed poinnt in time and an uncertain outcome (ie. "By 2072, sea levels will rise by between 25 and 68 cm, with 50 cm being the average projection." Instead, utilize a certain outcome and uncertain point in time (ie. "sea levels will rise by at least 50 cm, and this will occur at some time between 2060 and 2093")</t>
  </si>
  <si>
    <t>Found through self-licensing Wiki page</t>
  </si>
  <si>
    <t>Not sure how to talk about climate science uncertainty? Here's few tips on how to be honest and still convincing </t>
  </si>
  <si>
    <t>Why going green won't make you better or save you money</t>
  </si>
  <si>
    <t>Michael S. Rosenwald</t>
  </si>
  <si>
    <t>cognitive bias; moral licensing</t>
  </si>
  <si>
    <t>Relatable, Vivid</t>
  </si>
  <si>
    <t>Being Good Isn't Zero Sum</t>
  </si>
  <si>
    <t>Tania Lombrozo</t>
  </si>
  <si>
    <t>Sustainability</t>
  </si>
  <si>
    <t>Explains a couple of the reasons we might not take on some of the causes that resonate with us</t>
  </si>
  <si>
    <t xml:space="preserve">The True Cost' brings fashion's dark secrets to the big screen </t>
  </si>
  <si>
    <t>Hannah Ritchie</t>
  </si>
  <si>
    <t>Sustainable Brands</t>
  </si>
  <si>
    <t>The True Cost' a documentary about sustainble fashion</t>
  </si>
  <si>
    <t>8, 5</t>
  </si>
  <si>
    <t>Are your shopping habits eco-friendly? Here's a recommendation for a documentary on sustainability in</t>
  </si>
  <si>
    <t>Cognitive Bias - Motivated Reasoning</t>
  </si>
  <si>
    <t>Beyond Polar Bears: Why climate images matter</t>
  </si>
  <si>
    <t>Robin Wester</t>
  </si>
  <si>
    <t>What is Motivated Reasoning?  How Does it Work?  Dan Kahan Answers</t>
  </si>
  <si>
    <t>Discover</t>
  </si>
  <si>
    <t>New research on cliamte change iconography</t>
  </si>
  <si>
    <t>Voting/ politics</t>
  </si>
  <si>
    <t>Why are these clowns winning? Secrets of the right-wing brain</t>
  </si>
  <si>
    <t>Salon</t>
  </si>
  <si>
    <t>cognitive bias: dunning-kruger effect- republicans vs. democrats; How different political parties think</t>
  </si>
  <si>
    <t>Cognitive Bias - Optimism bias</t>
  </si>
  <si>
    <t>Daniel Kahneman Explains the Machinery of Thought</t>
  </si>
  <si>
    <t>80 Percent of Humans are delusionally optimistic, says science</t>
  </si>
  <si>
    <t>Shane Parrish</t>
  </si>
  <si>
    <t>Christopher Mims</t>
  </si>
  <si>
    <t>Farnam Street</t>
  </si>
  <si>
    <t>optimism bias</t>
  </si>
  <si>
    <t>for optimism bias dose</t>
  </si>
  <si>
    <t xml:space="preserve">Associations - Minimize uncertainty </t>
  </si>
  <si>
    <t>Failure to respond to #climatechange may be due to the optimism bias http://bit.ly/1I7vt7Y</t>
  </si>
  <si>
    <t>Developing a Mental Framework for Effective Thinking</t>
  </si>
  <si>
    <t>Time</t>
  </si>
  <si>
    <t>Communicating uncertainty in climate science</t>
  </si>
  <si>
    <t xml:space="preserve">de Laigue, L., &amp; Corner, A. </t>
  </si>
  <si>
    <t xml:space="preserve">Climate Home </t>
  </si>
  <si>
    <t xml:space="preserve">Developing a Mental Framework for Effective Thinking http://ow.ly/TMGQe  </t>
  </si>
  <si>
    <t>Putting the Disaster in Natural Disasters: Why Many Choose to Live in Harm's Way</t>
  </si>
  <si>
    <t>David Ropeik</t>
  </si>
  <si>
    <t>The Huffington Post</t>
  </si>
  <si>
    <t>Blog: The Great Opportunity- Engaging People of Faith</t>
  </si>
  <si>
    <t>Does Depression Change the Way People Percieve the World?</t>
  </si>
  <si>
    <t>Costandi, M.</t>
  </si>
  <si>
    <t>brainfacts.org</t>
  </si>
  <si>
    <t>cognitive bias; intentional binding</t>
  </si>
  <si>
    <t>Overview of how to appeal environmental conservation to religious groups</t>
  </si>
  <si>
    <t>The brain actively compresses time to make action and cause seem closer</t>
  </si>
  <si>
    <t>The Optimism Bias</t>
  </si>
  <si>
    <t>Tali Sharot</t>
  </si>
  <si>
    <t>Time Magazine</t>
  </si>
  <si>
    <t>Moral licensing and the environment - following good behavior with bad</t>
  </si>
  <si>
    <t xml:space="preserve">Moral licensing and the environmnent - following good behavior with bad </t>
  </si>
  <si>
    <t>Associations, Relatable, Vivid</t>
  </si>
  <si>
    <t>4, 8, 5</t>
  </si>
  <si>
    <t>Introducing Climate Visuals: An innovative new resource for visual climate change communication</t>
  </si>
  <si>
    <t>Climate change is abstract and distant for a lot of people. This article provides ways to truly resonate/personalize it with individuals so that they care more</t>
  </si>
  <si>
    <t>Cognitive Bias - Projection Bias</t>
  </si>
  <si>
    <t>After conserving water do we use more energy? Does buying green lead to cheating? We all exhibit #morallicencing. http://bit.ly/1n38Bej </t>
  </si>
  <si>
    <t>4 Core Mind Habits Helped by Mindfulness</t>
  </si>
  <si>
    <t>Lara Fielding</t>
  </si>
  <si>
    <t>Huffington Post</t>
  </si>
  <si>
    <t>How to  control and be aware of cognitive behaviors. </t>
  </si>
  <si>
    <t>Avoiding the Willpower Depleting Effects of Self-Control</t>
  </si>
  <si>
    <t>Ian Zimmerman</t>
  </si>
  <si>
    <t xml:space="preserve">Relatable - The messenger matters, Relatable - Relate it to what the audience already cares about </t>
  </si>
  <si>
    <t>804, 800</t>
  </si>
  <si>
    <t>Climate, Energy</t>
  </si>
  <si>
    <t>2000, 4000</t>
  </si>
  <si>
    <t>Climate - General, Energy - General</t>
  </si>
  <si>
    <t>Communicating effectively with the Center-Right about household energy-efficiency and renewable energy technologies</t>
  </si>
  <si>
    <t>Corner, A., Marshall, G., &amp; Clarke, J.</t>
  </si>
  <si>
    <t>Less Choice Fatigue at Whole Foods</t>
  </si>
  <si>
    <t>Climate Outreach &amp; Information Network</t>
  </si>
  <si>
    <t>Elaine Schwartz</t>
  </si>
  <si>
    <t>econlife</t>
  </si>
  <si>
    <t>Decision Science-- whole foods sustainable levels labeling combats choice fatigue in supermarket</t>
  </si>
  <si>
    <t>Avoiding the effects of 'ego depletion' on self control (e.g., impulsively buying things we don't need). http://bit.ly/1ae57SU</t>
  </si>
  <si>
    <t>http://bit.ly/1ae57SU</t>
  </si>
  <si>
    <t>Sentience, Self-Awareness and Self-Knowing</t>
  </si>
  <si>
    <t>Martin LeFevre</t>
  </si>
  <si>
    <t>Costa Rican Times</t>
  </si>
  <si>
    <t>How to be self-knowing</t>
  </si>
  <si>
    <t>RT @innocential "Too many decisions can be exhausting." http://ow.ly/OLIj4 </t>
  </si>
  <si>
    <t>Do You Suffer From Decision Fatigue?</t>
  </si>
  <si>
    <t>John Tierney</t>
  </si>
  <si>
    <t>Ordinary - Call attention to society’s expectations, Ordinary - Strengthen the norm through social networks</t>
  </si>
  <si>
    <t>The New York Times Magazine</t>
  </si>
  <si>
    <t>701, 700</t>
  </si>
  <si>
    <t>system 1 and 2; decision fatigue</t>
  </si>
  <si>
    <t>Unless You are Spock, Irrelevant Things Matter in Economic Behavior</t>
  </si>
  <si>
    <t>Richard Thaler</t>
  </si>
  <si>
    <t>behavior</t>
  </si>
  <si>
    <t>Using social norms &amp; social networks?</t>
  </si>
  <si>
    <t>http://talkingclimate.org/guides/using-social-norms-social-networks-to-promote-sustainable-behaviour/</t>
  </si>
  <si>
    <t>Recommended by Jason Bade</t>
  </si>
  <si>
    <t>Easy = No; Mindful = No</t>
  </si>
  <si>
    <t>evaluate</t>
  </si>
  <si>
    <t>The Devil on Your Shoulder Likes to Sleep In</t>
  </si>
  <si>
    <t>Matt Richtel</t>
  </si>
  <si>
    <t>Similar studies show we buy things we don't need, or overconsume, at the end of the day.</t>
  </si>
  <si>
    <t>Engaging the public on drought risks: stories about security</t>
  </si>
  <si>
    <t>Awareness, Benefits, Vivid</t>
  </si>
  <si>
    <t>Sustainability?</t>
  </si>
  <si>
    <t>Forest Keeps Your Phone From Being Distracting By Growing a Virtual Garden</t>
  </si>
  <si>
    <t>Eric Ravenscraft</t>
  </si>
  <si>
    <t>Lifehacker</t>
  </si>
  <si>
    <t>App that depicts a tree that grows the longer you don’t use your phone.  Helps to keep people from getting distracted by their phones.</t>
  </si>
  <si>
    <t>Self-control saps memory resources</t>
  </si>
  <si>
    <t>Mo Costandi</t>
  </si>
  <si>
    <t>Vivid = No; Feedback = No; Mindful = No</t>
  </si>
  <si>
    <t>cognitive science; cognitive overload</t>
  </si>
  <si>
    <t>Awareness, Confirmation Bias, General</t>
  </si>
  <si>
    <t>A Quick Puzzle to Test Your Problem Solving</t>
  </si>
  <si>
    <t>David Leonhardt</t>
  </si>
  <si>
    <t>It is a short game that sheds light on policy and "why no on likes to be wrong" (confirmation bias). Try it out for yourself!</t>
  </si>
  <si>
    <t>What psychology's crisis means for the future of science</t>
  </si>
  <si>
    <t>Brian Resnick</t>
  </si>
  <si>
    <t>Vox Science and Health</t>
  </si>
  <si>
    <t xml:space="preserve">Blog: Is framing a waste of time when it comes to climate change communication? </t>
  </si>
  <si>
    <t>The reliability and validity of Psychology comes into question as researchers discover that many believed behavioral experiments are in fact not entirely accurate and have been based off of incomplete and/or biased data.  The article then explores whether or not these findings will hurt or revamp the field of Psychology.</t>
  </si>
  <si>
    <t xml:space="preserve">Effective versus in effective Associations </t>
  </si>
  <si>
    <t xml:space="preserve">not essential </t>
  </si>
  <si>
    <t>http://climateoutreach.org/is-framing-a-waste-of-time/</t>
  </si>
  <si>
    <t>"There may be no ‘magic words’ – but there are definitely better and worse ways of starting a conversation"</t>
  </si>
  <si>
    <t>Asia, Canada and the US, Central and South America</t>
  </si>
  <si>
    <t>42, 40, 45</t>
  </si>
  <si>
    <t>Why Can't More People Escape Poverty?</t>
  </si>
  <si>
    <t>Yes (7/21/2015)</t>
  </si>
  <si>
    <t>Jamie Holmes</t>
  </si>
  <si>
    <t>New Republic</t>
  </si>
  <si>
    <t>willpower depletion</t>
  </si>
  <si>
    <t>Combating bad science: Metaphysicians</t>
  </si>
  <si>
    <t>The Economist</t>
  </si>
  <si>
    <t>The Economist Magazine</t>
  </si>
  <si>
    <t xml:space="preserve">Finding the right words - shaping an effective climate change narrative </t>
  </si>
  <si>
    <t>cognitive bias; publication bias</t>
  </si>
  <si>
    <t>Associations climate narratives via careful word choice</t>
  </si>
  <si>
    <t>How Recycling Bias Affects What You Toss Where</t>
  </si>
  <si>
    <t>NPR Staff</t>
  </si>
  <si>
    <t>Unconcious rule of thumb - we end up tossing shredded pieces of paper and distorted cans into trash rather than recycling.</t>
  </si>
  <si>
    <t>Recommended by Lisa Moore; meta-research; publication bias: not all studies that are conducted get published, and the ones which do tend to be those that have significant results. That leaves a skewed impression of the evidence.</t>
  </si>
  <si>
    <t>This article has important points to tie into #climatechange narratives to successfully persuade your listener!</t>
  </si>
  <si>
    <t>Benefits</t>
  </si>
  <si>
    <t>A great book, but is a Pigouvian tax a nudge?</t>
  </si>
  <si>
    <t>Could be "Vivid"</t>
  </si>
  <si>
    <t>Joel Wood</t>
  </si>
  <si>
    <t xml:space="preserve">How Recycling #Bias Affects What You Toss Where http://ow.ly/WSl8u We think *useful things --&gt; recycling &amp; useless things --&gt; trash* </t>
  </si>
  <si>
    <t>Blame Cognitive Biases When Efforts to Conserve Water Aren't Effective</t>
  </si>
  <si>
    <t>Climate - Communication, Climate - Take Action</t>
  </si>
  <si>
    <t>When it comes to saving water, we may shy away from solutions that involve high upfront costs--even if they prove beneficial in the long run. Government programs can help us overcome this cognitive bias by subsidizing the cost of water-efficient appliances.</t>
  </si>
  <si>
    <t xml:space="preserve">Here and now, not there and then! Cabot institute lecture </t>
  </si>
  <si>
    <t>Ostrich effect, how to overcome it</t>
  </si>
  <si>
    <t>link does not work</t>
  </si>
  <si>
    <t>drought blog</t>
  </si>
  <si>
    <t>Energy efficiency, Fuel Efficiency</t>
  </si>
  <si>
    <t>Cognitive biases may be making it harder for us to save water http://n.pr/1I6rbOV </t>
  </si>
  <si>
    <t>Maximize Fuel Efficiency as a Sustainability Goal</t>
  </si>
  <si>
    <t>Mike Antich</t>
  </si>
  <si>
    <t>Automotive Fleet</t>
  </si>
  <si>
    <t xml:space="preserve"> Convenience</t>
  </si>
  <si>
    <t>General, Hopeful</t>
  </si>
  <si>
    <t>11, 3</t>
  </si>
  <si>
    <t>Africa, Central and South America, Asia, Canada and the US, Europe, Oceania</t>
  </si>
  <si>
    <t>43, 45, 43, 40, 41, 44</t>
  </si>
  <si>
    <t>Here' a think piece on why we don't prioritize #climatechange &amp; what we can do to change that #behavior</t>
  </si>
  <si>
    <t>Greendex 2014: Increased Fears About Environment Not Reflected in Consumer Behavior</t>
  </si>
  <si>
    <t xml:space="preserve">Overview of Greendex results </t>
  </si>
  <si>
    <t>Oceans - General</t>
  </si>
  <si>
    <t>environmental negotiations</t>
  </si>
  <si>
    <t>Being smart about SMART environmental targets</t>
  </si>
  <si>
    <t xml:space="preserve">Blog: Ocean acidification, still time to avoid polarisation that exists with climate change </t>
  </si>
  <si>
    <t>CEED</t>
  </si>
  <si>
    <t>Six Types of changemakers</t>
  </si>
  <si>
    <t xml:space="preserve">Associations ocean acidification talks </t>
  </si>
  <si>
    <t>Monkeys, Candy and Cognitive Dissonance</t>
  </si>
  <si>
    <t>Recent work at Opower and in academia show that real-time pricing information can be a powerful supplement to--and sometimes more effective than--behavioral cues encouraging people to save energy; Thorough explanation of cognitive dissonance experiment involving monkeys and children</t>
  </si>
  <si>
    <t>SMART environmental targets are specific, measurable, ambitious, realistic and time-bound http://bit.ly/1H1k5vI</t>
  </si>
  <si>
    <t>The next frontier: Ocean Acidification. There's still time for us to make this a non-political issue via successful communication.</t>
  </si>
  <si>
    <t>Is Cognitive Dissonance Universal?</t>
  </si>
  <si>
    <t>Lawrence T. White</t>
  </si>
  <si>
    <t>Ocean Acidification is the new frontier in the environmental movement, and luckily, theres still time to make this a non-political issue that everyone can get behind</t>
  </si>
  <si>
    <t xml:space="preserve">Associations - Use appropriate metaphors </t>
  </si>
  <si>
    <t>Language: words &amp; phrases</t>
  </si>
  <si>
    <t>Climate Outreach and Information Network</t>
  </si>
  <si>
    <t>http://talkingclimate.org/guides/language-words-phrases/</t>
  </si>
  <si>
    <t xml:space="preserve">Yes-- good sources </t>
  </si>
  <si>
    <t>Associations, Easy, Hopeful, Relatable</t>
  </si>
  <si>
    <t>4, 2, 3, 8</t>
  </si>
  <si>
    <t>Behavioral Economics in Action</t>
  </si>
  <si>
    <t>edX</t>
  </si>
  <si>
    <t>Behavioral Economics Class</t>
  </si>
  <si>
    <t>Corner, A., Roberts, O., &amp; Pellisier, A.</t>
  </si>
  <si>
    <t>http://www.climateaccess.org/sites/default/files/COIN_Young%20Voices.pdf</t>
  </si>
  <si>
    <t>Our Brains are Wired For Hypocrisy</t>
  </si>
  <si>
    <t>Sharon Begley</t>
  </si>
  <si>
    <t>Newsweek</t>
  </si>
  <si>
    <t xml:space="preserve">yes-- not for PG but for a blog post </t>
  </si>
  <si>
    <t>Article on 2009 MRI cognitive dissonance experiment</t>
  </si>
  <si>
    <t>online course</t>
  </si>
  <si>
    <t>Using behavioral economics to change behaviours, improve welfare &amp; make better policy. Could be good online course? http://tiny.cc/iynlkx</t>
  </si>
  <si>
    <t>http://tiny.cc/iynlkx</t>
  </si>
  <si>
    <t>Associations - Highlight the right identity, Relatable - Relate it to what audience already cares about</t>
  </si>
  <si>
    <t>401, 800</t>
  </si>
  <si>
    <t>Our Brains are Wired for Hypocrisy http://ow.ly/TYKtX  via @sxbegle</t>
  </si>
  <si>
    <t>Hearth and Hiraeth: Constructing Climate Change Narratives around National Identity</t>
  </si>
  <si>
    <t>Marshall, G.</t>
  </si>
  <si>
    <t>Using Behavioral Science Insights to Make Government More Effective, Simpler, and More People-Friendly</t>
  </si>
  <si>
    <t>Cognitive Dissonance and Social Change: What Can We Learn?</t>
  </si>
  <si>
    <t>Maya Shankar</t>
  </si>
  <si>
    <t>Weh Yeoh</t>
  </si>
  <si>
    <t>WhyDev</t>
  </si>
  <si>
    <t>Office of Science and Technology Policy</t>
  </si>
  <si>
    <t>Article explaining cognitive dissonance experiment on animal testing, food choices and the merits of Apple products and its implications for climate change; consistency</t>
  </si>
  <si>
    <t>behavior programs; us government's Social and Behavioral Sciences Team</t>
  </si>
  <si>
    <t>#Cognitivedissonance and social change: what can we learn? http://ow.ly/TYKzk </t>
  </si>
  <si>
    <t>In October 201 1 the Welsh Government commissioned the Climate Outreach and Information Network (COIN), working with Andrew Darnton Research and Analysis (ADR&amp;A), to develop narratives around climate change and sustainable development that could be applied in communications to all its audiences. We believe this to be one of the largest climate change communications projects of its kind, noteworthy for being a coherent and consistent approach to climate communications based around a shared national identity. To be effective, mass public communication of climate change needs to be inclusive and speak effectively to people’s common sense of belonging. We argue that national cultural identity is an important, and often neglected, frame for mobilising a collective response to climate change including the conservative, deprived and disempowered groups that are often disregarded by conventional messaging. For governments, which struggle to find language around climate change and a low carbon economy, the appeal to national values builds on familiar and well-established ways to rally citizens behind a common purpose. Action on climate change needs to happen at all levels and national governments need to be given a popular mandate to manage that response.
This requires them to adopt climate change narratives with an overarching national interest, just as they do for law and order, military defence or an economic recession. We recognise, however, the potential dangers involved in making appeals to national identity on an issue that requires international co-operation. Messages therefore need to speak to the ‘intrinsic’ values of belonging and empathy rather than the ‘extrinsic’ values of aggressive superiority or defensiveness. This report argues that national identities need not, and should not, be nationalistic - though the boundary between the two needs to be carefully defined and maintained. Every country is different and will have its own identity markers and sources of pride -
especially their own unique historical circumstances. However, most of the values that people consider being a defining quality of their own national culture - for example a love of family, community, locality, language, and landscape - are actually universal. Many of the lessons of the Welsh programme can be reapplied in other contexts with a slight cultural nuance.</t>
  </si>
  <si>
    <t>http://www.thecccw.org.uk/wp-content/uploads/2015/05/COIN-Hearth-and-Hiraeth.pdf</t>
  </si>
  <si>
    <t>Another Partisan Divide: Mitt Romney's Looks</t>
  </si>
  <si>
    <t>Adam Wollner</t>
  </si>
  <si>
    <t>NPR Politics</t>
  </si>
  <si>
    <t>Opt in or opt out: the power of the default option</t>
  </si>
  <si>
    <t>Harry Sit</t>
  </si>
  <si>
    <t>Finance Buff</t>
  </si>
  <si>
    <t>Opinion summary of various default examples including 401K, Employee Stock Purchase Plan, and organ donation</t>
  </si>
  <si>
    <t>Canada and the US, Europe, Central and South America</t>
  </si>
  <si>
    <t>40, 41, 45</t>
  </si>
  <si>
    <t xml:space="preserve">Public perceptions of global warming: United States and international perspectives </t>
  </si>
  <si>
    <t>Bord, R., Fisher, A., &amp; O'connor, R.</t>
  </si>
  <si>
    <t xml:space="preserve">Climate Research </t>
  </si>
  <si>
    <t xml:space="preserve">Education increases belief in climate change - everywhere except in the U.S. </t>
  </si>
  <si>
    <t>Heather Smith</t>
  </si>
  <si>
    <t xml:space="preserve">United States surveys on climate change concern </t>
  </si>
  <si>
    <t xml:space="preserve">National and international survey data on global warming are summarized in terms of lev- els of awareness, actual knowledge, degree of concern, perceived risk, and willingness to pay or sacri- fice to mitigate or adapt to potential negative impacts. The data indicate the following: solid awareness of and support for general environmental goals; an awareness of and concern for global warming; a flawed understanding of global warming that is the result of an inappropriate application of a general pollution model; considerable perceived threat from global warming but less so than for most other issues; and a limited willingness to sacrifice to better cope with global warming. Although global warming generates concern around the globe, it is not a ‘front-burner’ issue. Concern tends to be high- est in Canada, most of Europe and South America. Errors in assessing causes of global warming are global in nature. International data demonstrates considerable support for economic sacrifices to deal with environmental problems, including global warming. Our own data support but go beyond earlier data by implying that global warming is not a salient issue, and that people across the globe will sup- port global climate change initiatives that do not levy unusual hardships; but they cannot be expected to voluntarily alter their lifestyles. </t>
  </si>
  <si>
    <t>Opt In or Opt Out: The Power of the #Default Option http://ow.ly/WSmae What if being #green was the default option?</t>
  </si>
  <si>
    <t>Education &amp; #climatechange #action go hand in hand in every country except the US. Here's why according to grist:</t>
  </si>
  <si>
    <t>How to Move a Mind</t>
  </si>
  <si>
    <t>Maggie Koerth-Baker</t>
  </si>
  <si>
    <t>The World Can Live Better and Fight Climate Change, Report Says</t>
  </si>
  <si>
    <t>cognitive bias, system 1 and 2; following the herd</t>
  </si>
  <si>
    <t>Megan Rowling</t>
  </si>
  <si>
    <t>environmental issues</t>
  </si>
  <si>
    <t>Associations, Benefits, Hopeful, Relatable</t>
  </si>
  <si>
    <t>4, 1, 3, 8</t>
  </si>
  <si>
    <t>7 Ways to Talk About Climate Impacts with Just About Anyone</t>
  </si>
  <si>
    <t>ClimateAccess</t>
  </si>
  <si>
    <t>I don't want to be right</t>
  </si>
  <si>
    <t>Maria Konnikova</t>
  </si>
  <si>
    <t xml:space="preserve">Misinformation-- how ideology can strengthen false conceptions </t>
  </si>
  <si>
    <t>http://www.newyorker.com/science/maria-konnikova/i-dont-want-to-be-right</t>
  </si>
  <si>
    <t xml:space="preserve">Brendan Nyhan's recent study on vaccines and misinformation, with some good links elsewhere too.  </t>
  </si>
  <si>
    <t>With One More Nail in its Coffin, Is Keyston XL History? (Article)</t>
  </si>
  <si>
    <t>Grist</t>
  </si>
  <si>
    <t>Emphasize prevention, highlight success stories &amp; other tips for communicating abt climate change w/conservatives http://bit.ly/1Pps9aC </t>
  </si>
  <si>
    <t>Social Change; resistance; Keystone XL</t>
  </si>
  <si>
    <t>GLOBE-Net</t>
  </si>
  <si>
    <t>America is last in sustainable behavior; cognitive dissonance</t>
  </si>
  <si>
    <t>Know Thy Audience</t>
  </si>
  <si>
    <t>Rod says: An interesting case of social change</t>
  </si>
  <si>
    <t>Fears about #environment rising but #sustainable behaviors falling? U.S. shows poor results in sustainable behavior http://bit.ly/1f5RGe7 </t>
  </si>
  <si>
    <t>The Neuroscience of Decision Making</t>
  </si>
  <si>
    <t>The Kavli Foundation</t>
  </si>
  <si>
    <t xml:space="preserve">Oceania </t>
  </si>
  <si>
    <t>The neuroscience of change: Why it’s difficult and what makes it easier</t>
  </si>
  <si>
    <t>Sue Langley</t>
  </si>
  <si>
    <t>Understanding your target audience is the first step in crafting effective environmental messages http://bit.ly/1JkOciK </t>
  </si>
  <si>
    <t>Langley group </t>
  </si>
  <si>
    <t>"Changing a habit or embedding a new behaviour takes effort and focussed attention. This can feel physiologically uncomfortable and quite literally painful to over-ride habits. Its no wonder people often avoid change or find it hard to maintain commitment. Under pressure, tired or distracted our pre-frontal cortex can’t keep us focused and we relapse to earlier behaviours and habits.....We are hyper-vigilant to detect and act on changes in our environment—and we like to get back to what is familiar as soon as possible. Even the act of trying to fix an ‘erroneous’ behaviour can send a message that something is wrong."</t>
  </si>
  <si>
    <t>http://blog.langleygroup.com.au/neuroscience-of-change-what-makes-change-easier/</t>
  </si>
  <si>
    <t>Some good use of accessible descriptions for neurobiology.  Only suggests "willpower" for habit change but might prove good as citation for such a suggestion</t>
  </si>
  <si>
    <t xml:space="preserve">Recommend publicly </t>
  </si>
  <si>
    <t xml:space="preserve">Unpublished </t>
  </si>
  <si>
    <t>Why Groups Need to be Ready for Climate Crisis Events Like the Deepwater Spill</t>
  </si>
  <si>
    <t>Sutton Eaves</t>
  </si>
  <si>
    <t xml:space="preserve">Problem </t>
  </si>
  <si>
    <t xml:space="preserve">Associations, Identity, Hopefulness </t>
  </si>
  <si>
    <t>4, 6, 3</t>
  </si>
  <si>
    <t>How Cognitive Biases Prevent us From Doing Anything about Climate Change</t>
  </si>
  <si>
    <t>Michael Austin</t>
  </si>
  <si>
    <t xml:space="preserve">Independent voter project </t>
  </si>
  <si>
    <t>California has about one year of water stored. Will you ration now?</t>
  </si>
  <si>
    <t xml:space="preserve">How short term reaction, confirmation bias, and our inability to care for shared resources affect our ability to cope with climate change. </t>
  </si>
  <si>
    <t>le times</t>
  </si>
  <si>
    <t>http://ivn.us/2014/05/14/cognitive-biases-prevent-us-anything-climate-change/</t>
  </si>
  <si>
    <t xml:space="preserve">confirmation bias, tragedy of the commons, etc </t>
  </si>
  <si>
    <t xml:space="preserve">Awareness, Relatable, Associations </t>
  </si>
  <si>
    <t>9, 8, 4</t>
  </si>
  <si>
    <t>Can your personality explain how you feel about the Keystone XL pipeline?</t>
  </si>
  <si>
    <t>Behavior; personal values and responses to climate initiatives; According to a recent study in the journal Environment and Behavior, people who exhibit the personality trait "Openness to Experience" are more likely to care about the environment.. The study's authors believe that this may be because those who score high on "Openness to Experience" are more comfortable doing the long-term and abstract thinking needed to imagine long-term environmental consequences and are more likely to deviate from the status quo.</t>
  </si>
  <si>
    <t>Why groups need to be ready for climate crisis events http://ow.ly/OpSFF  "...developing a framework for communicating a fast response.."</t>
  </si>
  <si>
    <t>CA has about 1 yr of water stored...but "the public remains detached from discussions and decisions" http://ow.ly/OcNq6  #CAdrought</t>
  </si>
  <si>
    <t>Global warming 'catastrophe' for health</t>
  </si>
  <si>
    <t xml:space="preserve">How to talk global warming in plain English </t>
  </si>
  <si>
    <t>times</t>
  </si>
  <si>
    <t>Erika Bolstad</t>
  </si>
  <si>
    <t xml:space="preserve">Overview of health consequences associated with global warning-- study cited </t>
  </si>
  <si>
    <t>ClimateWire</t>
  </si>
  <si>
    <t xml:space="preserve">Targeting immediate and local risks is the most effective method of insipring climate action </t>
  </si>
  <si>
    <t>Canada and the US, Central and South America</t>
  </si>
  <si>
    <t>40, 45</t>
  </si>
  <si>
    <t>We Aren't the World</t>
  </si>
  <si>
    <t>Ethan Watters</t>
  </si>
  <si>
    <t xml:space="preserve">Using plain, non academic english is an effective tool that environmentalists could  benefit from! Here's how: </t>
  </si>
  <si>
    <t>Pacific Standard Magazine</t>
  </si>
  <si>
    <t>Nuding Rich and Nudging Poor</t>
  </si>
  <si>
    <t>Nick Naumof</t>
  </si>
  <si>
    <t>naumof.blogspot</t>
  </si>
  <si>
    <t>Explores the cultural distinctions that complicates western social science findings, making the west the outlier rather than the rule</t>
  </si>
  <si>
    <t>nudges in rich and poor countries</t>
  </si>
  <si>
    <t>Climate, Natural disasters</t>
  </si>
  <si>
    <t>2000, 13000</t>
  </si>
  <si>
    <t>Climate - Belief, Natural Disasters</t>
  </si>
  <si>
    <t xml:space="preserve">Extreme weather can be a teaching moment to change opinions about future climate risks </t>
  </si>
  <si>
    <t>Paper Urges Behavior Change in Conservation Practices</t>
  </si>
  <si>
    <t>Tara Laskowski</t>
  </si>
  <si>
    <t>George Mason University</t>
  </si>
  <si>
    <t xml:space="preserve">overview of why behavior scientists should be involves in conservation efforts </t>
  </si>
  <si>
    <t>Most people are neither 'alarmist' nor 'in denial' about climate change</t>
  </si>
  <si>
    <t>Research shows that most people view climate change through the lens of their personal experience dealing with extreme weather events. This implies that climate communicators should stress the connection between the warming atmosphere and increased frequency of extreme weather; Availability Heuristic, Communications; people who have been impacted by extreme weather are the best climate students</t>
  </si>
  <si>
    <t>A recent report by Candice Howarth and Amelia Sharman shows argues that rigid and binary labels such as climate 'denier' or 'skeptic'  increase antagonism in the climate debate and preventing productive dialogue.  Terms such as climate 'denier' and 'skeptic' may be harming the environmental movement by fostering an unnecessarily rigid and combative discourse.</t>
  </si>
  <si>
    <t>Most people are not alarmist or in denial about #climatechange. So why do we focus so much on the minority? http://ow.ly/UdUkR </t>
  </si>
  <si>
    <t>Yes (3/13/2015)</t>
  </si>
  <si>
    <t>Efforts to educate about global warming should focus on ppl who have been hit by extreme weather events</t>
  </si>
  <si>
    <t>Poor Behavior (Economist summary of World Bank report)</t>
  </si>
  <si>
    <t>Economist</t>
  </si>
  <si>
    <t xml:space="preserve">Behavior; Behavioral Economics; Scarcity. Why behavioral approaches work better than traditional economic models. </t>
  </si>
  <si>
    <t>Scientists Are Discouraged from Popular Writing. That's Bad.</t>
  </si>
  <si>
    <t>Why it's good to laugh at climate change</t>
  </si>
  <si>
    <t>Communicating science through humor-- tool for Associations?</t>
  </si>
  <si>
    <t>bigthink</t>
  </si>
  <si>
    <t xml:space="preserve">communication; why scientists are discouraged from popular writing </t>
  </si>
  <si>
    <t>Yes (2/24/2015)</t>
  </si>
  <si>
    <t>#Scientists Are Discouraged from Popular Writing. That's Bad. http://ow.ly/OcIvu  popular #communication is crucial for the public</t>
  </si>
  <si>
    <t>The science-communicators don’t seem to be making progress w/ the public: maybe its time to let comedians have a go http://ow.ly/XSgNe</t>
  </si>
  <si>
    <t>Climate Change Risk Perception and Policy Preferences: The Role of Affect, Imagery, and Values</t>
  </si>
  <si>
    <t>The distribution and dynamics of UK citizens' environmental attitudes, behaviours and actions</t>
  </si>
  <si>
    <t>Leiserowitz, A.</t>
  </si>
  <si>
    <t>ISER</t>
  </si>
  <si>
    <t>Climatic Change</t>
  </si>
  <si>
    <t xml:space="preserve">A national, representative survey of the U.S. public found that Americans have moderate climate change risk perceptions, strongly support a variety of national and international policies to mitigate climate change, and strongly oppose several carbon tax proposals. Drawing on the theoret- ical distinction between analytic and experiential decision-making, this study found that American risk perceptions and policy support are strongly influenced by experiential factors, including affect, imagery, and values, and demonstrates that public responses to climate change are influenced by both psychological and socio-cultural factors. </t>
  </si>
  <si>
    <t>check out links to blog posts</t>
  </si>
  <si>
    <t>Energy overuse at the national level is both a direct &amp; an indirect result of the millions of decisions made in homes http://bit.ly/1pPPNng</t>
  </si>
  <si>
    <t>http://bit.ly/1pPPNng</t>
  </si>
  <si>
    <t xml:space="preserve">Associations, Easy </t>
  </si>
  <si>
    <t>Associations - None, Easy - Make what you are asking easy to understand and execute</t>
  </si>
  <si>
    <t>Climate - Take action</t>
  </si>
  <si>
    <t>How one California restaurant is dealing with the drought</t>
  </si>
  <si>
    <t>Bob Krummert</t>
  </si>
  <si>
    <t>Communicating Climate Change Risks in a Skeptical World</t>
  </si>
  <si>
    <t>restaurant hospitality</t>
  </si>
  <si>
    <t>Sterman, J. D.</t>
  </si>
  <si>
    <t xml:space="preserve">restraurant using compressed air rather than water to clean plates before they enter the dishwasher </t>
  </si>
  <si>
    <t>How to change someone's mind, according to science</t>
  </si>
  <si>
    <t>Ana Swanson</t>
  </si>
  <si>
    <t xml:space="preserve">The Washington Post </t>
  </si>
  <si>
    <t xml:space="preserve">When arguments becoming overbearing, they make people more likely to oppose climate change </t>
  </si>
  <si>
    <t>The Intergovernmental Panel on Climate Change (IPCC) has been extraordinarily successful in the task of knowledge synthesis and risk assessment. However, the strong scientific consensus on the detection, attribution, and risks of climate change stands in stark contrast to widespread confusion, complacency and denial among policymakers and the public. Risk communication is now a major bottleneck preventing science from playing an appropriate role in climate policy. Here I argue that the ability of the IPCC to fulfill its mission can be enhanced through better understanding of the mental models of the audiences it seeks to reach, then altering the presentation and communication of results accordingly. Few policymakers are trained in science, and public understanding of basic facts about climate change is poor. But the problem is deeper. Our mental models lead to persistent errors and biases in complex dynamic systems like the climate and economy. Where the consequences of our actions spill out across space and time, our mental models have narrow boundaries and focus on the short term. Where the dynamics of complex systems are conditioned by multiple feedbacks, time delays, accumulations and nonlinearities, we have difficulty recognizing and understanding feedback processes, underestimate time delays, and do not understand basic principles of accumulation or how nonlinearities can create regime shifts. These problems arise not only among laypeople but also among highly educated elites with significant training in science. They arise not only in complex systems like the climate but also in familiar contexts such as filling a bathtub. Therefore they cannot be remedied merely by providing more information about the climate, but require different modes of communication, including experiential learning environments such as interactive simulations.</t>
  </si>
  <si>
    <t>The way this restaurant is dealing with the #CAdrought is smart. Maybe the good PR will make this a social norm http://bit.ly/1B6at2O </t>
  </si>
  <si>
    <t>Relatable - Link it to personal experience</t>
  </si>
  <si>
    <t>Americans Don't Talk About Global Warming Very Often</t>
  </si>
  <si>
    <t>Clare Foran</t>
  </si>
  <si>
    <t>Experience-Based and Description-Based Perceptions of Long-Term Risk: Why Global Warming does not Scare us (Yet)</t>
  </si>
  <si>
    <t>National Journal</t>
  </si>
  <si>
    <t xml:space="preserve">Weber, E. U. </t>
  </si>
  <si>
    <t>Freshwater - General</t>
  </si>
  <si>
    <t>How to Successfully Engage Consumers Around Water Sustainability</t>
  </si>
  <si>
    <t>Brynn W. McNally</t>
  </si>
  <si>
    <t>communications</t>
  </si>
  <si>
    <t>It should come as no surprise that the governments and citizenries of many countries show little concern about climate change and its consequences. Behavioral decision research over the last 30 years provides a series of lessons about the importance of affect in perceptions of risk and in decisions to take actions that reduce or manage perceived risks. Evidence from a range of domains suggests that worry drives risk management decisions. When people fail to be alarmed about a risk or hazard, they do not take precautions. Recent Relatable experience strongly influences the evaluation of a risky option. Low-probability events generate less concern than their probability warrants on average, but more concern than they deserve in those rare instances when they do occur. Relatable experience with noticeable and serious consequences of global warming is still rare in many regions of the world. When people base their decisions on statistical descriptions about a hazard provided by others, characteristics of the hazard identified as psychological risk dimensions predict differences in alarm or worry across different classes of risk. The time-delayed, abstract, and often statistical nature of the risks of global warming does not evoke strong visceral reactions. These results suggest that we should find ways to evoke visceral reactions towards the risk of global warming, perhaps by simulations of its concrete future consequences for people's home or other regions they visit or value. Increased concern about global warming needs to solicited carefully, however, to prevent a decrease in concern about other relevant risks. The generation of worry or concern about global warming may be a necessary but not sufficient condition for desirable or Resonate protective or mitigating behavior on part of the general public.</t>
  </si>
  <si>
    <t>Poll: Many Americans say #climatechange doesn’t come up in conversation. http://ow.ly/P0Wut </t>
  </si>
  <si>
    <t>RT @SustainBrands How to Successfully Engage Consumers Around Water #Sustainability http://ow.ly/OLE6h </t>
  </si>
  <si>
    <t>Cool roofs--good for heat control and the climate</t>
  </si>
  <si>
    <t>Cool roofs offer a salve for hot cities — and the climate, too</t>
  </si>
  <si>
    <t>Benjamin Mandel</t>
  </si>
  <si>
    <t>Scaling; Cool roofs; Scaled innovation</t>
  </si>
  <si>
    <t>Pope Francis has given the climate movement just what it needed - faith</t>
  </si>
  <si>
    <t xml:space="preserve">Experience-Based and Description-Based Perceptions of Long-Term Risk: Why #GlobalWarming does not Scare us (Yet) http://ow.ly/Xs526 </t>
  </si>
  <si>
    <t>integrating climate science with religious values, practices, and rhetoric. Making the climate debate moral; communication and Associations</t>
  </si>
  <si>
    <t>From Rod: Maybe there are some process design lessons in this case of a scaled innovation...
</t>
  </si>
  <si>
    <t>A public health frame arouses hopeful emotions about climate change</t>
  </si>
  <si>
    <t xml:space="preserve">Myers, T. A., Nisbet, M. C., Maibach, E. W., &amp; Leiserowitz, A. A. </t>
  </si>
  <si>
    <t>Climate - Communication, Consumption - Energy</t>
  </si>
  <si>
    <t>3 Lessons for communicating the value of energy efficiency</t>
  </si>
  <si>
    <t>Brains Make Decisions the Way Alan Turing Cracked Codes</t>
  </si>
  <si>
    <t>Devin Powell</t>
  </si>
  <si>
    <t xml:space="preserve">Avoiding polarizing terms in climate change communication </t>
  </si>
  <si>
    <t>Smithsonian</t>
  </si>
  <si>
    <t>Communication researchers and practitioners have suggested that framing climate change in terms of public health and/or national security may make climate change more personally relevant and emotionally engaging to segments of the public who are currently disengaged or even dismissive of the issue. To evaluate these assumptions, using a nationally representative online survey of U.S. residents (N = 1,127) conducted in December, 2010, we randomly assigned six previously identified audience segments on climate change to one of three experimental conditions. Subjects were asked to read uniquely framed news articles about climate change emphasizing either the risks to the environment, public health, or national security and the benefits of mitigation and adaptation-related actions. Results show that across audience segments, the public health focus was the most likely to elicit emotional reactions consistent with support for climate change mitigation and adaptation. Findings also indicated that the national security frame may possibly boomerang among audience segments already doubtful or dismissive of the issue, eliciting unintended feelings of anger.</t>
  </si>
  <si>
    <t>Here's why "green" &amp; "environmentalist" have become polarizing terms, &amp; some tips on how to use them effectively</t>
  </si>
  <si>
    <t>Food - Organic/Sustainable</t>
  </si>
  <si>
    <t>Relatable - Link it to personal experience, Vivid - Make the message memorable</t>
  </si>
  <si>
    <t>Moving beyond "organic" versus "conventional" when it comes to feeding the world</t>
  </si>
  <si>
    <t>801, 505</t>
  </si>
  <si>
    <t>Claire Kelloway</t>
  </si>
  <si>
    <t>Resource Media</t>
  </si>
  <si>
    <t xml:space="preserve">the word organic is becomoning synonymous with sustainabile farming when the issue is not black and white. Frame it differently so that people can see the actual problem and that organic farming also has its flaws. A better food system is less wasteful fosil fuel intensive. However, organic foods sometimes have these implications as well. </t>
  </si>
  <si>
    <t>How do people update? The effects of local weather fluctuations on beliefs about global warming</t>
  </si>
  <si>
    <t>Deryugina, T.</t>
  </si>
  <si>
    <t xml:space="preserve">Cool article on decision making: Brains Make Decisions the Way Alan Turing Cracked Codes http://ow.ly/TMGyD  </t>
  </si>
  <si>
    <t>4 Critical Mistakes that Inventors Make</t>
  </si>
  <si>
    <t>Organic is not the answer, food resilience is.</t>
  </si>
  <si>
    <t>Steven Johnson</t>
  </si>
  <si>
    <t>ideas.ted</t>
  </si>
  <si>
    <t>Global warming has become a controversial public policy issue in spite of broad scientific consensus that it is real and that human activity is a contributing factor. It is likely that public consensus is also needed to support policies that might counteract it. It is therefore important to understand how people form and update their beliefs about climate change. Using unique survey data on beliefs about the occurrence of the effects of global warming, I estimate how local temperature fluctuations influence what individuals believe about these effects. I find that some features of the updating process are consistent with rational updating. I also test explicitly for the presence of several heuristics known to affect belief formation and find strong evidence for representativeness, some evidence for availability, and no evidence for spreading activation. I find that very short-run temperature fluctuations (1 day–2 weeks) have no effect on beliefs about the occurrence of global warming, but that longer-run fluctuations (1 month–1 year) are significant predictors of beliefs. Only respondents with a conservative political ideology are affected by temperature abnormalities.</t>
  </si>
  <si>
    <t>http://link.springer.com/article/10.1007/s10584-012-0615-1</t>
  </si>
  <si>
    <t>College students are making global warming a moral issue. Here’s why that scares people</t>
  </si>
  <si>
    <t>David Roberts</t>
  </si>
  <si>
    <t>Vox</t>
  </si>
  <si>
    <t>climate change is a moral issue; Associations</t>
  </si>
  <si>
    <t>Is a 'nudge' in the right direction all we need to be greener?</t>
  </si>
  <si>
    <t>George Webster</t>
  </si>
  <si>
    <t>College students are making#globalwarming a #moral issue. Here's why that scares people.http://ow.ly/UMLSm</t>
  </si>
  <si>
    <t>CNN</t>
  </si>
  <si>
    <t>Nudging; choice architecture</t>
  </si>
  <si>
    <t>Alarm Bells Ring as NASA Scientists Issue Warning that California Will Run Out of Water in Just…</t>
  </si>
  <si>
    <t>Heather JP</t>
  </si>
  <si>
    <t>Cause, Effect, and the power of "we": motivating people to act on climate</t>
  </si>
  <si>
    <t>Upriser</t>
  </si>
  <si>
    <t xml:space="preserve">Ellen Hall </t>
  </si>
  <si>
    <t>community centered solutions encourage involvement</t>
  </si>
  <si>
    <t xml:space="preserve">Use words like "we, us, community" when talking about #climateaction to encourage greater participation &amp; solidarity </t>
  </si>
  <si>
    <t>for drought blog</t>
  </si>
  <si>
    <t>Instead of Arguing About Whether Climate Change is Real, Change the Story</t>
  </si>
  <si>
    <t>Awareness - Practice noticing cognitive biases and thinking flexibly
</t>
  </si>
  <si>
    <t>Climate Mitigation -- The greatest public health opportunity of our time</t>
  </si>
  <si>
    <t>John Pratt</t>
  </si>
  <si>
    <t>jonh pratt blog</t>
  </si>
  <si>
    <t>Instead of Arguing About Whether#ClimateChange is Real, Change the Story http://ow.ly/UMMau</t>
  </si>
  <si>
    <t>Mindfulness training modifies subsystems of attention</t>
  </si>
  <si>
    <t xml:space="preserve">Jha, A. P., Krompinger, J., &amp; Baime, M. J. </t>
  </si>
  <si>
    <t>Cognitive, Affective, &amp; Behavioral Neuroscience</t>
  </si>
  <si>
    <t>Valuing the Science of Climate Science</t>
  </si>
  <si>
    <t>worldviews and communicating climate science; scientific communication</t>
  </si>
  <si>
    <t xml:space="preserve">Don't Even Think About it: why our brains are wired to ignore climate change </t>
  </si>
  <si>
    <t>climateconviction.org</t>
  </si>
  <si>
    <t xml:space="preserve">“Why do the people who say climate change is too uncertain become more agitated about the threats of cell phones, meteorite strikes or alien invasion?” </t>
  </si>
  <si>
    <t>Mindfulness is defined as paying attention in the present moment. We investigate the hypothesis that mindfulness training may alter or enhance specific aspects of attention. We examined three functionally and neuroanatomically distinct but overlapping attentional subsystems: alerting, orienting, and conflict monitoring. Functioning of each subsystem was indexed by performance on the Attention Network Test. Two types of mindfulness training (MT) programs were examined, and behavioral testing was conducted on participants before (Time 1) and after (Time 2) training. One training group consisted of individuals naive to mindfulness techniques who participated in an 8-week mindfulness-based stress reduction (MBSR) course that emphasized the development of concentrative meditation skills. The other training group consisted of individuals experienced in concentrative meditation techniques who participated in a 1-month intensive mindfulness retreat. Performance of these groups was compared with that of control participants who were meditation naive and received no MT. At Time 1, the participants in the retreat group demonstrated improved conflict monitoring performance relative to those in the MBSR and control groups. At Time 2, the participants in the MBSR course demonstrated significantly improved orienting in comparison with the control and retreat participants. In contrast, the participants in the retreat group demonstrated altered performance on the alerting component, with improvements in exogenous stimulus detection in comparison with the control and MBSR participants. The groups did not differ in conflict monitoring performance at Time 2. These results suggest that mindfulness training may improve attention-related behavioral responses by enhancing functioning of specific subcomponents of attention. Whereas participation in the MBSR course improved the ability to endogenously orient attention, retreat participation appeared to allow for the development and emergence of receptive attentional skills, which improved exogenous alerting-related process.</t>
  </si>
  <si>
    <t>Valuing the Science of#ClimateChange http://ow.ly/UMM7V</t>
  </si>
  <si>
    <t>2/17/2016; 10/27/2015</t>
  </si>
  <si>
    <t>8/23/2016; 3/17/2016</t>
  </si>
  <si>
    <t>Webpage</t>
  </si>
  <si>
    <t>Not Suitable (this is a book)</t>
  </si>
  <si>
    <t xml:space="preserve">Vivid - Focus on immediate impacts </t>
  </si>
  <si>
    <t>From veteran organizer Marshall Ganz, how-tos for activists</t>
  </si>
  <si>
    <t>Smith, H.</t>
  </si>
  <si>
    <t>general decision science; motivation, organizing movements</t>
  </si>
  <si>
    <t xml:space="preserve">On the Divergent American Reactions to Terrorism and Climate Change </t>
  </si>
  <si>
    <t>Why Environmental Understanding, or "Associations," Matters: An Evaluation of the EcoAmerica Summary Report</t>
  </si>
  <si>
    <t>Sunstein, C. R.</t>
  </si>
  <si>
    <t>George Lakoff</t>
  </si>
  <si>
    <t xml:space="preserve">Columbia Law Review </t>
  </si>
  <si>
    <t>Summarizes the findings of the EcoAmerica Associations report, some arguments others have made against it, explains Associations and why it is important for the environment</t>
  </si>
  <si>
    <t>Network organizing</t>
  </si>
  <si>
    <t xml:space="preserve">Two of the most important sources of catastrophic risk are terrorism and climate change. The United States has responded aggressively to the risk of terrorism while doing very little about the risk of climate change. For the United States alone, the cost of the Iraq war is now in excess of the anticipated cost of the Kyoto Protocol. The divergence presents a puzzle; it also raises more general questions about both risk perception and the public demand for legislation. The best explanation for the divergence emphasizes bounded rationality. Americans believe that aggressive steps to reduce the risk of terrorism promise to deliver significant benefits in the near future at acceptable cost. By contrast, they believe that aggressive steps to reduce the risk of climate change will not greatly benefit American citizens in the near future—and they are not willing to pay a great deal to reduce that risk. This intuitive form of cost-benefit analysis is much influenced by behavioral factors, including the availability heuristic, probability neglect, outrage, and myopia. All of these contribute, after 9/11, to a willingness to support significant steps to respond to terrorism and to relative indifference to climate change. It follows that Americans are likely to support such steps in response to climate change only if one of two conditions is met: the costs of those steps can be shown to be acceptably low or new information, perhaps including a salient incident, indicates that Americans have much to gain from risk reduction in the relatively near future. </t>
  </si>
  <si>
    <t>Getting to the Root of Environmental Problems</t>
  </si>
  <si>
    <t xml:space="preserve">We are more likely to invest in risk reduction if the event feels like it will occur in the near future </t>
  </si>
  <si>
    <t>Why we need to understand human behavior to scale conservation</t>
  </si>
  <si>
    <t>Why #Environmental Understanding, or "#Associations," Matters:http://ow.ly/UMLMh via @GeorgeLakoff</t>
  </si>
  <si>
    <t>Why we need to understand human motivation and #DecisionScience to 'Get to the Root of Environmental Problems' http://bit.ly/1oe7BDL </t>
  </si>
  <si>
    <t xml:space="preserve">Precognition studies and the curse of the failed replications </t>
  </si>
  <si>
    <t>Chris French</t>
  </si>
  <si>
    <t xml:space="preserve">"science progresses when repreat studies back or refute previous research, but getting 'replications' published can be a nightmare </t>
  </si>
  <si>
    <t>Want everyone else to buy into environmentalism? Never say “Earth”</t>
  </si>
  <si>
    <t>Associations; Marketing Environmentalism; Effective communication</t>
  </si>
  <si>
    <t>Reframing Behavior Change to Redouble Impact: The Latest in Behavioral Science</t>
  </si>
  <si>
    <t>Caroline Hodge</t>
  </si>
  <si>
    <t>The long-time horizon for some conservation behaviors can demotivate action. Tapping into our desire to leave a legacy can change this.</t>
  </si>
  <si>
    <t>http://ecoaffect.org/2013/12/23/reframing-behavior-change-to-redouble-impact-the-latest-in-behavioral-science/</t>
  </si>
  <si>
    <t>Replication in Psychology: A Historical Perspective</t>
  </si>
  <si>
    <t xml:space="preserve">The Psyborg Labs </t>
  </si>
  <si>
    <t xml:space="preserve">Want everyone else to buy into environmentalism? Never say “Earth” http://ow.ly/UdRe6  </t>
  </si>
  <si>
    <t xml:space="preserve">on the reproducability of psychological findings </t>
  </si>
  <si>
    <t>No Cause is an Island: How People are Influenced by Values Regardless of the Cause</t>
  </si>
  <si>
    <t xml:space="preserve">connecting to intrinsic values </t>
  </si>
  <si>
    <t>Energy - Renewables, Pollution - Air</t>
  </si>
  <si>
    <t>4000, 16000</t>
  </si>
  <si>
    <t>3 Lessons from Testing Images and Appeals for Online Action in 2014</t>
  </si>
  <si>
    <t>Jeff Cappella</t>
  </si>
  <si>
    <t>Using evocative images to inspire action; Associations and Communication</t>
  </si>
  <si>
    <t>What do conservative policy intellectuals think about climate change?</t>
  </si>
  <si>
    <t xml:space="preserve">different opinions of conservatives re: climate change </t>
  </si>
  <si>
    <t>Resonate = Yes</t>
  </si>
  <si>
    <t>Resonate = No</t>
  </si>
  <si>
    <t>Solar</t>
  </si>
  <si>
    <t>Psychologists are Learning How to Convince Conservatives to Take Climate Change Seriously</t>
  </si>
  <si>
    <t xml:space="preserve">What do #conservative policy intellectuals think about #climatechange? http://ow.ly/P0aSh  @badler </t>
  </si>
  <si>
    <t>Jesse Singal</t>
  </si>
  <si>
    <t>Science of Us</t>
  </si>
  <si>
    <t xml:space="preserve">climate change communication/ Associations for conservatives </t>
  </si>
  <si>
    <t>Boomerang Effects in Science Communication: How Motivated Reasoning and Identity Cues Amplify Opinion Polarization About Climate Mitigation Policies</t>
  </si>
  <si>
    <t>Hart, P. S., &amp; Nisbet, E. C.</t>
  </si>
  <si>
    <t>Schools for Energy Efficiency (SEE) program</t>
  </si>
  <si>
    <t>Communication Research</t>
  </si>
  <si>
    <t>Class 5 Energy</t>
  </si>
  <si>
    <t>CLASS 5′s Schools for Energy Efficiency ® (SEE) program is a national award-winning, program that helps K-12 schools save energy and money by changing behavior throughout a district. Savings are immediate and sustainable through our unique approach, which incorporates strategies for increasing operational efficiency as well as educating and engaging staff and students.</t>
  </si>
  <si>
    <t xml:space="preserve">The deficit-model of science communication assumes increased communication about science issues will move public consensus toward scientific consensus. However, in the case of climate change, public polarization about the issue has increased in recent years, not diminished. In this study, we draw from theories of motivated reasoning, social identity, and persuasion to examine how science-based messages may increase public polarization on controversial science issues such as climate change. Exposing 240 adults to simulated news stories about possible climate change health impacts on different groups, we found the influence of identification with potential victims was contingent on participants’ political partisanship. This partisanship increased the degree of political polarization on support for climate mitigation policies and resulted in a boomerang effect among Republican participants. Implications for understanding the role of motivated reasoning within the context of science communication are discussed. </t>
  </si>
  <si>
    <t>Verbal Warming: Labels in the Climate Debate</t>
  </si>
  <si>
    <t>Justin Gillis</t>
  </si>
  <si>
    <t>Service and Product Success Story</t>
  </si>
  <si>
    <t>Energy Star</t>
  </si>
  <si>
    <t xml:space="preserve">Cambridge-Isanti School District, in partnership with the Schools for Energy Efficiency® (SEE) program
decreased its energy use by 30.8% in five and a half years, reducing operating costs by over $1,559,657. </t>
  </si>
  <si>
    <t>The Design and Evaluation of Prototype Eco-Feedback Displays for Fixture-Level Water Usage Data</t>
  </si>
  <si>
    <t>Froehlich, J., Findlater, L., Ostergen, M., Solai, R., Peterson, J., Wragg, I., …, &amp; Landay, J. A.</t>
  </si>
  <si>
    <t xml:space="preserve">"Climate deniers" or "climate skeptics"? http://ow.ly/P0d1o  </t>
  </si>
  <si>
    <t>Computer Science College of Information Studies</t>
  </si>
  <si>
    <t>The Daily Show' and 'The Colbert Report' May Be Why So Many More People Believe in Climate Change</t>
  </si>
  <si>
    <t>Kristin Magaldi</t>
  </si>
  <si>
    <t>Medical Daily</t>
  </si>
  <si>
    <t>Few means currently exist for home occupants to learn about their water consumption: e.g., where water use occurs, whether such use is excessive and what steps can be taken to conserve. Emerging water sensing systems, however, can provide detailed usage data at the level of individual water fixtures (i.e., disaggregated usage data). In this paper, we perform formative evaluations of two sets of novel eco-feedback displays that take advantage of this disaggregated data. The first display set isolates and examines specific elements of an eco-feedback design space such as data and time granularity. Displays in the second set act as design probes to elicit reactions about competition, privacy, and integration into domestic space. The displays were evaluated via an online survey of 651 North American respondents and in-home, semi-structured interviews with 10 families (20 adults). Our findings are relevant not only to the design of future water eco-feedback systems but also for other types of consumption (e.g., electricity and gas).</t>
  </si>
  <si>
    <t>http://dub.uw.edu/djangosite/media/papers/Froehlich_TheDesignAndEvaluationOfPrototypeEcoFeedbackDisplaysForWater_CHI2012.pdf</t>
  </si>
  <si>
    <t>Water flow monitor</t>
  </si>
  <si>
    <t>Novak Says Goodbye to C-I Schools</t>
  </si>
  <si>
    <t>Isanti-Chicago County Star</t>
  </si>
  <si>
    <t>???</t>
  </si>
  <si>
    <t>Hopeful, Ordinary, Relatable, Vivid</t>
  </si>
  <si>
    <t>Placing equity at the heart of resilience</t>
  </si>
  <si>
    <t>satirical new shows feature less opposing views and appeal more to audiences; increases certainty in climate change</t>
  </si>
  <si>
    <t>Associations conversations around communicaty interconnectedness and commonalities</t>
  </si>
  <si>
    <t>Vivid - Link the action to it's impact</t>
  </si>
  <si>
    <t>Consumption, Land use</t>
  </si>
  <si>
    <t>3000, 11000</t>
  </si>
  <si>
    <t>Consumption - Paper use and printing, Land use - Logging</t>
  </si>
  <si>
    <t>Short- and long-term effects of embodied experiences in immersive virtual environments on environmental locus of control and behavior</t>
  </si>
  <si>
    <t>Ahn, S. J., Bailenson, J. N., &amp; Park, D.</t>
  </si>
  <si>
    <t>Reluctant to share satirical news episodes? Studies show that they're actually very effective in persuading viewers! </t>
  </si>
  <si>
    <t>Computers in Human Behavior</t>
  </si>
  <si>
    <t>Heres a great article on why we must reframe the #cliamtechange narrative to emphasize interconnection &amp; solutions</t>
  </si>
  <si>
    <t>Climate Change; medicine</t>
  </si>
  <si>
    <t>Cognitive Dissonance</t>
  </si>
  <si>
    <t>Jonah Lehrer</t>
  </si>
  <si>
    <t>Problems Need Solutions</t>
  </si>
  <si>
    <t>Wired</t>
  </si>
  <si>
    <t xml:space="preserve">Nat Kendall-Taylor </t>
  </si>
  <si>
    <t>Immersive virtual environments (IVEs) allow individuals to see, hear, and feel digital stimuli as if they were in the physical world. Two studies tested the power of embodied experiences within IVEs by comparing the effects of cutting a virtual tree against reading a print description or watching a video depiction of the tree-cutting process to encourage paper conservation. Experiment 1 found that IVEs led participants to consume 20% less paper than participants who read a print description of tree cutting. Experiment 2 demonstrated that IVEs elicited greater self-reported internal environmental locus of control and self-reported environmental behaviors than print and video messages one week following the virtual experience. Moreover, internal environmental locus of control served as a mediator, driving environmental behaviors. We discuss the implications of using embodied experiences for behavior change.</t>
  </si>
  <si>
    <t>Story on the cognitive dissonance of anti-vaxxers</t>
  </si>
  <si>
    <t>FrameWorks Institute</t>
  </si>
  <si>
    <t>https://vhil.stanford.edu/pubs/2014/ahn-chb-embodied-experiences.pdf</t>
  </si>
  <si>
    <t>Land use - Logging</t>
  </si>
  <si>
    <t>energy use</t>
  </si>
  <si>
    <t>Asia, Central and South America</t>
  </si>
  <si>
    <t>42, 45</t>
  </si>
  <si>
    <t>Expanding the energy efficiency pie through high program participation</t>
  </si>
  <si>
    <t>Dan York</t>
  </si>
  <si>
    <t>ACEEE Blog</t>
  </si>
  <si>
    <t xml:space="preserve">Changing Drivers of Deforestation and New Opportunities for Conservation </t>
  </si>
  <si>
    <t>behavior; encouraging participation in energy efficiency programs</t>
  </si>
  <si>
    <t>Rudel, T. K., Defries, R., Asner, G. P., &amp; Laurance, W. F.</t>
  </si>
  <si>
    <t>Conservation Biology</t>
  </si>
  <si>
    <t xml:space="preserve">Over  the past 50 years, human agents of deforestation have changed in ways that have potentially important implications for conservation efforts. We characterized these changes through a meta-analysis of case studies of land-cover change in the tropics. From the 1960s to the 1980s, small-scale farmers, with state assistance, deforested large areas of tropical forest in Southeast Asia and Latin America. As globalization and urbanization increased during the 1980s, the agents of deforestation changed in two important parts of the tropical biome, the lowland rainforests in Brazil and Indonesia. Well-capitalized ranchers, farmers, and loggers producing for consumers in distant markets became more prominent in these places and this globalization weakened the historically strong relationship between local population growth and forest cover. At the same time, forests have begun to regrow in some tropical uplands. These changing circumstances, we believe, suggest two new and differing strategies for biodiversity conservation in the tropics, one focused on conserving uplands and the other on promoting environmental stewardship in lowlands and other areas conducive to industrial agriculture. </t>
  </si>
  <si>
    <t>Research Tells Us Why Your Audiences Don't Listen; Here's What To Do About It</t>
  </si>
  <si>
    <t>Murray, T.</t>
  </si>
  <si>
    <t>Wonderlab</t>
  </si>
  <si>
    <t>In this week’s #GeekReads: a new age of news; emotions vs. reason; how television can inspire altruism; extreme do-gooders; gender bias in the media.</t>
  </si>
  <si>
    <t>The term that actually makes climate change less political</t>
  </si>
  <si>
    <t>Puneet Kollipara</t>
  </si>
  <si>
    <t>Advancing Conservation by Understanding and Influencing Human Behavior</t>
  </si>
  <si>
    <t>Reddy, S. M., Montambault, J., Masuda, Y. J., Gneezy, A., Keenan, E., Butler, W., ... &amp; Asah, S. T.</t>
  </si>
  <si>
    <t>Conservation Letters</t>
  </si>
  <si>
    <t>A growing body of evidence suggests that the general public would rather hear about solutions to climate change than debate the science. Recent work from the Annals of the American Academy of Political and Social Science shows that discussing geoengineering as a potential method of combating global warming actually moves people on both sides of the political debate closer to the center; New research shows that people's willingness to accept climate science depends on which solutions to global warming they are presented with. Those who were exposed to solutions involving geoengineering viewed climate change as a higher risk than those who heard solutions regarding limiting air pollution. Those exposed to the geoengineering solution also moved towards the center in terms of how much faith they put in climate science, while those in the anti-pollution group became more polarized. </t>
  </si>
  <si>
    <t>potential application to fisheries - Making the case for fisheries reform more appealing</t>
  </si>
  <si>
    <t>Who Gets to Graduate?</t>
  </si>
  <si>
    <t>Paul Tough</t>
  </si>
  <si>
    <t>Cognitive dissonance in college students; Cognitive dissonance, social norms</t>
  </si>
  <si>
    <t>Behavioral sciences can advance conservation by systematically identifying behavioral barriers to conservation and how to best overcome them. Behavioral sciences have informed policy in many other realms (e.g., health, savings), but they are a largely untapped resource for conservation. We propose a set of guiding questions for applying behavioral insights to conservation policy. These questions help define the conservation problem as a behavior change problem, understand behavioral mechanisms and identify appropriate approaches for behavior change (awareness, incentives, nudges), and evaluate and adapt approaches based on new behavioral insights. We provide a foundation for the questions by synthesizing a wide range of behavior change models and evidence related to littering, water and energy conservation, and land management. We also discuss the methodology and data needed to answer these questions. We illustrate how these questions have been answered in practice to inform efforts to promote conservation for climate risk reduction. Although more comprehensive research programs to answer these questions are needed, some insights are emerging. Integrating two or more behavior change approaches that target multiple, context-dependent factors may be most successful; however, caution must be taken to avoid approaches that could undermine one another (e.g., economic incentives crowding out intrinsic incentives).</t>
  </si>
  <si>
    <t>The term that actually makes #climatechange less political http://ow.ly/UdVp0 </t>
  </si>
  <si>
    <t>Is the Environment a Moral Cause?</t>
  </si>
  <si>
    <t>Robb Willer</t>
  </si>
  <si>
    <t>Recommended by Rod; Interventions to improve success of disadvantaged college students</t>
  </si>
  <si>
    <t xml:space="preserve">Consumption - General </t>
  </si>
  <si>
    <t>Why does moral engagement on climate and environmental issues matter? Research has shown that people are generally reluctant to undertake costly political actions, even for a cause they think will be beneficial. However, when people are morally invested in an issue, they are more likely to eschew a sober cost-benefit analysis, opting instead to take action because it is the right thing to do. Put simply, we’re more likely to contribute to a cause when we feel ethically compelled to.</t>
  </si>
  <si>
    <t>Tapping Mindfulness to Shape Hotel Guests' Sustainable Behavior</t>
  </si>
  <si>
    <t>A Tool to Help you Reach Your Goals in 4 Steps</t>
  </si>
  <si>
    <t>Barber, N. A., &amp; Deale, C.</t>
  </si>
  <si>
    <t>Heidi Grant Halvorson</t>
  </si>
  <si>
    <t>Cornell Hospitality Quarterly</t>
  </si>
  <si>
    <t>consistency; goal setting</t>
  </si>
  <si>
    <t>Link to Book</t>
  </si>
  <si>
    <t>The characteristic of mindfulness is ascribed to people who have a relatively greater awareness of their surroundings and of other people. This study finds that assessing guests’ mindfulness helps hoteliers make those guests aware of and responsive to hotels’ sustainability practices. This process invokes specific elements of mindfulness, including guests’ concern for society and others, their preferences for mindful information services, the benefits they seek from a hotel experience, and their demographic characteristics. This study indicated that highly mindful individuals were more concerned for others and society as a whole and search for products and services that have high emotional and environmental benefits. By understanding guests’ mindfulness, hotel managers may help guests to respond to hotels’ careful stewardship of the environment by engaging in sustainable consumerism.</t>
  </si>
  <si>
    <t>More Republicans are agreeing that #globalwarming is an issue but there's still a large #moral gap http://ow.ly/OvCYA  Why?</t>
  </si>
  <si>
    <t>Wildlife - Conservation</t>
  </si>
  <si>
    <t>Polar Bear Flip-Flop: People Hated, Then Loved These Photos. What Changed?</t>
  </si>
  <si>
    <t>Cognitive Dissonance in Conservation</t>
  </si>
  <si>
    <t>Robert Krulwich</t>
  </si>
  <si>
    <t>cognitive bias; confirmation bias</t>
  </si>
  <si>
    <t xml:space="preserve">Even when we think of ourselves as environmentally minded, we may struggle to take shorter showers or to recycle when it is not convenient. Cognitive dissonance is that Identity  feeling that arises when our actions don't match our beliefs or values. Unfortunately, we commonly change our values to match our (in)action. However, we can co-opt cognitive dissonance to create pro-environmental behaviors instead! Check out our newest blog to learn more....;  cognitive dissonance </t>
  </si>
  <si>
    <t>Hopeful, Ordinary</t>
  </si>
  <si>
    <t>3, 7</t>
  </si>
  <si>
    <t>Hopeful - Provide feedback, Ordinary - Call attention to societies expectations</t>
  </si>
  <si>
    <t>304, 701</t>
  </si>
  <si>
    <t>Would an Energy Conservation Nudge in Hotels Encourage Hotel Guests to Conserve?</t>
  </si>
  <si>
    <t>Chang, H. S., Huh, C., &amp; Lee, M. J.</t>
  </si>
  <si>
    <t>The cognitive dissonance twinge, when our actions don’t match our beliefs, can be harnessed for conservation action: http://bit.ly/1nGfOBD</t>
  </si>
  <si>
    <t>Polar bear and dog playing</t>
  </si>
  <si>
    <t>How our views about polar bears changed because of #climatechange. Remember the cute pics of the polar bear and dog? http://n.pr/1C1wlHm </t>
  </si>
  <si>
    <t>Kelly McGonigal on why it's so dang hard to stick to a resolution</t>
  </si>
  <si>
    <t>Kate Torgovnick May</t>
  </si>
  <si>
    <t>Ted Blog</t>
  </si>
  <si>
    <t>will power</t>
  </si>
  <si>
    <t>Species at risk</t>
  </si>
  <si>
    <t xml:space="preserve">Utility companies achieved an average reduction of 2.5 percent in home energy use through an energy conservation nudge that provides feedback on energy consumption as compared with neighbors. This study investigated whether hotels can replicate this effect with their guests. A 2 (valence of electricity consumption) × 2 (comparison subject) experimental design with a control group was used with 1,000 respondents reporting their behavioral intentions in response to the energy conservation nudge in a scenario-based experiment. The results of a one-way analysis of variance (ANOVA) revealed that behavioral intentions toward electricity conservation were pronounced when the nudge was provided (regardless of the valence of electricity consumption and the comparison subject). The results of an analysis of covariance (ANCOVA) with an energy conscious level as a covariate confirmed the effectiveness of the nudge on electricity conservation. The results indicate that hotels can achieve guest-driven electricity efficiency when an Resonately designed nudge is supplied to guests. The implications of the study are also discussed. </t>
  </si>
  <si>
    <t>http://cqx.sagepub.com/cgi/doi/10.1177/1938965515588132</t>
  </si>
  <si>
    <t>Would an #Energy Conservation #Nudge in Hotels Encourage Hotel Guests to Conserve? http://ow.ly/XqyaY</t>
  </si>
  <si>
    <t>Simple Messages Increase Understanding of the Climate Change Consensus</t>
  </si>
  <si>
    <t>Teresay A. Myers, Edward Maibach, Ellen Peters and Anthony Leiserowitz</t>
  </si>
  <si>
    <t>quantitative Associations</t>
  </si>
  <si>
    <t>Do it in the Dark: Part 1</t>
  </si>
  <si>
    <t>UCB</t>
  </si>
  <si>
    <t>House competition sparks temporary reward for habit formation at university</t>
  </si>
  <si>
    <t xml:space="preserve">Good </t>
  </si>
  <si>
    <t>The FARMSCAPE Experience: Simulations aid participative learning in risky farming systems in Australia</t>
  </si>
  <si>
    <t xml:space="preserve">Hochman, Z., Coutts, J., Carberry, P.S., &amp; McCown, R. L. </t>
  </si>
  <si>
    <t>Cow Up a Tree: Knowing and Learning for Change in Agriculture. Case Studies from Industrialised Countries</t>
  </si>
  <si>
    <t>Do it in the Dark: Part 2</t>
  </si>
  <si>
    <t>There's widespread misunderstanding about #climatechange. But, simple clear messages can increase our understanding http://ow.ly/OpVBn </t>
  </si>
  <si>
    <t>6/29/2015 &amp; 12/17/15</t>
  </si>
  <si>
    <t>part II</t>
  </si>
  <si>
    <t>The FARMSCAPE (Farmers', Advisers', and Researchers', Monitoring, Simulation, Communication, and Performance Evaluation) project commenced in 1992 in response to a perception that despite years of effort, computer-aided farm decision research and intervention was failing the tests of relevance and significance with farmers and advisers. Using 'action research' principles FARMSCAPE researchers set out to learn whether successful family farmers could experience value in simulation as an aid to thinking about crop and cropland management where rainfall is highly uncertain. This became a research program on methodology for effective interactions among farmers, advisers, and researchers in which hard systems tools are used, not to optimize plans, but to structure uncertainty about external events and to explore consequences of possible actions through 'what if?' analyses and discussions. Learning occurred both as virtual experience and as 'discovery' of principles. Because decision making in their farming system is so dynamic, participating farmers recognized a need for such learning experiences in real time as an ongoing decision support service, and this is being piloted.</t>
  </si>
  <si>
    <t>Green Consumer Attitudes and the Emerging Buying Power of “Eco-Moms"</t>
  </si>
  <si>
    <t>Sofia Ribeiro</t>
  </si>
  <si>
    <t>The Green Economy Post</t>
  </si>
  <si>
    <t>"The report shows that EcoMoms are more involved than others in example setting behavior, such as water conservation (turning off the water when brushing teeth or other activity) and energy savings (turning off lights when leaving a room). "
</t>
  </si>
  <si>
    <t>http://greeneconomypost.com/sb10-consumer-attitudes-eco-moms-10535.htm</t>
  </si>
  <si>
    <t>One Year After Fukushima, Japan Faces Shortages of Energy Trust</t>
  </si>
  <si>
    <t>Marianne Lavelle</t>
  </si>
  <si>
    <t>National Geographic</t>
  </si>
  <si>
    <t>Time-as-Money Mindset Decreases Green Behaviors</t>
  </si>
  <si>
    <t>Tom Jacobs</t>
  </si>
  <si>
    <t>Thinking of time in terms of money may be hurting the environmental movement. According to recent research, people who put a $ on their time are less likely to find environmental behaviors worthwhile;  Overcoming perceptual barriers</t>
  </si>
  <si>
    <t xml:space="preserve">Ordinary - Contextually model the desired behavior </t>
  </si>
  <si>
    <t>Waste management, Consumption, Transportation</t>
  </si>
  <si>
    <t>21000, 3000, 20000</t>
  </si>
  <si>
    <t>Waste management - Recycling and reuse, Waste management - Littering,  Consumption - Energy, Transportation - Sustainable</t>
  </si>
  <si>
    <t>Crafting Normative Messages to Protect the Environment</t>
  </si>
  <si>
    <t>Cialdini, R. B.</t>
  </si>
  <si>
    <t>Current Directions in Psychological Science</t>
  </si>
  <si>
    <t>Jacksonville, Fla., dedicates new PORTS real-time data system</t>
  </si>
  <si>
    <t>NOAA</t>
  </si>
  <si>
    <t xml:space="preserve">It is widely recognized that communications that activate social norms can be effective in producing societally beneficial conduct. Not so well recognized are the circumstances under which normative information can backfire to produce the opposite of what a communicator intends. There is an understandable, but misguided, tendency to try to mobilize action against a problem by depicting it as regrettably frequent. Information campaigns emphasize that alcohol and drug use is intolerably high, that adolescent suicide rates are alarming, and—most relevant to this article—that rampant polluters are spoiling the environment. Although these claims may be both true and well intentioned, the campaigns' creators have missed something critically important: Within the statement “Many people are doing this undesirable thing” lurks the powerful and undercutting normative message “Many people are doing this.” Only by aligning descriptive norms (what people typically do) with injunctive norms (what people typically approve or disapprove) can one optimize the power of normative appeals. Communicators who fail to recognize the distinction between these two types of norms imperil their persuasive efforts. </t>
  </si>
  <si>
    <t>Time = $ might be bad for the environmental movement</t>
  </si>
  <si>
    <t>http://cdp.sagepub.com/lookup/doi/10.1111/1467-8721.01242</t>
  </si>
  <si>
    <t>Normal = Yes; Feedback = No</t>
  </si>
  <si>
    <t xml:space="preserve">Crafting Normative Messages to Protect the #Environment http://ow.ly/X5ynm </t>
  </si>
  <si>
    <t>Behavior Design Bootcamp with Stanford’s Dr. BJ Fogg</t>
  </si>
  <si>
    <t>Ryan Wynia</t>
  </si>
  <si>
    <t>Technori</t>
  </si>
  <si>
    <t>Reducing carbon-based energy consumption through changes in household behavior</t>
  </si>
  <si>
    <t xml:space="preserve">Dietz, T., Stern, P. C., &amp; Weber, E. U. </t>
  </si>
  <si>
    <t>Daedalus</t>
  </si>
  <si>
    <t xml:space="preserve">An atendee of BJ Fogg's bootcamp discusses. He states: "In order for an action to occur, Fogg believes on must be motivated, have the ability to act and be triggered. All three elements must be present, but motivation and ability can be traded of (one is hight, the other is low). </t>
  </si>
  <si>
    <t>Yes (2/13/2015)</t>
  </si>
  <si>
    <t>Actions by individuals and households to reduce carbon-based energy consumption have the potential to change the picture of U.S. energy consumption and carbon dioxide emissions in the near term. To tap this potential, however, energy policies and programs need to replace outmoded assumptions about what drives human behavior; they must integrate insights from the behavioral and social sciences with those from engineering and economics. This integrated approach has thus far only occasionally been implemented. This essay summarizes knowledge from the social sciences and from highly successful energy programs to show what the potential is and how it can be achieved.</t>
  </si>
  <si>
    <t>Heat Wave Psychology: Long Past, Green Future?</t>
  </si>
  <si>
    <t>Wray Herbert</t>
  </si>
  <si>
    <t>Does living in a nation with deep historical roots allow for a longer view of the future, and therefore self-sacrifice for the sake of the environment? And if primed to think of ones nation as mature and enduring -- do we treat the environmental more responsibly?</t>
  </si>
  <si>
    <t>How Long Does it Actually Take to Form a New Habit? (Backed by Science)</t>
  </si>
  <si>
    <t>James Clear   </t>
  </si>
  <si>
    <t>It takes more than about two months average to form a new habit. However be aware "how long it takes to form a particular habit doesn’t really matter that much. Whether it takes 50 days or 500 days, you have to put in the work either way."</t>
  </si>
  <si>
    <t>Identity - Affirm and validate</t>
  </si>
  <si>
    <t>http://jamesclear.com/new-habit</t>
  </si>
  <si>
    <t xml:space="preserve">Climate - Belief </t>
  </si>
  <si>
    <t>The Role of Information Deficits and Identity Threat in the Prevalence of Misperceptions</t>
  </si>
  <si>
    <t>Nyhan, B., &amp; Reifler, J.</t>
  </si>
  <si>
    <t>Dartmouth</t>
  </si>
  <si>
    <t>How Long Does it Actually Take to Form a New Habit? (Backed By Science)</t>
  </si>
  <si>
    <t>James Clear</t>
  </si>
  <si>
    <t>Jamesclear.com</t>
  </si>
  <si>
    <t>Do people in nations with deeper historical roots have the 'longer view' necessary for environmental self-sacrifice? http://www.huffingtonpost.com/wray-herbert/heat-wave-psychology-long_b_3644823.html </t>
  </si>
  <si>
    <t>Clear writes about habit formation and the common misconception that it takes exactly 21 days to form a new one.  Dives into a scientific study done to determine the actual (if any) number of days that it takes to form a new habit.</t>
  </si>
  <si>
    <t>Why do so many Americans hold misperceptions? We examine two factors that may contribute to the prevalence of these false or unsupported beliefs. First, many people have not been exposed to clear factual information. If so, presenting correct information in a more compelling format should reduce misperceptions. In some cases, however, people may instead reject accurate information because it threatens their worldview or self-concept - a mechanism that can be revealed by affirming individuals’ self-worth, which could make them more willing to acknowledge uncomfortable facts. We find support for both hypotheses. Our results indicate that providing information in graphical form reduces misperceptions. However, self-affirmation can also help decrease misperceptions even if no other information is provided. Misperceptions are thus not simply the result of a lack of information - our results suggest many people could offer correct answers if they were less psychologically threatening.</t>
  </si>
  <si>
    <t>Climate science literacy unrelated to public acceptance of human-caused global warming</t>
  </si>
  <si>
    <t>Yale University</t>
  </si>
  <si>
    <t>Phys.org</t>
  </si>
  <si>
    <t>http://www.dartmouth.edu/~nyhan/opening-political-mind.pdf</t>
  </si>
  <si>
    <t>Communication; study shows even climate-literate people doubt that global warming is human-caused</t>
  </si>
  <si>
    <t>The simple Psychology of Habits</t>
  </si>
  <si>
    <t>Marc David</t>
  </si>
  <si>
    <t>Institute for the Psychology of Eating</t>
  </si>
  <si>
    <t>Campus Recycling: Influences and Decisions</t>
  </si>
  <si>
    <t>climate literacy unrelated to belief that humans are responsible for global warming</t>
  </si>
  <si>
    <t>Lopeman, B. A.</t>
  </si>
  <si>
    <t>Department of Geography and Environmental Resources in the Graduate School Southern Illinois University Carbondale</t>
  </si>
  <si>
    <t>"Let’s divide habits into 2 basic categories: positive and negative. Or think of it as “wanted” and “unwanted” habits. The words positive and negative are not meant here as a moral judgment as to the inherent goodness or evilness of a habit, but rather neutral terms describing the effects of these habits, and the biologic consequences that the habit evokes. A negative habit is a behavior that is repeated mechanically and automatically. It drains or disperses our energy, has harmful repercussions on the body or emotions, and goes against what we most want for ourselves.....So instead of the common strategy of fighting a habit, we awaken ourselves when we might, for example, overeat, and ask the question: “Is this what I wish to choose in this moment? Will I continue on automatic pilot, or do I choose not to eat?” Interestingly enough, even if we ask ourselves this question and choose in the moment to continue eating, we’ve actually “exercised” our choosing muscle, and made it stronger. The next time, when faced with the same choice, our ability to choose and accept any choice becomes stronger, and even more compassionate. We’ve strengthened our “awareness” bank account, and can readily use its assets."</t>
  </si>
  <si>
    <t>http://psychologyofeating.com/simple-psychology-habits/</t>
  </si>
  <si>
    <t xml:space="preserve">blog post, general </t>
  </si>
  <si>
    <t>ok/good</t>
  </si>
  <si>
    <t>Want to keep New Year's resolutions? Timing is key, researchers find</t>
  </si>
  <si>
    <t>Colby Itkowitz
</t>
  </si>
  <si>
    <t>Chicago Tribune</t>
  </si>
  <si>
    <t xml:space="preserve">The purpose of this study is to assess the factors that most influence decision making in regards to environmental programming on a university campus. The results
of this study serve as a guide for campus administration when implementing future environmental programs. At most universities there is a large population living on
campus, this creates the opportunity to encourage pro-environmental attitudes and behaviors of a large population. College, for many students, is the first time away from
their family home and a time they can develop new attitudes and behaviors. This allows campus administrators the opportunity to influence students at a time in which they are
developing new habits. It is important for campus administration to understand the factors that influence students’ participation in environmental programs and how to
influence students’ long term attitudes and behaviors toward environmental concerns. This study determined which factors most strongly influence students to
participate in the recycling program within their residence halls. The roles and attitudes of University Housing Staff toward current environmental programs were also assessed.
Improved understanding of student participation and administrator roles can help support future environmental efforts on campus. Interviews with administrators showed that while administration may have a reasonable understanding of the factors that influence students to participate in  recycling programs; this understanding does not extend to the actual programs that are being implemented. Of the students surveyed in this research, 100% responded that they thought there are improvements that should be made to increase recycling on campus. The factors that should most influence administrators in environmental decisions on campus were explored with student opinions of the current programs. The recycling research completed shows that both convenience and proenvironmental education are important influences on students’ decisions to participate in recycling programs within their residence halls. The research shows that recycling increased by 50% with the addition of both convenience and pro environmental education. Based on the increase in the amount of recycling per person in this study, the addition of these two components throughout the residence halls at Southern Illinois University could result in approximately 3,750 pounds of waste reduction per semester. While convenience has been shown to have an influence on recycling, e.g. Jennings (2004), this study focuses on the influence of pro-environmental education as well. Education is an important component that many environmental programs on campus are lacking. </t>
  </si>
  <si>
    <t>http://opensiuc.lib.siu.edu/cgi/viewcontent.cgi?article=2408&amp;context=theses</t>
  </si>
  <si>
    <t>The purpose of this study is to assess the factors that most influence decision making in regards to environmental programming on a university campus. The results of this study serve as a guide for campus administration when implementing future environmental programs. At most universities there is a large population living on campus, this creates the opportunity to encourage pro-environmental attitudes and behaviors of a large population. College, for many students, is the first time away from their family home and a time they can develop new attitudes and behaviors. This allows campus administrators the opportunity to influence students at a time in which they are developing new habits. It is important for campus administration to understand the factors that influence students’ participation in environmental programs and how to influence students’ long term attitudes and behaviors toward environmental concerns.
This study determined which factors most strongly influence students to participate in the recycling program within their residence halls. The roles and attitudes of University Housing Staff toward current environmental programs were also assessed. Improved understanding of student participation and administrator roles can help support future environmental efforts on campus.
Interviews with administrators showed that while administration may have a reasonable understanding of the factors that influence students to participate in recycling programs; this understanding does not extend to the actual programs that are being implemented. Of the students surveyed in this research, 100% responded that they thought there are improvements that should be made to increase recycling on campus. The factors that should most influence administrators in environmental decisions on campus were explored with student opinions of the current programs.
The recycling research completed shows that both convenience and pro- environmental education are important influences on students’ decisions to participate in recycling programs within their residence halls. The research shows that recycling increased by 50% with the addition of both convenience and pro-environmental education. Based on the increase in the amount of recycling per person in this study, the addition of these two components throughout the residence halls at Southern Illinois University could result in approximately 3,750 pounds of waste reduction per semester. While convenience has been shown to have an influence on recycling, e.g. Jennings (2004), this study focuses on the influence of pro-environmental education as well. Education is an important component that many environmental programs on campus are lacking.</t>
  </si>
  <si>
    <t>Three Traps to Avoid When Speaking About the Environment</t>
  </si>
  <si>
    <t>lisabennet.org</t>
  </si>
  <si>
    <t>Real-time Feedback and Electricity Consumption: A Field Experiment Assessing the Potential for Savings and Persistence</t>
  </si>
  <si>
    <t>Houde, S., Todd, A., Sudarshan, A., Flora, J. A., &amp; Armel, K. C.</t>
  </si>
  <si>
    <t>Department of Management Science and Engineering, Stanford University</t>
  </si>
  <si>
    <t>"Researchers found that, yes, New Year's Day offers compelling motivation for people to launch better habits and new goals. But they also found that any time of year that represents a fresh start can be just as effective."</t>
  </si>
  <si>
    <t>http://www.chicagotribune.com/lifestyles/sc-new-year-resolutions-timing-family-1229-20151221-story.html</t>
  </si>
  <si>
    <t>Real-time information feedback delivered via technology has been reported to produce up to 20 percent declines in residential energy consumption. There are however large differences in estimates of the effect of real-time feedback technologies on energy use. In this study, we conduct a field experiment to obtain an estimate of the impact of a real-time feedback technology. Access to feedback leads to an average reduction in household electricity consumption of 5.7 percent. Significant declines persist for up to four weeks. In examining time of day reduction effects, we find that the largest reductions were observed initially at all times of the day but as time passes, morning and evening intervals show larger reductions. We find no convincing evidence that household characteristics explain heterogeneity in our treatment effects; we examine demographics, housing characteristics and psychological variables.</t>
  </si>
  <si>
    <t>What Causes Behavior Change?
</t>
  </si>
  <si>
    <t>BJ Fogg</t>
  </si>
  <si>
    <t xml:space="preserve">In order for an action to occur, Fogg believes on must be motivated, have the ability to act and be triggered. All three elements must be present, but motivation and ability can be traded of (one is hight, the other is low). </t>
  </si>
  <si>
    <t>“What’s stupid is how people talk about it.” http://ow.ly/OpReW  3 Traps to Avoid When Speaking About the Environment #communication</t>
  </si>
  <si>
    <t>4, 9</t>
  </si>
  <si>
    <t>New study finds a surprising placebo effect from “environmentally friendly” labeling</t>
  </si>
  <si>
    <t>easy to understand, provocative article</t>
  </si>
  <si>
    <t>Study using students to test their accuracy in arranging color caps in a gradual color transistion under two types of lights, one being "environmentally friendly" and the other conventional.  Accuracy was greater for students when using the "environmentally friendly" light.</t>
  </si>
  <si>
    <t>none specifically mentioned</t>
  </si>
  <si>
    <t>3 steps to new habits</t>
  </si>
  <si>
    <t>Slideshare</t>
  </si>
  <si>
    <t>Make it tiny, insert the new habit after an existing routine, train the cycle</t>
  </si>
  <si>
    <t>Energy efficient appliances</t>
  </si>
  <si>
    <t>When in doubt, shout - why shaking someone's beliefs turns them into stronger advocates</t>
  </si>
  <si>
    <t>Ed Yong</t>
  </si>
  <si>
    <t>Common Cause For Nature: A practical guide to values and frames in conservation</t>
  </si>
  <si>
    <t>Hawkins, R.</t>
  </si>
  <si>
    <t xml:space="preserve">Slideshow format, very general </t>
  </si>
  <si>
    <t>Public Interest Research Center</t>
  </si>
  <si>
    <t>More in depth explication of experiment on animal testing, food choices, and the merits of apple products mentioned directly below</t>
  </si>
  <si>
    <t>This guide offers recommendations for the conservation sector and others on how to ensure their work strengthens the values that motivate people to protect and enjoy nature. Part of a longer report produced in collaboration with 13 UK conservation organisations, it is based on original analysis of these groups’ communications, workshop discussions, survey responses and in-depth interviews.</t>
  </si>
  <si>
    <t xml:space="preserve">Top 10 Mistakes in Behavior change and some ways you can fix them </t>
  </si>
  <si>
    <t xml:space="preserve">BJ Fogg, et al. </t>
  </si>
  <si>
    <t>Discusses importance of babysteps, context, motivation, triggers, concrete behaviors</t>
  </si>
  <si>
    <t>Resonate = Yes; Salient = No</t>
  </si>
  <si>
    <t>Resonate = No; Salient = No</t>
  </si>
  <si>
    <t>Associations - Match the message to audience's worldviews, Awareness - Create opportunities for the audience to connect with nature</t>
  </si>
  <si>
    <t>Can Empathy Help Stop Climate Change?</t>
  </si>
  <si>
    <t>Organic</t>
  </si>
  <si>
    <t>Lisa Bennett</t>
  </si>
  <si>
    <t>Greater Good Berkeley</t>
  </si>
  <si>
    <t>Parents with pesticide fears turn to organic baby food</t>
  </si>
  <si>
    <t>Associated Press</t>
  </si>
  <si>
    <t>The correlation between empathy and climate change efforts. </t>
  </si>
  <si>
    <t>USA Today: Health and behavior</t>
  </si>
  <si>
    <t>"Sales of organic baby food have jumped nearly 18% since last year — double the overall growth of organic food sales, according to the marketing information company ACNielsen."</t>
  </si>
  <si>
    <t>When in doubt, shout – why shaking someone’s beliefs turns them into stronger advocates http://ow.ly/TYKGl </t>
  </si>
  <si>
    <t xml:space="preserve">Can #Empathy Help Stop #ClimateChange? http://ow.ly/WmmdB </t>
  </si>
  <si>
    <t>Pollution - Air, Pollution - Plastics, Wildlife - Conservation</t>
  </si>
  <si>
    <t xml:space="preserve">Associations, Awareness, Benefits, Hopeful, Ordinary, Relatable </t>
  </si>
  <si>
    <t>4, 9, 1, 3, 7, 8</t>
  </si>
  <si>
    <t>These 40 Brilliant Ads Are Shocking, But They'll Make You Think About Important Issues</t>
  </si>
  <si>
    <t>Distractify Staff</t>
  </si>
  <si>
    <t>Lasting - Capitalize on Life Changes</t>
  </si>
  <si>
    <t>Distractify</t>
  </si>
  <si>
    <t>Waste Management - Recycling/Reusing/Repurpose, Consumption - Energy</t>
  </si>
  <si>
    <t>How moving home or changing job can help you ditch bad habits: Major life changes make you more likely to succeed</t>
  </si>
  <si>
    <t>Daily Mail</t>
  </si>
  <si>
    <t>"Starting a new habit during a major life change such as moving house or changing jobs is more likely to be successful, researchers say."</t>
  </si>
  <si>
    <t>http://www.dailymail.co.uk/news/article-3418465/How-moving-home-changing-job-help-ditch-bad-habits-Major-life-changes-make-likely-succeed.html</t>
  </si>
  <si>
    <t>Cambridge-Isanti School District #911 School Board Meeting Minutes</t>
  </si>
  <si>
    <t>Cambridge</t>
  </si>
  <si>
    <t>How can we use such simple communcation to get our ideas across?</t>
  </si>
  <si>
    <t xml:space="preserve">essential examples </t>
  </si>
  <si>
    <t>Most discussions on #climatechange ignore these 10 basic facts about #humannature http://ow.ly/OpWhF </t>
  </si>
  <si>
    <t>Dorm life: Green habits to take back to campus</t>
  </si>
  <si>
    <t>Ellice Campbell</t>
  </si>
  <si>
    <t>Examiner</t>
  </si>
  <si>
    <t>Associations, Awareness, Easy</t>
  </si>
  <si>
    <t>4, 9, 2</t>
  </si>
  <si>
    <t>The start of a new year is the perfect time to incorporate new green habits into campus life. Whether away at college or going to the hometown university, these seven easy to implement tips can help any student live just a little greener."
</t>
  </si>
  <si>
    <t>Communicating Climate Change in a National Park</t>
  </si>
  <si>
    <t>Yale Climate Connections</t>
  </si>
  <si>
    <t>Overcoming barriers</t>
  </si>
  <si>
    <t>Easy = Yes; Resonate = No; Hopeful = No</t>
  </si>
  <si>
    <t>Easy = No; Resonate = No; Hopeful = No</t>
  </si>
  <si>
    <t>From Mindless to Mindful</t>
  </si>
  <si>
    <t>Ryan M. Niemiec Psy.D.</t>
  </si>
  <si>
    <t>Communicating #ClimateChange in a National Park http://ow.ly/TMIXB </t>
  </si>
  <si>
    <t>https://www.psychologytoday.com/blog/what-matters-most/201308/mindless-mindful</t>
  </si>
  <si>
    <t>Identifying bad habits and changing  them.  Tips and Exercises.</t>
  </si>
  <si>
    <t xml:space="preserve">Associations, Awareness, Hopeful </t>
  </si>
  <si>
    <t>4, 9, 3</t>
  </si>
  <si>
    <t>What religion can teach climate scientists</t>
  </si>
  <si>
    <t>Breaking the Climate Fear Taboo</t>
  </si>
  <si>
    <t>Bill McKibben</t>
  </si>
  <si>
    <t>Renee Lertzman</t>
  </si>
  <si>
    <t>Boston Globe</t>
  </si>
  <si>
    <t>Sightline Institute</t>
  </si>
  <si>
    <t>Using hopefulness to rally religious climate change skeptics</t>
  </si>
  <si>
    <t>cognitive bias; climate change, emotions</t>
  </si>
  <si>
    <t>Talks about how to communicate in an engaging way about climate change</t>
  </si>
  <si>
    <t>Resonate = No; Mindful = No</t>
  </si>
  <si>
    <t>What can environmentalists learn from religious movement? That hope is key to #inspire people to  climate action</t>
  </si>
  <si>
    <t>BREAKING THE CLIMATE FEAR TABOO Why feelings matter for our #climat</t>
  </si>
  <si>
    <t>Risk Perceptions: “Experts” vs. “Lay People”</t>
  </si>
  <si>
    <t>Bostrom, A.</t>
  </si>
  <si>
    <t>Associations, Awareness, Ordinary</t>
  </si>
  <si>
    <t>Duke Environmental Law &amp; Policy Forum</t>
  </si>
  <si>
    <t>4, 9, 7</t>
  </si>
  <si>
    <t xml:space="preserve">At MomentUs Summit, Faith leaders urge seizing "Kairos Moment" </t>
  </si>
  <si>
    <t xml:space="preserve">Kara Ball </t>
  </si>
  <si>
    <t>Don't Eat Bugs to Save the World, but Because They're Tasty</t>
  </si>
  <si>
    <t>EcoAffect</t>
  </si>
  <si>
    <t> Jason G. Goldman</t>
  </si>
  <si>
    <t>University of Washington Conservation Magazine</t>
  </si>
  <si>
    <t>Using religious language to communicate climate change to religious climate skeptics</t>
  </si>
  <si>
    <t>Changing how people think about insects to shift attitude about them. Overpopulation and consumption --&gt; less biodiversity --&gt; eat more insects cus theyre tasty; Associations</t>
  </si>
  <si>
    <t>Climate - Emissions</t>
  </si>
  <si>
    <t xml:space="preserve">Fascinating... @snap_is altering how people think about #bugs for #conservation #RationalDecisions #yummy </t>
  </si>
  <si>
    <t>CALIFORNIA: Neighborhood 'book clubs' with a special assignment: cutting carbon</t>
  </si>
  <si>
    <t>Anne C. Mulkern</t>
  </si>
  <si>
    <t xml:space="preserve">E&amp;E Publishing, LLC </t>
  </si>
  <si>
    <t>Associations, Awareness, Relatable</t>
  </si>
  <si>
    <t>4, 9, 8</t>
  </si>
  <si>
    <t>A Cool Block group meets in Los Angeles with the goal of curbing neighborhood greenhouse gas emissions.</t>
  </si>
  <si>
    <t>http://www.eenews.net/stories/1060043662</t>
  </si>
  <si>
    <t>Social Norms - Nudging Towards Green Behavior</t>
  </si>
  <si>
    <t>Abby Karp and Jessica Robbins</t>
  </si>
  <si>
    <t>What the climate movement must learn from religion</t>
  </si>
  <si>
    <t xml:space="preserve">Essential - use for chapter! </t>
  </si>
  <si>
    <t>Decision Science; Social norms</t>
  </si>
  <si>
    <t>George Marshall argues that environmentalists should adapt some of the strategies of religious leaders to inspire passion about climate issues. Among these, it is important to build communities, encourage public commitments, and frame increasing awareness of climate change as a personal and spiritual journey.; Communication; Associations and movement building; Associations</t>
  </si>
  <si>
    <t>Benefits - Reward specific  behaviors</t>
  </si>
  <si>
    <t>Resonate = No; Personal = No; Mindful = No</t>
  </si>
  <si>
    <t>The Persistence of Moral Suasion and Economic Incentives: Field Experimental Evidence for Energy Demand</t>
  </si>
  <si>
    <t>Ito, K., Ida, T., &amp; Tanaka, M.</t>
  </si>
  <si>
    <t>E2E</t>
  </si>
  <si>
    <t xml:space="preserve">What the #climate movement must learn from religion http://ow.ly/UdVHa  via @climategeorge </t>
  </si>
  <si>
    <t>Check out our latest blog post! Peer behavior and it's impact on our own #environmental choices http://bit.ly/1NG5k3p</t>
  </si>
  <si>
    <t>http://bit.ly/1NG5k3p</t>
  </si>
  <si>
    <t>4, 1</t>
  </si>
  <si>
    <t>Environmental Policy, Land Use - Agriculture</t>
  </si>
  <si>
    <t>Firms and governments often use moral suasion and economic incentives to influence intrinsic and extrinsic motivations for various economic activities. To investigate the persistence of such interventions, we randomly assigned households to moral suasion and dynamic pricing that stimulate energy conservation during peak demand hours. Using household-level consumption data for 30-minute intervals, we find significant short-run effects of moral suasion, but the effects diminished quickly after repeated interventions. Economic incentives produced larger and persistent effects, which induced habit formation after the final interventions. While each policy produces substantial welfare gains, economic incentives provide particularly large gains when we consider persistence.
</t>
  </si>
  <si>
    <t>6000, 11000</t>
  </si>
  <si>
    <t>http://www.nber.org/papers/w20910</t>
  </si>
  <si>
    <t>Ordinary?</t>
  </si>
  <si>
    <t>Climate Policy, Not Change, Worries Farmers Most</t>
  </si>
  <si>
    <t>Kat Kerlin</t>
  </si>
  <si>
    <t>Futurity</t>
  </si>
  <si>
    <t>Dose of Decision Science - Social Norms</t>
  </si>
  <si>
    <t>Perception of climate change depends on policy success</t>
  </si>
  <si>
    <t xml:space="preserve">Whether we choose to admit it or not, social norms play a huge part in the decisions we make… And for decades, advertising campaigns have taken advantage of this. Can you think of ways social norms might be used to promote conservation? </t>
  </si>
  <si>
    <t>Natural</t>
  </si>
  <si>
    <t>Farmers say the biggest climate risk they face is not #drought, water shortage, or #climatechange but gov regulations http://ow.ly/OvBhW </t>
  </si>
  <si>
    <t>Associations, Benefits, Easy</t>
  </si>
  <si>
    <t>4, 1, 2</t>
  </si>
  <si>
    <t>Surprised by the extent people are influenced by #socialnorms? Thankfully, they can be used to promote conservation! http://bit.ly/snsn12</t>
  </si>
  <si>
    <t>Helping Consumers See the Green Behind Fuel Economy</t>
  </si>
  <si>
    <t xml:space="preserve">Jenna Zhang </t>
  </si>
  <si>
    <t>State of the Planet</t>
  </si>
  <si>
    <t xml:space="preserve">Overview of how Associations and labelling techniques can influence purchase of cars </t>
  </si>
  <si>
    <t>For Katherone Hayhoe, Climate Change Not a Leap of Faith</t>
  </si>
  <si>
    <t>Michael D. Lemonick</t>
  </si>
  <si>
    <t>Climate Central</t>
  </si>
  <si>
    <t>Katherine Hayhoe bridges gab between climate science and religion</t>
  </si>
  <si>
    <t>Helping Consumers See the Green Behind Fuel Economy. "Saving money and the environment can be one in the same." http://ow.ly/voWth</t>
  </si>
  <si>
    <t>Here's why the Messenger matters &amp; tips from a skilled speaker on how to talk to diverse groups about</t>
  </si>
  <si>
    <t>Fuel efficient vehicles</t>
  </si>
  <si>
    <t>More than 10,000 people urge their MP's to tackle climate change.</t>
  </si>
  <si>
    <t>Associations, Benefits, Easy, Hopeful, Ordinary, Relatable, Vivid</t>
  </si>
  <si>
    <t>Christian Aid</t>
  </si>
  <si>
    <t>4, 1, 2, 3, 7, 8, 5</t>
  </si>
  <si>
    <t>Moral licensing</t>
  </si>
  <si>
    <t>Need to talk to a climate denier? Here's how</t>
  </si>
  <si>
    <t>Mike Hower</t>
  </si>
  <si>
    <t>GreenBiz</t>
  </si>
  <si>
    <t>Hower also discusses the recent CRED report, but emphasizes the potentialsolutions that its authors suggest. The key solutions involve tailoring communications to ensure that they are personal and relevant to the audience's worldview, integrating climate solutions into social networks, emphasizingsolutions and benefits, and including real-life stories to make climate science and its impacts meaningful; Communication; Using communucation and behavioral science principles to communicate climate issues</t>
  </si>
  <si>
    <t>Could Graphic Design Help People Better Relate to Each Other?</t>
  </si>
  <si>
    <t>John Brownlee</t>
  </si>
  <si>
    <t>values and understanding</t>
  </si>
  <si>
    <t>discusses the CRED report</t>
  </si>
  <si>
    <t>Evolving Culture of Science Engagement</t>
  </si>
  <si>
    <t>David Kaiser</t>
  </si>
  <si>
    <t>Associations, Benefits, Hopeful, Identity</t>
  </si>
  <si>
    <t>4, 1, 3, 6</t>
  </si>
  <si>
    <t>The Hot New Frontier of Energy Research Is Human Behavior</t>
  </si>
  <si>
    <t>Brandon Keim</t>
  </si>
  <si>
    <t>Energy engineers and social scientists are putting their heads together to come up with innovative solutions and push the boundaries of energy conservation research. This collaboration comes at an opportune time--says Ed Vine of Lawrence Berkeley National Laboratory, "In order to achieve our energy-saving goals, it can't just be technology by itself."</t>
  </si>
  <si>
    <t>The mainstream environmental movement is mostly white. Heres how to change that</t>
  </si>
  <si>
    <t>Jeremy Deaton</t>
  </si>
  <si>
    <t>Climate Progress</t>
  </si>
  <si>
    <t>making environmental movements more diverse and inclusive</t>
  </si>
  <si>
    <t>Associations, Benefits, Hopeful, Ordinary</t>
  </si>
  <si>
    <t>4, 1, 3, 7</t>
  </si>
  <si>
    <t>Fostering inclusivity in the #environmental movement is vital to the success of #climateaction</t>
  </si>
  <si>
    <t>10 things you want to know about human nature if you're fighting climate change</t>
  </si>
  <si>
    <t xml:space="preserve">Covers 10 important biases and offeres studies that demonstrates them, makes an environmental connection </t>
  </si>
  <si>
    <t>Dose of Decision Science - Hyperbolic Discounting</t>
  </si>
  <si>
    <t>Why is it so hard to sacrifice now for a future reward, such as by making energy saving improvements to our homes?; Hyperbolic Discounting</t>
  </si>
  <si>
    <t>"10 things you want to know about human nature if you're fighting climate change"</t>
  </si>
  <si>
    <t>Associations, Benefits, Relatable</t>
  </si>
  <si>
    <t>4, 1, 8</t>
  </si>
  <si>
    <t>Reframing Climate Change - What Works Best</t>
  </si>
  <si>
    <t>Repetition, sources, and affirmation may be more effective than reAssociations the climate coversation</t>
  </si>
  <si>
    <t>http://ecoaffect.org/2016/03/16/does-reframing-climate-change-actually-work/</t>
  </si>
  <si>
    <t>When it comes to "Associations" your #climatechange convesation, here's some potential limitations &amp; opportunities</t>
  </si>
  <si>
    <t>Bullied bus monitor receives $700k check</t>
  </si>
  <si>
    <t>CBS/AP</t>
  </si>
  <si>
    <t>CBS News</t>
  </si>
  <si>
    <t>10 Psychological Research Studies to Help You Tap Into Human Behavior and Increase Conversions</t>
  </si>
  <si>
    <t>Gregory Ciotti</t>
  </si>
  <si>
    <t>Moz</t>
  </si>
  <si>
    <t>10 examples of using psychological principles to motivate behavior change</t>
  </si>
  <si>
    <t>Increasing Moral Engagement on Climate Change</t>
  </si>
  <si>
    <t>Communication; values and Associations</t>
  </si>
  <si>
    <t>New Study: Only Two Percent of American Teens Willing to Go Without Food for a Day</t>
  </si>
  <si>
    <t>PRNewswire</t>
  </si>
  <si>
    <t>PR Newsfire</t>
  </si>
  <si>
    <t>10 Psychological Research Studies to Help You Tap Into Human #Behavior and Increase Conversions http://ow.ly/TYKlV </t>
  </si>
  <si>
    <t>Associations, Benefits, Identity, Relatable</t>
  </si>
  <si>
    <t>4, 1, 6, 8</t>
  </si>
  <si>
    <t>How to Grow Consumer Attachment to Green Brands</t>
  </si>
  <si>
    <t>Marketing Green</t>
  </si>
  <si>
    <t xml:space="preserve">Green marketing techniques </t>
  </si>
  <si>
    <t>Associations environmental protection as a moral cause may be alienating conservatives</t>
  </si>
  <si>
    <t>will be</t>
  </si>
  <si>
    <t>Baby Jessica at 25: Famous toddler in 1987 well rescue is now married - with two kids of her own</t>
  </si>
  <si>
    <t xml:space="preserve">Simon Neville </t>
  </si>
  <si>
    <t>Daily mail</t>
  </si>
  <si>
    <t>Jessica's life after 23 years of the incident</t>
  </si>
  <si>
    <t xml:space="preserve">4 factors that affect how people feel about climate change </t>
  </si>
  <si>
    <t xml:space="preserve">political affiliation, personal experience, gender, and religion influence how we feel about climate action </t>
  </si>
  <si>
    <t xml:space="preserve">How to Grow Consumer Attachment to Green Brands http://ow.ly/P0KNW  </t>
  </si>
  <si>
    <t>Baby Jessica turns 25, gains access to trust fund</t>
  </si>
  <si>
    <t>BETSY BLANEY</t>
  </si>
  <si>
    <t>Xfinity</t>
  </si>
  <si>
    <t>Four factors that influnece our #cliamtechange beliefs are gender, politics, experience &amp; religion</t>
  </si>
  <si>
    <t>Building Support for Coastal Resilience: Top 5 tips</t>
  </si>
  <si>
    <t>Nicole Lampe</t>
  </si>
  <si>
    <t>As sea levels rise, it becomes increasingly important for coastal communities to recognize the problem and take action. This article gives tips on how to motivate communities to take urgent action in protecting their homes by appealing to their personal beliefs</t>
  </si>
  <si>
    <t xml:space="preserve">To give life to the Paris climate agreement, connect on personal values </t>
  </si>
  <si>
    <t xml:space="preserve">Appealing to legacy, personal risks, religious values, etc. </t>
  </si>
  <si>
    <t>Beyond Clicks: What type of changemaker are you?</t>
  </si>
  <si>
    <t>MobLab Team</t>
  </si>
  <si>
    <t>Mobilisation Lab</t>
  </si>
  <si>
    <t>One tip is to help the audience visualize the future risks (this is Associations the problem a certain way) and nother is to bring the problem down to local terms and highlighting the dangers to their homes and health (making it personal)</t>
  </si>
  <si>
    <t xml:space="preserve">Here's the top 5 tips from resource media on how to get people excited about coastal resilience! </t>
  </si>
  <si>
    <t>Handle with humor: why we want you to laugh about climate change</t>
  </si>
  <si>
    <t>Travis Irvine</t>
  </si>
  <si>
    <t>overcoming barriers</t>
  </si>
  <si>
    <t>Climate Change: It's About People, Not Politics</t>
  </si>
  <si>
    <t>Cathy Ledbetter</t>
  </si>
  <si>
    <t>Why Clear, Simple Messages Are the Key to Better Climate Understanding</t>
  </si>
  <si>
    <t>Easy = Yes; Resonate = No</t>
  </si>
  <si>
    <t>Easy = No; Resonate = No</t>
  </si>
  <si>
    <t>"It's important to remember that it's not about the politics behind #climatechange, it's about the people" http://ow.ly/Oq2aa </t>
  </si>
  <si>
    <t xml:space="preserve">Handle with humor: why we want you to laugh about #climatechange http://ow.ly/TMISr  @guardian </t>
  </si>
  <si>
    <t>Jessica Makes It to Safety--After 58 1/2 Hours</t>
  </si>
  <si>
    <t>J. MICHAEL KENNEDY</t>
  </si>
  <si>
    <t>Los Angeles Times</t>
  </si>
  <si>
    <t>Associations, Easy, Hopeful, Ordinary</t>
  </si>
  <si>
    <t>The accounts of the succesful rescue mission</t>
  </si>
  <si>
    <t>4, 2, 3, 7</t>
  </si>
  <si>
    <t xml:space="preserve">5 strategies for better climate communication </t>
  </si>
  <si>
    <t>Per Espen Stoknes and Sigrid Moyner Hohle</t>
  </si>
  <si>
    <t xml:space="preserve">Talking Climate </t>
  </si>
  <si>
    <t xml:space="preserve">pitfalls of communication and corresponding remedies </t>
  </si>
  <si>
    <t>Specific % points may be better than terms such as 'general consensus' when encouraging belief in #climatechange http://bit.ly/1IOY5VZ </t>
  </si>
  <si>
    <t xml:space="preserve">David Hume on Present Bias </t>
  </si>
  <si>
    <t xml:space="preserve">Liam Delaney </t>
  </si>
  <si>
    <t>Easy, Ordinary</t>
  </si>
  <si>
    <t>Stirling Behavioural Science Blog</t>
  </si>
  <si>
    <t>2, 7</t>
  </si>
  <si>
    <t xml:space="preserve">Present Bias </t>
  </si>
  <si>
    <t>Here's 5 classic tips on communication strategies that will make your #climatechange messages stronger!</t>
  </si>
  <si>
    <t xml:space="preserve">50 years of climate communications, what have we learned? How can we improve? </t>
  </si>
  <si>
    <t>Ordinary - Strengthen the norm through social networks</t>
  </si>
  <si>
    <t>Overkill effect at work and using social media platforms to communicate</t>
  </si>
  <si>
    <t>Associations, Easy, Identity, Relatable</t>
  </si>
  <si>
    <t>4, 2, 6, 8</t>
  </si>
  <si>
    <t>12 Tools for Communicating Climate Change More Effectively</t>
  </si>
  <si>
    <t>This article brings up the complicated and ineffective way that scientists may communicate climate change. So, the Climate Outreach and Information Network (COIN)  released a new Uncertainty Handbook to combat this problem and to provide scientists, policymakers, etc. with the tools they need to more effectively communicate climate change. The article provides some key points from the handbook.</t>
  </si>
  <si>
    <t xml:space="preserve">Is Global Warming Harmful to Human Health? </t>
  </si>
  <si>
    <t>Edward Meibach, Geoff Feinberg, Jessica Kresslake, Connie Rouser-Renouf, Anthony Leiserowitz, Seth Rosenthal</t>
  </si>
  <si>
    <t>EcoAffect's thoughts on how social media, education, &amp; science have changed how we communicate about #climatechange</t>
  </si>
  <si>
    <t xml:space="preserve">Expert opinion bias, statistics on how many people are aware of climate change impacts on human health  </t>
  </si>
  <si>
    <t>Associations, Easy, Ordinary</t>
  </si>
  <si>
    <t>4, 2, 8</t>
  </si>
  <si>
    <t xml:space="preserve">Overcoming psychological boundaries for climate action </t>
  </si>
  <si>
    <t>Anna Baker</t>
  </si>
  <si>
    <t>The Power of Nudges: Insights on How to Influence Human Behavior</t>
  </si>
  <si>
    <t xml:space="preserve">Climate change anxiety and the importance of make us hopeful </t>
  </si>
  <si>
    <t>Steven Handel</t>
  </si>
  <si>
    <t>The Emotion Machine</t>
  </si>
  <si>
    <t>Health related effects of #climatechange, Americans have a lot of information but understand little. Here's why</t>
  </si>
  <si>
    <t>Under Pressure: campaigns that persuaded companies to change the world</t>
  </si>
  <si>
    <t>Marc Gunther</t>
  </si>
  <si>
    <t>Communication; examples of successful social change campaigns</t>
  </si>
  <si>
    <t>Advice from EcoAffect on how to overcome psychological barriers to #climatechange</t>
  </si>
  <si>
    <t>ow.ly/TMFXy  The Power of #Nudges: Mindless vs Mindful</t>
  </si>
  <si>
    <t>Associations, Hopeful</t>
  </si>
  <si>
    <t>4, 3</t>
  </si>
  <si>
    <t>Hopeful, Relatable, Vivid</t>
  </si>
  <si>
    <t>To Change Environmental Behavior, Should We Really Tell People the World is Ending?</t>
  </si>
  <si>
    <t>3, 8, 5</t>
  </si>
  <si>
    <t>Hal Hershfield</t>
  </si>
  <si>
    <t>not explicitly environmental</t>
  </si>
  <si>
    <t>Associations and salience, perceptions about the importance of environmental protection</t>
  </si>
  <si>
    <t xml:space="preserve">New Research: 4 top messages for strengthening support for climate solutions </t>
  </si>
  <si>
    <t>Appealing to legacy and hopef for future</t>
  </si>
  <si>
    <t>A New Study Reveals Much About How Parents Really Choose Schools</t>
  </si>
  <si>
    <t>Anya Kamenetz</t>
  </si>
  <si>
    <t>Poverty</t>
  </si>
  <si>
    <t>"Imagine a future with no pollution" Storytelling like this creates excitement over the future of clean energy!</t>
  </si>
  <si>
    <t>(A - To Change #Environmental Behavior, Should We Really Tell People the World Is Ending? http://ow.ly/UMLy9); (S - How should we change environmental behavior &amp; perceptions of its importance? #Associations and #salience http://ow.ly/OvBaE )</t>
  </si>
  <si>
    <t>(A - 2/11/2016); (S - 7/6/2015)</t>
  </si>
  <si>
    <t>(S - 7/7/2016)</t>
  </si>
  <si>
    <t>Those 4th of July fireworks spectaculars are causing huge spikes in dangerous air pollution</t>
  </si>
  <si>
    <t>lindsay abrams</t>
  </si>
  <si>
    <t>salon</t>
  </si>
  <si>
    <t>Sustainability on Ice: How the NHL is addressing climate concerns</t>
  </si>
  <si>
    <t>NYU Stern and Columbia Professors</t>
  </si>
  <si>
    <t xml:space="preserve">Using celebrity power to reach untapped audiences, influence </t>
  </si>
  <si>
    <t>time sensitive</t>
  </si>
  <si>
    <t>Why Researchers Are Sounding The Alarm About Climate Change’s Health Impacts</t>
  </si>
  <si>
    <t>Marlene cimons</t>
  </si>
  <si>
    <t>think progress</t>
  </si>
  <si>
    <t xml:space="preserve">How is the NHL raising #climatechange awareness among an untapped audience? Read this article to find out. </t>
  </si>
  <si>
    <t>Bypass the hang-ups with the 'preparation frame'</t>
  </si>
  <si>
    <t>Max Leighton</t>
  </si>
  <si>
    <t>Talking Climate</t>
  </si>
  <si>
    <t>Associations advice</t>
  </si>
  <si>
    <t>Ordinary, Hopeful</t>
  </si>
  <si>
    <t>7, 3</t>
  </si>
  <si>
    <t>Why Researchers Are Sounding The Alarm About #ClimateChange’s Health Impacts http://ow.ly/XSgCm #climate</t>
  </si>
  <si>
    <t>Personally Speaking: Why effective climate messaging starts with people</t>
  </si>
  <si>
    <t>Why using examples and visuals with people is the most important part of climate messaging</t>
  </si>
  <si>
    <t>Oliver Milman, Stuart Leavenworth</t>
  </si>
  <si>
    <t xml:space="preserve">The Guardian </t>
  </si>
  <si>
    <t xml:space="preserve">effective climate messages begin with people-centered stories. What stories can you tell to inspire #climateaction ? </t>
  </si>
  <si>
    <t>Beyond the Obituaries: The Shining Stars of Conservation Work</t>
  </si>
  <si>
    <t>Michelle Marraffini</t>
  </si>
  <si>
    <t>Moss Landing Marine Labs</t>
  </si>
  <si>
    <t>3 Ways to Improve Your Climate Conversations</t>
  </si>
  <si>
    <t>Resonate = Yes; Hopeful = No</t>
  </si>
  <si>
    <t>This post summarizes Malachi Chadwick's post Why Your Climate Conversations Always Go Wrong, and How to Make Them Better. The main goal for climate communicators is to get other people to care about the issue as much as they do. However, this is often a challenging task and Chadwick discusses some of the reasons as to why that is. So, Chadwick discusses 3 main points that suggest that communicators should adopt the role of moderator rather than trying to directly convince people.</t>
  </si>
  <si>
    <t>Resonate = No; Hopeful = No</t>
  </si>
  <si>
    <t>Hey Environmentalists, Let's Tell a Positive Story</t>
  </si>
  <si>
    <t>Rachel Dearborn</t>
  </si>
  <si>
    <t>Medium</t>
  </si>
  <si>
    <t>How to tell a story about climate change that leads to action and create uplifting environmental communication</t>
  </si>
  <si>
    <t>When I say ‘climate change’, you say…?</t>
  </si>
  <si>
    <t>Adam</t>
  </si>
  <si>
    <t>Hey, #Environmentalists, Let’s Tell a Positive Story. We’re filling people with dread.</t>
  </si>
  <si>
    <t>9 best practices for engaging the public on climate-related flood risks</t>
  </si>
  <si>
    <t xml:space="preserve">communication about tangible risks </t>
  </si>
  <si>
    <t>communication; Associations</t>
  </si>
  <si>
    <t>Communicating flood risks effectively = focus on local impacts, connect to global effects, &amp; emphasize preparedness</t>
  </si>
  <si>
    <t>Climate messaging: lessons from the marriage equality movement</t>
  </si>
  <si>
    <t>How Pain Keeps Us From Acting on Climate Change</t>
  </si>
  <si>
    <t>Elizabeth Hardee</t>
  </si>
  <si>
    <t>Appealing to personal life, friends and family will be affected by climate change</t>
  </si>
  <si>
    <t xml:space="preserve">Reversing the narrative of climate change as a source of pain to a source of pride </t>
  </si>
  <si>
    <t>RT @talkingclimates: When I say #climatechange, you say..? blog on how 'closed' survey Qs could be skewing http://ow.ly/PcKKJ </t>
  </si>
  <si>
    <t xml:space="preserve">What can environmentalists learn from the marriage equality movement? Align your message with your listener's identity </t>
  </si>
  <si>
    <t>"When it comes to #climatechange, the cycle of pain and blame we’ve all been caught in is counterproductive." http://ow.ly/Pa94v </t>
  </si>
  <si>
    <t xml:space="preserve">Day 5: EcoAmerica in Paris - using music to put a voice to climate action </t>
  </si>
  <si>
    <t>Peggy Knudson</t>
  </si>
  <si>
    <t>Using dance as a messenger</t>
  </si>
  <si>
    <t>Review: Don’t Even Think About It by George Marshall</t>
  </si>
  <si>
    <t>Frank Kaminski</t>
  </si>
  <si>
    <t>Resilience</t>
  </si>
  <si>
    <t>Karma marketing: can the idea of 'branding like a Buddhist' change corporate mindsets?</t>
  </si>
  <si>
    <t>Jennifer Kho</t>
  </si>
  <si>
    <t xml:space="preserve">Changing corporate culture from a position of "more," which breeds greed and negativity, to a culture of "enough" </t>
  </si>
  <si>
    <t>Using hip hop to raise environmental awareness.  This is a unique and relatable way to communicate!</t>
  </si>
  <si>
    <t>Putting People First: 2 ways to approach climate communications</t>
  </si>
  <si>
    <t>Sharon Chen</t>
  </si>
  <si>
    <t>Overcoming the awkwardness in climate conversations and finding commonalities</t>
  </si>
  <si>
    <t xml:space="preserve">Karma #marketing: can the idea of 'branding like a Buddhist' change corporate mindsets? http://ow.ly/PcVaL  </t>
  </si>
  <si>
    <t>7 smarter ways to talk about climate change</t>
  </si>
  <si>
    <t>similar to the one above, tips on how to talk to people about climate change in order to sway them</t>
  </si>
  <si>
    <t>Here's 3 quick tips on becoming a better climate action advocate!</t>
  </si>
  <si>
    <t>Boulder 'right-sizing' bike-lane project moves forward on 3 of 4 streets</t>
  </si>
  <si>
    <t>Why Do You Care About Climate Change? How Making It Personal Can Drive People to Actions</t>
  </si>
  <si>
    <t>Daily Camera</t>
  </si>
  <si>
    <t>behavior + communication</t>
  </si>
  <si>
    <t>Everyone has their own reason for feeling invested in environmental protection. What is your #climatething ? http://bit.ly/1PprndD </t>
  </si>
  <si>
    <t>Associations, Identity</t>
  </si>
  <si>
    <t>4, 6</t>
  </si>
  <si>
    <t>Your New Year's Resolutions Will Fail (Again) - Unless You do This</t>
  </si>
  <si>
    <t>Stephen J. Meyer</t>
  </si>
  <si>
    <t>Forbes</t>
  </si>
  <si>
    <t>Another pop piece on implementation intentions</t>
  </si>
  <si>
    <t>Identity = Yes; Resonate = No</t>
  </si>
  <si>
    <t>Natural disasters, Climate</t>
  </si>
  <si>
    <t>13000, 2000</t>
  </si>
  <si>
    <t>Natural Disasters, Climate - General</t>
  </si>
  <si>
    <t>Implementation Intentions Facilitate Action Control</t>
  </si>
  <si>
    <t>Timothy A Pychyl</t>
  </si>
  <si>
    <t>Want to make climate impacts more relatable? Start with water</t>
  </si>
  <si>
    <t>Pop piece on implementation intentions</t>
  </si>
  <si>
    <t>appealing to human's most basic resource to create understanding of climate change</t>
  </si>
  <si>
    <t>Resonate = No; Identity = Yes</t>
  </si>
  <si>
    <t>Resonate = No; Identity = No</t>
  </si>
  <si>
    <t xml:space="preserve">Environmentalists, lets talk more about #water , an issues al audiences can connect to! </t>
  </si>
  <si>
    <t xml:space="preserve">Associations, Ordinary, Identity </t>
  </si>
  <si>
    <t>4, 7, 6</t>
  </si>
  <si>
    <t>Culture splits climate views, not science smarts</t>
  </si>
  <si>
    <t>Dan Vernago</t>
  </si>
  <si>
    <t>USA Today</t>
  </si>
  <si>
    <t xml:space="preserve">Assocations, Ordinary, Relatable </t>
  </si>
  <si>
    <t>4, 7, 8</t>
  </si>
  <si>
    <t>Associations - Meet people where they are, Ordinary - Strengthen the norm through social networks, Relatable - the importance of storytelling</t>
  </si>
  <si>
    <t>400, 704, 806</t>
  </si>
  <si>
    <t>Campaigns II: Recent Learnings from Other Social Movements</t>
  </si>
  <si>
    <t>Krygsman, K., &amp; ecoAmerica</t>
  </si>
  <si>
    <t>ecoAmerica</t>
  </si>
  <si>
    <t>Support for #climate #science doesn't increase with science literacy http://ow.ly/TYKas </t>
  </si>
  <si>
    <t>ecoAmerica's report Campaigns II: Recent Learnings from Other Social Movements chronicles how three major U.S. campaigns -- Obama’s reelection, marriage equality, and the legalization of marijuana -- successfully engaged mainstream support to win meaningful social change victories. From messengers and messages, to strategies and social media, ecoAmerica has analyzed the success factors that took each campaign from stalemate to success. The report concludes with guidance on how to apply these findings to increase the reach and effectiveness in building engagement and public support of Americans on climate.</t>
  </si>
  <si>
    <t>Michael Andersen</t>
  </si>
  <si>
    <t>Streets Blog</t>
  </si>
  <si>
    <t>http://usa.streetsblog.org/2015/09/29/boulders-protected-bike-lane-removal-would-be-just-the-4th-nationwide/</t>
  </si>
  <si>
    <t>Wonder for Good</t>
  </si>
  <si>
    <t>15 Steps to Create Effective Climate Communications</t>
  </si>
  <si>
    <t>Benefits, Hopeful, Ordinary</t>
  </si>
  <si>
    <t>Hopeful - Feedback, Ordinary - Model the desired behavior</t>
  </si>
  <si>
    <t>Cambridge-Isanti Schools Save More Than $2.6 Million with SEE</t>
  </si>
  <si>
    <t>Science Won't Win Over the Climate Change Sceptics - We Need Stories</t>
  </si>
  <si>
    <t>Recent evidence shows that young people are not interested in debating the validity of climate science, they are more interested in finding solutions. The general public can become interested in environmental campaigns and tackling climate changes when solutions are presented in an interesting, engaging way that do not challenge people's deep personal beliefs; Associations and audience engagement</t>
  </si>
  <si>
    <t>Cambridge-Isanti Public Schools has reduced energy use by 36% and avoided more than cambridge isanti profile$2.6 million in energy costs since joining the SEE program in 2004. The district has set a 40% energy reduction as their next milestone.</t>
  </si>
  <si>
    <t>Let's Talk Climate: Messages to Motivate Americans</t>
  </si>
  <si>
    <t xml:space="preserve"> http://ow.ly/WSny9 </t>
  </si>
  <si>
    <t>3/23/2016, 7/27/2015</t>
  </si>
  <si>
    <t>1/26/2015, 2/29/2016</t>
  </si>
  <si>
    <t>Non-Environmental</t>
  </si>
  <si>
    <t>Neuroscientists pinpoint 3 irresistible impulses that influence everything we buy</t>
  </si>
  <si>
    <t>Antonia Farzan</t>
  </si>
  <si>
    <t xml:space="preserve">Associations - Meet people where they are, Relatable - Messenger matters </t>
  </si>
  <si>
    <t>400, 804</t>
  </si>
  <si>
    <t>American Climate Values 2014 Supplement: Faith and Climate Highlights</t>
  </si>
  <si>
    <t>Fink, T., Speiser, M., &amp; Hodge, C.</t>
  </si>
  <si>
    <t xml:space="preserve"> Faith and Climate Highlights dives deeper into the the results of American Climate Values 2014: Psychographic and Demographic Insights to understand the climate attitudes of Americans who describe their faith as an important or the most important part of their lives. This report examines how religious and non-religious Americans think about a variety of climate and energy solutions. Included in the report are ideas for how the findings from this survey can be translated into action. The report will provide faith leaders, their congregations, and partners with the insights needed to engage even more people of faith across the country in creation care. </t>
  </si>
  <si>
    <t>You might think that you're completely in control of your buying decisions.Neuroscientists disagree. http://ow.ly/P0l2w  #decisionscience</t>
  </si>
  <si>
    <t>Cognitive Bias General</t>
  </si>
  <si>
    <t>Rationality and Emotional Biases. Do You Know What They Are?</t>
  </si>
  <si>
    <t>Ariel Cecchi</t>
  </si>
  <si>
    <t>Behavioral Economics</t>
  </si>
  <si>
    <t xml:space="preserve">Yes -- possible vignettes for training/website content  </t>
  </si>
  <si>
    <t xml:space="preserve">Benefits, Relatable </t>
  </si>
  <si>
    <t>The words we use matter in climate change adaptation</t>
  </si>
  <si>
    <t>Amy Freitag</t>
  </si>
  <si>
    <t>Southern Fried Science</t>
  </si>
  <si>
    <t xml:space="preserve">Rationality and Emotional Biases. Do You Know What They Are? http://ow.ly/P0jhl  </t>
  </si>
  <si>
    <t xml:space="preserve">Benefits - Tailor the incentive, Relatable - Relate it to what the audience already cares about </t>
  </si>
  <si>
    <t>105, 800</t>
  </si>
  <si>
    <t>The Discrimination Tax</t>
  </si>
  <si>
    <t>Keith Payne</t>
  </si>
  <si>
    <t xml:space="preserve">The words we use matter in #climatechange adaptation http://ow.ly/XShG8 </t>
  </si>
  <si>
    <t>American Climate Values 2014 Supplement: Health and Climate Highlights</t>
  </si>
  <si>
    <t>Tabola, J., Speiser, M., &amp; Hodge, S.</t>
  </si>
  <si>
    <t>Health and Climate Highlights focuses on the results of American Climate Values 2014: Psychographic and Demographic Insights to understand the climate attitudes of Americans who identify strongly with the healthcare sector and greater health community. This report examines how these Americans think about a variety of climate and energy solutions. Included in the report are ideas for how the findings from this survey can be translated into action. </t>
  </si>
  <si>
    <t>The ultimatum game meets the implicit test on racial biases = we are willing to pay for discrimination. http://www.scientificamerican.com/article.cfm?id=the-discrimination-tax&amp;WT.mc_id=SA_sharetool_Twitter … via @sciam</t>
  </si>
  <si>
    <t xml:space="preserve">not sure </t>
  </si>
  <si>
    <t>Watching apes could help humans behave more sustainably</t>
  </si>
  <si>
    <t>Kathryn M. Werntz</t>
  </si>
  <si>
    <t xml:space="preserve">Overview of prosocial ape behaviors that humans lack </t>
  </si>
  <si>
    <t>Watching apes could help make humans behave more sustainably http://ow.ly/XSh3Z #sustainability #environment</t>
  </si>
  <si>
    <t>Why Study Culinary Tourism?</t>
  </si>
  <si>
    <t xml:space="preserve"> Janet Chrzan </t>
  </si>
  <si>
    <t>Expedition</t>
  </si>
  <si>
    <t>Beyond Storms &amp; Droughts: The Psychological Impacts of Climate Change</t>
  </si>
  <si>
    <t>Beyond Storms and Droughts: The Psychological Impacts of Climate Change overviews the likely psychological impacts of climate change, from stress, anxiety and depression to increases in violence and aggression and loss of community identity. It discusses the pathways through which these and other impacts on human well-being will arise, why some communities will be hit harder than others, and how psychological impacts interact with physical health. The report also includes guidance to help engage the public on climate change through the lens of mental health and well-being, as well as a list of tips for preparing and strengthening communities to withstand these impacts.</t>
  </si>
  <si>
    <t>Energy - Renewables</t>
  </si>
  <si>
    <t>"tourism serves as an important vehicle for food and dietary change.
The importance of food to travel is obvious to anyone who has heard about someone’s vacation. Returning travelers tell of new foods eaten, new habits learned, and sometimes, in the case of spa and cooking-school vacations, of travel specifically for the food."</t>
  </si>
  <si>
    <t>Want to get conservatives to save energy? Stop the environmentalist preaching</t>
  </si>
  <si>
    <t>Behavior; loss aversion, Associations, appealing to values, status quo bias, and communication strategies</t>
  </si>
  <si>
    <t>http://www.washingtonpost.com/news/energy-environment/wp/2015/02/12/the-best-way-to-get-conservatives-to-save-energy-is-to-stop-the-environmentalist-preaching/?postshare=7031423829099147</t>
  </si>
  <si>
    <t xml:space="preserve">Scientists now know the psychology behind your worries about the environment </t>
  </si>
  <si>
    <t xml:space="preserve">Chris Mooney </t>
  </si>
  <si>
    <t xml:space="preserve">overview of the different traits that affect pro-environmental behavior-- suggests encouraging audiences to employ "systems thinking" </t>
  </si>
  <si>
    <t>Licensing effect</t>
  </si>
  <si>
    <t>Connecting on Climate: A Guide to Effective Climate Change Communication</t>
  </si>
  <si>
    <t>Connecting on Climate: A Guide to Effective Climate Change Communication, leads to a better understanding of American responses to climate change and explains how anyone, from religious leaders, to healthcare professionals, community leaders, journalists, scientists, educators, policymakers, and other interested parties, can better communicate with and engage the American public on the issue. The guide, which includes research from a range of social science fields including psychology, anthropology, communications, and behavioral economics, is designed to be useful for experienced and novice communicators alike. Included in the guide are strategies to boost engagement, common mistakes to avoid, and best practices that organizations have used to meaningfully engage individuals and groups on climate change.</t>
  </si>
  <si>
    <t>"Licensing effect" seen in dieting, charity, hiring</t>
  </si>
  <si>
    <t>Iris Kuo</t>
  </si>
  <si>
    <t>The St. Augustine Record</t>
  </si>
  <si>
    <t>"Doing something good,... lets you do something bad," http://ow.ly/OvzO9  #licensingeffect</t>
  </si>
  <si>
    <t>Communicating on Climate: 13 Steps and Guiding Principles</t>
  </si>
  <si>
    <t>Communicating on Climate, 13 Steps and Guiding Principlescombines the latest research on climate communications with road-tested communication best practices in an easy-to-use, practically applicable guide. Step-by-step principles and illustrated examples provide climate communicators guidance and guardrails for crafting emotionally resonant, personalized, and effective climate communications.</t>
  </si>
  <si>
    <t>Report Summary American Climate Values 2014: Insights by Racial and Ethnic Groups</t>
  </si>
  <si>
    <t>Faith, Morality and the Environment</t>
  </si>
  <si>
    <t>Connie Roser-Renouf, Edward Maibach, Anthony Leiserowitz, Geoff Feinberg and Seth Rosenthal</t>
  </si>
  <si>
    <t xml:space="preserve">Using morality as a climate action motivator </t>
  </si>
  <si>
    <t>Insights by Racial and Ethnic Groups builds upon the results of ACV14 report, released this past April, Psychographic and Demographic Insights by uncovering the common and distinct climate change viewpoints, values and beliefs of African, Asian, and Hispanic/Latino Americans vs. national averages and each other. The findings within the report are offered as a resource for any organization interested in engaging African, Asian, or Hispanic/Latino Americans in climate solutions. It provides data, analysis, and recommendations for climate advocates to consider when refining strategies for and deepening engagement with these key American groups.</t>
  </si>
  <si>
    <t>Faith leaders are making #climatechange personal by connecting religion &amp; a human obligation to the planet</t>
  </si>
  <si>
    <t>Eliezer Yudkowsky</t>
  </si>
  <si>
    <t>Less Wrong</t>
  </si>
  <si>
    <t xml:space="preserve">Article on scope insensitivity </t>
  </si>
  <si>
    <t xml:space="preserve">Associations, Relatable </t>
  </si>
  <si>
    <t xml:space="preserve">Associations - Meet people where they are, Relatable - Relate it to what the audience already cares about </t>
  </si>
  <si>
    <t>400, 800</t>
  </si>
  <si>
    <t>Summary Report Climate Impacts: Take Care and Prepare</t>
  </si>
  <si>
    <t>ecoAmerica and Lake Research Partners</t>
  </si>
  <si>
    <t>The Climate Impacts: Take Care and Prepare report shows new potential message frames that may be effective to increase action and urgency on climate. We must remove “adaptation” from our messaging, allowing ambivalence, and focus on: preparing for changes in climate and weather that seem to be already happening, taking steps to prevent changes from causing further damage, and trying to prevent changes and prepare for those that we can’t to help protect our safety.</t>
  </si>
  <si>
    <t xml:space="preserve">Behavioral economics for environmental policy </t>
  </si>
  <si>
    <t>Venkatachalam, L.</t>
  </si>
  <si>
    <t>Ecological Economics</t>
  </si>
  <si>
    <t xml:space="preserve">The predictions of widely prescribed global and country level environmental policies at present are based mainly on mainstream economic models, which treat individual actors to be ‘unboundedly rational’ in their decision making. In recent years, however, behavioral and experimental economists have found that the individual actors in many circumstances act within a ‘bounded rationality’ framework, suggesting that predictions based on the ‘unbounded rationality’ models would be less valid. While some of mainstream economists have already started adopting the bounded rationality-based models in their academic discourse, many environmental economists seem to be reluctant to use these alternative models of rationality in their research and policy prescriptions. This paper highlights the implications of using bounded rationality models in environmental research in general and policymaking in particular. </t>
  </si>
  <si>
    <t xml:space="preserve">Lasting - Bundle actions with cues and temptations </t>
  </si>
  <si>
    <t>Consumption, Whole system</t>
  </si>
  <si>
    <t>3000, 22000</t>
  </si>
  <si>
    <t>Consumption - Freshwater, Whole system - Ecosystem/Conservation</t>
  </si>
  <si>
    <t>Behavioural attitudes towards water saving? Evidence from a study
of environmental actions</t>
  </si>
  <si>
    <t>Gilg, A., Barr, S.</t>
  </si>
  <si>
    <t>Given the growing emphasis being placed on water conservation in and around the home by water companies, there is a pressing need to identify the characteristics of the water saver so that policy makers can more accurately target initiatives for water conservation. This paper examines the social, attitudinal and behavioural composition of water saving activities using a sample of 1600 households from Devon. The research sought to examine the links between water saving, energy conservation, green consumerism and waste management in and around the home. Accordingly, the extent to which water saving can be placed within a behavioural context that incorporates different environmental behaviours is discussed. The data relating to water saving are then analysed and four different types of individual are defined, according to their behavioural characteristics. These are examined in the context of their demographic composition and a range of attitudinal factors. The policy implications of the research are described throughout the paper.</t>
  </si>
  <si>
    <t>Meet the Scientists Who Might End the Climate Culture Wars</t>
  </si>
  <si>
    <t>Emily Gertz</t>
  </si>
  <si>
    <t>Popular Science</t>
  </si>
  <si>
    <t>The Messenger is an important factor to communication. Here's a great example of using the right messenger!</t>
  </si>
  <si>
    <t>Given the growing emphasis being placed on water conservation in and around the home by water companies, there
is a pressing need to identify the characteristics of the water saver so that policy makers can more accurately target
initiatives for water conservation. This paper examines the social, attitudinal and behavioural composition of water
saving activities using a sample of 1600 households from Devon. The research sought to examine the links between
water saving, energy conservation, green consumerism and waste management in and around the home. Accordingly,
the extent to which water saving can be placed within a behavioural context that incorporates different environmental
behaviours is discussed. The data relating to water saving are then analysed and four different types of individual are
defined, according to their behavioural characteristics. These are examined in the context of their demographic
composition and a range of attitudinal factors. The policy implications of the research are described throughout the
paper</t>
  </si>
  <si>
    <t>Freshwater, Wildlife</t>
  </si>
  <si>
    <t>8000, 23000</t>
  </si>
  <si>
    <t>Freshwater - General, Wildlife - Conservation</t>
  </si>
  <si>
    <t xml:space="preserve">Motives behind willingness to pay for improving biodiversity in a water ecosystem: Economics, ethics and social psychology </t>
  </si>
  <si>
    <t>Spash, C. L., Urama, K., Burton, R., Kenyon, W., Shannon, P., &amp; Hill, G.</t>
  </si>
  <si>
    <t xml:space="preserve">This paper reports on empirical work extending the standard economic approach to valuation by including psychological and philosophical factors. More specifically a contingent valuation method survey was applied to biodiversity improvement while simultaneously assessing rights based beliefs, consequentialism and the theory of planned behaviour. The latter was assessed using measures of attitudes, subjective norms and perceptions of control over willingness to pay. The results show that standard socio- economic explanatory variables are far inferior to those of social psychology and philosophy, and that these factors offer a better understanding of the motives behind responses to contingent valuation. The implication is that alternative means of measuring an individual's pluralistic values should be taken into account in order to assess the validity and meaning of willingness to pay. </t>
  </si>
  <si>
    <t xml:space="preserve">Population - Sustainable communities </t>
  </si>
  <si>
    <t>Mindfulness and sustainability</t>
  </si>
  <si>
    <t>Ericson, T., Kjønstad, B. G., &amp; Barstad, A.</t>
  </si>
  <si>
    <t>Ecosystems are under pressure due to high levels of material consumption. Subjective well-being sought through other means than material rewards could make an important contribution to sustainability. A wealth of research indicates that mindfulness contributes to subjective well-being by focusing the mind on the here and now, giving rise to stronger empathy and compassion, facilitating clarification of goals and values, and enabling people to avoid the “hedonic treadmill”. There is also a body of research that shows how subjective well-being, empathy, compassion, and non-materialistic/intrinsic values are associated with more sustainable behavior. Based on a review of the literature on these topics, we suggest that promoting mindfulness practice in schools, workplaces and elsewhere could be construed as a policy that pays a “double dividend” in that it could contribute both to more sustainable ways of life and to greater well-being.</t>
  </si>
  <si>
    <t xml:space="preserve"> </t>
  </si>
  <si>
    <t>#Mindfulness promotes subjective well-being, empathy and clarification of values, leading to #sustainable behaviors http://ow.ly/Xwzfk</t>
  </si>
  <si>
    <t xml:space="preserve">Vivid - Timing matters </t>
  </si>
  <si>
    <t xml:space="preserve">The People Paradox: Self-Esteem Striving, Immortality Ideologies, and Human Response to Climate Change </t>
  </si>
  <si>
    <t>Dickinson, J. L.</t>
  </si>
  <si>
    <t>Ecology and Society</t>
  </si>
  <si>
    <t xml:space="preserve">In 1973, Ernest Becker, a cultural anthropologist cross-trained in philosophy, sociology, and psychiatry, invoked consciousness of self and the inevitability of death as the primary sources of human anxiety and repression. He proposed that the psychological basis of cooperation, competition, and emotional and mental health is a tendency to hold tightly to anxiety-buffering cultural world views or “immortality projects” that serve as the basis for self-esteem and meaning. Although he focused mainly on social and political outcomes like war, torture, and genocide, he was increasingly aware that materialism, denial of nature, and immortality-striving efforts to control, rather than sanctify, the natural world were problems whose severity was increasing. In this paper I review Becker’s ideas and suggest ways in which they illuminate human response to global climate change. Because immortality projects range from belief in technology and materialism to reverence for nature or belief in a celestial god, they act both as barriers to and facilitators of sustainable practices. I propose that Becker’s cross-disciplinary “science of man,” and the predictions it generates for proximate-level determinants of social behavior, add significantly to our understanding of and potential for managing the people paradox, i.e., that the very things that bring us symbolic immortality often conflict with our prospects for survival. Analysis of immortality projects as one of the proximate barriers to addressing climate change is both cautionary and hopeful, providing insights that should be included in the cross-disciplinary quest to uncover new pathways toward rational, social change. </t>
  </si>
  <si>
    <t>Down with guilt! There are much better ways to get people to act on climate change</t>
  </si>
  <si>
    <t>trying to motivate people to act by making them feel guilty has proven to be ineffective, better to personalize it and describe why it is their problem too</t>
  </si>
  <si>
    <t xml:space="preserve">Risky Business: Barriers to Rationality in Congress </t>
  </si>
  <si>
    <t>Jones, R.</t>
  </si>
  <si>
    <t>Ecology Law Quarterly</t>
  </si>
  <si>
    <t>In Defenders of Wildlife v. Chertoff, the D.C. District Court upheld the constitutionalityof an extraordinarilybroadwaiverprovision in the REAL I.D. Act of 2005. That provision, section 102, allows the Secretary of Homeland Security to waive all laws he deems necessary to ensure expeditious constructionof borderfencing along the UnitedStates-Mexico border. While Defenders of Wildlife confirms the legality of waiver provisions like section 102, it also raises the interesting question of what drives legislative decision- making in the face of uncertainty.Behavioralscience research shows that in the post-9/11 world, our ability to objectively perceive risk is altered by our knowledge of terroristattacks and by our exposure to media coverage of the terrorist threat the United States faces. This diminished ability to objectively perceive risk can negatively affect the deliberativeprocess when Congress must legislate around uncertain risks, like the risk of environmental harm and the risk offuture terrorist attacks. I consider several options that might minimize the effect of this phenomenon on the crafting of legislation, including the creation of a standing risk assessment council, the inclusion of traditional waiver provision elements that limit the effects of potentially irrational legislative behavior, and drafting legislation that requires waiver-invoking officials to accuratelycharacterizethe risks to be considered.</t>
  </si>
  <si>
    <t>Forget polar bears - The White House may have just figured out how to sell Americans on tackling climate change.</t>
  </si>
  <si>
    <t>Josh Voorhees</t>
  </si>
  <si>
    <t>Slate</t>
  </si>
  <si>
    <t>public health Associations of global warming; Communicating environmental issues</t>
  </si>
  <si>
    <t>Good pitch by Obama; it'll be interesting to see how effective it is - Abby</t>
  </si>
  <si>
    <t xml:space="preserve">Easy - Erect barriers to undesirable actions, Easy - Design information to be easy to understand and execute </t>
  </si>
  <si>
    <t>206, 203</t>
  </si>
  <si>
    <t xml:space="preserve">Nudging' hotel guests to reduce food waste as a win-win environmental measure </t>
  </si>
  <si>
    <t>Kallbekken, S., &amp; Sælen, H.</t>
  </si>
  <si>
    <t>Economic Letters</t>
  </si>
  <si>
    <t>We show that two simple and nonintrusive ‘nudges’ – reducing plate size and providing social cues – reduce the amount of food waste in hotel restaurants by around 20%. The results are statistically significant. They are also environmentally substantial as food waste is a major contributor to climate change and other forms of environmental degradation. Given the magnitude of the contribution of food waste to global environmental change, it is surprising that this issue has not received greater attention. The measures reduce the amount of food the restaurants need to purchase, and there is no change in guest satisfaction, making it likely that profits will increase. The measures thus constitute potential win–win opportunities.</t>
  </si>
  <si>
    <t>http://www.scp-knowledge.eu/sites/default/files/knowledge/attachments/Nudging%E2%80%99%20hotel%20guests%20to%20reduce%20food%20waste.pdf</t>
  </si>
  <si>
    <t>Americans Recommend Smaller Ecological Footprints When Reminded of Intrinsic American Values of Self-Expression, Family, and Generosity</t>
  </si>
  <si>
    <t>Sheldon, M. K., Nichols, C. P., &amp; Kasser, T.</t>
  </si>
  <si>
    <t xml:space="preserve">Ecopsychology </t>
  </si>
  <si>
    <t>Extrinsic values for money, image, and status are known to be associated with less sustainable ecological attitudes and to be relatively high among American citizens. But America also has a long history of prioritizing the intrinsic values of self-expression, family, and helping the world to be a better place, aims which past studies show promote more sustainable environmental behaviors. We therefore tested whether activating these types of American identities, compared to various control conditions, would affect U.S. college students’ policy recommendations about the size of Ecological Footprints (EFs) Americans should have. Results showed that participants primed with an intrinsic American identity recommended significantly lower EFs than did participants primed with an extrinsic American identity, an unqualified American identity, or two control identities (i.e., human and University of Missouri student). Results were stronger for the housing and travel components of the EF than for the food component. Findings suggest that communicators and educators might do well to attempt to activate the aspects of the American national character connected with intrinsic values in their attempts to promote acceptance of policies that support environmental sustainability.</t>
  </si>
  <si>
    <t>http://selfdeterminationtheory.org/SDT/documents/2011_SheldonNicholsKasser_ecopsych.pdf</t>
  </si>
  <si>
    <t>Mindfulness and Sustainable Behavior: Pondering Attention and Awareness as Means for Increasing Green Behavior</t>
  </si>
  <si>
    <t>Amel, E. L., Manning, C. M., &amp; Scott, B. A.</t>
  </si>
  <si>
    <t>Land Use - Agriculture, Climate - Belief</t>
  </si>
  <si>
    <t>What Do Farmers Think About Climate Change</t>
  </si>
  <si>
    <t>Ecopsychologists have suggested that mindful awareness of our interdependence with nature may not only help us regain our lost, ecologically embedded identity (Roszak, 1992) but may also help us behave more sustainably, closing the documented gap between proenvironmental attitudes and behaviors. We suggest more specifically that, in contemporary consumer culture with its dearth of proenvironmental norms and cues, mindful attentiveness may be necessary to develop sustainable habits. To explore the connection between mindfulness and sustainable behavior, we measured 100 adults attending a Midwestern sustainability expo on two mindfulness factors: acting with awareness and observing sensations. As predicted, acting with awareness was significantly positively correlated with self-reported sustainable behavior. This finding is consistent with the idea that, until sustainable decisions become the societal default, their enactment may depend on focused consideration of options and mindful behavior. In contrast, observing sensations did not predict behavior. This calls into question the notion that feeling connected to the world outside of ourselves is a precondition for sustainable action. We call for more research to further test the validity and generalizability of our findings.</t>
  </si>
  <si>
    <t>What do farmers think about climate change? Recent research shows that belief in climate change is correlated with trust in scientists and environmental groups, while farmers who get their information primarily from agribusiness are more likely to be climate change doubters.</t>
  </si>
  <si>
    <t>Paying With Plastic: Recycling Earns Public Transit Fares in China</t>
  </si>
  <si>
    <t>Chad Lutz</t>
  </si>
  <si>
    <t>EcoWatch</t>
  </si>
  <si>
    <t>Paying With Plastic: Recycling Earns Public Transit Fares in China http://ecowatch.com/2013/08/05/plastic-recycling-transit-fares-china/</t>
  </si>
  <si>
    <t>will be- not sure if this is done</t>
  </si>
  <si>
    <t>Want to connect with climate skeptics? Just listen</t>
  </si>
  <si>
    <t>Peter Byck</t>
  </si>
  <si>
    <t>How to find common ground with climate skeptics</t>
  </si>
  <si>
    <t>Listening can be a powerful means of climate communication because it leads to understanding. Lets learn to listen!</t>
  </si>
  <si>
    <t>Edinburgh recycling rates soar 85 per cent</t>
  </si>
  <si>
    <t>Edinburgh Evening News</t>
  </si>
  <si>
    <t>Waste Management; Convenience</t>
  </si>
  <si>
    <t>Meet the New Spokespeople for Climate Change: Politicians</t>
  </si>
  <si>
    <t>Robert Brulle, Jason Carmichael and J. Craig Jenkins</t>
  </si>
  <si>
    <t>frank</t>
  </si>
  <si>
    <t xml:space="preserve">Because comments from U.S. political leaders have *more sway* over what the public believes, communications strategy aimed at winning minds in the climate change battle “must be linked to a broader political strategy.” </t>
  </si>
  <si>
    <t>Easy = Yes; Vivid = No</t>
  </si>
  <si>
    <t>Easy = No; Vivid = No</t>
  </si>
  <si>
    <t xml:space="preserve">Political leaders sway public opinion. Winning minds for climate change must include a broader political strategy.  </t>
  </si>
  <si>
    <t>Residential Electricity Use Feedback: A Research Synthesis and Economic Framework</t>
  </si>
  <si>
    <t>Neenan, B., Robinson, J., &amp; Boisvert, R. N.</t>
  </si>
  <si>
    <t>Electric Power Research Institute</t>
  </si>
  <si>
    <t xml:space="preserve">The key to political persuasion </t>
  </si>
  <si>
    <t>Robb Willer and Matthew Fienberg</t>
  </si>
  <si>
    <t xml:space="preserve">what vales to target for liberals versus conservatives </t>
  </si>
  <si>
    <t>Many of today’s pressing issues support the need for improved levels of efficiency and conservation, including climate change concerns and power generation and delivery constraints. Several studies have suggested that household-specific electricity consumption feedback information can be an effective tool in encouraging conservation. Considering as well the advent of new technologies that allow for greater ease of feedback provision, there are many compelling reasons that the topic of feedback is receiving much attention of late.
EPRI is undertaking a wide range of research to advance the understanding of how feedback information—and the technology that delivers it—provides value to consumers, to the electric system that serves them, and to society. This document is the Executive Summary for the EPRI final report (1016844), Residential Electricity Use Feedback: A Research Synthesis and Economic Framework.</t>
  </si>
  <si>
    <t>homes, school</t>
  </si>
  <si>
    <t>In order to communicate effectively with others about climate change, we have to know our audience, and find points that resonate with them. That way we can inspire personal change that is lasting!</t>
  </si>
  <si>
    <t xml:space="preserve">Food - Waste </t>
  </si>
  <si>
    <t>The Business and Cultural Acceptance Case for Trayless Dining</t>
  </si>
  <si>
    <t>Aramark higher education</t>
  </si>
  <si>
    <t xml:space="preserve">Elon University </t>
  </si>
  <si>
    <t>Study measuring the impact of eliminating the use of trays in all you can eat college and university cafeterias</t>
  </si>
  <si>
    <t>http://www.elon.edu/docs/e-web/bft/sustainability/ARAMARK%20Trayless%20Dining%20July%202008%20FINAL.pdf</t>
  </si>
  <si>
    <t xml:space="preserve">Easy - Erect barriers to undesirable behaviors </t>
  </si>
  <si>
    <t>Identity - Ask for a commitment, Identity - Elicit cognitive dissonance</t>
  </si>
  <si>
    <t>602, 605</t>
  </si>
  <si>
    <t>Psychological Resistance Against Attempts to Reduce Private Car Use</t>
  </si>
  <si>
    <t>Tertoolen, G,  van Kreveld, D., &amp; Verstraten, B.</t>
  </si>
  <si>
    <t>Elsevier Science Ltd.</t>
  </si>
  <si>
    <t>The aim of the research was to investigate the effects of information, feedback and commitment on car use and attitudes related to car use. In a field experiment (N = 350) users of private automobiles in The Netherlands monitored their travel behavior for four consecutive two-week periods. The participants received information and individual feedback about the effects of their car use on the environment and/or on their own finances. Information on public transport applicable to their situation was provided as well. Moreover, a subset of the participants committed themselves to reduce their mileage. Separate and combined effects of self-monitoring, environmental feedback, financial feedback, and commitment were analyzed. Effects on travel behavior turned out to be absent. Effects on attitudes were in some cases opposite to what was expected from a theoretical point of view as well as what was considered desirable from a policy point of view. The underlying psychological processes are discussed in terms of the social dilemma, dissonance reduction and reactance. Consequences for information campaigns are discussed.</t>
  </si>
  <si>
    <t>http://www.sciencedirect.com/science/article/pii/S0965856497000062</t>
  </si>
  <si>
    <t>Image Problem: are we using the wrong photographs to illustrate migration and climate change?</t>
  </si>
  <si>
    <t>Alex Randall</t>
  </si>
  <si>
    <t>UK Climate Change &amp; Migration Coalition</t>
  </si>
  <si>
    <t xml:space="preserve">Communication-- which types of photos to use to represent large scale problems like climate change </t>
  </si>
  <si>
    <t>Awareness - Use mindfulness to connect compassionately with an "other"</t>
  </si>
  <si>
    <t>Effects of compassion meditation on a psychological model of charitable donation</t>
  </si>
  <si>
    <t xml:space="preserve">Ashar, Y. K., Andrews-Hanna, J. R., Yarkoni, T., Sills, J., Halifax, J., Dimidjian, S., &amp; Wager, T. D. </t>
  </si>
  <si>
    <t>Emotion</t>
  </si>
  <si>
    <t xml:space="preserve">Tips for using photographs to depict people affected by global warming </t>
  </si>
  <si>
    <t>Compassion is critical for societal wellbeing. Yet, it remains unclear how specific thoughts and feelings motivate compassionate behavior, and we lack a scientific understanding of how to effectively cultivate compassion. Here, we conducted 2 studies designed to a) develop a psychological model predicting compassionate behavior, and b) test this model as a mediator of a Compassion Meditation (CM) intervention and identify the "active ingredients" of CM. In Study 1, we developed a model predicting compassionate behavior, operationalized as real-money charitable donation, from a linear combination of self-reported tenderness, personal distress, perceived blamelessness, and perceived instrumental value of helping with high cross-validated accuracy, r = .67, p &lt; .0001. Perceived similarity to suffering others did not predict charitable donation when controlling for other feelings and attributions. In Study 2, a randomized controlled trial, we tested the Study 1 model as a mediator of CM and investigated active ingredients. We compared a smartphone-based CM program to 2 conditions-placebo oxytocin and a Familiarity intervention-to control for expectancy effects, demand characteristics, and familiarity effects. Relative to control conditions, CM increased charitable donations, and changes in the Study 1 model of feelings and attributions mediated this effect (pab = .002). The Familiarity intervention led to decreases in primary outcomes, while placebo oxytocin had no significant effects on primary outcomes. Overall, this work contributes a quantitative model of compassionate behavior, and informs our understanding of the change processes and intervention components of CM.</t>
  </si>
  <si>
    <t>Easy, Hopeful</t>
  </si>
  <si>
    <t>2, 3</t>
  </si>
  <si>
    <t>Granlund Host Finland's First Ever Behaviour Change Hackathon: 5 Tips to Reduce Building User Energy Consumption</t>
  </si>
  <si>
    <t>Ken Dooley</t>
  </si>
  <si>
    <t>Energista Rakentamista</t>
  </si>
  <si>
    <t xml:space="preserve">behavior based energy strategies </t>
  </si>
  <si>
    <t>why is the belief is global warming affected by temperature?</t>
  </si>
  <si>
    <t>Art Markman</t>
  </si>
  <si>
    <t>Psychological Today</t>
  </si>
  <si>
    <t>The temperature felt by a person affects his belif about climate change</t>
  </si>
  <si>
    <t>Results from Finland's first Behavior Change Hackathon: 5 tips to reduce building occupant energy consumption http://bit.ly/1EiCFtK </t>
  </si>
  <si>
    <t>Personal = Yes (Removed); Vivid = No; Resonate = No</t>
  </si>
  <si>
    <t>Personal = No; Vivid = No; Resonate = No</t>
  </si>
  <si>
    <t>http://ow.ly/TYK58  How does heat change your belief in global warming? #makeitpersonal</t>
  </si>
  <si>
    <t>Overcoming social and institutional barriers to energy conservation</t>
  </si>
  <si>
    <t>Canada and the US, Oceania</t>
  </si>
  <si>
    <t xml:space="preserve">Blumstein, C., Krieg, B., Schipper, L., &amp; York, C. </t>
  </si>
  <si>
    <t>40, 44</t>
  </si>
  <si>
    <t>global warming, like politics, is local</t>
  </si>
  <si>
    <t xml:space="preserve">Though economically rational responses to the energy crisis, energy conservation actions may be hindered by social and institutional barriers. The nature of these barriers is explored and a taxonomy of barriers is proposed. Results of a series of interviews provide examples of the different types of barriers. Strategies for overcoming barriers are examined and some criteria for evaluating such strategies are developed. The importance of considering not only the efficiency of strategies in achieving the goal of energy conservation, but also their impacts on other-possibly competing-social and economic goals is emphasized. The need for increased efforts aimed at overcoming barriers and further research into the nature of these barriers is discussed. </t>
  </si>
  <si>
    <t>The impact of combined water and energy consumption eco-feedback on conservation</t>
  </si>
  <si>
    <t>Jeong, S. H., Gulbinas, R., Jain, R. K., &amp; Taylor, J. E.</t>
  </si>
  <si>
    <t>Energy and Buildings</t>
  </si>
  <si>
    <t>Personal = Yes (Removed); Resonate = No; Personal = No</t>
  </si>
  <si>
    <t>Personal = No; Resonate = No; Personal = No</t>
  </si>
  <si>
    <t>Demand for water is increasing with buildings accounting for the large majority of increased water consumption. As such, the development of methods to effectively promote water conservation in buildings has become an important focal area for research. Specifically, providing feedback of resource consumption to residential building occupants has been demonstrated to be effective in promoting conservation. Although water and energy are inextricably connected, there is a lack of research that investigates the bridge between water and energy in the representation of feedback to promote water conservation. In this paper, we investigate the impact of two different representations of water consumption eco-feedback on water conservation (i.e., gallons and associated estimated embodied energy). We collected consumption data in 18 residential dormitories, involving nearly 4700 occupants over a period of approximately six weeks. We found that representing water consumption simultaneously in terms of gallons and associated embodied energy led to a statistically significant reduction in water consumption, while representing water consumption only in terms of gallons did not. This has significant implications for the growing body of research at the nexus between water and energy consumption and can inform future eco-feedback system designs.</t>
  </si>
  <si>
    <t>http://www.sciencedirect.com/science/article/pii/S0378778814003958</t>
  </si>
  <si>
    <t>Why psychology should be a part in the fight against climate change</t>
  </si>
  <si>
    <t>Carolyn Gregoire</t>
  </si>
  <si>
    <t xml:space="preserve">Environmental psychology is needed in a world of diversity </t>
  </si>
  <si>
    <t>Measured energy savings from a more informative energy bill</t>
  </si>
  <si>
    <t>Wilhite, H., &amp; Ling, R.</t>
  </si>
  <si>
    <t>What is environmental psychology and how can it help save the environment? Here's an aritcle with an insightful explanation</t>
  </si>
  <si>
    <t>In this paper, we present the results of a three-year investigation of the relationship between billing information and household energy consumption in Oslo, Norway. The hypothesis tested in the study is that a more informative energy bill will result in more efficient energy use in the home. The consumption data from the third and final year of the experiment confirm the hypothesis in a resounding way: more informative bills resulted in energy savings of about 10%. Questionnaire and interview data show that those who received experimental bills paid more attention to the bills, were more likely to discuss bills with other members of the household, and were positive to continuing with the experimental billing system. There are greater costs associated with the more frequent and informative bill which was tested, but we have estimated that costs are minimal in relation to savings. Each kWh of saved energy has a cost of only about 0.07 Nkr ($0.01). Since the techniques which were tested do not require extensive training or major technical innovations, they can be easily put into practice. These results on energy savings and consumer response to better billing feedback should be of interest to the many utilities around the world which have billing systems similar to the one in Oslo.</t>
  </si>
  <si>
    <t>What Will You Leave Behind? How Personal Legacy Affects Pro-Environmental Behavior</t>
  </si>
  <si>
    <t>Courtney St. John</t>
  </si>
  <si>
    <t>State of the Planet-Earth Institute, Columbia University</t>
  </si>
  <si>
    <t>people who think about their personal legacy care more about the environment; Legacy and environmental behavior; Associations, Priming, Sense of Self; Legacy and environmental behavior; temporal discounting</t>
  </si>
  <si>
    <t>Dynamic energy-consumption indicators for domestic appliances: environment, behaviour and design</t>
  </si>
  <si>
    <t>Wood, G., &amp; Newborough, M.</t>
  </si>
  <si>
    <t>The literature concerning the application of information-feedback methods for saving energy in the home is reviewed. Particular attention is given to electronic feedback via smart meters and displays, or “energy-consumption indicators” (ECI). Previous studies have not focused on individual appliances, but this paper presents the findings of a UK field study involving 44 households which considered domestic cooking: it compares the effectiveness of providing paper-based energy-use/saving information with electronic feedback of energy-consumption via ECIs designed specifically for this investigation. Twelve Control Group households were monitored for a period of at least 12 months and this revealed an average daily consumption for electric cooking of 1.30 kWh. Subsequently across a minimum monitoring period of 2 months, 14 out of 31 households achieved energy savings of greater than 10% and six of these achieved savings of greater than 20%. The average reduction for households employing an ECI was 15%, whereas those given antecedent information alone reduced their electricity consumption, on average, by only 3%. The associated behavioural changes and the importance of providing regular feedback during use are identified. It is recommended that further attention be given to optimising the design and assessing the use of energy-consumption indicators in the home, in order to maximise the associated energy-saving potential.</t>
  </si>
  <si>
    <t>http://www.sciencedirect.com/science/article/pii/S0378778802002414</t>
  </si>
  <si>
    <t>What Will You Leave Behind? How Personal Legacy Affects Pro-environmental Behavior http://ow.ly/UdV6i </t>
  </si>
  <si>
    <t>The Climate Movement Needs Rebranding, But These Milton Glaser Buttons Won't Do It</t>
  </si>
  <si>
    <t>Adele Peters</t>
  </si>
  <si>
    <t>Behavioral approaches to residential energy conservation</t>
  </si>
  <si>
    <t>Fast CoExist</t>
  </si>
  <si>
    <t>Seligman, C., Darley, J. M., &amp; Becker, L. J.</t>
  </si>
  <si>
    <t>This article outlines some of the research conducted by social psychologists to reduce residential energy consumption. The results of two attitudinal surveys demonstrated that homeowners' summer electricity consumption could be predicted from their energy-related attitudes. Relatable comfort and health concers were the best predictors of consumption. Psychologically derived techniques to reduce summer electricity consumption were experimentally examined in three separate studies. In study 1, almost daily consumption feedback was found to reduce electricity usage 10.5%. In study 2, subjects receiving frequent feedback, who were also asked to adopt a difficult conservation goal, reduced their electricity consumption 13.0%. In study 3, a device that signaled homeowners when they could cool their houses without air conditioning by opening their windows led to a reduction in consumption of 15.7%. It was concluded that the resident can play an important role in energy conservation that complements engineering solutions.</t>
  </si>
  <si>
    <t xml:space="preserve">Yes, the Climate Movement needs rebranding - These pins are a step in the right direction but would anyone wear them? </t>
  </si>
  <si>
    <t>Home, Programable appliances</t>
  </si>
  <si>
    <t>Hopeful - Provide feedback, Vivid - Make the message memorable</t>
  </si>
  <si>
    <t>304, 505</t>
  </si>
  <si>
    <t>Saving energy in an office environment: a serious game intervention</t>
  </si>
  <si>
    <t>Orland, B., Ram, N., Lang, D., Houser, K., Kling, N., &amp; Coccia, M.</t>
  </si>
  <si>
    <t>Serious Games are virtual simulations of real-world activities that can both educate users and prompt behavioral change. This study evaluated the effectiveness of a virtual pet game in reducing plug-loads in a mid-size commercial office. Participants were 61 resident workers. The energy consumption of 288 appliances was monitored for 24 weeks using plug-load sensors. After 4-weeks of baseline, 42 participants were introduced to the “Energy Chickens” serious game, which they played for 12 weeks. Within the game, daily energy consumption data for each individual's devices were used to manipulate animated chickens living on a Relatableized virtual farm. Changes in device-specific energy consumption were reflected in the improving or declining “health” of the corresponding chickens. Healthy, energy-saving chickens laid eggs that the user could collect and use to purchase accessories for their virtual farm. Across all intervention days, average energy consumption declined by 13%. Participants achieved 23% reductions on non-work days and 7% reductions on workdays. At the conclusion of the intervention, 69% of participants indicated that the game helped them be more energy conscious, with some indicating changes in their energy use outside the office. Results highlight the effectiveness of behavioral interventions on plug-load energy consumption within commercial office settings.</t>
  </si>
  <si>
    <t>https://www.researchgate.net/publication/260202142_Saving_energy_in_an_office_environment_A_serious_game_intervention</t>
  </si>
  <si>
    <t>Salient = Yes; Feedback = Yes</t>
  </si>
  <si>
    <t>Saving #energy in an office #environment: A serious game intervention http://ow.ly/XqyuB</t>
  </si>
  <si>
    <t>Energy, Consumption</t>
  </si>
  <si>
    <t>4000, 3000</t>
  </si>
  <si>
    <t xml:space="preserve">Testing the Effect of Defaults on the Thermostat Settings of OECD Employees </t>
  </si>
  <si>
    <t>Brown, Z., Johnstone, N., Haščič, I., Vong, L., &amp; Barascud, F.</t>
  </si>
  <si>
    <t xml:space="preserve">Energy Economics </t>
  </si>
  <si>
    <t>We describe a randomized controlled experiment in which the default settings on office thermostats in an OECD office building were manipulated during the winter heating season, and employees' chosen thermostat setting observed over a 6-week period. Using difference-in-differences, panel, and censored regression models (to control for maximum allowable thermostat settings), we find that a 1 °C decrease in the default caused a reduction in the chosen setting by 0.38 °C, on average. Sixty-five percent of this effect could be attributed to office occupant behavior (p-value = 0.044). The difference-in-differences models show that small decreases in the default (1°) led to a greater reduction in chosen settings than large decreases (2°). We also find that office occupants who were more apt to adjust their thermostats prior to the intervention were less susceptible to the default. We conclude that this kind of intervention can increase building-level energy efficiency, and discuss potential explanations and broader policy implications of our findings.</t>
  </si>
  <si>
    <t>http://www.sciencedirect.com/science/article/pii/S0140988313000753</t>
  </si>
  <si>
    <t>programmable thermostats</t>
  </si>
  <si>
    <t>Do Older Countries Care More About the Environment?</t>
  </si>
  <si>
    <t>Joshua Keating</t>
  </si>
  <si>
    <t>Feedback on household electricity consumption: a tool for saving energy?</t>
  </si>
  <si>
    <t>Fischer, C.</t>
  </si>
  <si>
    <t>Energy Efficiency</t>
  </si>
  <si>
    <t>Improved feedback on electricity consumption may provide a tool for customers to better control their consumption and ultimately save energy. This paper asks which kind of feedback is most successful. For this purpose, a psychological model is presented that illustrates how and why feedback works. Relevant features of feedback are identified that may determine its effectiveness: frequency, duration, content, breakdown, medium and way of presentation, comparisons, and combination with other instruments. The paper continues with an analysis of international experience in order to find empirical evidence for which kinds of feedback work best. In spite of considerable data restraints and research gaps, there is some indication that the most successful feedback combines the following features: it is given frequently and over a long time, provides an appliance-specific breakdown, is presented in a clear and appealing way, and uses computerized and interactive tools.</t>
  </si>
  <si>
    <t>http://link.springer.com/article/10.1007%2Fs12053-008-9009-7</t>
  </si>
  <si>
    <t>People Power Pilot Yields Up to 10 Percent Energy Savings By Changing Behavior</t>
  </si>
  <si>
    <t>Lisa Cohn</t>
  </si>
  <si>
    <t>Energy Efficiency Markets.com</t>
  </si>
  <si>
    <t>In a pilot program from People Power, a new mobile app, “Presence,” being tested in Hawaii, is yielding surprising energy savings–9 percent to 10 percent –by motivating people to change their energy use behavior. This was also then compared and contrasted with Opower's study; Use of People Power's mobile app "Presence" has yielded energy savings of 9-10% in a pilot program. The app first attracts new users with other features, such as an ability to use their old smart phones as motion detectors and security cameras, and presents energy efficiency as a type of game or challenge. When combined with wi-fi smart plugs, the app allows users to remotely control their electric appliances.</t>
  </si>
  <si>
    <t xml:space="preserve">Associations, Vivid, Identity </t>
  </si>
  <si>
    <t>4, 5, 6</t>
  </si>
  <si>
    <t>Here’s What Science Has To Say About Convincing People To Do Something About Climate Change</t>
  </si>
  <si>
    <t>Think Progress</t>
  </si>
  <si>
    <t xml:space="preserve">Overview of recent studies detailing best strategies for communicating climate change. Strategies include repetition, use of reputable messengers, and focusing on immediate impacts. </t>
  </si>
  <si>
    <t>https://thinkprogress.org/heres-what-science-has-to-say-about-convincing-people-to-do-something-about-climate-change-778069d52454#.4ohejp7uk</t>
  </si>
  <si>
    <t>compares this pilot with opower's program, and talks about each's strengths and weaknesses</t>
  </si>
  <si>
    <t>Feedback = Yes; Easy = No</t>
  </si>
  <si>
    <t>Feedback = No; Easy = No</t>
  </si>
  <si>
    <t>interactive energy-savings app shows promising results in hawai'I pilot</t>
  </si>
  <si>
    <t>How to Ensure You're (Almost) Always Right</t>
  </si>
  <si>
    <t>Alex Lickerman</t>
  </si>
  <si>
    <t>How to become truly mindful</t>
  </si>
  <si>
    <t>Benefits, Vivid</t>
  </si>
  <si>
    <t>1, 5</t>
  </si>
  <si>
    <t>Awareness - Learn to practice mindfulness yourself</t>
  </si>
  <si>
    <t>Consumption - Energy, Consumption - Freshwater</t>
  </si>
  <si>
    <t>For energy (and water) conservation, moral suasion is no substitute for getting the prices right</t>
  </si>
  <si>
    <t>Human Health - Visit Nature</t>
  </si>
  <si>
    <t>Meredith Fowlie</t>
  </si>
  <si>
    <t>Energy Institute at Haas</t>
  </si>
  <si>
    <t>Decision Science; price signals an important part of behavior programs; availability heuristic</t>
  </si>
  <si>
    <t>Nature Walks Improve Mental Health By Helping People Avoid Rumination </t>
  </si>
  <si>
    <t>Anthony Rivas</t>
  </si>
  <si>
    <t>MedicalDaily</t>
  </si>
  <si>
    <t>Feedback = Yes</t>
  </si>
  <si>
    <t>What impact do raising water prices or conversation campaigns actually have on #energy and #water consumption? http://ow.ly/Oq0OP </t>
  </si>
  <si>
    <t>The climate change movement must overcome political tribalism</t>
  </si>
  <si>
    <t>Dominic Bates</t>
  </si>
  <si>
    <t>Climate - Emissions, Consumption - Energy</t>
  </si>
  <si>
    <t>Conditional inevitability: Expert perceptions of carbon capture and storage uncertainties in the UK context</t>
  </si>
  <si>
    <t>Evar, B.</t>
  </si>
  <si>
    <t>Energy Policy</t>
  </si>
  <si>
    <t>This paper presents findings on expert perceptions of uncertainty in carbon capture and storage (CCS) technology and policy in the UK, through survey data and semi-structured interviews with 19 individual participants. Experts were interviewed in industry, research, and non-governmental organisations (NGOs) in the summer of 2009 and were asked to comment on a range of technical processes as well as policy concerns. The survey revealed that perceptions of the technology conform to a ‘certainty trough’ with users expressing the lowest level of uncertainty, and outsiders expressing the highest level of uncertainty. The interviews revealed that experts express certitude in the prospects for deploying large-scale CCS technology in the UK, all the while questioning several underlying technical and policy premises that are necessary to ensure this goal.</t>
  </si>
  <si>
    <t>How can we change the conversation about #climatechange? http://ow.ly/OpQfe </t>
  </si>
  <si>
    <t>Climate, Consumption, Energy, Population</t>
  </si>
  <si>
    <t>2000, 3000, 4000, 17000</t>
  </si>
  <si>
    <t>The truth is out there, so how do you debunk a myth?</t>
  </si>
  <si>
    <t>John Cook</t>
  </si>
  <si>
    <t>The Conversation</t>
  </si>
  <si>
    <t>Climate - Emissions, Consumption - Energy, Energy - Renewables, Population - Sustainable communities</t>
  </si>
  <si>
    <t>Energy sustainable communities: Environmental psychological investigations</t>
  </si>
  <si>
    <t>Schweizer-Ries, P.</t>
  </si>
  <si>
    <t>Energy sustainability is becoming an increasing issue—or rather ‘‘the’’ issue in our society. Often it is reduced to a purely technical problem. Renewable energies and energy-efficient technologies are developed to solve the problem, but finally the end-users will ‘‘decide’’ how much and what kind of energy they are going to consume. This article is targeted on showing the environmental psychological aspects of the change of energy demand and supply. It builds upon a transactional model of human technology interchange and summarises environmental psychological work done during more than 5 years. It refers to the idea of energy sustainable communities (ESCs), shows the development of one example community and concentrates on one aspect of the social dimension of ESCs, the ‘‘acceptance of renewable energy technology’’, its definition and measurement in Germany.</t>
  </si>
  <si>
    <t>Studies by Skeptical Science</t>
  </si>
  <si>
    <t>The #truth is out there – so how do you debunk a #myth? http://ow.ly/X8Cef #climatechange</t>
  </si>
  <si>
    <t>3  Insights Into Writing about Social Issues</t>
  </si>
  <si>
    <t>WordPress</t>
  </si>
  <si>
    <t>Communication; 3 insights into how to write about social issues, in this case environmental ones.</t>
  </si>
  <si>
    <t>An expert elicitation of climate, energy and economic uncertainties</t>
  </si>
  <si>
    <t>Usher, W., &amp; Strachan, N.</t>
  </si>
  <si>
    <t>Critical energy policy decisions rely on expert assessments of key future uncertainties. But existing modelling techniques that help form these expert assessments often ignore the existence of uncertainty. Consequently, techniques to measure these uncertainties are of increasing importance. We use one technique, expert elicitation, to assess six key uncertain parameters with 25 UK energy experts across academia, government and industry. We obtain qualitative descriptions of the uncertain parameters and a novel data set of probability distributions describing individual expert beliefs. We conduct a sensitivity analysis on weights for a linear opinion pool and show that aggregated median beliefs in 2030 are: for oil price $120/barrel (90% CI: 51, 272); for greenhouse gas price $34/tCO2e (90% CI: 5, 256) and for levelised cost of low-carbon electricity 17.1 US cents/kWh (90% CI: 8.3, 31.0). The quantitative results could inform model validation, help benchmark policy makers’ beliefs or provide probabilistic inputs to models.</t>
  </si>
  <si>
    <t>but not very much. Just barely talks about the environment</t>
  </si>
  <si>
    <t>For those who have been struggling to write about #climatechange: 3 Insights Into Writing about Social Issues http://ow.ly/OpQDt </t>
  </si>
  <si>
    <t>Forest bathing' is latest fitness trend to hit U.S.- 'Where yoga was 30 years ago'</t>
  </si>
  <si>
    <t>Meeri Kim</t>
  </si>
  <si>
    <t>There are benefits to human health by being outdoors, this article specifically rleates to "forest bathing"</t>
  </si>
  <si>
    <t>Consumption - Freshwater, Consumption - Energy</t>
  </si>
  <si>
    <t>For better or for worse? Empirical evidence of moral licensing in a behavioral energy conservation campaign</t>
  </si>
  <si>
    <t>Tiefenbeck, V., Staake, T., Roth, K., &amp; Sachs, O.</t>
  </si>
  <si>
    <t>What is "forest bathing" &amp; why is it a new fitness trend? Here's an explanation from the Washingtonpost</t>
  </si>
  <si>
    <t>Isolated environmental campaigns focusing on defined target behaviors are rolled out to millions of households every year. Yet it is still unclear whether these programs trigger cross-domain adoption of additional environment-friendly behaviors (positive spillover) or reduced engagement elsewhere. A thorough evaluation of the real net performance of these programs is lacking. This paper investigates whether positive or perverse side effects dominate by exemplifying the impact of a water conservation campaign on electricity consumption. The study draws on daily water (10,780 data points) and weekly electricity (1386 data points) consumption data of 154 apartments in a controlled field experiment at a multifamily residence. The results show that residents who received weekly feedback on their water consumption lowered their water use (6.0% on average), but at the same time increased their electricity consumption by 5.6% compared with control subjects. Income effects can be excluded. While follow-up research is needed on the precise mechanism of the psychological process at work, the findings are consistent with the concept of moral licensing, which can more than offset the benefits of focused energy efficiency campaigns, at least in the short-term. We advocate the adoption of a more comprehensive view in environmental program design/evaluation in order to quantify and mitigate these unintended effects.</t>
  </si>
  <si>
    <t>Green Generation: Millennials say sustainability is a shopping priority</t>
  </si>
  <si>
    <t>nielsen</t>
  </si>
  <si>
    <t>Speaking to millenials values and priorities</t>
  </si>
  <si>
    <t xml:space="preserve">non-essential </t>
  </si>
  <si>
    <t xml:space="preserve">In e.g. of moral licensing, residents used more electricity when receiving water usage feedback. Water use declined. http://ow.ly/Y0SCf </t>
  </si>
  <si>
    <t xml:space="preserve">For millenials, sustainable brands are first on their shopping lists  </t>
  </si>
  <si>
    <t xml:space="preserve">Associations - Emphasize potential loss over potential gain </t>
  </si>
  <si>
    <t>Loads of green washing: can behavioural economics increase willingness-to-pay for efficient washing machines in the UK?</t>
  </si>
  <si>
    <t>Can Science Help People Unlearn Their Unconscious Biases?</t>
  </si>
  <si>
    <t>Bull, J.</t>
  </si>
  <si>
    <t>Adam Hoffman</t>
  </si>
  <si>
    <t>Smithsonian Online Magazine</t>
  </si>
  <si>
    <t>The EU energy efficiency labelling scheme has successfully increased demand for efficient appliances by providing a prominent letter rating to consumers during their product search. Behavioural economics (BE) suggests the adoption of efficient appliances could be accelerated further by: (i) monetising efficiency, (ii) directly communicating the link between efficiency and carbon emissions, (iii) commu- nicating the long-term (e.g., operational life) financial and environmental impact of product choices, and, (iv) framing the information as avoided losses (‘extra’) rather than gains (‘savings’). This study tested these hypotheses via an online, stated preference survey of 465 UK residents using actual market pricing and efficiency data for washing machines. The provision of information about either running costs or running emissions did encourage selection of more expensive and efficient products (strongly correlated variables in the choice set and actual market) (po.001, r1⁄4.30–.41) with no statistically significant difference between their impact. Providing lifetime running cost information also nudged respondents towards more expensive, efficient products than annual information (p 1⁄4 .006–.027, r1⁄4.15–.18). Finally, loss-framed running emissions information encouraged selection of more expen- sive, efficient products than gain-framed information (p o .05, r 1⁄4 .13–.16). The EU label is an impracticable means of communication, but digital communication channels (e.g., price comparison websites) may offer potential for inexpensive localisation and personalisation of the information. The results suggest that successful communication could benefit the private sector whilst making a contribution to reducing carbon emissions.</t>
  </si>
  <si>
    <t>energy efficient appliances</t>
  </si>
  <si>
    <t xml:space="preserve">Can #Science Help People Unlearn Their Unconscious #Biases? http://ow.ly/W3CNN  </t>
  </si>
  <si>
    <t xml:space="preserve">Awareness - Notice cognitive biases and practice thinking flexibly </t>
  </si>
  <si>
    <t xml:space="preserve">Associations, Hopeful </t>
  </si>
  <si>
    <t xml:space="preserve">Associations - Highlight the right identity, Hopeful - Trigger collective responsibility </t>
  </si>
  <si>
    <t xml:space="preserve">Low-carbon communities as a context for individual behavioural change </t>
  </si>
  <si>
    <t>Heiskanen, E., Johnson, M., Robinson, S., Vadovics, E., &amp; Saastamoinen, M.</t>
  </si>
  <si>
    <t>Previous attempts to change energy-related behaviour were targeted at individuals as consumers of energy. Recent literature has suggested that more focus should be placed on the community level and that energy users should be engaged in the role of citizens, and not only that of consumers. This article analyses different types of emerging low-carbon communities as a context for individual behavioural change. The focus is on how these communities offer solutions to problems in previous attempts to change individual behaviour. These problems include social dilemmas, social conventions, socio- technical infrastructures and the helplessness of individuals. Different community types are examined, including geographical communities as well as sector-based, interest-based and smart mob communities. Through four case studies representing each of these community types, we examine how different communities reframe problems on the individual level to reduce carbon emissions. On the basis of an analysis of the strengths and weaknesses of various community solutions, implications are drawn for further research and for the design and support of low-carbon communities.</t>
  </si>
  <si>
    <t>Just looking at nature can help your brain work better, study finds</t>
  </si>
  <si>
    <t>Decision Science; priming</t>
  </si>
  <si>
    <t>Easy - None</t>
  </si>
  <si>
    <t>Barriers to and drivers for energy efficiency in the Swedish foundry industry</t>
  </si>
  <si>
    <t>Rohdin, P., Thollander, P., &amp; Solding, P.</t>
  </si>
  <si>
    <t>Despite the need for increased industrial energy efficiency, studies indicate that cost-efficient energy conservation measures are not always implemented, explained by the existence of barriers to energy efficiency. This paper investigates the existence of different barriers to and driving forces for the implementation of energy efficiency measures in the energy intensive Swedish foundry industry. The overall results from a questionnaire show that limited access to capital constitutes by far the largest barrier to energy efficiency according to the respondents. A comparison between group-owned and privately owned foundries shows that, except for limited access to capital, they face different high-ranked barriers. While barriers within group owned companies are more related to organizational problems, barriers within private foundries are more related to information problems. This study also found that energy consultants or other actors working with energy issues in foundries are of major importance in overcoming the largest barriers, as the foundries consider them trustworthy.They may thus help the foundries overcome organizational problems such as lack of sub-metering and lack of budget funds by quantifying potential energy efficiency investments. The two, by far, most important drivers were found to be people with real ambition and long-term energy strategies.</t>
  </si>
  <si>
    <t xml:space="preserve">Just looking at nature can help your brain work better, study finds http://wpo.st/LeIJ0  </t>
  </si>
  <si>
    <t xml:space="preserve">Easy - None </t>
  </si>
  <si>
    <t>Energy education: breaking up the rational energy use barriers</t>
  </si>
  <si>
    <t>Dias, R., Mattos, C., &amp; Balastieri, J.</t>
  </si>
  <si>
    <t>Just Breathe: Body Has A Built-In Stress Reliever</t>
  </si>
  <si>
    <t>Gretchen Cuda</t>
  </si>
  <si>
    <t>http://www.npr.org/2010/12/06/131734718/just-breathe-body-has-a-built-in-stress-reliever</t>
  </si>
  <si>
    <t xml:space="preserve">Awareness - Learn to practice mindfulness yourself </t>
  </si>
  <si>
    <t>Human development is associated directly or indirectly with the energy use, and because of this the energetic sources were dealt with in the recent past, as fully available to human necessities. The reality shows that the energy availability, considering the non-renewable sources, is limited, and beyond that, the exploration, the processing and the use of energy impose considerable impacts onthe environment. There is not a system which operates with no losses and without imposing changes to the environment. Therefore, the energy conservation incorporates the concepts and the actions applied to the research of sustainable balance between nature and the energy availability and use. Such actions can be presented both in the short term, in which the energy system is close to a collapse, or in the medium/long term, in which those responsible for the energy policies are concerned with the structure of the socio-economic development. Such a situation requires more responsibility in the treatment of energy questions, mainly through education, which represents long-term investments. This paper discusses barriers that are present in the projects applied to energy conservation, by making clear that education is one of the best ways to transform the human behavior in for the rational use of energy.</t>
  </si>
  <si>
    <t>When Mindfulness Meets the Classroom</t>
  </si>
  <si>
    <t>Lauren Cassani Davis</t>
  </si>
  <si>
    <t>http://www.theatlantic.com/education/archive/2015/08/mindfulness-education-schools-meditation/402469/</t>
  </si>
  <si>
    <t xml:space="preserve">Awareness - Teach simple mindfulness practices </t>
  </si>
  <si>
    <t xml:space="preserve">None </t>
  </si>
  <si>
    <t>Some Reflection on Barriers to the Efficient Use of Energy</t>
  </si>
  <si>
    <t>Weber, L.</t>
  </si>
  <si>
    <t>It's Time to Get Acquainted with Your Future Self</t>
  </si>
  <si>
    <t>Melissa Dahl</t>
  </si>
  <si>
    <t>behavior; temporal discounting</t>
  </si>
  <si>
    <t>The potential of energy conservation is considerable, yet the technically feasible and economically viable measures which could be taken are by no means fully exhausted. This phenomenon is called 'efficiency gap' or 'energy paradox' and generally described in terms of institutional, market-related, organisational and behavioural barriers. The barrier approach may help decision-makers to overcome obstacles, but it tends to limit energy conservation to positive actions and favours technical solutions. Nevertheless, barrier models give an insight to the technical and social aspects of energy consumption and how they are intertwined. </t>
  </si>
  <si>
    <t xml:space="preserve">Hopeful </t>
  </si>
  <si>
    <t xml:space="preserve">Measuring the effect of procrastination and environmental awareness on households' energy-saving behaviours: An empirical approach </t>
  </si>
  <si>
    <t>Lillemo, S. C.</t>
  </si>
  <si>
    <t>We think of our future selves as complete strangers, and that has big impacts on how we make decisions</t>
  </si>
  <si>
    <t xml:space="preserve">A common finding in behavioural economics is that people often procrastinate, i.e., keep postponing planned tasks or decisions that require effort to execute. The effect of procrastination on inter-temporal energy choice behaviours could be even more serious because energy is an abstract, invisible and intangible commodity. This paper uses a web survey to investigate how people's procrastination propensity and environmental awareness affect their heating-energy-saving behaviours. The results indicate that people who state that they have a higher tendency to procrastinate are significantly less likely to have engaged in most of the heating energy-saving activities, especially regarding larger purchases or investments in equipment and the insulation of doors and windows. I also found a positive relationship between environmental awareness and engaging in everyday energy-saving activities such as reducing the indoor temperature. The findings suggest that measures aimed at reducing procrastina- tion are needed to realise energy-saving potential. It is important to find ways to either bring future benefits closer to the present or to magnify the costs of delayed action. For example, one can employ certain feedback systems and commitment devices to make current gains and future costs more visible or tangible. </t>
  </si>
  <si>
    <t>Whatever the customer wants, the customer gets? Exploring the gap between consumer preferences and default electricity products in Germany</t>
  </si>
  <si>
    <t>Kaenzig, J., Heinzle, S. L., &amp; Wustenhagen, R.</t>
  </si>
  <si>
    <t>Relaxation techniques: Breath control helps quell errant stress response</t>
  </si>
  <si>
    <t>Harvard Health</t>
  </si>
  <si>
    <t>http://www.health.harvard.edu/mind-and-mood/relaxation-techniques-breath-control-helps-quell-errant-stress-response</t>
  </si>
  <si>
    <t>In liberalized electricity markets, residential customers can choose their preferred provider and select among a variety of different electricity products, including green power options. Successful product design and marketing strategies for green electricity may provide electricity providers with a competitive advantage, while at the same time contributing to energy policy objectives. This requires, however, a thorough understanding of customer preferences. We investigate the relative importance of different product attributes in creating customer value, and find that price and electricity mix are the two most important attributes. The German electricity customers we surveyed in 2009 expressed an implicit willingness to pay a premium of about 16% for electricity from renewable sources. We conclude that consumers are willing to pay a significant price premium for an upgrade from the current default electricity mix in Germany to a more environmentally friendly default electricity mix, and discuss implications for marketing strategy and energy policy. Our findings are based on a dataset of 4968 experimental choices made by 414 German residential consumers, collected in a stated preference survey.</t>
  </si>
  <si>
    <t>http://www.sciencedirect.com/science/article/pii/S0301421512009469</t>
  </si>
  <si>
    <t>The Nature of Humans</t>
  </si>
  <si>
    <t>Rod Fujita and Nya Van Leuvan</t>
  </si>
  <si>
    <t>It's safe to say that most conservationists know a lot more about why fish, birds and plants do the things they do, than about human behavior. But it is human behavior that now shapes the destiny of life on earth.</t>
  </si>
  <si>
    <t>New approaches for household energy conservation: In search of Relatable household energy budgets and energy reduction options</t>
  </si>
  <si>
    <t>Benders, R. M. J., Kok, R., Moll, H. C., Wiersma, G., &amp;  Noorman, K. J.</t>
  </si>
  <si>
    <t>Large-scale energy reduction campaigns focusing on households generally have two shortcomings. First, an energy reduction campaign is either Relatableized but time intensive or time extensive but generalized. Second, because only the direct energy requirements are addressed, only 50% of the total household energy requirement is subject to reduction. The other 50%, the indirect energy requirement, is much more difficult to calculate and address and therefore not subject to reduction.
In this paper, we describe a web-based tool that has the potential to overcome both of these shortcomings. The tool addresses direct as well as indirect energy requirements. By means of a simple expert system participants obtain Relatableized reduction options and feedback on the energy reduced. The tool was tested in Groningen (the Netherlands) with a sample of 300 households, resulting in a direct energy reduction of about 8.5% compared to a control group. The reduction in indirect energy was not statistically significant.</t>
  </si>
  <si>
    <t>Tap into behavior because "It is human behavior that now shapes the destiny of life on earth" - http://huff.to/1Az2erA  via @HuffPostGreen</t>
  </si>
  <si>
    <t>Awareness, Benefits</t>
  </si>
  <si>
    <t>9, 1</t>
  </si>
  <si>
    <t>The Key to Making Smarter Long-term Decisions</t>
  </si>
  <si>
    <t>Wharton School of the University of Pennsylvania</t>
  </si>
  <si>
    <t>Decision Science; public policy design</t>
  </si>
  <si>
    <t>home</t>
  </si>
  <si>
    <t>RT @BacaMotes: Kunreuther on the need to 'develop short-term incentives' to get people to think about #climatechange http://knlg.net/1GVslwr </t>
  </si>
  <si>
    <t>Competition and norms: A self-defeating combination?</t>
  </si>
  <si>
    <t xml:space="preserve">Alberts, G., Gurguc, Z., Koutroumpis, P., Martin, R., Muûls, M., &amp; Napp, T. </t>
  </si>
  <si>
    <t>Oceans - Fishing</t>
  </si>
  <si>
    <t>This paper investigates the effects of information feedback mechanisms on electricity and heating usage at a student hall of residence in London. In a randomised control trial, we formulate different treatments such as feedback information and norms, as well as prize competition among subjects. We show that information and norms lead to a sharp – more than 20% - reduction in overall energy consumption. Because participants do not pay for their energy consumption this response cannot be driven by cost saving incentives. Interestingly, when combining feedback and norms with a prize competition for achieving low energy consumption, the reduction effect – while present initially – disappears in the long run. This could suggest that external rewards reduce and even destroy intrinsic motivation to change behaviour.</t>
  </si>
  <si>
    <t>How the Famous Marshmallow Study Explains Environmental Conservation</t>
  </si>
  <si>
    <t>Svati Kirsten Narula</t>
  </si>
  <si>
    <t>cognitive bias; discounting; present bias, fisheries management</t>
  </si>
  <si>
    <t xml:space="preserve">YES </t>
  </si>
  <si>
    <t>Recommended by Rod; features Ayana Johnson (Marine Biologist/ED of Programs and Stategy at the Waitt Institute)</t>
  </si>
  <si>
    <t>How the Famous Marshmallow Study Explains #Environmental Conservation http://ow.ly/Yz3lh #oceans</t>
  </si>
  <si>
    <t>Individual and household interactions with energy systems: Toward integrated understanding</t>
  </si>
  <si>
    <t>Stern, P. C.</t>
  </si>
  <si>
    <t>Energy Research and Social Science</t>
  </si>
  <si>
    <t>Avoid overfishing</t>
  </si>
  <si>
    <t>Awareness, Easy</t>
  </si>
  <si>
    <t>9, 2</t>
  </si>
  <si>
    <t>How to turn consumers green: The socially conscious consumer</t>
  </si>
  <si>
    <t>Dan Ariely and Aline Grüneisen</t>
  </si>
  <si>
    <t>This paper argues for the value of developing an integrated, trans-disciplinary science of human–energy interactions and suggests that Energy Research &amp; Social Science can provide a space for further development of this science. It sketches this intellectual domain and then focuses on that part of it that encompasses interactions of individuals and households with energy systems. It considers the roles of these actors as energy consumers, as citizens who may influence the development and regulation of energy systems, as energy producers, as participants in organizations and institutions, and as parties affected by energy systems. The paper shows, in each case, that single disciplines rarely provide the depth of knowledge that is desirable for understanding or influencing individual and household interactions with energy systems and that integration of knowledge and insights from multiple disciplines is required. It also suggests some promising research directions.</t>
  </si>
  <si>
    <t>McKinsey &amp; Company</t>
  </si>
  <si>
    <t>cognitive bias; values, consumer choice; intention-behavior gap</t>
  </si>
  <si>
    <t>feedback</t>
  </si>
  <si>
    <t>Easy = Yes; Mindful = Yes</t>
  </si>
  <si>
    <t>(E - Yes); (M - Yes)</t>
  </si>
  <si>
    <t>(E - What can we do to encourage more environmentally responsible purchasing? http://ow.ly/OpYnW  #gogreen); (M - How to turn consumers #green via @danariely http://ow.ly/Wmmqx )</t>
  </si>
  <si>
    <t>(E - Yes)</t>
  </si>
  <si>
    <t>Energy Efficiency: Can policy makers make turn-offs a turn on?</t>
  </si>
  <si>
    <t>Katherine Ling</t>
  </si>
  <si>
    <t>Environment &amp; Energy Publishing</t>
  </si>
  <si>
    <t>The Science Behind Bad Decisions: "Decision Fatigue" Causing You to Make Unhealthy Choices?</t>
  </si>
  <si>
    <t>Making energy reductions appealing using incentives and appealing to competitive identity</t>
  </si>
  <si>
    <t>Environmental #policy makers, this article has tips on how to make #energy efficiency more appealing to people</t>
  </si>
  <si>
    <t>The Science Behind Bad Decisions: Is 'Decision Fatigue' Causing You to Make Unhealthy Choices? http://huff.to/1bZ9kJS  via @HealthyLiving</t>
  </si>
  <si>
    <t xml:space="preserve">Climate - Emissions </t>
  </si>
  <si>
    <t>http://huff.to/1bZ9kJS</t>
  </si>
  <si>
    <t>Unearthing the “Green” Personality: Core Traits Predict Environmentally Friendly Behavior</t>
  </si>
  <si>
    <t>Brick, C., &amp; Lewis, G. J.</t>
  </si>
  <si>
    <t>Environment and Behavior</t>
  </si>
  <si>
    <t>Easy - Reduce the number of steps/hassle factors, Reduce choices</t>
  </si>
  <si>
    <t>Pro-environmental attitudes and behaviors show substantial individual differences, and exploring their predictors can help reveal the origins of pro-environmental behavior. Basic personality traits may provide a partial explanation, but it is unclear which personality traits are reliably associated with pro-environmental behaviors. This article uses a specific type of environmental behavior, reducing greenhouse gas emissions, to clarify which personality correlates are most robustly associated with behavior, and to test mediation of those effects through attitudes. A large (N = 345) sample of United States adults representative in age, gender, and ethnicity completed the 100-item HEXACO personality inventory, a novel self-report measure of behaviors that reduce greenhouse gas emissions, and scales of environmental and political attitudes. Accounting for demographics, emissions-reducing behaviors were most strongly predicted by Openness, Conscientiousness, and Extraversion, and these effects of personality were mediated by attitudes toward the natural environment. These observations broaden the understanding of the etiology of environmental attitudes and behavior.</t>
  </si>
  <si>
    <t>Lasting - Repeat interventions until habits are formed</t>
  </si>
  <si>
    <t>Changing Behavior and Making it Stick: The Conceptualization and Management of Conservation Behavior</t>
  </si>
  <si>
    <t>De Young, R.</t>
  </si>
  <si>
    <t>https://lindsief.wikispaces.com/file/view/de+young+1993.pdf</t>
  </si>
  <si>
    <t>A sustainable planet is not possible without patterns of conserving behavior. The resource-costly life-styles that are characteristic of the current scene present a historic challenge. Never before have so many behaviors needed to change in so short a time. More challenging is that they must stay changed. For many reasons the techniques commonly used to promote conservation behavior are more reliable at modulating short-term behavior than at achieving durable change. The perceived urgency of environmental problems tends to make immediate behavior change the major focus. But of equal importance is the stability of behavior once changed. Thus one goal of conservation behavior research is to discover techniques that change individual behavior while minimizing or eliminating the need for repeated intervention. This article categerorizes behavior change techniques first by their informational or motivational nature and second by the source of the change: derived from others or gained by direct personal involvement. Evaluating selected techniques using five proposed dimensions suggests why durable behavior change has been so hard to achieve. Research implications are discussed.</t>
  </si>
  <si>
    <t>Awareness, Ordinary, Relatable</t>
  </si>
  <si>
    <t>9, 7, 8</t>
  </si>
  <si>
    <t>How to Make Narcissists Think Green is the New Black</t>
  </si>
  <si>
    <t>Iman Naderi and David Strutton</t>
  </si>
  <si>
    <t>Nudging the people with narcissistic personality</t>
  </si>
  <si>
    <t xml:space="preserve">Lasting, Ordinary </t>
  </si>
  <si>
    <t>10, 7</t>
  </si>
  <si>
    <t>Travel Mode Choice of Women: The Result of Limitation, Ecological Norm, or Weak Habit?</t>
  </si>
  <si>
    <t xml:space="preserve">Matthies, E., Kuhn, S., &amp; Klöckner, C. A. </t>
  </si>
  <si>
    <t>This study examines a model of travel mode choice that is able to explain gender differences in the willingness to reduce car use. By means of a survey among 187 inhabitants of a German city, the hypothesis is tested that women are more willing to reduce car use (intention to reduce car use, preference for public transport, and actual travel mode choice for a given trip) because of their stronger ecological norms and weaker car habits. Results confirm women’s greater willingness and the mediating role of norm and habit in the intention to reduce car use and in the actual travel mode choice but not with regard to the preference rating. The intention to reduce car use is mainly influenced by the ecological norm, whereas actual travel behavior is more strongly influenced by habit.</t>
  </si>
  <si>
    <t>Normal = Yes; Personal = No; Mindful = No</t>
  </si>
  <si>
    <t>Normal = No; Personal = No; Mindful = No</t>
  </si>
  <si>
    <t>HOW TO MAKE #NARCISSISTS THINK #GREEN IS THE NEW BLACK http://ow.ly/WMDQ3</t>
  </si>
  <si>
    <t>(N- 8/30/2016)</t>
  </si>
  <si>
    <t>Awareness, Relatable</t>
  </si>
  <si>
    <t>9, 8</t>
  </si>
  <si>
    <t>The surprising psychology behind why some people become environmentalists</t>
  </si>
  <si>
    <t>"This study examines a model of travel mode choice that is able to explain gender differences in the willingness to reduce car use. By means of a survey among 187 inhabitants of a German city, the hypothesis is tested that women are more willing to reduce car use (intention to reduce car use, preference for public transport, and actual travel mode choice for a given trip) because of their stronger ecological norms and weaker car habits."</t>
  </si>
  <si>
    <t>Associations, Easy, Relatable, Vivid</t>
  </si>
  <si>
    <t>4, 2, 8, 5</t>
  </si>
  <si>
    <t>Associations - Highlight the right identity,  Easy - Make it the default setting, Relatable - Connect at a local level, Vivid - Focus on immediate impacts</t>
  </si>
  <si>
    <t>401, 205, 802, 503</t>
  </si>
  <si>
    <t>Personal = No; Mindful = No</t>
  </si>
  <si>
    <t>Personally Relevant Climate Change: The Role of Place Attachment and Local Versus Global Message Framing in Engagement</t>
  </si>
  <si>
    <t>The surprising #psychology behind why some people become #environmentalists http://ow.ly/P0YmY </t>
  </si>
  <si>
    <t>Scannell, L., &amp; Gifford, R.</t>
  </si>
  <si>
    <t>Relatable - Foster empathy</t>
  </si>
  <si>
    <t>To help mitigate the negative effects of climate change, citizens’ attitudes and behaviors must be better understood. However, little is known about which factors predict engagement with climate change, and which messaging strategies are most effective. A community sample of 324 residents from three regions in British Columbia read information either about a climate change impact relevant to their local area, a more global one, or, in a control condition, no message. Participants indicated the extent of their climate change engagement, the strength of their attachment to their local area, and demographic information. Three significant unique predictors of climate change engagement emerged: place attachment, receiving the local message, and gender (female). These results provide empirical support for some previously proposed barriers to climate action and suggest guidelines for effective climate change communication.</t>
  </si>
  <si>
    <t>http://pics.uvic.ca/sites/default/files/uploads/publications/scannell_envirobehavior_2011.pdf</t>
  </si>
  <si>
    <t>The 7 psychological reasons that are stopping us from acting on climate change</t>
  </si>
  <si>
    <t>Behavior; Behavioral Science Principles</t>
  </si>
  <si>
    <t>Feelings for the Suffering of Others and the Environment: Compassion Fosters Proenvironmental Tendencies</t>
  </si>
  <si>
    <t>Pfattheicher, S., Sassesnrath, C., &amp; Schindler, S.</t>
  </si>
  <si>
    <t xml:space="preserve">Recent research has shown that compassionate feelings for the suffering environment promote conservation of nature. We extend this notion and relate compassion for suffering humans to proenvironmental tendencies. The proposed relation should hold true as compassion elicits moral actions and judgments across different moral domains which should also be applicable to the environment. Therefore, we expect compassion for other humans to relate positively to proenvironmental tendencies. Two studies were conducted to test this assumption. Study 1 included three independent samples (final N = 2,096) and several measures of proenvironmental tendencies. Results revealed that compassion was indeed positively related to proenvironmental values, proenvironmental intentions and reported donations to nature or environmental organizations. In Study 2 we experimentally tested and found a causal path between compassion for humans and proenvironmental intentions. Implications for climate change and protection of nature are discussed. </t>
  </si>
  <si>
    <t>https://www.researchgate.net/publication/272089767_Feelings_for_the_Suffering_of_Others_and_the_Environment_Compassion_Fosters_Proenvironmental_Tendencies</t>
  </si>
  <si>
    <t>How Do You Get People To Care About Climate Change? Talk About Public Health</t>
  </si>
  <si>
    <t>Natasha Geiling</t>
  </si>
  <si>
    <t>The Relatable Threat of Environmental Problems as Predictor of Environmental Practices</t>
  </si>
  <si>
    <t>Baldassare, M., &amp; Katz, C.</t>
  </si>
  <si>
    <t>How do you think we should #communicate #climatechange? http://ow.ly/OLBVv  Would people listen if we centered this around #publichealth?</t>
  </si>
  <si>
    <t>In the 1990 Orange County (CA) Annual Survey, residents who perceive that environmental problems pose a very serious threat to their health and well-being are more likely to engage overall in environmental practices and, specifically, to recycle, conserve water, buy environmentally safe products, and limit their driving. Relatable environmental threat is a better predictor of overall environmental practices than are demographic variables and political factors. Perceived environmental threat is highest among younger residents, women, liberals, and Democrats. Future directions for research on perceived environmental threat in particular, and environmental concern in general, are discussed.</t>
  </si>
  <si>
    <t>Remember Me: Personal Legacy and Global Warming</t>
  </si>
  <si>
    <t>Relatable risk as a motivation for mitigation behavior</t>
  </si>
  <si>
    <t>The Relatable Threat of Environmental Problems as Predictor of Environmental Practices http://ow.ly/Xs3zp</t>
  </si>
  <si>
    <t>effeciencies , behavior</t>
  </si>
  <si>
    <t xml:space="preserve">An experiment that shows thinking about one's legacy can boost engagement with #environmental causes-- http://ow.ly/WMDCf </t>
  </si>
  <si>
    <t>Benefit, Easy, Hopeful</t>
  </si>
  <si>
    <t>1, 2, 3</t>
  </si>
  <si>
    <t>Some new and some classic examples of products that use a BE approach</t>
  </si>
  <si>
    <t>Kristen Berman and Kim Fernando</t>
  </si>
  <si>
    <t>Irrational Labs</t>
  </si>
  <si>
    <t>technologies that incorporate behavioral techniques</t>
  </si>
  <si>
    <t>Changing Simple Energy-Related Consumer Behaviors: How the Enactment of Intentions Is Thwarted by Acting and Non-Acting Habits</t>
  </si>
  <si>
    <t>de Vries, P., Aarts, H., &amp; Midden, C. J. H.</t>
  </si>
  <si>
    <t>Achieving ambitious CO2 emission reductions require changing mundane consumer behaviors in addition to increasing modern technology’s energy-saving potential. Frequently, energy-related behaviors, however, may occur highly and thus tend to become habitual. On basis of the notion that habits represent automatic reactions to situations, and hence, are hard to control, we examined whether the capability to perform or abstain from performing actions depends on the type of habit established. We tested whether an acting habit (switching off the light upon leaving a room) supports execution of the intention to act (switching it off), but hinders the intention to abstain from acting (not switching it off). Conversely, a habit of not switching off the light (a non-acting habit) is expected to obstruct execution of the intention to switch the light off, but facilitates the intention to not switch it off. Results support these ideas, and underscore the importance of differentiating between habits resulting from frequently acting and frequently not acting.</t>
  </si>
  <si>
    <t>Central and South America</t>
  </si>
  <si>
    <t>Can Behavioral Economics Save Coral Reefs and Fisheries?</t>
  </si>
  <si>
    <t>Ayana Elizabeth Johnson</t>
  </si>
  <si>
    <t xml:space="preserve">Can Behavioral Economics Help Save Coral Reefs: Overview of how behavior based incentives can be used to encourage sustainability </t>
  </si>
  <si>
    <t>"a habit of not switching off the light (a non-acting habit) is expected to obstruct execution of the intention to switch the light off, but facilitates the intention to not switch it off. Results support these ideas, and underscore the importance of differentiating between habits resulting from frequently acting and frequently not acting."</t>
  </si>
  <si>
    <t>Can behaviorial economics save coral reefs and fisheries?</t>
  </si>
  <si>
    <t>Buy Your Way Out Of Your Carbon Footprint With A Credit Card That Saves Trees With Every Purchase</t>
  </si>
  <si>
    <t xml:space="preserve">Ordinary - Provide positive social proof </t>
  </si>
  <si>
    <t>Consumption - Plastics</t>
  </si>
  <si>
    <t xml:space="preserve">Offsetting carbon immissions through a green credit card-- planting trees-- incentive: reduced guilt </t>
  </si>
  <si>
    <t>Exploring Beliefs About Bottled Water and Intentions to Reduce Consumption: The Dual-Effect of Social Norm Activation and Persuasive Information</t>
  </si>
  <si>
    <t>Van der Linden, S.</t>
  </si>
  <si>
    <t xml:space="preserve">Mass consumption of bottled water is contributing to a multitude of environmental problems, including water wastage, pollution, and climate change. The aim of this study is to advance a social-psychological understanding of how to effectively reduce bottled water consumption. An online survey experiment was conducted among students of a Dutch public university to explore outcome beliefs about drinking less bottled water while testing three strategies for behavioral change. Respondents (N = 454) were randomly allocated to four different conditions (an information-only, social norm-only, a combination of both, or a control group). It was hypothesized that the combination (i.e., norm-induced information provision) would be most persuasive and elicit the greatest reduction in intentions to buy bottled water. Results were consistent with this hypothesis. Findings also show that while beliefs about health, taste, water quality, lifestyle, the environment, and perceived alternatives are all correlated with bottled water consumption, belief strength varies significantly based on rate of consumption. </t>
  </si>
  <si>
    <t>Buy Your Way Out of Your Carbon Footprint with a Credit Card http://ow.ly/OLFU8  #green #identity</t>
  </si>
  <si>
    <t>The impact of vivid and relatable messages on reducing energy consumption related to hot water use</t>
  </si>
  <si>
    <t xml:space="preserve">Bailey, J. O., Bailenson, J. N., Flora, J., Armel, K. C., Voelker, D., &amp; Reeves, B. </t>
  </si>
  <si>
    <t>Research suggests that vivid and personalized interventions influence proenvironmental attitudes and behaviors. Through the use of immersive virtual environment technology, people can experience vivid environmental scenarios that are personalized to the individual. An experiment was conducted to investigate the impact of vivid and/or personal messages on energy savings behavior related to hot water use. Participants experienced a virtual shower in which they received feedback (varying in vividness and/ or personalization) on the amount of energy used to heat and transport the virtual water. Participants’ hot water use during hand washing in the physical world was tracked before and after treatment. Participants exposed to vivid messages used cooler water compared with not vivid messages. There was no significant effect for personal messages and no interaction effect. The results suggest that technology that leverages vividness may be effective in promoting proenvironmental behaviors.</t>
  </si>
  <si>
    <t>https://vhil.stanford.edu/pubs/2014/bailey-eb-vivid-messages.pdf</t>
  </si>
  <si>
    <t>Innovative Black Carbon Certificates Fuel Traditional Cookstove Replacement</t>
  </si>
  <si>
    <t>Easy, Identity</t>
  </si>
  <si>
    <t>David Widger</t>
  </si>
  <si>
    <t>2, 6</t>
  </si>
  <si>
    <t xml:space="preserve">Benefits of black carbon certificate </t>
  </si>
  <si>
    <t>Consumption - Energy, Waste management - Recycling and Reuse</t>
  </si>
  <si>
    <t xml:space="preserve">Environmental sustainability and behavioral science: meta-analysis of proenvironmental behavior experiments </t>
  </si>
  <si>
    <t>Osbaldiston, R., &amp; Schott, J. P. </t>
  </si>
  <si>
    <t>To provide practitioners with useful information about how to promote pro-environmental behavior (PEB), a meta-analysis was performed on 87 published reports containing 253 experimental treatments that measured an observed, not self-reported, behavioral outcome. Most studies combined multiple treatments, and this confounding precluded definitive conclusions about which individual treatments are most effective.  Treatments that included cognitive dissonance, goal setting, social modeling, and prompts provided the overall largest effect sizes (Hedge’s g&gt; 0.60).  Further analyses indicated that different treatments have been more effective for certain behaviors. Although average effect sizes are based on small numbers of studies, effective combinations of treatments and behaviors are making it easy to recycle, setting goals for conserving gasoline, and modeling home energy con-servation. The results also reveal several gaps in the literature that should guide further research, including both treatments and PEB that have not been tested.</t>
  </si>
  <si>
    <t>"Black carbon certificates have the potential to generate even greater benefits than carbon credits alone: http://ow.ly/P0JqD " @DWIGDER</t>
  </si>
  <si>
    <t>Waste Management - Garbage</t>
  </si>
  <si>
    <t>Food - Animal product consumption</t>
  </si>
  <si>
    <t>Trending: Schemes in NYC, South Korea Helping Business, Residents Eliminate Waste</t>
  </si>
  <si>
    <t>Hannah Furlong</t>
  </si>
  <si>
    <t>Motivating Sustainable Food Choices: The Role of Nudges, Value Orientation, and Information Provision</t>
  </si>
  <si>
    <t>Campbell-Arvai, V., Arvai, J. &amp; Kalof, L.</t>
  </si>
  <si>
    <t>different waste reduction methods in NYC and South Korea</t>
  </si>
  <si>
    <t>Small, everyday changes in people’s behavior can have significant positive environmental impacts. To this end, the research reported here focused on the role of an asymmetric intervention (a “nudge”) in motivating choices with positive environmental outcomes. The context of this research was motivating proenvironmental food choice in campus dining halls. An experiment was conducted in which a default menu, presenting only appealing or unappealing meat-free meal options, was compared with more conventional menu configurations. The use of a default menu increased the probability that study participants would choose a meat-free meal option, and this probability increased when appealing default meal options were provided. Neither the provision of information on the menus nor the proenvironmental value orientation and worldview of participants contributed to the logistic model. These results suggest that default-based interventions can be important tools in motivating proenvironmental behavior and can serve to complement information and education efforts over the long term.</t>
  </si>
  <si>
    <t>http://eab.sagepub.com/content/early/2012/12/11/0013916512469099</t>
  </si>
  <si>
    <t xml:space="preserve">South Korea's waste reduction efforts now incuding taxing waste by the bag! Does it work? Find out here: </t>
  </si>
  <si>
    <t>Food choice = vegetarian</t>
  </si>
  <si>
    <t>What Behavioral Science Has to Say About Energy Conservation</t>
  </si>
  <si>
    <t>Hunt Allcott</t>
  </si>
  <si>
    <t>Resources for the Future: Policy commentary series</t>
  </si>
  <si>
    <t>Self-presentational barriers to resource conservation</t>
  </si>
  <si>
    <t>Sadalla, E. K., &amp; Krull, J. L.</t>
  </si>
  <si>
    <t>Energy efficiency depends not only on the availability of energy efficient technologies, but also whether people adopt them and how they are used. New research shows that energy conservation programs motivated by behavioral science are relatively cost effective. "Such analysis shows that OPOWER’s reports prompt households to reduce energy use by about two percent, depending on the program’s location, frequency, and duration."</t>
  </si>
  <si>
    <t>Four experiments examined the attributional consequences of engaging in conservation-oriented behavior. Based on symbolic interactionist and self-presentational theory, it was hypothesized that behaviors associated with resource conservation would tend to affect the perceived status of the performer and would lead to systematic attributions regarding the performers identity. In the three initial experiments, each manipulating a different conservation behavior, subjects were asked to judge the identity of a target person based on a description of the targets activities. Results indicated that stereotypes regarding the identity of people who engaged in the manipulated conservation-oriented behaviors were widely shared. Further, the performance of these particular energy conservation behaviors was found to stigmatize the target by lowering the target's perceived status and by negatively influencing other dimensions of identity. A final study explored the perceived appropriateness of engaging in particular conservationist activities given specific self-presentational concerns. The data revealed considerable inter subject agreement as to the appropriateness of such behavior in situations in which the goal is to convey a specific image of the self to a social audience. The research suggests that the self-presentational connotations of conservation-oriented activities may be important determinants of their performance.</t>
  </si>
  <si>
    <t>What #BehavioralScience Has to Say About #Energy #Conservation http://ow.ly/TYL35 </t>
  </si>
  <si>
    <t>Feelings for the suffering of others and the environment compassion fosters proenvironmental tendencies</t>
  </si>
  <si>
    <t>Pfattheicher, S., Sassenrath, C., &amp; Schindler, S.</t>
  </si>
  <si>
    <t>Emphasizing co-benefits motivates people to take action on climate change</t>
  </si>
  <si>
    <t>John Abraham</t>
  </si>
  <si>
    <t>Recent research has shown that compassionate feelings for the suffering environment promote conservation of nature. We extend this notion and relate compassion for suffering humans to proenvironmental tendencies. The proposed relation should hold true as compassion elicits moral actions and judgments across different moral domains which should also be applicable to the environment. Therefore, we expect compassion for other humans to relate positively to proenvironmental tendencies. Two studies were conducted to test this assumption. Study 1 included three independent samples (final N = 2,096) and several measures of proenvironmental tendencies. Results revealed that compassion was indeed positively related to proenvironmental values, proenvironmental intentions, and reported donations to nature or environmental organizations. In Study 2, we experimentally tested and found a causal path between compassion for humans and proenvironmental intentions. Implications for climate change and protection of nature are discussed.</t>
  </si>
  <si>
    <t>The effect of empathy in environmental moral reasoning</t>
  </si>
  <si>
    <t>Berenguer, J.</t>
  </si>
  <si>
    <t>Based on Batson’s Model of Altruism, in the present work it is argued that moral reasoning about the environment (number of moral reasons given for pro-environmental behaviors) can be improved by manipulating the emotion of empathy. It is also argued that the argument of moral reasoning will be different depending on whether the object of empathy is a natural object (vulture) or a human being (young man). The present work reports a study using a factorial design (2x2) with control group on the relationship between empathy level (high or low), empathy object (vulture or young man) and moral reasoning about ecological dilemmas. The reasoning was evaluated using four different ecological moral dilemmas, with responses coded in three categories (anthropocentric, ecocentric and nonvenvironmental). The results of the study indicate that participants who showed a high empathy level provided more arguments of moral reasoning than those in the low empathy group. When the object of empathy was a vulture the number of moral arguments of an ecocentric nature increased; when it was a young man the number of moral arguments of an anthropocentric nature increased.</t>
  </si>
  <si>
    <t xml:space="preserve">co-benefits win people over to climate action </t>
  </si>
  <si>
    <t>The Effect of Empathy in Proenvironmental Attitudes and Behaviors</t>
  </si>
  <si>
    <t>Previous studies have pointed out the importance of empathy in improving attitudes toward stigmatized groups and toward the environment. In the present article, it is argued that environmental behaviors and attitudes can be improved using empathic perspective-taking for inducing empathy. Based on Batson’s Model of Altruism, it was predicted that higher levels of empathy would improve environmental attitudes and behaviors. It was also predicted that a causal model could be established between empathy and environmental attitudes and behaviors. A study using a factorial design (2 × 2) is reported on the relationship between empathy level (high or low), natural object viewed (bird or tree), and environmental attitudes and behaviors. The results of this study indicate that participants who showed a high empathy level displayed stronger environmental behaviors and attitudes. Additionally, a path analysis shows the moderating effects of evoking empathy for a natural object (bird or tree) on willingness to act in a way that protects the environment (attitudes and behaviors).</t>
  </si>
  <si>
    <t>Placing emphasis on co-benefits of #climateaction sees the highest rates of participation. Make things #rewarding!</t>
  </si>
  <si>
    <t xml:space="preserve">Awareness - Create opportunities for the audience to connect with nature </t>
  </si>
  <si>
    <t>Human health - go into nature</t>
  </si>
  <si>
    <t>This Genius Machine Feeds Stray Dogs in Exchange for Recycled Bottles</t>
  </si>
  <si>
    <t>Psychological restoration in nature as a positive motivation for ecological behavior</t>
  </si>
  <si>
    <t>Hartig, T., Kaiser, F. G., &amp; Bowler, P. A.</t>
  </si>
  <si>
    <t>make it easy; overcoming barriers, habits</t>
  </si>
  <si>
    <t>Shifting the focus from fear, guilt, and indignation related to deteriorating environmental quality, the authors hypothesized that people who see greater potential for restorative experiences in natural environments also do more to protect them by behaving ecologically, as with recycling or reduced driving. University students (N = 488) rated a familiar freshwater marsh in terms of being away, fascination, coherence, and compatibility, qualities of restorative person-environment transactions described in attention restoration theory. They also reported on their performance of various ecological behaviors. The authors tested a structural equation model with data from a randomly drawn subset of participants and then confirmed it with the data from a second subset. For the combined subsets, perceptions of the restorative qualities predicted 23% of the variance in general ecological behavior. As the only direct predictor, fascination mediated the influences of coherence, being away, and compatibility.</t>
  </si>
  <si>
    <t xml:space="preserve">Lasting - Temporarily reward habit forming behaviors  </t>
  </si>
  <si>
    <t xml:space="preserve">This Genius Machine Feeds Stray Dogs In Exchange For #Recycled Bottles http://ow.ly/WmlHr </t>
  </si>
  <si>
    <t>Is a Residential Relocation a Good Opportunity to Change People’s Travel Behavior? Results From a Theory-Driven Intervention Study</t>
  </si>
  <si>
    <t>Bamberg, S.</t>
  </si>
  <si>
    <t>This article presents an experimental, theory-driven evaluation of the effectiveness of an intervention that combines a free public transportation ticket and personal schedule information on the subsequent use of public transportation in an urban area. The time point when participants received this intervention is unusual. It was delivered to them shortly after a residential relocation. It is assumed that such a situation increases people’s responsiveness to the intervention. At their new living place, the intervention group shows a strong increase in public transportation use. The intervention effect on the individual choice process is modeled via Ajzen’s theory of planned behavior. Besides a main effect on intention, results indicate interactions between the intervention and the change intention existing prior to the move and higher objective public transport service quality after the move.</t>
  </si>
  <si>
    <t>Africa, Central and South America, Asia</t>
  </si>
  <si>
    <t>43, 45, 42</t>
  </si>
  <si>
    <t>Greening Building Design with the Click of a Mouse</t>
  </si>
  <si>
    <t>The World Bank</t>
  </si>
  <si>
    <t>A new online tool created by the IFC is helping developers and homeowners find the most efficient ways to reduce a building’s energy and water use and lower its greenhouse gas emissions</t>
  </si>
  <si>
    <t>"This article presents an experimental, theory-driven evaluation of the effectiveness of an intervention that combines a free public transportation ticket and personal schedule information on the subsequent use of public transportation in an urban area"</t>
  </si>
  <si>
    <t xml:space="preserve">Yes! </t>
  </si>
  <si>
    <t>EDGE green building program is trying to change the way people think about and value green buildings http://ow.ly/Pa6S3  #gogreen</t>
  </si>
  <si>
    <t xml:space="preserve">Associations, Ordinary </t>
  </si>
  <si>
    <t>4, 7</t>
  </si>
  <si>
    <t>Waste Management - Composting</t>
  </si>
  <si>
    <t>Factors influencing environmental attitudes and behaviors a UK case study of household waste management</t>
  </si>
  <si>
    <t>Barr, S.</t>
  </si>
  <si>
    <t>Environment and behavior</t>
  </si>
  <si>
    <t>Three waste management behaviors (waste reduction, reuse, and recycling) were examined with the use of a conceptual framework developed by the author. It was posited that environmental values, situational characteristics, and psychological factors all play a significant role in the prediction of waste management behavior, within the context of a core intention-behavior relationship. The framework was tested in a self-report questionnaire of 673 residents of Exeter, UK. It was found that the predictors of reduction, reuse, and recycling behavior differed significantly, with reduction and reuse being predicted by underlying environmental values, knowledge, and concern-based variables. Recycling behavior was, in contrast, characterized as highly normative behavior. The use of the approach taken for investigating other environmental behaviors is examined.</t>
  </si>
  <si>
    <t>Seattle to Shame Residents for Throwing Away Food</t>
  </si>
  <si>
    <t>Sara Bernard</t>
  </si>
  <si>
    <t>This summer, Seattle plans to begin fining residents for putting compostable food in the trash can. Until this policy is implemented in July, the punishment for throwing away food will be public shaming: "Those who refuse to separate their garbage will find their bins tagged with a red sign for all to see. The hope is that the tags will help serve as both a warning as well as an incentive to make composting a habit."</t>
  </si>
  <si>
    <t>Easy - Design information to be easy to understand and execute
Design information to be easy to understand and execute
Design information to be easy to understand and execute
</t>
  </si>
  <si>
    <t>It matters a hole lot: Perceptual affordances of waste containers influence recycling compliance</t>
  </si>
  <si>
    <t>Duffy, S., &amp; Verges, M.</t>
  </si>
  <si>
    <t>This article examines whether specialized lids on waste receptacles affect recycling compliance in public settings. Thirty waste receptacles were assigned to a lids-present and lids-absent condition, and the number of recyclable items found in recycling and waste bins served as the dependent measure. Results indicated the presence of specialized recycling container lids increased the beverage-recycling rate by 34%, which suggests that perceptual affordances of specialized container lids improve recycling compliance. Possible underlying mechanisms and implications for institutions seeking to promote recycling as an environmentally responsible behavior are discussed.</t>
  </si>
  <si>
    <t>http://media.cbsm.com/uploads/1/ItMattersaHoleLot.pdf</t>
  </si>
  <si>
    <t>It Matters a Hole Lot (&lt;- clever title!) Perceptual Affordances of Waste Containers Influence #Recycling Compliance http://ow.ly/X5xtw</t>
  </si>
  <si>
    <t>Could "Green Nudges" Be Enough to Push Us in a Better Direction?</t>
  </si>
  <si>
    <t>Tom Szaky</t>
  </si>
  <si>
    <t>treehugger</t>
  </si>
  <si>
    <t>The effects of public commitment and group feedback on curbside recycling</t>
  </si>
  <si>
    <t>Nudging</t>
  </si>
  <si>
    <t>De Leon, I. G., &amp; Fuqua, R. W.</t>
  </si>
  <si>
    <t>This study examined the effects of three community interventions that rely on socially mediated consequences, rather than financial incentives, to promote consumer recycling. Households in the commitment-only group signed a letter making a public commitment to recycle and giving permission to publish their names in a local newspaper. The feedback-only group received weekly feedback on pounds of recyclable paper generated by their group. A combined-intervention group received a combination of the two previous interventions. Relative to baseline, the feedback-only and the combined-intervention groups increased the weight of recyclable paper by 25.47% and 40.00%, respectively. In contrast, neither the commitment-only group nor a no-intervention control group showed substantial changes over the same period. The implications of these interventions for developing community-wide recycling programs are discussed.</t>
  </si>
  <si>
    <t>http://eab.sagepub.com/content/27/2/233.short</t>
  </si>
  <si>
    <t>Commitments to recycling</t>
  </si>
  <si>
    <t>Consistent = Yes; Feedback = Yes</t>
  </si>
  <si>
    <t>The Effects of Public Commitment and Group Feedback on Curbside Recycling http://ow.ly/Xs6mv</t>
  </si>
  <si>
    <t xml:space="preserve">Could "Green Nudges" Be Enough to Push Us in a Better Direction? http://ow.ly/WMPGf #recycle #environment #nudge </t>
  </si>
  <si>
    <t>Recycling as a Reflection of Balanced Self-Interest A Test of the Metaeconomics Approach</t>
  </si>
  <si>
    <t>Kalinowski, C. M., Lynne, G. D., &amp; Johnson, B.</t>
  </si>
  <si>
    <t>Tundi's Take: Marketing conservation: ocean-serving, or self-serving?</t>
  </si>
  <si>
    <t>Tundi Agardy</t>
  </si>
  <si>
    <t>Traditional economic policy focuses on reducing the costs and effort of recycling and on building markets for products with recycle content. At the other end of the policy spectrum, ordinances mandating recycling are the policy approach. This article takes an alternative “metaeconomics” approach and suggests a “third way.” It is premised on the possibility that individuals who recycle and those who do not are jointly motivated by financial-based recycling incentives in the self-interest and by the sense of wanting to “do the right thing” in the pursuit of an other-interest. The latter involves true self-sacrifice represented in altruism. The statistical analysis suggests that the probability of an individual being a recycler is determined by the extent to which recycling is important, but in conjunction with an orientation away from favoring just the self-interest. In addition, individuals who recycle are more willing to support a recycling ordinance.</t>
  </si>
  <si>
    <t>Marine Ecosystems and Management (MEAM)</t>
  </si>
  <si>
    <t>Tundi analyzes the effectiveness of ocean conservation organizations and whether or not they are using their funds to actually help prevent ocean decline, or if the majority of it is going to advertising.  She also goes into how most of the marketing is not towards the individual, but rather towards donors and supporters.; Marketing; Commentary about need for interventions in the environment</t>
  </si>
  <si>
    <t>Waste management - Composting</t>
  </si>
  <si>
    <t>Be the Change You Want to See: Modeling Food Composting in Public Places</t>
  </si>
  <si>
    <t>Sussman, R., &amp; Gifford, R.</t>
  </si>
  <si>
    <t>Composting biodegradable material is an effective means of reducing landfill waste and improving the state of the environment. To encourage the use of public compost bins, two interventions were introduced in community shopping center food courts and a local, independently owned fast food restaurant: tabletop signs outlining the benefits of composting and models who demonstrated the behavior. When diners (n = 540) viewed confederate models composting ahead of them, they were more likely to compost as well (p &lt; .001). However, the signs did not significantly influence composting rates, either alone (p &gt; .05) or in combination with the models (p &gt; .05). Results support the idea that proenvironmental actions can influence similar behavior in others and may be more effective than signage in doing so.</t>
  </si>
  <si>
    <t>http://eab.sagepub.com/cgi/doi/10.1177/0013916511431274</t>
  </si>
  <si>
    <t>Sea turtle preservation</t>
  </si>
  <si>
    <t>To encourage the composting, 2 interventions were introduced in food courts and a fast food restaurant RESULTS: http://ow.ly/X5y7B</t>
  </si>
  <si>
    <t>Ordinary, Relatable</t>
  </si>
  <si>
    <t>7, 8</t>
  </si>
  <si>
    <t xml:space="preserve">Relatable - Connect at a local level, Ordinary - Call attention to society's expectations </t>
  </si>
  <si>
    <t>802, 701</t>
  </si>
  <si>
    <t>Waste management - Littering</t>
  </si>
  <si>
    <t>Shame and Embarrassment as Deterrents to Noncompliance with the Law: The Case of an Antilittering Campaign</t>
  </si>
  <si>
    <t>Grasmick, H. G., Bursik, R. J., &amp; Kinsey, K. A.</t>
  </si>
  <si>
    <t xml:space="preserve">The present research draws from theories in criminology which suggest that threats of shame, a self-imposed punishment, and threats of embarrassment, a socially imposed punishment, function much like threats of state-imposed legal sanctions to reduce the expected utility of illegal behavior and, thus, to increase the likelihood of compliance with the law. Antilittering campaigns that appeal to citizens' conscience or sense of community pride are attempts to increase the threats of shame and embarrassment for littering. The antilittering campaign in Oklahoma is such an appeal. A sample of residents of Oklahoma City was interviewed in 1982, five years prior to the initiation of that campaign. Another sample was interviewed in 1989, two years after the campaign began. In 1982, 39% of the respondents indicated they probably would litter in the future, compared to 31% in 1989. In 1982, only 37% strongly agreed that they would feel guilty if they littered, compared to 67% in 1989. Likewise, in 1982, only 8% believed they definitely would lose the respect of others if they littered, compared to 21% in 1989. </t>
  </si>
  <si>
    <t>http://eab.sagepub.com/cgi/doi/10.1177/0013916591232006</t>
  </si>
  <si>
    <t>Normal = Yes; Resonate = No; Relatable = No</t>
  </si>
  <si>
    <t>Normal = No; Relatable = No; Resonate = No</t>
  </si>
  <si>
    <t>Shame and Embarrassment as Deterrents to Noncompliance with the Law The Case of an Antilittering Campaign http://ow.ly/XqxBw 🚮🚮🚮</t>
  </si>
  <si>
    <t xml:space="preserve">7 Clever and Innovative Ways to Get People to Recycle </t>
  </si>
  <si>
    <t xml:space="preserve">Alden Wicker </t>
  </si>
  <si>
    <t xml:space="preserve">Tons of great ideas related to our interventions </t>
  </si>
  <si>
    <t>Waste management, Whole system</t>
  </si>
  <si>
    <t>21000, 22000</t>
  </si>
  <si>
    <t>Waste management - Recycling and reuse, Waste management - Hazardous waste,  Whole system - Ecosystem/Conservation</t>
  </si>
  <si>
    <t>Commitment and Behavior Change: A Meta-Analysis and Critical Review of Commitment- Making Strategies in Environmental Research</t>
  </si>
  <si>
    <t>Lokhorst, A. M., Werner, C., Staats, H., van Dijk, E., &amp; Gale, J. </t>
  </si>
  <si>
    <t>Commitment making is commonly regarded as an effective way to promote pro-environmental behaviors. The general idea is that when people commit to a certain behavior, they adhere to their commitment, and this produces long-term behavior change. Although this idea seems promising, the results are mixed. In the current article, the authors investigate whether and why commitment is effective. To do so, the authors first present a meta-analysis of environmental studies containing a commitment manipulation. Then, the authors investigate the psychological constructs that possibly underlie the commitment effect. They conclude that commitment making indeed leads to behavior change in the short- and long term, especially when compared with control conditions. However, a better understanding is needed of the possible underlying mechanisms that guide the commitment effect. The authors see commitment making as a potentially useful technique that could be improved by following up on findings from fundamental research. They provide suggestions for future research and recommendations for improving the effectiveness of commitment-making techniques.</t>
  </si>
  <si>
    <t>http://eab.sagepub.com/content/early/2011/06/06/0013916511411477</t>
  </si>
  <si>
    <t>Identity, Relatable</t>
  </si>
  <si>
    <t>6, 8</t>
  </si>
  <si>
    <t xml:space="preserve">Identity - Ask for a commitment, Relatable - Link it to personal experience </t>
  </si>
  <si>
    <t>602, 801</t>
  </si>
  <si>
    <t>Whole system, Wildlife</t>
  </si>
  <si>
    <t>22000, 23000</t>
  </si>
  <si>
    <t>Whole system - Ecosystem/Conservation, Wildlife - Conservation</t>
  </si>
  <si>
    <t>Climate - Mitigations</t>
  </si>
  <si>
    <t>Behavioral Commitment to Environmental Protection: A Study of Active and Nonactive Members of the Sierra Club</t>
  </si>
  <si>
    <t>Manzo, L. C., &amp; Weinstein, N. D.</t>
  </si>
  <si>
    <t>3 Steps to Decarbonizing Development for a Zero-Carbon Future</t>
  </si>
  <si>
    <t>Showcases 3 steps to helping create a zero-carbon future.</t>
  </si>
  <si>
    <t>This investigation explored the factors that produce a significant behavioral commitment to environmental protection. Interviews were conducted with members of the Sierra Club: 47 who were active in Club activities and 46 who were not active. The variables for which significant between-group differences were found include: Club-related friendships, values, perceptions of the efficacy of citizen action, feeling personally harmed by an environmental problem, political orientation, and activity in other organizations. A number of other plausible hypotheses about differences between the groups were not confirmed. The results are discussed in terms of two explanations for involvement: differences between the groups existing prior to membership and differences in experiences after becoming members. The present data tend to suggest that the latter may be more important than the former.</t>
  </si>
  <si>
    <t xml:space="preserve">Relatable - Relate it to a personal experience </t>
  </si>
  <si>
    <t>Understanding Farmer Perspectives on Climate Change Adaptation and Mitigation: The Roles of Trust in Sources of Climate Information, Climate Change Beliefs, and Perceived Risk</t>
  </si>
  <si>
    <t>Arbuckle, J. G., Jr, Morton, L. W., &amp; Hobbs, J.</t>
  </si>
  <si>
    <t xml:space="preserve">Environment and behavior </t>
  </si>
  <si>
    <t xml:space="preserve">RT @wbclimatechange:A zero-carbon future is possible &amp; affordable. 3 key steps: http://ow.ly/OU24C  #climateaction </t>
  </si>
  <si>
    <t>Efficiencies in behavior</t>
  </si>
  <si>
    <t>Agriculture is vulnerable to climate change and a source of greenhouse gases (GHGs). Farmers face pressures to adjust agricultural systems to make them more resilient in the face of increasingly variable weather (adaptation) and reduce GHG production (mitigation). This research examines relationships between Iowa farmers’ trust in environmental or agricultural interest groups as sources of climate information, climate change beliefs, perceived climate risks to agriculture, and support for adaptation and mitigation responses. Results indicate that beliefs varied with trust, and beliefs in turn had a significant direct effect on perceived risks from climate change. Support for adaptation varied with perceived risks, while attitudes toward GHG reduction (mitigation) were associated predominantly with variation in beliefs. Most farmers were supportive of adaptation responses, but few endorsed GHG reduction, suggesting that outreach should focus on interventions that have adaptive and mitigative properties (e.g., reduced tillage, improved fertilizer management).</t>
  </si>
  <si>
    <t>http://eab.sagepub.com/content/47/2/205</t>
  </si>
  <si>
    <t>New Report Offers Advice on Selling Sustainability, But Is it Right?</t>
  </si>
  <si>
    <t>Raz Godelnik</t>
  </si>
  <si>
    <t>Resonate = Yes; Relatable = No</t>
  </si>
  <si>
    <t>Resonate = No; Relatable = No</t>
  </si>
  <si>
    <t>Whole</t>
  </si>
  <si>
    <t>Whole system - Ecosystem/Conservation</t>
  </si>
  <si>
    <t>The Effect of Empathy in Proenvironmental Attitudes and Behaviors. Environment and Behavior</t>
  </si>
  <si>
    <t xml:space="preserve">Environment and Behavior </t>
  </si>
  <si>
    <t>Why is selling #sustainability so difficult? http://ow.ly/OsKSB  Asking "What's in it for the #consumer?" #marketing</t>
  </si>
  <si>
    <t>Benefits, Hopeful</t>
  </si>
  <si>
    <t>1, 3</t>
  </si>
  <si>
    <t>Virgin Atlantic just used behavioral science to 'nudge' its pilots into using less fuel. It worked.</t>
  </si>
  <si>
    <t>https://www.washingtonpost.com/news/energy-environment/wp/2016/06/22/virgin-atlantic-just-used-behavioral-science-to-nudge-its-pilots-into-saving-lots-of-fuel/</t>
  </si>
  <si>
    <t>Benefits - Offer positive and negative reinforcement, Hopeful - Feedback</t>
  </si>
  <si>
    <t>Vivid - Make the message memorable</t>
  </si>
  <si>
    <t>1, 3, 7</t>
  </si>
  <si>
    <t>A Widening Gap: Republican and Democratic Views on Climate Change</t>
  </si>
  <si>
    <t>Dunlap, R. E., &amp; Mccright, A. M.</t>
  </si>
  <si>
    <t>Tools of Change</t>
  </si>
  <si>
    <t>Environment: Science and Policy for Sustainable Development</t>
  </si>
  <si>
    <t>This comprehensive, long-term approach combines education, training, behavior change and goal setting with progress tracking, recognition and continuous improvement to reduce energy use in schools, hospitals and other institutional settings.</t>
  </si>
  <si>
    <t>Environmental justice</t>
  </si>
  <si>
    <t>Communicating Climate Change: Why Frames Matter for Public Engagement</t>
  </si>
  <si>
    <t>Nisbet, M. C.</t>
  </si>
  <si>
    <t>Framing</t>
  </si>
  <si>
    <t xml:space="preserve">Yes - look for more sources here </t>
  </si>
  <si>
    <t>Can Defaults Save the Climate? Evidence from a Field Experiment on Carbon Offsetting Programs</t>
  </si>
  <si>
    <t>Araña, J. E., &amp; León, C. J.</t>
  </si>
  <si>
    <t>Environmental and Resource Economics</t>
  </si>
  <si>
    <t>Individual preferences for environmental policies can be influenced by the frame in which choices and decisions are presented. In this paper we present results of a field experiment on the contributions to carbon offsetting programs under two alternative treatments for the default option. The opt-in treatment asked subjects to pay for the policy proposal while the opt-out treatment asked subjects if they wanted to be excluded from payment for the policy proposal. The results show that the frame of the default option had a significant effect on the amount of money paid for the policy proposal. Subjects were more likely to accept the policy proposal if the default option was the opt-out treatment. The results have implications for the design of environmental policies.</t>
  </si>
  <si>
    <t>http://link.springer.com/article/10.1007%2Fs10640-012-9615-x#/page-1</t>
  </si>
  <si>
    <t>offsetting compensation</t>
  </si>
  <si>
    <t>Pollution - Toxins, Pollution - Water</t>
  </si>
  <si>
    <t>Overreaction to Fearsome Risks</t>
  </si>
  <si>
    <t>Sunstein, C. R., &amp; Zeckhauser, R.</t>
  </si>
  <si>
    <t xml:space="preserve">Environmental and Resource Economics </t>
  </si>
  <si>
    <t>When risks threaten, cognitive mechanisms bias people toward action or inaction. Fearsome risks are highly available. The availability bias tells us that this leads people to overestimate their frequency. Therefore, they also overreact to curtail the likelihood or con- sequences of such risks. More generally, fear can paralyze efforts to think clearly about risks. We draw on a range of environmental risks to show the following: (1) Fear leads us to neglect probability of occurrence; (2) As fearsome environmental risks are usually imposed by others (as externalities), indignation stirs excess reaction; (3) We often misperceive or miscalcu- late such risks. Two experiments demonstrate probability neglect when fearsome risks arise: (a) willingness-to-pay to eliminate the cancer risk from arsenic in water (described in vivid terms) did not vary despite a 10-fold variation in risk; (b) the willingness-to-accept price for a painful but non dangerous electric shock did not vary between a 1 and 100% chance. Pos- sible explanations relate to the role of the amygdala in impairing cognitive brain function. Government and the law, both made by mortals and both responding to public pressures, similarly neglect probabilities for fearsome risks. Examples relating to shark attacks, Love Canal, alar and terrorism are discussed.</t>
  </si>
  <si>
    <t>Apple just found a powerful new way to make people care about the planet</t>
  </si>
  <si>
    <t>Gamification of climate change concepts</t>
  </si>
  <si>
    <t>,An unlikely pair: video games &amp; climate change. @Apple is using video games to raise environmental awareness!</t>
  </si>
  <si>
    <t>Money Versus Morals: Why Economic Rewards Trump Polite Messaging in Efficiency</t>
  </si>
  <si>
    <t>The Effectiveness of Feedback on Energy Consumption: A review for DEFRA of the literature on metering, billing and direct displays</t>
  </si>
  <si>
    <t>Stephen Lacey</t>
  </si>
  <si>
    <t>Darby, S.</t>
  </si>
  <si>
    <t>The Energy Collective</t>
  </si>
  <si>
    <t>Environmental Change Institute</t>
  </si>
  <si>
    <t>A recent study from Japan shows that moral-based messaging--polite reminders about the importance of saving energy--may promote energy savings in the short term. But to get long-term results, helping people save money by altering their energy usage may be more effective; behavior</t>
  </si>
  <si>
    <t>Most domestic energy use, most of the time, is invisible to the user. Most people have only a vague idea of how much energy they are using for different purposes and what sort of difference they could make by changing day-to-day behaviour or investing in efficiency measures. Hence the importance of feedback in making energy more visible and more amenable to understanding and control. This review considers what is known about the effectiveness of feedback to householders. The focus is on how people change their behaviour, not on the detail of the technology used. There is considerable variety in the feedback literature, but common themes emerge. The first studies, in the 1970s, established that feedback (mostly via display monitors) has measurable effects and was worth pursuing, on its own or in combination with other processes. Feedback came to be seen in terms of a learning tool, allowing energy users to teach themselves through experimentation. Overall, the literature demonstrates that clear feedback is a necessary element in learning how to control fuel use more effectively over a long period of time and that instantaneous direct feedback in combination with frequent, accurate billing (a form of indirect feedback) is needed as a basis for sustained demand reduction. Thus feedback is useful on its own, as a selfteaching tool. It is also clear that it improves the effectiveness of other information and advice in achieving better understanding and control of energy use.</t>
  </si>
  <si>
    <t>http://www.eci.ox.ac.uk/research/energy/downloads/smart-metering-report.pdf</t>
  </si>
  <si>
    <t>Money vs morals" which inspires you to save energy?</t>
  </si>
  <si>
    <t>Climate- Belef</t>
  </si>
  <si>
    <t xml:space="preserve">Why it matters how we frame the environment </t>
  </si>
  <si>
    <t>Environmental Communication</t>
  </si>
  <si>
    <t>Hopeful - Empower the audience</t>
  </si>
  <si>
    <t>Environmental policy, Energy</t>
  </si>
  <si>
    <t>6000, 4000</t>
  </si>
  <si>
    <t>Environmental policy, Energy - Non-renewables</t>
  </si>
  <si>
    <t>Benefits, Ordinary, Relatable</t>
  </si>
  <si>
    <t>1, 7, 8</t>
  </si>
  <si>
    <t>Greenwashing Consumption: The Didactic Framing of ExxonMobil's Energy Solutions</t>
  </si>
  <si>
    <t>Plec, E., &amp; Pettenger, M.</t>
  </si>
  <si>
    <t>Transforming the Climate Conversation Through Social Video</t>
  </si>
  <si>
    <t>Corporate advertising campaigns increasingly use environmental frames to promote their products and processes, many of which are neither sustainable nor environmentally friendly. This study examines ExxonMobil's recent efforts at green advertising, focusing specifically on their widely aired “Energy Solutions” television advertisements. We argue that ExxonMobil's use of a didactic, greenwashed frame stifles criticism and discourages examination of ideologies of consumption by exploiting the ethos of the scientist and highlighting technological solutions to problems that are deeply tied to a culture of consumerism. The definition of green energy is controlled by those with the power to generate persuasive public messages about the sources and production of energy. Counterframes, however, can be employed to turn a questioning eye upon the solutions advanced by ExxonMobil. We issue a call for green frames that help citizens and consumers critically examine the ecological integrity of all means of energy production, and that call attention to the ways in which the greenwashing of research and development initiatives can dissuade necessary action, including reduction of US energy consumption.</t>
  </si>
  <si>
    <t>Transforming the Climate Conversation Through Social Video http://ow.ly/P0KnB </t>
  </si>
  <si>
    <t>Why it Matters How We Frame the Environment</t>
  </si>
  <si>
    <t xml:space="preserve">Environmental Communication: A Journal of Nature and Culture </t>
  </si>
  <si>
    <t>http://web.uri.edu/sustainability/files/Lakoff_Why-it-matters.pdf</t>
  </si>
  <si>
    <t xml:space="preserve">Yes -- for content </t>
  </si>
  <si>
    <t>Fundraising, Wildlife</t>
  </si>
  <si>
    <t>9000, 23000</t>
  </si>
  <si>
    <t>Fundraising, Wildlife - Conservation</t>
  </si>
  <si>
    <t>Evaluating the relative effectiveness of alternative conservation interventions in influencing stated behavioural intentions: The saiga antelope in Kalmykia (Russia)</t>
  </si>
  <si>
    <t xml:space="preserve">Howe, C., Medzhidov, R., &amp; Milner-Gulland, E. J. </t>
  </si>
  <si>
    <t>Environmental Conservation</t>
  </si>
  <si>
    <t>Evaluating the relative effectiveness of different conservation interventions is difficult and rarely undertaken. Conservation of the critically endangered saiga antelope in the Republic of Kalmykia (Russia) provides a unique experimental set-up that was used to disentangle this issue. This study uses the amount pledged for conservation, adapted from contingent valuation methods, as a measure of behavioural intention to contribute to saiga conservation, to evaluate conservation effectiveness. Semi-structured interviews were undertaken with 250 individuals in eight villages exposed to traditional ‘fences-and- fines’ conservation, livelihoods enhancement (social engagement) or low-level media coverage. The intervention employed had a direct effect on amount pledged for saiga conservation. Social engagement programmes decreased protest-bidding behaviour but resulted in low amounts pledged for saiga conservation. Those exposed to media coverage pledged the greatest amounts on average, whilst those exposed to traditional conservation had both a high level of protest bidding and low pledges from those who pledged something. The primary reason given for protest bids was that the government or international community should pay for conservation. This may be a relic from the Soviet era, and may explain low pledges for conservation under social engagement. Ecological knowledge strongly affected amount pledged. The results were influenced by cultural and demographic factors, including residence time, exposure to saigas, age, wealth and knowledge regarding conservation. This study is unusual in disentangling the effect of a conservation intervention from other factors, and proposes using amount pledged for conservation as a practical tool for evaluating the effectiveness of projects aimed at increasing awareness and promoting positive behavioural intentions towards conservation. It provides support for media awareness-raising as a successful conservation intervention.</t>
  </si>
  <si>
    <t xml:space="preserve">How can a letter increase sewer bill payments? </t>
  </si>
  <si>
    <t>Martin Sweeney and Owen Phillips</t>
  </si>
  <si>
    <t>The Behavioural Insights Team</t>
  </si>
  <si>
    <t>Sewer bills with courtesy letters raise the odds of users paying the bill on time by 5%</t>
  </si>
  <si>
    <t>Encouraging pro-environmental behaviour with rewards and penalties</t>
  </si>
  <si>
    <t>Bolderdijk, J. W., Lehman, P. K., &amp; Geller, E. S.</t>
  </si>
  <si>
    <t>Environmental psychology: An introduction</t>
  </si>
  <si>
    <t>Pollution - Air</t>
  </si>
  <si>
    <t>Psychological reactions to air pollution</t>
  </si>
  <si>
    <t xml:space="preserve">Evans, G. W., Colome, S. D., &amp; Shearer, D. F. </t>
  </si>
  <si>
    <t>Environmental Research</t>
  </si>
  <si>
    <t>This experiment found that attaching a courtesy letter to #water &amp; #energy bills nudged people to pay on time!</t>
  </si>
  <si>
    <t>Interviews with a large representative sample of Los Angeles residents reveal that these citizens are somewhat aware and concerned about air pollution, but not knowledgeable about its causes. Direct behaviors to reduce causes of pollution or one's exposure to it are rare. A moderate percentage of people seek out information about air pollution or complain about it. Fewer follow state health advisories by reducing automobile driving or restricting activity during air pollution episodes. Preliminary modeling of citizen compliance with air pollution health advisories suggests that Relatable beliefs about negative health effects are a important predictor of compliance. Finally, modest but significant relationships are noted between ambient photochemical oxidants and anxiety symptoms. The latter finding controls for age, socioeconomic status, and temperature.</t>
  </si>
  <si>
    <t>Responding to drought: Options for demand-side management</t>
  </si>
  <si>
    <t>Maven</t>
  </si>
  <si>
    <t>Maven's Notebook</t>
  </si>
  <si>
    <t>policy</t>
  </si>
  <si>
    <t>Relatable experience as a motivation for mitigation behavior</t>
  </si>
  <si>
    <t>Psychological reactions to air pollution http://ow.ly/Xs3Iy</t>
  </si>
  <si>
    <t>Vehicle maintenance</t>
  </si>
  <si>
    <t>How to make the unpopular popular? Policy characteristics, social norms and the acceptability of environmental policies</t>
  </si>
  <si>
    <t>de Groot, J. I. M., &amp; Schuitema, G.</t>
  </si>
  <si>
    <t>Environmental Science &amp; Policy</t>
  </si>
  <si>
    <t>The 6 P's...what's the most effective approach to get consumers to use less? http://ow.ly/OpTgY  #waterconsumption #CADrought</t>
  </si>
  <si>
    <t>This study examined how policy characteristics (i.e. push versus pull measure and high versus low cost behaviour targeted) and social norms (i.e. strong versus weak social norms) influence the acceptability of environmental policies. Results of a mixed 2 × 2 × 2 subjects design among 123 participants showed that pull measures were evaluated as more acceptable than push measures; and when environmental policies targeted high cost behaviour, participants evaluated policies as less acceptable than when low cost behaviour was targeted. Moreover, a main effect for social norms was found: when it was indicated that a minority instead of a majority of the public supported a policy, acceptability was lower. The results showed two interaction effects. That is, push measures were particularly perceived as unacceptable when: (1) they targeted high cost behaviour, and (2) when a weak social norm was experienced. When a push measure targeted low cost behaviour or when it was clear that the majority of people supported this policy, the environmental policy was almost as acceptable as pull measures. The results imply that push measures should be presented in the correct way to minimise public opposition as to make the unpopular popular.</t>
  </si>
  <si>
    <t>http://linkinghub.elsevier.com/retrieve/pii/S146290111200041X</t>
  </si>
  <si>
    <t>What's in it for me?</t>
  </si>
  <si>
    <t>Natasha Perkins</t>
  </si>
  <si>
    <t>How to make the unpopular popular? Policy qualities, social norms and the acceptability of #environmental policies http://ow.ly/XnJoQ</t>
  </si>
  <si>
    <t>Futerra</t>
  </si>
  <si>
    <t>Consumption and Waste</t>
  </si>
  <si>
    <t>Subjective Judgments by Climate Experts</t>
  </si>
  <si>
    <t>Morgan, M. G., &amp; Keith D. W.</t>
  </si>
  <si>
    <t>Environmental Science and Technology</t>
  </si>
  <si>
    <t>Selling sustainability is one of the most difficult tasks environmentalists face. Futerra explains how it's done http://bit.ly/1JkNhio </t>
  </si>
  <si>
    <t>Structured interviews using “expert elicitation” methods drawn from decision analysis were conducted with 16 leading U.S. climate scien- tists. We obtained quantitative, probabilistic judgments about a number of key climate vari- ables and about the nature of the climate sys- tem. We also obtained judgments about the rela- tive contributions of various factors to the uncertainty in climate sensitivity. We found strong support for the importance of convection/ water vapor feedback and of cloud optical properties. A variety of questions were posed to elicit judgments about future research needs and the possible sources and magnitude of future surprises. The results reveal a rich diversity of expert opinion and, aside from climate sensitivity, a greater degree of disagreement than is often conveyed in scientific consensus documents. Research can make valuable contributions, but we interpret our results to mean that overall uncertainty about the geophysics of cli- mate change is not likely to be reduced dramatically in the next few decades.</t>
  </si>
  <si>
    <t>Asia, Africa, Canada and the US, Europe</t>
  </si>
  <si>
    <t>42, 43, 40, 41</t>
  </si>
  <si>
    <t>15 ways to powerfully communication climate change solutions</t>
  </si>
  <si>
    <t>Katherine Purvis</t>
  </si>
  <si>
    <t>Consumption, Energy</t>
  </si>
  <si>
    <t>3000, 4000</t>
  </si>
  <si>
    <t>The behavioral response to voluntary provision of an environmental public good: Evidence from residential electricity demand</t>
  </si>
  <si>
    <t>Jacobsen, G. D., Kotchen, M. J., &amp; Vandenbergh, M. P.</t>
  </si>
  <si>
    <t>European Economic Review</t>
  </si>
  <si>
    <t xml:space="preserve">15 ways to powerfully communicate #climatechange solutions http://ow.ly/Y0QBr </t>
  </si>
  <si>
    <t>This paper develops a theory of voluntary provision of a public good in which a household’s decision to engage in a form of environmentally friendly behavior is based on the desire to offset another behavior that is environmentally harmful. The model generates predictions about (1) participation in a green-electricity program at the extensive and intensive margins, and (2) changes in electricity consumption in response to participation. We test the theory using billing data for participants and nonpartici- pants in a green-electricity program in Memphis, Tennessee. High-consumption house- holds are more likely to participate, and they participate at higher levels. In terms of a behavioral response, households participating above the minimum threshold level do not change electricity consumption, but those participating at the minimum threshold increase electricity consumption 2.5 percent after enrolling in the program. The result is based on identification strategies that exploit before–after differences between parti- cipants and nonparticipants, and differences in the timing of enrollment among participants only. Despite the increase in electricity demand upon the purchase of green electricity for the households with a ‘‘buy-in’’ mentality, the net effect for the buy-in households is a reduction in pollution emissions, as the behavioral response is not large enough to offset the environmental benefit of the green-electricity purchase.</t>
  </si>
  <si>
    <t xml:space="preserve">Designing effective assessments: The role of participation, science and governance, and focus </t>
  </si>
  <si>
    <t>Eckley, N.</t>
  </si>
  <si>
    <t>European Environment Agency</t>
  </si>
  <si>
    <t>How are habits formed: Modelling habit formation in the real world</t>
  </si>
  <si>
    <t>Lally, P., van Jaarsveld, C. H. M., Potts, H. W. W., &amp; Wardle, J.</t>
  </si>
  <si>
    <t>European Journal of Social Psychology</t>
  </si>
  <si>
    <t>To investigate the process of habit formation in everyday life, 96 volunteers chose an eating, drinking or activity behaviour to carry out daily in the same context (for example ‘after breakfast’) for 12 weeks. They completed the self-report habit index (SRHI) each day and recorded whether they carried out the behaviour. The majority (82) of participants provided sufficient data for analysis, and increases in automaticity (calculated with a sub-set of SRHI items) were examined over the study period. Nonlinear regressions fitted an asymptotic curve to each individual's automaticity scores over the 84 days. The model fitted for 62 individuals, of whom 39 showed a good fit. Performing the behaviour more consistently was associated with better model fit. The time it took participants to reach 95% of their asymptote of automaticity ranged from 18 to 254 days; indicating considerable variation in how long it takes people to reach their limit of automaticity and highlighting that it can take a very long time. Missing one opportunity to perform the behaviour did not materially affect the habit formation process. With repetition of a behaviour in a consistent context, automaticity increases following an asymptotic curve which can be modelled at the individual level.</t>
  </si>
  <si>
    <t>"To investigate the process of habit formation in everyday life, 96 volunteers chose an eating, drinking or activity behaviour to carry out daily in the same context (for example ‘after breakfast’) for 12 weeks"</t>
  </si>
  <si>
    <t>Expected utility or prospect theory maximizers? Assessing farmers’ risk behaviour from field-experiment data
</t>
  </si>
  <si>
    <t>Bocquého, G., Jacquet, F., &amp; Reynaud, A.</t>
  </si>
  <si>
    <t>European Review of Agricultural Economics</t>
  </si>
  <si>
    <t>We elicit the risk preferences of a sample of French farmers in a field-experiment setting, considering both expected utility and cumulative prospect theory. Under the EU framework, our results show that farmers are characterised by a concave utility function for gain outcomes implying risk aversion. The CPT framework confirms this result, but also suggests that farmers are twice as sensitive to losses as to gains and tend to pay undue attention to unlikely extreme outcomes. Accounting for loss aversion and probability weighting can make a difference in the design of effective and efficient policies, contracts or insurance schemes.</t>
  </si>
  <si>
    <t>Easy, Hopeful, Identity, Lasting, Ordinary</t>
  </si>
  <si>
    <t>2, 3, 6, 10, 7</t>
  </si>
  <si>
    <t>Consumption, Human health, Waste management, Whole system</t>
  </si>
  <si>
    <t>3000, 10000, 21000, 22000</t>
  </si>
  <si>
    <t>Consumption - General, Human health - General, Waste management - General, Whole system - Carbon footprint</t>
  </si>
  <si>
    <t>Enabling Sustainable Choices in Everyday Life: 12 Strategies to Promote Behavior Change</t>
  </si>
  <si>
    <t>Peterson, C.</t>
  </si>
  <si>
    <t>European Union</t>
  </si>
  <si>
    <t>Habit = Yes; Default = Yes</t>
  </si>
  <si>
    <t>habit = No; default = No</t>
  </si>
  <si>
    <t>Habit-Changing Vacations</t>
  </si>
  <si>
    <t>Laurel Kallenbach</t>
  </si>
  <si>
    <t>Experience Life</t>
  </si>
  <si>
    <t>Explanation of how changing one's environment can help break old, unwanted habits and start new, desired ones</t>
  </si>
  <si>
    <t>https://experiencelife.com/article/habit-changing-vacations/</t>
  </si>
  <si>
    <t>Waste Management - General</t>
  </si>
  <si>
    <t>These Disappearing Packages Are Just Freakin' Cool</t>
  </si>
  <si>
    <t>Adam Albright-Hanna</t>
  </si>
  <si>
    <t>Good</t>
  </si>
  <si>
    <t>Climate - communication</t>
  </si>
  <si>
    <t>Communicating uncertainty: lessons learned and suggestions for climate change assessment</t>
  </si>
  <si>
    <t>Patt, A., &amp; Dessai, S.</t>
  </si>
  <si>
    <t>External Geophysics, Climate and Environment</t>
  </si>
  <si>
    <t>Assessments of climate change face the task of making information about uncertainty accessible and useful to decision-makers. The literature in behavior economics provides many examples of how people make decisions under conditions of uncertainty relying on inappropriate heuristics, leading to inconsistent and counterproductive choices. Modern risk communication practices recommend a number of methods to overcome these hurdles, which have been recommended for the Intergovernmental Panel on Climate Change (IPCC) assessment reports. This paper evaluates the success of the most recent IPCC approach to uncertainty communication, based on a controlled survey of climate change experts. Evaluating the results from the survey, and from a similar survey recently conducted among university students, the paper suggests that the most recent IPCC approach leaves open the possibility for biased and inconsistent responses to the information. The paper concludes by suggesting ways to improve the approach for future IPCC assessment reports.</t>
  </si>
  <si>
    <t>http://www.sciencedirect.com/science/article/pii/S1631071304002822</t>
  </si>
  <si>
    <t>uncertainty and risk</t>
  </si>
  <si>
    <t>These Disappearing Packages Are Just Freakin’ Cool http://ow.ly/XShmv #planet #environment #pollution</t>
  </si>
  <si>
    <t>Ordinary, Vivid</t>
  </si>
  <si>
    <t>Nature is Speaking Through Harrison Ford, Julia Roberts, and Kevin Spacey, and She is Pissed</t>
  </si>
  <si>
    <t>Jeff Beer</t>
  </si>
  <si>
    <t>Fast Cocreate</t>
  </si>
  <si>
    <t>We have posted the whole series of these vignettes BUT WE WONDER -- Does the overall message ('The planet, as abused as it's been, will be fine in the long run. It's humans who need saving.') INSPIRE YOU?; communication</t>
  </si>
  <si>
    <t>Seen the "Nature is Speaking" videos yet? The message is loud and clear: #Nature doesn't need us, we need nature." http://bit.ly/1q2QxBC </t>
  </si>
  <si>
    <t>Unnatural Selection</t>
  </si>
  <si>
    <t>Barry Schwartz</t>
  </si>
  <si>
    <t>"Paternalistic" decision making</t>
  </si>
  <si>
    <t>Green Energy is More Popular if it's the Default</t>
  </si>
  <si>
    <t>Bjorn Carey-Stanford</t>
  </si>
  <si>
    <t>Convinving people to buy into green, renewable energy plans could be as simple as making it their default option</t>
  </si>
  <si>
    <t xml:space="preserve">#GREEN #ENERGY IS MORE POPULAR IF IT’S THE #DEFAULT http://ow.ly/TYJug  #behavioraleconomics </t>
  </si>
  <si>
    <t>Green energy</t>
  </si>
  <si>
    <t>What if "green" becomes the default setting?</t>
  </si>
  <si>
    <t>The Globe and Mail</t>
  </si>
  <si>
    <t xml:space="preserve">Defaults are a pervasive part of life. If we don’t notice them, it’s only because they’re an invisible part of the background. And because they maintain freedom of choice, they have big advantages over mandates and bans. If private and public institutions take smart steps to be automatically green, they will often win the trifecta: saving money, protecting the environment and increasing our energy security. </t>
  </si>
  <si>
    <t xml:space="preserve">What if "green" becomes the default setting? via @CassSunstein http://ow.ly/WSlxT </t>
  </si>
  <si>
    <t>How always being busy makes you dumber</t>
  </si>
  <si>
    <t>Drake Baer</t>
  </si>
  <si>
    <t>How To Make Long-Lasting Changes To Your Unconscious Habits</t>
  </si>
  <si>
    <t>Vivian Giang</t>
  </si>
  <si>
    <t>"Three Steps To Sustainable, Unconscious Habits" and utilizing team focused exercizes to aid businesses build good habits
To create sustainable, positive habits, Kim’s startup focuses on three steps:
First step: A coaching experience is required to train other trainers, mostly internal people within the client company, like human resource professionals.
Second step: Participate in teams to practice the science of behavior change learned in the workshop. This step involves accountability with colleagues you trust, and employees can opt into the mobile model.Third step: Reward teams for daily success using a virtual currency system like bitcoin. "Building a whole digital economy around people’s habits is a super, super interesting area that we’re really excited about it," said Kim. "As far as we know, [our model] is the only virtual currency system for daily habits.""</t>
  </si>
  <si>
    <t>http://www.fastcompany.com/3052831/lessons-learned/how-to-make-long-lasting-changes-to-your-unconscious-habits</t>
  </si>
  <si>
    <t>How to nudge consumers to make greener choices</t>
  </si>
  <si>
    <t>Catherine Jex</t>
  </si>
  <si>
    <t>ScienceNordic</t>
  </si>
  <si>
    <t>Good show of team building and habit formation in larger groups/ businesses</t>
  </si>
  <si>
    <t>Customers can be nudged to choose environmentall friendly alternatives when shopping online; Decision Science; nudging</t>
  </si>
  <si>
    <t>Lasting - Bundling, Lasting - Temporary rewards</t>
  </si>
  <si>
    <t>Sustainable: Reducing energy use through behavioral science</t>
  </si>
  <si>
    <t>How to nudge consumers to make greener choices http://ow.ly/OLCz0  Is it ethical to #nudge consumers? #gogreen</t>
  </si>
  <si>
    <t>Finance &amp; Commerce</t>
  </si>
  <si>
    <t>Want to fix the world? Start by making clean energy a default setting</t>
  </si>
  <si>
    <t>Just like #FitBit, tracking devices can help with saving #energy too! http://bit.ly/1GhMUmq  #sustainable #behavior</t>
  </si>
  <si>
    <t>A very popular form of energy-use #nudging, the "default effect", taking action in Germany http://ow.ly/Os3Uu </t>
  </si>
  <si>
    <t>How a little nudge can lead to better decisions</t>
  </si>
  <si>
    <t>Della Bradshaw</t>
  </si>
  <si>
    <t>Financial Times</t>
  </si>
  <si>
    <t>Talks about the ethics of nudge, the rise of behavioral economics in business to manipulate consumers, and includes ideas from Britain on targeting identity to reduce litter</t>
  </si>
  <si>
    <t>Your shower is wasting huge amounts of energy and water. Here's what you can do about it</t>
  </si>
  <si>
    <t>Showering is responsible for 17% use of residential water use, and much of that water may be going directly down the drain. Waiting for shower water to heat up is one of many examples of "behavioral waste," waste that occurs because of easily correctable human habits.</t>
  </si>
  <si>
    <t>Illusion of Causality</t>
  </si>
  <si>
    <t>Your shower is wasting huge amounts of #energy and #water. Here’s what you can do about it. http://ow.ly/XSgrp</t>
  </si>
  <si>
    <t>The Next Energy Revolution Will Be in Human Behavior</t>
  </si>
  <si>
    <t>Standard Examiner</t>
  </si>
  <si>
    <t>You might not expect the American military to be at the forefront in environmental behavior research. But as Chris Mooney reports, the immense energy infrastructure of the Marines and Navy means that any improvement in energy-conscious behavior will have a big impact; Chris Mooney discusses how various branches of the US Military are harnessing simple behavioral interventions to save energy. Jim Caley, head of the Marine Corps' Expeditionary Energy Office, believes that tweaking the ways Marines drive their vehicles, power their outposts, and handle their equipment can result in significant reductions in energy use. Caley's office conducted an experiment in which military truck drivers were given gauges that allowed them to monitor the fuel efficiency of their vehicles--leading to increases in fuel efficiency of 40%. The Navy is also partnering with behavioral science experts in order to find ways to reduce its energy use.</t>
  </si>
  <si>
    <t>look up wp version</t>
  </si>
  <si>
    <t>The power of behavioural design: looking beyond nudging</t>
  </si>
  <si>
    <t>Christoph Burmester</t>
  </si>
  <si>
    <t>Foot-in-the-Door Technique: How to get People to Seamlessly Take Action</t>
  </si>
  <si>
    <t>Neil Patel</t>
  </si>
  <si>
    <t>Overview of the foot-in-the-door technique</t>
  </si>
  <si>
    <t>"The potential for synergy between #energy #consumption and #behavioraldesign is significant." http://bit.ly/1MtUdZR </t>
  </si>
  <si>
    <t xml:space="preserve">use resources in this article to expand on the recommendation if needed </t>
  </si>
  <si>
    <t xml:space="preserve">Associations - Meet people where they are </t>
  </si>
  <si>
    <t>Using Values to Build Public Understanding and Support for Environmental Health Work</t>
  </si>
  <si>
    <t>Simon, A. F., Kendall-Taylor, N., &amp; Lindland, E.</t>
  </si>
  <si>
    <t>http://www.frameworksinstitute.org/assets/files/Environmental%20Health/EnvironmentalHealth_values_final.pdf</t>
  </si>
  <si>
    <t>Using #Values to Build Public Understanding and Support for#Environmental #Health Workhttp://ow.ly/UvfB6</t>
  </si>
  <si>
    <t>The Value of Explanation: Using Values and Causal Explanations to Reframe Climate and Ocean Change</t>
  </si>
  <si>
    <t>Simon, A., Volmert, A., Bunten, A., &amp; Kendall-Taylor, N.</t>
  </si>
  <si>
    <t>Design for Default: How to Optimize Your Daily Decisions</t>
  </si>
  <si>
    <t>personal blog</t>
  </si>
  <si>
    <t>Where items are placed on grocery store shelves (i.e. at eye level or on the ends) can have a huge impact on what gets purchased</t>
  </si>
  <si>
    <t>Using Values and Causal Explanations to Reframe #Climate and Ocean Change A #Frameworks Research Report: http://ow.ly/Uvfox</t>
  </si>
  <si>
    <t>Climate - General, Oceans - General</t>
  </si>
  <si>
    <t>How to talk about climate change and the ocean</t>
  </si>
  <si>
    <t>Bales, S. N., Sweetland, J., &amp; Volmert, A.</t>
  </si>
  <si>
    <t>Recycling in the home: how to break down barriers</t>
  </si>
  <si>
    <t>Joe Franses</t>
  </si>
  <si>
    <t>breaking down the barriers to recycling in the home; #Recycling in the home: how to break down the barriershttp://ow.ly/UMMpR</t>
  </si>
  <si>
    <t>"Just the Earth Doing Its Own Thing": Mapping the Gaps Between Expert and Public Understandings of Oceans and Climate Change</t>
  </si>
  <si>
    <t>Volmert A., Baran, M., Kendall-Taylor, N., Lindland, E., Haydon, A., Arvizu, S., &amp; Bunten A</t>
  </si>
  <si>
    <t>http://www.frameworksinstitute.org/assets/files/cc_oceans_mtg.pdf</t>
  </si>
  <si>
    <t>Mapping the Gaps Between Expert and Public Understandings of Oceans and#ClimateChange Research Report:http://ow.ly/Uvfik</t>
  </si>
  <si>
    <t>Portland Bans Climate-Denying Textbooks From Its Schools</t>
  </si>
  <si>
    <t>Katie Valentine</t>
  </si>
  <si>
    <t>Oregon bans any textbooks that doubt the magnitude of climate change or that it is human caused. This sets a default for the kind of education that students receive in a time when education about climate change is imperative</t>
  </si>
  <si>
    <t xml:space="preserve">Associations - Use appropriate metaphors, Relatable - The importance of storytelling </t>
  </si>
  <si>
    <t>402, 806</t>
  </si>
  <si>
    <t>Climate, Oceans, Whole system</t>
  </si>
  <si>
    <t>2000, 15000, 22000</t>
  </si>
  <si>
    <t>Climate - General, Oceans, Whole system - Ecosystem/Conservation</t>
  </si>
  <si>
    <t>Getting to the Heart of the Matter: Using Metaphorical and Causal Explanation to Increase Public Understanding of Climate Change and Ocean Change</t>
  </si>
  <si>
    <t>Volmert, A.</t>
  </si>
  <si>
    <t>http://www.frameworksinstitute.org/assets/files/PDF_oceansclimate/occ_metaphor_report.pdf</t>
  </si>
  <si>
    <t>Using Metaphorical and Causal Explanation to Increase Public Understanding of #ClimateChangehttp://ow.ly/Uvfpr</t>
  </si>
  <si>
    <t>Big Success! The city of Portland, Orgeon has decided to ban all text books that deny climate change!</t>
  </si>
  <si>
    <t>Consumption - Large scale</t>
  </si>
  <si>
    <t>We Need a Ground Crew for Environmental Health Working Upstream: Using Explanatory Metaphors to Improve Public Understanding of Environmental Health and Its Workforce</t>
  </si>
  <si>
    <t>Lindland, E., Volmert, A., &amp; Haydon, A</t>
  </si>
  <si>
    <t>http://www.frameworksinstitute.org/assets/files/Environmental%20Health/eh_metaphor_report.pdf</t>
  </si>
  <si>
    <t>Using Explanatory #Metaphors to Improve Public Understanding of#Environmental #Health and Its Workforce http://ow.ly/Uvfx7</t>
  </si>
  <si>
    <t xml:space="preserve">Hopeful - Trigger collective responsibility, Hopeful - Use doomsday narratives sparingly </t>
  </si>
  <si>
    <t>The Media Narratives of Environmental Health</t>
  </si>
  <si>
    <t>O'Neil, M., Simon, A., Haydon, A., &amp; Kendall-Taylor, N.</t>
  </si>
  <si>
    <t>http://www.frameworksinstitute.org/assets/files/Environmental%20Health/Media_Narratives_Environmental_Health.pdf</t>
  </si>
  <si>
    <t>When Behavioral Science Meets Public Policy</t>
  </si>
  <si>
    <t>Natalie Punchak</t>
  </si>
  <si>
    <t>regblog</t>
  </si>
  <si>
    <t>The #Media Narrative of#Environmental #Health A FRAMEWORKS RESEARCH REPORT:http://ow.ly/UvfDF</t>
  </si>
  <si>
    <t>RT @FehrAdvice @alainkamm When #BehavioralScience Meets #PublicPolicy - http://ow.ly/PcPRc </t>
  </si>
  <si>
    <t>Human health - Go into nature</t>
  </si>
  <si>
    <t>"Nature doesn’t pay my bills": Mapping the gaps between expert and public understandings of urban nature and health</t>
  </si>
  <si>
    <t>Lindland, E., Fond, M., Haydon, A., &amp; Kendall-Taylor, N.</t>
  </si>
  <si>
    <t>The 'Sell By' Dates On Our Groceries Are Causing Tons of Food Waste</t>
  </si>
  <si>
    <t>Two members of Congress are trying to get new legislation passed where expiration/sell by dates are more clear so consumers know more precisely when to throw out their food. Laws making it easy for consumers to know what labels mean</t>
  </si>
  <si>
    <t>http://thinkprogress.org/climate/2016/05/18/3779570/expiration-date-labeling-bill-food-waste/</t>
  </si>
  <si>
    <t>Smaller Plates, Less Waste</t>
  </si>
  <si>
    <t>NewsInEnglish.no</t>
  </si>
  <si>
    <t>Providing smaller plates at a buffet resulted in 20% less food waste</t>
  </si>
  <si>
    <t>Smaller plates, less #waste http://ow.ly/TYJOl  #environment</t>
  </si>
  <si>
    <t>Freshwater - Consumption</t>
  </si>
  <si>
    <t>Testing the Waters: Using Simple, Low-cost Nudges to Reduce Water Consumption</t>
  </si>
  <si>
    <t>ideas42</t>
  </si>
  <si>
    <t>Decision Science; Nudging</t>
  </si>
  <si>
    <t>http://www.ideas42.org/blog/testing-waters-using-simple-low-cost-nudges-reduce-water-consumption/</t>
  </si>
  <si>
    <t>ideas42 shows that providing feedback and prompting people to take action can go a long way in reducing #water usage http://bit.ly/1Dhd6sq </t>
  </si>
  <si>
    <t>It is Easy Being Green</t>
  </si>
  <si>
    <t>The Green Bin Pilor Program Newsletter</t>
  </si>
  <si>
    <t>Convenience, overcoming barriers</t>
  </si>
  <si>
    <t>The only thing worse than never having a choice is always having to choose</t>
  </si>
  <si>
    <t>Oliver Burkeman</t>
  </si>
  <si>
    <t>choice architecture; limited attention, choice overload</t>
  </si>
  <si>
    <t>On my new book, choosing not to choose (retweet from Cass Sunstein)</t>
  </si>
  <si>
    <t>US Phase Out of Incandescent Light Bulbs Continues in 2014 with  40- and 60-Watt Varieties</t>
  </si>
  <si>
    <t>Patrick J. Kiger</t>
  </si>
  <si>
    <t>The government has banned the manufacture of traditional lightbulbs in the US on the grounds that they don't meet energy efficiency standards, to be replaced by LEDs and CFLs</t>
  </si>
  <si>
    <t>doesn't actually mention behavior design but it definitely has implications by making the "default" energy efficient bulbs</t>
  </si>
  <si>
    <t>Africa, Canada and the US, Europe</t>
  </si>
  <si>
    <t>43, 40, 41</t>
  </si>
  <si>
    <t>Road to Sustainability: More Nudging, less shoving</t>
  </si>
  <si>
    <t>Paul Ferraro</t>
  </si>
  <si>
    <t>SNAP</t>
  </si>
  <si>
    <t>Bried overview of nudging for conservation; Decision Science</t>
  </si>
  <si>
    <t>SNAP has replaced NCEAS; this is an article; they host workshops</t>
  </si>
  <si>
    <t>Universities Leading the Charge on Food Waste</t>
  </si>
  <si>
    <t>Quinn Sanderson</t>
  </si>
  <si>
    <t>studies have shown that simply removing a tray from college cafeterias or offering smaller serving utensils is very effective in making food waste reductions</t>
  </si>
  <si>
    <t>Here's how universities are leading efforts to reduce food waste!</t>
  </si>
  <si>
    <t>Pilot project enables climate-smart lifestyle</t>
  </si>
  <si>
    <t>Redaktionen</t>
  </si>
  <si>
    <t>Vattenfall</t>
  </si>
  <si>
    <t>Link to the overview of the project that led to the creation fo opower?; prompts</t>
  </si>
  <si>
    <t>The Tree Huggers Got it Right: The Link Between Compassion and Conservation</t>
  </si>
  <si>
    <t>Lauren Griffin</t>
  </si>
  <si>
    <t>people with more compassion are more likely to care about environmental issues; compassion can also be induced</t>
  </si>
  <si>
    <t>University study shows that very compassionate people are more likely to be environmentally conscious.</t>
  </si>
  <si>
    <t>Pilot project enables climate-smart lifestyle http://ow.ly/TYL13 </t>
  </si>
  <si>
    <t>Publisher</t>
  </si>
  <si>
    <t>Date (year)</t>
  </si>
  <si>
    <t>Abstract</t>
  </si>
  <si>
    <t>Posted on Twitter?</t>
  </si>
  <si>
    <t>Tweet</t>
  </si>
  <si>
    <t>Some Ghoulish Findings About Fear of Death and Charitable Giving</t>
  </si>
  <si>
    <t>Retweet Date</t>
  </si>
  <si>
    <t>Posted on Facebook</t>
  </si>
  <si>
    <t>Facebook Post Date</t>
  </si>
  <si>
    <t>In Tests, Scientists Try to Change Behavior</t>
  </si>
  <si>
    <t>Shirley S. Wang</t>
  </si>
  <si>
    <t>The Wall Street Journal</t>
  </si>
  <si>
    <t>reminders of our own mortality can make us more inclined to buy more stuff but it can also make us more generous</t>
  </si>
  <si>
    <t xml:space="preserve">Can't access the article without WSJ subscription </t>
  </si>
  <si>
    <t>Here's more information on the Scrooge Effect! #conservation #gogreen #environment #climate</t>
  </si>
  <si>
    <t>The Default Choice, So Hard to Resist</t>
  </si>
  <si>
    <t>Steve Lohr</t>
  </si>
  <si>
    <t>Companies spend millions to ensure that they are the "default" option because they know how valuable it is in garnering usage</t>
  </si>
  <si>
    <t>A Commitment Device for Energy Conservation</t>
  </si>
  <si>
    <t>Freakonomics</t>
  </si>
  <si>
    <t>Interesting idea on commitment contracts</t>
  </si>
  <si>
    <t>A #Commitment Device for #Energy #Conservation via @freakonomics http://ow.ly/WmkWb</t>
  </si>
  <si>
    <t>The #Default #Choice, So Hard To Resist http://ow.ly/Wmlv4 What if we made #green options the default choice?</t>
  </si>
  <si>
    <t>A fashion catches on in Paris: Cheap bicycle rentals</t>
  </si>
  <si>
    <t>Steven Erlanger</t>
  </si>
  <si>
    <t xml:space="preserve"> Overcoming barriers</t>
  </si>
  <si>
    <t>New OpenLabel app offers product information for eco-minded consumers</t>
  </si>
  <si>
    <t>Timothy Pratt</t>
  </si>
  <si>
    <t>OpenLabel, a purchasing app, lets customers get #sustainability data and product reviews by swiping barcodes http://ow.ly/P0ZQL  #tech</t>
  </si>
  <si>
    <t>The importance of framing for communicating risk and managing forest health</t>
  </si>
  <si>
    <t>Wilson, R., Toman, E. L., &amp; Ascher, T. J.</t>
  </si>
  <si>
    <t>Journal of Forestry</t>
  </si>
  <si>
    <t>Environmental policy, Land use</t>
  </si>
  <si>
    <t>Despite the importance of effective communication about forest and fuel management, little is known about how best to frame information to facilitate public understanding and increase support. The results presented here indicate that framing a fuel management plan as necessary to restore “lost” forest health (as opposed to maintaining or improving forest health) will increase the willingness of individuals to support options that pose some likelihood of failure (i.e., risk). Strategic framing of communication for public audiences is necessary because of the common biases in judgment that can result from an inadvertently chosen message frame. Focusing on the restoration of losses is an effective frame for communication if the goal is to increase tolerance for the risks inherent in forest and fuel management.</t>
  </si>
  <si>
    <t>Africa, Asia, Canada and the US, Europe</t>
  </si>
  <si>
    <t>43, 42, 40, 41</t>
  </si>
  <si>
    <t>The 15 Best Behavioural Science Graphs 2010-13</t>
  </si>
  <si>
    <t>http://www.fs.fed.us/rm/pubs_other/rmrs_2012_berkman_d001.pdf</t>
  </si>
  <si>
    <t>Mark Egan</t>
  </si>
  <si>
    <t>Chris Mooney discusses the findings of the recent CRED report Connecting on Climate: A Guide to Effective Climate Change Communication. The report discusses several psychological and behavioral factors that may form a barrier between people and effective climate action including emotional overload, confirmation bias, status quo bias, and discounting. CRED recommends that in order to make people care about climate change, the issue must be made immediate, local, and personal. </t>
  </si>
  <si>
    <t>The 15 Best Behavioural Science Graphs of 2010-2013. Great set! http://economicspsychologypolicy.blogspot.ie/2013/12/the-15-best-behavioural-science-graphs.html?m=1 …</t>
  </si>
  <si>
    <t>Easy, Hopeful, Ordinary, Relatable, Vivid</t>
  </si>
  <si>
    <t>2, 3, 7, 8, 5</t>
  </si>
  <si>
    <t>Easy, Benefits</t>
  </si>
  <si>
    <t>2, 1</t>
  </si>
  <si>
    <t>Nudging Toward a Healthy Natural Environment: How Behavioral Change Research Can Inform Conservation</t>
  </si>
  <si>
    <t xml:space="preserve">Akerlof, K., &amp; Kennedy, C. </t>
  </si>
  <si>
    <t xml:space="preserve">Do Supermarkets Really Nudge us to East Unhealthily </t>
  </si>
  <si>
    <t>Kristain Roed Nielsen, Pelle Guldborg Hansen and Laurits Rohden Skov</t>
  </si>
  <si>
    <t>iNudgeyou</t>
  </si>
  <si>
    <t xml:space="preserve">Supermarkets should take up the moral responsibility of promoting healthy consumption </t>
  </si>
  <si>
    <t xml:space="preserve">Discounting Future Green: Money Versus the Environment </t>
  </si>
  <si>
    <t xml:space="preserve">Hardisty, D. J., &amp; Weber, E. U. </t>
  </si>
  <si>
    <t>Journal of Experimental Psychology</t>
  </si>
  <si>
    <t>As the world's human population has surpassed 7 billion, few places on the globe escape the pervasive impact of our species. Human behavior constitutes the primary threat to the world's biodiversity both directly, via harvesting of living natural resources, and indirectly, as a result of habitat destruction, pollution, the introduction of invasive species, and climate change. 
While traditional policy tools, such as regulations, taxes, and subsidies, have been successful in achieving many conservation gains, continued environmental degradation has spurred interest in new "soft policy" approaches based on social and behavioral science that encourage the voluntary adoption of individual behaviors supportive of sustainable resource use. This paper synthesizes foundational knowledge from psychology and behavioral economics, and other applied fields like public health, to develop recommendations for incorporating behavioral change interventions in promotion of the health and wellbeing of natural ecosystems. We identify five "areas of influence" that provide opportunities for promoting pro-environmental behavior: attitudes, agency, emotions, social norms, and environmental or decision context. 
We discuss the ways in which these areas of influence might be utilized by conservation practitioners and provide a framework within an adaptive management structure for the implementation and evaluation of behavioral-change interventions targeted at individuals.</t>
  </si>
  <si>
    <t xml:space="preserve">In 3 studies, participants made choices between hypothetical financial, environmental, and health gains and losses that took effect either immediately or with a delay of 1 or 10 years. In all 3 domains, choices indicated that gains were discounted more than losses. There were no significant differences in the discounting of monetary and environmental outcomes, but health gains were discounted more and health losses were discounted less than gains or losses in the other 2 domains. Correlations between implicit discount rates for these different choices suggest that discount rates are influenced more by the valence of outcomes (gains vs. losses) than by domain (money, environment, or health). Overall, results indicate that when controlling as many factors as possible, at short to medium delays, environmental outcomes are discounted in a similar way to financial outcomes, which is good news for researchers and policy makers alike. </t>
  </si>
  <si>
    <t>Easy, Benefits, Hopeful</t>
  </si>
  <si>
    <t>2, 1, 3</t>
  </si>
  <si>
    <t>5 truths about our relationship with Energy</t>
  </si>
  <si>
    <t>Renee Lertzman and Sue Kochan</t>
  </si>
  <si>
    <t>how to talk about energy reduction in a way that doesn't make people feel like they're sacrificing, but rather gaining</t>
  </si>
  <si>
    <t xml:space="preserve">Relatable - The messenger matters </t>
  </si>
  <si>
    <t xml:space="preserve">The Francis Effect: How Pope Francis changed the conversation about global warming </t>
  </si>
  <si>
    <t xml:space="preserve">Maibach, E., Leiserowitz, A., Roser-Renouf, C., Myers, T., Rosenthal, S. &amp; Feinberg, G. </t>
  </si>
  <si>
    <t>George Mason University and Yale University</t>
  </si>
  <si>
    <t>http://climatecommunication.yale.edu/wp-content/uploads/2015/11/The_Francis_Effect.pdf</t>
  </si>
  <si>
    <t xml:space="preserve">No abstract because this is a report </t>
  </si>
  <si>
    <t>Choosing what I want versus rejecting what I do not want: An application of decision framing to product option choice decisions</t>
  </si>
  <si>
    <t xml:space="preserve">Here's how to reimagine our relationship with #energy and why its important that we do. #environment #conservation </t>
  </si>
  <si>
    <t xml:space="preserve">Park, C. W., Jun, S. Y., &amp; Macinnis, D. J. </t>
  </si>
  <si>
    <t>Journal of Marketing Research</t>
  </si>
  <si>
    <t xml:space="preserve">Barriers perceived to engaging with climate change among the UK public and their policy implications </t>
  </si>
  <si>
    <t xml:space="preserve">Lorenzoni, I., Nicholson-Cole, S., &amp; Whitmarsh, L. </t>
  </si>
  <si>
    <t>Global Environmental Change</t>
  </si>
  <si>
    <t>This paper reports on the barriers that members of the UK public perceive to engaging with climate change. It draws upon three mixed-method studies, with an emphasis on the qualitative data which offer an in-depth insight into how people make sense of climate change. The paper defines engagement as an individual’s state, comprising three elements: cognitive, affective and behavioural. A number of common barriers emerge from the three studies, which operate broadly at ‘individual’ and ‘social’ levels. These major constraints to individual engagement with climate change have implications for achieving significant reductions in greenhouse gases in the UK. We argue that targeted and tailored information provision should be supported by wider structural change to enable citizens and communities to reduce their carbon dependency. Policy implications for effective engagement are discussed.</t>
  </si>
  <si>
    <t>The authors examine the effects of using a subtractive versus an additive option-framing method on consumers’ option choice decisions in three studies. The former option-framing method presents consumers with a fully loaded product and asks them to delete options they do not want. The latter presents them with a base model and asks them to add the options they do want. Combined, the studies support the managerial attractiveness of the subtractive versus the additive option-framing method. Consumers tend to choose more options with a higher total option price when they use subtractive versus additive option framing. This effect holds across different option price levels (Study 1) and product categories of varying price (Study 2). Moreover, this effect is magnified when subjects are asked to anticipate regret from their option choice decisions (Study 2). However, option framing has a different effect on the purchase likelihood of the product category itself, depending on the subject’s initial interest in buying within the category. Although subtractive option framing offers strong advantages to managers when product commitment is high, it appears to demotivate category purchase when product commitment is low (Study 3). In addition, the three studies reveal several other findings about the attractiveness of subtractive versus additive option framing from the standpoint of consumers and managers. These findings, in turn, offer interesting public policy and future research implications.</t>
  </si>
  <si>
    <t>Communication and mental processes: Experiential and analytic processing of uncertain climate information</t>
  </si>
  <si>
    <t>Marx, S. M., Weber, E. U., Orlove, B. S., Leiserowitz, A., Krantz, D. H., Roncoli, C., &amp; Phillips, J.</t>
  </si>
  <si>
    <t>People process uncertainty information in two qualitatively different systems. Most climate forecast communications assume people process information analytically. Yet people also rely heavily on an experiential processing system. Better understanding of experiential processing may lead to more comprehensible risk communication products. Retranslation of statistical information into concrete (vicarious) experience facilitates intuitive understanding of probabilistic information and motivates contingency planning. Sharing vicarious experience in group discussions or simulations of forecasts, decisions, and outcomes provides a richer and more representative sample of relevant experience. The emotional impact of the concretization of abstract risks motivates action in ways not provided by an analytic understanding.</t>
  </si>
  <si>
    <t>Can Smiley Faces (and a 14-Step Program to Stop Overconsumption) Save the Global Climate?</t>
  </si>
  <si>
    <t>Policy bundling to overcome loss aversion: A method for improving legislative outcomes</t>
  </si>
  <si>
    <t>Milkman, K. L., Mazza, M. C., Shu, L. L., Tsay, C. J., &amp; Bazerman, M. H.</t>
  </si>
  <si>
    <t>Organizational Behavior and Human Decision Processes</t>
  </si>
  <si>
    <t>summary of unconventional methods and the use of some of our interventions to reduce GHG emissions; behavior science interventions (Associations)</t>
  </si>
  <si>
    <t xml:space="preserve">Policies that would create net benefits for society but would also involve costs frequently lack the necessary support to be enacted because losses loom larger than gains psychologically. To reduce the harmful consequence of loss aversion, we propose a new type of policy bundling technique in which related bills that have both costs and benefits are combined. In our first laboratory study, we confirm across a set of four legislative domains that this bundling technique increases support for bills that have both costs and benefits. We also show in a second study that this effect stems from a diminished focus on losses and heightened focus on gains when policies are evaluated in bundled form. </t>
  </si>
  <si>
    <t>http://www.hbs.edu/faculty/Publication%20Files/09-147.pdf</t>
  </si>
  <si>
    <t>Climate - Belief, Climate - Mitigation</t>
  </si>
  <si>
    <t>Africa, Europe</t>
  </si>
  <si>
    <t>43, 41</t>
  </si>
  <si>
    <t>Adaptive capacity and human cognition: The process of individual
adaptation to climate change</t>
  </si>
  <si>
    <t>Grothmann, T., &amp; Patt, A.</t>
  </si>
  <si>
    <t>great summary of variety of interventions being used to change behavior and reduce GHG emissions</t>
  </si>
  <si>
    <t>feedback = No; default = No</t>
  </si>
  <si>
    <t>Can Smiley Faces (and a 14-Step Program to Stop Overconsumption) Save the Global Climate? http://ow.ly/TYKWP </t>
  </si>
  <si>
    <t>Easy - Default, Hopeful - Feedback</t>
  </si>
  <si>
    <t>The decisions of people, acting either to avoid impacts to things they value or to benefit from opportunities associated with climate change, partly drive the process of adaptation to climate change and its impacts. To answer the question of why some people show adaptive behavior while others do not, it makes sense to build a theory of adaptation and adaptive capacity based on our understanding of the decision-making process. Two disciplinary perspectives offer guidance for a cognitive perspective upon adaptation and adaptive capacity: psychology and behavioral economics. From these disciplinary perspectives, we first review research on adaptation and adaptive capacity in climate change research. Our main criticism relates to the neglect of motivation and perceived adaptive capacity in this research. Second, we propose a socio-cognitive model of adaptation and adaptive capacity that compensates for the weaknesses of adaptation theorizing from a cognitive perspective. In the last section, we present data from two very different case studies that show the explanatory power of the model proposed. The first examines the precautionary behavior of German residents of flood-prone regions to protect themselves from damage. The second examines the decisions of Zimbabwean farmers to take steps to mitigate the effects of forecasted drought.</t>
  </si>
  <si>
    <t xml:space="preserve">The use of framing to highlight differences between transport-related carbon dioxide emissions </t>
  </si>
  <si>
    <t>Avineri, E., &amp; Waygood, O.</t>
  </si>
  <si>
    <t>Journal of the Department of Planning and Architecture</t>
  </si>
  <si>
    <t xml:space="preserve">Identity - Tap into the audience's ideal self  </t>
  </si>
  <si>
    <t>The provision of information about transport-related carbon dioxide (CO2) emissions to the traveler can be seen as an instrument to increase the likelihood of more sustainable choices being made by individuals. However, as transport-related CO2 emissions are largely seen as a ‘social’ cost rather than a ‘private’ cost to the individual, the behavioral engagement with and response to information on environmental effects of travel choices may be limited. It is argued that framing, studied in a range of contexts, can be used to enhance the evaluation of choice attributes and promote more sustainable choices. An experiment is reported that examines the effect of valence framing of amounts of CO2 emissions on the perceived differences between alternative amounts. Through the use of positive and negative terms, the information is framed to focus attention either on the potential of a travel mode to provide environmental benefit (positive frame) or on its potential to reduce environmental loss (negative frame). Survey participants’ estimates of CO2 amounts were compared for positive and negative framing of the same information using an ordered logit model. The findings imply that negative framing is more effective than positive framing in highlighting differences between CO2 amounts of alternative travel modes and therefore is likely to influence travel-related choices.</t>
  </si>
  <si>
    <t>It's political: How the salience of one's political identity changes climate change beliefs and policy support</t>
  </si>
  <si>
    <t>Climate - Communication, Climate - Emissions, Transportation - Sustainable</t>
  </si>
  <si>
    <t>2000, 20000</t>
  </si>
  <si>
    <t>Applying valence framing to enhance the effect of information on transport-related carbon dioxide emissions</t>
  </si>
  <si>
    <t>Transportation Research Part A: Policy and Practice</t>
  </si>
  <si>
    <t>The provision of information on transport-related carbon dioxide (CO2) to the traveller can be seen as an instrument to increase the likelihood of more sustainable choices being made by individuals. However, as transport-related CO2 emissions are largely seen as a ‘social’ cost rather than a ‘private’ cost to the individual, the behavioural engagement with and response to information on environmental effects of travel choices may therefore be limited. It is argued that framing, studied in a range of contexts, can be used to enhance the evaluation of choice attributes and promote desirable (more sustainable) choices. An experiment is reported that examine the effect of valence framing of amounts of CO2 emissions on the perceived differences between alternative travel modes. Through the use of positive and negative terms, the information was framed to focus attention either on the potential of a travel mode to provide environmental benefit (positive frame) or on its potential to reduce an environmental loss (negative frame). Survey participants’ estimates of CO2 amounts were compared for positive and negative framing of the same information using an ordered logit (OL) model. The findings imply that negative framing is more effective than positive framing in highlighting differences between CO2 amounts of alternative travel modes and therefore is more likely to influence travel-related choices.</t>
  </si>
  <si>
    <t>Wildlife - Poaching/Species at risk</t>
  </si>
  <si>
    <t>Valuing the chances of survival of two distinct Eurasian lynx populations in Poland: Do people want to keep the doors open?</t>
  </si>
  <si>
    <t>Previous research has demonstrated a striking difference in climate change beliefs and policy support between people who identify with the right-wing of politics and with the left-wing of politics. But are we destined to continue with this divergence? We suggest that there is movement around these differences based on the politicization of climate change and we conducted two experimental studies with 126 and 646 people, respectively, to examine this effect. We found that those people whose political identity was made salient were less likely to believe in an anthropogenic cause of climate change and less likely to support government climate change policies than those whose identity was not made salient; particularly when those people were aligned with the right-wing of politics. The results demonstrate the importance of the salience of one's political identity in determining attitudes and beliefs even for scientific facts such as climate change. Our research also identifies some ways forward in dealing with climate change-based on depoliticizing the issue.</t>
  </si>
  <si>
    <t>Bartczak, A., &amp; Meyerhoff, J.</t>
  </si>
  <si>
    <t>http://www.sciencedirect.com/science/article/pii/S0959378014000909</t>
  </si>
  <si>
    <t>Journal of Environmental Management</t>
  </si>
  <si>
    <t>This study investigates individuals’ preferences toward protection programs aimed at increasing the chances of survival of the two distinct Eurasian lynx populations in Poland. Those two groups, the Lowland and the Carpathian population, are exposed to different risks of extinction as they have different numbers, different-sized areas of occupation and different migration possibilities. Using a discrete choice experiment we examine the influence of the initial degree of endangerment on the allocation of re- spondents’ funds. The results show that people prefer to invest in the conservation of the lynx popu- lation, which has initially lower chances of survival. The main driver of respondents’ choices seems to be loss aversion rather than the urge to invest in an option with an expected higher outcome. This obser- vation can be interpreted as people trying to keep all the options e doors e open by devoting more funds to the more vulnerable population than to the more stable one. Employing a scale-extended latent class model allowed us to detect segments among individuals showing different types of response behavior, including a form of serial non-participation.</t>
  </si>
  <si>
    <t>Associations - Emphasize potential loss over potential gain, Relatable - Connect at a local level</t>
  </si>
  <si>
    <t>403, 802</t>
  </si>
  <si>
    <t>Framing and communicating climate change: The effects of distance and outcome frame manipulations</t>
  </si>
  <si>
    <t>Spence, A., &amp; Pidgeon, N.</t>
  </si>
  <si>
    <t>Helping the Poor in Education: The Power of a Simple Nudge</t>
  </si>
  <si>
    <t>Susan Dynarski</t>
  </si>
  <si>
    <t>Behavior; Nudges and education</t>
  </si>
  <si>
    <t>Communications regarding climate change are increasingly being utilised in order to encourage sustainable behaviour and the way that these are framed can significantly alter the impact that they have on the recipient. This experimental study seeks to investigate how transferable existing research findings on framing from health and behavioural research are to the climate change case. The study (N = 161) examined how framing the same information about climate change in terms of gain or loss outcomes and in terms of local or distant impacts can affect perceptions. Text on potential climate change impacts was adapted from the 2007 Intergovernmental Panel on Climate Change report, alongside maps and images of potential flooding impacts. Participants then completed measures of various relevant socio-cognitive factors and questions assessing their responses to the information that they had received. Results indicated that, ceteris paribus, gain frames were superior to loss frames in increasing positive attitudes towards climate change mitigation, and also increased the perceived severity of climate change impacts. However, third variable analyses demonstrated that the superiority of the gain frame was partially suppressed by lower fear responses and poorer information recall within gain framed information. In addition, framing climate change impacts as distant (whilst keeping information presented the same) resulted in climate change impacts being perceived as more severe, whilst attitudes towards climate change mitigation were more positive when participants were asked to consider social rather than Relatable aspects of climate change. Implications for designing communications about climate change are outlined.</t>
  </si>
  <si>
    <t>http://www.sciencedirect.com/science/article/pii/S0959378010000610</t>
  </si>
  <si>
    <t>perceived distance of affected location changes risk perception</t>
  </si>
  <si>
    <t>Relatable = Yes (Removed); Resonate = Yes</t>
  </si>
  <si>
    <t>Relatable = Yes (Removed); Resonate = No</t>
  </si>
  <si>
    <t>Framing and communicating #climatechange: The effects of distance and outcome frame manipulations http://ow.ly/Xs35M</t>
  </si>
  <si>
    <t>not environmental</t>
  </si>
  <si>
    <t>Climate, Land use</t>
  </si>
  <si>
    <t>Easy, Lasting</t>
  </si>
  <si>
    <t>2000, 11000</t>
  </si>
  <si>
    <t>Climate - General, Land use - Agriculture</t>
  </si>
  <si>
    <t>Perceptions and responses to climate policy risks among California farmers</t>
  </si>
  <si>
    <t>What Heroin Addiction Tells Us About Changing Bad Habits</t>
  </si>
  <si>
    <t>Niles, M. T., Lubell, M., &amp; Haden, V. R.</t>
  </si>
  <si>
    <t>Alix Spiegel</t>
  </si>
  <si>
    <t>Global environmental change</t>
  </si>
  <si>
    <t>The story of U.S. soldiers getting addicted to heroine in Veitnam but not relapsing once they get back to the U.S. Demonstrates the importance of an environment and its role in pro viding mental cues to cause us to behave in a certain way.; changing the situation; Habits</t>
  </si>
  <si>
    <t>This paper considers how farmers perceive and respond to climate change policy risks, and suggests that understanding these risk responses is as important as understanding responses to biophysical climate change impacts. Based on a survey of 162 farmers in California, we test three hypotheses regarding climate policy risk: (1) that perceived climate change risks will have a direct impact on farmer's responses to climate policy risks, (2) that previous climate change experiences will influence farmer's climate change perceptions and climate policy risk responses, and (3) that past experiences with environmental policies will more strongly affect a farmer's climate change beliefs, risks, and climate policy risk responses. Using a structural equation model we find support for all three hypotheses and furthermore show that farmers’ negative past policy experiences do not make them less likely to respond to climate policy risks through participation in a government incentive program. We discuss how future research and climate policies can be structured to garner greater agricultural participation. This work highlights that understanding climate policy risk responses and other social, economic and policy perspectives is a vital component of understanding climate change beliefs, risks and behaviors and should be more thoroughly considered in future work.</t>
  </si>
  <si>
    <t>http://www.sciencedirect.com/science/article/pii/S0959378013001404</t>
  </si>
  <si>
    <t>Relatable = Yes; Resonate = No</t>
  </si>
  <si>
    <t>Easy = No; Habit = No</t>
  </si>
  <si>
    <t>Habits: How They Form and How to Break Them</t>
  </si>
  <si>
    <t>Charles Duhigg</t>
  </si>
  <si>
    <t>Behavioral Science; Habits</t>
  </si>
  <si>
    <t>Habit = Yes; Easy = No</t>
  </si>
  <si>
    <t>Habit = No; Easy = No</t>
  </si>
  <si>
    <t>The story of Capannori – A Zero Waste champion</t>
  </si>
  <si>
    <t>Aimee Van Vilet</t>
  </si>
  <si>
    <t>Zero Waste Europe</t>
  </si>
  <si>
    <t>zero waste; overcoming barriers, convience</t>
  </si>
  <si>
    <t>Bauer, M. A., Wilkie, J. E. B., Kim, J. K., &amp; Bodenhausen, G. V.</t>
  </si>
  <si>
    <t>Psychological Science</t>
  </si>
  <si>
    <t>Correlational evidence indicates that materialistic individuals experience relatively low levels of well-being. Across four experiments, we found that situational cuing can also trigger materialistic mind-sets, with similarly negative Relatable and social consequences. Merely viewing desirable consumer goods resulted in increases in materialistic concerns and led to heightened negative affect and reduced social involvement (Experiment 1). Framing a computer task as a “Consumer Reaction Study” led to a stronger automatic bias toward values reflecting self-enhancement, compared with framing the same task as a “Citizen Reaction Study” (Experiment 2). Consumer cues also increased competitiveness (Experiment 3) and selfishness in a water-conservation dilemma (Experiment 4). Thus, the costs of materialism are not localized only in particularly materialistic people, but can also be found in individuals who happen to be exposed to environmental cues that activate consumerism—cues that are commonplace in contemporary society.</t>
  </si>
  <si>
    <t>http://pss.sagepub.com/content/early/2012/03/16/0956797611429579</t>
  </si>
  <si>
    <t>Identity general</t>
  </si>
  <si>
    <t xml:space="preserve">The story of Capannori – A #ZeroWaste champion http://ow.ly/WmlEG </t>
  </si>
  <si>
    <t>Rossland's Energy Diet sparks a trend</t>
  </si>
  <si>
    <t>Andrew Bennet</t>
  </si>
  <si>
    <t>The Rossland Telegraph</t>
  </si>
  <si>
    <t>Cyclone Sidr in Bangladesh: Damage, loss, and needs assessment for disaster recovery and reconstruction</t>
  </si>
  <si>
    <t>Government of Bangladesh</t>
  </si>
  <si>
    <t>How Will I Be Remembered? Conserving the Environment for the Sake of One’s Legacy</t>
  </si>
  <si>
    <t>Zaval, L., Markowitz, E. M., &amp; Weber, E. U.</t>
  </si>
  <si>
    <t>On 15 November 2007, Cyclone Sidr struck the south-west coast of Bangladesh with winds up to 240 kilometers per hour. The category 4 storm was accompanied by tidal waves up to five meters high and surges up to 6 meters in some areas, breaching coastal and river embankments, flooding low-lying areas and causing extensive physical destruction. High winds and floods also caused damage to housing, roads, bridges, and other infrastructure. Electricity and communication were knocked out, and roads and waterways became impassable. Drinking water was contaminated by debris and many sources were inundated with saline water from tidal surges, and sanitation infrastructure was destroyed.
The cyclone was the second natural disaster to affect Bangladesh in twelve months. Monsoon floods had previously caused extensive agricultural production losses and destruction of physical assets, totaling near US$ 1.1 billion. The occurrence of these events in close succession is a reminder of the country's extreme vulnerability to frequent hydro-meteorological hazards, which stand to be further exacerbated because of climate change.</t>
  </si>
  <si>
    <t>http://reliefweb.int/report/bangladesh/cyclone-sidr-bangladesh-damage-loss-and-needs-assessment-disaster-recovery-and</t>
  </si>
  <si>
    <t>Long time horizons and social distance are viewed as key psychological barriers to proenvironmental action, particularly regarding climate change. We suggest that these challenges can be turned into opportunities by making salient long-term goals and motives, thus shifting preferences between the present self and future others. We tested whether individuals’ motivation to leave a positive legacy can be leveraged to increase engagement with climate change and other environmental problems. In a pilot study, we found that individual differences in legacy motivation were positively associated with proenvironmental behaviors and intentions. In a subsequent experiment, we demonstrated that priming legacy motives increased donations to an environmental charity, proenvironmental intentions, and climate-change beliefs. Domain-general legacy motives represent a previously understudied and powerful mechanism for promoting proenvironmental behavior.</t>
  </si>
  <si>
    <t>http://pss.sagepub.com/content/26/2/231</t>
  </si>
  <si>
    <t>Climate - Belief, Natural disasters</t>
  </si>
  <si>
    <t>Drought Experience and Perception of Climatic Change Among Great Plains Farmers</t>
  </si>
  <si>
    <t>Diggs, D. M.</t>
  </si>
  <si>
    <t>Great Plains Research</t>
  </si>
  <si>
    <t>7 Principles for Changing Behavior from Daniel Pink</t>
  </si>
  <si>
    <t>Debbie Miller</t>
  </si>
  <si>
    <t>Search Engine Journal</t>
  </si>
  <si>
    <t>How humans perceive, respond, and adapt to long-term climatic changer questions of fundamental interest to nature and society researchers. This paper analyzes the effect of drought experience on Great Plains farmers' perceptions of long-term climate change. Approximately three-quarters of all farmers surveyed believed that the climate is, or is possibly, changing. Drought experience, while perhaps not initiating concern for climate change, can solidify peoples' perceptions of the certainty and nature of the change. The potential cognitive heuristics used in the formation of climate change perceptions are discussed.</t>
  </si>
  <si>
    <t>Decision Science; tips for getting people to change their behavior</t>
  </si>
  <si>
    <t>Can nudges help to cut household energy consumption?</t>
  </si>
  <si>
    <t>Going green for self or for others? Gender and identity salience effects on sustainable consumption</t>
  </si>
  <si>
    <t>Imran Rasul and David Hollywood</t>
  </si>
  <si>
    <t>Pinto, D. C., Herter, M. M., Rossi, P., &amp; Borges, A.</t>
  </si>
  <si>
    <t>International Journal of Consumer Studies</t>
  </si>
  <si>
    <t>Studies highlight that if partnered with the right information, social norm techniques can help change consumer behaviour; Nudging</t>
  </si>
  <si>
    <t xml:space="preserve">The aim of this study is to explore the effects of gender and salient identity on sustainable consumption. In particular, this research investigates how gender effects on sustainable consumption may be contingent to the identity that is salient to the consumer during the evaluation process (personal vs. social). According to identity-based motivation theory, the salience of personal identity means that people temporarily think about themselves as individuals, whereas social identity salience means that people see themselves as part of a group. The results from an experimental study indicated that when personal identity was salient, female participants declared higher levels of sustainable consumption compared with male participants. However, when social identity was salient, male participants increased their sustainable consumption intentions to the same level as female participants. Finally, this research discusses the theoretical and managerial implications on identities, gender and sustainable consumption. </t>
  </si>
  <si>
    <t>SOCIAL NORMS</t>
  </si>
  <si>
    <t>New research sheds light on ‘at home’ recycling habits</t>
  </si>
  <si>
    <t>Normal = No; Easy = No</t>
  </si>
  <si>
    <t>Signs that encourage internalized recycling: Clinical validation, weak messages and “creative elaboration”</t>
  </si>
  <si>
    <t>Green Futures Magazine</t>
  </si>
  <si>
    <t>Werner, C. M., White, P. H., Byerly, S., &amp; Stoll, R.</t>
  </si>
  <si>
    <t>Normal = Yes; Easy = No</t>
  </si>
  <si>
    <t>Journal of Environmental Psychology</t>
  </si>
  <si>
    <t>"A six-month long study carried out by Coca-Cola Enterprises and the University of Exeter reveals the barriers to increasing recycling rates – and possible solutions for overcoming them."</t>
  </si>
  <si>
    <t>Can #nudges help to cut household#energy #consumption?http://ow.ly/UMMCU</t>
  </si>
  <si>
    <t>https://www.forumforthefuture.org/greenfutures/articles/new-research-sheds-light-‘-home’-recycling-habits</t>
  </si>
  <si>
    <t>Ordinatry - Comparison</t>
  </si>
  <si>
    <t>Easy, Ordinary, Vivid</t>
  </si>
  <si>
    <t>2, 7, 5</t>
  </si>
  <si>
    <t>Two experiments examined clinical validation's ability to increase examination of a persuasive message and increase long-term recycling. In Experiment 1, validating (acknowledging) recycling's inconvenience decreased criticism of the persuasive message, supporting validation's ability to reduce reactance and open the reader to new ideas. Validation did not improve attitudes towards the sign's author, removing liking for the communicator as an alternate explanation for attitude change. In Experiment 2, different recycling signs were created from a 2(no validation/validation) by 2(weak/strong arguments) factorial design, and placed in university buildings. The validation weak sign increased recycling more than the validation strong sign, especially after the signs were removed. We suggest that validation induced people to scrutinize the weak message and use their existing pro-recycling attitudes to “creatively elaborate” it. Discussion emphasizes clinical validation and the Elaboration Likelihood Model as theoretical tools, as well as the potential for thought provoking signs to have long-term effects.</t>
  </si>
  <si>
    <t> Simon Maaløe Jespersen</t>
  </si>
  <si>
    <t>SMUD: Sixty Years of Energy Conservation</t>
  </si>
  <si>
    <t>Barbara Crane</t>
  </si>
  <si>
    <t>Green Technology Magazine</t>
  </si>
  <si>
    <t>Household energy conservation in Sacramento</t>
  </si>
  <si>
    <t>Attention grabing poster placed next to light switches promots switching off of lights when not in use, thereby incresing nergy efficieny of buildings; Availability, Nudge, Standing out</t>
  </si>
  <si>
    <t>Climate - Belief, Climate - Communication, Whole system – Ecosystem/Conservation</t>
  </si>
  <si>
    <t>The Moral Roots of Environmental Attitudes</t>
  </si>
  <si>
    <t>Feinberg, M., &amp; Willer, R.</t>
  </si>
  <si>
    <t xml:space="preserve">How to apply social #science principles to try to induce customer actions that align with #social #good. http://ow.ly/WmliV #energy </t>
  </si>
  <si>
    <t>Americans’ attitudes about the environment are highly polarized, but it is unclear why this is the case. We conducted five studies to examine this issue. Studies 1a and 1b demonstrated that liberals, but not conservatives, view the environment in moral terms and that this tendency partially explains the relation between political ideology and environmental attitudes. Content analyses of newspaper op-eds (Study 2a) and public-service announcements (Study 2b) found that contemporary environmental discourse is based largely on moral concerns related to harm and care, which are more deeply held by liberals than by conservatives. However, we found that reframing proenvironmental rhetoric in terms of purity, a moral value resonating primarily among conservatives, largely eliminated the difference between liberals’ and conservatives’ environmental attitudes (Study 3). These results establish the importance of moralization as a cause of polarization on environmental attitudes and suggest that reframing environmental discourse in different moral terms can reduce the gap between liberals and conservatives in environmental concern.</t>
  </si>
  <si>
    <t>http://pss.sagepub.com/content/24/1/56</t>
  </si>
  <si>
    <t>Easy = No; Vivid = No; Normal = No</t>
  </si>
  <si>
    <t>Experiment ‘Click’, aimed at reducing energy usage at an university by combining #priming with greater #salience http://ow.ly/TYJrq </t>
  </si>
  <si>
    <t>Easy, Relatable</t>
  </si>
  <si>
    <t>2, 8</t>
  </si>
  <si>
    <t>Real time advertising could play role in sustainable behaviour change</t>
  </si>
  <si>
    <t>Harriet Kingabay</t>
  </si>
  <si>
    <t>Is it time for environmental campaigns to follow the lead of the marketing industry and create personalized environmental messaging? The technology has the potential to become a powerful change agent by nudging people towards green behaviors in real time; social marketing</t>
  </si>
  <si>
    <t>Framing, Politics, and Energy Choices</t>
  </si>
  <si>
    <t>Gromet, D. M., &amp; Kunreuther, H.</t>
  </si>
  <si>
    <t>The Wharton School Universtiy of Pennsylvania</t>
  </si>
  <si>
    <t>Does interest in adopting energy efficient and renewable energy technology depend on the way that such energy innovations are framed, and how these messages resonate with individuals’ political leanings? Across three studies, framing innovations as reducing negative aspects of energy use versus increasing positive aspects interacted with political leanings to affect individuals’ energy choices. Whereas Democrats were more inclined than non-Democrats to learn about becoming a solar adopter (Studies 1 and 3) or to buy an energy efficient light bulb (Study 2) when reduce messages were used, this pattern reversed with increase messages. This effect is primarily driven by the different emphases of these framings, with reduce messages conveying that individuals have a personal obligation to adopt these innovations (appealing more to Democrats) and increase messages conveying that individuals will personally benefit from adoption (appealing more to non-Democrats). The results highlight the importance of understanding how different framings resonate with individuals’ political leanings to guide their energy choices.</t>
  </si>
  <si>
    <t>http://fiesta.bren.ucsb.edu/~sanderson/Gromet%20Framing,%20Politics,%20and%20Energy%20Choices.pdf</t>
  </si>
  <si>
    <t xml:space="preserve">Highlight identities </t>
  </si>
  <si>
    <t>Feeling the green? Value orientation as a moderator of emotional response to green electricity</t>
  </si>
  <si>
    <t>Nilsson, A., Hansla, A., &amp; Biel, A.</t>
  </si>
  <si>
    <t>Journal of Applied Social Psychology</t>
  </si>
  <si>
    <t>Eco laundry habits are about more than sustainable washing machines</t>
  </si>
  <si>
    <t>Luke Yates and David Evans</t>
  </si>
  <si>
    <t>Framing effects on emotional responses in a green electricity choice are investigated in a survey of a random sample of 655 Swedish residents. The results show that overall more positive and less negative emotions are experienced for a promotion frame (“choosing green electricity and paying more”) than for a prevention frame (“not choosing green electricity and paying less”). Value orientation is shown to moderate the framing effect in that for the promotion frame, individuals with a selftranscendence value orientation show the most positive and least negative emotion, whereas for the prevention frame, individuals with a self-enhancement value orientation show the most positive and least negative emotion. Emotional responses are further shown to mediate the relationship between value orientation and intention to purchase eco-labeled electricity.</t>
  </si>
  <si>
    <t>http://onlinelibrary.wiley.com/store/10.1111/jasp.12258/asset/jasp12258.pdf;jsessionid=9297C6A87A7630F810662330B1C22FD2.f01t04?v=1&amp;t=iqe5ujjc&amp;s=867bcab5a6994946c19bd8c6cab9d8d88e393944</t>
  </si>
  <si>
    <t>Problem, Solution</t>
  </si>
  <si>
    <t>The polarizing impact of science literacy and numeracy on perceived climate change risks</t>
  </si>
  <si>
    <t>Kahan, D. M., Peters, E., Wittlin, M., Slovic, P., Ouellette, L. L., Braman, D., &amp; Mandel, G.</t>
  </si>
  <si>
    <t>Nature Climate Change</t>
  </si>
  <si>
    <t>Seeming public apathy over climate change is often attributed to a deficit in comprehension. The public knows too little science, it is claimed, to understand the evidence or avoid being misled. Widespread limits on technical reasoning aggravate the problem by forcing citizens to use unreliable cognitive heuristics to assess risk. We conducted a study to test this account and found no support for it. Members of the public with the highest degrees of science literacy and technical reasoning capacity were not the most concerned about climate change. Rather, they were the ones among whom cultural polarization was greatest. This result suggests that public divisions over climate change stem not from the public’s incomprehension of science but from a distinctive conflict of interest: between the interest individuals have in forming beliefs in line with those held by others with whom they share close ties and the collective one they all share in making use of the best available science to promote common welfare.</t>
  </si>
  <si>
    <t>Aiming to reduce cleaning costs</t>
  </si>
  <si>
    <t>Works That Work</t>
  </si>
  <si>
    <t>Nudge</t>
  </si>
  <si>
    <t>Speaks of cultural cognition (group confirmation bias).</t>
  </si>
  <si>
    <t>Relatable = Yes (Removed); Uncomfortable = No; Consistent = No</t>
  </si>
  <si>
    <t>Relatable = No; Uncomfortable = No; Consistent = No</t>
  </si>
  <si>
    <t>Aiming To Reduce Cleaning Costs. &lt;-- Clever title http://ow.ly/TNUkt </t>
  </si>
  <si>
    <t xml:space="preserve">yes! </t>
  </si>
  <si>
    <t>The polarizing impact of #science literacy and numeracy on perceived #climatechange risks http://ow.ly/Xs4wH</t>
  </si>
  <si>
    <t>Consumption - Paper use</t>
  </si>
  <si>
    <t xml:space="preserve">Whole system - Carbon footprint </t>
  </si>
  <si>
    <t>Political Ideology Affects Energy-Efficiency Attitudes and Choices</t>
  </si>
  <si>
    <t>Gromet, D. M., Kunreuther, H., &amp; Larrick, R. P.</t>
  </si>
  <si>
    <t>PNAS</t>
  </si>
  <si>
    <t>"No ads, please" - A green nudge for reducing paper waste</t>
  </si>
  <si>
    <t>Georg Liebig and Jens Rommel</t>
  </si>
  <si>
    <t>By attaching stickers that say "no junk mail" to mailboxes, people were able to reduce the amount of paper waste that they accumulated from junk mail.</t>
  </si>
  <si>
    <t>This research demonstrates how promoting the environment can negatively affect adoption of energy efficiency in the United States because of the political polarization surrounding environmental issues. Study 1 demonstrated that more politically conservative individuals were less in favor of investment in energy-efficient technology than were those who were more politically liberal. This finding was driven primarily by the lessened psychological value that more conservative individuals placed on reducing carbon emissions. Study 2 showed that this difference has consequences: In a real-choice context, more conservative individuals were less likely to purchase a more expensive energy-efficient light bulb when it was labeled with an environmental message than when it was unlabeled. These results highlight the importance of taking into account psychological value-based considerations in the individual adoption of energy-efficient technology in the United States and beyond.</t>
  </si>
  <si>
    <t>http://www.pnas.org/content/110/23/9314.abstract</t>
  </si>
  <si>
    <t xml:space="preserve">Climate - Communication, Climate - Mitigation </t>
  </si>
  <si>
    <t>Geoengineering and the Science Communication Environment: A Cross-Cultural Experiment</t>
  </si>
  <si>
    <t>Braman, D., Kahan, D. M., Jenkins-Smith H. C., Tarantola, T., &amp; Silva, C. L.</t>
  </si>
  <si>
    <t>GW Law Faculty Publications</t>
  </si>
  <si>
    <t>paper project</t>
  </si>
  <si>
    <t>People throw away large amounts of junk mail and this wastes #resources. These legally binding stickers help. http://bit.ly/1FMMYrW  #nudges</t>
  </si>
  <si>
    <t>We conducted a two-nation study (United States, n = 1500; England, n = 1500) to test a novel theory of science communication. The cultural cognition thesis posits that individuals make extensive reliance on cultural meanings in forming perceptions of risk. The logic of the cultural cognition thesis suggests the potential value of a distinctive two-channel science communication strategy that combines information content (“Channel 1”) with cultural meanings (“Channel 2”) selected to promote openminded assessment of information across diverse communities. In the study, scientific information content on climate change was held constant while the cultural meaning of that information was experimentally manipulated. Consistent with the study hypotheses, we found that making citizens aware of the potential contribution of geoengineering as a supplement to restriction of CO2 emissions helps to offset cultural polarization over the validity of climate-change science. We also tested the hypothesis, derived from competing models of science communication, that exposure to information on geoengineering would provoke discounting of climate-change risks generally. Contrary to this hypothesis, we found that subjects exposed to information about geoengineering were slightly more concerned about climate change risks than those assigned to a control condition.</t>
  </si>
  <si>
    <t>http://scholarship.law.gwu.edu/cgi/viewcontent.cgi?article=1284&amp;context=faculty_publications</t>
  </si>
  <si>
    <t>Resonate = Yes; Default = Yes</t>
  </si>
  <si>
    <t>Resonate = No; Default = No</t>
  </si>
  <si>
    <t>Edinburgh 'Nudging' Success in Recycling</t>
  </si>
  <si>
    <t xml:space="preserve">People’s knowledge about climate change: Uncertainty as a guide to future commitments </t>
  </si>
  <si>
    <t>Sundblad, I.</t>
  </si>
  <si>
    <t>University of Gothenburg</t>
  </si>
  <si>
    <t>A recent study from UCLA demonstrates that messages about environmental and personal health can be more effective at encouraging residents to save electricity than messages about saving money. This may be because electricity is relatively inexpensive, so reducing electricity consumption is not an effective way to save large sums of money for most people; A recent study from UCLA demonstrates that messages about environmental and personal health--such as how the production of electricity harms the environment and increases risks of childhood asthma and cancer--can be more effective at encouraging residents to save electricity than messages about saving money. Interestingly, this result occurs in spite of the fact that participants in the study ranked saving money as a higher priority than protecting health. The authors hypothesize that this occurs because electricity is relatively inexpensive, so reducing electricity consumption is not an effective way to save large sums of money. ; Decision Science; smaller waste bins lead in higher recycling rates</t>
  </si>
  <si>
    <t xml:space="preserve">Knowledge of climate change is provided by scientists to other groups in society who have to interact to establish sustainable development. Hence, the knowledge must reach people and the content must be evaluated as important and relevant. In Study 1, knowledge and confidence in one’s own knowledge was studied in a survey among four groups in society: experts, politicians, environmental journalists and laypersons. The study revealed gradually decreasing knowledge levels from experts to journalists, politicians and laypersons. The confidence levels showed a similar pattern. Both knowledge and confidence levels were higher for causes than state and consequences of climate change. All groups had less knowledge of health consequences as compared to weather and sea/glacier consequences. The realism of confidence in their own knowledge was somewhat higher among journalists than among experts, and relatively low among politicians and laypersons. Study II tested to what extent scientific knowledge of various domains was related to cognitive and affective risk judgements among laypersons. Subgroups divided by gender, being a parent or not, education, age and type of residence were analyzed. The results revealed that knowledge of both health consequences and causes of climate change was positively related to cognitive and affective risk judgements. Gender influenced affective but not cognitive risk judgements, as women were more worried than men. Study III revealed that information of scientific uncertainty of climate consequences influence risk perception. Study IV revealed that temporal distance to negative environmental consequences did not influence participants’ intention to mitigate CO2 emissions. Taken together, this research represents some steps towards a greater understanding of what facilitates and hinders the process toward a sustainable society. The studies show that scientific knowledge about climate change seems to be disseminated in an unbiased manner in society. Moreover, the results support the claim that both knowledge and confidence levels will increase when people learn more about climate change. In particular, risk awareness can be raised by increased knowledge of health consequences and of causes of climate change. </t>
  </si>
  <si>
    <t>Easy: yes</t>
  </si>
  <si>
    <t>Introduction of smaller waste bins in Edinburgh increases #recycling rate by 85% http://bit.ly/1BZKqpC</t>
  </si>
  <si>
    <t>Asia, Canada and the US, Europe</t>
  </si>
  <si>
    <t>42, 40, 41</t>
  </si>
  <si>
    <t>National Differences in Environmental Concern and Performance are Predicted by Country Age</t>
  </si>
  <si>
    <t>Hershfield, H. E., Bang, H. M., &amp; Weber, E. U.</t>
  </si>
  <si>
    <t>There are obvious economic predictors of ability and willingness to invest in environmental sustainability. Yet, given that environmental decisions represent trade-offs between present sacrifices and uncertain future benefits, psychological factors may also play a role in country-level environmental behavior. Gott’s principle suggests that citizens may use perceptions of their country’s age to predict its future continuation, with longer pasts predicting longer futures. Using country- and individual-level analyses, we examined whether longer perceived pasts result in longer perceived futures, which in turn motivate concern for continued environmental quality. Study 1 found that older countries scored higher on an environmental performance index, even when the analysis controlled for country-level differences in gross domestic product and governance. Study 2 showed that when the United States was framed as an old country (vs. a young one), participants were willing to donate more money to an environmental organization. The findings suggest that framing a country as a long-standing entity may effectively prompt proenvironmental behavior.</t>
  </si>
  <si>
    <t>http://pss.sagepub.com/content/early/2013/11/20/0956797613501522</t>
  </si>
  <si>
    <t>Recycling Bins 34% More Effective When They Have...Holes!</t>
  </si>
  <si>
    <t xml:space="preserve">What’s in a name? Commonalities and differences in public understanding of “climate change” and “global warming” </t>
  </si>
  <si>
    <t>Whitmarsh, L.</t>
  </si>
  <si>
    <t>Public Understanding of Science</t>
  </si>
  <si>
    <t xml:space="preserve">This paper reports on findings from a survey of public understanding of climate change and global warming amongst residents in the south of England. Whereas much previous research has relied on survey checklists to measure public under- standing of climate change, this study employed a more qualitative approach to reveal participants’ unprompted conceptions of climate change and global warm- ing. Overall, the findings show a tendency for the public to dissociate themselves from the causes, impacts, and responsibility for tackling climate change/global warming. This research gave particular attention to how terminology is understood by the public. The findings point to important qualitative, as well as quantitative, differences between public understanding of “climate change” and public under- standing of “global warming.” Furthermore, the latter term was found to evoke more concern than the former. As discussed in the article, these results have impor- tant implications for both researchers and communicators. </t>
  </si>
  <si>
    <t xml:space="preserve">Recycling Bins 34% More Effective When They Have...Holes! http://ow.ly/TNUlB  </t>
  </si>
  <si>
    <t>Optimism bias</t>
  </si>
  <si>
    <t>The green footprints reach Ashfield, England</t>
  </si>
  <si>
    <t>Simon Snoghoj</t>
  </si>
  <si>
    <t>With Post-Its and Checklists, Schools Cut Their Energy Bills</t>
  </si>
  <si>
    <t>Winnie Hu</t>
  </si>
  <si>
    <t>NY schools using nudges to save on energy</t>
  </si>
  <si>
    <t xml:space="preserve">Stickers like these offer reminders to students to conserve #energy at school. http://ow.ly/WMQ0q </t>
  </si>
  <si>
    <t>Consumption - Energy, Waste Management - Littering</t>
  </si>
  <si>
    <t>Valuing cultural differences in behavioral economics</t>
  </si>
  <si>
    <t>Levinson, J. D., Richardson, W. S., &amp; Peng, K.</t>
  </si>
  <si>
    <t>ICFAI Journal of Behavioral Finance</t>
  </si>
  <si>
    <t>"Nudge" Back in Fashion at White House</t>
  </si>
  <si>
    <t>Courtney Subramanian</t>
  </si>
  <si>
    <t>public policy design; team of social scientists chosen by President Obama to study human behavior and design public policy based on social experiments; general decision science</t>
  </si>
  <si>
    <t xml:space="preserve">Behavioral economic research has tended to ignore the role of cultural differences in financial and economic decision-making. The authors suggest that a systematic bias affects existing behavioral economic theory—financial and economic judgments, whether rational or irrational, are often assumed to be universal. The authors conducted an empirical study in the United States and China to examine how cultural background informs economic decision-making and to test whether framing, morality, and out-group information affects judgments of financial value and property ownership across cultures. Results of the study demonstrated dramatic cultural differences in financial value estimations, as well as on the influence of variables such as framing, morality and group membership . Chinese participants made higher object value estimates than Americans did, even when adjusting for differing national inflation rates. In addition, the results showed that framing effects affected both American and Chinese participants, but in different ways. Other contextual factors such as morality information and group membership also affected Chinese participants’ judgments of financial values and property ownership. The results underscore the importance of understanding the influence of cultural background on economic decision-making. </t>
  </si>
  <si>
    <t>http://culcog.berkeley.edu/Publications/2007BF_CulturalEconomics.pdf</t>
  </si>
  <si>
    <t xml:space="preserve">Yes-- interesting point to be made about cultural differences </t>
  </si>
  <si>
    <t>Government decision science teams spreading internationally</t>
  </si>
  <si>
    <t xml:space="preserve">Framing and sources: a study of mass media coverage of climate change in Peru during the V ALCUE </t>
  </si>
  <si>
    <t>Takahashi, B.</t>
  </si>
  <si>
    <t>Why Human-Centered Design Matters</t>
  </si>
  <si>
    <t>Dave Thomsen</t>
  </si>
  <si>
    <t xml:space="preserve">Why human centered design matters </t>
  </si>
  <si>
    <t xml:space="preserve">Studies about mass media framing have found divergent levels of influence on public opinion; moreover, the evidence suggests that issue attributes can contribute to this difference. In the case of climate change, studies have focused exclusively on developed countries, suggesting that media influence perceptions about the issue. This study presents one of the first studies of media coverage in a developing country. It examines newspapers’ reporting in Peru during the Fifth Latin America, Caribbean and European Union Summit in May 2008. The study focuses on the frames and the sources to provide an initial exploratory assessment of the coverage. The results show that the media relied mostly on government sources, giving limited access to dissenting voices such as environmentalists. Additionally, a prominence of “solutions” and “effects” frames was found, while “policy” and “science” frames were limited. The results could serve as a reference point for more comprehensive studies. </t>
  </si>
  <si>
    <t>Changing climate, changing minds: applying the literature on media effects, public opinion, and the issue-attention cycle to increase public understanding of climate change</t>
  </si>
  <si>
    <t>McDonald, S.</t>
  </si>
  <si>
    <t>IJSC</t>
  </si>
  <si>
    <t>Why Human-Centered Design Matters http://ow.ly/TMGGp  @Wired</t>
  </si>
  <si>
    <t>While media coverage and public discourse on climate change have increased significantly in the U.S. in recent years, it is not clear that this communication has gone beyond political elites to inspire action among the mass public. This paper applies knowledge from 30 years of literature on media effects and public opinion to the issue of climate change, examining the role of key communications concepts such framing, priming, agenda-setting, and the issue- attention cycle. As the environment achieves prominence for the third time since the 1970s, this paper examines characteristics of information that would increase the accessibility and salience of the climate change issue for the general public.</t>
  </si>
  <si>
    <t xml:space="preserve">Climate - General </t>
  </si>
  <si>
    <t>Climate Change's Overlooked Sociological Side</t>
  </si>
  <si>
    <t>Jan Ellen Spiegel</t>
  </si>
  <si>
    <t>Overview of how sociological concepts are integral to climate change discussions (for example, status consumption)</t>
  </si>
  <si>
    <t>Climate Change's Overlooked Sociological Side http://ow.ly/TMGaP </t>
  </si>
  <si>
    <t>Advancing the Role of Psychology in Environmental Sustainability</t>
  </si>
  <si>
    <t>Melissa Andreychek</t>
  </si>
  <si>
    <t>National Socio-Environmental Synthesis Center</t>
  </si>
  <si>
    <t>http://www.sesync.org/blog/psychology-environmental-sustainability</t>
  </si>
  <si>
    <t xml:space="preserve">preparing for climate-related #publichealth crises are at the forefront of...debates worldwide http://ow.ly/ORA9v  </t>
  </si>
  <si>
    <t>“Fear Won’t Do It” Promoting Positive Engagement With Climate Change Through Visual and Iconic Representations</t>
  </si>
  <si>
    <t>O’Neill, S., &amp; Nicholson-Cole, S.</t>
  </si>
  <si>
    <t>Science Communication</t>
  </si>
  <si>
    <t>Fear-inducing representations of climate change are widely employed in the public domain. However, there is a lack of clarity in the literature about the impacts that fearful messages in climate change communications have on people's senses of engagement with the issue and associated implications for public engagement strategies. Some literature suggests that using fearful representations of climate change may be counterproductive. The authors explore this assertion in the context of two empirical studies that investigated the role of visual, and iconic, representations of climate change for public engagement respectively. Results demonstrate that although such representations have much potential for attracting people's attention to climate change, fear is generally an ineffective tool for motivating genuine personal engagement. Nonthreatening imagery and icons that link to individuals' everyday emotions and concerns in the context of this macro-environmental issue tend to be the most engaging. Recommendations for constructively engaging individuals with climate change are given.</t>
  </si>
  <si>
    <t>http://cstpr.colorado.edu/students/envs_4800/oneill_2009.pdf</t>
  </si>
  <si>
    <t xml:space="preserve">Associations, Benefits </t>
  </si>
  <si>
    <t xml:space="preserve">Associations - Emphasize potential loss over potential gain, Benefits - Use penalties wisely </t>
  </si>
  <si>
    <t>Can Small Incentives Have Large Effects? The Impacts of Taxes versus Bonuses on Disposable Bag Use</t>
  </si>
  <si>
    <t>Homonoff, T. A.</t>
  </si>
  <si>
    <t>Princeton University Working Paper</t>
  </si>
  <si>
    <t xml:space="preserve">Financial incentives are an important policy tool for encouraging prosocial behavior. However, evidence on the effect of very small financial incentives is mixed. Drawing on an original data set, I investigate the effect of a five-cent shopping bag tax imposed in the Washington Metropolitan Area. Despite the small size of the incentive, I find that the tax decreased the fraction of customers using a disposable bag by a substantial amount. In contrast, a similar policy that offered customers a five-cent bonus for reusable bag use generated virtually no effect on behavior. This pattern is consistent with a model of loss aversion and underscores the importance of the form a financial incentive takes -- a tax versus a bonus -- when designing policies aimed at shaping customer behavior. </t>
  </si>
  <si>
    <t>http://www.human.cornell.edu/pam/people/upload/Homonoff-Can-Small-Incentives-Have-Large-Effects.pdf</t>
  </si>
  <si>
    <t>disposable vs reusable</t>
  </si>
  <si>
    <t xml:space="preserve">Energy Chickens: Energy Behavior Change </t>
  </si>
  <si>
    <t xml:space="preserve">Penn State University </t>
  </si>
  <si>
    <t>Here's everything we know about how to talk about climate change</t>
  </si>
  <si>
    <t>guidelines on the best effective way of reaching people when talking about climate change; aligns very well with the behavioral building blocks</t>
  </si>
  <si>
    <t>A Psychologist Explains Why People Don't Give a Shit About Climate Change</t>
  </si>
  <si>
    <t>Bill Kilby</t>
  </si>
  <si>
    <t>Vice</t>
  </si>
  <si>
    <t>To motivate climate activists, use optimism</t>
  </si>
  <si>
    <t>Behavior; Positive messaging</t>
  </si>
  <si>
    <t xml:space="preserve">Importance of positive messaging/providing hope about answers to climate change for motivating action in consitituents </t>
  </si>
  <si>
    <t>A Psychologist Explains Why People Don't Give a Shit About #ClimateChange http://ow.ly/TMHcV  @vice</t>
  </si>
  <si>
    <t>So it turns out, #hope is important. To motivate #climate activists, use optimism. http://ow.ly/XShfd</t>
  </si>
  <si>
    <t>How to get Californians to use less water - without forcing them to</t>
  </si>
  <si>
    <t>Is it hot in here? Or is the climate changing?</t>
  </si>
  <si>
    <t>Miller-McCune</t>
  </si>
  <si>
    <t xml:space="preserve">Want someone to believe in climate change – turn the heat up! Author introduces the concept "visceral fit," explaining that the temperature we feel at any given moment informs how we perceive the future of climate change. </t>
  </si>
  <si>
    <t>As California governments and municipalities look for ways to conserve water, many are turning to behavior-based interventions. One of the most prevalent ideas is adopting dynamic pricing mechanisms that adjust water prices based on characteristics of individual homes. WaterSmart's social-norms inspired programs are also gaining attention. </t>
  </si>
  <si>
    <t xml:space="preserve">interesting point: utilizing air conditioning might actually make us collectively less likely to react to climate change, even during a season that should otherwise prompt us to care about climate change. </t>
  </si>
  <si>
    <t>Ordinary - Make sure the context reflects the norm</t>
  </si>
  <si>
    <t>Hopeful - Feedback, Ordinary - Comparison</t>
  </si>
  <si>
    <t>Associations, Easy, Hopeful</t>
  </si>
  <si>
    <t>4, 2, 3</t>
  </si>
  <si>
    <t>Associations - Emphasize potential loss over potential gain, Easy - Make it the default setting, Hopeful - Provide feedback</t>
  </si>
  <si>
    <t>Watch global warming spiral out of control</t>
  </si>
  <si>
    <t>Brian Kahn</t>
  </si>
  <si>
    <t>Opower keeps improving its message to get people to use less energy</t>
  </si>
  <si>
    <t>Mohana Ravindranath</t>
  </si>
  <si>
    <t>On the use and potential of behavioural economics from the perspective of transport and climate change</t>
  </si>
  <si>
    <t>talks about the circual temperature spiral graph created by climate scientist Ed Hawkins; it was very popular on social media as it provided a novel and creative way of looking at increasing temperature changes</t>
  </si>
  <si>
    <t xml:space="preserve">Avineri, E. </t>
  </si>
  <si>
    <t>Journal of Transport Geography</t>
  </si>
  <si>
    <t>It can be argued that the main thinking in transport planning and policy making stem from neoclassical economics in which individuals are largely assumed to make rational, consistent, and efficient choices, and apply cognitive processes of decision making that maximise their economic utility. Research in behavioural sciences indicates that individuals’ choices in a wide range of contexts deviate from the predictions of the rational man paradigm inspired the research agenda in the field of travel behaviour. New concepts and practices of government aim to apply some behavioural economics insights in the design of behavioural change initiatives and measures, an approach recently advocated in the US and the UK. This paper provides a brief review on the use and potential of behavioural economics from the perspective of transport and climate change, in two main contexts: travel demand modelling and design of behaviour change measures. The discussion of limitations and knowledge gaps associated with the implementation of behavioural economics to a travel behaviour context might contribute to the debate and help in defining research agenda in this area.</t>
  </si>
  <si>
    <t>Feedback = No; Normal = No</t>
  </si>
  <si>
    <t>Feedback = Yes; Normal = No</t>
  </si>
  <si>
    <t>Here's a great example of using visuals to convey difficult scientific concepts!</t>
  </si>
  <si>
    <t>Opower keeps improving its message to get people to use less energy http://wapo.st/17ezY0v  via @washingtonpost</t>
  </si>
  <si>
    <t>http://wapo.st/17ezY0v</t>
  </si>
  <si>
    <t>Hopeful - Feedback, Ordinary - Provide Positive Social Proof</t>
  </si>
  <si>
    <t>Hopeful, Relatable</t>
  </si>
  <si>
    <t>3, 8</t>
  </si>
  <si>
    <t>How to convince the climate slacker to get serious</t>
  </si>
  <si>
    <t>Comedy vs. anti-science: 10 amazing videos that show how humor can make a difference</t>
  </si>
  <si>
    <t>Sarah Gray</t>
  </si>
  <si>
    <t xml:space="preserve">communication-- using humor to explain climate science </t>
  </si>
  <si>
    <t>proposes a "message triangle" (the threat, the villain, the solution) to talk about climate change</t>
  </si>
  <si>
    <t>Associations, Easy, Identity</t>
  </si>
  <si>
    <t>4, 2, 6</t>
  </si>
  <si>
    <t>Climate - General, Whole system - Ecosystem/Conservation</t>
  </si>
  <si>
    <t>2000, 22000</t>
  </si>
  <si>
    <t>Two Avenues for Encouraging Conservation Behaviors</t>
  </si>
  <si>
    <t>Monroe, M.</t>
  </si>
  <si>
    <t>Human Ecology Review</t>
  </si>
  <si>
    <t xml:space="preserve">Comedy vs. anti-science: 10 amazing videos that show how humor can make a difference http://ow.ly/Y0RTA </t>
  </si>
  <si>
    <t>Environmental organizations and natural resource agencies often seek education and communication strategies to encourage effective conservation behaviors.  This paper extends the discussion from the Conservation Psychology Dialogue in May 2002 to define two broad avenues for activities that may nudge individuals and society toward more responsible environmental behaviors: the specific route of changing behavior with social marketing tools and the general route of cultivating environmental literacy through educational programs. A review of the research literature identifies some of the factors that encourage targeted behaviors and factors that contribute to environmental literacy. Strategies related to implementing programs in both areas are offered.  Behavior change strategies include: ways of tailoring a message to the audience, types of information to provide, and methods for creating commitment.  Ideas for how to promote environmental literacy can be found in research concerning significant life experiences and environment-based education.</t>
  </si>
  <si>
    <t xml:space="preserve">Hopeful, Relatable </t>
  </si>
  <si>
    <t>Three Ways to build deep public support on climate change</t>
  </si>
  <si>
    <t>How to tell the story of climate change, in photos</t>
  </si>
  <si>
    <t>briefly discusses the different kinds of photos that evoke responses from people</t>
  </si>
  <si>
    <t xml:space="preserve">Associations - Emphasize potential loss over potential gain, Hopeful - Highlight successes </t>
  </si>
  <si>
    <t>Assessing the impact of decision frame and existing attitudes on support for wolf restoration in the United States</t>
  </si>
  <si>
    <t>Wilson, R.S., &amp; Bruskotter, J. T.</t>
  </si>
  <si>
    <t>Human Dimensions of Wildlife</t>
  </si>
  <si>
    <t>This article examines (a) the effect of previous restoration success and communication vividness on support for future wolf restoration efforts, (b) differentiates between the effect of these constructs and pre-existing attitudes, and (c) provides insight into improving communications about high-profile species restoration. Data were obtained from an online experiment conducted with U.S. residents in 2008. Attitudes toward protecting endangered species influenced participants’ attitudes toward wolf restoration, associated voting preferences, and the amount they were willing to donate to future efforts. Priming subjects with information about past failed efforts resulted in a more negative attitude toward wolf restoration compared to those primed with information about successful efforts. This effect, however, did not extend to voting or donating preferences. These results suggest that both existing attitudes and the adopted decision frame contribute to how specific wolf restoration attitudes are formed and changed.</t>
  </si>
  <si>
    <t>http://www.tandfonline.com/doi/pdf/10.1080/10871200903045236</t>
  </si>
  <si>
    <t xml:space="preserve">Associations - Meet people where they are , Hopeful - None </t>
  </si>
  <si>
    <t>Sustainable Development Narratives for Wales: A Framework for Communications</t>
  </si>
  <si>
    <t>Marshall, G., &amp; Darnton, A.</t>
  </si>
  <si>
    <t>Wales</t>
  </si>
  <si>
    <t>http://gov.wales/docs/dsjlg/publications/140206-sus-dev-narratives.pdf</t>
  </si>
  <si>
    <t xml:space="preserve">Yes-- for hopeful content </t>
  </si>
  <si>
    <t>Associations, Hopeful, Identity, Ordinary, Relatable</t>
  </si>
  <si>
    <t>4, 3, 6, 7, 8</t>
  </si>
  <si>
    <t>Meeting Environmental Challenges: The Role of Human Identity</t>
  </si>
  <si>
    <t xml:space="preserve">Crompton, Tom, &amp; Kasser, T.  </t>
  </si>
  <si>
    <t xml:space="preserve">World Wildlife Fund </t>
  </si>
  <si>
    <t>The study suggests that some environmental campaigning currently operates inadvertently to exacerbate these unhelpful aspects of identity. It also points to ways in which environmental organisations could begin to work in order to activate more helpful aspects of identity. Finally, it highlights new opportunities for collaborations across diverse civil society organisations to begin to address fundamental barriers to delivery on a range of concerns - from biodiversity loss to poverty alleviation, and racism to animal welfare abuses.  </t>
  </si>
  <si>
    <t>http://assets.wwf.org.uk/downloads/meeting_environmental_challenges___the_role_of_human_identity.pdf?_ga=1.247492679.1559531037.1469644544</t>
  </si>
  <si>
    <t>Climate - Mitigation, Wildlife - Conservation</t>
  </si>
  <si>
    <t>Behavioral Economics, Consumption, and Environmental Protection</t>
  </si>
  <si>
    <t>Handbook of Research on Sustainable Consumption</t>
  </si>
  <si>
    <t>Behavioral economists have shown that consumers may disregard the long-term, display unrealistic optimism, ignore shrouded attributes, procrastinate, make mistaken judgments about probability, and suffer from “internalities,” which occur when people make decisions that hurt their future selves. Moreover, choice architecture, understood as the social background, is always present, and it can have major consequences for both consumption decisions and environmental outcomes. Small changes in the underlying architecture may have a large impact on consumer behavior, potentially even larger than that of significant economic incentives. Such changes may involve disclosure, warnings, default rules, increased salience, and use of social norms. In the domain of environmental protection, non-price interventions, preserving freedom of choice, have considerable potential.</t>
  </si>
  <si>
    <t>Climate change is a major threat to us all, but here's why you might not care</t>
  </si>
  <si>
    <t>Lydia O'Connor</t>
  </si>
  <si>
    <t>Overkill effect in action, fatigue sets in when we're exposed to too much information</t>
  </si>
  <si>
    <t xml:space="preserve">Energy - Renewables, Consumption - Freshwater </t>
  </si>
  <si>
    <t>Why Your Customers’ Social Identities Matter</t>
  </si>
  <si>
    <t xml:space="preserve">Guy Champniss, Hugh N. Wilson, and Emma K. Macdonald </t>
  </si>
  <si>
    <t xml:space="preserve">Harvard Business Review </t>
  </si>
  <si>
    <t>Jan-Feb 2015</t>
  </si>
  <si>
    <t>https://hbr.org/2015/01/why-your-customers-social-identities-matter</t>
  </si>
  <si>
    <t>Consumption - Buying, Consumption - Paper use, Consumption - Energy</t>
  </si>
  <si>
    <t>Automatically Green: Behavioral Economics and Environmental Protection</t>
  </si>
  <si>
    <t>Sunstein, C. R., &amp; Reisch, L. A.</t>
  </si>
  <si>
    <t>Harvard Environmental Law Review</t>
  </si>
  <si>
    <t>Careful attention to choice architecture promises to open up new possibilities for environmental protection– possibilities that go well beyond, and that may be more effective than, the standard tools of economic incentives, mandates, and bans. How, for example, doconsumers choose between environmentally-friendly products or services and alternatives that are potentially damaging to the environment but less expensive? The answer may well depend on the default rule. Indeed, green default rules may well be a more effective tool for altering outcomes than large economic incentives.  The underlying reasons include the power of suggestion; inertia and procrastination; and loss aversion. If well-chosen, green defaults are likely to have large effects in reducing the economic and environmental harms associated with various products and activities.  Such defaults may or may not be more expensive to consumers.  In deciding whether to establish green defaults, choice architects should consider both consumer welfare and a wide range of other costs and benefits.  Sometimes that assessment will argue strongly in favor of green defaults, particularly when both economic and environmental considerations point in their direction.  But when choice architects lack relevant information, when interest-group maneuvering is a potential problem, and when externalities are not likely to be significant, active choosing, perhaps accompanied by various influences (including provision of relevant information), will usually be preferable to a green default.</t>
  </si>
  <si>
    <t>http://papers.ssrn.com/sol3/papers.cfm?abstract_id=2245657</t>
  </si>
  <si>
    <t>Climate Change as a Predictable Surprise</t>
  </si>
  <si>
    <t>Bazerman, M. H.</t>
  </si>
  <si>
    <t>Harvard University</t>
  </si>
  <si>
    <t>In this article, I analyze climate change as a “predictable surprise”: an event that leads an organization or nation to react with surprise, despite the fact that the information necessary to anticipate the event and its consequences was available (Bazerman and Watkins, 2004). I then assess the cognitive, organizational, and political reasons why society fails to implement wise strategies to prevent predictable surprises generally and climate change specifically. Finally, I conclude with a call to action and outline a set of response strategies to overcome barriers to change.</t>
  </si>
  <si>
    <t xml:space="preserve">Associations - Meet people where they are, Ordinary - None </t>
  </si>
  <si>
    <t>When do recycling attitudes predict recycling? An investigation of self-reported versus observed behavior</t>
  </si>
  <si>
    <t>Huffman, A. H., Werff, B. R., Henning, J. B., &amp; Watrous-Rodriguez, K.</t>
  </si>
  <si>
    <t>How to Keep Your Resolutions</t>
  </si>
  <si>
    <t>Katherine L. Milkman and Kevin G. Volpp</t>
  </si>
  <si>
    <t xml:space="preserve">We examine differences between the role of social influence and worldview (i.e., anthropocentrism) in self-reported and observed recycling behavior. Based on self-determination theory, we suggest social influence prompts a sense of controlled regulation, moderating the relationship between attitudes and self-report recycling behavior; whereas ecological worldviews prompt a sense of autonomous regulation, moderating the relationship between attitudes and observed recycling behavior. Both a laboratory-based paradigm and survey were administered to 108 participants. Results indicate that self-reported and observed recycling behavior are correlated, but not strongly. Additionally, results showed that social influence moderates the relationship between recycling attitudes and self-reported recycling behavior, but not observed behavior. Conversely, anthropocentrism moderates the relationship between recycling attitudes and observed recycling behavior, but not self-reported behavior. Implications and avenues for future research are discussed. </t>
  </si>
  <si>
    <t>What is the Rule of Commitment?</t>
  </si>
  <si>
    <t>Kendra Cherry</t>
  </si>
  <si>
    <t>Very Well</t>
  </si>
  <si>
    <t>Handy overview of commitment</t>
  </si>
  <si>
    <t>Here's the secret to sticking to New Year's Resolutions</t>
  </si>
  <si>
    <t>Martha Ross</t>
  </si>
  <si>
    <t>San Jose Mercury News</t>
  </si>
  <si>
    <t>The Psychology of Personalization: How Waiters Increased Tips by 23 Percent</t>
  </si>
  <si>
    <t>Help Scout</t>
  </si>
  <si>
    <t>The Science of Setting Goals</t>
  </si>
  <si>
    <t>Nadia Goodman</t>
  </si>
  <si>
    <t>Waste management, Consumption</t>
  </si>
  <si>
    <t>21000, 3000</t>
  </si>
  <si>
    <t>Waste Management - Recycle/Reuse/Repurpose, Consumption - Energy</t>
  </si>
  <si>
    <t>Tips and tricks to Recycle Everywhere in your home</t>
  </si>
  <si>
    <t>Hennepin</t>
  </si>
  <si>
    <t>"Remembering to recycle everything from every room in your house can sometimes be challenging, especially when you’re just trying to get the laundry done or get ready for work. We do well recycling kitchen items, but our bathrooms, laundry rooms and home offices have lots of recyclables we throw out. In fact, about half of home recyclables never make it to the recycling bin. Expand your recycling habit by using convenient recycling bins and signage and mix in a little education and fun. Recycle everywhere in your home with these tips and tricks."</t>
  </si>
  <si>
    <t>Lasting - Tiny Steps</t>
  </si>
  <si>
    <t>Climate - General, Ocean, Whole system - Ecosystem/Conservation</t>
  </si>
  <si>
    <t>Chinese company uses smoke art to warn of air pollution dangers</t>
  </si>
  <si>
    <t>Vicky Wong</t>
  </si>
  <si>
    <t>Hong Kong Free Press</t>
  </si>
  <si>
    <t xml:space="preserve">RT @HongKongFP "Chinese company uses smoke art to warn of air #pollution dangers" http://ow.ly/P10L5  </t>
  </si>
  <si>
    <t>Change of Heart - What Psychology Can Teach Us About Social Change</t>
  </si>
  <si>
    <t>Nick Cooney</t>
  </si>
  <si>
    <t>Thehumaneleague.com</t>
  </si>
  <si>
    <t>Behavior science principles; Commitments</t>
  </si>
  <si>
    <t>What the Environmental Community Has Is a 'Failure to Communicate'</t>
  </si>
  <si>
    <t>Miroslava Korenha</t>
  </si>
  <si>
    <t>Communication; environmental issues need to be more Vivid</t>
  </si>
  <si>
    <t>Yes= commitments</t>
  </si>
  <si>
    <t>Psychological research and global climate change</t>
  </si>
  <si>
    <t xml:space="preserve">What the #Environmental Community Has Is a 'Failure to #Communicate' http://ow.ly/WMP3c #climatechange #environment </t>
  </si>
  <si>
    <t>Clayton, S., Devine-Wright, P., Stern, P. C., Whitmarsh, L., Carrico, A., Steg, L., …, &amp; Bonnes, M.</t>
  </si>
  <si>
    <t>Human behaviour is integral not only to causing global climate change but also to responding and adapting to it. Here, we argue that psychological research should inform efforts to address climate change, to avoid misunderstandings about human behaviour and motivations that can lead to ineffective or misguided policies. We review three key research areas: describing human perceptions of climate change; understanding and changing individual and household behaviour that drives climate change; and examining the human impacts of climate change and adaptation responses. Although much has been learned in these areas, we suggest important directions for further research.</t>
  </si>
  <si>
    <t>Vacation Habits Lead to Sustainable Happiness Year-Round</t>
  </si>
  <si>
    <t>Emily Cassel</t>
  </si>
  <si>
    <t xml:space="preserve">Maybe </t>
  </si>
  <si>
    <t>"When you are on vacation, you're transported out of your normal habits and patterns. You feel free and alive and renewed. Everything is new. But if you pay attention to the things you choose to do while on vacation, they'll give you the best insight into what you actually enjoy doing and what energizes and inspires you. "</t>
  </si>
  <si>
    <t>http://www.huffingtonpost.com/emily-cassel/vacation-habits-lead-to-sustainable-happiness-year-round_b_7929984.html</t>
  </si>
  <si>
    <t>Water efficient Durham</t>
  </si>
  <si>
    <t>The Water-Efficient #Durham project. This project was able to reduce #water usage during high-peak summer times. http://ow.ly/Wmlak</t>
  </si>
  <si>
    <t>403, 300</t>
  </si>
  <si>
    <t>Revealing Hypocrisy Boosts Water Conservation</t>
  </si>
  <si>
    <t>Social Psychological Answers to Real-world Questions (SPARQ)</t>
  </si>
  <si>
    <t>Chris Ann Dickerson, an energy efficiency and water conservation expert, and her colleagues sent a female researcher to a university pool. As female swimmers approached the shower, the researcher invited them to help with a water conservation project. Willing participants were then randomly assigned to one of four conditions. 
In the hypocrisy condition, the researcher made participants aware that their behaviors did not always match their values by first asking questions such as, “When showering, do you ALWAYS turn off the water while soaping up or shampooing?”
She then asked each participant to display her support for water conservation by printing her name in thick black marker on a public flyer that would be posted around campus. The flyer read: 
“Please conserve water. Take shorter showers. Turn showers off while soaping up. IF I CAN DO IT, SO CAN YOU!” 
In the waste awareness condition, the experimenter asked participants the questions about wasting water, but did not invite them to sign the flyer.
In the public commitment condition, participants signed the flyer, but did not answer the questions.
Finally, in the control condition, participants simply saw a sign outside of the shower room that read: “Take Shorter Showers. Turn the Water Off While Soaping Up.”
After each of these four experimental manipulations, the participants hit the showers. Unbeknownst to them, however, a second researcher timed how long they spent bathing.
The researchers discovered that participants in the hypocrisy condition spent an average of only 3 minutes, 41 seconds showering, compared to 5 minutes in the control condition. Participants in the public commitment and awareness conditions averaged 4-minute showers.</t>
  </si>
  <si>
    <t xml:space="preserve">Associations - Emphasize potential loss over potential gain, Vivid - Link the action to its impact </t>
  </si>
  <si>
    <t>Climate - Communication, Land use - Development, Natural disasters</t>
  </si>
  <si>
    <t>2000, 11000, 13000</t>
  </si>
  <si>
    <t>Reducing gain-loss asymmetry: A virtual reality choice experiment valuing land use change</t>
  </si>
  <si>
    <t>Bateman, I. K., Day, B. H., Jones, A. P., &amp; Jude, S.</t>
  </si>
  <si>
    <t>Journal of Environmental Economics and Management</t>
  </si>
  <si>
    <t xml:space="preserve">Land use - Agriculture </t>
  </si>
  <si>
    <t xml:space="preserve">Using Tailored Information and Public Commitment to Improve the Environmental Quality of Farm Lands: An Example from the Netherlands </t>
  </si>
  <si>
    <t>Lokhorst, A. M., Dijk, J. V., Staats, H., Dijk, E. V., &amp; Snoo, G. D.</t>
  </si>
  <si>
    <t>Human Ecology</t>
  </si>
  <si>
    <t>In the majority of choice experiments (CEs) the attributes of non-market goods are conveyed to respondents as a table of numeric and/or categorical data. Recent research suggests that respondents may have difficulties evaluating data in this format. In the context of a CE eliciting preferences for changes in coastal land use, this study uses a split-sample experiment to compare standard presentations with virtual reality (VR) visualisations conveying objectively identical information. We find that compared to the standard presentation, preferences elicited in VR treatments are less variable and exhibit a significant reduction in asymmetry between willingness to pay (WTP) for gains and willingness to accept (WTA) for corresponding losses. We conjecture that the greater ‘evaluability’ of the VR presentation reduces respondent judgement error and moderates reliance on the loss-aversion heuristic.</t>
  </si>
  <si>
    <t>http://www.sciencedirect.com/science/article/pii/S0095069609000151</t>
  </si>
  <si>
    <t xml:space="preserve">By adopting nature conservation practices, farm- ers can enhance the environmental quality and biodiversity of their land. In this exploratory study, a behavioral intervention that focused on improving Dutch farmers’ nature conservation practices was developed and tested. This intervention was based on insights derived from social psychology and combined tailored information and public commitment. Participating farmers were divided in three groups: one group received tailored information only, one group received both tailored information and a public commitment manipulation, and one group served as a control. A questionnaire measuring relevant aspects of conservation was completed before and after the interven- tion. Results show that tailored information combined with public commitment making resulted in a stronger desire to engage in conservation, an increase in surface area of non- subsidized natural habitat, and an increase in time farmers spent on conservation. The intervention affected both subsidized and non-subsidized conservation, but the effects were stronger for non-subsidized conservation. </t>
  </si>
  <si>
    <t xml:space="preserve">Should be aspect of this recommendation on public commitments </t>
  </si>
  <si>
    <t>Consumption - Energy, Climate - Emissions</t>
  </si>
  <si>
    <t>3000, 2000</t>
  </si>
  <si>
    <t>Engaging with energy reduction: Does a climate change frame have the potential for achieving broader sustainable behaviour?</t>
  </si>
  <si>
    <t>Spence, A., Leygue, C., Bedwell, B., &amp; O'Malley, C.</t>
  </si>
  <si>
    <t>Preach what you plan to practice</t>
  </si>
  <si>
    <t>Shankar Vendatam</t>
  </si>
  <si>
    <t>Feature article on Aronson's studies</t>
  </si>
  <si>
    <t>Climate - Belief, Consumption - Energy, Pollution - General, Energy - Non-renewables</t>
  </si>
  <si>
    <t>Reducing energy use is key in meeting ambitious climate change targets being set around the world. This research considers the psychological impact, and potential for behavioural spillover, resulting from receiving energy information framed in terms of financial costs or the environment. We utilised an online tool in order to present undergraduate participants with an energy display simulation of their own energy use and presented energy use in terms of kilowatt-hours, carbon dioxide (CO2), or costs. Study 1 found increased motivations to save energy for climate change reasons and some indications that environmental behaviour might increase after participants received CO2 information compared to alternatives. Study 2 found that CO2 information increased climate change salience, which mediated effects observed on environmental behaviour intentions. Data suggest that highlighting climate change in relation to energy savings may be useful for promoting broader environmental behaviour.</t>
  </si>
  <si>
    <t>Public Perceptions of Global Warming</t>
  </si>
  <si>
    <t>Henry, A. D.</t>
  </si>
  <si>
    <t>http://www.sciencedirect.com/science/article/pii/S0272494413000960</t>
  </si>
  <si>
    <t>This study explored public perceptions of global warming and the diverse meanings that lay people attribute to the phenomenon. The data came from six weeks of observation of visitors to a special Smithsonian Institution exhibit on global warming. The focus of the fieldwork was to document the meanings that people gave to global warming and related concepts during their tour of the exhibit by recording the com- ments, questions, and other narrative accounts of the visitors. Six weeks of field research yielded approximately 150 individ- ual observations of visitor’s interpretations of global warm- ing, energy consumption, the greenhouse effect, nonrenewable resources, pollution, and ozone depletion. Three patterns emerged from the data: a gradient of knowledge with the attentive public falling between the average citizen and those who have become engaged, a catastrophism that represents a reverse availability heuristic, and a belief in the robustness of the biosphere. While each of these have some relation to pre- vious work, it would be useful to see if survey-based or exper- imental studies confirm these tentative conclusions.</t>
  </si>
  <si>
    <t>The Power of Hypocrisy</t>
  </si>
  <si>
    <t>Timothy A. Pychyl</t>
  </si>
  <si>
    <t>Role of hypocrisy in precipating behavior change</t>
  </si>
  <si>
    <t>Climate, Whole system</t>
  </si>
  <si>
    <t>Changing a Habit can Mess With Your Sense of Self</t>
  </si>
  <si>
    <t>Sometimes, a change in our everyday behavior may first require a change in the way we perceive ourselves. </t>
  </si>
  <si>
    <t>Are Psychological and Ecological Well-being Compatible? The Role of Values, Mindfulness, and Lifestyle</t>
  </si>
  <si>
    <t>Brown, K. W., &amp; Kasser, T.</t>
  </si>
  <si>
    <t xml:space="preserve">Social Indicators Research </t>
  </si>
  <si>
    <t>If there is science on this, it would be a good starting place to understand how to get to cues/ triggers if we can first identify what we want to change and how it relates to how we see ourselves</t>
  </si>
  <si>
    <t>Happiness and ecological well-being are often portrayed as conflictual pursuits, but they may actually be complementary. Insamples of adolescents (Study1) and adults (Study2),we tested this proposition and examined the role of three factors in promoting both subjective well-being (SWB) and ecologically responsible behavior (ERB). In both studies, individuals higher in SWB reported more ERB. An intrinsic value orientation (Studies 1 and 2) and dispositional mindfulness (Study2) related to higher SWB and ERB, while a lifestyle of voluntary simplicity (Study2) related to higher ERB. Further analyses showed that the compatibility of SWB and ERB was explained by intrinsic values and mindfulness. These findings offer clues to a sustainable way of life that enhances both relatable and collective well-being.</t>
  </si>
  <si>
    <t>Energy, Freshwater, Whole system</t>
  </si>
  <si>
    <t>4000, 8000, 22000</t>
  </si>
  <si>
    <t xml:space="preserve">Identity, Lasting </t>
  </si>
  <si>
    <t>Energy - Renewables, Freshwater - Rerouting, Whole system - City infrastructure</t>
  </si>
  <si>
    <t>Envision as Choice Architecture: Can Smarter Defaults Lead to More Sustainable Designs?</t>
  </si>
  <si>
    <t>Shealy, T., &amp; Klotz, L.</t>
  </si>
  <si>
    <t>ICSI 2014: Creating Infrastructure for a Sustainable World</t>
  </si>
  <si>
    <t>Mindful consumption: a customer-centric approach to sustainability</t>
  </si>
  <si>
    <t>Sheth, J. N., Sethia, N. K., &amp; Srinivas, S.</t>
  </si>
  <si>
    <t>Are You a Sustainability Hypocrite?</t>
  </si>
  <si>
    <t xml:space="preserve">Journal of Academic Marketing Science </t>
  </si>
  <si>
    <t>Shawn M. Burn</t>
  </si>
  <si>
    <t>Harnessing your cognitive dissonance for sustainability</t>
  </si>
  <si>
    <t>Like any decision making framework, the Envision rating system has embedded “choice architecture”; for instance, some options are presented before others, options are grouped together, and some are even pre-selected. Whether intentionally designed to do so or not, choice architecture influences the decisions which are made. In our research, we are examining how Envision’s current choice architecture, as well as adjustments to it, might help infrastructure stakeholders choose more sustainable options. In this paper, we draw from behavioral science literature to describe and categorize choice architecture in Envision. We then explore whether changes to defaults, one form of choice architecture, may impact design outcomes. The current default in each category of Envision is zero points, and projects can earn points by improving upon industry norms. We hypothesize that a more ambitious default will lead to higher point scores and a more sustainable design. Our rationale is supported by query theory, in which choices are made based on a linear series of questions and these questions are dependent on the starting point, or default. Research in behavioral economics and consumer decisions have shown that simply changing defaults can lead to drastically different decisions. In this paper, we share our methods and preliminary findings from the study of defaults. Then we describe other choice architecture interventions, which warrant further study as they may influence decisions made using the Envision rating system.</t>
  </si>
  <si>
    <t>How effectively business deals with the challenges of sustainability will define its success for decades to come. Current sustainability strategies have three major deficiencies: they do not directly focus on the customer, they do not recognize the looming threats from rising global over-consumption, and they do not take a holistic approach. We present a framework for a customer-centric approach to sustainability. This approach recasts the sustainability metric to emphasize the outcomes of business actions measured holistically in term of environmental, personal and economic well-being of the consumer. We introduce the concept of mindful consumption (MC) as the guiding principle in this approach. MC is premised on a consumer mindset of caring for self, for community, and for nature, that translates behaviorally into tempering the self-defeating excesses associated with acquisitive, repetitive and aspirational consumption. We also make the business case for fostering mindful consumption, and illustrate how the marketing function can be harnessed to successfully implement the customer-centric approach to sustainability.</t>
  </si>
  <si>
    <t>http://ascelibrary.org/doi/abs/10.1061/9780784478745.066</t>
  </si>
  <si>
    <t xml:space="preserve">Could be non-env vignette </t>
  </si>
  <si>
    <t>Realistic Resolutions</t>
  </si>
  <si>
    <t>Martina M Cartwright</t>
  </si>
  <si>
    <t>IDEA Health &amp; Fitness Inc.</t>
  </si>
  <si>
    <t>"Behavior Change The key to success after New Year’s is making small changes that reinforce willpower and turn bad habits into good ones."</t>
  </si>
  <si>
    <t>http://www.ideafit.com/fitness-library/realistic-resolutions</t>
  </si>
  <si>
    <t>What do angry birds and mad max have in common? A climate change message</t>
  </si>
  <si>
    <t>Making climate change  and solutinos familiar through film</t>
  </si>
  <si>
    <t>Reducing Carbon Emissions Through Promoting Cold Water Washing on a College Campus</t>
  </si>
  <si>
    <t>Mostow, D., Kahl, S., Xu, C., Flynn, B., &amp; Frantz, C.</t>
  </si>
  <si>
    <t>#climatechange in #popculture , how new filsm and shows are sending strong environmental messages #ecoart #action</t>
  </si>
  <si>
    <t>Oberlin College</t>
  </si>
  <si>
    <t>Not listed</t>
  </si>
  <si>
    <t>Nudge the Vote</t>
  </si>
  <si>
    <t xml:space="preserve">Sasha Issenberg </t>
  </si>
  <si>
    <t>Using cold water instead of hot water when doing laundry is a simple way to reduce energy consumption. Yet in situ observations suggest that very few students use cold water. Focus groups and online surveys revealed that the main barrier to using cold water among the student body was ignorance of the benefits associated with the use of cold water as well as uncertainty about which button corresponded with the cold water setting.  To counteract these barriers, posters that listed the benefits of using cold water were hung in every laundry room. A sticker with the phrase “Cool Is Clean: Use Bright Colors” was placed on every washing machine just above the choice buttons. Systematic observations before and after the intervention revealed a significant increase in the use of cold water in the laundry rooms with stickers and posters (from 0% to 45%).</t>
  </si>
  <si>
    <t>Cognitive bias; Social norms, cognitive dissonance</t>
  </si>
  <si>
    <t>http://new.oberlin.edu/office/environmental-sustainability/CBSM/Laundry_Pilot_2015+Final+Report.pdf</t>
  </si>
  <si>
    <t>A Behavioral Approach to Water Conservation: Evidence from a Randomized Evaluation in Costa Rica</t>
  </si>
  <si>
    <t>Datta, S., Darling, M., Lorenzana, K., Gonzalez, O. C., Miranda, J. J., &amp; de Castro Zoratto, L.</t>
  </si>
  <si>
    <t>Using cold water instead of hot water when doing laundry is a simple way to reduce energy consumption. Yet in situ observations suggest that very few students use cold water. Focus groups and online surveys revealed that the main barrier to using cold water among the student body was ignorance of the benefits associated with the use of cold water as well as uncertainty about which button corresponded with the cold water setting.
To counteract these barriers, posters that listed the benefits of using cold water were hung in every laundry room. A sticker with the phrase “Cool Is Clean: Use Bright Colors” was placed on every washing machine just above the choice buttons. Systematic observations before and after the intervention revealed a significant increase in the use of cold water in the laundry rooms with stickers and posters (from 0% to 45%).</t>
  </si>
  <si>
    <t>Normal = No; Identity = No</t>
  </si>
  <si>
    <t xml:space="preserve">Awareness - Identify our own values </t>
  </si>
  <si>
    <t>We design a set of three simple and replicable behavioral interventions, using stickers that can be added to water bills at low cost, and test their impact on water consumption in Belen, Costa Rica, using a randomized control trial. We find that two of the three interventions significantly decrease water consumption in the months following the intervention. A descriptive social norm intervention using neighborhood comparisons reduces consumption by between 3.7 and 5.6 percent relative to a control group, while a plan-making intervention reduces consumption by between 3.4 and 5.6 percent. While the two interventions have similar results, they are effective on different sub-populations, with the plan-making intervention being most effective on low-consumption households while the Neighborhood Comparison intervention is most effective on high-consumption households. Our results demonstrate that behavioral interventions, which have hitherto utilized sophisticated software to deliver customized messages,, can be effectively implemented by local governments in developing countries, where technology and resource constraints render the sorts of customized messaging that has typically been used to deliver them in developed countries unfeasible. Our results further confirm that raising awareness about how much water an individual consumes, and comparing this consumption level with peers, can go a long way in helping change individual’s behavior regarding the use of a finite resource such as water.</t>
  </si>
  <si>
    <t>When what one has is enough: Mindfulness, financial desire discrepancy, and subjective well-being</t>
  </si>
  <si>
    <t>Brown, K. W., Kasser, T., Ryan, R. M., Linley, P. A., &amp; Orzech, K.</t>
  </si>
  <si>
    <t xml:space="preserve">Journal of Research in Personality </t>
  </si>
  <si>
    <t>Research has associated financial desire discrepancies (the gap between current and desired states) with poorer subjective well-being (SWB). Because acquiring more wealth appears ineffective in decreasing financial desire discrepancies, we examined whether a theoretically meaningful psychological factor, termed mindfulness, would close the aspiration gap by “wanting what one has,” and thereby enhance SWB. Study 1 revealed that mindfulness was associated with a smaller financial desire discrepancy, which helped explain a positive association between mindfulness and SWB in undergraduates. Two further studies with working adults showed that these results occurred independently of financial status and changes therein. A final, quasi-experimental study with mindfulness trainees extended these findings. Reasons why mindfulness may help to promote the perception of having “enough” are discussed.</t>
  </si>
  <si>
    <t>Awareness - Notice that you can choose to act on your values even when it's difficult</t>
  </si>
  <si>
    <t>In the Moment: The Effect of Mindfulness on Ethical Decision Making</t>
  </si>
  <si>
    <t xml:space="preserve">Ruedy, N. E., &amp; Schweitzer, M. E. </t>
  </si>
  <si>
    <t xml:space="preserve">Journal of Business Ethics </t>
  </si>
  <si>
    <t xml:space="preserve">Many unethical decisions stem from a lack of awareness. In this article, we consider how mindfulness, an individual's awareness of his or her present experience, impacts ethical decision
making. In our first study, we demonstrate that compared to individuals low in mindfulness, individuals high in mindfulness report that they are more likely to act ethically, are more likely
to value upholding ethical standards (self-importance of moral identity), and are more likely to use a principled approach to ethical decision making (formalism). In our second study, we test this relationship with a novel behavioral measure of unethical behavior: the Carbonless Anagram Method (CAM). We find that of participants who cheated, compared to individuals low in mindfulness, individuals high in mindfulness cheated less. Taken together, our results demonstrate important connections between mindfulness and ethical decision making. </t>
  </si>
  <si>
    <t>A technology pioneered by electric utilities could help American drivers use 13% less energy. Here's how</t>
  </si>
  <si>
    <t>Aaron Tinjum</t>
  </si>
  <si>
    <t>Short-term meditation training improves attention and self-regulation</t>
  </si>
  <si>
    <t>Tang, Y., Ma, Y., Wang, J., Fan, Y., Feng, S., &amp; Lu, Q.</t>
  </si>
  <si>
    <t>Proceedings of the National Academy of Sciences (PNAS)</t>
  </si>
  <si>
    <t>Recent studies suggest that months to years of intensive and systematic meditation training can improve attention. However, the lengthy training required has made it difficult to use random assignment of participants to conditions to confirm these findings. This article shows that a group randomly assigned to 5 days of meditation practice with the integrative body-mind training method shows significantly better attention and control of stress than a similarly chosen control group given relaxation training. The training method comes from traditional Chinese medicine and incorporates aspects of other meditation and mindfulness training. Compared with the control group, the experimental group of 40 undergraduate Chinese students given 5 days of 20-min integrative training showed greater improvement in conflict scores on the Attention Network Test, lower anxiety, depression, anger, and fatigue, and higher vigor on the Profile of Mood States scale, a significant decrease in stress-related cortisol, and an increase in immunoreactivity. These results provide a convenient method for studying the influence of meditation training by using experimental and control methods similar to those used to test drugs or other interventions.</t>
  </si>
  <si>
    <t>Effects of Loving-Kindness Meditation on Self-Compassion, Mindfulness, Self-Esteem, Positive and Negative Affect, and Perceived Stress</t>
  </si>
  <si>
    <t>Wang, I., &amp; Ok-Kyeong, C</t>
  </si>
  <si>
    <t xml:space="preserve">Korean Journal of Health Psychology </t>
  </si>
  <si>
    <t>Asia, Canada and the US, Europe, Oceania</t>
  </si>
  <si>
    <t>42, 40, 41, 44</t>
  </si>
  <si>
    <t>The Effects of Information and Container Proximity on Paper Recycling</t>
  </si>
  <si>
    <t>Todd, C.</t>
  </si>
  <si>
    <t>Illinois Wesleyan University</t>
  </si>
  <si>
    <t>Habit Formation: Basis, Types and Measures for Effective Habit Formation</t>
  </si>
  <si>
    <t>Aman Sharma</t>
  </si>
  <si>
    <t>Contrary to popular belief, paper products are the one material that has actually increased (in percent of total waste) in u.s. landfills in the past 25 years (Rathje, Hughes, Archer, Wilson &amp; Casselles, 1989). While paper recycling programs have become more commonplace today, their effectiveness has plateaued. To better understand how to increase a person's recycling behavior, this experiment, using a multiple baseline design, measured the effects of (1) information and (2) recycling container proximity on the paper recycling levels of 152 undergraduate students. The results of the experiment suggest that increasing a recycling container's proximity and educating a person about recycling can influence a person's level of paper recycling. 
</t>
  </si>
  <si>
    <t>Psychology Discussion</t>
  </si>
  <si>
    <t>http://digitalcommons.iwu.edu/cgi/viewcontent.cgi?article=1055&amp;context=psych_honproj</t>
  </si>
  <si>
    <t>Brief summary of different types of habits:  Motor, Intellectual and Character</t>
  </si>
  <si>
    <t>This study examined the effects of loving-kindness meditation as an intervention for cultivating various positive affects for adult women. This study recruited urban women performing nonprofit activities and had them practice loving-kindness meditation for 8 weeks. The participants in this study were 29 women(15 in the experimental group and 14 in the control group). Measures were self-compassion, cognitive and affective mindfulness, self-esteem, positive and negative affect, and perceived stress, which were measured three times: before the study, at week 4, and at week 8. The major findings are as follows: self-compassion significantly increased for the experimental group after 8 weeks in comparison with the control group. Participants of the experimental group who had been practicing meditation over 3 times per week showed significantly increased self-compassion and mindfulness, and significantly decreased negative affect and perceived stress after 8 weeks. On the other hand, participants of the experimental group who had been practicing meditation under 3 times per week tended to show positive changes in many dependent variables, but they were not statistically significant. This study appears to verify the effects of loving-kindness meditation for increasing self-compassion. It was meaningful to show that loving-kindness meditation seems to increase mindfulness and other positive effects when practiced more than 3 times per week.</t>
  </si>
  <si>
    <t>http://www.psychologydiscussion.net/habits/habit-formation-basis-types-and-measures-for-effective-habit-formation/638</t>
  </si>
  <si>
    <t>Might be useful for definition summary</t>
  </si>
  <si>
    <t>Lasting - Repeat interventions until habits are formed, Lasting - Tiny behaviors, Lasting - Altering the context</t>
  </si>
  <si>
    <t>Breaking Habits Before They Start</t>
  </si>
  <si>
    <t xml:space="preserve">Anne Trafton </t>
  </si>
  <si>
    <t>Neuroscience News</t>
  </si>
  <si>
    <t>"The MIT researchers, led by Institute Professor Ann Graybiel, used a technique called optogenetics to block activity in the IL cortex. This allowed them to control cells of the IL cortex using light. When the cells were turned off during every maze training run, the rats still learned to run the maze correctly, but when the reward was made to taste bad, they stopped, showing that a habit had not formed. If it had, they would keep going back by habit.....</t>
  </si>
  <si>
    <t>http://neurosciencenews.com/optogenetics-il-cortex-habit-formation-psychology-270/</t>
  </si>
  <si>
    <t>very scientific for the average audience</t>
  </si>
  <si>
    <t xml:space="preserve">just ok </t>
  </si>
  <si>
    <t>Consumption - Energy, Consumption - Water</t>
  </si>
  <si>
    <t>Social Incentive &amp; Eco-Visualization Displays: Toward Persuading Greater Change in Dormitory Communities</t>
  </si>
  <si>
    <t>Odom, W., Pierce, J., &amp; Roedl, D.</t>
  </si>
  <si>
    <t>Indiana University at Bloomington</t>
  </si>
  <si>
    <t>In this workshop paper, we describe the design, implementation, and early results of an eco-visualization of Indiana University Bloomington campus dormitory energy and water consumption. We (i) present initial results of our ongoing study examining the role eco-visualizations might play in impacting dormitory communities’ behavior, (ii) discuss what these findings suggest with respect to how situated displays could help improve community uptake in future work and (iii) describe an emerging conceptual design direction with an eye toward the intersection of situated displays and social incentive.</t>
  </si>
  <si>
    <t xml:space="preserve">Easy - Set the stage for easy action, Vivid - Make the target behavior obvious </t>
  </si>
  <si>
    <t>Empowering interventions to promote sustainable lifestyles: Testing the habit discontinuity hypothesis in a field experiment</t>
  </si>
  <si>
    <t>200, 500</t>
  </si>
  <si>
    <t>Bas Verplanken</t>
  </si>
  <si>
    <t>Altering context linked to successful habit formation/change</t>
  </si>
  <si>
    <t>The influence of facilities and environmental values on recycling in an office environment</t>
  </si>
  <si>
    <t>Price, S., &amp; Pitt, M.</t>
  </si>
  <si>
    <t>Indoor and Built Environment</t>
  </si>
  <si>
    <t>With rising costs of landfill and waste management for businesses, it is increasingly important to understand how to gain high recycling rates through self-separation by occupants in the office environment. Through a detailed case study approach, this paper shows that the office environment does have a profound effect on environmental behaviour. The findings indicate that with careful analysis, facilities can be designed around behaviour to encourage the highest possible recycling rates. The paper shows that a generalised system of recycling for all facilities is not the way forward. Different organisational cultures may foster different environmental behaviours and thus require variable facilities to maximise participation. The paper also reveals the causes of particular types of recycling behaviour.
</t>
  </si>
  <si>
    <t>Good study</t>
  </si>
  <si>
    <t>Lucerne's Clever Street Decals Make Taking Out the Trash Fun</t>
  </si>
  <si>
    <t>Diane Pham</t>
  </si>
  <si>
    <t>Inhabitat</t>
  </si>
  <si>
    <t>Warning: Habits May Be Good For you</t>
  </si>
  <si>
    <t>Utilizing habit forming in consumerism to combat disease and public health concerns</t>
  </si>
  <si>
    <t>Regulation of the Neural Circuitry of Emotion by Compassion Meditation: Effects of Meditative Expertise</t>
  </si>
  <si>
    <t>http://www.nytimes.com/2008/07/13/business/13habit.html?ex=1373601600&amp;en=e3072a7b2bc8ebf4&amp;ei=5124&amp;partner=permalink&amp;exprod=permalink&amp;_r=1</t>
  </si>
  <si>
    <t>Lutz, A., Brefczynski-Lewis, J., Johnstone, T., &amp; Davidson, R. J.</t>
  </si>
  <si>
    <t>PLoS One</t>
  </si>
  <si>
    <t>Really useful tying in real life examples of how to use triggers and cues to change everyday habits that might seems small but can impact/ save lives</t>
  </si>
  <si>
    <t>How Companies Learn Your Secrets</t>
  </si>
  <si>
    <t xml:space="preserve">cognitive bias; consumer choice, how target uses life transition to spur habit change </t>
  </si>
  <si>
    <t>Recent brain imaging studies using functional magnetic resonance imaging (fMRI) have implicated insula and anterior cingulate cortices in the empathic response to another's pain. However, virtually nothing is known about the impact of the voluntary generation of compassion on this network. To investigate these questions we assessed brain activity using fMRI while novice and expert meditation practitioners generated a loving-kindness-compassion meditation state. To probe affective reactivity, we presented emotional and neutral sounds during the meditation and comparison periods. Our main hypothesis was that the concern for others cultivated during this form of meditation enhances affective processing, in particular in response to sounds of distress, and that this response to emotional sounds is modulated by the degree of meditation training. The presentation of the emotional sounds was associated with increased pupil diameter and activation of limbic regions (insula and cingulate cortices) during meditation (versus rest). During meditation, activation in insula was greater during presentation of negative sounds than positive or neutral sounds in expert than it was in novice meditators. The strength of activation in insula was also associated with self-reported intensity of the meditation for both groups. These results support the role of the limbic circuitry in emotion sharing. The comparison between meditation vs. rest states between experts and novices also showed increased activation in amygdala, right temporo-parietal junction (TPJ), and right posterior superior temporal sulcus (pSTS) in response to all sounds, suggesting, greater detection of the emotional sounds, and enhanced mentation in response to emotional human vocalizations for experts than novices during meditation. Together these data indicate that the mental expertise to cultivate positive emotion alters the activation of circuitries previously linked to empathy and theory of mind in response to emotional stimuli.</t>
  </si>
  <si>
    <t xml:space="preserve">Awareness - Practice noticing cognitive biases and thinking flexibly </t>
  </si>
  <si>
    <t>Losing Consciousness: Automatic Influences on Consumer Judgment, Behavior, and Motivation</t>
  </si>
  <si>
    <t xml:space="preserve">Bargh, J. A. </t>
  </si>
  <si>
    <t>Improving decision making through mindfulness</t>
  </si>
  <si>
    <t xml:space="preserve">Journal of Consumer Research </t>
  </si>
  <si>
    <t>Karelaia, N., &amp;  Reb, J.</t>
  </si>
  <si>
    <t>INSEAD</t>
  </si>
  <si>
    <t>Consumer research has largely missed out on two key developments in social cognition research: the growing evidence that much of social judgment and behavior occur without conscious awareness or intent and the substantial moderating influence of social‐ and self‐related goal pursuits on basic cognitive and reasoning processes. This evidence is described and its implications are drawn for nonconscious—including subliminal—influences on consumer behavior. The consumer research domain appears ideal for the necessary next wave of this research: the assessment of how much of a role nonconscious influences play in real life in decisions and behavior that are of real consequence to the individual.</t>
  </si>
  <si>
    <t xml:space="preserve">Suitable for content </t>
  </si>
  <si>
    <t>Decisions shape personal and organizational outcomes, and both researchers and practitioners look for ways to enhance decision making prowess. In this chapter, we explore whether and how mindfulness might help at various stages of decision making. We suggest thatmindfulness may help notice when a decision should or could be made, increase goal awareness, enhance consistency of the decision with one’s fundamental values, facilitate option generation, reduce the sunk cost bias, and help recognize ethical challenges of decisions. We further argue that while mindfulness may diminish the scope of information search, it may also improve the quality of information used to make a decision. It may also reduce confirmation bias and over confidence, allow decision makers to better differentiate between relevant and irrelevant information, reduce reliance on stereotypes, help appreciate uncertainty and productively deal with it, and reduce illusory pattern detection. Furthermore, mindfulness is likely to facilitate resolving trade-offs and help effectively reconcile intuition with analysis thereby reducing procrastination. Finally, mindful decision makers are more likely to learn to make better decisions over time because they are more open to feedback and less prone to misinterpret it by making self-serving attributions. The potential of mindfulness to improve judgment and decisions provides many promising opportunities for future research. </t>
  </si>
  <si>
    <t>http://poseidon01.ssrn.com/delivery.php?ID=285088095002027121083064075073108091033020039072045089028086125023101114077119087075049063097015112023016029078096010085092117111059011078059092088095010127114001081012095121086071093001013020109107097018090022084095071086118112120118113119127026&amp;EXT=pdf&amp;TYPE=2</t>
  </si>
  <si>
    <t>The Neuroscience of Habits: How They Form and How to Change Them</t>
  </si>
  <si>
    <t>Scientific American </t>
  </si>
  <si>
    <t>Those who are addicted to a habit see the world differently. For example: "We were particularly interested in looking at the brain systems involved in habits and addictions,” Habib told me. “What we found was that, neurologically speaking, pathological gamblers got more excited about winning. When the symbols lined up, even though they didn’t actually win any money, the areas in their brains related to emotion and reward were much more active than in nonpathological gamblers....is probably why they gamble for so much longer than everyone else: because the near miss triggers those habits that prompt them to put down another bet. The nonproblem gamblers, when they saw a near miss, got a dose of apprehension that triggered a different habit, the one that says I should quit before it gets worse."</t>
  </si>
  <si>
    <t>http://www.scientificamerican.com/article/power-of-habit-excerpt/</t>
  </si>
  <si>
    <t xml:space="preserve">general </t>
  </si>
  <si>
    <t>Smart defaults: From hidden persuaders to adaptive helpers</t>
  </si>
  <si>
    <t xml:space="preserve">Smith, N. C., Goldstein, D. G., &amp; Johnson, E. J. </t>
  </si>
  <si>
    <t>Golden Rule of Habit Change</t>
  </si>
  <si>
    <t>World of Psychology</t>
  </si>
  <si>
    <t>http://psychcentral.com/blog/archives/2012/07/17/the-golden-rule-of-habit-change/</t>
  </si>
  <si>
    <t>Defaults have such powerful, pervasive and unrecognized effects on consumer behavior that in some settings they may be considered 'hidden persuaders'. Looking at defaults from the perspective of consumer welfare, consumer autonomy and marketing ethics, this paper shows that ignoring defaults is not an option. It identifies three theoretical causes of default effects-implied endorsement, cognitive biases, and effort-to guide thought on the appropriate marketer response to the issues posed for consumer autonomy and welfare. We propose the concepts of "smart defaults" and "adaptive defaults" as welfare-enhancing and market-oriented alternatives to the current practice of generally ignoring default effects, in addition to other remedies. Our analysis highlights how an ethical market orientation would consider the process of consumer decision making as well as its outcomes: marketers bear responsibility for consumer buying mistakes arising from the marketer's inept neglect or misuse of defaults. As well as recommendations for marketing practice, we also identify policymaker and research implications of defaults and consider, more broadly, the ethics of using techniques that influence consumer choice without consumer awareness.</t>
  </si>
  <si>
    <t>Useful for understaning Duhigg's theory and thus techniques for combating unwanted habits</t>
  </si>
  <si>
    <t>New Environmental Theories: Empathizing With Nature: The Effects of Perspective Taking on Concern for Environmental Issues</t>
  </si>
  <si>
    <t>Schultz, P. W.</t>
  </si>
  <si>
    <t xml:space="preserve">Journal of Social Issues </t>
  </si>
  <si>
    <t>In this article, I propose that concern for environmental problems is fundamentally linked to the degree to which people view themselves as part of the natural environment. Two studies are reported that test aspects of this theory. The first study describes the structure of people’s concern for environmental problems. Results from a confirmatory factor analysis showed a clear three-factor structure, which I labeled egoistic, altruistic, and biospheric. A second study examined the effects of a perspective-taking manipulation on egoistic, social-altruistic, and
biospheric environmental concerns. Results showed that participants instructed to take the perspective of an animal being harmed by pollution scored significantly higher in biospheric environmental concerns than participants instructed to remain objective.</t>
  </si>
  <si>
    <t>We could keep a huge amount of carbon out of the atmosphere by changing people's behavior</t>
  </si>
  <si>
    <t>Behavior-based energy-savings interventions may be the EPA's best bet when it comes to reaching people and promoting energy efficiency on both sides of the aisle. </t>
  </si>
  <si>
    <t>Efficacy of Tai Chi, brisk walking, meditation, and reading in reducing mental and emotional stress</t>
  </si>
  <si>
    <t xml:space="preserve">Jin, P. </t>
  </si>
  <si>
    <t>Journal of Psychosomatic Research</t>
  </si>
  <si>
    <t>Tai Chi, a moving meditation, is examined for its efficacy in post-stressor recovery. Forty-eight male and 48 female Tai Chi practitioners were randomly assigned to four treatment groups: Tai Chi, brisk walking, mediation and neutral reading. Mental arithmetic and other difficult tests were chosen as mental challenges, and a stressful film was used to produce emotional disturbance. Tai Chi and the other treatments were applied after these stressors. After all treatments, the salivary cortisol level dropped significantly, and the mood states were also improved. In general the stress-reduction effect of Tai Chi characterized moderate physical exercise. Heart rate, blood pressure, and urinary catecholamine changes for Tai Chi were found to be similar to those for walking at a speed of 6 km/hr. Although Tai Chi appeared to be superior to neutral reading in the reduction of state anxiety and the enhancement of vigour, this effect could be partially accounted for by the subjects' high expectations about gains from Tai Chi. Approaches controlling for expectancy level are recommended for further assessment.</t>
  </si>
  <si>
    <t>RT @postgreen: we could be reaping much bigger carbon cuts by changing people's behavior http://ow.ly/Y3yPD</t>
  </si>
  <si>
    <t>MINDSPACE: influencing behavior through public policy</t>
  </si>
  <si>
    <t>Dolan, P., Hallsworth, M., Halpern, D., King, D., &amp; Vlaev, I.</t>
  </si>
  <si>
    <t>Institute for Government</t>
  </si>
  <si>
    <t>Want to start a new hobby? Try doing it when you're moving house, scientist say. </t>
  </si>
  <si>
    <t>Claire Hayhurst</t>
  </si>
  <si>
    <t>Mirror</t>
  </si>
  <si>
    <t>"Scientists claim you're more likely to start a new habit during a major life change such as moving house or changing jobs"</t>
  </si>
  <si>
    <t>http://www.mirror.co.uk/news/technology-science/science/want-start-new-habit-try-7251071</t>
  </si>
  <si>
    <t xml:space="preserve">Identity - Ask the audience for commitments, Lasting - None </t>
  </si>
  <si>
    <t>Awareness, Identity</t>
  </si>
  <si>
    <t>9, 6</t>
  </si>
  <si>
    <t>Awareness - None, Identity - Elicit cognitive dissonance, Identity -  ask audience for commitments</t>
  </si>
  <si>
    <t>Consumption - Energy, Energy - Renewables, Transportation - Sustainable, Transportation - Biking, Waste Management – Recycle/Reuse/Repurpose</t>
  </si>
  <si>
    <t xml:space="preserve">How do commitments work? An agent based simulation using data from a recycling campaign in Santiago de Cuba </t>
  </si>
  <si>
    <t>3000, 4000, 20000, 21000</t>
  </si>
  <si>
    <t xml:space="preserve">Mosler, H., &amp; Tobias, R. </t>
  </si>
  <si>
    <t>International Conference  on Artificial Intelligence</t>
  </si>
  <si>
    <t>Using cognitive dissonance to encourage water conservation</t>
  </si>
  <si>
    <t>Dickerson, C. A., Thibodeau, R., Aronson, E., &amp; Miller, D.</t>
  </si>
  <si>
    <t xml:space="preserve">Campus Sustainability Best Practices </t>
  </si>
  <si>
    <t xml:space="preserve">Journal of Applied Social Psychology </t>
  </si>
  <si>
    <t>Deval L. Patrick, Timothy Murray, and Ian A. Bowles</t>
  </si>
  <si>
    <t>Massachusetts Executive Office of Energy and Environmental Affairs</t>
  </si>
  <si>
    <t>Diverse psychological findings were integrated in an agent based simulation model, on how situational cues affect behavior performance including the research areas of conviction-based behavior selection, norm- influences, prospective memory, habits, implementation intention and self-commitment. The model postulates, that a behavior selected for execution is the most preferred one between all remembered behavior alternatives. Whether a behavior is remembered or not depends mainly on its accessibility and habit strength. The stronger a person is committed to perform a behavior, the more certain situational cues remind and urge the person to perform it. To investigate the model time-series data was gathered on a daily base during a campaign in Santiago de Cuba promoting recycling behavior. The data confirmed the reminding and cognitive tension effect of prompts due to a commitment. Habits showed a reminding effect, but no effect on the preference. Implications of these results are discussed.</t>
  </si>
  <si>
    <t>Aroused dissonance in 80 female swimmers who used a campus pool by making them feel hypocritical about their showering habits. A 2 × 2 factorial design manipulated Ss' mindfulness that they had sometimes wasted water while showering and then varied whether they made a public commitment urging other people to take shorter showers. The hypocrisy condition (in which Ss made the public commitment after being reminded of their past behavior) was expected to be dissonance-arousing, thereby motivating Ss to increase their efforts to conserve water. Compared with controls, Ss in the hypocrisy condition took significantly shorter showers. Ss who were merely reminded that they had wasted water, or who only made the public commitment, did not take shorter showers than control Ss.</t>
  </si>
  <si>
    <t>http://www.media.cbsm.com/uploads/1/CogntiveDissonanceWaterConservation.pdf</t>
  </si>
  <si>
    <t>Commitment+cognitive dissonance</t>
  </si>
  <si>
    <t>Relatable = Yes; Uncomfortable = No; Consistent = Yes</t>
  </si>
  <si>
    <t>Uncomfortable = Yes; Consistent = Yes; Relatable = No</t>
  </si>
  <si>
    <t xml:space="preserve">Using #Cognitive #Dissonance to Encourage #Water Conservation http://ow.ly/XwxMX </t>
  </si>
  <si>
    <t xml:space="preserve">Energy - Consumption, Energy - Electricity </t>
  </si>
  <si>
    <t>Color, Cognition, and recycling: How the design of everyday objects prompt behavior change</t>
  </si>
  <si>
    <t>Montazeri, S., Gonzalez, R. D., Yoon, C., &amp; Papalambros, P.Y.</t>
  </si>
  <si>
    <t>Drop and tilt: A comparison of two procedures to increase the use of venetian blinds to conserve energy</t>
  </si>
  <si>
    <t>Luyben, P. D.</t>
  </si>
  <si>
    <t>International Design Conference</t>
  </si>
  <si>
    <t>Journal of Community Psychology</t>
  </si>
  <si>
    <t>Dropping and tilting venetian blinds appropriately can reduce unnecessary heat loss through window glass. Previous research has shown that both feedback and payments can effectively alter behaviors to save energy. In this study, prompt-only and prompt-and-feedback procedures were compared in two groups of faculty offices in two buildings on a college campus. Both procedures produced increases relative to baseline rates, but the prompt-and-feedback procedure consistently resulted in greater percentages of offices with correct blind adjustment. The low cost of these procedures and need for subsequent research are discussed.</t>
  </si>
  <si>
    <t>http://onlinelibrary.wiley.com/doi/10.1002/1520-6629%28198404%2912:2%3C149::AID-JCOP2290120207%3E3.0.CO;2-W/abstract</t>
  </si>
  <si>
    <t>Sustainability is a significant global concern. The culture of indulgence and consumerism, engrained in modern consumer behavior, has become an established lifestyle that cannot be easily changed. Technological interventions impose extra costs, are not universally feasible, and are ineffective without proper education [Derijcke and Uitzinger, 2006]. Studies indicate that merely focusing on the design of technologically efficient products without recognizing the significant role of users’ behavior are destined to fail and do not result in change. We install compact florescent bulbs, but forget to turn them off when leaving the room. We drive fuel-efficient cars, but overuse them, assuming they have less environmental impact. The big challenge in increasing the efficiency of energy use is not primarily technical but behavioral. This paper argues that some behaviors are partly initiated, navigated or changed by the surrounding built environment and this creates an opportunity for design. That is, designers are capable of designing environments that create a demand, an incentive, or a nudge for people to behave one way or another. We apply this logic to the design of recycling bins and assess recycling behavior.</t>
  </si>
  <si>
    <t>http://americarecyclesday.org/wp-content/uploads/2013/07/MontazeriGonzalez-2012.pdf</t>
  </si>
  <si>
    <t>http://www.mass.gov/eea/docs/eea/lbe/lbe-campus-sustain-practices.pdf</t>
  </si>
  <si>
    <t xml:space="preserve">Hopeful, Identity, Lasting </t>
  </si>
  <si>
    <t>Lasting - Temporary Rewards, Lasting - Capitalize on Life Changes</t>
  </si>
  <si>
    <t>3, 6, 10</t>
  </si>
  <si>
    <t xml:space="preserve">Hopeful - None, Identity - Make it a goal, Lasting - None </t>
  </si>
  <si>
    <t>Changing Family Habits: A Case Study Into Climate Change Mitigation Behavior in Families</t>
  </si>
  <si>
    <t>Leger, M. T., &amp; Pruneau, D.</t>
  </si>
  <si>
    <t>International Electronic Journal of Environmental Education</t>
  </si>
  <si>
    <t>Energy-Saving Company Set for Public Offering</t>
  </si>
  <si>
    <t>Diane Cardwell</t>
  </si>
  <si>
    <t>A case-study methodology was used to explore the process of change as experienced by 3 suburban families in an attempt to incorporate climate change mitigation behavior into their day to day life. Cross-case analysis of the findings revealed the emergence of three major conceptual themes associated with behavior adoption: collectively applied competences such as self-efficacy and perseverance; shared ecological values among family members; and collaborative family dynamics. Based on these findings, the authors conclude by outlining the lessons learned in terms of their potential for policy makers and possible educational programs for families looking to adopt a more sustainable lifestyle.</t>
  </si>
  <si>
    <t>opower summary; prompts</t>
  </si>
  <si>
    <t>WAEA Keynote Address Behavioral Environmental Economics: Money Pumps &amp; Nudges</t>
  </si>
  <si>
    <t>Shogren, J.</t>
  </si>
  <si>
    <t>Journal of Agricultural and Resource Economics</t>
  </si>
  <si>
    <t>Herein we explore how money pumps from rational choice theory and nudges from behavioral economics work toward helping create better environmental policy.  We examine the role of money pumps in environmental policy, and whether policymakers can use nudges to "supercharge" incentives. We summarize insight that has emerged from both camps in the areas of conflict/cooperation and mechanism design.</t>
  </si>
  <si>
    <t>"A case-study methodology was used to explore the process of change as experienced by 3 suburban families in an attempt to incorporate climate change mitigation behavior into their day to day life"</t>
  </si>
  <si>
    <t>Benefits,  Ordinary, Relatable, Vivid</t>
  </si>
  <si>
    <t>1, 7, 8, 5</t>
  </si>
  <si>
    <t xml:space="preserve">Vivid - Focus on immediate impacts, Relatable - Relate it to a personal experience, Benefits - Make benefits and costs immediate , Ordinary - None </t>
  </si>
  <si>
    <t>Improving Public Engagement With Climate Change: Five “Best Practice” Insights From Psychological Science</t>
  </si>
  <si>
    <t>van der Linden, S., Maibach, E., &amp; Leiserowitz, A.</t>
  </si>
  <si>
    <t>Perspectives on Psychological Science</t>
  </si>
  <si>
    <t>Lasting - Start with a tiny behavior</t>
  </si>
  <si>
    <t>Consumption, Freshwater</t>
  </si>
  <si>
    <t>3000, 8000</t>
  </si>
  <si>
    <t>Consumption - Energy, Freshwater - Consumption</t>
  </si>
  <si>
    <t>Changing laundry habits in Norway</t>
  </si>
  <si>
    <t>Laitala, K., Klepp, I. G., &amp; Boks, C.</t>
  </si>
  <si>
    <t>Despite being one of the most important societal challenges of the 21st century, public engagement with climate change currently remains low in the United States. Mounting evidence from across the behavioral sciences has found that most people regard climate change as a nonurgent and psychologically distant risk—spatially, temporally, and socially—which has led to deferred public decision making about mitigation and adaptation responses. In this article, we advance five simple but important “best practice” insights from psychological science that can help governments improve public policymaking about climate change. Particularly, instead of a future, distant, global, nonpersonal, and analytical risk that is often framed as an overt loss for society, we argue that policymakers should (a) emphasize climate change as a present, local, and personal risk; (b) facilitate more affective and experiential engagement; (c) leverage relevant social group norms; (d) frame policy solutions in terms of what can be gained from immediate action; and (e)
appeal to intrinsically valued long-term environmental goals and outcomes. With practical examples we illustrate how these key psychological principles can be applied to support societal engagement and climate change policymaking.</t>
  </si>
  <si>
    <t>Maintenance is often the most energy-demanding stage during clothes’ life cycle. Therefore, a shift towards more sustainable washing habits has great potential to reduce the consumption of energy, water and detergent. This paper discusses the change in laundering practices during the past 10 years in Norway and suggests strategies to help consumers change their laundry habits to more sustainable ones.   Quantitative information of consumers' experiences, habits and opinions concerning clothing maintenance was collected through three surveys in Norway in 2002, 2010 and 2011. The 2010 study was supplemented with qualitative in-depth interviews of a strategic sample of households.  The average washing temperature has decreased slightly during the studied time periods. Some products' washing frequencies remained the same, whereas other products such as jeans were used a few more days before washing. The cotton programme is the most used washing programme, but short programmes are gaining popularity. The laundry sorting processes vary greatly and are influenced by several factors such as washing temperature, colours, fibre type and use area. For some consumers, the use of several different sorting categories made it more difficult to collect a sufficient amount of clothing to fill the machine. They were also afraid that overfilling the machine would result in clothes that were not clean enough or had detergent residues. Detergent dosing practices are far from optimal. In 2010, although the majority of respondents only used eye measure and did not know the water hardness of their area, they still tried to vary detergent dosage based on the amount of laundry and the level of soiling. Different design for sustainable behaviour strategies could be used within detergent dosage systems, care labelling, machine programme selection (such as suggesting lower temperature and eco-programme), machine filling grade indicators, storage systems for slightly used clothing and textile material choice.</t>
  </si>
  <si>
    <t>"Maintenance is often the most energy-demanding stage during clothes' life cycle. Therefore, a shift towards more sustainable washing habits has great potential to reduce the consumption of energy, water and detergent. This paper discusses the change in laundering practices during the past 10 years in Norway and suggests strategies to help consumers change their laundry habits to more sustainable ones."</t>
  </si>
  <si>
    <t>Durable goods and residential demand for energy and water: evidence from a field trial</t>
  </si>
  <si>
    <t>Davis, L. W.</t>
  </si>
  <si>
    <t>RAND Journal of Economics</t>
  </si>
  <si>
    <t>Waste Management – Recycle/Reuse/Repurpose</t>
  </si>
  <si>
    <t>This article describes a household production model in which energy-efficient durable goods cost less to operate so households may use them more. The model is estimated using household level data from afield trial in which participants received high-efficiency clothes washers free of charge. The estimation strategy exploits this quasi-random replacement of washers to derive precise estimates of the household production technology and a demand function for clothes washing. During the field trial, households increased clothes washing on average by 5.6% after receiving a high-efficiency washer, implying a price elasticity of ?.06. The complete model is used to evaluate the cost-effectiveness of recent changes in minimum efficiency standards for clothes washers.</t>
  </si>
  <si>
    <t>Our wasteful lives and the urgent need to change our habits</t>
  </si>
  <si>
    <t>http://faculty.haas.berkeley.edu/ldavis/Davis%20RAND%202008.pdf</t>
  </si>
  <si>
    <t>Fatima Al Shamsi</t>
  </si>
  <si>
    <t xml:space="preserve">Waste management - Composting </t>
  </si>
  <si>
    <t>The National</t>
  </si>
  <si>
    <t xml:space="preserve">Investigating households attitude toward recycling of solid waste in Malaysia: a case study </t>
  </si>
  <si>
    <t xml:space="preserve">Omran, A., Mahmood, A., Aziz, H.A. &amp; Robinson, G.M. </t>
  </si>
  <si>
    <t>"engendering new habits within society requires small steps. A very basic first step is to make recycling a more widespread practice"</t>
  </si>
  <si>
    <t>Benefits - Utilize outcome-based incentives, Easy - Overcoming Behavioral Barriers, Easy - Set the stage for easy action</t>
  </si>
  <si>
    <t xml:space="preserve">International Journal of Environmental Research </t>
  </si>
  <si>
    <t>http://www.thenational.ae/opinion/comment/our-wasteful-lives-and-the-urgent-need-to-change-our-habits</t>
  </si>
  <si>
    <t>Consumer Satisfaction with Michigan's Container Deposit Law: An Ecological Perspective</t>
  </si>
  <si>
    <t>Crosby, L., &amp; Taylor, J. R.</t>
  </si>
  <si>
    <t>Journal of Marketing</t>
  </si>
  <si>
    <t>Consumer reaction to the Michigan container law is considered influential to the adoption of similar laws at the state and national levels. A survey of consumers investigates their satisfaction with the law, likes and dislikes about the recycling system, and reaction to retailer activities in adapting to the law. Implications for the expansion of the container recycling concept are discussed.</t>
  </si>
  <si>
    <t>This paper investigates householders’ attitudes to the recycling of solid wastes in one part of northern Malaysia, namely Alor Setar town, Kedah State. A postal questionnaire survey was administered to households in Alor Setar town in selected areas of high, middle and low incomes. 389 responses were obtained, a response rate of 86.4%. A personal interview with an official of the Municipal Council of Alor Setar was conducted in order to identify the current situation of solid waste recycling and household participation as well as obtaining views on the recycling campaigns carried out by the Malaysian government in 1993 and 2000. The paper indicates that participation in recycling of household waste relies on the level of awareness and understanding of recycling. Improved education and increasing the accessibility of recycling facilities are the best means of promoting positive attitudes to recycling attitude, partly because they help to remove barriers preventing households from recycling. Households in Alor Setor town have identified some of the effective strategies that can be initiated by the government to increase the rate of recycling in Malaysia which would also encourage them to participate in recycling. One of these strategies was providing recycling bins in every residential area.
</t>
  </si>
  <si>
    <t>https://www.researchgate.net/publication/271864631_Consumer_Satisfaction_with_Michigan's_Container_Deposit_Law_An_Ecological_Perspective</t>
  </si>
  <si>
    <t>http://www.sid.ir/en/vewssid/j_pdf/108220090212.pdf</t>
  </si>
  <si>
    <t xml:space="preserve">Benefits, Easy, Lasting, Ordinary </t>
  </si>
  <si>
    <t>1, 2, 10, 7</t>
  </si>
  <si>
    <t xml:space="preserve">Successfully changing individual travel behavior: Applying community-based social marketing to travel choice </t>
  </si>
  <si>
    <t xml:space="preserve">Cooper, C. </t>
  </si>
  <si>
    <t xml:space="preserve">King County Metro Transit </t>
  </si>
  <si>
    <t>Climate - General, Climate - Emissions</t>
  </si>
  <si>
    <t>The evolving perception of risk during reservoir evaluation projects for geological storage of CO2</t>
  </si>
  <si>
    <t>Polson, D., Curtis, A., &amp; Vivalda, C.</t>
  </si>
  <si>
    <t>International Journal of Greenhouse Gas Control</t>
  </si>
  <si>
    <t>Benefits - Reward specific behaviors, Hopeful - Provide feedback</t>
  </si>
  <si>
    <t>Effects of Feedback on Residential Energy Consumption: A Literature Review</t>
  </si>
  <si>
    <t>Farhar, B. C., &amp; Fitzpatrick, C.</t>
  </si>
  <si>
    <t>Solar Energy Research Institute</t>
  </si>
  <si>
    <t>If carbon dioxide is to be stored in geological strata other than depleted hydrocarbon reservoirs (e.g. in saline aquifers), relatively little information will typically be available about the potential reservoirs. Significant risk associated with such projects therefore derives from uncertainty in reservoir evaluation. This paper describes a risk elicitation exercise carried out during geological reservoir evaluation for two exemplar carbon capture and storage (CCS) projects. A project-specific Features, Events and Processes (FEPs) register was developed through a structured elicitation process and discussions with experts. The register was used to elicit experts’ perception of risk early in each project and thereafter at regular intervals, finding that the risk was moderate or low for the majority of FEPs. Where FEPs were perceived as high risk, lack of information and uncertainty tended to be the most influential factor. The results of the risk assessments were instrumental in identifying key project activities aimed at reducing uncertainty and addressing the highest areas of risk. Using the relatively inexpensive techniques of reprocessing legacy seismic data and conducting a hydrogeological study of the region around the storage site, uncertainty was reduced and the experts’ perception of risk was lowered by the new information. However the risk assessment results also showed changes occurring in the absence of new information and where experts declared no change to their perception of risk. It is therefore vital to understand the uncertainty in the risk assessment results which can clearly be affected by factors other than information related to the storage formations.</t>
  </si>
  <si>
    <t>This report reviews 17 studies assessing the effect of information feedback on residential electricity consumption. Most of the studies were conducted in experimental or quasi-experimental conditions. The studies reviewed used (1) both feedback and incentives, (2) goal setting, (3) cost information feedback, and (4) displays. The study findings, taken together, provide some evidence that feedback is effective in reducing electricity consumption, although questions remain concerning the conditions under which feedback can best be provided. Reductions in consumption found in most of the studies ranged from 5% to 20%. Utility companies are the most likely source of feedback information for residential customers. Three of the studies investigated utility feedback projects. The report discusses the policy implications of these as well as the other studies. The report also lists questions remaining to be researched.</t>
  </si>
  <si>
    <t>Self-Efficacy in the Workplace: Implications for Motivation and Performance</t>
  </si>
  <si>
    <t>Lunenburg, F. C.</t>
  </si>
  <si>
    <t>International Journal of Management, Business, and Administration</t>
  </si>
  <si>
    <t>Benefits, Identity</t>
  </si>
  <si>
    <t>1, 6</t>
  </si>
  <si>
    <t>Benefits - Reward specific behaviors, Identity - Use "implementation intentions"</t>
  </si>
  <si>
    <t xml:space="preserve">Self-efficacy (beliefs about one’s ability to accomplish specific tasks) influences the tasks employees choose to learn and the goals they set for themselves. Self-efficacy also affects employees’ level of effort and persistence when learning difficult tasks. Four sources of self-efficacy are past performance, vicarious experience, verbal persuasion, and emotional cues. </t>
  </si>
  <si>
    <t>Human health - How people cook and eat, Transportation - Sustainable</t>
  </si>
  <si>
    <t>10000, 20000</t>
  </si>
  <si>
    <t>Despair, courage, &amp; hope in an age of environmental turmoil</t>
  </si>
  <si>
    <t xml:space="preserve">Kenneth Worthy </t>
  </si>
  <si>
    <t>Effects of Implementation Intentions on the Actual Performance of New Environmentally Friendly Behaviors: Results of Two Field Experiments</t>
  </si>
  <si>
    <t>Psycholohy Today</t>
  </si>
  <si>
    <t xml:space="preserve">psychological overview: working through environmental despair </t>
  </si>
  <si>
    <t>In the context of two environmentally related behaviours (using a new bus route and shopping in a bio-shop) the implications of Gollwitzer's concept of implementation intention for Ajzenz's theory of planned behaviour are studied. Results of both studies supported the assumption that furnishing a goal intention with an additional implementation intention significantly increases the likelihood of actually performing the intended new behaviour. In the second study, the implementation intention intervention is combined with receiving a small vs higher monetary incentive. Receiving the higher incentive has similar behavioural effects to forming an implementation intention, whereas combining both interventions does not result in a stronger behavioural reaction. These results indicate that the behavioural effect of a higher monetary incentive might relay a similar volitional process to that of the implementation intention. Furthermore, in both studies there is some empirical evidence that both interventions suppress the impact of competitive habits.</t>
  </si>
  <si>
    <t>http://www.sciencedirect.com/science/article/pii/S0272494402902781</t>
  </si>
  <si>
    <t>Great study on implementation intentions and bus ridership</t>
  </si>
  <si>
    <t>Consistent = Yes; Resonate = No</t>
  </si>
  <si>
    <t>Consistent = No; Resonate = No</t>
  </si>
  <si>
    <t>Effects of implementation intentions on the actual performance of new #environmentally friendly #behaviors http://ow.ly/XwypV</t>
  </si>
  <si>
    <t>public transport/mass transit, organic</t>
  </si>
  <si>
    <t>"An Act of Allah”: Religious Explanations for Floods in Bangladesh as Survival Strategy</t>
  </si>
  <si>
    <t>Schmuck, H.</t>
  </si>
  <si>
    <t>International Journal of Mass Emergencies and Disasters</t>
  </si>
  <si>
    <t>In countries of the so-called Third World, disaster prevention, preparedness, and relief do not have the expected outcome. Even if people are informed and warned about the arrival of a flood, cyclone, or earthquake, they hesitate to take precautions or leave the area. In some cases, they have to be forced to take refuge in the shelters built for this purpose. They seem to be helpless victims accepting their fate. This is especially the case in Bangladesh, a country which is frequently affected by floods, tornadoes, and cyclones. The affected people, mostly Muslim, regard these hazards as an act of Allah. Through the events He is showing His will and power against which they cannot and should not do anything. In the view of aid agencies, this perception and explanation hampers both external as well as indigenous efforts to survive disasters. However, the findings of my research on local perception and strategies to cope with floods reveal this conception to be a healthy reaction, self-help strategy to overcome crises as quickly as possible and return to daily life. As Allah has given the floods, He will also give believers the strength to survive them. The religious explanation prevents those affected literally wasting time and energy asking why disasters happen to them and not to others.</t>
  </si>
  <si>
    <t>http://www.ijmed.org/articles/167/</t>
  </si>
  <si>
    <t>Whole System - Carbon Footprint</t>
  </si>
  <si>
    <t xml:space="preserve">Promoting Energy Conservation in University dormitories by physical, policy, and resident behavior changes </t>
  </si>
  <si>
    <t>McClelland, L., &amp; Belsten, L.</t>
  </si>
  <si>
    <t>Journal of Environmental Systems</t>
  </si>
  <si>
    <t xml:space="preserve">Two successive energy conservation programs were implemented in four University of Colorado dormitories. Program I included persuasive communications, information, feedback, and group meetings. Program II included in addition a monetary incentive for conservation. The first program reduced electricity consumption to 84 per cent of baseline; the second, to 90 per cent of the revised (i.e., lowered) baseline. Consumption did not rise to baseline levels following either program. Interviews with dormitory students and staff suggest that both everyday resident actions (e.g., turning off lights) and physical-policy changes (light bulb removal, closure of unused rooms) were important in reducing consumption. Reasons for the behavioral and physical-policy changes and implications for conservation programs and conservation research are discussed. </t>
  </si>
  <si>
    <t>Consumption - Freshwater, Energy - Electricity</t>
  </si>
  <si>
    <t>‘My Earth’ energy-tracking app encourages sustainable behaviors</t>
  </si>
  <si>
    <t>Dormitory residents reduce electricity consumption when exposed to real-time visual feedback and incentives</t>
  </si>
  <si>
    <t>Maija Inveiss and Jill Sakai</t>
  </si>
  <si>
    <t>Petersen, J. E., Shunturov, V., Janda, K., Platt, P., &amp; Weinberger, K.</t>
  </si>
  <si>
    <t>University of Wisconsin-Madison News</t>
  </si>
  <si>
    <t>International Journal of Sustainability in Higher Education</t>
  </si>
  <si>
    <t>An app that helps you track your carbon savings, and prompts you with both small and more complicated daily tasks that can help reduce your carbon emissions and energy consumption. The app provides feedback by helping you keep track of the small things you do, and making your savings more concrete and tangible.</t>
  </si>
  <si>
    <t>Purpose – In residential buildings, Relatable choices influence electricity and water consumption. Prior studies indicate that information feedback can stimulate resource conservation. College dormitories provide an excellent venue for controlled study of the effects of feedback. The goal of this study is to assess how different resolutions of socio-technical feedback, combined with incentives, encourage students to conserve resources. Design/methodology/approach – An automated data monitoring system was developed that provided dormitory residents with real-time web-based feedback on energy and water use in two “high resolution” dormitories. In contrast, utility meters were manually read for 20 “low-resolution”
dormitories, and data were provided to residents once per week. For both groups, resource use was monitored during a baseline period and during a two week “dorm energy competition” during which feedback, education and conservation incentives were provided. Findings – Overall, the introduction of feedback, education and incentives resulted in a 32 percent reduction in electricity use (amounting to savings of 68,300 kWh, $5,107 and 148,000 lbs of CO2 2) but only a 3 percent reduction in water use. Dormitories that received high resolution feedback were more effective at conservation, reducing their electricity consumption by 55 percent compared to 31 percent for low resolution dormitories. In a post-competition survey, students reported that they would continue conservation practices developed during the competition and that they would view web-based real-time data even in the absence of competition.
Practical implications – The results of this research provide evidence that real-time resource feedback systems, when combined with education and an incentive, interest, motivate and empower college students to reduce resource use in dormitories.</t>
  </si>
  <si>
    <t>https://my.vanderbilt.edu/cs265/files/2012/11/Lucid_IJSHE_DormEnergyFeedback1.pdf</t>
  </si>
  <si>
    <t>School</t>
  </si>
  <si>
    <t xml:space="preserve">#MyEarth #app that encourages #sustainable #behaviors Carbon units are too abstract,this helps http://bit.ly/1HwE9XZ  </t>
  </si>
  <si>
    <t xml:space="preserve">Two successive energy conservation programs were implemented in four University of
Colorado dormitories. Program I included persuasive communications, information, feedback, and group meetings. Program II included in addition a monetary incentive for conservation. The first program reduced electricity consumption to 84 per cent of baseline; the second, to 90 per cent of the revised (i.e., lowered) baseline. Consumption did not rise to baseline levels following either program. Interviews with dormitory students and staff suggest that both everyday resident actions (e.g., turning off lights) and physical-policy changes (light bulb removal, closure of unused rooms) were important in reducing consumption. Reasons for the behavioral and
physical-policy changes and implications for conservation programs and conservation research are discussed. </t>
  </si>
  <si>
    <t xml:space="preserve">Benefits - None, Ordinary - Strengthen the norm through social networks </t>
  </si>
  <si>
    <t>Household actions can provide a behavioral wedge to rapidly reduce US carbon emissions</t>
  </si>
  <si>
    <t xml:space="preserve">Dietz, T., Gardner, G. T., Gilligan, J., Stern, P. C., &amp; Vandenbergh, M. P. </t>
  </si>
  <si>
    <t>Games Help Save Energy</t>
  </si>
  <si>
    <t>Manon Verchot</t>
  </si>
  <si>
    <t>Several new apps are helping people save energy by turning energy efficiency into a game; Behavior</t>
  </si>
  <si>
    <t>Most climate change policy attention has been addressed to long-term options, such as inducing new, low-carbon energy technologies and creating cap-and-trade regimes for emissions. We use a behavioral approach to examine the reasonably achievable potential for near-term reductions by altered adoption and use of available technologies in US homes and nonbusiness travel. We estimate the plasticity of 17 household action types in 5 behaviorally distinct categories by use of data on the most effective documented interventions that do not involve new regulatory measures. These interventions vary by type of action and typically combine several policy tools and strong social marketing. National implementation could save an estimated 123 million metric tons of carbon per year in year 10, which is 20% of household direct emissions or 7.4% of US national emissions, with little or no reduction in household well-being. The potential of household action deserves increased policy attention. Future analyses of this potential should incorporate behavioral as well as economic and engineering elements.</t>
  </si>
  <si>
    <t>#Games Help Save Energy: Rewards for making changes in behavior can cut #energy bills and reduce #pollution http://ow.ly/WMNVY</t>
  </si>
  <si>
    <t>Restoration vs. Preservation: The Psychology of Nature Conservation</t>
  </si>
  <si>
    <t>Marcus Nield</t>
  </si>
  <si>
    <t>Positive News</t>
  </si>
  <si>
    <t>The growth of ecological restoration in the past few months provides a welcome cause for optimism among often overly-pessimistic conservationist messages. This article is about the ineffectiveness of scare tactic messages. Environmental psychologists talk about how the fear sprung from apocalyptic messages from conservationists leads to hopelessness and inaction. However, they claim that we can mobilize sustainable behavior by Associations climate action in an optimistic and tangible manner. People's relationship with nature should be discussed in a hopeful, prideful, and optimistic manner.</t>
  </si>
  <si>
    <t>Think it'll take 21 days to make your resolution a habit? Try tripling that</t>
  </si>
  <si>
    <t>Today menu Today Health &amp; Wellness</t>
  </si>
  <si>
    <t>"On average, it took people 66 days for a new healthy habit to feel automatic — things like eating a piece of fruit with lunch, or drinking a glass of water after breakfast, found the 2010 UK study, led by University College London research psychologist Pippa Lally"Changing a habit or embedding a new behaviour takes effort and focussed attention. This can feel physiologically uncomfortable and quite literally painful to over-ride habits. Its no wonder people often avoid change or find it hard to maintain commitment. Under pressure, tired or distracted our pre-frontal cortex can’t keep us focused and we relapse to earlier behaviours and habits.....We are hyper-vigilant to detect and act on changes in our environment—and we like to get back to what is familiar as soon as possible. Even the act of trying to fix an ‘erroneous’ behaviour can send a message that something is wrong."</t>
  </si>
  <si>
    <t>http://www.today.com/health/think-itll-take-21-days-make-your-resolution-habit-try-2D11826051</t>
  </si>
  <si>
    <t xml:space="preserve">Lasting - Repeat interventions until habits are formed </t>
  </si>
  <si>
    <t>Waste Management - Recycle/Reuse/Repurpose, Consumption - Plastics</t>
  </si>
  <si>
    <t>16 simple ways to reduce plastic waste</t>
  </si>
  <si>
    <t>Moss, L.</t>
  </si>
  <si>
    <t>Mother Nature Network</t>
  </si>
  <si>
    <t>http://www.mnn.com/lifestyle/responsible-living/stories/16-simple-ways-reduce-plastic-waste</t>
  </si>
  <si>
    <t>University transportation habits subject of student-led study</t>
  </si>
  <si>
    <t>University of Maryland</t>
  </si>
  <si>
    <t xml:space="preserve">Cognitive Bias - Anchoring Effect </t>
  </si>
  <si>
    <t>"With the goal of reducing the university’s carbon footprint, a class of anthropology students surveyed the transportation habits of about 365 students, faculty and staff members and asked if they would consider trying more eco-friendly ways to commute."</t>
  </si>
  <si>
    <t>https://anth.umd.edu/news/university-transportation-habits-subject-student-led-study</t>
  </si>
  <si>
    <t>Reply to Frederick et al.: Anchoring effects on energy perceptions</t>
  </si>
  <si>
    <t>Attari, S. Z., DeKay, M. L., Davidson, C. I., &amp; de Bruin, W. B.</t>
  </si>
  <si>
    <t>Cognitive Bias - Attitude Polarization</t>
  </si>
  <si>
    <t>Choice-induced preferences in the absence of choice: Evidence from a blind two-choice paradigm with young children and capuchin monkeys</t>
  </si>
  <si>
    <t>Egan, L. C., Bloom, P., &amp; Santos, L. R.</t>
  </si>
  <si>
    <t xml:space="preserve">Journal of Experimental Social Psychology </t>
  </si>
  <si>
    <t>In two studies, we provide a test of the revealed-preferences account of choice-induced preferences. To do so, we introduce a blind two-choice task in which preferences cannot guide choices. Children chose between two similar objects while ignorant of the objects’ identities, and then chose between the rejected alternative and a third similar object. Monkeys were given an illusion of choice between two similar objects, and then chose between the rejected object and a third similar object. Both children and monkeys preferred the third object, indicating that they devalued the rejected object. This response pattern did not occur when the children and monkeys were not given the opportunity to choose between the two initial items. These results provide evidence against a revealed-preferences account of choice induced preferences and demonstrate that the process of making a choice itself induces preferences.</t>
  </si>
  <si>
    <t>http://www.sciencedirect.com/science/article/pii/S0022103109002157</t>
  </si>
  <si>
    <t>Hard to relate to conservation but a very illuminating and interesting study</t>
  </si>
  <si>
    <t>The Tragedy of the Risk-Perception Commons: Culture Conflict, Rationality Conflict, and Climate Change</t>
  </si>
  <si>
    <t>Green nudge: Nudging litter into the bin</t>
  </si>
  <si>
    <t xml:space="preserve">Kahan, D. M., Wittlin, M., Peters, E., Slovic, P., Ouellette, L. L.,  Braman, D., &amp; Mandel, G. N. </t>
  </si>
  <si>
    <t>Social Science Research Network Electronic Journal</t>
  </si>
  <si>
    <t>Green foorptrint leading to the trashcan reduces littering.; Availability, Nudge, Standing out</t>
  </si>
  <si>
    <t>Waste In Pounds</t>
  </si>
  <si>
    <t>Jacksonville U.</t>
  </si>
  <si>
    <t>data sheet</t>
  </si>
  <si>
    <t>http://www.ju.edu/sustainability/Documents/WTW2010-11OfficialTotals.pdf</t>
  </si>
  <si>
    <t>part III</t>
  </si>
  <si>
    <t>The conventional explanation for controversy over climate change emphasizes impediments to public understanding: Limited popular knowledge of science, the inability of ordinary citizens to assess technical information, and the resulting widespread use of unreliable cognitive heuristics to assess risk. A large survey of U.S. adults (N = 1540) found little support for this account. On the whole, the most scientifically literate and numerate subjects were slightly less likely, not more, to see climate change as a serious threat than the least scientifically literate and numerate ones. More importantly, greater scientific literacy and numeracy were associated with greater cultural polarization: Respondents predisposed by their values to dismiss climate change evidence became more dismissive, and those predisposed by their values to credit such evidence more concerned, as science literacy and numeracy increased. We suggest that this evidence reflects a conflict between two levels of rationality: The individual level, which is characterized by citizens’ effective use of their knowledge and reasoning capacities to form risk perceptions that express their cultural commitments; and the collective level, which is characterized by citizens’ failure to converge on the best available scientific evidence on how to promote their common welfare. Dispelling this, “tragedy of the risk-perception commons,” we argue, should be understood as the central aim of the science of science communication.</t>
  </si>
  <si>
    <t>Normal = Yes; Vivid = No</t>
  </si>
  <si>
    <t>Normal = No; Vivid = No</t>
  </si>
  <si>
    <t>The green footprints #Nudge is #MakingItEasy to throw away trash.  http://www.inudgeyou.com/green-nudge-nudging-litter-into-the-bin/</t>
  </si>
  <si>
    <t>Weigh-the-Waste Program 2010-11</t>
  </si>
  <si>
    <t>description of the weight the waste campaign at Jacksonville U.</t>
  </si>
  <si>
    <t>http://www.ju.edu/Sustainability/Pages/Weigh-the-Waste.aspx</t>
  </si>
  <si>
    <t xml:space="preserve">Part II </t>
  </si>
  <si>
    <t>Selecting audience, counter-effects of providing more scientific information to people</t>
  </si>
  <si>
    <t>The Tragedy of the Risk-Perception Commons: Culture Conflict, Rationality Conflict, and #ClimateChange http://ow.ly/Xs4Ug</t>
  </si>
  <si>
    <t>Students Do It in the Dark for Sustainability</t>
  </si>
  <si>
    <t>On Doing the Decision: Effects of Active versus Passive Choice on Commitment and Self-Perception</t>
  </si>
  <si>
    <t>Cioffi, D., &amp; Garner, R.</t>
  </si>
  <si>
    <t xml:space="preserve">Personality and Social Psychology Bulletin </t>
  </si>
  <si>
    <t>house competition sparks temporary reward for habit formation at university</t>
  </si>
  <si>
    <t>http://planning.ubc.ca/vancouver/news-events/newsletter/2013-07-26/students-do-it-dark-sustainability</t>
  </si>
  <si>
    <t>Two studies demonstrate that making a volunteer decision by doing something results in more commitment to it than making the identical decision by doing nothing. Undergraduates were asked to volunteer for a university committee (Study l a) or a sex and AIDS awareness education project (Study 2) and indicated their choice either by affirming it on two items or by skippping two items that affirmed the opposite choice. Subjects who responded actively were more extreme in the degree of their decision than passive respondents. This effect persevered over 6 weeks (Study lb) and had behavioral consequences (Study 2). Attributional analyses in both studies suggest that active and passive choice may result in unique construals of oneself and of the decision: Active agreement results in citing more types of reasons for one's decision, and active refusal heightens one's perceived resistance to social influence.</t>
  </si>
  <si>
    <t>http://psp.sagepub.com/content/22/2/133.short</t>
  </si>
  <si>
    <t>Make commitments active, not pasive</t>
  </si>
  <si>
    <t xml:space="preserve">Highlight the right identity </t>
  </si>
  <si>
    <t>Solution aversion: On the relation between ideology and motivated disbelief</t>
  </si>
  <si>
    <t>Campbell, T. H., &amp; Kay, A. C.</t>
  </si>
  <si>
    <t xml:space="preserve">Consumption - Energy, Transportation - Sustainable, Transportation - Biking </t>
  </si>
  <si>
    <t>Journal of Personality and Social Psychology</t>
  </si>
  <si>
    <t>3000, 20000</t>
  </si>
  <si>
    <t>King County In Motion</t>
  </si>
  <si>
    <t>Mass Transit changes in WA</t>
  </si>
  <si>
    <t>There is often a curious distinction between what the scientific community and the general population believe to be true of dire scientific issues, and this skepticism tends to vary markedly across groups. For instance, in the case of climate change, Republicans (conservatives) are especially skeptical of the relevant science, particularly when they are compared with Democrats (liberals). What causes such radical group differences? We suggest, as have previous accounts, that this phenomenon is often motivated. However, the source of this motivation is not necessarily an aversion to the problem, per se, but an aversion to the solutions associated with the problem. This difference in underlying process holds important implications for understanding, predicting, and influencing motivated skepticism. In 4 studies, we tested this solution aversion explanation for why people are often so divided over evidence and why this divide often occurs so saliently across political party lines. Studies 1, 2, and 3—using correlational and experimental methodologies—demonstrated that Republicans’ increased skepticism toward environmental sciences may be partly attributable to a conflict between specific ideological values and the most popularly discussed environmental solutions. Study 4 found that, in a different domain (crime), those holding a more liberal ideology (support for gun control) also show skepticism motivated by solution aversion.</t>
  </si>
  <si>
    <t>http://psycnet.apa.org/journals/psp/107/5/809/</t>
  </si>
  <si>
    <t>Good Case Study!!</t>
  </si>
  <si>
    <t>Cognitive Bias - Authority Bias, Cognitive Bias -  Base Rate Fallacy, Cognitive Bias - Availability Heuristic, Cognitive Bias - Confirmation Bias, Cognitive Bias - Status Quo Bias, Awareness</t>
  </si>
  <si>
    <t>Climate - General, Private Sector - CSR</t>
  </si>
  <si>
    <t>2000, 18000</t>
  </si>
  <si>
    <t>Cognition and Risk Perception in Environmental Sustainability Education</t>
  </si>
  <si>
    <t>Schwering, R. E.</t>
  </si>
  <si>
    <t>Rockhurst University</t>
  </si>
  <si>
    <t>Cultivate water saving habits</t>
  </si>
  <si>
    <t>My Green Life</t>
  </si>
  <si>
    <t>"Water saving habits are those easy-to-learn daily behaviours that can save us thousands of litres (and dollars) during the course of our lives."</t>
  </si>
  <si>
    <t>http://www.mygreenlife.com.au/categories/house/actions/cultivate-water-saving-habits/</t>
  </si>
  <si>
    <t>Serious global environmental challenges such as climate change, loss of biodiversity andother pollution issues are creating substantial risks and associated strategic opportunities forbusiness enterprises. Many experts suggest that rapid responses are required from all societalinstitutions to include government, industry and academia. Nevertheless, many leaders in theseinstitutions still deny the criticality of these problems and, as a result, the rate of adaptivechange is frustratingly slow. This paper uses the theories of cognitive and behavioral decisionsciences to forward an integrative framework seeking to explain why business executives mayinResonately discount such environmental risks as well as their responsibilities in addressingthese challenges. Following an articulation of the key variables in this framework, the authorthen suggests practical classroom strategies that have been used in executive, graduate andundergraduate business education to counteract judgment biases and errors that predisposeindividuals to deny their responsibilities in addressing the imperatives of environmentalsustainability. Educators as well as internal and external change agents and consultants will findthis paper useful in promoting environmental awareness and responsible decision making. </t>
  </si>
  <si>
    <t>http://eds.a.ebscohost.com/eds/pdfviewer/pdhttp://www.nature.com/nclimate/journal/v2/n4/full/nclimate1378.htmlfviewer?sid=550d6c2f-372a-4241-bffc-40f9c21b1d8d%40sessionmgr4004&amp;crlhashurl=login.aspx%253fdirect%253dtrue%2526profile%253dehost%2526scope%253dsite%2526authtype%253dcrawler%2526jrnl%253d10956328%2526AN%253d64876385&amp;hid=4111&amp;vid=0</t>
  </si>
  <si>
    <t>Resident Preferred Parking Plan Changing Commuter Habits</t>
  </si>
  <si>
    <t>Cognitive Bias - Availability Bias</t>
  </si>
  <si>
    <t>Website of the City of Milwaukee</t>
  </si>
  <si>
    <t>Climate - General, Climate - Mitigation</t>
  </si>
  <si>
    <t>Why Do Defaults Work? Evidence from a Field Experiment</t>
  </si>
  <si>
    <t>" in just the first couple of weeks after the plan was put in place last year, UWM reported that 15,000 students had already picked up tuition-funded bus passes for the semester, an increase of nearly 10% from the previous semester."</t>
  </si>
  <si>
    <t>Ebeling, F.</t>
  </si>
  <si>
    <t>JEL Classification</t>
  </si>
  <si>
    <t>How do respondents explain WTP responses? A review of the qualitative evidence</t>
  </si>
  <si>
    <t>http://city.milwaukee.gov/commoncouncil/District3/ResidentPreferredPar123974.htm#.V5-aiFdlnox</t>
  </si>
  <si>
    <t>Baker, R., Robinson, A., &amp; Smith, R.</t>
  </si>
  <si>
    <t>Journal of Socio- Economics</t>
  </si>
  <si>
    <t xml:space="preserve">In cooperation with an electricity provider we conducted a field experiment to scrutinize the impact of defaults on electricity customers’ willingness to purchase a “green” electricity contract. We ran the experiment with more than 40,000 interested customers and tested how they react on different non-binding green energy defaults in the contract offer. The results show that (i) the fraction of consumers willing to purchase an electricity contract does not depend on the default, and (ii) the fraction of customers opting for a contract, delivering only electricity from renewable sources, strongly depends on the default. The fraction of “green” customers is less than 10% when the green energy check box is not set by default and rises to 70% when it is set by default- despite the higher price of the “green” contract. Importantly, in our experimental setting the costs of opting out of the default are negligible when purchasing the contract, but very high in later periods. Due to this cost structure, our results suggest that customers’ reactions on defaults cannot be explained by switching costs or procrastination as done in previous literature on default effects. </t>
  </si>
  <si>
    <t>http://ecares.ulb.ac.be/ecaresdocuments/ws/summerschool2013/Ebeling-paper.pdf</t>
  </si>
  <si>
    <t>Alongside a growing body of empirical research relating to willingness to pay (WTP) valuations of the environment, health and safety, there is mounting evidence of embedding, framing effects and other anomalies in responses. Gaining an understanding into how respondents arrive at WTP values is crucial to determining the possible reasons for such anomalies and helping to construct more ‘valid’ WTP instruments.  This paper reports a comprehensive literature review of qualitative research conducted alongside the elici- tation of WTP values in the areas of environment, transport safety and health. Our review revealed a paucity of work in this area and the need for further in-depth studies of this kind. Despite a wide range of studies in differ- ent sectors, with different focus in terms of the nature of the goods in question and the objectives of the quali- tative studies, we identify four preliminary themes: mental accounting, lack of trust, moral outrage and moral satisfaction. The relevance of such findings for the design and interpretation of WTP studies is discussed.</t>
  </si>
  <si>
    <t>green homes</t>
  </si>
  <si>
    <t>How Can We Make People Care About Climate Change?</t>
  </si>
  <si>
    <t>Richard Schiffman</t>
  </si>
  <si>
    <t>Human health - Waste management, Land use - Agriculture</t>
  </si>
  <si>
    <t>10000, 11000</t>
  </si>
  <si>
    <t>Availability Cascades and Risk Regulation</t>
  </si>
  <si>
    <t>Kuran, T., &amp; Sunstein, C. R.</t>
  </si>
  <si>
    <t>Social Science Research Network</t>
  </si>
  <si>
    <t xml:space="preserve">How Can We Make People Care About #ClimateChange? via @yaleE360 http://ow.ly/WSmKX </t>
  </si>
  <si>
    <t>An availability cascade is a self-reinforcing process of collective belief formation by which an expressed perception triggers a chain reaction that gives the perception of increasing plausibility through its rising availability in public discourse. The driving mechanism involves a combination of informational and reputational motives: Individuals endorse the perception partly by learning from the apparent beliefs of others and partly by distorting their public responses in the interest of maintaining social acceptance. Availability entrepreneurs - activists who manipulate the content of public discourse - strive to trigger availability cascades likely to advance their agendas. Their availability campaigns may yield social benefits, but sometimes they bring harm, which suggests a need for safeguards. Focusing on the role of mass pressures in the regulation of risks associated with production, consumption, and the environment, Professor Timur Kuran and Cass R. Sunstein analyze availability cascades and suggest reforms to alleviate their potential hazards. Their proposals include new governmental structures designed to give civil servants better insulation against mass demands for regulatory change and an easily accessible scientific database to reduce people's dependence on popular (mis)perceptions.</t>
  </si>
  <si>
    <t xml:space="preserve">Sustainable food consumption: exploring the consumer ‘‘attitude – behavioral intention’’ gap </t>
  </si>
  <si>
    <t>http://papers.ssrn.com/sol3/papers.cfm?abstract_id=138144</t>
  </si>
  <si>
    <t>Vermeir, I., &amp; Verbeke, W.</t>
  </si>
  <si>
    <t>Cultivate energy saving habits</t>
  </si>
  <si>
    <t>Journal of Agricultural and Environmental Ethics</t>
  </si>
  <si>
    <t>Rick Marais</t>
  </si>
  <si>
    <t>Roodeport Northsider</t>
  </si>
  <si>
    <t>"Energy saving habits are easy to learn. By changing your daily habits, you can save resources and money and reduce your contribution to global warming."</t>
  </si>
  <si>
    <t>pesticide</t>
  </si>
  <si>
    <t>http://roodepoortnorthsider.co.za/195674/cultivate-energy-saving-habits/</t>
  </si>
  <si>
    <t xml:space="preserve">Although public interest in sustainability increases and consumer attitudes are mainly positive, behavioral patterns are not univocally consistent with attitudes. This study investigates the presumed gap between favorable attitude to- wards sustainable behavior and behavioral intention to purchase sustainable food products. The impact of involvement, perceived availability, certainty, perceived consumer effectiveness (PCE), values, and social norms on consumers’ attitudes and intentions towards sustainable food products is analyzed. The empirical research builds on a survey with a sample of 456 young consumers, using a questionnaire and an experimental design with manipulation of key constructs through showing advertisements for sustainable dairy. Involvement with sustainability, certainty, and PCE have a significant positive impact on attitude towards buying sustainable dairy products, which in turn correlates strongly with intention to buy. Low perceived availability of sustainable products explains why intentions to buy remain low, al- though attitudes might be positive. On the reverse side, experiencing social pressure from peers (social norm) explains intentions to buy, despite rather negative personal attitudes. This study shows that more sustainable and ethical food consumption can be stimulated through raising involvement, PCE, certainty, social norms, and perceived availability. </t>
  </si>
  <si>
    <t>Consumption - Autos</t>
  </si>
  <si>
    <t>The prestige of buying green: The Prius case</t>
  </si>
  <si>
    <t>Rodrigo Flores</t>
  </si>
  <si>
    <t>Yale environment review </t>
  </si>
  <si>
    <t>"Consumers are increasingly willing to pay for pricier hybrid cars, expecting social recognition and prestige in exchange for their environmentally friendly consumption habits"</t>
  </si>
  <si>
    <t>https://environment.yale.edu/yer/article/prestige-and-green-purchases-the-prius-case#gsc.tab=0</t>
  </si>
  <si>
    <t>How Not to Teach Climate Change</t>
  </si>
  <si>
    <t>If you want to promote green behavior, inducing fear and touting science isn't the way to go.; communication</t>
  </si>
  <si>
    <t>Food - Safety, Wildlife - Invasive species, Wildlife - General</t>
  </si>
  <si>
    <t>7000, 23000</t>
  </si>
  <si>
    <t>Factors affecting livestock disease reporting and biosecurity practices: a study of West Australian sheep and cattle producers</t>
  </si>
  <si>
    <t>Palmer, S.</t>
  </si>
  <si>
    <t>Murdoch University</t>
  </si>
  <si>
    <t>Australia has become increasingly vulnerable to infectious animal diseases as a result of globalisation. Consequently, biosecurity – the protection of animals from pests and diseases - has become a key concern of government. Livestock producers play a vital part in farm biosecurity and surveillance, but there has been limited research into farmer behaviour and motives in regard to animal health. Preliminary research in Western Australia indicated that the level of official reporting of livestock illness and deaths by farmers is in decline. This study investigates the prevalence and cause of this, examining in particular the factors that influence the decision to consult a veterinarian. Perspectives of sheep and cattle farmers in part of Western Australia were gathered via a quantitative study (postal questionnaire) and a qualitative study (in-depth face-to-face interviews). Human health behaviour models developed within social psychology informed the study design. Analysis and discussion of farmers‟ understanding of science and innovation draws on the work of Wynne and Fischer in particular, with Vanclay, Lawrence and various commentators on agricultural extension providing the Australian context. Within the broader theoretical framework of risk, uncertainty and trust, the thesis draws on theorists from sociology (such as Beck) and psychology (for example, Slovic). The study found that while many farmers were well-informed about biosecurity, this did not necessarily translate into better practices (as defined by agricultural experts). While official bodies propound a scientific, technically rational argument as a means of encouraging farmers to adopt on-farm biosecurity practices, farmers employ a rationality which takes account of the social, cultural and economic context. Farmers were seen to be making a reporting decision based on the perceived risk to their enterprise. Four influential elements of perceived risk were: perceived susceptibility, self-efficacy, perceived control and trust. A distinction was drawn between routine reporting, where trust in the government and expertise was a critical factor, and reporting in suspicious circumstances, where moral obligation played a key role. If farmers are hesitant to trust government sources, important animal health messages may go unheeded. Strategies for building trust between farmers and government bodies will require further investigation.</t>
  </si>
  <si>
    <t xml:space="preserve">Consumption - Energy, Consumption - Buying </t>
  </si>
  <si>
    <t>Does becoming a mother make women ‘greener’?</t>
  </si>
  <si>
    <t>Tonya Ha,  Kathryn Williams</t>
  </si>
  <si>
    <t>Effects of informational prompts on energy conservation in college classrooms</t>
  </si>
  <si>
    <t>Lubyen, P. D.</t>
  </si>
  <si>
    <t>Becoming a mother is all about change: changing priorities, attitudes, social groups, habits and lifestyles. One emerging theory suggests events that disrupt habits, like having a baby, create teachable moments: opportunities to learn better habits."</t>
  </si>
  <si>
    <t>Journal of Applied Behavior Analysis</t>
  </si>
  <si>
    <t>http://theconversation.com/does-becoming-a-mother-make-women-greener-19390</t>
  </si>
  <si>
    <t>A multiple-baseline design was used with two target classroom groups (n = 28 and 27)in a study to reduce electrical energy waste in college classrooms. A dittoed letter, signed by a faculty member, was sent to each professor in the prompt condition. In the letter the professor was informed that he or she taught prior to an unscheduled period and was asked to turn off lights following the class. The results showed that after the prompt, the percentage of rooms with lights turned off increased by 13 % and 6% in each target group. A further analysis of the 10 classrooms that had the lowest baseline rates of turning lights off indicated a 30% increase after the prompt. This study indicates that a minimum prompt procedure was effective in reducing electrical energy waste. The further significance of these results are also discussed.</t>
  </si>
  <si>
    <t>Consumption - Buying, Food - Organic/Sustainable</t>
  </si>
  <si>
    <t>3000, 7000</t>
  </si>
  <si>
    <t>Moms and Consumer Habits: Have Habits Changed in the Current Economy?</t>
  </si>
  <si>
    <t>Tracey Hope-Ross</t>
  </si>
  <si>
    <t>Mom Central Consulting</t>
  </si>
  <si>
    <t>http://www.slideshare.net/thopeross/moms-and-consumer-habits-have-habots-changed-in-the-current-economy</t>
  </si>
  <si>
    <t>Climate - Belief, Environmental policy</t>
  </si>
  <si>
    <t>The Availability Heuristic, Intuitive Cost‐Benefit Analysis, and Climate Change</t>
  </si>
  <si>
    <t>Law School University of Chicago</t>
  </si>
  <si>
    <t>Because risks are on all sides of social situations, it is not possible to be “precautionary” in general. The availability heuristic ensures that some risks stand out as particularly salient, whatever their actual magnitude. Taken together with intuitive cost- benefit balancing, the availability heuristic helps to explain differences across groups, cultures, and even nations in the assessment of precautions to reduce the risks associated with climate change. There are complex links among availability, social processes for the spreading of information, and predispositions. If the United States is to take a stronger stand against climate change, it is likely to be a result of available incidents that seem to show that climate change produces serious and tangible harm.</t>
  </si>
  <si>
    <t>School, Lighting</t>
  </si>
  <si>
    <t xml:space="preserve">Easy- Reduce hassle factors </t>
  </si>
  <si>
    <t>Office paper recycling: a function of container proximity</t>
  </si>
  <si>
    <t xml:space="preserve">Brothers, K. J., Krantz, P., &amp; McClannahan, L. E. </t>
  </si>
  <si>
    <t>We investigated the effects of proximity of containers on pounds of office paper recycled and not recycled by 25 employees. During a memo and central container condition, one container for recyclable paper was provided; in a memo and local container condition, desktop recycling bins, announced by memo, were successively introduced across administrative, office, and instructional settings using a multiple baseline design. Only 28% of paper was recycled in the central container condition, but when recycling containers were placed in close proximity to participants, 85% to 94% of all recyclable paper was recycled. Follow-up assessments, conducted 1, 2, 3, and 7 months after all settings received local recycling containers, showed that 84% to 98% of paper was recycled. Providing desktop recycling containers was a cost-effective procedure with long-term maintenance and program survival.</t>
  </si>
  <si>
    <t>http://onlinelibrary.wiley.com/doi/10.1901/jaba.1994.27-153/abstract</t>
  </si>
  <si>
    <t>Vivid - Focus on immediate impacts</t>
  </si>
  <si>
    <t>Increasing Recycling In Office Environments: The Effects Of Specific, Informative Cues</t>
  </si>
  <si>
    <t xml:space="preserve">Austin, J., Hatfield, D. B., Grindle, A. C., &amp; Bailey, J. S. </t>
  </si>
  <si>
    <t>Climate Change and Human Health: Assessing the Effectiveness of Adaptation to Heat Waves</t>
  </si>
  <si>
    <t>We investigated the effects of prompts on the recycling behavior of approximately 217 faculty, staff, and graduate students in two academic departments of a large university. During the intervention, two signs were posted in each department. One sign prompted recyding (posted above the recyding receptade), and the other sign prompted proper disposal of trash (posted above the trash receptade). Results of a multiple baseline design across the two departments indicated that the sign prompt increased recycling behavior. Installation of the sign prompts in dose proximity to receptacles in Department A resulted in a 54% improvement over baseline. Posting of sign prompts over containers 4 m apart in Department B resulted in a 17% improvement, whereas positioning the signs and receptacles in dose proximity resulted in a 29% improvement over baseline.
</t>
  </si>
  <si>
    <t>Alberini, A., Mastrangelo, E., &amp; Pitcher, H.</t>
  </si>
  <si>
    <t>Mimeograph, University of Maryland</t>
  </si>
  <si>
    <t xml:space="preserve">One Tonne Life: A Swedish Family's Green Lifestyle Experiment Begins </t>
  </si>
  <si>
    <t>Leonora Oppenheim</t>
  </si>
  <si>
    <t>http://www.treehugger.com/cars/one-tonne-life-a-swedish-familys-green-lifestyle-experiment-begins.html</t>
  </si>
  <si>
    <t>Conservative estimates of excess mortality during heat waves can be obtained by counting the cases where death is attributed directly to heat stresses. Recent epidemiologic studies, however, have uncovered much more pronounced increases in deaths, especially for cardiovascular, cerebrovascular, and respiratory causes and especially among the elderly, on hot days.  In this paper, we wish to find out whether heat alerts issued to the population by the National Weather Service (NWS) can offset such excess mortality. To answer this question, we use a panel of daily mortality and weather data covering 86 US counties—the 50 major MSAs, plus cities where the local NWS Weather adopted an additional forecasting system that predicts excess mortality due to the heat—from 1985 to 2005. The study period covers years before and after the implementation of the heat alert policy by the NWS in Summer 1993. The NWS heat alert policy applies under specific heat index and nighttime lows conditions, allowing us to apply a regression discontinuity design.  We find that—unconditionally on heat alerts—in extremely hot days cardiovascular and respiratory mortality increases among the elderly. The effect is mitigated considerably by the presence of air conditioning in homes, and varies appreciably across regions of the country. When we include NWS alerts in our regressions, we find that their effectiveness is the highest in the Midwest, Northeast and Mid-Atlantic. Neither heat nor heat alert have much of an effect on mortality in the South, presumably because of acclimatization and behaviors. These are potentially important results for assessing adaptation options to reduce the adverse health effects of climate change.</t>
  </si>
  <si>
    <t>Lasting, Awareness</t>
  </si>
  <si>
    <t>10, 9</t>
  </si>
  <si>
    <t xml:space="preserve">Daniella Mostow, Sarah Kahl, Cecilia Xu, and Bridget Flynn </t>
  </si>
  <si>
    <t>Hopeful - Provide feedback, Identity - Elicit cognitive dissonance</t>
  </si>
  <si>
    <t>304, 605</t>
  </si>
  <si>
    <t>Simple Psychology of Habits</t>
  </si>
  <si>
    <t>Cognitive Dissonance and Energy Conservation</t>
  </si>
  <si>
    <t>Psychology of Eating</t>
  </si>
  <si>
    <t>Kantola, S. J., Syme, G. J., &amp; Campbell, N. A.</t>
  </si>
  <si>
    <t>Journal of Applied Psychology</t>
  </si>
  <si>
    <t>Accessible description of habit formation- both positive and negative- and the use of awareness to change unwanted automatic habits (negative habits)</t>
  </si>
  <si>
    <t>Examined whether high consumers of electricity placed in a cognitively dissonant situation would conserve electricity over a 4-wk period. 272 households in Perth, Western Australia, owning ducted air conditioning and consuming above-average amounts of electricity were included in the study. Four experimental groups were compared. The 4 groups were as follows: (a) the dissonance plus tips plus feedback group, who were informed of an inconsistency between their previously measured attitudes toward conservation and actual high consumption of electricity; (b) the feedback plus tips group, who were notified that they were high consumers of electricity; (c) the tips-only group, who were sent information on ways to conserve electricity (also sent to Groups 1 and 2); and (d) the control group, who were sent a thank-you letter for participating in the study. It was found, in keeping with bolstering behavior predictions of cognitive dissonance theory, that the dissonance group conserved more electricity than all other groups in the 1st 2-wk measurement period. For the 2nd 2-wk measurement period, the dissonance group differed only from the control group. Self-reported behavior change and number of requests for additional conservation materials were not reliable indicators of actual conservation behavior.</t>
  </si>
  <si>
    <t>http://psycnet.apa.org/journals/apl/69/3/416/</t>
  </si>
  <si>
    <t>Inducing cognitive dissonance on energy use leads to greater conservation.</t>
  </si>
  <si>
    <t>useful for broad picture explanation of habits</t>
  </si>
  <si>
    <t>Hopeful - Provide feedback, Identity - Make it a goal</t>
  </si>
  <si>
    <t>Motivations and money-raising in a social media world</t>
  </si>
  <si>
    <t>Alix Barasch</t>
  </si>
  <si>
    <t>Research Live</t>
  </si>
  <si>
    <t>Joint Effect of Feedback and Goal Setting on Performance: A Field Study of Residential Energy Conservation</t>
  </si>
  <si>
    <t>Why certain social media campaigns have been successful in raising $</t>
  </si>
  <si>
    <t xml:space="preserve">Becker, L. J. </t>
  </si>
  <si>
    <t>The facilitating motivational effect of feedback on performance has been attributed by some to difficult goals set in response to feedback. The present experiment attributes this effect to the presence of both a difficult goal and feedback about performance in relation to that goal. 80 families were asked to set a goal to reduce their residential electricity consumption for several weeks during the summer, half of them by 20% (a difficult goal) and half by 2% (an easy goal). Within each of these groups, half of the families were given feedback 3 times/wk about their consumption. 20 more families served as a control group. As predicted, the 20%-feedback group conserved the most (13.0–25.1%) and was the only one that consumed significantly less electricity than the control. It is concluded that improved performance was a result of the joint effect of feedback and goal setting. The implications of the present research for a national residential conservation strategy are discussed.</t>
  </si>
  <si>
    <t>http://www.researchgate.net/publication/232447265_Joint_effect_of_feedback_and_goal_setting_on_performance_A_field_study_of_residential_energy_conservation</t>
  </si>
  <si>
    <t>Goal-setting with feedback may be more effective</t>
  </si>
  <si>
    <t>The psychology of #SocialNorms &amp; costly behaviors can help us understand the success of the Ice Bucket Challenge</t>
  </si>
  <si>
    <t>Vivid - Use everyday analogies</t>
  </si>
  <si>
    <t>Using Social Cognition and Persuasion to Promote Energy Conservation: A Quasi-Experiment</t>
  </si>
  <si>
    <t>Gonzales, M. H., Aronson, E., &amp; Constanzo, M. A.</t>
  </si>
  <si>
    <t>A quasi-experiment was conducted to determine if the effectiveness of the R.C.S. Home Energy Audit Program could be improved by training auditors to use social-psychological principles during the audit procedure. Nine experienced home energy auditors attended two 1-day workshops in which they were trained to: (a) communicate vividly; (b) personalize their recommendations to homeowners; (c) induce commitment; and (d) frame their recommendations in terms of “loss” rather than “gain”. The effectiveness of the trained auditors was compared with a control group of experienced auditors who did not receive specific training. Both telephone interview data and utility company records pointed to the success of the auditor training. In interviews, customers served by the trained auditors reported a greater likelihood of acting on the auditors' recommendations, and a large number of these customers reported applying for utility programs to finance retrofits. Utility records validated these customer claims: A significantly larger number of customers served by trained auditors actually didapply for retrofit finance programs. A longitudinal measure of actual energy consumption showed no difference between experimental and control households. Taken as a whole, these findings demonstrate the potential for using principles uncovered in the social psychological laboratory to design applied interventions.</t>
  </si>
  <si>
    <t>http://onlinelibrary.wiley.com/doi/10.1111/j.1559-1816.1988.tb01192.x/abstract</t>
  </si>
  <si>
    <t>energy audits</t>
  </si>
  <si>
    <t>Climate - Belief, Wildlife - Conservation, Whole System - Product lifecycle</t>
  </si>
  <si>
    <t>2000, 23000, 22000</t>
  </si>
  <si>
    <t>Putting Down Roots in Environmental Literacy: a Study of Middle School Students’ Participation in Louisiana Sea Grant's Coastal Roots Project</t>
  </si>
  <si>
    <t>Somers, R. L.</t>
  </si>
  <si>
    <t>Louisiana State University</t>
  </si>
  <si>
    <t>An Empirical Examination of the Antecedents of Commitment to Difficult Goals</t>
  </si>
  <si>
    <t>Hollenbeck, J., Williams, C. R., &amp; Klein, H. J.</t>
  </si>
  <si>
    <t xml:space="preserve">Goal commitment has been given a critical role in goal-setting theory, yet the factors associated with commitment to difficult goals have not often been studied. This study examined possible antecedents of commitment to difficult goals. Two sets of such variables were examined: situational (goal publicness and goal origin) and personal (need for achievement and locus of control) factors. Both sets of variables accounted for significant amounts of variance in goal commitment among 190 college students with academic goals. A Person × Situation interaction also accounted for a significant increment of variance. Specifically, commitment to difficult goals was higher when (a) goals were made public rather than private, (b) when locus of control was internal, and (c) when subjects were high in need for achievement, especially when goals were self-set as opposed to assigned. </t>
  </si>
  <si>
    <t>http://www.researchgate.net/publication/232503569_An_empirical_examination_of_the_antecedents_of_commitment_to_difficult_goals</t>
  </si>
  <si>
    <t>Few people realize that in Louisiana land is lost to open water at about a rate of 24 square miles a year, faster than anywhere else in the world (Barras, Beville, Britsch, Hartley, Hawes, Jonston, Kemp, Kinler, Martucci, Porthouse, Reed, Roy, Sapkota, &amp; Suhayda, 2003). Not only is the public low to moderately environmentally literate, there is a need to reach students early on to ensure the greatest benefit. This is the main reason why Louisiana Sea Grant’s Coastal Roots Wetland Seedling Nursery Project (Coastal Roots) came into inception. The goal of the project is to improve environmental literacy of participating students, by fostering a sense of ownership through raising wetland plants. An environmentally literate person combines his/her knowledge of ecology with values that will lead to action (Morrone, Mancl, &amp; Carr, 2001).  The addition of a formal education component to Coastal Roots was needed increase students’ environmental knowledge. Therefore, six lesson plans were developed by the researcher to give students a broad view of Louisiana wetland habitats and deltaic geology and administered by teachers in three middle schools. The 7 and 8 grade classes were purposefully selected based on roughly equivalent ability of the teacher and students. Teachers were observed teaching lessons to their treatment classes. Students were pretest and post tested and 4 treatment students from each school participated in a group clinical interview. Pretest and posttest results were examined using the statistical randomized block design with repeated measures showed a significant (t &lt; 0.0001) improvement of knowledge for the treatment group. There was no statistical difference among schools or between grade levels of students. The results from the qualitative dimensions support the classroom-tested, innovative unit materials developed for this study appear to be applicable to similar environmental science learning situation throughout the Deep South. These results supports the hypothesis that included educational unit can improve the environmental literacy of students’ participation in Coastal Roots.</t>
  </si>
  <si>
    <t>Why some commitments and goals work better than others</t>
  </si>
  <si>
    <t>Want to Save the Planet? Neighbors Make Better Allies than Family</t>
  </si>
  <si>
    <t>Basil D. N. Waugh</t>
  </si>
  <si>
    <t>Increasing Voting Behavior by Asking People if they Expect to Vote</t>
  </si>
  <si>
    <t>The University of Vermont</t>
  </si>
  <si>
    <t>Greenwald, A. G., Carnot, C. G., Beach, R., &amp; Young, B.</t>
  </si>
  <si>
    <t>If you're looking to make the world a little greener, the best place to start might be with your neighbors. Recent research out of the University of Vermont shows that neighbors can be a valuable source of information about sustainable behavior--and can help give the rest of their community a push in the right direction; social norms</t>
  </si>
  <si>
    <t>In two studies, students contacted by telephone were asked to predict whether they would perform a particular behavior (registering to vote or voting, respectively) in the next Tew days. The proportion who predicted that they would do these socially desirable behaviors exceeded the proportion of control subjects who performed the behavior without first being asked to predict whether they would. Further, in the voting study these errors of overprediction were self-erasing in the sense described by S. J. Sherman (Journal of Relatableity and Social Psychology, 1980,39). That is, subjects who were asked to predict whether they would vote—all of whom predicted that they would—actually did vote with substantially greater probability than did the no-prediction control subjects. (Actual voting was verified by consulting official voter rolls.) Asking people to predict whether they will perform a socially desirable action appears to increase their probability of performing the action.</t>
  </si>
  <si>
    <t>http://media.cbsm.com/uploads/1/IncreasingVotingBehavior.pdf</t>
  </si>
  <si>
    <t>Prediction works</t>
  </si>
  <si>
    <t>Identity - Ask for a commitment, Identity - Make it a goal</t>
  </si>
  <si>
    <t>Effects of Goal Setting and Commitments on Increasing Metal Recycling</t>
  </si>
  <si>
    <t>Socializing with neighbors can promote green purchasing and behavior</t>
  </si>
  <si>
    <t>McCaul, K. D., &amp; Kopp, J. T.</t>
  </si>
  <si>
    <t>Conducted a field experiment, in which 120 college students were asked to conserve energy by collecting aluminum cans for recycling. Half of the Ss were provided with an explicit goal, whereas half were not. In addition, half of the Ss consented to having their names associated with the project, whereas half remained anonymous. Ss collected cans for 2 wks, and the result of their collection efforts revealed a reliable effect only for the manipulation of standard: Ss who received an explicit standard collected more cans than those without a standard. </t>
  </si>
  <si>
    <t>http://www.cbsm.com/articles/effects+of+goal+setting+and+commitment+on+increasing+metal+recycling_6716</t>
  </si>
  <si>
    <t>Specific goals better than nonspecific</t>
  </si>
  <si>
    <t>Effects of Goal Setting and Commitment on Increasing Metal Recycling http://ow.ly/Xs6Vr</t>
  </si>
  <si>
    <t xml:space="preserve">The vicious cycle that makes people afraid to talk about climate change </t>
  </si>
  <si>
    <t>Washington Post</t>
  </si>
  <si>
    <t xml:space="preserve">Why Americans don't feel comfortable talking about climate change has a lot to do with their uncertaintiy about how other Americans feel about climate change </t>
  </si>
  <si>
    <t>Sweetening the Till: The Use of Candy to Increase Restaurant Tipping</t>
  </si>
  <si>
    <t>Strohmetz, D. B., Rind, B., Fisher, R., &amp; Lynn, M.</t>
  </si>
  <si>
    <t>Why talking about your #climatechange stance allows other people to feel comfortable talking about theirs</t>
  </si>
  <si>
    <t>A common practice among servers in restaurants is to give their dining parties an unexpected gift in the form of candy when delivering the check. Two experiments were conducted to evaluate the impact of this gesture on the tip percentages received by servers. Experiment 1 found that customers who received a small piece of chocolate along with the check tipped more than did customers who received no candy. Experiment 2 found that tips varied with the amount of the candy given to the customers as well as with the manner in which it was offered. It is argued that reciprocity is a stronger explanation for these findings than either impression management or the good mood effect.</t>
  </si>
  <si>
    <t>Relatable engagement to motivate involvement or behavior change</t>
  </si>
  <si>
    <t>Group Commitment and Resource Conservation: Two Field Experiments in Promoting Recycling</t>
  </si>
  <si>
    <t>Wang, T. H., &amp; Katzev, R. D.</t>
  </si>
  <si>
    <t>Two experiments evaluated the effect of commitment on paper recycling. Using an ABA design, Experiment 1 asked 24 individuals in a retirement home to sign a 4-week group commitment pledge to recycle paper. During this intervention, the subjects recycled 47% more paper than they had during baseline. They continued to recycle at this level during a 4-week follow-up period, when the group commitment was removed. Experiment 2 evaluated the relative effectiveness of group commitment, individual commitment, and token reinforcers on paper recycling in a college dormitory. The students in all three experimental conditions recycled from three to five times more paper than those in the control group during the 4-week intervention. However, in the 3-week follow-up period, when the treatments were removed, only the individually committed subjects continued to recycle significantly more paper than the controls.</t>
  </si>
  <si>
    <t>http://onlinelibrary.wiley.com/doi/10.1111/j.1559-1816.1990.tb00411.x/abstract</t>
  </si>
  <si>
    <t>Individual vs group commitment</t>
  </si>
  <si>
    <t>Climate Change Debate Fueled by 'Echo Chambers' New Study Finds</t>
  </si>
  <si>
    <t>Group Commitment and Resource #Conservation: Two Field Experiments on Promoting #Recycling http://ow.ly/XwxZy</t>
  </si>
  <si>
    <t>Looking at how "echo chambers" and climate change information</t>
  </si>
  <si>
    <t>605, 602</t>
  </si>
  <si>
    <t xml:space="preserve">#ClimateChange Debate Fueled by ‘Echo Chambers,' http://ow.ly/TMGYu  </t>
  </si>
  <si>
    <t>Freshwater - Drought</t>
  </si>
  <si>
    <t>Mainstreaming water conservation: lessons from energy efficiency</t>
  </si>
  <si>
    <t xml:space="preserve">talks about raising awareness for drought- it is more effective for people to believe that everyone is conserving water. Campaign ads describing water-deprived lawns as gold. These methods normalize water conservation and cast a positive light on the effects of water conservation (i.e. a dying lawn) </t>
  </si>
  <si>
    <t>Residential Water Use: Predicting and Reducing Consumption</t>
  </si>
  <si>
    <t>Aitken, C. K., Mcmahon, T. A., Wearing, A. J., &amp; Finlayson, B. L.</t>
  </si>
  <si>
    <t>This project had two goals: to explain variation in residential water consumption and to evaluate methods of encouraging residents to reduce their consumption. Survey data for both studies were collected by mail questionnaire in early 1991, and water consumption figures were recorded between June and August of that year. In Study 1 (n = 264) a three-variable regression model (number of residents, clothes washing machine loads, and property value) accounted for 60% of the variance. Attitudes, habits and values were very poor predictors of water consumption. In Study 2 (n =226) households were divided into three treatment groups: feedback only, feedback and dissonance, and a control group. Repeated-measures ANOVA revealed that high consumers receiving dissonance and feedback or feedback alone had significantly reduced their water consumption in the treatment period. The implications of these findings are discussed.</t>
  </si>
  <si>
    <t>http://onlinelibrary.wiley.com/doi/10.1111/j.1559-1816.1994.tb00562.x/abstract</t>
  </si>
  <si>
    <t>Seminal study on cognitive dissonance and resouce consumption</t>
  </si>
  <si>
    <t xml:space="preserve">How to encourage water conservation during droughts, what we can learn from energy efficiency campaigns </t>
  </si>
  <si>
    <t>Public perceptions of energy consumption and savings</t>
  </si>
  <si>
    <t>Scientific Consensus on Climate Change as a Gateway Belief</t>
  </si>
  <si>
    <t>In a national online survey, 505 participants reported their percep- tions of energy consumption and savings for a variety of household, transportation, and recycling activities. When asked for the most effective strategy they could implement to conserve energy, most participants mentioned curtailment (e.g., turning off lights, driving less) rather than efficiency improvements (e.g., installing more efficient light bulbs and appliances), in contrast to experts’ recom- mendations. For a sample of 15 activities, participants underesti- mated energy use and savings by a factor of 2.8 on average, with small overestimates for low-energy activities and large underesti- mates for high-energy activities. Additional estimation and ranking tasks also yielded relatively flat functions for perceived energy use and savings. Across several tasks, participants with higher numer- acy scores and stronger proenvironmental attitudes had more accu- rate perceptions. The serious deficiencies highlighted by these results suggest that well-designed efforts to improve the public’s understanding of energy use and savings could pay large dividends.</t>
  </si>
  <si>
    <t>Recent work from Yale University provides support for a gateway-based model for belief in climate change. The study shows that as subjects are exposed to messages about the scientific consensus on climate change, the strength of their belief that climate change is human-caused, poses and serious threat, and warrants public attention increases; communication</t>
  </si>
  <si>
    <t>Hopeful - Provide feedback, Ordinary - Socially model the desired behavior</t>
  </si>
  <si>
    <t>304, 702</t>
  </si>
  <si>
    <t>The Effects of Videotape Modeling and Daily Feedback on Residential Electricity Conservation, Home Temperature and Humidity, Perceived Comfort, and Clothing Worn: Winter and Summer</t>
  </si>
  <si>
    <t>Winett, R. A., Hatcher, J. W., Fort, T. R., Leckliter, I. N., Love, S. Q., Riley, A. W., &amp; Fishback, J. F.</t>
  </si>
  <si>
    <t>Journal of Behavioral Analysis</t>
  </si>
  <si>
    <t>belief in the scientific consensus on climate change can serve as a gateway belief for public action</t>
  </si>
  <si>
    <t>Two studies were conducted in all-electric townhouses and apartments in the winter (N = 83) and summer (N = 54) to ascertain how energy conservation strategies focusing on thermostat change and set-backs and other low-cost/no-cost approaches would affect overall electricity use and electricity used for heating and cooling, the home thermal environment, the perceived comfort of participants, and clothing that was worn. The studies assessed the effectiveness of videotape modeling programs that demonstrated these conservation strategies when used alone or combined with daily feedback on electricity use. In the winter, the results indicated that videotape modeling and/or feedback were effective relative to baseline and to a control group in reducing overall electricity use by about 15% and electricity used for heating by about 25%. Hygrothermographs, which accurately and continuously recorded temperature and humidity in the homes, indicated that participants were able to live with no reported loss in comfort and no change in attire at a mean temperature of about 62°F when home and about 59°F when asleep. The results were highly discrepant with prior laboratory studies indicating comfort at 75°F with the insulation value of the clothing worn by participants in this study. In the summer, a combination of strategies designed to keep a home cool with minimal or no air conditioning, in conjunction with videotape modeling and/or daily feedback, resulted in overall electricity reductions of about 15% with reductions on electricity for cooling of about 34%, but with feedback, and feedback and modeling more effective than modeling alone. Despite these electricity savings, hygrothermograph recordings indicated minimal temperature change in the homes, with no change in perceived comfort or clothing worn. The results are discussed in terms of discrepancies with laboratory studies, optimal combinations of video-media and personal contact to promote behavior change, and energy policies that may be mislabeled as sacrificial and underestimate the effectiveness of conservation strategies such as those investigated in these studies.</t>
  </si>
  <si>
    <t>http://www.ncbi.nlm.nih.gov/pmc/articles/PMC1308283/pdf/jaba00041-0059.pdf</t>
  </si>
  <si>
    <t xml:space="preserve">Why Ethical Consumers Don't Walk Their Talk: Towards a Framework for Understanding the Gap Between the Ethical Purchase Intentions and Actual Buying Behavior of Ethically Minded Consumers </t>
  </si>
  <si>
    <t>Is Shame Necessary? New Uses for an Old Tool by Jennifer Jacquet, review: 'daring but lopsided'</t>
  </si>
  <si>
    <t>Carrington, M. J., &amp; Neville, B. A.</t>
  </si>
  <si>
    <t>Robert Douglas-Fairhurst</t>
  </si>
  <si>
    <t>The Telegraph</t>
  </si>
  <si>
    <t>A review of environmental and social scientist's Jennifer Jacquet's book Is Shame Necessary? In the book, Jacquet contends that appealing to individual behavior is not enough--an effective environmental behavior campaign should shame corporations for their unenvironmental and unethical behaviors. She argues that this will lead to a larger-scale change in environmental behavior, but Douglas-Fairhurst doubts that effectively shaming international corporations is feasible. </t>
  </si>
  <si>
    <t>Despite their ethical intentions, ethically minded consumers rarely purchase ethical products (Auger and Devinney: 2007, Journal of Business Ethics 76, 361–383). This intentions–behaviour gap is important to researchers and industry, yet poorly understood (Belk et al.: 2005, Consumption, Markets and Culture 8(3), 275–289). In order to push the understanding of ethical consumption forward, we draw on what is known about the intention–behaviour gap from the social psychology and consumer behaviour literatures and apply these insights to ethical consumerism. We bring together three separate insights – implementation intentions (Gollwitzer: 1999, American Psychologist 54(7), 493–503), actual behavioural control (ABC) (Ajzen and Madden: 1986, Journal of Experimental Social Psychology 22, 453–474; Sheeran et al.: 2003, Journal of Social Psychology, 42, 393–410) and situational context (SC) (Belk: 1975, Journal of Consumer Research 2, 157–164) – to construct an integrated, holistic conceptual model of the intention–behaviour gap of ethically minded consumers. This holistic conceptual model addresses significant limitations within the ethical consumerism literature, and moves the understanding of ethical consumer behaviour forward. Further, the operationalisation of this model offers insight and strategic direction for marketing managers attempting to bridge the intention–behaviour gap of the ethically minded consumer.</t>
  </si>
  <si>
    <t>https://www.researchgate.net/profile/Benjamin_Neville/publication/226351970_Why_Ethical_Consumers_Don't_Walk_Their_Talk_Towards_a_Framework_for_Understanding_the_Gap_Between_the_Ethical_Purchase_Intentions_and_Actual_Buying_Behaviour_of_Ethically_Minded_Consumers/links/00b7d51fe084b9d8fe000000.pdf</t>
  </si>
  <si>
    <t xml:space="preserve">Some info on self efficacy in disc </t>
  </si>
  <si>
    <t>How Peer Pressure May Encourage Delinquents to Pay Up</t>
  </si>
  <si>
    <t>Natural climate variability and future climate policy</t>
  </si>
  <si>
    <t>Rike, K. L., &amp; Caldeira, K.</t>
  </si>
  <si>
    <t>We have internalized the idea that "useful things go in the recycling, and useless things go in the trash."</t>
  </si>
  <si>
    <t>Large ensemble climate modelling experiments demonstrate the large role natural variability plays in local climate on a multi-decadal timescale. Variability in local weather and climate in uences individual beliefs about climate change. To the extent that support for climate mitigation policies is determined by citizens’ local experiences, natural variability will strongly in uence the timescale for implementation of such policies. Under a number of illustrative threshold criteria for both national and international climate action, we show that variability-driven uncertainty about local change, even in the face of a well-constrained estimate of global change, can potentially delay the time to policy implementation by decades. Because several decades of greenhouse gas emissions can have a large impact on long-term climate outcomes, there is substantial risk associated with climate policies driven by consensus among individuals who are strongly in uenced by local weather conditions.</t>
  </si>
  <si>
    <t>Rewriting the Story of Arizona's petrified forest</t>
  </si>
  <si>
    <t>Shaun McKinnon</t>
  </si>
  <si>
    <t>The Arizona Republic</t>
  </si>
  <si>
    <t>social norms</t>
  </si>
  <si>
    <t>Farmers’ decisions to adapt to climate change under various property rights: A case study of maize farming in northern Benin (West Africa)</t>
  </si>
  <si>
    <t>Yegbemey, R. N., Yabi, J. A., Tovignan, S. D., Gantoli, G., &amp; Kokoye, S. E. H.</t>
  </si>
  <si>
    <t>Land Use Policy</t>
  </si>
  <si>
    <t>Rewriting the story of Arizona's petrified forest http://ow.ly/TYJZz  #socialnorms</t>
  </si>
  <si>
    <t>National park visitation</t>
  </si>
  <si>
    <t>Making the assumption that property rights might determine whether farmers adopt particular strate- gies, this study aims at modelling farmers’ decisions to adapt to climate change by focusing on their property rights – declined as institutional arrangements on land and rights on land – as well as their socio-economic and demographic characteristics. The case study took place in northern Benin (West Africa). In this zone, 308 farmers producing maize and adapting to climate change were randomly sam- pled. The study was conducted by a survey method on respondents using structured interviews based on a questionnaire. A simultaneous modelling using a Multivariate Probit (MVP) model highlighted that socio-economic and demographic characteristics, institutional arrangements on land, and rights on land determine the farmers’ decisions to adapt to climate change. The land ownership has a positive effect on the decision to adopt any adaptation strategy. Subsequently, securing farmers’ property rights would help to enhance their capacity to adapt to climate change.</t>
  </si>
  <si>
    <t>The Destructive Influence of Imaginary Peers</t>
  </si>
  <si>
    <t>Tina Rosenberg</t>
  </si>
  <si>
    <t>Blindspot Bias</t>
  </si>
  <si>
    <t xml:space="preserve"> social norms</t>
  </si>
  <si>
    <t xml:space="preserve">Third-Person Effects and the Environment: Social Distance, Social Desirability, and Presumed Behavior </t>
  </si>
  <si>
    <t>Jakob, D. J., &amp; Hurley, R. J.</t>
  </si>
  <si>
    <t>Journal of Communication</t>
  </si>
  <si>
    <t>Previous research has documented third-person effects (persons presuming that others will be more susceptible to media effects than they themselves are) and explored moderators such as social desirability (the effect reverses when the media effects are undesirable) and social distance (the effect increases as the social distance from the self increases). In a study of environmental news coverage, the authors observed the general third-person effect and the moderating role of social desirability; however, they also found that social distance affected presumed influence in complex ways reflecting varying perceptions of issue relevance for the comparison groups. A new variable, presumed behavior (the presumed effect of media coverage on others' behavior), was found to be independent of presumed influence and to offer improved prediction of perceivers' behavioral intentions.</t>
  </si>
  <si>
    <t>http://onlinelibrary.wiley.com/doi/10.1111/j.1460-2466.2005.tb02670.x/abstract</t>
  </si>
  <si>
    <t>Littering and Following the Crowd</t>
  </si>
  <si>
    <t>Vivian Wagner</t>
  </si>
  <si>
    <t>Of droughts and flooding rains</t>
  </si>
  <si>
    <t>Robertson, G., &amp; White, B.</t>
  </si>
  <si>
    <t>The Land and Water Resources Research and Development Corporation</t>
  </si>
  <si>
    <t>http://theatln.tc/1sdncsV</t>
  </si>
  <si>
    <t>Teaching Students to Make Better Decisions About the Environment: Lessons From the Decision Sciences</t>
  </si>
  <si>
    <t>Arvai, J. L., Campbell, V., E. A., Baird, A., &amp; Rivers, L.</t>
  </si>
  <si>
    <t>Journal of Environmental Education</t>
  </si>
  <si>
    <t>The Perils of Adolescence</t>
  </si>
  <si>
    <t>psychologicalscience.org</t>
  </si>
  <si>
    <t xml:space="preserve">Behavior; Risk perception; modeling behavior </t>
  </si>
  <si>
    <t>One of the fundamental goals of environmental education (EE) is to equip students with the skills to make more thoughtful decisions about environmental issues. Many examples of environmental and science education curricula work to address this goal by providing students with up-to-date information about a myriad of environmental issues from a variety of scientific disci- plines. As noted by previous researchers in EE, an emphasis on scientific information, however, does not help to overcome many of the barriers to improved decision making. To help students become better environmental decision makers, educators must also work to incorporate lessons about deci- sion making in conventional EE curricula. This article provides an overview of findings from the decision sciences and behavioral decision research to highlight some of the most common impedi- ments to high-quality decision making. The authors end with suggestions for curriculum develop- ment that might help to improve students’ decision-making skills regarding environmental issues.</t>
  </si>
  <si>
    <t>Marketing social norms: Social marketing and the ‘social norm approach’</t>
  </si>
  <si>
    <t>Burchell, K., Rettie, R., &amp; Patel, K.</t>
  </si>
  <si>
    <t>Journal of Consumer Behaviour</t>
  </si>
  <si>
    <t>Consumption - Energy, Consumption - Freshwater, Transportation - General</t>
  </si>
  <si>
    <t>Social norm strategies do work – but there are risks involved</t>
  </si>
  <si>
    <t>Social norms, a powerful tool but sometimes its not enough on its own; When using norms is good and when it is bad; Applicable to all pro-environmental behavior strategy; Cognitive bias</t>
  </si>
  <si>
    <t>This paper is inspired by the observation that the social norm approach (SNA) to socially desirable behaviour change – that is, telling people about what lots of other people do – retains something of a Cinderella role among social marketing practitioners and academics. Thus, the objective of this paper is to bring the social norm approach to the attention of a wider – and specifically, marketing and social marketing – audience, in the hope that the practice, study and critical analysis of the approach can be widened and deepened. We begin this task by tracing the background of the social norm approach to its origins in psychology and social psychology and by discussing a number of typical social norm campaigns. Thereafter, we review four key characteristics of successful social norm campaigns. In our discussion, we return to a more theoretical discussion of how the social norm approach works, and we pose a number of questions that emerge from the paper.</t>
  </si>
  <si>
    <t>http://doi.wiley.com/10.1002/cb.1395</t>
  </si>
  <si>
    <t>Identity - Ask for a time investment</t>
  </si>
  <si>
    <t xml:space="preserve">Canada and the US, Europe </t>
  </si>
  <si>
    <t>Simple and painless? The limitations of spillover in environmental campaigning</t>
  </si>
  <si>
    <t>Thøgersen, J., &amp; Crompton, T.</t>
  </si>
  <si>
    <t>Journal of Consumer Policy</t>
  </si>
  <si>
    <t>The comfortable perception that global environmental challenges can be met through marginal lifestyle changes no longer bears scrutiny. The cumulative impact of large numbers of individuals making marginal improvements in their environmental impact will be a marginal collective improvement in environmental impact. Yet, we live at a time when we need urgent and ambitious changes. An appeal to environmental imperatives is more likely to lead to spillover into other pro-environmental behaviours than an appeal to financial self-interest or social status.
</t>
  </si>
  <si>
    <t xml:space="preserve">Vivid - Make the message memorable </t>
  </si>
  <si>
    <t>Madonna or Don McLean? The effect of order of exposure on relative liking</t>
  </si>
  <si>
    <t>Pandelaere, M., Millet, K., &amp; Van den Bergh, B.</t>
  </si>
  <si>
    <t>Journal of Consumer Psychology</t>
  </si>
  <si>
    <t>While many studies have shown that exposure frequency affects consumer attitudes and preferences, the current paper provides evidence that exposure order also does so. Three studies show that people like stimuli to which they are first exposed better than later encountered, similar stimuli. Controlling for exposure frequency and duration, individuals prefer the version of a song they heard first to a version they heard later and images they saw first to mirror images they saw later. In addition, our results suggest that perceived originality contributes to the preference for a first encountered stimulus. Our results are discussed in relation to research on order effects in sequential rating formats.</t>
  </si>
  <si>
    <t>http://www.sciencedirect.com/science/article/pii/S105774081000077X</t>
  </si>
  <si>
    <t>Land Use - Development</t>
  </si>
  <si>
    <t>Americans are judging their neighbors' lawns - with surprising environmental consequences</t>
  </si>
  <si>
    <t>When we think about the big contributors to water contamination, usually the big industrial polluters come to mind. But Americans tend 37.5 million acres of residential lawns, and 40 to 60% of the nitrogen that we use to keep our lawns looking beautiful ends up in surface and groundwater, impacting water quality and threatening aquatic life. The root of the problem may the social pressure surrounding lawn maintenance; Two papers (1 2) discussing American lawn maintenance habits reveal that there can be a high social pressure to use fertilizer- and water-intensive lawn management techniques. On the flip side, people are also more likely to use less intensive strategies if they believe that that is what their neighbors are doing as well. Both studies highlight the role that lawn care plays in fostering cohesion among neighbors.</t>
  </si>
  <si>
    <t xml:space="preserve">Post it Note Persuasion: A Sticky Influence </t>
  </si>
  <si>
    <t xml:space="preserve">Gardner, R. </t>
  </si>
  <si>
    <t>Four studies examine the influence of attaching a seemingly insignificant Post-it note to a survey packet on the likelihood of completing the survey. Participants who received a packet with an affixed Post-it note request had significantly higher return rates than participants who received the identical survey with (a) no sticky note, (b) the same message written on the cover sheet but without a Post-it or (c) a blank Post-it with no message provided. Furthermore, they returned the materials more promptly with higher quality responses. A more personalized Post-it appeal increased returns when the survey was long and time consuming but was no more effective than a nonpersonalized Post-it when the survey was easy to complete. Results suggest that the Post-it leads the request to be interpreted as a solicitation for a personal favor, facilitating a normative compliance response.</t>
  </si>
  <si>
    <t>http://papers.ssrn.com/sol3/papers.cfm?abstract_id=612262</t>
  </si>
  <si>
    <t>Americans are judging their neighbors' lawns - with surprising environmental consequences (retweet from postgreen)</t>
  </si>
  <si>
    <t>Pollution - Toxins, Pollution - Water, Pollution - Ocean dumping</t>
  </si>
  <si>
    <t>Green landscaping</t>
  </si>
  <si>
    <t>Risk Perception and Risk Management Strategies of Oyster Farmers</t>
  </si>
  <si>
    <t>Le Bihan, V., Padro, S., &amp; Lemna, P. G.</t>
  </si>
  <si>
    <t>Marine Resource Economics</t>
  </si>
  <si>
    <t>A Room with a Viewpoint: Using Social Norms to Motivate Environmental Conservation in Hotels</t>
  </si>
  <si>
    <t>Goldstein, N. J., Cialdini, R. B., &amp; Griskevicius, V.</t>
  </si>
  <si>
    <t>Journal of Consumer Research</t>
  </si>
  <si>
    <t>The aquaculture sector is highly exposed to risks such as microbial pollu- tion and oil-spills. This article analyzes risk perception in shell sh farming and the farmers’ willingness to rely on hedging mechanisms using logit and ordered multi- nomial logit models. The results show that the degree of risk perception and reliance on risk management tools can be partly de ned through a number of socioeconomic factors speci c to the sector. Beyond the conventional self-protective mechanisms, the study focuses on farmers’ willingness to rely on risk-transfer mechanisms that the market has so far failed to provide.</t>
  </si>
  <si>
    <t>Two field experiments examined the effectiveness of signs requesting hotel guests' participation in an environmental conservation program. Appeals employing descriptive norms (e.g., “the majority of guests reuse their towels”) proved superior to a traditional appeal widely used by hotels that focused solely on environmental protection. Moreover, normative appeals were most effective when describing group behavior that occurred in the setting that most closely matched individuals' immediate situational circumstances (e.g., “the majority of guests in this room reuse their towels”), which we refer to as provincial norms. Theoretical and practical implications for managing proenvironmental efforts are discussed.</t>
  </si>
  <si>
    <t>http://jcr.oxfordjournals.org/lookup/doi/10.1086/586910</t>
  </si>
  <si>
    <t>Normal = Yes; Feedback = Yes; Salient = No; Resonate = No</t>
  </si>
  <si>
    <t>Feedback = No; Normal = No; Resonate = No; Salient = No</t>
  </si>
  <si>
    <t xml:space="preserve">Using #Social #Norms to Motivate #Environmental #Conservation in Hotels http://ow.ly/X5xZA </t>
  </si>
  <si>
    <t>Consumption, Energy, Freshwater</t>
  </si>
  <si>
    <t>3000, 4000, 8000</t>
  </si>
  <si>
    <t>Consumption, Energy, Freshwater - Consumption</t>
  </si>
  <si>
    <t>Commitment and behavior change: Evidence from the field</t>
  </si>
  <si>
    <t xml:space="preserve">Baca-Motes, K., Brown, A., Gneezy, A., Keenan, E. A., &amp; Nelson, L. D. </t>
  </si>
  <si>
    <t>Overcoming Public and Political Challenges for Natural Hazard Risk Investment Decisions</t>
  </si>
  <si>
    <t>Bonstrom, H.</t>
  </si>
  <si>
    <t>University of Colorado</t>
  </si>
  <si>
    <t>Utilities Turn Their Customers Green, With Envy</t>
  </si>
  <si>
    <t>Influencing behavior change is an ongoing challenge in psychology, economics, and consumer behavior research. Building on previous work on commitment, self-signaling, and the principle of consistency, a large, intensive field experiment (N p 2,416) examined the effect of hotel guests’ commitment to practice environmentally friendly behavior during their stay. Notably, commitment was symbolic—guests were unaware of the experiment and of the fact that their behavior would be monitored, which allowed them to exist in anonymity and behave as they wish. When guests made a brief but specific commitment at check-in, and received a lapel pin to symbolize their commitment, they were over 25% more likely to hang at least one towel for reuse, and this increased the total number of towels hung by over 40%. This research highlights how a small, carefully planned intervention can have a significant impact on behavior. Theoretical and practical implications for motivating desired behavior are discussed.</t>
  </si>
  <si>
    <t>Leslie Kaufman</t>
  </si>
  <si>
    <t>Symbolic commitment lapel pin</t>
  </si>
  <si>
    <t>A desire to keep up with neighbors is spurring conservation; social norms</t>
  </si>
  <si>
    <t>The cost of natural disasters continues to rise around the world, in part due to the direct and indirect effects of population growth, urbanization, and the pressures they place on land use. To reduce the vulnerability of infrastructure, especially existing infrastructure, will require that engineers bring more than technical capabilities to bear. Engineers also need to know which measures of risk are most meaningful or relevant to decision makers, and then be able to communicate those risks, and the costs and benefits of mitigation, in concise, credible, meaningful terms. A major challenge in developing a plan to retrofit under-designed structures is demonstrating a need to the public and their political leaders, who may have difficulty extrapolating un-experienced low-probability, high-consequence events. Many issues must be addressed which all play a role in the tension between short-term rewards to decisions and long- term sustainable actions. Review of current knowledge along with a reassessment offering new understanding and communication tools will be presented focusing on the issues of: (1) public risk perception, (2) public participation in hazard mitigation planning, (3) incorporation of community values, (4) incompatibility of political motivation and long-term planning, and (5) finances of risk and return. A case study reviewing the work done by the San Francisco Community Action Plan for Seismic Safety (CAPSS) team will be presented as an example that effectively implements methods presented in this thesis.</t>
  </si>
  <si>
    <t>Consumer Response to Continuous-Display Electricity-Use Monitors in a Time- of-Use Pricing Experiment</t>
  </si>
  <si>
    <t>Richard, J. S., Johnson, N. B., &amp; Konakayama, A.</t>
  </si>
  <si>
    <t xml:space="preserve">How comparison, #socialnorms, and competition saves #energy.  http://ow.ly/WmloW </t>
  </si>
  <si>
    <t xml:space="preserve">Continuous-display, electricity-use monitors provide more comprehensive electricity cost information than previously considered initiatives. This study analyzes the effect of monitor-provided information on consumers' monthly peak period, off-peak period, and total electricity consumption using an ANCOVA framework. Results indicate that monitoring did not induce conservation but did significantly contribute to shifting electricity use from peak to off-peak periods. </t>
  </si>
  <si>
    <t>https://jcr.oxfordjournals.org/content/jcr/14/1/55.full.pdf</t>
  </si>
  <si>
    <t>The effect of goal-setting and daily electronic feedback on in-home energy use</t>
  </si>
  <si>
    <t xml:space="preserve">van Houwelingen, J. H., &amp; van Raaij, W. F. </t>
  </si>
  <si>
    <t>Goal-setting in conjunction with feedback on the degree of goal attainment can assist consumers in monitoring and, thus, reducing or stabilizing their in-home energy use. A field experiment compared the effects of daily electronic feedback with monthly external feedback and with self-monitoring of energy use. With daily feedback, a 12.3 percent reduction in natural gas use was achieved, more than in the other conditions and more than the stated 10 percent conservation goal. One year after the experiment, energy use remained reduced relative to the baseline in all groups; however, differences between the experimental conditions were no longer significant.</t>
  </si>
  <si>
    <t>http://www.jstor.org/stable/2489305?seq=1#page_scan_tab_contents</t>
  </si>
  <si>
    <t>Self-reports</t>
  </si>
  <si>
    <t>The Effect of Goal-Setting and Daily Electronic Feedback on In-Home #Energy Use http://ow.ly/Xs5k7</t>
  </si>
  <si>
    <t>The Skeptical Shopper: A Metacognitive Account for the Effects of Default Options on Choice.</t>
  </si>
  <si>
    <t>Brown, C. L., &amp; Krishna, A.</t>
  </si>
  <si>
    <t xml:space="preserve">A “default” option is the choice alternative a consumer receives if he/she does not explicitly specify otherwise. In this article we argue that consumers may treat default designations as though they contain relevant information about the value of the product; i.e., when our preferences are uncertain, we look to defaults to tell us something about them. More specifically, defaults can invoke a consumer’s “marketplace metacognition” (Wright 2002), his/her social intelligence about marketplace behavior (for example why and how marketers attempt to manipulate the behavior of consumers). We demonstrate that how the consumer responds to the default depends on whether this social intelligence is invoked and how it changes the meaning of the default. This “metacognitive” account of defaults leads to different predictions than accounts based on cognitive limitations or endowment: in particular, it predicts that on some occasions low (less expensive) defaults will have a greater positive impact on choice than high (more expensive) defaults. Moreover, it predicts the possibility of negative or “backfire” default effects. We report the results of three experiments that show that how the consumer responds to the default will depend on 1) the ordinal position of the default, 2) whether or not a consumer’s marketplace metacognition is readily accessible, and 3) whether or not a consumer is motivated and able to use marketplace metacognition to interpret the meaning of the default. </t>
  </si>
  <si>
    <t xml:space="preserve">Easy - Reduce choices </t>
  </si>
  <si>
    <t>Choosing here and now versus there and later: The moderating role of psychological distance on assortment size preferences</t>
  </si>
  <si>
    <t>Goodman, J. K., &amp; Malkoc, S. A.</t>
  </si>
  <si>
    <t>Behavioural Economics for Environmental Policy: Lessons from Salience, Status-Quo Bias, and the Power of Social Norms in Curbside Recycling Programs</t>
  </si>
  <si>
    <t>Priban, A.</t>
  </si>
  <si>
    <t>University of Ottawa</t>
  </si>
  <si>
    <t>Consumers prefer larger assortments, despite the negative consequences associated with choosing from these sets. This article examines the role of psychological distance (temporal and geographical) in consumers’ assortment size decisions and rectifies contradicting hypotheses produced by construal level theory. Six studies demonstrate that while consumers prefer larger assortments when the choice takes place in the here and now, they are more likely to prefer small assortments when choices pertain to distant locations and times. This decrease in preference for large assortments is due to psychological distance increasing the similarity of the options in a category, making them appear more substitutable. This effect of psychological distance reverses when consumers consider desirability/feasibility trade-off information inherent in the assortment size decision. These findings point to important outcomes of psychological distance, resolving opposing predictions of construal level theory, and identify boundary conditions for the well-established notion that consumers are attracted to large assortments.</t>
  </si>
  <si>
    <t>The point of focus in this paper is the potential role of behavioural economics in environmental policy. Using the case study of curbside household recycling programs, the general hypothesis presented is that behavioural factors can provide a more complete account of the sustained increase in curbside recycling program utilization by households than can neo-classical conceptions supply and demand. Although there are many behavioural factors that have been identified in the field, the focus will be on the three behavioural factors of salience, status-quo bias, and social norms. First presenting a theoretical comparison of economic actors as Homo Economicus and Homo Sapiens, the paper explores the potential of behavioural economic factors to explain the increased utilization of curbside recycling programs. The findings of the various studies that are surveyed throughout the paper are then integrated to suggest behavioural approaches to improve curbside recycling and composting programs. The findings further show that behavioural approaches using salience, status-quo bias, and social norms should be combined with conventional environmental policy approaches to improve the overall effectiveness of environmental programs, particularly those that address negative environmental externalities which result from otherwise common and non-salient human behaviour.</t>
  </si>
  <si>
    <t>Identity - Make it a goal</t>
  </si>
  <si>
    <t>Goal setting and energy efficiency</t>
  </si>
  <si>
    <t>Harding, M., &amp; Hsiaw, A.</t>
  </si>
  <si>
    <t>Journal of Economic Behavior and Organization</t>
  </si>
  <si>
    <t>Is this climate porn? How does climate change communication affect our perceptions and behaviour?</t>
  </si>
  <si>
    <t>Human Health - How People Cook and Eat</t>
  </si>
  <si>
    <t>Nudged to the produce isle by a look in the mirror</t>
  </si>
  <si>
    <t>Michael Moss</t>
  </si>
  <si>
    <t>Lowe, T. D.</t>
  </si>
  <si>
    <t>This paper develops a theoretical model of consumer demand for an energy conservation program that involves non-binding, self-set goals. We present evidence from a Northern Illinois goal-setting program, aimed at reducing residential electricity consumption, which is difficult to reconcile with standard preferences and is broadly consistent with a model of present-biased consumers with reference-dependent preferences. We find that the need for commitment is correlated with program adoption, higher pre-adoption consumption, and lower responsiveness to goals. Consumers choosing realistic goals persistently save substantially more, achieving savings of nearly 11%, than those choosing very low or unrealistically high goals.</t>
  </si>
  <si>
    <t>Customers can be nudged to choose more healthful foods using various techniques to counter the eye-catching ads of the food industry</t>
  </si>
  <si>
    <t>Tyndall Center for Climate Change Research</t>
  </si>
  <si>
    <t>http://www.sciencedirect.com/science/article/pii/S0167268114001176</t>
  </si>
  <si>
    <t>Effect of setting goals on energy conservation</t>
  </si>
  <si>
    <t>A study on goal setting and how it affects #energy conservation http://ow.ly/XwyIg What is the impact of setting realistic goals?</t>
  </si>
  <si>
    <t>4./11/16</t>
  </si>
  <si>
    <t>There is growing concern that the social construction of the issue of climate change and its amplification by normative communication channels may be acting to distance or even remove much of the lay public from a point at which they feel they can take action. This paper discusses the extent to which such representations are imbued by the public psyche and, importantly, the extent to which such messages are likely to effect behavioural change. Evidence is presented from a controlled experiment which explores whether a filmic experience may promote a greater individual reaction to the potential dangers from climate change than simply reading a compendium of scientific information detailing the causes and potential effects of human induced climate change. Results suggest that although the public harbours deep concerns about the effect climate change is having or may have, there is a disconnect between this and the actual sacrifices we are willing to make. Popular reporting of climate change in the style of environmental ‘science fiction’ appears not to be a catalyst for change; rather it creates a nagging concern, the solution to which is felt to be beyond the reach of the ordinary person.</t>
  </si>
  <si>
    <t>Influencing behaviour: The mindpsace way</t>
  </si>
  <si>
    <t xml:space="preserve">Dolan, P., Hallsworth, M., Halpern, D., King, D., Metcalfe, R., &amp; Vlaev, I. </t>
  </si>
  <si>
    <t>Journal of Economic Psychology</t>
  </si>
  <si>
    <t>The ability to influence behaviour is central to many of the key policy challenges in areassuch as health, finance and climate change. The usual route to behaviour change in eco-nomics and psychology has been to attempt to ‘change minds’ by influencing the way peo-ple think through information and incentives. There is, however, increasing evidence tosuggest that ‘changing contexts’ by influencing the environments within which peopleact (in largely automatic ways) can have important effects on behaviour. We present amnemonic, MINDSPACE, which gathers up the nine most robust effects that influenceour behaviour in mostly automatic (rather than deliberate) ways. This framework is beingused by policymakers as an accessible summary of the academic literature. To motivatefurther research and academic scrutiny, we provide some evidence of the effects in actionand highlight some of the significant gaps in our knowledge.</t>
  </si>
  <si>
    <t>http://homepages.se.edu/cvonbergen/files/2013/01/Influencing-Behavior-the-MINDSPACE-Way.pdf</t>
  </si>
  <si>
    <t>Identity - Ask for a commitment, Identity - Ask for a time investment</t>
  </si>
  <si>
    <t>602, 604</t>
  </si>
  <si>
    <t>A social-psychological analysis of residential electricity consumption: the impact of minimal justification techniques</t>
  </si>
  <si>
    <t>Katzev, R. D., &amp; Johnson, T. R.</t>
  </si>
  <si>
    <t>To explore the impact of the foot-in-the-door technique on residential energy conservation 66 homeowners were asked to curtail their consumption of electricity by 10%. In the Foot-in-the-Door condition this target request was preceded by a more moderate one to answer a short energy conservation questionnaire. Homeowners in the Second Request Only condition simply received the conservation request while those in the First Request Only condition received the questionnaire alone. These groups were compared to a Control group of homeowners who were never asked to comply to either request. The groups did not differ in electricity consumption during the 2 week baseline period or in their percentage change from baseline during the 4 week request period. However, throughout the 12 week follow-up period homeowners in all three request groups consumed significantly less electricity than Controls. In addition, the Foot-in-the-Door group contained significantly more Conservers than any other group. These findings were contrasted with the results of behavioral energy studies emphasizing strong external justifications. The implications of minimal justification techniques for producing long-term maintenance of energy conserving behaviors and for promoting their occurrence across a large population of individuals were also discussed.</t>
  </si>
  <si>
    <t>http://www.sciencedirect.com/science/article/pii/0167487083900065</t>
  </si>
  <si>
    <t xml:space="preserve">Foot-in-the-door for conservation. But foot in the door did not reduce the least. </t>
  </si>
  <si>
    <t>Social-psychological analysis of residential electricity consumption: the impact of minimal justification techniques http://ow.ly/Xwydk</t>
  </si>
  <si>
    <t>Food Waste on Twitter: Lots of Talk, But Can We Get Some Action?</t>
  </si>
  <si>
    <t xml:space="preserve">about Twitter's "#foodwaste trend where everyone started talking about it </t>
  </si>
  <si>
    <t>Energy conservation through product-integrated feedback: The roles of goal-setting and social orientation</t>
  </si>
  <si>
    <t>McCalley, L. T., &amp; Midden, C. J. H.</t>
  </si>
  <si>
    <t>Environmental policy, Whole system - Ecosystem/Conservation</t>
  </si>
  <si>
    <t>6000, 22000</t>
  </si>
  <si>
    <t>Ten common mistakes in designing biodiversity indicators for forest policy</t>
  </si>
  <si>
    <t>The purpose of this study was to find a means to increase energy conservation behavior by giving consumers immediate energy feedback. The study explored the roles of goals to save
energy and kWh feedback. Feedback was given, and conservation goals set, via a simulated, technologically advanced, washing machine control panel. One hundred subjects each completed 20 simulated washing trials. Self-set and assigned goals were compared as to their effect on conservation behavior when used in combination with energy feedback. Both generated similar energy savings with the self-set goal group using 21% less energy than the control group. Social orientation, a Relatableity factor, was found to interact with goal-setting mode, with pro-self individuals saving more energy when allowed to self-set a goal and pro-social individuals saving more energy when assigned a goal.</t>
  </si>
  <si>
    <t>Failing, L., &amp; Gregory, R.</t>
  </si>
  <si>
    <t>http://www.sciencedirect.com/science/article/pii/S0167487002001198</t>
  </si>
  <si>
    <t>Weird simulated washing machine study</t>
  </si>
  <si>
    <t>X</t>
  </si>
  <si>
    <t>#Energy conservation through product-integrated feedback: The roles of goal-setting and social orientation http://ow.ly/Xs5WQ</t>
  </si>
  <si>
    <t>All talk but no action on social media. Let's get the ball moving on food waste efforts!</t>
  </si>
  <si>
    <t>enrgy efficient appliances</t>
  </si>
  <si>
    <t>This paper identifies 10 common ‘mistakes’ in developing and using forest biodiversity indicators from the standpoint of making better forest management choices. The mistakes relate to a failure to clarify the values-basis for indicator selection and a failure to integrate science and values to design indicators that are concise, relevant and meaningful to decision makers. The combined effects of these ten mistakes include inconsistent and indefensible on-ground management strategies and hidden trade-offs at a policy level. They result in frustrated professionals, a confused public, an inability to assess performance with respect to key forest policy objectives and, almost certainly, types and amounts of biodiversity conservation that fail to achieve either scientifically or socially preferred levels. Correcting the mistakes will help to address these problems and, more generally, recognizes the need to better understand the interface between science, public values, and decision making.</t>
  </si>
  <si>
    <t>Ordinary - Socially model the desired behavior</t>
  </si>
  <si>
    <t>The focusing and informational effects of norms on pro-social behavior</t>
  </si>
  <si>
    <t>Krupka, E., &amp; Weber, R. A.</t>
  </si>
  <si>
    <t>Making Smarter Environmental Management Decisions</t>
  </si>
  <si>
    <t>This paper reports an experiment examining the effect of social norms on pro-social behavior. We test two predictions derived from work in psychology regarding the influence of norms. The first is a “focusing” influence, whereby norms only impact behavior when an individual’s attention is drawn to them; and the second is an “informational” influence, whereby a norm exerts a stronger impact on an individual’s behavior the more others he observes behaving consistently with that norm. We find support for both effects. Either thinking about or observing the behavior of others produces increased pro-social behavior – even when one expects or observes little pro-social behavior on the part of others – and the degree of pro-social behavior is increasing in the actual and expected pro-social behavior of others. This experiment eliminates strategic influences and thus demonstrates a direct effect of norms on behavior.</t>
  </si>
  <si>
    <t>Gregory, R. S., &amp; Keeney, R. L.</t>
  </si>
  <si>
    <t>http://repec.iza.org/dp3169.pdf</t>
  </si>
  <si>
    <t>Journal of the American Water Resources Association</t>
  </si>
  <si>
    <t>This paper outlines a sound, practical approach for making more informed decisions about environmental policy choices. It emphasizes the importance of using a structured decision process to specify and organize values, use these values to create alternatives, and assess tradeoffs to help achieve a desired balance across key objectives. Although these decision making steps are based on common sense, they are often neglected or poorly carried out as part of the complex evaluations of natural resource options. We discuss several reasons for this frequent neglect of decision making principles and provide examples from recent water use planning projects to demonstrate some of the benefits of using a structured, decision focused approach: new and better solutions, increased and more productive participation by stakeholders, and greater defensibility and acceptance of the resource management evaluation process and its conclusions.</t>
  </si>
  <si>
    <t>What do corporate default rules and menus do? An empirical analysis</t>
  </si>
  <si>
    <t>Listokin, Y.</t>
  </si>
  <si>
    <t>Journal of Empirical Legal Studies</t>
  </si>
  <si>
    <t>Much of corporate law consists of nonmandatory statutes. Although scholars have examined the effect of nonbinding corporate law from a theoretical perspective, only inconclusive event studies explore the real-world impact of these laws. This article empirically examines the impact of nonmandatory state anti-takeover statutes. Several conclusions emerge. Despite its nonbinding nature, corporate law makes an enormous difference in outcomes, contradicting those who claim that corporate law is trivial. Two types of nonmandatory corporate laws have particularly important effects. Corporate default laws that favor management are considerably less likely to be changed by companies than default laws favoring investors, supporting those who believe that corporate default laws can ameliorate asymmetries in incentives or bargaining power between managers and investors. Corporate “menu” laws— opt-in laws that are drafted by the state but do not apply as default rules— also facilitate the use of some provisions, supporting those who believe that nonmandatory corporate law reduces transaction costs, such as the cost of updating corporate charters to reflect developments in the economy.</t>
  </si>
  <si>
    <t>Personal climate stories</t>
  </si>
  <si>
    <t xml:space="preserve">Weather, salience of climate change and congressional voting </t>
  </si>
  <si>
    <t xml:space="preserve">Herrnstadt, E., &amp; Muehlegger, E. </t>
  </si>
  <si>
    <t xml:space="preserve">Climate change is a complex long-run phenomenon. The speed and severity with which it is occurring is difficult to observe, complicating the formation of beliefs for individuals. We use Google search intensity data as a proxy for the salience of climate change and examine how search patterns vary with unusual local weather. We find that searches for “climate change” and “global warming” increase with extreme temperatures and unusual lack of snow. Furthermore, we demonstrate that effects of abnormal weather extend beyond search behavior to observable action on environmental issues. We examine the voting records of members of the U.S. Congress from 2004 to 2011 and find that members are more likely to take a pro-environment stance on votes when their home state experiences unusual weather. </t>
  </si>
  <si>
    <t>Personal Climate Stories: How is #cli­matechange affecting people around the world right now? http://ow.ly/PcWDc </t>
  </si>
  <si>
    <t xml:space="preserve">Climate - Emissions, Consumption - Autos, Consumption - Energy </t>
  </si>
  <si>
    <t>Are experienced people affected by a pre-set default option? Results from a field experiment</t>
  </si>
  <si>
    <t>Lofgren, A., Martinsson, P., Hennlock, M., &amp; Sterner, T.</t>
  </si>
  <si>
    <t>The objective of the present paper is to investigate the robustness of the well-known result that pre-set default options determine people's choices. We do so by conducting a field experiment among environmental economists attending a large international conference on environmental economics. The participants were, at the time of registration, randomly allocated to different treatments related to carbon offsetting. What differs from earlier default studies is that our subjects have good knowledge about the good at hand. We investigate whether the choices of these experienced individuals are affected by a pre-set default option, and we also study the effect of a treatment with no pre-set default option. Our results, together with previous findings, indicate that the effect of a default option attenuates with experience.</t>
  </si>
  <si>
    <t>403, 502</t>
  </si>
  <si>
    <t>Climate, Land use, Natural disasters</t>
  </si>
  <si>
    <t>Consumption - Paper use and printing</t>
  </si>
  <si>
    <t>Can Indifference Make the World Greener?</t>
  </si>
  <si>
    <t>Egebark, J., &amp; Ekström, M.</t>
  </si>
  <si>
    <t>We conducted a natural field experiment to evaluate two resource conservation programs. One intervention consisted of a moral appeal message asking university employees to cut back on printing in general, and to use double-sided printing whenever possible. The other intervention tested whether people׳s tendency to stick with pre-set alternatives is applicable to resource use: at random points in time we changed the default setting on the university printers, from single-sided to double-sided printing. Whereas the moral appeal had no impact, the default change cut paper use by 15 percent. Further analysis adds two important insights. First, we show that defaults influence behavior also in the longer run. Second, we present results indicating that resource efficient defaults have the advantage of avoiding unintended behavioral responses. Overall, our findings send a clear message to anyone concerned about resource conservation: there are potentially large gains to be made from small interventions.</t>
  </si>
  <si>
    <t>http://www.sciencedirect.com/science/article/pii/S009506961500090X</t>
  </si>
  <si>
    <t>duplex printing</t>
  </si>
  <si>
    <t>Environmental policy, Whole system</t>
  </si>
  <si>
    <t>Characterizing the Decision Process of Land Managers when Managing for Endangered Species of Fire Dependent Ecosystems: The Case of the Kirtland’s warbler (Septophaga kirtlandii Baird)</t>
  </si>
  <si>
    <t>Myer, M. G.</t>
  </si>
  <si>
    <t>Ohio State University</t>
  </si>
  <si>
    <t xml:space="preserve">What the world thinks of climate change </t>
  </si>
  <si>
    <t>While the Endangered Species Act is generally viewed as a strong tool for environmental conservation, concerns have been raised over its effectiveness at recovering listed species. While every listed species requires the development of a plan to recover population levels, it has been argued that management activities to recover listed species have resulted in an overemphasis on individual species with detrimental impacts to other ecosystem components. For example, management for the Kirtland’s warbler (Septophaga kirtlandii Baird), a neotropical bird with nesting grounds in the northern great lakes region, has led to questions regarding decreased biodiversity, homogenized landscapes, the displacement of rarer ecosystem types, and development of hazardous fire management conditions. Such potential conditions create a challenge for managers who are charged with preserving critical habitat for threatened and endangered species while also restoring ecosystem processes and conditions that may pose short-term risks to listed species. Drawing on the case of the Kirtland’s warbler, this project examines the factors that influence management decisions regarding the development and preservation of habitat, the use of fire as a management tool, and restoration of ecosystem integrity. Twenty-five management personnel from federal and state government agencies and other key stakeholders involved in Kirtland’s warbler recovery efforts participated in in- depth interviews where they were asked questions pertaining to Kirtland’s warbler and jack pine (Pinus banksiana Lamb.) ecosystem or habitat management. Results were then coded to determine the legal, psychological, and social factors influencing management decisions. Results indicate legal mandates and policies as the largest factor influencing management. Risk aversion was also predominant in affecting management decisions. Collaboration and information exchange were also central to management decisions. Desired management strategies were also identified along with obstacles to their achievement. Recommendations to overcome these obstacles include: broadening the stakeholders involved in the management, including specialists of varying backgrounds; using alternative management demonstration sites for learning as well as for public education; the use of a structured decision making process to accurately assess management alternatives and their tradeoffs; the inclusion of more researchers in the management decisions; and to draw on further social science research to develop an informed understanding of the decision process and public stakeholders.</t>
  </si>
  <si>
    <t>David Funkhouser</t>
  </si>
  <si>
    <t xml:space="preserve">State of the Planet </t>
  </si>
  <si>
    <t xml:space="preserve">What factors determine climate change concer, how to increase those numbers is to target local climate change issues </t>
  </si>
  <si>
    <t>Climate, Population, Whole system</t>
  </si>
  <si>
    <t>2000, 17000, 22000</t>
  </si>
  <si>
    <t>Climate - General, Population - Sustainable communities, Whole system - Ecosystem/Conservation</t>
  </si>
  <si>
    <t>Predicting Volunteer Commitment in Environmental Stewardship Programmes</t>
  </si>
  <si>
    <t>Ryan, R. L., Kaplan, R., &amp; Grese, R. E.</t>
  </si>
  <si>
    <t>Journal of Environmental Planning and Management</t>
  </si>
  <si>
    <t>Cognitive Bias - Blindspot Bias</t>
  </si>
  <si>
    <t>"What does the world think about climate change?" An article on who knows about #climatechange &amp; who doesn't</t>
  </si>
  <si>
    <t>Cognitive Bias - Boomerang Effect</t>
  </si>
  <si>
    <t>Cognitive Bias - Confirmation Bias, Awareness</t>
  </si>
  <si>
    <t>Red-State Cities Find Euphemisms To Prepare for Global Warming</t>
  </si>
  <si>
    <t>John Flesher</t>
  </si>
  <si>
    <t>Talking Points Memo</t>
  </si>
  <si>
    <t>At times Climate Change is like Voldemort - the Issue That Cannot Be Named. So in many places, especially strongholds of conservative politics, they're planning for the volatile weather linked to rising temperatures by speaking of "sustainability" or "resilience."</t>
  </si>
  <si>
    <t>Cognitive Bias - Confirmation Bias, Cognitive Bias - Moral Licensing</t>
  </si>
  <si>
    <t>link no longer works</t>
  </si>
  <si>
    <t>Cognitive Bias - Moral Licensing</t>
  </si>
  <si>
    <t>At times Climate Change is like Voldemort (the villain of the Harry Potter stories) - the Issue That Cannot Be Named: http://talkingpointsmemo.com/news/red-state-cities-find-euphemisms-prepare-global-warming …</t>
  </si>
  <si>
    <t>Do Green Products Make Us Better People?</t>
  </si>
  <si>
    <t>Mazar, N., &amp; Zhong, C. B.</t>
  </si>
  <si>
    <t>Consumer choices reflect not only price and quality preferences but also social and moral values, as witnessed in the remarkable growth of the global market for organic and environmentally friendly products. Building on recent research on behavioral priming and moral regulation, we found that mere exposure to green products and the purchase of such products lead to markedly different behavioral consequences. In line with the halo associated with green consumerism, results showed that people act more altruistically after mere exposure to green products than after mere exposure to conventional products. However, people act less altruistically and are more likely to cheat and steal after purchasing green products than after purchasing conventional products. Together, our studies show that consumption is connected to social and ethical behaviors more broadly across domains than previously thought.</t>
  </si>
  <si>
    <t>The natural environment bene_x008e_fits greatly from the work of volunteers in environmental stewardship programmes. However, little is known about volunteers’motivations for continued participation in these programmes. This study looked at the relationship between volunteer commitment and motivation, as well as the effect that volunteering has on participants’ behaviour and attitudes toward the environment. The study participants were 148 long-term volunteers from three environmental stewardship programmes in Michigan. The results of the study revealed that helping the environment and learning were important initial motivations. Other motivations, including social factors and project organization, were found to be signi_x008e_ficant predictors of volunteer commitment. Volunteers also indicated many signi_x008e_ficant changes in their environmental outlook and actions during their involvement in stewardship activities. The results of the study suggest that stewardship programmes that consider volunteers’ changing motivations at different stages of their participation can effectively nurture personal growth while fostering a powerful constituency for the environment among their volunteers.</t>
  </si>
  <si>
    <t>http://www.treesearch.fs.fed.us/pubs/14894</t>
  </si>
  <si>
    <t>Optimism Bias About Environmental Degradation: The Role of the Range of Impact of Precautions</t>
  </si>
  <si>
    <t>Hatfield, J., &amp; Job, R. F. S.</t>
  </si>
  <si>
    <t>Climate - Emissions, Consumption - Autos, Transportation - General</t>
  </si>
  <si>
    <t>2000, 3000, 20000</t>
  </si>
  <si>
    <t>Energy Policy: The Rebound Effect is Overplayed</t>
  </si>
  <si>
    <t>Gillingham, K., Kotchen, M. J., Rapson, D. S., &amp; Wagner, G.</t>
  </si>
  <si>
    <t>Optimism bias regarding environmental degradation may inhibit pro-environmental behaviour. Two studies established that optimism bias regarding environmental events exists and its determinants were investigated. In study 1 (n=86) optimism bias was observed regarding some aspects of environmental degradation (e.g. air pollution affecting the local area), but not others. These results are consistent with the egocentrism account of optimism bias; egocentric focus on personal precautions may not contribute to optimism bias if others are also perceived to benefit from one's own personal precautions. Study 2 (n=121) assessed this hypothesis employing a manipulation of the perceived range of impact of risk-relevant behaviours. Subjects judged the likelihood that they and their average peer would be affected by environmental hazards, phrased in either general terms (e.g. air pollution) or specific terms (e.g. respiratory problems due to air pollution). Control subjects made estimates about the specific outcomes not explicitly related to the environment (e.g. respiratory problems). Subjects identified behaviours which influence the likelihood of being affected by each hazard. As predicted, subjects asked about general environmental hazards nominated behaviours likely to benefit many people (e.g. reduced use of ozone-damaging chemicals) and demonstrated less optimism bias than subjects asked about specific consequences of the same hazards. Optimism bias was negatively correlated with range of impact of precautions. Thus, optimism bias regarding environmental degradation may be limited by a tendency to focus on pro-environmental behaviours with a wide range of impact.</t>
  </si>
  <si>
    <t>Sinning Saints and Saintly Sinners</t>
  </si>
  <si>
    <t>Sachdeva, S., Iliev, R., &amp; Medin, D. L.</t>
  </si>
  <si>
    <t>The question of why people are motivated to act altruistically has been an important one for centuries, and across various disciplines. Drawing on previous re- search on moral regulation, we propose a framework suggesting that moral (or immoral) behavior can result from an internal balancing of moral self-worth and the cost inherent in altruistic behavior. In Experiment 1, participants were asked to write a self-relevant story containing words referring to either positive or negative traits. Participants who wrote a story referring to the positive traits donated one fifth as much as those who wrote a story referring to the negative traits. In Experiment 2, we showed that this effect was due specifically to a change in the self-concept. In Experiment 3, we replicated these findings and extended them to cooperative behavior in environmental decision making. We suggest that affirming a moral identity leads people to feel licensed to act im- morally. However, when moral identity is threatened, moral behavior is a means to regain some lost self-worth.</t>
  </si>
  <si>
    <t xml:space="preserve">Here's the secret to making people care about climate change </t>
  </si>
  <si>
    <t>Lisa Zaval and Ezra Markowitz</t>
  </si>
  <si>
    <t>Apealing to the idea of legacy to affect environmental habits</t>
  </si>
  <si>
    <t xml:space="preserve">A cognitive dissonance interpretation of consistencies and inconsistencies in environmentally responsible behavior </t>
  </si>
  <si>
    <t>Thogersen, J.</t>
  </si>
  <si>
    <t>The issue of consistency and inconsistency in environmentally responsible behavior (ERB), as reflected in the correlations between different ERBs, is discussed in the light of social-psychological theories suggesting that most people desire to behave consistently. It is argued that except in cases where different ERBs are substitutes or at least one of them is totally determined by idiosyncratic conditions the desire to behave consistently should lead to ERBs being positively correlated. However, the correlation may be attenuated by the influence of idiosyncratic conditions (considered ‘‘noise’’ in this context) and measurement error and it is moderated by perceived dissimilarity between the behaviors and by the (moral) importance of behaving in a responsible way towards the environment. These propositions are tested (and confirmed) by means of a mall-intercept survey of ordinary Danish shoppers. Implications for the promotion of a generalized ERB pattern are discussed.</t>
  </si>
  <si>
    <t>washingtonpost says the secret to make people care about #climatechange is by appealing to their #legacy</t>
  </si>
  <si>
    <t>Climate - Emissions, Consumption - Energy, Energy - Electricity</t>
  </si>
  <si>
    <t>2000, 3000, 4000</t>
  </si>
  <si>
    <t xml:space="preserve">Does Absolution Promote Sin? The Conservationist’s Dilemma </t>
  </si>
  <si>
    <t>Counteracting the focusing illusion: Effects of defocusing on car users’ predicted satisfaction with public transport</t>
  </si>
  <si>
    <t>Harding, M., &amp; Rapson, D.</t>
  </si>
  <si>
    <t>UC Davis</t>
  </si>
  <si>
    <t>Pedersen, T., Kristensson, P., &amp; Friman, M.</t>
  </si>
  <si>
    <t>This paper shows that some households signing up for a green program exhibit an intriguing behavioral rebound e ect: a promise to fully o set customers’ carbon emissions resulting from electricity usage may in fact increase their energy use post-adoption by 1-3%, a response con- sistent with “moral licensing”. We explain this outcome using an economic model of rational energy consumption. The e ect is robust across empirical speci cations, and varies across an array of observable household characteristics. Our results provide a cautionary tale to marketers designing green marketing strategies when the adoption of one product may lead to undesired consequences.</t>
  </si>
  <si>
    <t>Car users underestimate their potential satisfaction with public transport due to a focusing illusion (i.e., focusing on a too narrow range of aspects related to the focal event). To investigate whether a defocusing technique would increase car users’ predicted satisfaction with public transport, the effects of defocusing techniques, generic (Study 1) and self-relevant (Study 2), were investigated. In Study 1 (estimate daily time spent on ten pre-selected activities), the generic defocusing technique did not generate higher predicted satisfaction with public transport. In Study 2, the self-relevant defocusing technique generated higher predicted satisfaction on quality attributes, namely satisfaction with the number of departures, the number of available seats and the condition of the vehicles, in comparison with controls. It is concluded that the self-relevant defocusing technique applied in Study 2 (state your various everyday activities and describe how much time you engage in them) was successful in making car users take into account activities in life that will remain unchanged if they were to use public transport for their daily travel. Additionally, in Studies 1 and 2, it was found that car-use habit, regardless of the experimental condition, influenced the magnitude of predicted satisfaction, that is, the higher the car-use habit, the lower the predicted satisfaction with public transport.</t>
  </si>
  <si>
    <t xml:space="preserve">Associations, Identity </t>
  </si>
  <si>
    <t>Systems thinking and environmental concern</t>
  </si>
  <si>
    <t>Lezak, S. B., &amp; Thibodeau, P. H.</t>
  </si>
  <si>
    <t>Systems thinking is thought to facilitate complex decision-making, but relatively little is known about its psychological underpinning. We present three studies that situate a measure of the construct in relation to other dispositional measures that have received more attention in environmental psychology and by testing whether the mindset predicts behavior in a set of novel decision making tasks. In Study 1, we find that systems thinkers tend to believe in scientific consensus, recognize risks posed by climate change, and support policy interventions to address climate change; systems thinking was negatively related to conspiracist and free-market ideation. In Studies 2 and 3 we find that systems thinkers ascribe more value to the natural world — both in monetary terms as well as on social and ecological grounds. The findings suggest that models of environmental cognition can be improved by measuring peoples' tendency to engage in systems thinking.</t>
  </si>
  <si>
    <t xml:space="preserve">Maybe  -- content </t>
  </si>
  <si>
    <t>Easy - Make what you are asking easy to understand and execute
</t>
  </si>
  <si>
    <t>Spare the details, share the relevance: The dilution effect in communications about carbon dioxide capture and storage</t>
  </si>
  <si>
    <t>de Vries, G., Terwel, B. W., &amp; Ellemers, N.</t>
  </si>
  <si>
    <t>Spreading the Global Warming Gospel</t>
  </si>
  <si>
    <t>Neela Banerjee</t>
  </si>
  <si>
    <t>Katherine Hayhoe, an evangelical Christian in Texas, works to convince people that climate change is real</t>
  </si>
  <si>
    <t>The mitigation of climate change may require the implementation of carbon dioxide capture and storage technology (CCS). Both proponents and opponents of CCS will try to convince the public of the (dis)advantages of this technology. This research examines the relative persuasiveness of communications that only contain highly relevant information (e.g., the argument that the implementation of CCS would have important climate benefits) or combine highly relevant with irrelevant or moderately relevant information. The results of three experiments consistently show that adding irrelevant information dilutes the impact of highly relevant information: Irrelevant information reduced the persuasiveness of communications (Experiments 1 and 2) and weakened people's beliefs about the issue (Experiment 3). This dilution effect occurred with both positive (pro-CCS) information and negative (con-CCS) information, but the effect was stronger with positive information. Awareness of the source of the communications moderated the dilution effect. Implications for public communications about CCS are discussed.</t>
  </si>
  <si>
    <t>http://www.sciencedirect.com/science/article/pii/S0272494414000061</t>
  </si>
  <si>
    <t>effeciencies, behavior , source reduction</t>
  </si>
  <si>
    <t>Vivid - Elevate the desireable choice</t>
  </si>
  <si>
    <t xml:space="preserve">An evangelical christian talks about her struggles &amp; efforts to communicate #climatechange with christian groups </t>
  </si>
  <si>
    <t>Effect of outdoor temperature, heat primes and anchoring on belief in global warming</t>
  </si>
  <si>
    <t>Joireman, J., Truelove, H. B., &amp; Duell, B.</t>
  </si>
  <si>
    <t>How Obama's getting Americans to care about climate change</t>
  </si>
  <si>
    <t>Nick Stockton</t>
  </si>
  <si>
    <t xml:space="preserve">Wired </t>
  </si>
  <si>
    <t>Connecting climate to affect on chiildrens health</t>
  </si>
  <si>
    <t>It is generally acknowledged that global warming is occurring, yet estimates of future climate change vary widely. Given this uncertainty, when asked about climate change, it is likely that people’s judgments may be affected by heuristics and accessible schemas. Three studies evaluated this proposition. Study 1 revealed a significant positive correlation between the outdoor temperature and beliefs in global warming. Study 2 showed that people were more likely to believe in global warming when they had first been primed with heat-related cognitions. Study 3 demonstrated that people were more likely to believe in global warming and more willing to pay to reduce global warming when they had first been exposed to a high vs. a low anchor for future increases in temperature. Together, results reveal that beliefs about global warming (and willingness to take actions to reduce global warming) are influenced by heuristics and accessible schemas. Several practical implications are discussed.</t>
  </si>
  <si>
    <t>Cognitive Bias - Projection Bias, Cognitive Bias - Present Focus Bias, Cognitive Bias - Optimism Bias, Cognitive Bias - Scope Insensitivity</t>
  </si>
  <si>
    <t>Climate Change and Moral Judgment</t>
  </si>
  <si>
    <t>Markowitz, E. M., &amp; Shariff, A. F.</t>
  </si>
  <si>
    <t>Effect of heat of climate change perception</t>
  </si>
  <si>
    <t>Converging evidence from the behavioural and brain sciences suggests that the human moral judgement system is not well equipped to identify climate change — a complex, large-scale and unintentionally caused phenomenon — as an important moral imperative. As climate change fails to generate strong moral intuitions, it does not motivate an urgent need for action in the way that other moral imperatives do. We review six reasons why climate change poses significant challenges to our moral judgement system and describe six strategies that communicators might use to confront these challenges. Enhancing moral intuitions about climate change may motivate greater support for ameliorative actions and policies.</t>
  </si>
  <si>
    <t>Effect of outdoor temperature, heat primes and anchoring on belief in #globalwarming http://ow.ly/Xs5dS</t>
  </si>
  <si>
    <t>“Lights out” in university classrooms: Brief group discussion can change behavior</t>
  </si>
  <si>
    <t>Werner, C. M., Cook, S., Colby, J., &amp; Lim, H. J.</t>
  </si>
  <si>
    <t xml:space="preserve">Lights left on in empty classrooms can waste considerable electricity and contribute to greenhouse gas emissions. Interviews prior to the study suggested students did not turn off lights because they did not think of it and were not sure they were allowed to. We visited classes and led brief group discussions to combat these reasons and create a descriptive norm favoring turning off lights. We evaluated the intervention with a 2(Presentation: No/Yes) by 2(Reminder sign: No/Yes) factorial design over 3 periods, Baseline, Intervention, and Follow-up. ANCOVA controlling for Baseline indicated that the presentation groups were more likely to turn off classroom lights during both the intervention and follow-up. Signs had no significant impact either alone or in combination with the presentation. The project extends guided group discussion to a new setting and behavior, and supports the view that embedding behavior change in group discussion is potentially a very powerful technique. Future research might improve the signs and apply the approach to other settings, adapting the program to each situation. </t>
  </si>
  <si>
    <t>http://www.sciencedirect.com/science/article/pii/S027249441200045X</t>
  </si>
  <si>
    <t xml:space="preserve">should be something in this recommendation about modelling through group discussion </t>
  </si>
  <si>
    <t>Influencing green behaviour through environmental goal priming: The mediating role of automatic evaluation</t>
  </si>
  <si>
    <t>Tate, K., Stewart, S. J., &amp; Daly, M.</t>
  </si>
  <si>
    <t>relationship</t>
  </si>
  <si>
    <t>Understanding how pro-environmental messages may influence behaviour is key to promoting sustainable consumer choice. Research suggests that people automatically evaluate objects as a function of their instrumentality to satisfying active goals. We hypothesized that priming an environmental-protection goal through exposure to a pro-environmental message would produce more positive automatic evaluations and lead people to make the pro-environmental choice of selecting loose rather than packaged products in a hypothetical choice task. As predicted, those primed with an environmental-protection goal automatically evaluated loose products more positively and selected more loose consumer products than a control group. Increased implicit positivity towards loose products mediated the observed behaviour change. Crucially, the effect of environmental goal priming on choices or implicit attitudes towards packaging was not contingent on existing environmental attitudes. Our findings suggest that pro-environmental messages could induce more environmentally friendly consumer choice by leading people to evaluate readily available goal-relevant stimuli positively.</t>
  </si>
  <si>
    <t>http://www.sciencedirect.com/science/article/pii/S0272494414000164</t>
  </si>
  <si>
    <t>Consumption, Climate</t>
  </si>
  <si>
    <t>Easy - Erect barriers to undesirable actions</t>
  </si>
  <si>
    <t>Employer subsidized parking and work trip mode choice</t>
  </si>
  <si>
    <t>Pickrell, D. H., Shoup, D. C., &amp; Morin, D. A.</t>
  </si>
  <si>
    <t>From Humbug! To Humble: The Power of the Scrooge Effect</t>
  </si>
  <si>
    <t>Transportation Research Record</t>
  </si>
  <si>
    <t>Motivating energy conservation in the workplace: An evaluation of the use of group-level feedback and peer education</t>
  </si>
  <si>
    <t>Carrico, A., &amp; Riemer, M.</t>
  </si>
  <si>
    <t xml:space="preserve">The widespread practice of employer-subsidized parking is a significant but often overlooked determinant of mode choice for the journey to work. Experiences in several major cities are examined, and estimates are made as to how many of those who are offered employer-paid parking decide to drive alone to work rather than commute by other modes. It appears that approximately 20 percent of those who now drive alone and receive free parking would form carpools or begin using public transit if they were required to pay for parking at the workplace. This estimate is derived from comparisons of the behavior of commuters of similar characteristics who park free and who pay to park and from the results of the imposition of parking charges for parking formerly provided free. The major incentive for employers to provide free parking appears to be the fact that, as a fringe benefit, free parking escapes income taxation. Enforcing the reporting and taxation of its cash value, however, is a difficult and predictably unpopular task. Two policies intended to extend employer parking subsidies to work travel by modes other than the single-occupant automobile are recommended: tax-exempt travel allowances and carpool parking subsidies. Both policies could lead to significant increases in carpooling and transit use at very low or no public expense. </t>
  </si>
  <si>
    <t>http://trid.trb.org/view.aspx?id=168329</t>
  </si>
  <si>
    <t>Carpooling, alternative transport</t>
  </si>
  <si>
    <t>Research suggests that curbing consumer demand for energy through behavioral interventions is anessential component of efforts to reduce greenhouse gas emissions, particularly in the short-term. Behavior within organizational settings poses a particular challenge to those wishing to promote energy conservation because employees typically have no direct financial incentive to reduce energy use and rarely have access to information regarding their level of consumption. Two relatively simple and easy-to-implement interventions were evaluated in a workplace setting during the fall of 2008. The first involved group-level feedback presented monthly to employees via e-mail. The second used peer educators to disseminate information and to encourage colleagues to reduce energy use. Both interventions were compared to an information-only control designed to educate employees about how and why to conserve energy. Results indicated that feedback and peer education resulted in a 7% and 4% reduction in energy use, respectively. Buildings that received the control increased energy use by 4%.The effect of peer education was limited by implementation failures in two buildings. The utility of these interventions will be discussed in terms of their overall potential for reducing energy use, as well as the feasibility of their being implemented in future organizational settings.</t>
  </si>
  <si>
    <t xml:space="preserve">The Scrooge effect says that priming donors w/ thoughts of death makes them more generous to common causes! </t>
  </si>
  <si>
    <t>Consumption - Energy, Energy - Renewables</t>
  </si>
  <si>
    <t>Green defaults: Information presentation and pro-environmental behaviour</t>
  </si>
  <si>
    <t>Pichert, D., &amp; Katsikopoulos, K. V.</t>
  </si>
  <si>
    <t>Forget facts, it's personality that rules reactions to climate change</t>
  </si>
  <si>
    <t>
Jo Chandler
</t>
  </si>
  <si>
    <t>The Age</t>
  </si>
  <si>
    <t>There is inconsistency in many people’s choice of electricity.  When asked, they say they prefer a ‘green’ (i.e., environmentally friendly) source for this energy.  Yet, although green electricity is available in many markets, people do not generally buy it.  Why not?  Motivated by behavioural decision research, we argue that the format of information presentation drastically affects the choice of electricity.  Specifically, we hypothesise that people use the kind of electricity that is offered to them as the default.  We present two natural studies and two experiments in the laboratory that support this hypothesis.  In the two real- world situations, there was a green default, and most people used it.  In the first laboratory experiment, more participants chose the green utility when it was the default than when ‘grey’ electricity was the default.  In the second laboratory experiment, participants asked for more money to give up green electricity than they were willing to pay for it.  We argue that changing defaults can be used to promote pro- environmental behaviour.  Potential policy- making applications of this work are discussed.</t>
  </si>
  <si>
    <t>Forget facts, it's personality that rules reactions to #climatechange http://ow.ly/TYKcA </t>
  </si>
  <si>
    <t>The effect of tailored information, goal setting, and tailored feed back on household energy use, energy-related behaviors, and behavioral antecedents</t>
  </si>
  <si>
    <t>Abrahamse, W., Steg, L., Vlek, C., &amp; Rothengatter, T.</t>
  </si>
  <si>
    <t>In this multidisciplinary study, an Internet-based tool was used to encourage households (N¼189) to reduce their direct (gas,electricity and fuel) and indirect energy use (embedded in the production, transportation and disposal of consumer goods). A combination of tailored information, goal setting (5%), and tailored feedback was used. The purpose of this study was to examine whether this combination of interventions would result in (i) changes in direct and indirect energy use, (ii) changes in energy-related behaviors, and (iii) changes in behavioral antecedents (i.e. knowledge). After 5 months, households exposed to the combination of interventions saved 5.1%, while households in the control group used 0.7% more energy. Households exposed to the interventions saved significantly more direct energy than households in the control group did. No difference in indirect energy savings emerged. Households exposed to the interventions adopted a number of energy-saving behaviors during the course of the study, whereas households in the control group did so to a lesser extent. Households exposed to the interventions had significantly higher knowledge levels of energy conservation than the control group had. It is argued that if the aim is to effectively encourage household energy conservation, it is necessary to examine changes in energy use, energy-related behaviors and behavioral antecedents.</t>
  </si>
  <si>
    <t>Identity, Hopeful, Benefits</t>
  </si>
  <si>
    <t>6, 3, 1</t>
  </si>
  <si>
    <t xml:space="preserve">Identity - Make it a goal, Identity - Ask for commitments, Hopeful - Provide feedback, Benefits - None </t>
  </si>
  <si>
    <t>602, 304</t>
  </si>
  <si>
    <t>A Review of Intervention Studies Aimed at Household Energy Conservation</t>
  </si>
  <si>
    <t>This article reviews and evaluates the effectiveness of interventions aiming to encourage households to reduce energy consumption. Thirty-eight studies performed within the field of (applied) social and environmental psychology are reviewed, and categorized as involving either antecedent strategies (i.e. commitment, goal setting, information, modeling) or consequence strategies (i.e. feedback, rewards). Particular attention is given to the following evaluation criteria: (1) to what extent did the intervention result in behavioral changes and/or reductions in energy use, (2) were underlying behavioral determinants examined (e.g. knowledge, attitudes), (3) to what extent could effects be attributed to the interventions and, (4) were effects maintained over longer periods of time? Interestingly, most studies focus on voluntary behavior change, by changing individual knowledge and/or perceptions rather than changing contextual factors (i.e. pay-off structure) which may determine households’ behavioral decisions. Interventions have been employed with varying degrees of success. Information tends to result in higher knowledge levels, but not necessarily in behavioral changes or energy savings. Rewards have effectively encouraged energy conservation, but with rather short-lived effects. Feedback has also proven its merits, in particular when given frequently. Some important issues cloud these conclusions, such as methodological problems. Also, little attention is given to actual environmental impact of energy savings. Often, an intervention's effectiveness is studied without examining underlying psychological determinants of energy use and energy savings. Also, it is not always clear whether effects were maintained over a longer period of time. Recommendations are given to further improve intervention planning and to enhance the effectiveness of interventions.</t>
  </si>
  <si>
    <t>http://www.sciencedirect.com/science/article/pii/S027249440500054X?np=y</t>
  </si>
  <si>
    <t>Helpful metaanalysis</t>
  </si>
  <si>
    <t>Feedback = Yes; Consistent = No</t>
  </si>
  <si>
    <t>Feedback = No; Consistent = No</t>
  </si>
  <si>
    <t>Lasting - Capitalize on life changes</t>
  </si>
  <si>
    <t>Consumption, Waste management, Transportation</t>
  </si>
  <si>
    <t>3000, 21000, 20000</t>
  </si>
  <si>
    <t>Consumption - Freshwater, Consumption - Energy, Waste management - Recycling and reuse, Transportation - Sustainable</t>
  </si>
  <si>
    <t xml:space="preserve">Verplanken, B., &amp; Roy, D. </t>
  </si>
  <si>
    <t>Save More Tomorrow: Using Behavioral Economics to Increase Employee Saving</t>
  </si>
  <si>
    <t>Thaler, R. H., &amp; Shlomo, B.</t>
  </si>
  <si>
    <t xml:space="preserve">Journal of Political Economy </t>
  </si>
  <si>
    <t>This study tested the habit discontinuity hypothesis, which states that behaviour change interventions are more effective when delivered in the context of life course changes. The assumption was that when habits are (temporarily) disturbed, people are more sensitive to new information and adopt a mind-set that is conducive to behaviour change. A field experiment was conducted among 800 participants, who received either an intervention promoting sustainable behaviours, or were in a no-intervention control condition. In both conditions half of the households had recently relocated, and were matched with households that had not relocated. Self-reported frequencies of twenty-five environment-related behaviours were assessed at baseline and eight weeks later. While controlling for past behaviour, habit strength, intentions, perceived control, biospheric values, personal norms, and personal involvement, the intervention was more effective among recently relocated participants. The results suggested that the duration of the ‘window of opportunity’ was three months after relocation.</t>
  </si>
  <si>
    <t>https://www.researchgate.net/publication/286903493_Empowering_interventions_to_promote_sustainable_lifestyles_Testing_the_habit_discontinuity_hypothesis_in_a_field_experiment</t>
  </si>
  <si>
    <t>As firms switch from defined-benefit plans to defined-contribution plans, employees bear more responsibility for making decisions about how much to save. The employees who fail to join the plan or who participate at a very low level appear to be saving at less than the predicted life cycle savings rates. Behavioral explanations for this behavior stress bounded rationality and self-control and suggest that at least some of the low-saving households are making a mistake and would welcome aid in making decisions about their saving. In this paper, we propose such a prescriptive savings program, called Save More Tomorrow (hereafter, the SMarT program). The essence of the program is straightforward: people commit in advance to allocating a portion of their future salary increases toward retirement savings. We report evidence on the first three implementations of the SMarT program. Our key findings, from the first implementation, which has been in place for four annual raises, are as follows: (1) a high proportion (78 percent) of those offered the plan joined, (2) the vast majority of those enrolled in the SMarT plan (80 percent) remained in it through the fourth pay raise, and (3) the average saving rates for SMarT program participants increased from 3.5 percent to 13.6 percent over the course of 40 months. The results suggest that behavioral economics can be used to design effective prescriptive programs for important economic decisions.</t>
  </si>
  <si>
    <t>This study tested the habit discontinuity hypothesis, which states that behaviour change interventions are more effective when delivered in the context of life course changes. The assumption was that when habits are (temporarily) disturbed, people are more sensitive to new information and adopt a mind-set that is conducive to behaviour change. A field experiment was conducted among 800 participants, who received either an intervention promoting sustainable behaviours, or were in a no-intervention control condition. In both conditions half of the households had recently relocated, and were matched with households that had not relocated. Self-reported frequencies of twenty-five environment-related behaviours were assessed at baseline and eight weeks later. While controlling for past behaviour, habit strength, intentions, perceived control, biospheric values, Relatable norms, and Relatable involvement, the intervention was more effective among recently relocated participants. The results suggested that the duration of the ‘window of opportunity’ was three months after relocation.</t>
  </si>
  <si>
    <t>Reducing household energy consumption: A qualitative and quantitative field study</t>
  </si>
  <si>
    <t>Brandon, G.,  &amp; Lewis, A.</t>
  </si>
  <si>
    <t>One hundred and twenty households in Bath, U.K., had their energy consumption monitored over a 9-month period and compared (weather-corrected) to the previous year's consumption. Participants (with the exception of the control group) received feedback in various forms, i.e. consumption compared to previous consumption or to similar others; energy saving tips in leaflets or on a computer; or feedback relating to financial or environmental costs. Respondents were interviewed after the start of the study to establish their income, socio-demographic status, environmental attitudes and the extent to which they already engaged in conserving activities. Participants also took part in focus groups after the final meter readings were taken. Overall the results indicated that income and demographic features predicted historic energy consumption but not changes in consumption during the field study, where environmental attitudes and feedback were influential. Of all the feedback groups, the installation of computers helped reduce consumption most markedly. Furthermore, people with positive environmental attitudes, but who had not previously been engaged in many conservation actions, were more likely to change their consumption subsequent to the feedback period. Recommendations are made both for energy conservation policy and future research.</t>
  </si>
  <si>
    <t>UK’s winter floods strengthen belief humans causing climate change – poll</t>
  </si>
  <si>
    <t xml:space="preserve">Hopeful - Provide feedback, Ordinary - Provide positive social proof </t>
  </si>
  <si>
    <t>304, 700</t>
  </si>
  <si>
    <t>More people in UK believe humans are the cause of climate change due to their flood experience</t>
  </si>
  <si>
    <t>Changing Organizational Energy Consumption Behaviour Through Comparative Feedback</t>
  </si>
  <si>
    <t>Siero, F. W., Bakker, A. B., Dekker, G. B., &amp; van Den Burg, M. T. C.</t>
  </si>
  <si>
    <t>Partitioning Default Effects: Why People Choose Not to Choose</t>
  </si>
  <si>
    <t>Dinner, I., Johnson, E. J., Goldstein, D. G., &amp; Liu, K.</t>
  </si>
  <si>
    <t>The differential effects of two forms of feedback on energy consumption behaviour were examined in two units of a metallurgical company. In one unit, employees received information about energy conservation, had to set goals and received feedback on their own conservation behaviour. The same procedure was followed with employees in a second unit, but they also received information about the performance of the first unit. In accordance with predictions from social identity theory and social comparison theory, the results clearly showed that employees in the comparative feedback condition saved more energy than employees who only received information about their own performance, even half a year after the intervention. A remarkable finding was that behavioural change took place with hardly any changes in attitudes or intentions. The discussion focuses on these findings and on their implications for organizational behaviour change in general.</t>
  </si>
  <si>
    <t>http://linkinghub.elsevier.com/retrieve/pii/S0272494496900195</t>
  </si>
  <si>
    <t>Default options exert an influence in areas as varied as retirement program design, organ donation policy, and consumer choice. Past research has offered potential reasons why no-action defaults matter: (a) effort, (b) implied endorsement, and (c) reference dependence. The first two of these explanations have been experimentally demonstrated, but the latter has received far less attention. In three experiments we produce default effects and demonstrate that reference dependence can play a major role in their effectiveness. We find that the queries formulated by defaults can produce differences in constructed preferences and further that manipulating queries can also mitigate default effects. The experimental context involves two environmentally consequential alternatives: cheap, inefficient incandescent light bulbs, and expensive, efficient compact fluorescent bulbs. Within this context we also measure the impact
of each potential rationale for a default effect.</t>
  </si>
  <si>
    <t>http://www.dangoldstein.com/papers/Dinner_Johnson_Goldstein_Liu_Partitioning_Default_Effects_JEPA2011.pdf</t>
  </si>
  <si>
    <t xml:space="preserve">CHANGING ORGANIZATIONAL #ENERGY CONSUMPTION #BEHAVIOR THROUGH COMPARATIVE FEEDBACK http://ow.ly/X5ygc </t>
  </si>
  <si>
    <t>Energy Conservation Lesson: Saving Lives Motivates People to Use Less Electricity</t>
  </si>
  <si>
    <t>Susan Scutti</t>
  </si>
  <si>
    <t>Promoting energy conservation behavior in public settings: The influence of social norms and Relatable responsibility</t>
  </si>
  <si>
    <t xml:space="preserve">Dwyer, P. C., Maki, A., &amp; Rothman, A. J. </t>
  </si>
  <si>
    <t>Behavior; Values and behavior change</t>
  </si>
  <si>
    <t>How might psychological science be utilized to encourage proenvironmental behavior? In two studies, interventions aimed at promoting energy conservation behavior in public bathrooms examined the influences of descriptive norms and Relatable responsibility. In Study 1, the light status (i.e., on or off) was manipulated before someone entered an unoccupied public bathroom, signaling the descriptive norm for that setting. Participants were significantly more likely to turn the lights off if they were off when they entered. In Study 2, an additional condition was included in which the norm of turning off the light was demonstrated by a confederate, but participants were not themselves responsible for turning it on. Relatable responsibility moderated the influence of social norms on behavior; when participants were not responsible for turning on the light, the influence of the norm was diminished. These results indicate how descriptive norms and Relatable responsibility may regulate the effectiveness of proenvironmental interventions.</t>
  </si>
  <si>
    <t>http://linkinghub.elsevier.com/retrieve/pii/S0272494414000991</t>
  </si>
  <si>
    <t>Promoting energy conservation behavior in public settings: The influence of social norms and Relatable responsibility http://ow.ly/XqxbI</t>
  </si>
  <si>
    <t>When lights were initially off, people were more likely to turn off lights when exiting http://ow.ly/Xqxj6 #energy #conservation #norms</t>
  </si>
  <si>
    <t>Included embedded video</t>
  </si>
  <si>
    <t>#Energy #Conservation Lesson: Saving Lives Motivates People To Use Less #Electricity http://ow.ly/WMEtq</t>
  </si>
  <si>
    <t xml:space="preserve">Identity - Use language that draws on identity </t>
  </si>
  <si>
    <t>Green identity, green living? The role of pro-environmental self-identity in determining consistency across diverse pro-environmental behaviours</t>
  </si>
  <si>
    <t>Whitmarsh, L., &amp; O'Neill, S.</t>
  </si>
  <si>
    <t>UK flood victims less likely to be climate skeptics</t>
  </si>
  <si>
    <t>Dirent experience of climate change makes people think it's a more serious issue; Salience/importance of climate change increases in public opinion immediately after harsh winter floods in the UK</t>
  </si>
  <si>
    <t>Blue space: The importance of water for preference, affect, and restorativeness ratings of natural and built scenes</t>
  </si>
  <si>
    <t xml:space="preserve">White, M., Smith, A., Humphryes, K., Pahl, S., Snelling, D., &amp; Depledge, M. </t>
  </si>
  <si>
    <t>Personal = Yes; Vivid = Yes</t>
  </si>
  <si>
    <t>Making It Easier To Be Green: A Single Case Demonstration of the Effects of Computer Defaults To Conserve Energy in a University Computer Lab</t>
  </si>
  <si>
    <t>Personal = Yes (Removed); Vivid = No</t>
  </si>
  <si>
    <t>Hirst, J. M., Reed, D. D., Kaplan, B. A., &amp; Miller, R.</t>
  </si>
  <si>
    <t>Sustainability: The journal of Record</t>
  </si>
  <si>
    <t>Those who have experienced extreme weather events are less likely to be climate skeptics</t>
  </si>
  <si>
    <t>Although theorists have suggested that aquatic environments or “blue space” might have particular restorative potential, to date there is little systematic empirical research on this issue. Indeed the presence of water has, unintentionally, been a confounding factor in research comparing people’s reactions to built and natural environments. Whereas aquatic features (rivers, lakes, coasts) are frequently present in visual stimuli representing natural environments they are rarely incorporated in stimuli portraying built environments. As many towns are, for good reason, located near water this is a potentially significant oversight. The current research collated a set of 120 photographs of natural and built scenes, half of which contained “aquatic” elements. Proportions of “aquatic”/“green”/“built” environments in each scene (e.g. 1/3rd, 2/3rds) were also standardised. Two studies investigated preferences (attractiveness, willingness to visit and willingness to pay for a hotel room with the view), affect and perceived restorativeness ratings for these photographs. As predicted, both natural and built scenes containing water were associated with higher preferences, greater positive affect and higher perceived restorativeness than those without water. Effect sizes were consistently large. Intriguingly, images of “built” environments containing water were generally rated just as positively as natural “green” space. We propose a number of avenues for further research including exploration of the mechanisms underlying these effects.</t>
  </si>
  <si>
    <t>Here. Now. Us. actualizes climate change for Marin County</t>
  </si>
  <si>
    <t>Campaign provides 3D visualizations to Marin country residents of what their streets would look due to the increased dangers of flooding</t>
  </si>
  <si>
    <t>103, 603</t>
  </si>
  <si>
    <t>Human health, Transportation</t>
  </si>
  <si>
    <t>Educational buildings and university campuses represent some of the most computer-dense settings in the United States. Unfortunately, the administrators and users in these settings often lack proper energy savings strategies, resulting in excessive energy waste. Research in behavioral economics has reliably shown that effort is an inhibitory factor in changing a variety of behaviors. That is, humans have a tendency to choose the option that requires the least amount of effort, regardless of whether that option is the best one. Thus, it might be inferred that interventions requiring greater effort for computer users to conserve energy are unlikely to be effective. This study highlights a successful cost-cutting application of default energy savings settings in a campus computer-testing laboratory. Default settings applied by the research team did not require effort on the part of users and resulted in computers powering-down after a relatively short period of inactivity. A cost analysis revealed modest fiscal and electricity savings among the small number of computers included in the study. However, extrapolating these modest savings across the many hundreds of workstations typically found on university campuses suggests a substantial savings would result from the adoption of the intervention described herein. Implications for practice and future research are discussed. </t>
  </si>
  <si>
    <t>http://online.liebertpub.com/doi/abs/10.1089/SUS.2013.9827</t>
  </si>
  <si>
    <t>Something I thought was interesting that the article pointed out was that it is hard for people to take action about climate change because the dangers seem so far distant into the future</t>
  </si>
  <si>
    <t>school</t>
  </si>
  <si>
    <t>More on the Marin County OWL experiment and how to be make environmental issues Vivid!</t>
  </si>
  <si>
    <t>The role of application assistance and information in college decisions: Results from the H&amp;R block FAFSA experiment</t>
  </si>
  <si>
    <t>Bettinger, E. P., Long, B. T., Oreopoulos, P., &amp; Sanbonmatsu, L.</t>
  </si>
  <si>
    <t>The Quarterly Journal of Economics</t>
  </si>
  <si>
    <t>Growing concerns about low awareness and take-up rates for government support programs like college financial aid have spurred calls to simplify the application process and enhance visibility. We present results from a randomized field experiment in which low-income individuals receiving tax preparation help were also offered immediate assistance and a streamlined process to complete the Free Application for Federal Student Aid (FAFSA) for themselves or their children. Treated participants were also provided with aid estimates that were compared against tuition cost amounts for nearby colleges. The combined assistance and information treatment substantially increased FAFSA submissions and ultimately the likelihood of college attendance, persistence, and aid receipt. In particular, high school seniors whose parents received the treatment were 8 percentage points more likely to have completed two years of college, going from 28 to 36 percent, during the first three years following the experiment. Families who received aid information but no assistance with the FAFSA did not experience improved outcomes. The findings suggest many other opportunities for using personal assistance to increase participation in programs that require filling out forms to become eligible.</t>
  </si>
  <si>
    <t>http://qje.oxfordjournals.org/content/early/2012/04/18/qje.qjs017</t>
  </si>
  <si>
    <t xml:space="preserve">Comparing the effectiveness of education and technology in reducing wood smoke pollution: A field experiment </t>
  </si>
  <si>
    <t xml:space="preserve">Hine, D. W., Bhullar, N., Marks, A. D., Kelly, P., &amp; Scott, J. G. </t>
  </si>
  <si>
    <t xml:space="preserve">This study describes a field experiment assessing the effectiveness of education and technological innovation in reducing air pollution generated by domestic wood heaters. Two-hundred and twenty four households from a small regional center in Australia were randomly assigned to one of four experimental conditions: (1) Education only e households received a wood smoke reduction education pack con- taining information about the negative health impacts of wood smoke pollution, and advice about wood heater operation and firewood management; (2) SmartBurn only e households received a SmartBurn canister designed to improve combustion and help wood fires burn more efficiently, (3) Education and SmartBurn, and (4) neither Education nor SmartBurn (control). Analysis of covariance, controlling for pre- intervention household wood smoke emissions, wood moisture content, and wood heater age, revealed that education and SmartBurn were both associated with significant reduction in wood smoke emissions during the post-intervention period. Follow-up mediation analyses indicated that education reduced emissions by improving wood heater operation practices, but not by increasing health risk perceptions. As predicted, SmartBurn exerted a direct effect on emission levels, unmediated by wood heater operation practices or health risk perceptions. </t>
  </si>
  <si>
    <t xml:space="preserve">Lasting - Capitalize on life changes </t>
  </si>
  <si>
    <t>Context change and travel mode choice: Combining the habit discontinuity and self-activation hypotheses</t>
  </si>
  <si>
    <t xml:space="preserve">Verplanken, B., Walker, I., &amp; Jurasek, M. </t>
  </si>
  <si>
    <t>The habit discontinuity hypothesis states that when a context change disrupts individuals’ habits, a window opens in which behavior is more likely to be deliberately considered. The self-activation hypothesis states that when values incorporated in the self-concept are activated, these are more likely to guide behavior. Combining these two hypotheses, it was predicted that context change enhances the likelihood that important values are considered and guide behavior. This prediction was tested in the domain of travel mode choices among university employees who had recently moved versus had not recently moved residence. As was anticipated, participants who had recently moved and were environmentally concerned used the car less frequently for commuting to work. This was found not only when compared to those who were low on environmental concern (which would be a trivial finding), but also to those who were environmentally concerned but had not recently moved. The effects were controlled for a range of background variables. The results support the notion that context change can activate important values that guide the process of negotiating sustainable behaviors.</t>
  </si>
  <si>
    <t>For Better or for Worse: Default Effects and 401(k) Savings Behavior</t>
  </si>
  <si>
    <t>Choi, J. J., Laibson, D., Madrian, B., &amp; Metrick, A.</t>
  </si>
  <si>
    <t>Perspectives in the Economics of Aging</t>
  </si>
  <si>
    <t>In the last several years, many employers have decided to automatically enroll their new employees in the company 401(k) plan. Using several years of administrative data from three large firms, we analyze the impact of automatic enrollment on 401(k) participation rates, savings behavior, and asset accumulation. We find that although employees can opt out of the 401(k) plan, few choose to do so. As a result, automatic enrollment has a dramatic impact on retirement savings behavior: 401(k) participation rates at all three firms exceed 85%, but participants tend to anchor at a low default savings rate and in a conservative default investment vehicle. We find that initially, about 80% of participants accept both the default savings rate (2% or 3% for our three companies) and the default investment fund (a stable value or money market fund). Even after three years, half of the plan participants subject to automatic enrollment continue to contribute at the default rate and invest their contributions exclusively in the default fund. The effects of automatic enrollment on asset accumulation are not straightforward. While higher participation rates promote wealth accumulation, the low default savings rate and the conservative default investment fund undercut accumulation. In our sample, these two effects are roughly offsetting on average. However, automatic enrollment does increase saving in the lower tail of the savings distribution by dramatically reducing the fraction of employees who do not participate in the 401(k) plan.</t>
  </si>
  <si>
    <t>Play it Again and Again, Sam</t>
  </si>
  <si>
    <t>Commitment, behavior, and attitude change: An analysis of voluntary recycling</t>
  </si>
  <si>
    <t>Werner, C. M., Turner, J., Shipman, K., Twitchell, F. S., Dickson, B. R., Bruschke, G. V., &amp; von Bismarck, W. B.</t>
  </si>
  <si>
    <t>12 ways the arts can encourage climate action</t>
  </si>
  <si>
    <t>Anna Leach</t>
  </si>
  <si>
    <t>This project was designed to help local agencies select the least effortful but most impactful method of inducing residents to participate in a free curbside recycling program. It also provided an opportunity to study attitude change. Results indicated that residents making a written commitment were more likely to participate (and to participate more than once) than those who learned about the program face-to-face, by telephone, or from only a flyer (all residents received the flyer; the signature-commitment and face-to-face groups also received telephone calls to prepare them for the experimenter’s visit). Although groups had similar recycling histories-and by implication similar prior attitudes-those who participated had more favorable attitudes after 4 months than those who did not participate. In contrast to research showing that commitment could lead to behavior without corresponding changes in attitudes, the data supported the view that commitment and behavior can lead to changes in attitudes. The study sets the stage for systematic examination of the hypothesis that at first commitment leads to behavior without attitude change, but over time, if the behavior continues, attitude change occurs.</t>
  </si>
  <si>
    <t>http://www.sciencedirect.com/science/article/pii/0272494495900039</t>
  </si>
  <si>
    <t>Commitment may lead to attitude change</t>
  </si>
  <si>
    <t>Commitment, behavior, and attitude change: An analysis of voluntary recycling http://ow.ly/Xs661</t>
  </si>
  <si>
    <t>Waste management - Hazardous waste</t>
  </si>
  <si>
    <t xml:space="preserve">Guided group discussion and the reported use of toxic products: The persuasiveness of hearing others’ views </t>
  </si>
  <si>
    <t>Werner, C.M., &amp; C.P. Stanley</t>
  </si>
  <si>
    <t xml:space="preserve">Guided group discussion (Lewin, 1952; Werner, 2003; Werner &amp; Adams, 2001) was used to persuade groups to replace their toxic home and garden chemicals with nontoxic alternatives. We hypothesized that discussion would allow participants to hear others endorse the new information, and this normative information would facilitate persuasion. Approximately two months after the group discussion, we obtained questionnaires from the organizer of the meeting and a member of the group who had missed the meeting because of another obligation (i.e., not because of disinterest in the topic). Most organizers were female and analyses were limited to females. This quasi-experimental matched control group design indicated that those who attended the meeting were more favorable towards using nontoxics and more interested in sharing leftover toxic products with friends (instead of discarding them). Path and mediation analyses showed that the organizer’s evaluation of the meeting predicted her final attitude, and perceptions that the group endorsed the material (perceived group norm) partially mediated this relationship. A second mediation analysis showed that evaluation of the meeting predicted intention to share leftover toxics and this relationship was fully mediated by the organizer’s impression that the group would also share leftovers. The results support the idea that persuasion is based both on individual evaluation and normative influence, especially when people are not confident others will accept the behavior, such as sharing leftover toxic products. </t>
  </si>
  <si>
    <t>The effect of default options on choice: Evidence from online product configurators</t>
  </si>
  <si>
    <t>Herrmann, A., Goldstein, D. G., Stadler, R., Landwehr, J. R., Heitmann, M., Hofstetter, R., &amp; Huber, F.</t>
  </si>
  <si>
    <t>Journal of Retailing and Consumer Services</t>
  </si>
  <si>
    <t>Many firms use product configurators to enable customers to specify their desired products online. In such systems, defaults are pre-specified for levels of product features by the manufacturer or dealer. For example, when configuring a racing bike online, a default is predefined (e.g., the Shimano Ultegra model) for all required features (e.g., the gearshift levers). Such defaults, which may even adapt to previous choices, ensure that a functional and fully defined product emerges at the end of the configuration process. However, when designing sales systems, companies often fail to realize that these defaults also affect customer decision-making. We demonstrate the effect by a study that makes use of a fully simulated racing bike configurator. We find the following results: Moving the default of one feature (e.g. wheels) from the lowest to the highest level results in an increase in sales. In addition, the feature level defined as the default also acts as a reference point by increasing the sales of levels near to it. In order to maximize sales, the default should be set at the level of a feature that is between the medium and the highest price level. To conclude we discuss how manufacturers and dealers subtly yet powerfully influence the decision-making process with their sales systems.</t>
  </si>
  <si>
    <t>Virtual Reality Viewfinders Show Sealevel Rise and What to Do About it</t>
  </si>
  <si>
    <t>Camille Von Kaenel</t>
  </si>
  <si>
    <t xml:space="preserve">Scientific American </t>
  </si>
  <si>
    <t>Marin country OWL experiment</t>
  </si>
  <si>
    <t>This scientist changed how we think about climate change with one gif</t>
  </si>
  <si>
    <t xml:space="preserve">Making images that are easy for people to understand </t>
  </si>
  <si>
    <t xml:space="preserve">Can #climatechange be explained in one gif? You decide. Visuals are a great way to communicate with diverse audiences! #makeiteasy  </t>
  </si>
  <si>
    <t>Can #climatechange be explained in one gif? You decide! This is a great example of using visuals and art to reach diverse audiences</t>
  </si>
  <si>
    <t>Recommendations Implicit in Policy Defaults</t>
  </si>
  <si>
    <t xml:space="preserve">McKenzie, C. R. M., Liersch, M. J., &amp; Finkelstein, S. R. </t>
  </si>
  <si>
    <t>Google just created a stunning visualization of how the world searches for ‘global warming’</t>
  </si>
  <si>
    <t>Overview of searches for global warming-- peaked when global warming was most Vivid in the public mind (gore's inconvenient truth)</t>
  </si>
  <si>
    <t>Should people be considered organ donors after their death unless they request not to be, or should they not be considered donors unless they request to be? Because people tend to stay with the default in a variety of domains, policymakers’ choice of default has large and often important effects. In the United States, where the organ-donation policy default is ‘‘not a donor,’’ about 5,000 people die every year because there are too few donors. Four experiments examined two domains—being an organ donor and saving for retirement—where default effects occur and have important implications. The results indicate that default effects occur in part because policymakers’ attitudes can be revealed through their choice of default, and people perceive the default as indicating the recommended course of action. Policymakers need to be aware of the implicit messages conveyed by their choice of default.</t>
  </si>
  <si>
    <t>Breaking and creating habits on the working floor: A field-experiment on the power of implementation intentions</t>
  </si>
  <si>
    <t>http://www.washingtonpost.com/news/energy-environment/wp/2015/06/17/google-just-created-a-stunning-visualization-of-how-the-world-searches-for-global-warming/?postshare=8301434557434006</t>
  </si>
  <si>
    <t>Hollanda, R., W., Aartsb, H., &amp; Langendama, D.</t>
  </si>
  <si>
    <t>Journal of Experimental Social Psychology</t>
  </si>
  <si>
    <t>Awesome special data visualization from #Google that captures how people search for information about #globalwarming http://ow.ly/OrZ6p </t>
  </si>
  <si>
    <t>Previous research has shown that implementation intentions are effective tools to promote new behavior. The present study aimed to provide the first evidence that conscious planning is an effective tool in replacing well-learned habits with new habits. This was tested in a field-experiment on repetitive behavior in the domain of recycling, using 109 employees of a tele-company as participants. Recycling behavior of the participants was observed by the actual amount of paper and the number of plastic cups in their personal wastebaskets. Following a pre-measure, participants were assigned to either implementation intention conditions, conditions in which an eye-catching facility was placed to promote recycling behavior, or control conditions. Recycling behavior was substantially improved in the facility as well as the implementation intention conditions in week 1 and week 2 and still 2 months after the manipulation. These data supported our hypothesis that planning breaks down unwanted habits and creates new ones.</t>
  </si>
  <si>
    <t>"The present study aimed to provide the first evidence that conscious planning is an effective tool in replacing well-learned habits with new habits. This was tested in a field-experiment on repetitive behavior in the domain of recycling, using 109 employees of a tele-company as participants. Recycling behavior of the participants was observed by the actual amount of paper and the number of plastic cups in their personal wastebaskets. "</t>
  </si>
  <si>
    <t>Incentives and Information as Driving Forces of Default Effects</t>
  </si>
  <si>
    <t>Altmann, S., Armin, F., &amp; Grunewald, A.</t>
  </si>
  <si>
    <t>The behavioral relevance of non-binding default options is well established. While most research has focused on decision makers’ responses to a given default, we argue that this individual decision making perspective is incomplete. Instead, a comprehensive understanding of the foundation of default effects requires taking account of the strategic interaction between default setters and decision makers. We provide a theoretical framework to analyze which default options arise in such interactions, and which defaults are more likely to affect behavior. The key drivers are the relative level of information of default setters and decision makers, and their alignment of interests. We show that default effects are more pronounced if interests of the default setter and decision makers are more closely aligned. Moreover, decision makers are more likely to follow default options the less they are privately informed about the relevant decision environment. In the second part of the paper we experimentally test the main predictions of the model. We report evidence that both the alignment of interests as well as the relative level of information are key determinants of default effects. An important policy relevant conclusion is that potential distortions arising from default options are unlikely if decision makers are either well-informed or reflect on the interests of default setters.</t>
  </si>
  <si>
    <t>Ordinary - Socially model the desired behavior, Ordinary - Call attention to society’s expectations</t>
  </si>
  <si>
    <t>702, 701</t>
  </si>
  <si>
    <t>The impact of normative message types on off-trail hiking</t>
  </si>
  <si>
    <t xml:space="preserve">Winter, P. L. </t>
  </si>
  <si>
    <t>Journal of Interpretation Research</t>
  </si>
  <si>
    <t>Depreciative activities and high annual visitation levels threaten the health and sustainability of the giant Sequoia. Signage is one route to managing visitor behavior. Research suggests a two-by-two conceptualization of normative messages in signs. Messages may present the “ought” (injunctive) or the “is” (descriptive) of behavior and may be stated positively (prescriptive) or negatively (proscriptive). This paper summarizes findings from an experiment testing normative messages and presents evidence for injunctive-proscriptive messages as the most effective route in gaining desired behavior. Under this condition off-trail hiking was less likely to occur, compared to the incidence of off-trail hiking under four other conditions (including a control under which no additional sign was posted). In contrast, the incidence of off-trail hiking was greatest when the descriptive-proscriptive message was used (when compared to three other message types). The injunctive-proscriptive message is most Resonate when a behavior is desired shortly after exposure to a message and may not be most effective when longer-term maintenance of actions is desired.</t>
  </si>
  <si>
    <t>http://www.interpnet.com/nai/docs/JIR-v11n1.pdf</t>
  </si>
  <si>
    <t>The default pull: An experimental demonstration of subtle default effects on preferences</t>
  </si>
  <si>
    <t>Nikhil, D., Gorn, Z., Kener, A., &amp; Dana, J.</t>
  </si>
  <si>
    <t>Judgment and Decision Making</t>
  </si>
  <si>
    <t>national parks</t>
  </si>
  <si>
    <t>The impact of default options on choice is a reliable, well-established behavioral finding. However, several different effects may lend to choosing defaults in an often indistinguishable manner, including loss aversion, inattention, information leakage, and transaction costs associated with switching. We introduce the notion of the “default pull” as the effect that even subtle default options have on decision makers’ uncertainty about their own preferences. The default pull shapes what a decision maker prefers by causing her to consider whether she prefers the default. We demonstrate default pull effects using a simple decision making task that strips away many of the usual reasons that defaults could affect choices, and we show that defaults can have substantial effects on choice, even when the default itself was not chosen.</t>
  </si>
  <si>
    <t>Evidence from Two Large Field Experiments that Peer Comparison Feedback Can Reduce Residential Energy Usage</t>
  </si>
  <si>
    <t>Ayres, I., Raseman, S., &amp; Shih, A.</t>
  </si>
  <si>
    <t>Journal of Law, Economics, and Organization</t>
  </si>
  <si>
    <t xml:space="preserve">By providing feedback to customers on home electricity and natural gas usage with a focus on peer comparisons, utilities can reduce energy consumption at a low cost. We analyze data from two large-scale, random-assignment field experiments conducted by utility companies providing electricity (the Sacramento Municipal Utility District [SMUD]) and electricity and natural gas (Puget Sound Energy [PSE]), in partnership with a private company, Opower, which provides monthly or quarterly mailed peer feedback reports to customers. We find reduction in energy consumption of 1.2% (PSE) to 2.1% percent (SMUD), with the decrease sustained over time (7 months [PSE] and 12 months [SMUD]). </t>
  </si>
  <si>
    <t>http://jleo.oxfordjournals.org/content/29/5/992.abstract</t>
  </si>
  <si>
    <t>2 utility companies team up with OPOWER to produce quantifiable results</t>
  </si>
  <si>
    <t>Evidence from Two Large Field Experiments that Peer Comparison Feedback Can Reduce Residential #Energy Usage http://ow.ly/XqykL ⚡️⚡️</t>
  </si>
  <si>
    <t>I Support Sustainability But Only When Doing So Reflects Fabulously on Me: Can Green Narcissists Be Cultivated?</t>
  </si>
  <si>
    <t>Naderi, I., &amp; Strutton, D.</t>
  </si>
  <si>
    <t>Journal of Macromarketing</t>
  </si>
  <si>
    <t xml:space="preserve">Sustainability research has coalesced around the notion that many environmental problems can be framed as social dilemmas in which conflicts often arise between consumers’ pursuit of individual, short-term and self-directed goals and their support for collective, long-term and socially-oriented interests. The need to address this challenge is simultaneously becoming more important and challenging for macromarketers and policy makers as the incidence of individualistic consumer traits (e.g., narcissism and self-esteem), already high in general population, continues to grow throughout Western societies. This article examines why and how such individualistic tendencies (here, narcissistic exhibitionism) may impact consumers’ pro-environmental behavior. This research identifies an underlying mechanism (i.e., altruism) for the proposed effect. The potential effects of manageable boundary conditions for this relationship are also proposed and tested across four studies. </t>
  </si>
  <si>
    <t>http://jmk.sagepub.com/cgi/doi/10.1177/0276146713516796</t>
  </si>
  <si>
    <t>Nudgespotting: Behavioral Light Switches</t>
  </si>
  <si>
    <t>Jamie Kimmel</t>
  </si>
  <si>
    <t>Misbehaving Blog</t>
  </si>
  <si>
    <t>I Support #Sustainability But Only When Doing So Reflects Fabulously on Me Can #Green Narcissists Be Cultivated? http://ow.ly/XnJvo</t>
  </si>
  <si>
    <t>100, 200</t>
  </si>
  <si>
    <t>Opting-out systems: No guarantee for higher donation rates</t>
  </si>
  <si>
    <t>Coppen, R., Friele, R. D., Marquet, R. L., &amp; Gevers, S. K. M</t>
  </si>
  <si>
    <t xml:space="preserve">Transplant International </t>
  </si>
  <si>
    <t xml:space="preserve">Behavioral nudges in light switch design! Check out these interesting and funny ideas to get people thinking about energy usage when using light switches. </t>
  </si>
  <si>
    <t>There are considerable differences in the number of organ donations between countries. It is assumed that opting-out systems have a significantly positive impact on the national organ donation rate. The aim of our study was to establish whether different consent systems explain the difference in organ donation rates between countries when taking into account the difference in relevant mortality rates. For this study, we compared data on donation and relevant mortality rates for 10 different countries as well as information on the existing consent systems. This international comparative study shows that there is a strong correlation between mortality rates and donation rates (Spearman's ρ = 0.81 (P &lt; 0.01). International comparative legal research has shown that the differences between decision systems are marginal. When the national organ donation rates are corrected for mortality rates, these findings are confirmed: the donor efficiency rate shows that opting-out systems do not automatically guarantee higher donation rates than opting-in systems.</t>
  </si>
  <si>
    <t>New Packaging Tells You How to Reuse it Creatively</t>
  </si>
  <si>
    <t>Jennifer Hattam</t>
  </si>
  <si>
    <t>Are you a litter bug? How that can change with an extra set of eyes</t>
  </si>
  <si>
    <t>Kathy Adam</t>
  </si>
  <si>
    <t>One Green Planet</t>
  </si>
  <si>
    <t>Would you recycle more if you knew someone was watching you? Several real-life examples show that people are more likely to engage in positive social and environmental behavior if they are "watched" by posters that feature pairs of eyes.</t>
  </si>
  <si>
    <t>Would you be less likely to litter if you felt like you were being watched?</t>
  </si>
  <si>
    <t>The Power of Suggestion: Inertia in 401(k) Participation and Savings Behavior</t>
  </si>
  <si>
    <t xml:space="preserve">Madrian, B. C., &amp; Shea, D. F. </t>
  </si>
  <si>
    <t>Quarterly Journal of Economics</t>
  </si>
  <si>
    <t>Visualizing Food Waste</t>
  </si>
  <si>
    <t>Krista Meyer</t>
  </si>
  <si>
    <t>food is being thrown away simply because it looks misshapen. The author asks for media campaigns to focus on people- asking them to cook and eat with misshapen food to make it a social norm</t>
  </si>
  <si>
    <t>Relatable - Link it to personal experience, Vivid - Timing matters</t>
  </si>
  <si>
    <t>801, 506</t>
  </si>
  <si>
    <t xml:space="preserve">Environmentalists just started a new, hot trend: eating ugly vegetables! Here's why: </t>
  </si>
  <si>
    <t>Visceral Fit: While in a Visceral State, Associated States of the World Seem More Likely</t>
  </si>
  <si>
    <t>Risen, J. L., &amp; Critcher, C. R.</t>
  </si>
  <si>
    <t>This simple and bizarre design dramatically reduces littering</t>
  </si>
  <si>
    <t xml:space="preserve">Melissa Breyer </t>
  </si>
  <si>
    <t xml:space="preserve">Two leaflets: one with stern eyes and one without. Leaflets without stern eyes more likely to be littered than those with, suggesting the influence of social norms on littering behavior. </t>
  </si>
  <si>
    <t>We propose that visceral states can influence beliefs through “visceral fit”: People will judge states of the world associated with their current visceral experience as more likely. We found that warmth influenced belief in global warming (Studies 1–3) and that thirst impacted forecasts of drought and desertification (Study 5). These effects emerged in a naturalistic setting (Study 1) and in experimental lab settings (Studies 2, 3, and 5). Studies 2– 6 distinguished between 3 mechanistic accounts: temperature as information (Studies 2 and 3), conceptual accessibility (Studies 4 and 5), and fluency of simulation (Studies 6a and 6b). Studies 2 and 3 ruled out the temperature as information account. Feeling warm enhanced belief in global warming even when temperature was manipulated in an uninformative indoor setting, when participants’ attention was first directed to the indoor temperature, and when participants’ belief about the current outdoor temperature was statistically controlled. Studies 4 and 5 ruled out conceptual accessibility as the key mediator: Priming the corresponding concepts did not produce analogous effects on judgment. Studies 6a and 6b used a causal chain design and found support for a “simulational fluency” account. Participants experiencing the visceral state of warmth constructed more fluent mental representations of hot (vs. cold) outdoor images, and those who were led to construe the same hot outdoor images more fluently believed more in global warming. Together, the results suggest that visceral states can influence one’s beliefs by making matching states of the world easier to simulate and therefore seem more likely.</t>
  </si>
  <si>
    <t>http://static1.1.sqspcdn.com/static/f/409296/7141854/1304571558863/Risen_Critcher_GW.pdf?token=y3KOy%2B2Wp0gewwTxsKKiIZ%2BNAQI%3D</t>
  </si>
  <si>
    <t>Effects of fear and specificity of recommendation upon attitudes and behavior</t>
  </si>
  <si>
    <t>Leventhal, H., Singer, R., &amp; Jones, S.</t>
  </si>
  <si>
    <t>This paper analyzes the impact of automatic enrollment on 401(k) savings behavior. We have two key findings. First, 401(k) participation is signi_x008e_cantly higher under automatic enrollment. Second, a substantial fraction of 401(k) participants hired under automatic enrollment retain both the default contribution rate and fund allocation even though few employees hired before automatic enrollment picked this particular outcome. This “default” behavior appears to result from participant inertia and from employee perceptions of the default as investment advice. These _x008e_ndings have implications for the design of 401(k) savings plans as well as for any type of Social Security reform that includes personal accounts over which individuals have control. They also shed light more generally on the importance of both economic and noneconomic (behavioral) factors in the determination of individual savings behavior.</t>
  </si>
  <si>
    <t>Deals with the effects of (a) level of fear and (b) specific plans for action vs. general recommendations on attitudes toward tetanus inoculations and actually getting tetanus shots. The arousal of fear resulted in more favorable attitudes toward inoculation and the expression of stronger intentions to get shots. However, actually getting shots occurred significantly more often for Ss receiving a specific plan for action. Although action was unaffected by fear level some level of arousal was necessary for action to occur. A specific plan was not sufficient for action to appear. Although the 2 dependent measures were affected by different independent variables, those people getting shots were also more favorable toward doing so. The results are compared with other studies on fear arousal and actions, and speculations were presented on the role of specific action plans in the translation of attitudes into actions.</t>
  </si>
  <si>
    <t>The Impact of Cooperation Defaults on Voluntary Contributions to Public Goods</t>
  </si>
  <si>
    <t>Steffen, A., &amp; Falk, A.</t>
  </si>
  <si>
    <t>University of Bonn: Bonn, Germany</t>
  </si>
  <si>
    <t>Crime, Commitment, and the Responsive Bystander: Two Field Experiments</t>
  </si>
  <si>
    <t>Moriarty, T.</t>
  </si>
  <si>
    <t>This paper reports evidence from an experiment that was conducted to test the influence of non-binding default rules on voluntary cooperation. We find that contributions to a public good increase significantly when a cooperative default is implemented. Non-binding defaults particularly influence contribution decisions of participants with lower levels of cognitive reflection whereas contributions of participants with high CRT scores are virtually unaffected. Compared to an environment with uncooperative contribution default, cooperative default options increase subjects’ earnings independent of their individual levels of contribution. This suggests that cooperation defaults can effectively be used as a welfare-enhancing policy in the spirit of “libertarian paternalism”.</t>
  </si>
  <si>
    <t xml:space="preserve">The paper describes a field experiment conducted at Jones Beach, New York, to determine (1) how responsive are individuals who witness a crime, and (2) under what conditions will bystanders take action to prevent a crime. The major independent variable in this study was the degree of prior commitment to the victim; whether or not the subject had agreed to watch the victim's belongings. Results obtained from the 56 subjects placed in the experimental conditions indicate that in the absence of prior commitment to the victim, only 20% of the subjects were responsive; under conditions of commitment, the result was clearly reversed and 95% of the subjects were responsive and intervened in the theft. The author feels that the dramatic effect of even mild commitment on the part of the bystander is a positive, heartening result at a point in time when evidence of public apathy and indifference abound. </t>
  </si>
  <si>
    <t>http://psycnet.apa.org/journals/psp/31/2/370/</t>
  </si>
  <si>
    <t xml:space="preserve">This simple and bizarre design dramatically reduces #littering http://ow.ly/W3vdc  #Fascinating #psych quirk </t>
  </si>
  <si>
    <t>Instilling a sense of Relatable responsibility or emotional attachment in environmental commitments may be extremely effective and is an area for further study</t>
  </si>
  <si>
    <t xml:space="preserve">Europe, Canada and the Us </t>
  </si>
  <si>
    <t>41, 40</t>
  </si>
  <si>
    <t xml:space="preserve">A Comparison of Tourists' Valuation of Climate Change Policy Using Different Pricing Frames </t>
  </si>
  <si>
    <t>Get in the Loop -- Buy Recycled</t>
  </si>
  <si>
    <t>Compliance without Pressure: The Foot-in-the-Door Technique</t>
  </si>
  <si>
    <t xml:space="preserve">Araña, J. E., León, C. J., Moreno-Gil, S., &amp; Zubiaurre, A. R. </t>
  </si>
  <si>
    <t>Freedman, J. L., &amp; Fraser, S. C.</t>
  </si>
  <si>
    <t>Journal of Travel Research</t>
  </si>
  <si>
    <t>To encourage people to buy more recycled-content products, an annual, month-long Get in the Loop campaign reminds shoppers in rural and urban areas of western Washington State to buy recycled through in-store promotional materials, and identifies specific recycled-product choices right on the store shelf. This is supported by a print and radio advertising campaign conducted cooperatively with product manufacturers and local retailers.</t>
  </si>
  <si>
    <t>Two experiments were conducted to test the proposition that once someone has agreed to a small request he is more likely to comply with a larger request. The 1st study demonstrated this effect when the same person made both requests. The 2nd study extended this to the situation in which different people made the 2 requests. Several experimental groups were run in an effort to explain these results, and possible explanations arc discussed.</t>
  </si>
  <si>
    <t>https://www.uni-muenster.de/imperia/md/content/psyifp/aeechterhoff/wintersemester2011-12/vorlesungkommperskonflikt/freedman_fraser_footinthedoor_jpsp1966.pdf</t>
  </si>
  <si>
    <t>Seminal study of the foot-in-the-door-technique</t>
  </si>
  <si>
    <t>Tourism destinations are increasingly concerned about global climate change and considering to become involved in the adoption of mitigation policies that reduce global emissions. On the other hand, behavioral sciences have shown that consumers’ choices may be significantly influenced by the way that they are framed. In this article, we test the impact of alternative ways to frame the pricing of climate change policies on the values and preferences of tourists. The evidence comes from three different experiments on a proposal to mitigate climate change through a carbon offset program using both an opt-out pricing frame and in an opt-in pricing frame. The results show that the opt-out frame led to a larger probability of accepting to pay the price for a carbon offset policy proposal. The main implication is that destinations’ climate change policies should take into account the designs of the frame in which policies are posed.</t>
  </si>
  <si>
    <t>Recycled content</t>
  </si>
  <si>
    <t>Consumption - Energy, Consumption - Electricity</t>
  </si>
  <si>
    <t>Consumption - Overconsumption, Population - Population Control</t>
  </si>
  <si>
    <t>3000, 17000</t>
  </si>
  <si>
    <t>The generalizability of subliminal mere exposure effects: Influence of stimuli perceived without awareness on social behaviour</t>
  </si>
  <si>
    <t xml:space="preserve">Bornstein, R. F., Leone, D. R., &amp; Galley, D. J. </t>
  </si>
  <si>
    <t>Non-Binding Defaults and Voluntary Contributions to a Public Good: Clean Evidence From a Natural Field Experiment</t>
  </si>
  <si>
    <t>Asia, Canada and the US, Central and South America, Europe</t>
  </si>
  <si>
    <t>University of Cologne</t>
  </si>
  <si>
    <t>Overpopulation, overconsumption - in pictures</t>
  </si>
  <si>
    <t>Pictures of overpopulation effects; communication</t>
  </si>
  <si>
    <t>pictures</t>
  </si>
  <si>
    <t xml:space="preserve">Powerful pictures of an #unhealthy planet. http://bit.ly/1L0PNcB  #overpopulation #overconsumption </t>
  </si>
  <si>
    <t>We conducted a large scale field experiment to test whether framing a voluntary contribution decision with different non-binding defaults affect people’s behavior. On an electricity provider’s website, we manipulated non-binding green energy defaults in electricity contract offers.  The default was either green or non-green.  Buying green is costly and protects the environment. Hence, it is a voluntary contribution to a public good. Our core results are: First, defaults have a strong effect on contributions. 69% of new customer buy green, when the default was green, but only 7% when the default was non-green. Second, the fraction of website visitors signing an electricity contract is similar across treatments. Third, regional election results affect green energy choice of customers.</t>
  </si>
  <si>
    <t>This article describes three experiments investigating the extent to which subliminal mere exposure effects are obtainable not only with simple stimuli but also with complex human stimuli in social situations. In the first experiment, undergraduate subjects were exposed to slides of abstract geometric figures at both subliminal (i.e., 4 ms) and supraliminal exposure durations. Subjects' attitudes toward the subliminally presented stimuli became significantly more positive with repeated exposures, even when subjects were unaware that exposures had occurred. Experiment 2 demonstrated that similar attitude changes are produced by subliminal exposure to photographs of actual persons. The results of Experiment 3 indicate that attitudes toward persons encountered in the natural environment of the psychology experiment are also enhanced by subliminal exposure to a photograph of that person. These findings are discussed in the context of prevailing models of mere exposure effects as well as an alternative psychodynamic model. Implications for research on attitudes, social cognition, and interpersonal object choice are also discussed.</t>
  </si>
  <si>
    <t>http://www.communicationcache.com/uploads/1/0/8/8/10887248/the_generalizability_of_subliminal_mere_exposure_effects-_influence_of_stimuli_perceived_without_awareness_on_social_behavior.pdf</t>
  </si>
  <si>
    <t>The More, the Better: Repetition Propels Songs Up the Charts</t>
  </si>
  <si>
    <t>A focus theory of normative conduct: Recycling the concept of norms to reduce littering in public places</t>
  </si>
  <si>
    <t>Cialdini, R. B., Reno, R. R., &amp; Kallgren, C. A.</t>
  </si>
  <si>
    <t>These Come From Trees</t>
  </si>
  <si>
    <t>Pete Kazanjy</t>
  </si>
  <si>
    <t>These Come From Trees Blog</t>
  </si>
  <si>
    <t>Past research has generated mixed support among social scientists for the utility of social norms in accounting for human behavior. We argue that norms do have a substantial impact on human action; however, the impact can only be properly recognized when researchers (a) separate 2 types of norms that at times act antagonistically in a situation—injunctive norms (what most others approve or disapprove) and descriptive norms (what most others do)—and (b) focus Ss' attention principally on the type of norm being studied. In 5 natural settings, focusing Ss on either the descriptive norms or the injunctive norms regarding littering caused the Ss' littering decisions to change only in accord with the dictates of the then more salient type of norm.</t>
  </si>
  <si>
    <t>A geurilla public service environmental movement in the Silicon Valley, that sells simple labels reminding us to use paper judiciously; Availability, Nudge, Standing out</t>
  </si>
  <si>
    <t>http://www-personal.umich.edu/~prestos/Downloads/DC/pdfs/Krupka_Oct13_Cialdinietal1990.pdf</t>
  </si>
  <si>
    <t>Normal = Yes; Feedback = No; Salient = No</t>
  </si>
  <si>
    <t>Normal = No; Feedback = No; Salient = No</t>
  </si>
  <si>
    <t xml:space="preserve">A focus theory of normative conduct: #Recycling the concept of #norms to reduce littering in public places. http://ow.ly/X5xRk </t>
  </si>
  <si>
    <t>Human Health - Waste Management</t>
  </si>
  <si>
    <t>World Bank Report Stresses Behavioural Aspects</t>
  </si>
  <si>
    <t>On the Motivational Nature of Cognitive Dissonance</t>
  </si>
  <si>
    <t>Puja Mehra</t>
  </si>
  <si>
    <t>Elliot, A. J., &amp; Devine P. G.</t>
  </si>
  <si>
    <t>The Hindu</t>
  </si>
  <si>
    <t xml:space="preserve">Journal of Personality and Social Psychology </t>
  </si>
  <si>
    <t>Behavior; Behavioral interventions and development policy</t>
  </si>
  <si>
    <t>Sanitation</t>
  </si>
  <si>
    <t xml:space="preserve">Most empirical research investigating the motivational properties of cognitive dissonance has focused on the arousal component of dissonance rather than on the psychological component explicitly delineated by L. Festinger (1957). In 2 induced-compliance experiments involving a total of 112 undergraduates, a self-report measure of affect was used to demonstrate that dissonance was experienced as psychological discomfort and that this psychological discomfort was alleviated on implementation of a dissonance-reduction strategy, attitude change. Exp 1 yielded supporting evidence for both of these propositions. Exp 2 replicated the 1st experiment and ruled out a self-perception-based alternative explanation for the dissonance-reduction findings in Exp 1. Results support Festinger's conceptualization of cognitive dissonance as a fundamentally motivational state. </t>
  </si>
  <si>
    <t>http://web.psych.utoronto.ca/psy430/Elliot%26Devine_On%20the%20Motivational%20Nature%20of%20Cognitive%20Dissonance.pdf</t>
  </si>
  <si>
    <t>The Amsterdam Urinals</t>
  </si>
  <si>
    <t>Very dense</t>
  </si>
  <si>
    <t>Richard H. Thaler and Cass R. Sunstein</t>
  </si>
  <si>
    <t>What does a behavior-shaping urinal look like? http://ow.ly/TNUgq </t>
  </si>
  <si>
    <t>Optimal defaults and active decisions</t>
  </si>
  <si>
    <t>Virtual Reality Could Help Teach Sustainable Habits, Change Long Term Behavior</t>
  </si>
  <si>
    <t>Sami Grover</t>
  </si>
  <si>
    <t xml:space="preserve">Carroll, G. D., Choi, J. J., Laibson, D., Madrian, B. C., &amp; Metrick, A. </t>
  </si>
  <si>
    <t>The 40yrold method for #environmental solutions is not working.We need to focus on #longterm behavioral habits.http://huff.to/VN2MdP  #tech</t>
  </si>
  <si>
    <t>Defaults can have a dramatic influence on consumer decisions. We identify an overlooked but practical alternative to defaults: requiring individuals to make an explicit choice for themselves. We study such "active decisions" in the context of 401(k) saving. We find that compelling new hires to make active decisions about 401(k) enrollment raises the initial fraction that enroll by 28 percentage points relative to a standard opt-in enrollment procedure, producing a savings distribution three months after hire that would take three years to achieve under standard enrollment. We also present a model of 401(k) enrollment and characterize the optimal enrollment regime. Active decisions are optimal when consumers have a strong propensity to procrastinate and savings preferences that are highly heterogeneous. Naive beliefs about future time-inconsistency strengthen the normative appeal of the active-decision enrollment regime. However, financial illiteracy favors default enrollment over active decision enrollment.</t>
  </si>
  <si>
    <t>http://web.stanford.edu/~gdc/odad.pdf</t>
  </si>
  <si>
    <t>10 Images Show What Coastal Cities Will Look Like After Sea Levels Rise</t>
  </si>
  <si>
    <t>Taylor Hill</t>
  </si>
  <si>
    <t>takepart</t>
  </si>
  <si>
    <t>salience; Imagery that shows side-by-side comparisons showing sea level rise in major cities or famous locations.</t>
  </si>
  <si>
    <t>Do defaults save lives?</t>
  </si>
  <si>
    <t>Johnson, E., &amp; Goldstein, D.</t>
  </si>
  <si>
    <t>Policy Forum</t>
  </si>
  <si>
    <t xml:space="preserve">10 Images Show What Coastal Cities Will Look Like After Sea Levels Rise http://ow.ly/TMI2i  #climatechange </t>
  </si>
  <si>
    <t>Default options can lead to striking differences in preferences, with significant economic impact. The authors of this Policy Forum use natural and experimental data to examine the impact of simple policy defaults on the decision to become an organ donor, finding large effects that significantly increase donation rates.</t>
  </si>
  <si>
    <t>http://www.dangoldstein.com/papers/DefaultsScience.pdf</t>
  </si>
  <si>
    <t>Consumption - Energy, Consumption - Paper use, printing</t>
  </si>
  <si>
    <t>Green by Default</t>
  </si>
  <si>
    <t>Kyklos</t>
  </si>
  <si>
    <t>Information Asymmetries in Default Options</t>
  </si>
  <si>
    <t>Tannenbaum, D., &amp; Ditto, P. H.</t>
  </si>
  <si>
    <t xml:space="preserve">Social norms and energy conservation </t>
  </si>
  <si>
    <t>The Psychology of a Memorable Lunch</t>
  </si>
  <si>
    <t xml:space="preserve">Allcott, H. </t>
  </si>
  <si>
    <t>Journal of Public Economics</t>
  </si>
  <si>
    <t>Decision Science; recency effect; food choices</t>
  </si>
  <si>
    <t>Default options can convey information relevant to making a default decision. This paper documents a curious information asymmetry: Automatic enrollment defaults (where individuals
opt-out of a program) are often thought to convey information about what policymakers think, whereas non-enrollment defaults (individuals opt into a program) are usually viewed as uninformative. This information asymmetry arises because of a difference in the reasons imputed to policymakers when choosing automatic enrollment versus non-enrollment. Because people presume that inaction should be the default unless there is a good reason for doing otherwise, automatic enrollment defaults are more likely than non-enrollment defaults to communicate information about a policymaker’s reasons. Individuals assess what these reasons might be, and use these assessments to arrive at a default decision. Four experiments and one field study provide support for this framework.</t>
  </si>
  <si>
    <t>Mindfulness And Loss: The Past Is Just the Past</t>
  </si>
  <si>
    <t>This paper evaluates a series of programs run by a company called OPOWER to send Home Energy Report letters to residential utility customers comparing their electricity use to that of their neighbors. Using data from randomized natural field experiments at 600,000 treatment and control households across the United States, I estimate that the average program reduces energy consumption by 2.0%. The program provides additional evidence that non-price interventions can substantially and cost effectively change consumer behavior: the effect is equivalent to that of a short-run electricity price increase of 11 to 20%, and the cost effectiveness compares favorably to that of traditional energy conservation programs. Perhaps because the treatment included descriptive social norms, effects are heterogeneous: households in the highest decile of pre-treatment consumption decrease usage by 6.3%, while consumption by the lowest decile decreases by only 0.3%. A regression discontinuity design shows that different categories of “injunctive norms” played an insignificant role in encouraging relatively low users not to increase usage.</t>
  </si>
  <si>
    <t xml:space="preserve">The Huffington Post </t>
  </si>
  <si>
    <t xml:space="preserve">How to overcome the sunk cost bias, an overvaluation of the past and the future, through mindfulness meditation. </t>
  </si>
  <si>
    <t>http://www.huffingtonpost.com/wray-herbert/mindfulness-and-loss-the_b_3795237.html</t>
  </si>
  <si>
    <t>Human health - How people cook and eat, Transportation - Biking</t>
  </si>
  <si>
    <t>Interventions to break and create consumer habits</t>
  </si>
  <si>
    <t xml:space="preserve">Verplanken, B., &amp; Wood, W. </t>
  </si>
  <si>
    <t>Journal of Public Policy and Marketing</t>
  </si>
  <si>
    <t>Do you prefer more choice or less? It depends on distance</t>
  </si>
  <si>
    <t>Smart Thinking</t>
  </si>
  <si>
    <t>Decision Science; discounting</t>
  </si>
  <si>
    <t>The neuroscience of decision making explained in 30 seconds</t>
  </si>
  <si>
    <t>Christian Jarrett</t>
  </si>
  <si>
    <t xml:space="preserve">Interventions to change everyday behaviors often attempt to change people’s beliefs and intentions. As the authors explain, these interventions are unlikely to be an effective means to change behaviors that people have repeated into habits. Successful habit change interventions involve disrupting the environmental factors that automatically cue habit performance. The authors propose two potential habit change interventions. “Downstream-plus” interventions provide informational input at points when habits are vulnerable to change, such as when people are undergoing naturally occurring changes in performance environments for many everyday actions (e.g., moving households, changing jobs). “Upstream” interventions occur before habit performance and disrupt old environmental cues and establish new ones. Policy interventions can be oriented not only to the change of established habits but also to the acquisition and maintenance of new behaviors through the formation of new habits. </t>
  </si>
  <si>
    <t>general decision science; decision making</t>
  </si>
  <si>
    <t xml:space="preserve">Recommended by Jay Knecht; an article about a book -- why we need emotions to make decisions </t>
  </si>
  <si>
    <t>The Neuroscience of Decision Making Explained in 30 Seconds...and an explanation in 3 secs if 30 is too long. http://wrd.cm/1gCdjDp </t>
  </si>
  <si>
    <t>Black Balloons Inflate Green Awareness</t>
  </si>
  <si>
    <t xml:space="preserve">David Rood </t>
  </si>
  <si>
    <t>Interventions to change everyday behaviors often attempt to change people’s beliefs and intentions. As the authors explain, these interventions are unlikely to be an effective means to change behaviors that people have repeated into habits. Successful habit change interventions involve disrupting the environmental factors that automatically cue habit performance. The authors propose two potential habit change interventions. “Downstream-plus” interventions provide informational input at points when habits are vulnerable to change, such as when people are undergoing naturally occurring changes in performance environments for many everyday actions (e.g., moving households, changing jobs). “Upstream” interventions occur before habit performance and disrupt old environmental cues and establish new ones. Policy interventions can be oriented not only to the change of established habits but also to the acquisition and maintenance of new behaviors through the formation of new habits.</t>
  </si>
  <si>
    <t>http://www.theage.com.au/news/national/black-balloons-inflate-green-awareness/2007/03/12/1173548107194.html</t>
  </si>
  <si>
    <t xml:space="preserve">Vivid - Make the problem stand out </t>
  </si>
  <si>
    <t xml:space="preserve">Solutions </t>
  </si>
  <si>
    <t>Solutuion</t>
  </si>
  <si>
    <t>Energy - Electricity, Population - Sustainable communities</t>
  </si>
  <si>
    <t>4000, 17000</t>
  </si>
  <si>
    <t>Environment' - Nudging Truckers</t>
  </si>
  <si>
    <t>Changing behavior for a better environment</t>
  </si>
  <si>
    <t>Xili, L., Noh, J., Oldham, F., &amp; Vilarreal, C.</t>
  </si>
  <si>
    <t xml:space="preserve">wordpress </t>
  </si>
  <si>
    <t>Sonoma County Water Agency, UC Berkeley</t>
  </si>
  <si>
    <t>Trucking company creates a numbered list of its drivers that have the highest truck idle time in an attempt to reduce wasted hours and emissions; dramatically reduces all of its drivers idle time.; Choice Architecture; Nudges</t>
  </si>
  <si>
    <t>The Sonoma County Water Agency requested the help of a team of students from the University of California, Berkeley’s Goldman School of Public Policy in order to answer one central question: What makes people change their behavior to improve energy efficiency? This study reviewed programs from around the globe to find ten cases that attempted to create lasting behavior change to improve energy conservation and efficiency. The selected programs come from North America, Europe, Asia, and Australia and include a variety of mechanisms to influence behavior change, such as lotteries, energy audits, and community building activities. The studies yield many lessons learned regarding the design and implementation of policies that have been utilized to change consumer behavior to increase energy efficiency. An economist might think: why can’t the utilities just raise energy rates to a level that discourages excessive use? While some case studies explore time-of-use pricing, under current state law, utility rates cannot be raised simply to achieve public policy goals. Any increases in utility rates must be tied to the actual cost of providing service, and are highly regulated and monitored by public interest groups. Additionally, for a public utility, rate increases raise equity concerns as they may disproportionately impact lower income customers. As such, the energy efficiency programs examined within this document do not focus on achieving results through overall rate increases or heavy-handed government intervention. Rather, these cases seek to influence consumer behavior through the social science using cognition, calculus, and social interaction strategies. For four of the strongest programs, this document explores potential application to Sonoma County and estimates energy savings to a defined service area, and to the average household within that service area. This document is intended to be an initial guide and source of inspiration for future policy development. Potential implementation of any of the programs included in this analysis should be carefully evaluated in order to ensure feasibility and effectiveness before policymakers proceed.</t>
  </si>
  <si>
    <t>http://www.scwa.ca.gov/files/docs/carbon-free-water/SCWA-GSPP%20Energy%20Efficiency%20Project%20-%20FINAL%20%20-%205-16-14.pdf</t>
  </si>
  <si>
    <t xml:space="preserve">CHANGING #BEHAVIOR FOR A BETTER #ENVIRONMENT http://ow.ly/X5xKJ </t>
  </si>
  <si>
    <t>Cultural cognition of scientific consensus</t>
  </si>
  <si>
    <t>Kahan, D. M., Jenkins‐Smith, H., &amp; Braman, D.</t>
  </si>
  <si>
    <t>Journal of Risk Research</t>
  </si>
  <si>
    <t>Why do members of the public disagree – sharply and persistently – about facts on which expert scientists largely agree? We designed a study to test a distinctive explanation: the cultural cognition of scientific consensus. The ‘cultural cognition of risk’ refers to the tendency of individuals to form risk perceptions that are congenial to their values. The study presents both correlational and experimental evidence confirming that cultural cognition shapes individuals’ beliefs about the existence of scientific consensus, and the process by which they form such beliefs, relating to climate change, the disposal of nuclear wastes, and the effect of permitting concealed possession of handguns. The implications of this dynamic for science communication and public policy‐making are discussed.</t>
  </si>
  <si>
    <t xml:space="preserve">Climate change in the British press: the role of the visual </t>
  </si>
  <si>
    <t xml:space="preserve">Smith, N. W., &amp; Joffe, H. </t>
  </si>
  <si>
    <t xml:space="preserve">The present investigation identifies the key images that British newspapers use to represent climate change risks. In doing so, it widens the scope of the burgeoning literature analysing textual content of climate change media information. This is particularly important given visual information’s ability to arouse emotion, and the risk perception literature’s increasing focus on the importance of affect in shaping risk perception. From a thematic analysis of newspaper images, three broad themes emerged: the impact of climate change, personification of climate change and representation of climate change in graphical form. In particular, the depiction of climate change as an issue affecting domestic populations rather than just other areas of the world brings the threat closer to home. Challenging the perception that climate change is still a long-term and future-orientated threat, visual images concretise the risk by providing viewers with tangible examples of climate change’s impact. </t>
  </si>
  <si>
    <t xml:space="preserve">Easy -None </t>
  </si>
  <si>
    <t>Climate, Pollution</t>
  </si>
  <si>
    <t>Consumption - Overconsumption</t>
  </si>
  <si>
    <t>2000, 16000</t>
  </si>
  <si>
    <t>Climate - Belief, Pollution - Air</t>
  </si>
  <si>
    <t>Promoting Sustainable Consumption: Determinants of Green Purchases by Swiss Consumers</t>
  </si>
  <si>
    <t>Tanner, C.,&amp;  Kast, S. W.</t>
  </si>
  <si>
    <t>Psychology and Marketing</t>
  </si>
  <si>
    <t>Are flood victims more concerned about climate change than other people? The role of direct experience in risk perception and behavioural response</t>
  </si>
  <si>
    <t>Given that overconsumption in industrial countries is a main cause of environmental degradation, a shift toward more sustainable consumption patterns is required. This study attempts to uncover personal and contextual barriers to consumers’ purchases of green food and to strengthen knowledge about fostering green purchases. Survey data are used to examine the influence of distinct categories of personal factors (such as attitudes, personal norms, perceived behavior barriers, knowledge) and contextual factors (such as socioeconomic characteristics, living conditions, and store characteristics) on green purchases of Swiss consumers. Results from regression analysis suggest that green food purchases are facilitated by positive attitudes of consumers toward (a) environmental protection, (b) fair trade, (c) local products, and (d) availability of action-related knowledge. In turn, green behavioris negatively associated with (e) perceived time barriers and (f) frequency of shopping in supermarkets. Surprisingly, green purchases are not significantly related to moral thinking, monetary barriers, or the socioeconomic characteristics of the consumers. Implications for policy makers and for companies and marketers engaged in the promotion and commercialization of green products are discussed.</t>
  </si>
  <si>
    <t>Climate change is a threat to human health and life, both now and in the future. Despite this, studies show that the public typically do not consider the issue a priority concern or a direct, Relatable threat. Furthermore, few are taking any preventive or protective action. Previous studies identify direct experience as a major influence on risk perception, learning and action. Drawing on such evidence, this paper focuses on the intangibility of climate change as a key impediment to Relatable engagement and explores whether relevant experiences of flooding and air pollution influence individuals' knowledge, attitudes, risk perception and behavioural responses to climate change. Perhaps surprisingly, interviews and a survey conducted in the south of England indicate flood victims differ very little from other participants in their understanding of and responses to climate change, but that experience of air pollution does significantly affect perceptions of and behavioural responses to climate change. Air pollution victims are no more likely to cite pollution as a cause of climate change than non‐victims; but they do have higher pro‐environmental values. Respondents with these values are significantly more likely to consider climate change a salient risk and to take action in response to it. Therefore the relationship between air pollution experience and responses to climate change may be indirect and mediated by environmental values. The paper concludes by highlighting implications of this research for developing climate change policies and strategies for public engagement.</t>
  </si>
  <si>
    <t>Are flood victims more concerned about #climatechange than other people? http://ow.ly/Xs37I</t>
  </si>
  <si>
    <t xml:space="preserve">Easy, Hopeful, Ordinary </t>
  </si>
  <si>
    <t>2, 3, 7</t>
  </si>
  <si>
    <t>Psychology of Promoting Environmentalism: Psychological Contributions to Achieving an Ecologically Sustainable Future for Humanity</t>
  </si>
  <si>
    <t>Oskamp, S.</t>
  </si>
  <si>
    <t>Journal of Social Issues</t>
  </si>
  <si>
    <t>The most serious long-term threat facing the world is the danger that human actions are producing irreversible, harmful changes to the environmental conditions that support life on Earth. If this problem is not overcome, there may be no viable world for our descendants to inhabit. Because this threat is caused by human population growth, overconsumption, and lack of resource conservation, social scientists have a vital role in helping our world escape ecological disaster and approach a sustainable level of impact on the environment—one that can be maintained indefinitely. Enormous changes to human lifestyles and cultural practices may be required to reach this goal. This article discusses major obstacles to this goal, describes a variety of motivational approaches toward reaching it, and proposes that we should view the achievement of sustainable living patterns as a superordinate goal—a war against the common enemy of an uninhabitable world.</t>
  </si>
  <si>
    <t>Promoting Sustainable Behavior: An Introduction to Community-Based Social Marketing</t>
  </si>
  <si>
    <t>Mckenzie-Mohr, D.</t>
  </si>
  <si>
    <t>Most programs to foster sustainable behavior continue to be based upon models of behavior change that psychological research has found to be limited. Although psychology has much to contribute to the design of effective programs to foster sustainable behavior, little attention has been paid to ensuring that psychological knowledge is accessible to those who design environmental programs. This article presents a process, community-based social marketing, that attempts to make psychological knowledge relevant and accessible to these individuals. Further, it provides two case studies in which program planners have utilized this approach to deliver their initiatives. Finally, it reflects on the obstacles that exist to incorporating psychological expertise into programs to promote sustainable behavior.</t>
  </si>
  <si>
    <t xml:space="preserve">Easy, Associations </t>
  </si>
  <si>
    <t>2, 4</t>
  </si>
  <si>
    <t xml:space="preserve">Easy - None, Associations - None </t>
  </si>
  <si>
    <t>Consumption - Energy, Energy - Non-renewables</t>
  </si>
  <si>
    <t>Closing the Efficiency Gap: Barriers to the Efficient Use of Energy</t>
  </si>
  <si>
    <t>Hirst, E., &amp; Brown, M.</t>
  </si>
  <si>
    <t>Resources, Conservation and Recycling</t>
  </si>
  <si>
    <t>Changing Environmental Practice: Understanding and Overcoming the Organizational and Psychological Barriers</t>
  </si>
  <si>
    <t>Hoffman, A. J., Ross, S. M., &amp; Bazerman, M. H.</t>
  </si>
  <si>
    <t>Only half of the potential for improving U.S. energy efficiency over the next 20 years is likely to be achieved, given current government policies and programs. This large untapped potential to save money, improve environmental quality, and reduce the foreign trade deficit exists because of structural and market barriers that inhibit adoption of cost-effective energy-efficient practices and measures. Structural barriers include distortions in fuel prices, uncertainty about future fuel prices, limited access to capital, government fiscal and regulatory policies, codes and standards, and supply infrastructure limitations. Behavioral barriers include attitudes toward energy efficiency, perceived risk of energy-efficiency investments, information gaps, and misplaced incentives.</t>
  </si>
  <si>
    <t>Since the early 1990s, the environmental management literature has grown from a small offshoot of mainstream academic study to become a vibrant field of its own.  The contributions of this field lie in the study of corporations and their impact upon the natural world. We are impressed by the large quantity of good ideas that have developed concerning how to improve the environment in ways that are good for business.  Yet we also have observed that many executives and organizations have been slow to adopt wise environmental practices.  We offer insight from both behavioral decision research and organizational theory to explain the barriers to change, and suggest means of surmounting those barriers.  After providing an overview of both the applied and academic areas of environmental management, we identify specific barriers to its implementation and offer direction for diffusing wise environmental management practices at a faster rate.</t>
  </si>
  <si>
    <t>Schultz, P.</t>
  </si>
  <si>
    <t>Journal of social issues</t>
  </si>
  <si>
    <t>In this article, I propose that concern for environmental problems is fundamentally linked to the degree to which people view themselves as part of the natural environment. Two studies are reported that test aspects of this theory. The first study describes the structure of people's concern for environmental problems. Results from a confirmatory factor analysis showed a clear three-factor structure, which I labeled egoistic, altruistic, and biospheric. A second study examined the effects of a perspective-takingmanipulation on egoistic, social-altruistic, and biospheric environmental concerns. Results showed that participants instructed to take the perspective of an animal being harmed by pollution scored significantly higher in biospheric environmental concerns than participants instructed to remain objective.</t>
  </si>
  <si>
    <t xml:space="preserve">Associations, Benefits, Relatable </t>
  </si>
  <si>
    <t>Associations - None, Benefits - None, Relatable - None</t>
  </si>
  <si>
    <t>Consumption - Energy, Whole system - City infrastructure</t>
  </si>
  <si>
    <t>Overcoming the Social and Psychological Barriers to Green Building</t>
  </si>
  <si>
    <t>Hoffman, A., &amp; Henn, R.</t>
  </si>
  <si>
    <t>Organization and Environment</t>
  </si>
  <si>
    <t>The green building movement has overcome formidable, technical, and economic hurdles in recent years, yet adoption of green building practices within the design and construction field remains low.  Major corporations now offer products and services at a scale that is bringing costs down to competitive levels, but environmental sustainability in building design and delivery remains at the early stages of the adoption s-curve.  This article argues that environmental progress in the building design and construction industry will continue to stall if the significant social and psychological barriers that remain are not addressed.  After surveying the three levels of barriers—individual, organizational, and institutional—the article concludes with strategies for overcoming them.  Seven specific strategies are elaborated, namely, issue framing, targeting the right demographic, education, structural and incentive change, indemnifying risk, green building standard improvements, and tax reform.</t>
  </si>
  <si>
    <t>The ecology of eating: Smaller portion sizes in France than in the United States help explain the French Paradox</t>
  </si>
  <si>
    <t xml:space="preserve">Rozin, P., Kabnick, K., Pete, E., Fischler, C., &amp; Shields, C. </t>
  </si>
  <si>
    <t>Part of the "French paradox" can be explained by the fact that the French eat less than Americans. We document that French portion sizes are smaller in comparable restaurants, in the sizes of individual portions of foods (but not other items) in supermarkets, in portions specified in cookbooks, and in the prominence of "all you can eat" restaurants in dining guides. We also present data, from observations at McDonald's, that the French take longer to eat than Americans. Our results suggest that in the domain of eating, and more generally, more attention should be paid to ecological factors, even though their mechanism of operation is transparent, and hence less revealing of fundamental psychological processes. Ironically, although the French eat less than Americans, they seem to eat for a longer period of time, and hence have more food experience. The French can have their cake and eat it as well.</t>
  </si>
  <si>
    <t xml:space="preserve">Hopeful - Provide feedback, Identity - Tap into the audience's ideal self </t>
  </si>
  <si>
    <t>304, 600</t>
  </si>
  <si>
    <t>Energy Conservation "Nudges" and Environmentalist Ideology: Evidence from a Randomized Residential field experiment</t>
  </si>
  <si>
    <t>Costa, D. L., &amp; Kahn, M. E.</t>
  </si>
  <si>
    <t>Journal of the European Economic Association</t>
  </si>
  <si>
    <t>"Nudges” are being widely promoted to encourage energy conservation. We show that the popular electricity conservation “nudge” of providing feedback to households on own and peers’ home electricity usage in a home electricity report is two to four times more effective with political liberals than with conservatives. Political conservatives are more likely than liberals to opt out of receiving the home electricity report and to report disliking the report. Our results suggest that energy conservation nudges need to be targeted to be most effective.</t>
  </si>
  <si>
    <t>http://www.nber.org/papers/w15939</t>
  </si>
  <si>
    <t>Narratives Can Motivate Environmental Action: The Whiskey Creek Ocean Acidification Story</t>
  </si>
  <si>
    <t>Kelly, R. P., Cooley, S. R., &amp; Klinger, T.</t>
  </si>
  <si>
    <t>Journal of the Human Environment</t>
  </si>
  <si>
    <t>Even when environmental data quantify the risks and benefits of delayed responses to rapid anthropogenic change, institutions rarely respond promptly. We propose that narratives complementing environmental datasets can motivate responsive environmental policy. To explore this idea, we relate a case study in which a narrative of economic loss due to regionally rapid ocean acidification—an anthropogenic change—helped connect knowledge with action. We pose three hypotheses to explain why narratives might be particularly effective in linking science to environmental policy, drawing from the literature of economics, environmental policy, and cognitive psychology. It seems that yet-untold narratives may hold similar potential for strengthening the feedback between environmental data and policy and motivating regional responses to other environmental problems.</t>
  </si>
  <si>
    <t>http://link.springer.com/article/10.1007/s13280-013-0442-2</t>
  </si>
  <si>
    <t>403, 205, 304</t>
  </si>
  <si>
    <t xml:space="preserve">Sixty-Five: Communication and the Adoption of Energy Conservation Measures by the Elderly </t>
  </si>
  <si>
    <t xml:space="preserve">Griffin, R. J. </t>
  </si>
  <si>
    <t>The Journal of Environmental Education</t>
  </si>
  <si>
    <t xml:space="preserve">To determine the relationship of various forms of communication to adoption of energy conservation behavior among homeowners, and to compare the energy conserving behavior of those under 65 with those over 65, a three-year panel study was conducted in a Midwest suburban community. Heads of households who owned single family dwellings were contacted by telephone concerning the steps they had taken to conserve energy in their homes, such as adding attic insulation or turning down the thermostat. Respondents also answered questions about what forms of communication they relied on, whether they had seen any energy conservation commercials recently or had requested a utility audit, and those who were wiling also released their public service heating records. Results showed that those over 65 were less willing to take steps to conserve energy, kept their thermostats set higher than younger respondents, and had fewer plans to conserve energy in the future, though the two groups had equivalent knowledge of energy problems and conservation measures. Reading newspaper stories and viewing television programs about energy conservation were strongly related to the perceived importance of the energy problem, although the more general the information, the less it was correlated to behavior. Those over 65 were more likely to try to conserve energy if a utility auditor visited their home, or if they received bill-insert pamphlets. </t>
  </si>
  <si>
    <t xml:space="preserve">Identity - Elicit cognitive dissonance </t>
  </si>
  <si>
    <t>The Effects of Social Influence and Cognitive Dissonance on Travel Purchase Decisions</t>
  </si>
  <si>
    <t xml:space="preserve">Tanford, S., &amp; Montgomery, R. </t>
  </si>
  <si>
    <t xml:space="preserve">Theories of social influence (Crano 2000) and cognitive dissonance (Festinger 1957) have clear applicability to travel purchases, but have rarely been investigated in hospitality research. An experimental study of students’ travel decisions for a spring break vacation was conducted. Subjects chose between a green and nongreen resort in a 2 × 3 experimental design that manipulated social influence (majority, minority, none) and pro-environmental attitudes (high or low). Social influence was in the form of traveler reviews that were either favorable or unfavorable. Postdecision dissonance and dissonance reduction tactics were measured. Subjects were less likely to choose a green resort when a minority of reviews favored that resort. Subjects with strong pro-environmental attitudes experienced dissonance when making a nongreen choice in this situation. Consistent with dissonance theory predictions, people evaluated the chosen resort more favorably than the alternative. They sought out more favorable information about the resort when they experienced dissonance. </t>
  </si>
  <si>
    <t>Energize Worcester</t>
  </si>
  <si>
    <t>Foster, M., Rubenstein, B., Duclos, M., &amp; Murphy, K.</t>
  </si>
  <si>
    <t>Worcester Polytechnic Institute</t>
  </si>
  <si>
    <t>Our project, sponsored by the University of Worcester, looked into how recycling habits affect students’ accommodation choice. We performed door-to-door surveying, receiving 74 survey responses. Furthermore, we spoke with members of facilities about recycling on-campus. We found no solid relationship among students’ recycling habits and their accommodation choice, but found that the main reason they do not recycle is lack of bins. We recommend looking into optimal placement for disposal sites to help increase recycling among students on campus.</t>
  </si>
  <si>
    <t>https://www.wpi.edu/Pubs/E-project/Available/E-project-062415-094756/</t>
  </si>
  <si>
    <t>"Our project, sponsored by the University of Worcester, looked into how recycling habits affect students’ accommodation choice. We performed door-to-door surveying, receiving 74 survey responses. Furthermore, we spoke with members of facilities about recycling on-campus. We found no solid relationship among students’ recycling habits and their accommodation choice, but found that the main reason they do not recycle is lack of bins"</t>
  </si>
  <si>
    <t>Ideology, Motivated Reasoning, and Cognitive Reflection</t>
  </si>
  <si>
    <t>Kahan, D. M.</t>
  </si>
  <si>
    <t>Decision scientists have identified various plausible sources of ideological polarization over climate change, gun violence, national security, and like issues that turn on empirical evidence. This paper describes a study of three of them: the predominance of heuristic-driven information processing by members of the public; ideologically motivated reasoning; and the cognitive-style correlates of political conservativism. The study generated both observational and experimental data inconsistent with the hypothesis that political conservatism is distinctively associated with either unreflective thinking or motivated reasoning. Conservatives did no better or worse than liberals on the Cognitive Reflection Test (Frederick, 2005), an objective measure of information-processing dispositions associated with cognitive biases. In addition, the study found that ideologically motivated reasoning is not a consequence of over-reliance on heuristic or intuitive forms of reasoning generally. On the contrary, subjects who scored highest in cognitive reflection were the most likely to display ideologically motivated cognition. These findings corroborated an alternative hypothesis, which identifies ideologically motivated cognition as a form of information processing that promotes individuals’ interests in forming and maintaining beliefs that signify their loyalty to important affinity groups. The paper discusses the practical significance of these findings, including the need to develop science communication strategies that shield policy-relevant facts from the influences that turn them into divisive symbols of political identity.</t>
  </si>
  <si>
    <t>http://journal.sjdm.org/13/13313/jdm13313.pdf</t>
  </si>
  <si>
    <t>Unit bias: A new heuristic that helps explain the effect of portion size on food intake</t>
  </si>
  <si>
    <t xml:space="preserve">Geier, A. B., Rozin, P., &amp; Doros, G. </t>
  </si>
  <si>
    <t>People seem to think that a unit of some entity (with certain constraints) is the appropriate and optimal amount. We refer to this heuristic as unit bias. We illustrate unit bias by demonstrating large effects of unit segmentation, a form of portion control, on food intake. Thus, people choose, and presumably eat, much greater weights of Tootsie Rolls and pretzels when offered a large as opposed to a small unit size (and given the option of taking as many units as they choose at no monetary cost). Additionally, they consume substantially more M&amp;M's when the candies are offered with a large as opposed to a small spoon (again with no limits as to the number of spoonfuls to be taken). We propose that unit bias explains why small portion sizes are effective in controlling consumption; in some cases, people served small portions would simply eat additional portions if it were not for unit bias. We argue that unit bias is a general feature in human choice and discuss possible origins of this bias, including consumption norms.</t>
  </si>
  <si>
    <t>YES!</t>
  </si>
  <si>
    <t>Easy - Make it a default setting, Hopeful - Provide feedback</t>
  </si>
  <si>
    <t>Motivating Energy-Efficient Behavior with Green IS: An Investigation of Goal Setting and the Role of Defaults</t>
  </si>
  <si>
    <t>Loock, C., Staake, T., &amp; Thiesse, F.</t>
  </si>
  <si>
    <t>Mis Quarterly</t>
  </si>
  <si>
    <t>This study investigates the role of information systems in stimulating energy-efficient behavior in private households. We present the example of Velix, a web portal designed to motivate customers of a utility company to reduce their electricity consumption. In particular, we consider the effectiveness of goal setting functionality and defaults in influencing energy conservation behavior. For this purpose, we use the web portal as a test of the theoretical propositions underlying its design. Based on data collected from a field experiment with 1,791 electricity consumers, we test hypotheses regarding the structural relations between defaults and goals, the impact of defaults and goals on consumption behavior, and the moderating role of feedback on goal choice. Our results confirm the positive impact of goal setting on energy conservation. We show that default goals lead to statistically significant savings by affecting goal choice. However, if the default goals are set too low or too high with respect to a self-set goal, the defaults will detrimentally affect behavior. We also show that feedback on goal attainment moderates the effect of default goals on goal choice. The results extend the knowledge on goal setting and defaults and have implications for the design of effective energy feedback systems. The study’s approach, which combines hypothesis-driven work and design-oriented IS research, could serve as a blueprint for further research endeavors of this kind, particularly with regard to feedback systems based on future smart metering infrastructures.</t>
  </si>
  <si>
    <t>http://cocoa.ethz.ch/downloads/2014/01/1737_LoockStaakeThiesse%20-%20GoalSetting%20-%20MISQ%20-%202013-1.pdf</t>
  </si>
  <si>
    <t>Easy - Design information to be easy to understand and execute, Hopeful - Provide feedback</t>
  </si>
  <si>
    <t>The Effects of Informational Prompts and Performance Feedback on Recycling Behavior</t>
  </si>
  <si>
    <t>Zandecki, E. M.</t>
  </si>
  <si>
    <t>University of Florida Scholar Commons</t>
  </si>
  <si>
    <t xml:space="preserve">Recycling behavior was examined by the implementation of Informational Prompts and Performance Feedback. Prompts containing facts on recycling and waste along with group performance feedback were studied at The Florida Mental Health Institute at The University of South Florida (Tampa campus). Informational Prompts were introduced by placing informational facts about recycling and waste by 26 bins throughout the building. Performance feedback signs were placed by the same bins and included the frequency of recycled material and trash discarded in the recycling bins on a daily basis when the campus was open. The results showed that both interventions increased recycling. Informational Prompts showed an increase in recycling and a decrease in trash placed in the recycling bin. Performance Feedback showed a stronger increase in recycling when compared to Informational Prompts. The combination of the two produced a significant increase in the amount of recyclable material placed in the recycling bins and a decrease in the waste placed in the recycling containers. </t>
  </si>
  <si>
    <t>http://scholarcommons.usf.edu/cgi/viewcontent.cgi?article=5461&amp;context=etd</t>
  </si>
  <si>
    <t>Easy, Hopeful, Ordinary</t>
  </si>
  <si>
    <t xml:space="preserve">Easy - Set up the context to support easy action, Hopeful - Provide feedback, Ordinary - Provide positive social proof </t>
  </si>
  <si>
    <t>Information Strategies and Energy Conservation Behavior: A Meta-analysis of Experimental Studies from 1975-2011</t>
  </si>
  <si>
    <t>Delmas, M. A., Fischlein, M., &amp; Asensio, O.</t>
  </si>
  <si>
    <t>UCLA Institute of the Environment and Sustainability</t>
  </si>
  <si>
    <t xml:space="preserve">Strategies that provide information about the environmental impact of activities are increasingly seen as effective to encourage conservation behavior.This article offers the most comprehensive meta-analysis of information based energy conservation experiments conducted to date. Based on evidence from 156 published field trials and 525,479 study subjects from 1975-2012, we quantify the reduction potential of information based strategies for energy conservation. On average, individuals in the experiments reduced their electricity consumption by 7.4%.Our results also show that strategies providing individualized audits and consulting are comparatively more effective for conservation behavior than strategies that provide historical, peer comparison energy feedback. Interestingly, we find that pecuniary feedback and incentives lead to a relative increase in energy usage rather than induce conservation. We also find that the effect varies with the rigor of the study, indicating potential methodological issues in the current literature. </t>
  </si>
  <si>
    <t>http://escholarship.org/uc/item/4rn8903p</t>
  </si>
  <si>
    <t xml:space="preserve">Easy, Identity </t>
  </si>
  <si>
    <t xml:space="preserve">Identity - Elicit cognitive dissonance, Easy - Design information to be easy to understand and execute </t>
  </si>
  <si>
    <t>Promoting conceptual change in science: A comparative meta-analysis of instructional interventions from reading education and science education</t>
  </si>
  <si>
    <t xml:space="preserve">Guzzetti, B. J., Snyder, T. E., Glass, G. V., &amp; Gamas, W. S. </t>
  </si>
  <si>
    <t>Reading Research Quarterly</t>
  </si>
  <si>
    <t>Numerous investigations have been conducted in reading education and science education to test the effects of various instructional interventions on misconceptions. These studies have produced disparate and inconclusive results. The purpose of this project was, therefore, to synthesize quantitatively the experimental and quasi-experimental research designed to produce conceptual change. A meta-analytical perspective was used to conduct a cross-disciplinary analysis. Results from the accumulated evidence identified specific strategies in reading education and particular approaches in science education that were effective in producing conceptual change. These effective procedures had a common element of producing conceptual conflict. Results of the analysis and scrutiny of the research from these two disciplines raise questions regarding construct definition and measurement of conceptual change.</t>
  </si>
  <si>
    <t>http://www.jstor.org/stable/747886?seq=1#page_scan_tab_contents</t>
  </si>
  <si>
    <t>Easy, Identity, Relatable</t>
  </si>
  <si>
    <t>2, 6, 8</t>
  </si>
  <si>
    <t>Easy - Reduce choices, Identity - Use "Implementation intentions"</t>
  </si>
  <si>
    <t>How behavioral decision research can enhance consumer welfare: From freedom of choice to paternalistic intervention</t>
  </si>
  <si>
    <t>Ratner, R. K., Soman, D., Zauberman, G., Ariely, D., Carmon, Z., Keller, P. A., &amp; Wertenbroch, K.</t>
  </si>
  <si>
    <t>Marketing Letters</t>
  </si>
  <si>
    <t>Climate, Wildlife, Whole system</t>
  </si>
  <si>
    <t>Decision-making researchers have largely focused on showing errors and biases in consumers' decision-making processes without paying much attention to the social welfare and policy implications of these systematic behaviors. In this paper, we explore how findings and methods in behavioral decision research can be used to help consumers improve their decision making and enhance their well-being. We first review select findings in behavioral decision research to explain why consumers need help in decisions, and based on these findings, suggest various interventions that could be effective within the scope of libertarian paternalism. Ethics and effectiveness of the interventions are also discussed.</t>
  </si>
  <si>
    <t xml:space="preserve">Relatable - Connect at a local level, Identity - Use language that draws on identity, Easy - Design information to be easy to understand and execute </t>
  </si>
  <si>
    <t>Making Climate-Science Communication Evidence-based-- All the Way Down</t>
  </si>
  <si>
    <t>Routledge Press</t>
  </si>
  <si>
    <t>Scientists and science communicators have appropriately turned to the science of science communication for guidance in overcoming public conflict over climate change. The value of the knowledge that this science can impart, however, depends on it being used scientifically. It is a mistake to believe that either social scientists or science communicators can intuit effective communication strategies by simply consulting compendiums of psychological mechanisms. Social scientists have used empirical methods to identify which of the myriad mechanisms that could plausibly be responsible for public conflict over climate change actually are. Science communicators should now use valid empirical methods to identify which plausible real-world strategies for counteracting those mechanisms actually work. Collaboration between social scientists and communicators on evidence-based field experiments is the best means of using and expanding our knowledge of how to communicate climate science.</t>
  </si>
  <si>
    <t>http://papers.ssrn.com/sol3/papers.cfm?abstract_id=2216469</t>
  </si>
  <si>
    <t xml:space="preserve">YES- this article cites studies that could be helpful for vignettes </t>
  </si>
  <si>
    <t>Easy - Reduce hassle factors, Lasting - Bundle actions with cues and temptations, Lasting - Start with a tiny behavior</t>
  </si>
  <si>
    <t>Unpacking the Household: Exploring the dynamics of household recycling</t>
  </si>
  <si>
    <t>Boulay, A., Metcalfe, A., Barr, S., &amp; Shaw, G.</t>
  </si>
  <si>
    <t>University of Exeter</t>
  </si>
  <si>
    <t>Three-quarters of British and French consumers (76% and 75%, respectively) claim to always recycle plastic bottles at home.  However, recycling rates in both Great Britain and France 2 remain below the European average of 61% meaning nearly half of all plastic bottles are not recycled. If actual at-home recycling rates do not re ect good intentions, what are the opportunities to change this?  As pressure on our natural resources continues to intensify, at-home recycling has become an important issue in recent years, particularly as it is one of the more visible examples of consumer action on environmental issues.  Coca-Cola Enterprises (CCE) commissioned a pioneering study with the University of Exeter to look into the ‘black box’ of household recycling to understand the drivers that determine recycling habits and behaviours, and investigate the gap between good intentions and reality.  The study looks directly inside British and French homes to understand why recycling rates remain low, despite people expressing strong environmental intentions.</t>
  </si>
  <si>
    <t xml:space="preserve">Easy - Set up context to support easy action, Ordinary - None </t>
  </si>
  <si>
    <t>Social norms and policies to promote energy efficiency in the home</t>
  </si>
  <si>
    <t xml:space="preserve">Wilson, C. </t>
  </si>
  <si>
    <t>The Environmental Law Reporter</t>
  </si>
  <si>
    <t xml:space="preserve">Social Norms and Policies to Promote #Energy Efficiency in the Home http://ow.ly/X5xov </t>
  </si>
  <si>
    <t xml:space="preserve">homes, energy audits, </t>
  </si>
  <si>
    <t>New Perspectives for Environmental Policies Through Behavioral Economics</t>
  </si>
  <si>
    <t>Beckenbach, F., &amp; Kahlenborn, W.</t>
  </si>
  <si>
    <t xml:space="preserve">Springer </t>
  </si>
  <si>
    <t>202, 603</t>
  </si>
  <si>
    <t>http://download.springer.com/static/pdf/846/bok%253A978-3-319-16793-0.pdf?originUrl=http%3A%2F%2Flink.springer.com%2Fbook%2F10.1007%2F978-3-319-16793-0&amp;token2=exp=1464739899~acl=%2Fstatic%2Fpdf%2F846%2Fbok%25253A978-3-319-16793-0.pdf%3ForiginUrl%3Dhttp%253A%252F%252Flink.springer.com%252Fbook%252F10.1007%252F978-3-319-16793-0*~hmac=1a982135e217ca4dc91b49774352fcd7c7621e56e13d8670c14c5eccb9566a2c</t>
  </si>
  <si>
    <t>Nudging and Choice Architecture: Ethical Considerations</t>
  </si>
  <si>
    <t>Yale Journal on Regulation</t>
  </si>
  <si>
    <t>Is nudging unethical? Is choice architecture a problem for a free society? This essay defends seven propositions: (1) It is pointless to object to choice architecture or nudging as such. Choice architecture cannot be avoided. Nature itself nudges; so does the weather; so do customs and traditions; so do spontaneous orders and invisible hands. The private sector inevitably nudges, as does the government. It is reasonable to worry about nudges by government and to object to particular nudges, but not to nudging in general. (2) In this context, ethical abstractions (for example, about autonomy, dignity, manipulation, and democratic self-government) can create serious confusion. To make progress, those abstractions must be brought into contact with concrete practices. Nudging and choice architecture take highly diverse forms, and the force of an ethical objection depends on the specific form. (3) If welfare is our guide, much nudging is actually required on ethical grounds, even if it comes from government. (4) If autonomy is our guide, much nudging is also required on ethical grounds, in part because some nudges actually promote autonomy, in part because some nudges enable people to devote their limited time and attention to their most important concerns. (5) Choice architecture should not, and need not, compromise either dignity or self-government, but it is important to see that imaginable forms could do both. It follows that when they come from government, choice architecture and nudges should not be immune from a burden of justification, which they might not be able to overcome. (6) Some nudges are objectionable because the choice architect has illicit ends. When the ends are legitimate, and when nudges are fully transparent and subject to public scrutiny, a convincing ethical objection is less likely to be available. (7) There is ample room for ethical objections in the case of well-motivated but manipulative interventions, certainly if people have not consented to them; such nudges can undermine autonomy and dignity. It follows that both the concept and the practice of manipulation deserve careful attention. The concept of manipulation has a core and a periphery; some interventions fit within the core, others within the periphery, and others outside of both.</t>
  </si>
  <si>
    <t>Consumption, Energy, Transportation, Waste management</t>
  </si>
  <si>
    <t>http://papers.ssrn.com/sol3/papers.cfm?abstract_id=2551264</t>
  </si>
  <si>
    <t>Behaviour Change and Energy Use</t>
  </si>
  <si>
    <t>Behaviour Change and Energy Use draws on evidence from behavioural economics and psychology to outline a new approach to enabling people, at home and at work, to reduce their energy consumption and reduce their bills in the process. Amongst other things, this paper showed how these insights were being used by the UK Government to help departments successfully meet the Prime Minister’s pledge to reduce energy emissions by over 10% in just one year.</t>
  </si>
  <si>
    <t>Behavioral Design: A New Approach to Development Policy</t>
  </si>
  <si>
    <t>Datta, S., &amp; Mullainathan, S.</t>
  </si>
  <si>
    <t>Review of Income and Wealth</t>
  </si>
  <si>
    <t>Successful development programs rely on people to behave and choose in certain ways, and behavioral economics helps us understand why people behave and choose as they do. This paper sketches how to design development programs and policies in ways that are cognizant of and informed by the insights behavioral economics provides into human behavior. It distills the key insights of behavioral economics into a parsimonious framework about the constraints under which people make decisions. It then shows how this framework leads to a set of design principles that can be employed to design programs in areas including health, education, productivity, agriculture, finance, and the delivery of public services. Finally, it offers some reflections on the ways in which these insights and design principles can be incorporated into existing and planned programs to improve their reach and effectiveness.</t>
  </si>
  <si>
    <t>http://www.ideas42.org/wp-content/uploads/2015/05/Behavioral-Design-A-New-Approach-to-Development-Policy-ROIW.pdf</t>
  </si>
  <si>
    <t>Changing Habits, Lifestyles and Choices: The Behaviours that Drive Feedback-Induced Energy Savings</t>
  </si>
  <si>
    <t>Ehrhardt-Martinez, K.</t>
  </si>
  <si>
    <t>Renewable and Sustainable Energy Institute</t>
  </si>
  <si>
    <t xml:space="preserve">Vivid, Awareness </t>
  </si>
  <si>
    <t>5, 9</t>
  </si>
  <si>
    <t xml:space="preserve">Vivid - Use everyday analogies, Awareness - Elicit awareness at the moment of choice </t>
  </si>
  <si>
    <t>501, 904</t>
  </si>
  <si>
    <t>The Psychology of Sustainable Behavior</t>
  </si>
  <si>
    <t>Manning, C.</t>
  </si>
  <si>
    <t>Minnesota Pollution Control Agency</t>
  </si>
  <si>
    <t>Advanced metering devices and new feedback programs and technologies are opening up a wide range of new opportunities to make energy consumption more visible to residential consumers and to engage individuals and households in more thoughtful energy use practices. Data from several recent studies suggest that feedback-induced energy savings can be significant (Darby 2006, EPRI 2009) ranging from 4 to 12 percent depending on the technologies employed, the characteristics of the program, and other relevant factors (Ehrhardt-Martinez et al. 2010). However few studies have considered the behaviors that underlie the energy savings achieved. Once people receive information about their energy consumption patterns, there are a wide variety of things they can do to reduce the amount of energy they consume. Energy savings are typically achieved as a result of three categories of action: 1) simple changes in routines and habits, 2) infrequent and low-cost energy stocktaking behaviors (i.e. replacing incandescent bulbs with CFLs, weather stripping, etc) , and 3) consumer investments in new energy-efficient appliances, devices and materials. Evidence from several feedback studies suggests that most of the energy savings achieved through feedback programs results from changes in behaviors (not investments) although people who invest tend to save the most energy. This paper provides an assessment of the behaviors that drive feedback- induced energy savings as they have been documented in an innovative new meta-review of feedback studies.</t>
  </si>
  <si>
    <t>http://web.stanford.edu/group/peec/cgi-bin/docs/behavior/research/Ehrhardt-Martinez%20ECEEE%20Feedback%20Behaviors%208-454%20FINAL%20(2).pdf</t>
  </si>
  <si>
    <t>"This paper provides an assessment of the behaviors that drive feedback- induced energy savings as they have been documented in an innovative new meta-review of feedback studies"</t>
  </si>
  <si>
    <t>There are many ways we can empower ourselves, and those around us, to live more sustainably. Psychology, the study of human behavior, offers many insights. The purpose of this handbook is to introduce you to research-based tips from psychology to help you in your personal, community, and workplace efforts to empower sustainability. The recommendations are based on empirical research; most of the studies described here have been published in peer-reviewed academic journals. This document represents many years of psychological studies. Psychology is a diverse field with many contributions to make. I have summarized the studies and findings most relevant to sustainability and sustainable behavior change. The handbook begins with an overview of the psychology of sustainable behavior, providing a short background on this field of study. The following section then describes how the tips from psychology fit into sustainability campaigns and explains how individual sustainability contributes to broader social and policy change. There are seven separate tips and they are listed in order of importance. This means that the first tip, “Make sustainability the social default,” has the most influence on sustainable behavior. The second most influential tip is listed next: “Emphasize personal relevance,” and so on. Within the section dedicated to each tip, there are sub-headings that describe specific ways to work with that tip. For example, under “Make sustainability the social default” there are six sub-headings (e.g., “Communicate normative information,” “Encourage positive social cues for sustainability”). Each of these is a significantly different approach through which sustainable behavior becomes the social default. They are not mutually exclusive: the more of the approaches you incorporate, the more likely you are to see a new social norm. Recommendations and examples of how the different approaches can be carried out in the real world are included at the end of each sub-section, after a description of the approach.</t>
  </si>
  <si>
    <t>Vivid = Yes; Easy = No</t>
  </si>
  <si>
    <t>205, 304</t>
  </si>
  <si>
    <t>Europe, Oceania, Asia</t>
  </si>
  <si>
    <t xml:space="preserve">Barriers to energy efficiency: International case studies on successful barrier removal </t>
  </si>
  <si>
    <t>Worrell, E.</t>
  </si>
  <si>
    <t>UNITED NATIONS INDUSTRIAL DEVELOPMENT ORGANIZATION</t>
  </si>
  <si>
    <t>Consumption, Food</t>
  </si>
  <si>
    <t>http://www.unido.org//fileadmin/user_media/Publications/Research_and_statistics/Branch_publications/Research_and_Policy/Files/Working_Papers/2011/WP142011%20Barriers%20to%20Energy%20Efficiency%20-%20International%20Case%20Studies%20on%20Successful%20Barrier%20Removal.pdf</t>
  </si>
  <si>
    <t>Knowledge is (Less) Power: Experimental Evidence from Residential Energy Use</t>
  </si>
  <si>
    <t>Jessoe, K., &amp; Rapson, D.</t>
  </si>
  <si>
    <t>The American Economic Review</t>
  </si>
  <si>
    <t>Imperfect information about product attributes inhibits efficiency in many choice settings, but can be overcome by providing simple, low-cost information. We use a randomized control trial to test the effect of high-frequency information about residential electricity usage on the price elasticity of demand. Informed households are three standard deviations more responsive to temporary price increases, an effect that is not attributable to price salience. Conservation extends beyond pricing events in the short and medium run, providing evidence of habit formation and implying that the intervention leads to greenhouse gas abatement. Survey evidence suggests that information facilitates learning.</t>
  </si>
  <si>
    <t>http://www.nber.org/papers/w18344.pdf</t>
  </si>
  <si>
    <t>The effects of of television commercial repetition on cognitive response and message acceptance.</t>
  </si>
  <si>
    <t>Belch, G. E.</t>
  </si>
  <si>
    <t>and the possible sources and magnitude of fu- ture surprises. The results reveal a rich diversity of expert opinion and, aside from climate sensi- tivity, a greater degree of disagreement than is often conveyed in scientific consensus docu- ments. Research can make valuable contribu- tions, but we interpret our results to mean that overall uncertainty about the geophysics of cli- mate change is not likely to be reduced dramati-</t>
  </si>
  <si>
    <t>http://jcr.oxfordjournals.org/content/9/1/56.abstract</t>
  </si>
  <si>
    <t xml:space="preserve">Human health - How people cook/eat </t>
  </si>
  <si>
    <t>overconsumption</t>
  </si>
  <si>
    <t>Increased portion size leads to increased energy intake in a restaurant meal</t>
  </si>
  <si>
    <t xml:space="preserve">Diliberti, N., Bordi, P. L., Conklin, M. T., Roe, L. S., &amp; Rolls, B. J. </t>
  </si>
  <si>
    <t>Obesity Research</t>
  </si>
  <si>
    <t>Eating frequently in restaurants is one of the behaviors associated with obesity. This study examined whether increasing the portion size of an entrée affected energy intake at a restaurant meal.</t>
  </si>
  <si>
    <t>Conservation Effect of Immediate Electricity Cost Feedback on Residential Consumption Behaviour</t>
  </si>
  <si>
    <t>Dobson, J. K., &amp; Griffin, J. D. A.</t>
  </si>
  <si>
    <t>Proceedings of the 7th ACEEE summer study on energy efficiency in buildings</t>
  </si>
  <si>
    <t>http://aceee.org/files/proceedings/1992/data/papers/SS92_Panel10_Paper06.pdf</t>
  </si>
  <si>
    <t>Confirmation Bias, General</t>
  </si>
  <si>
    <t>58, 59</t>
  </si>
  <si>
    <t xml:space="preserve">Knowledge, Beliefs, Attitudes and Behavioral Intentions of Florida Boaters Regarding Manatee Conservation </t>
  </si>
  <si>
    <t>Aipanjiguly, S., Jacobson, S. K., &amp; Flamm, R.</t>
  </si>
  <si>
    <t>Boat collisions with manatees (  Trichechus manatus latirostris ) account for about one-quarter of manatee deaths annually in Florida. This emphasizes the need to influence boaters' behavior through an understanding of their knowledge, beliefs, attitudes, and behavioral intentions toward manatees and their conservation. We conducted a telephone survey of a random sample of boat users whose boats were observed in Tampa Bay, Florida. Five hundred and four boaters completed the survey, a cooperation rate of 55%. Respondents had a mean score of 6.2 on a 10-question knowledge scale, and supported manatee conservation efforts with a mean score of 3.84 on a 5-point support scale based on seven statements. Boaters indicated more support for increased public education than for stringent regulations such as speed and wake limits in sea grass areas, no-entry areas, or increased patrols. Greater knowledge about manatees was positively correlated with support for manatee conservation. To understand boating behaviors, we used the sociopsychological theory of reasoned action to analyze boaters' disregard for speed zones. Results indicate a strong normative influence on boaters' behavioral intention to follow speed zones, with respondents highly motivated to comply with law enforcement. The survey results provide a basis for recommendations about public communication interventions.</t>
  </si>
  <si>
    <t>The effect of option Associations on consumers' decision-making efficiency: Evidence from online service customization</t>
  </si>
  <si>
    <t>Wan, X.,  Li, Q.,  Wu,  J., &amp;  Luo, Y.</t>
  </si>
  <si>
    <t>Food, Wildlife</t>
  </si>
  <si>
    <t>African Journal of Business Management</t>
  </si>
  <si>
    <t>http://www.academicjournals.org/article/article1427736021_Wan%20et%20al.pdf</t>
  </si>
  <si>
    <t>Decision Science; Associations</t>
  </si>
  <si>
    <t>Sticking with Your Vote: Cognitive Dissonance and Voting</t>
  </si>
  <si>
    <t>Research Study: Residential Energy Use Behavior Change Pilot</t>
  </si>
  <si>
    <t>Mullainathan, S., &amp; Washington, E.</t>
  </si>
  <si>
    <t>Carroll, E., Hatton, E., &amp; Brown, M.</t>
  </si>
  <si>
    <t>National Bureau of Economic Research</t>
  </si>
  <si>
    <t>http://www.climateaccess.org/sites/default/files/Carroll_Residential%20Energy%20Use%20Behavior%20Change%20Pilot.pdf</t>
  </si>
  <si>
    <t>Climate - General, Environmental Justice, Environmental Policy</t>
  </si>
  <si>
    <t>In traditional models, votes are an expression of preferences and beliefs. Psychological theories of cognitive dissonance suggest, however, that behavior may shape preferences. In this view, the very act of voting may influence political attitudes. A vote for a candidate may lead to more favorable interpretations of his actions in the future. We test the empirical relevance of cognitive dissonance in US Presidential elections. The key problem in such a test is the endogeneity of voter choice which leads to a mechanical relationship between voting and preferences. We use the voting age restrictions to help surmount this difficulty. We examine the Presidential opinion ratings of nineteen and twenty year olds two years after the President's election. Consistent with cognitive dissonance, we find that twenty year olds (who were eligible to vote in the election) show greater polarization of opinions than comparable nineteen year olds (who were ineligible to vote). We rule out that aging drives these results in two ways. First, we find no polarization differences in years in which twenty and nineteen year olds would not have differed in their eligibility to vote in the prior Presidential election. Second, we show a similar effect when we compare polarization (for all age groups) in opinions of Senators elected during high turnout Presidential campaign years with Senators elected during low turnout non-Presidential campaign years. Thus we find empirical support for the relevance of cognitive dissonance to voting behavior. This finding has at least three implications for the dynamics of voting behavior. First, it offers a new rationale for the incumbency advantage. Second, it suggests that there is an efficiency argument for term limits. And finally, our results demonstrate that efficiency may not be increasing in turnout level.</t>
  </si>
  <si>
    <t>Climate for Health: National Leadership Convening Summary</t>
  </si>
  <si>
    <t>http://www.nber.org/papers/w11910</t>
  </si>
  <si>
    <t>Also provides some evidence of the effect of confirmation bias</t>
  </si>
  <si>
    <t>Equipping health professionals to talk about climate change</t>
  </si>
  <si>
    <t xml:space="preserve">Hopeful - Trigger collective responsibility </t>
  </si>
  <si>
    <t>Self-interest and pro-environmental behaviour</t>
  </si>
  <si>
    <t xml:space="preserve">Evans, L., Maio, G. R., Corner, A., Hodgetts, C. J., Ahmed, S., &amp; Hahn, U. </t>
  </si>
  <si>
    <t>Inspired by the principles used to market physical products, campaigns to promote pro-environmental behaviour have increasingly emphasized self-interested (for example, eco- nomic) reasons for engaging with a self-transcendent cause (that is, protecting the environment)1,2. Yet, psychological evidence about values and behaviour suggests that giving self-interested reasons, rather than self-transcending reasons, to carry out a self-transcending action should be ineffective at increasing self-transcending behaviour more generally3,4. In other words, such a campaign may fail to cause spillover, or an increase in other, different environmental behaviours5. Here we show that recycling rates are dependent on the information participants receive about a separate environmental behaviour, car-sharing (carpooling in the USA). In two experiments, we found that recycling was significantly higher than control when participants received environmental information about car-sharing, but was no different from control when they re- ceived financial information or (in experiment 2) received both financial and environmental information. Our results suggest that, congruent with value theory, positive spillover from one environmental message to another behaviour (car-sharing to recycling) may occur primarily when self-transcending reasons alone are made salient.</t>
  </si>
  <si>
    <t xml:space="preserve">Yes! Needs to be worked into hopeful chapter! </t>
  </si>
  <si>
    <t>Cooperation without Trust: Overcoming Collective Action Barriers to Endangered Species Protection</t>
  </si>
  <si>
    <t>Raymon, L.</t>
  </si>
  <si>
    <t>Policy Studies Journal</t>
  </si>
  <si>
    <t>Mutual trust among individuals is frequently cited as an important factor in encouraging collectiveaction, particularly in environmental policy settings. Yet the precise role of trust in the collective action process remains uncertain. This article explores the hypothesis that trust is overrated as a cause of cooperation. It initially tests this hypothesis through two case studies of voluntary collective action in a new context: the creation of multiactor Habitat Conservation Plans to protect endangered species.The two cases suggest that institutional mechanisms and political leadership can play an important role in encouraging collective action without relying on trust among cooperators. Besides their theoretical implications, the results suggest policymakers might spend more energy on creating incentives and assurance mechanisms to encourage collaboration, rather than the potentially fruitless task of building of social capital among rival stakeholders.</t>
  </si>
  <si>
    <t>Self-awareness, self-regulation, and self-transcendence (S-ART): a framework for understanding the neurobiological mechanisms of mindfulness</t>
  </si>
  <si>
    <t>Vago, D. R., &amp; Silbersweig, D. A.</t>
  </si>
  <si>
    <t>Frontiers in Human Neuroscience</t>
  </si>
  <si>
    <t>Mindfulness—as a state, trait, process, type of meditation, and intervention has proven to be beneficial across a diverse group of psychological disorders as well as for general stress reduction. Yet, there remains a lack of clarity in the operationalization of this construct, and underlying mechanisms. Here, we provide an integrative theoretical framework and systems-based neurobiological model that explains the mechanisms by which mindfulness reduces biases related to self-processing and creates a sustainable healthy mind. Mindfulness is described through systematic mental training that develops meta-awareness (self-awareness), an ability to effectively modulate one's behavior (self-regulation), and a positive relationship between self and other that transcends self-focused needs and increases prosocial characteristics (self-transcendence). This framework of self-awareness, -regulation, and -transcendence (S-ART) illustrates a method for becoming aware of the conditions that cause (and remove) distortions or biases. The development of S-ART through meditation is proposed to modulate self-specifying and narrative self-networks through an integrative fronto-parietal control network. Relevant perceptual, cognitive, emotional, and behavioral neuropsychological processes are highlighted as supporting mechanisms for S-ART, including intention and motivation, attention regulation, emotion regulation, extinction and reconsolidation, prosociality, non-attachment, and decentering. The S-ART framework and neurobiological model is based on our growing understanding of the mechanisms for neurocognition, empirical literature, and through dismantling the specific meditation practices thought to cultivate mindfulness. The proposed framework will inform future research in the contemplative sciences and target specific areas for development in the treatment of psychological disorders.</t>
  </si>
  <si>
    <t>Social Cognitive Theory of Self-Regulation</t>
  </si>
  <si>
    <t xml:space="preserve">Bandura, A. </t>
  </si>
  <si>
    <t>Stanford University</t>
  </si>
  <si>
    <t xml:space="preserve">In social cognitive theory human behavior is extensively motivated and regulated by the ongoing exercise of self-influence. The major self-regulative mechanism operates through three principal subfunctions. These include self-monitoring of one's behavior, its determinants, and its effects; judgment of one's behavior in relation to personal standards and environmental circumstances; and affective self-reaction. Self-regulation also encompasses the self-efficacy mechanism, which plays a central role in the exercise of personal agency by its strong impact on thought, affect, motivation, and action. The same self-regulative system is involved in moral conduct although compared to the achievement domain, in the moral domain the evaluative standards are more stable, the judgment factors more varied and complex, and the affective self-reactions more intense. In the interactionist perspective of social cognitive theory, social factors affect the operation of the self-regulative system. </t>
  </si>
  <si>
    <t>Climate, Consumption, Transportation</t>
  </si>
  <si>
    <t>Lasting - Design a habit supportive environment</t>
  </si>
  <si>
    <t>In Motion participants pledge to shift two drive-alone trips per week to transit, ridesharing, biking or walking. The program uses motivational interviewing, commitments, rewards, engaging materials and norm appeals tailored to each target community. It has been called into action during or in anticipation of major construction, transit restructures or new transit service such as light rail or bus rapid transit. Since creating In Motion in 2004, King County Metro Transit has applied a growing toolkit of community-based social marketing techniques to persuade about 23,000 Seattle-area travelers to drive less. Designated a Landmark case study in 2015</t>
  </si>
  <si>
    <t>http://www.toolsofchange.com/en/case-studies/detail/688/</t>
  </si>
  <si>
    <t>In Motion participants pledge to shift two drive-alone trips per week to transit, ridesharing, biking or walking. The program uses motivational interviewing, commitments, rewards, engaging materials and norm appeals tailored to each target community. It has been called into action during or in anticipation of major construction, transit restructures or new transit service such as light rail or bus rapid transit. Since creating In Motion in 2004, King County Metro Transit has applied a growing toolkit of community-based social marketing techniques to persuade about 23,000 Seattle-area travelers to drive less. Designated a Landmark case study in 2015.</t>
  </si>
  <si>
    <t xml:space="preserve">Hopeful - Use doomsday narratives sparingly </t>
  </si>
  <si>
    <t>Apocalypse Soon? Dire Messages Reduce Belief in Global Warming by Contradicting Just-World Beliefs</t>
  </si>
  <si>
    <t>Though scientific evidence for the existence of global warming continues to mount, in the United States and other countries belief in global warming has stagnated or even decreased in recent years. One possible explanation for this pattern is that information about the potentially dire consequences of global warming threatens deeply held beliefs that the world is just, orderly, and stable. Individuals overcome this threat by denying or discounting the existence of global warming, and this process ultimately results in decreased willingness to counteract climate change. Two experiments provide support for this explanation of the dynamics of belief in global warming, suggesting that less dire messaging could be more effective for promoting public understanding of climate-change research.</t>
  </si>
  <si>
    <t>http://www.climateaccess.org/sites/default/files/Feinberg_Apocalypse%20Soon.pdf</t>
  </si>
  <si>
    <t>Lasting - Start with a tiny Behavior</t>
  </si>
  <si>
    <t>Waste Management- Recycling</t>
  </si>
  <si>
    <t>Recycle, reuse, reduce</t>
  </si>
  <si>
    <t>not listed</t>
  </si>
  <si>
    <t>WWF</t>
  </si>
  <si>
    <t>"With a little more thought, we can all change our habits so that each one of us throws out less garbage. These small, but worthwhile changes may at first seem inconvenient, but soon they will become second nature."</t>
  </si>
  <si>
    <t>Projection Bias, Present Focus Bias, Optimism Bias, Scope Insensitivity</t>
  </si>
  <si>
    <t>67, 66, 65, 68</t>
  </si>
  <si>
    <t>A randomized controlled trial of compassion cultivation training: Effects on mindfulness, affect, and emotion regulation</t>
  </si>
  <si>
    <t>Jazaieri, H., Mcgonigal, K., Jinpa, T., Doty, J. R., Gross, J. J., &amp; Goldin, P. R.</t>
  </si>
  <si>
    <t>Climate - Belief, Consumption - Energy, Natural disasters</t>
  </si>
  <si>
    <t>Motivation and Emotion</t>
  </si>
  <si>
    <t>Perceptions of climate change and willingness to save energy related to flood experience</t>
  </si>
  <si>
    <t xml:space="preserve">Spence, A., Poortinga, W., Butler, C., &amp; Pidgeon, N. F. </t>
  </si>
  <si>
    <t>Compassion is a positive orientation towards
suffering that may be enhanced through compassion
training and is thought to influence psychological functioning.
However, the effects of compassion training on
mindfulness, affect, and emotion regulation are not known.
We conducted a randomized controlled trial in which 100
adults from the community were randomly assigned to
either a 9-week compassion cultivation training (CCT) or a
waitlist (WL) control condition. Participants completed
self-report inventories that measured mindfulness, positive
and negative affect, and emotion regulation. Compared to
WL, CCT resulted in increased mindfulness and happiness,
as well as decreased worry and emotional suppression.
Within CCT, the amount of formal meditation practiced
was related to reductions in worry and emotional suppression.
These findings suggest that compassion cultivation
training effects cognitive and emotion factors that
support psychological flexible and adaptive functioning.</t>
  </si>
  <si>
    <t>One of the reasons that people may not take action to mitigate climate change is that they lack first-hand experience of its potential consequences. From this perspective, individuals who have direct experience of phenomena that may be linked to climate change would be more likely to be concerned by the issue and thus more inclined to undertake sustainable behaviours. So far, the evidence available to test this hypothesis is limited, and in part contradictory1–4. Here we use national survey data collected from 1,822 individuals across the UK in 2010, to examine the links between direct flooding experience, perceptions of climate change and preparedness to reduce energy use. We show that those who report experience of flooding express more concern over climate change, see it as less uncertain and feel more confident that their actions will have an effect on climate change. Importantly, these perceptual differences also translate into a greater willingness to save energy to mitigate climate change. Highlighting links between local weather events and climate change is therefore likely to be a useful strategy for increasing concern and action.</t>
  </si>
  <si>
    <t>http://eprints.nottingham.ac.uk/2249/1/Spence_et_al_-_nclimate1059.pdf</t>
  </si>
  <si>
    <t>Canada and the US, Europe, Asia</t>
  </si>
  <si>
    <t>Culture, Dissonance, and Self-Affirmation</t>
  </si>
  <si>
    <t>Heine, S.J., &amp; Lehman, D. R.</t>
  </si>
  <si>
    <t>Psychology Bulletin</t>
  </si>
  <si>
    <t>The relationship between personal experience and belief in the reality of global warming</t>
  </si>
  <si>
    <t>Myers, T. A., Maibach, E. W., Roser-Renouf, C., Akerlof, K., &amp; Leiserowitz, A. A.</t>
  </si>
  <si>
    <t>Within the framework of self-affirmation theory, the authors compared levels of dissonance reduction in the free-choice paradigm between a culture typical of an independent construal of self (Canadian) and a culture typical of an interdependent construal of self (Japanese).  Whereas Canadian results virtually duplicated past self-affirmation findings with U.S. participants, Japanese results showed no dissonance reduction.  This, the authors argue, is because such situations do not threaten core aspects of the interdependent self.</t>
  </si>
  <si>
    <t>http://www2.psych.ubc.ca/~heine/docs/1997dissonance.pdf</t>
  </si>
  <si>
    <t>In this paper, we address the chicken-or-egg question posed by two alternative explanations for the relationship between perceived personal experience of global warming and belief certainty that global warming is happening: Do observable climate impacts create opportunities for people to become more certain of the reality of global warming, or does prior belief certainty shape people’s perceptions of impacts through a process of motivated reasoning? We use data from a nationally representative sample of Americans surveyed first in 2008 and again in 2011; these longitudinal data allow us to evaluate the causal relationships between belief certainty and perceived experience, assessing the impact of each on the other over time. Among the full survey sample, we found that both processes occurred: ‘experiential learning’, where perceived personal experience of global warming led to increased belief certainty, and ‘motivated reasoning’, where high belief certainty influenced perceptions of personal experience. We then tested and confirmed the hypothesis that motivated reasoning occurs primarily among people who are already highly engaged in the issue whereas experiential learning occurs primarily among people who are less engaged in the issue, which is particularly important given that approximately 75% of American adults currently have low levels of engagement.</t>
  </si>
  <si>
    <t>Personal Values and Commitment to Energy Conservation</t>
  </si>
  <si>
    <t>Technological Innovations and the Promotion of Energy Conservation: The Case of Goal-Setting and Feedback</t>
  </si>
  <si>
    <t>Neuman, K.</t>
  </si>
  <si>
    <t>Völlink, T., &amp; Meertens, R. M.</t>
  </si>
  <si>
    <t>User Behavior and Technology Development: Shaping Sustainable Relations Between Consumers and Technologies</t>
  </si>
  <si>
    <t>http://link.springer.com/chapter/10.1007%2F978-1-4020-5196-8_14#page-1</t>
  </si>
  <si>
    <t>Human values represent an important but neglected level of analysis in the study of energy conservation behavior...  </t>
  </si>
  <si>
    <t>Two studies examining the effects of goal setting and feedback</t>
  </si>
  <si>
    <t>Technological innovations and the promotion of #energy #conservation The Case of Goal-Setting and Feed http://ow.ly/Xs6go</t>
  </si>
  <si>
    <t>Food - Organic/sustainable</t>
  </si>
  <si>
    <t>Subjective norms, attitudes and intentions of Finnish consumers in buying organic food</t>
  </si>
  <si>
    <t xml:space="preserve">Tarkiainen, A., &amp; Sundqvist, S. </t>
  </si>
  <si>
    <t>British Food Journal</t>
  </si>
  <si>
    <t>How warm days increase belief in global warming</t>
  </si>
  <si>
    <t>Zaval, L., Keenan, E. A., Johnson, E. J., &amp; Weber, E. U.</t>
  </si>
  <si>
    <t xml:space="preserve">Climate change judgements can depend on whether today seems warmer or colder than usual, termed the local warming effect. Although previous research has demonstrated that this effect occurs, studies have yet to explain why or how temperature abnormalities influence global warming attitudes. A better understanding of the underlying psychology of this effect can help explain the public’s reaction to climate change and inform approaches used to communicate the phenomenon. Across five studies, we find evidence of attribute substitution, whereby individuals use less relevant but available information (for example, today’s temperature) in place of more diagnostic but less accessible information (for example, global climate change patterns) when making judgements. Moreover, we rule out alternative hypotheses involving climate change labelling and lay mental models. Ultimately, we show that present temperature abnormalities are given undue weight and lead to an overestimation of the frequency of similar past events, thereby increasing belief in and concern for global warming. </t>
  </si>
  <si>
    <t>Workplace interactions and fear of breast cancer: evidence from a dynamic natural experiment</t>
  </si>
  <si>
    <t>Zanella, G., &amp; Banerjee, R.</t>
  </si>
  <si>
    <t>American Economic Association</t>
  </si>
  <si>
    <t>We study a dynamic natural experiment in which groups of women are randomly exposed to breast cancer via workplace social interactions, through colleagues who are diagnosed with the disease. We find that women in such (treatment) groups reduce their propensity to perform a screening mammography by almost 14 percentage points relative to other (control) women, on a basis of 72 percentage points, in the year in which the event occurs. This impact effect slowly diminishes in the following years. The negative average treatment effect we identify masks important heterogeneity: the effect is much stronger in case of exposure to severe (as opposed to milder) forms of breast cancer, is larger for younger and healthier women, and is much weaker and much less persistent for medical doctors and nurses. We interpret these results through the lens of a simple expected utility model and existing “mechanism experiments” from the medical literature. A plausible interpretation is the presence and prevalence of short—run anticipatory feelings leading to information aversion and thus to a reduced propensity to screen when breast cancer becomes more salient.</t>
  </si>
  <si>
    <t>https://www.google.com/url?sa=t&amp;rct=j&amp;q=&amp;esrc=s&amp;source=web&amp;cd=1&amp;cad=rja&amp;uact=8&amp;ved=0CCkQFjAA&amp;url=https%3A%2F%2Fwww.aeaweb.org%2Faea%2F2013conference%2Fprogram%2Fretrieve.php%3Fpdfid%3D298&amp;ei=xmeEVYzWGsX8oASlg4CYAw&amp;usg=AFQjCNEJt0c5DdnOmF_C77fNHeXX1g9nOQ</t>
  </si>
  <si>
    <t>Neural activity predicts attitude change in cognitive dissonance</t>
  </si>
  <si>
    <t>van Veen, V., Krug, M. K., Schooler, J. W., &amp; Carter, C. S.</t>
  </si>
  <si>
    <t xml:space="preserve">Nature Neuroscience </t>
  </si>
  <si>
    <t xml:space="preserve">Brick, C., &amp; Lewis, G. J. </t>
  </si>
  <si>
    <t>When our actions conflict with our prior attitudes, we often change our attitudes to be more consistent with our actions. This phenomenon, known as cognitive dissonance, is considered to be one of the most influential theories in psychology. However, the neural basis of this phenomenon is unknown. Using a Solomon four-group design, we scanned participants with functional MRI while they argued that the uncomfortable scanner environment was nevertheless a pleasant experience. We found that cognitive dissonance engaged the dorsal anterior cingulate cortex and anterior insula; furthermore, we found that the activation of these regions tightly predicted participants' subsequent attitude change. These effects were not observed in a control group. Our findings elucidate the neural representation of cognitive dissonance, and support the role of the anterior cingulate cortex in detecting cognitive conflict and the neural prediction of attitude change.</t>
  </si>
  <si>
    <t>http://www.nature.com/neuro/journal/v12/n11/full/nn.2413.html</t>
  </si>
  <si>
    <t>The neurological facet of cognitive dissonance</t>
  </si>
  <si>
    <t>Pro-environmental attitudes and behaviors show substantial individual differences, and exploring their predictors can help reveal the origins of pro-environmental behavior. Basic personality traits may provide a partial explanation, but it is unclear which personality traits are reliably associated with pro-environmental behaviors. This article uses a specific type of environmental behavior, reducing greenhouse gas emissions, to clarify which personality correlates are most robustly associated with behavior, and to test mediation of those effects through attitudes. A large (N = 345) sample of United States adults representative in age, gender, and ethnicity completed the 100-item HEXACO personality inventory, a novel self-report measure of behaviors that reduce greenhouse gas emissions, and scales of environmental and political attitudes. Accounting for demographics, emissions-reducing behaviors were most strongly predicted by Openness, Conscientiousness, and Extraversion, and these effects of personality were mediated by attitudes toward the natural environment. These observations broaden the understanding of the etiology of environmental attitudes and behavior.
</t>
  </si>
  <si>
    <t>http://eab.sagepub.com/content/early/2014/10/14/0013916514554695.abstract</t>
  </si>
  <si>
    <t>Why We Don’t Spend Enough on Public Health</t>
  </si>
  <si>
    <t>Hemenway, D.</t>
  </si>
  <si>
    <t>New England Journal of Medicine</t>
  </si>
  <si>
    <t xml:space="preserve">Ordinary - Call attention to society's expectations </t>
  </si>
  <si>
    <t>Park signs and visitor behavior: A research summary</t>
  </si>
  <si>
    <t>Winter, P. L.</t>
  </si>
  <si>
    <t>Park Science</t>
  </si>
  <si>
    <t>How to go beyond social marketing</t>
  </si>
  <si>
    <t>Climate Outreach &amp; Information Network (COIN)</t>
  </si>
  <si>
    <t>http://talkingclimate.org/guides/how-to-go-beyond-social-marketing/</t>
  </si>
  <si>
    <t>Victim identification effect</t>
  </si>
  <si>
    <t>native plants</t>
  </si>
  <si>
    <t xml:space="preserve">Implications of Current Ecological Thinking for Biodiversity Conservation: a Review of the Salient Issues </t>
  </si>
  <si>
    <t>Wallington, T. J., R. J. Hobbs, and S. A. Moore</t>
  </si>
  <si>
    <t xml:space="preserve">Given escalating concern worldwide about the loss of biodiversity, and given biodiversity’s centrality to quality of life, it is imperative that current ecological knowledge fully informs societal decision making. Over the past two decades, ecological science has undergone many significant shifts in emphasis and perspective, which have important implications for how we manage ecosystems and species. In particular, a shift has occurred from the equilibrium paradigm to one that recognizes the dynamic, non- equilibrium nature of ecosystems. Revised thinking about the spatial and temporal dynamics of ecological systems has important implications for management. Thus, it is of growing concern to ecologists and others that these recent developments have not been translated into information useful to managers and policy makers. Many conservation policies and plans are still based on equilibrium assumptions. A fundamental difficulty with integrating current ecological thinking into biodiversity policy and management planning is that field observations have yet to provide compelling evidence for many of the relationships suggested by non-equilibrium ecology. Yet despite this scientific uncertainty, management and policy decisions must still be made. This paper was motivated by the need for considered scientific debate on the significance of current ideas in theoretical ecology for biodiversity conservation. This paper aims to provide a platform for such discussion by presenting a critical synthesis of recent ecological literature that (1) identifies core issues in ecological theory, and (2) explores the implications of current ecological thinking for biodiversity conservation. </t>
  </si>
  <si>
    <t>Incorporating Value Trade-offs into Community-Based Environmental Risk Decisions</t>
  </si>
  <si>
    <t>Gregory, R.</t>
  </si>
  <si>
    <t>Environment and Society</t>
  </si>
  <si>
    <t xml:space="preserve">Although much attention has been given to the role of community stakeholders in developing environmental risk-management policies, most local and national initiatives are better known for their failings than their successes. One reason for this continuing difficulty, we contend, is a reluctance to address the many difficult value trade-offs that necessarily arise in the course of creating and evaluating alternative risk-management options. In this paper we discuss six reasons why such trade-offs are difficult and, for each, present helpful tech- niques from the decision sciences along with case study examples of successful applications. </t>
  </si>
  <si>
    <t xml:space="preserve">Introduction to the special issue: Place, identity and environmental behaviour </t>
  </si>
  <si>
    <t>Devine-Wright, P., &amp; Clayton, S.</t>
  </si>
  <si>
    <t xml:space="preserve">Research on identity has proliferated in recent decades, particularly within environmental psychology; the physical environment has been shown to have strong connections to a sense of self, and identity has proved to be an important mediator of behaviour. The concept of identity has been defined and measured, however, in a wide variety of ways. The goal of this special issue is to present some of the recent work tying identity to place and behaviour. In our opening essay we describe some of the distinctions among approaches to identity at different levels of specificity and scale and suggest some criteria to determine meaningful sources of identity, including impacts on cognitive processing, emotional responses, and behaviour. Although a monolithic framework is neither practical nor desirable, we encourage greater conceptual and methodological integration in future research on the intercon- nections among place, identity, and behaviour. </t>
  </si>
  <si>
    <t>Social psychology and the stimulation of recycling behaviors: The block leader approach.</t>
  </si>
  <si>
    <t>Burn, S. M.</t>
  </si>
  <si>
    <t xml:space="preserve">The Natural Environment as a Primary Stakeholder: the Case of Climate Change </t>
  </si>
  <si>
    <t xml:space="preserve">Haigh, N., &amp; Griffiths, A. </t>
  </si>
  <si>
    <t xml:space="preserve">Business Strategy and the Environment </t>
  </si>
  <si>
    <t>LADWP Consumer Engagement Platform: Overcoming Behavioral Barriers to Efficient Residential Water Consumption</t>
  </si>
  <si>
    <t>Bennett, T., Jessup, K., Johnsen, S., &amp; McKanna, K. C.</t>
  </si>
  <si>
    <t>UCLA Luskin School of Public Affairs</t>
  </si>
  <si>
    <t>http://luskin.ucla.edu/sites/default/files/Water%20Consumption%20Bennett%20Jessup%20Johnsen%20McKanna%20APP%20FINAL5-6.pdf</t>
  </si>
  <si>
    <t xml:space="preserve">In this paper, we review the debate surrounding whether or not the natural environment should be considered an organizational stakeholder. We argue for a broad definition of stakeholders, and present a case for the natural environment being an easily identifiable primary stakeholder when climate change is brought into the debate. We develop a con- ceptual stakeholder identification framework by combining and extending the work of Mitchell, Agle and Wood, and Driscoll and Starik. We approach the stakeholder issue from a strategic rather than moral or ethical perspective. In particular, we contend that power, legitimacy, urgency and proximity are combined when climatic changes, such as increas- ingly frequent anomalous extreme weather, can damage business infrastructure, resources, products and market, overshadowing moral and ethical aspects of the debate. We also identify key implications for business and policymakers, and highlight opportunities for future research. </t>
  </si>
  <si>
    <t>Energy saving</t>
  </si>
  <si>
    <t>Final report of the energy neighbourhoods challenge</t>
  </si>
  <si>
    <t>Jo Leinen</t>
  </si>
  <si>
    <t>Energy neighbourhoods2 project</t>
  </si>
  <si>
    <t>"The basis of the challenge was to form teams of 5-12 households who were prepared to challenge themselves to reduce their energy consumption and to compete with other teams."</t>
  </si>
  <si>
    <t>Do People Like Nudges?</t>
  </si>
  <si>
    <t>Serious games for energy social science research</t>
  </si>
  <si>
    <t xml:space="preserve"> Sunstein, C.R.</t>
  </si>
  <si>
    <t xml:space="preserve">Wood, G., Horst, D. V. D., Day, R., Bakaoukas, A. G., Petridis, P., …, &amp; Pisithpunth, C. </t>
  </si>
  <si>
    <t>Technology Analysis &amp; Strategic Management</t>
  </si>
  <si>
    <t>This paper proposes a set of criteria for evaluation of serious games (SGs) which are intended as effective methods of engaging energy users and lowering consumption. We discuss opportunities for using SGs in energy research which go beyond existing feedback mechanisms, including use of immersive virtual worlds for learning and testing behaviours, and sparking conversations within households. From a review of existing SG evaluation criteria, we define a tailored set of criteria for energy SG development and evaluation. The criteria emphasise the need for the game to increase energy literacy through applicability to real-life energy use/management; clear, actionable goals and feedback; ways of comparing usage socially and Relatable relevance. Three existing energy games are evaluated according to this framework. The paper concludes by outlining directions for future development of SGs as an effective tool in social science research, including games which inspire reflection on trade-offs and usage at different scales.</t>
  </si>
  <si>
    <t>http://dx.doi.org/10.1080/09537325.2014.978277</t>
  </si>
  <si>
    <t>Feedback = Yes; Salient = No</t>
  </si>
  <si>
    <t xml:space="preserve">energy and gamification &amp; </t>
  </si>
  <si>
    <t>In recent years, there has been a great deal of debate about the ethical questions associated with “nudges,” understood as approaches that steer people in certain directions while maintaining their freedom of choice. Evidence about people’s views cannot resolve the ethical questions, but in democratic societies (and nondemocratic ones as well), those views will inevitably affect what public officials are willing to do. Existing evidence, including a nationally representative survey, supports six general conclusions. First, there is widespread support for nudges of the kind that democratic societies have adopted or seriously considered in the recent past; surprisingly, that support can be found across partisan lines. While people tend to have serious objections to mandates as such, they do not have similar objections to nudges. Second, the support evaporates when people suspect the motivations of those who are engaged in nudging, and when they fear that because of inertia and inattention, citizens might end up with outcomes that are inconsistent with their interests or their values. Third, there appears to be somewhat greater support for nudges that appeal to conscious, deliberative thinking than for nudges that affect subconscious or unconscious processing, though this conclusion is highly qualified, and there can be widespread approval of the latter as well (especially if they are meant to combat self-control problems). Fourth, people’s assessment of nudges in general will be greatly affected by the political valence of the particular nudges that they have in mind (or that are brought to their minds). Fifth, transparency about nudging will not, in general, reduce the effectiveness of nudges, because most nudges are already transparent, and because people will not, in general, rebel against nudges. Sixth, there is preliminary but suggestive evidence of potential “reactance” against certain nudges.</t>
  </si>
  <si>
    <t>http://papers.ssrn.com/sol3/papers.cfm?abstract_id=2604084</t>
  </si>
  <si>
    <t xml:space="preserve">Estimating the Reproducibility of Psychological Science </t>
  </si>
  <si>
    <t xml:space="preserve">Open science collaboration </t>
  </si>
  <si>
    <t>Nosek, B.</t>
  </si>
  <si>
    <t>One of the central goals in any scientific endeavor is to understand causality. Experiments that seek to demonstrate a cause/effect relation most often manipulate the postulated causal factor. Aarts et al. describe the replication of 100 experiments reported in papers published in 2008 in three high-ranking psychology journals. Assessing whether the replication and the original experiment yielded the same result according to several criteria, they find that about one-third to one-half of the original findings were also observed in the replication study.</t>
  </si>
  <si>
    <t>http://science.sciencemag.org/content/349/6251/aac4716</t>
  </si>
  <si>
    <t>False-Positive Psychology: Undisclosed Flexibility in Data Collection and Analysis Allows Presenting Anything as Significant</t>
  </si>
  <si>
    <t>Simmons, J. P., Nelson, L. D., &amp; Simonsohn, U.</t>
  </si>
  <si>
    <t>SAGE Publications</t>
  </si>
  <si>
    <t>In this article, we accomplish two things. First, we show that despite empirical psychologists’ nominal endorsement of a low rate of false-positive findings (≤ .05), flexibility in data collection, analysis, and reporting dramatically increases actual false-positive rates. In many cases, a researcher is more likely to falsely find evidence that an effect exists than to correctly find evidence that it does not. We present computer simulations and a pair of actual experiments that demonstrate how unacceptably easy it is to accumulate (and report) statistically significant evidence for a false hypothesis. Second, we suggest a simple, low-cost, and straightforwardly effective disclosure-based solution to this problem. The solution involves six concrete requirements for authors and four guidelines for reviewers, all of which impose a minimal burden on the publication process.</t>
  </si>
  <si>
    <t>http://pss.sagepub.com/content/22/11/1359.full.pdf</t>
  </si>
  <si>
    <t xml:space="preserve">on reporting bias </t>
  </si>
  <si>
    <t>Evaluating Energy Conservation Programs: Is Verbal Report Enough</t>
  </si>
  <si>
    <t>Geller, S. E.</t>
  </si>
  <si>
    <t>https://www.jstor.org/stable/2488892?seq=1#page_scan_tab_contents</t>
  </si>
  <si>
    <t xml:space="preserve">Obesity: Can behavioral economics help? </t>
  </si>
  <si>
    <t xml:space="preserve">Just, D. R., &amp; Payne, C. R. </t>
  </si>
  <si>
    <t>Annals of Behavioral Medicine</t>
  </si>
  <si>
    <t>Consumers regularly and predictably behave in ways that contradict standard assumptions of economic analysis such that they make decisions that prevent them from reaching rationally intended goals. These contradictions play a significant role with respect to consumers' food decisions and the effect these decisions have on their health.</t>
  </si>
  <si>
    <t>Shared Perceptions: Morality is Embedded in Social Contexts</t>
  </si>
  <si>
    <t>Using Feedback to Increase Drop-off Recycling Participation</t>
  </si>
  <si>
    <t>Aceti, J., &amp; McKenzie-Mohr, D.</t>
  </si>
  <si>
    <t>Carnes, N., Lickel, B., &amp; Janoff-Bulman, r.</t>
  </si>
  <si>
    <t>SPSP Character &amp; Context</t>
  </si>
  <si>
    <t>Morality helps make social life possible, but social life is embedded in many social contexts. Research on morality has generally neglected this and instead has emphasized people’s general beliefs. We therefore investigated the extent to which different moral principles are perceived as embedded in social contexts. We conducted two studies investigating how diverse social contexts influence beliefs about the operative moral principles in distinct group types. Study 1 examined these perceptions using a within-subjects design, whereas Study 2 utilized a between-subjects design. We found a high degree of consensus among raters concerning the operative moral principles in groups, and each group type was characterized by a qualitatively distinct pattern of applicable moral principles. Political orientation, a focus of past research on morality, had a small influence on beliefs about operative moral principles. The implications of these findings for our understanding of morality and its functional role in groups are discussed.</t>
  </si>
  <si>
    <t>Commitment and Voluntary Energy Conservation</t>
  </si>
  <si>
    <t xml:space="preserve">Pallak, M., &amp; Cummings, W. </t>
  </si>
  <si>
    <t xml:space="preserve">Personality and Social Psychology </t>
  </si>
  <si>
    <t>Homeowners were interviewed and expected to be either personally identified (public commitment) or not identified (private commitment) as having agreed to attempt energy conservation. The response measure of energy usage was provided by utility-meter readings for the month following the interview. Homeowners under public commitment showed a lower rate of increase in the use levels for both natural gas (Experiment I) and electricity (Experiment II) than under private commitment or in the control (no interview condition). Results from a set of self-monitoring conditions suggested that conservation may be related to increased attention to energy use levels.</t>
  </si>
  <si>
    <t>http://psp.sagepub.com/content/2/1/27.short</t>
  </si>
  <si>
    <t>Public commitment better than private</t>
  </si>
  <si>
    <t xml:space="preserve">Commitment and Voluntary #Energy Conservation http://ow.ly/Xs6oU </t>
  </si>
  <si>
    <t>Results suggested that #energy conservation may be related to increased attention to energy use levels. http://ow.ly/Xs6ul</t>
  </si>
  <si>
    <t>Toward a positive theory of consumer choice</t>
  </si>
  <si>
    <t xml:space="preserve">Thaler, R. H. </t>
  </si>
  <si>
    <t xml:space="preserve">The economic theory of the consumer is a combination of positive and normative theories. Since it is based on a rational maximizing model it describes how consumers should choose, but it is alleged to also describe how they do choose. This paper argues that in certain well-defined situations many consumers act in a manner that is inconsistent with economic theory. In these situations economic theory will make systematic errors in predicting behavior. Kahneman and Tversky's prospect theory is proposed as the basis for an alternative descriptive theory. Topics discussed are: underweighting of opportunity costs, failure to ignore sunk costs, search behavior, choosing not to choose and regret, and precommitment and self-control. </t>
  </si>
  <si>
    <t>What’s bad is easy: Taboo values, affect, and cognition</t>
  </si>
  <si>
    <t xml:space="preserve">Lichtenstein, S., Gregory, R. S., &amp; Irwin, J. R. </t>
  </si>
  <si>
    <t xml:space="preserve">Energy - Electricity, Energy - Non-renewables </t>
  </si>
  <si>
    <t>Commitments and Voluntary Energy Conservation</t>
  </si>
  <si>
    <t>Some decision situations are so objectionable or repugnant that people refuse to make a choice. This paper seeks to better understand taboo responses, and to distinguish choices that are truly taboo from those that are merely difficult or confusing. Using 22 scenarios that describe potentially taboo issues, Experiment 1 explores reasons for disapproval of the scenarios. We measure a large number of possible reasons for disapproval and a variety of preference responses (including willingness to accept), in order to test for subtleties in taboo responses. We also test cognitive and affective responses to the scenarios. Experiment 2 further explores the interaction, found in Experiment 1, between affective and cognitive factors. Taken as a whole, our results show that people are able to indicate their disapproval consistently across a variety of preference elicitation methods, that their disapproval is better understood as an attitude measure than as an economic valuation (even when the measure is in monetary terms), and that taboo responses are driven primarily by affect.</t>
  </si>
  <si>
    <t>Pallak, M., David A. C., &amp; John J. S.</t>
  </si>
  <si>
    <t>Policy Studies Annual Review 4.</t>
  </si>
  <si>
    <t>https://books.google.com/books?hl=en&amp;lr=&amp;id=TFsnqmk97csC&amp;oi=fnd&amp;pg=PA352&amp;dq=commitment+setting+conservation&amp;ots=KFtD_MI7DD&amp;sig=2cZANhTPJb_zkYRDjWDoVT_ojPk#v=onepage&amp;q=commitment%20setting%20conservation&amp;f=false</t>
  </si>
  <si>
    <t xml:space="preserve">Overview of commitment </t>
  </si>
  <si>
    <t xml:space="preserve">An overview of commitment and #energy #conservation  http://ow.ly/XwxBA </t>
  </si>
  <si>
    <t>Non-environmental (Internet use)</t>
  </si>
  <si>
    <t>Defaults, framing, and privacy: Why opting in opting out</t>
  </si>
  <si>
    <t xml:space="preserve">Johnson, E. J., Bellman, S., &amp; Lohse, G. L. </t>
  </si>
  <si>
    <t>Differences in opt-in and opt-out responses are an important element of the current public debate concerning online privacy and more generally for permission marketing. We explored the issue empirically. Using two on-line experiments we show that the default has a major role in determining revealed preferences for further contact with a Web site. We then explore the origins of these differences showing that both framing and defaults have separate and additive effects in affecting the construction of preferences.</t>
  </si>
  <si>
    <t xml:space="preserve">Easy - Reduce hassle factors </t>
  </si>
  <si>
    <t>Waste management - Garbage</t>
  </si>
  <si>
    <t>The First Case of the Application of the ‘Zero Waste Strategy’ in Italy (and Other Measures to Reduce our Ecological Footprint)</t>
  </si>
  <si>
    <t>Murano, S.</t>
  </si>
  <si>
    <t>Inclusive Cities Observatory</t>
  </si>
  <si>
    <t>Human Health - Sustainable lifestyle</t>
  </si>
  <si>
    <t>Sustatnable</t>
  </si>
  <si>
    <t>"Helping People Make Better Choices": Exploring the Behavior Change Agenda for Environmental Sustainability</t>
  </si>
  <si>
    <t>Barr, S., Gilg, A., &amp; Shaw, G.</t>
  </si>
  <si>
    <t>Applied Geography</t>
  </si>
  <si>
    <t>Compliance with a Request in Two Cultures: The Differential Influence of Social Proof and Commitment/Consistency on Collectivists and Individuals</t>
  </si>
  <si>
    <t>Cialdini, R. B., Wosinska, W., Barrett, D. W., Butner, J., &amp; Gornik-Durose, M.</t>
  </si>
  <si>
    <t>This paper examines the emergence of market-orientated approaches to public participation in environmental issues through an exploration of recent empirical research into ‘sustainable lifestyles’ as a practical tool for encouraging pro-environmental behaviour. Using the notion of ‘sustainable lifestyles’, current social marketing policies seek to encourage behaviour change amongst citizens by identifying population segments with similar commitments to environmental practices as the basis for behaviour change initiatives. However, the use of static ‘lifestyle groups’ implies that that citizens replicate sustainable practices across different consumption contexts and this paper explores this line of argument through the use of data collected as part of a recent UK Department for the Environment, Food and Rural Affairs (DEFRA) funded research project on sustainable lifestyles and climate change. Through a series of focus group discussions, participants explored notions of sustainable practices using the home and leisure contexts as framing devices to explore issues of environmental responsibility and climate change. The emphasis placed on practices and context reveal that the comfortable notions of environmental responsibility and sustainable consumption in the home are often in conflict with the discourses of consumption reduction associated with climate change in leisure and tourism contexts. In many cases, these ‘paradoxes’ are explicitly referred to, reflected-upon and discussed by participants who demonstrate that notions of sustainable practice are mediated by practice and spaces of consumption. Accordingly, the paper argues that in conceptualising market-based approaches to behaviour change around the notion of ‘sustainable lifestyles’, researchers and policy makers need to address the role of context and recognise the importance of consumption spaces and the conflicts that may arise between these.</t>
  </si>
  <si>
    <t>University students in Poland and the United States, two countries that differ in individualistic-collectivistic orientation, indicated their willingness to comply with a request to participate without pay in a marketing survey. Half were asked to do so after considering information regarding their own history of compliance with such requests, whereas the other half were asked to do so after considering information regarding their peers’ history of such compliance. This was designed to assess the impact of two social influence principles (commitment/consistency and social proof, respectively) on participants’ decisions. As expected, although both principles were influential across cultures, the commitment/consistency principle had greater impact on Americans, whereas the social proof principle had greater impact on Poles. Additional analyses indicated that this effect was due principally, but not entirely, to participants’ Relatable individualistic-collectivistic orientations rather than to the dominant individualistic-collectivistic orientation of their cultures.</t>
  </si>
  <si>
    <t>http://psp.sagepub.com/content/25/10/1242.short</t>
  </si>
  <si>
    <t>Motivations for commitment vary across individual and cultural orientation</t>
  </si>
  <si>
    <t xml:space="preserve">‘Helping People Make Better Choices’: Exploring the #behavior change agenda for #environmental #sustainability http://ow.ly/X5w2H </t>
  </si>
  <si>
    <t>Energy - Renewable</t>
  </si>
  <si>
    <t>Internal and external influences on pro-environmental behavior: Participation in a green electricity program</t>
  </si>
  <si>
    <t xml:space="preserve">Clark, C. F., Kotchen, M. J., &amp; Moore, M. R. </t>
  </si>
  <si>
    <t>This paper integrates themes from psychology and economics to analyze pro-environmental behavior. Increasingly, both disciplines share an interest in understanding internal and external influences on behavior. In this study, we analyze data from a mail survey of participants and non-participants in a premium-priced, green electricity program. Internal variables consist of a newly developed scale for altruistic attitudes based on the Schwartz norm-activation model, and a modified version of the New Ecological Paradigm scale to measure environmental attitudes. External variables consist of household income and standard socio-demographic characteristics. The two internal variables and two external variables are significant in a logit model of the decision to participate in the program. We then focus on participants in the program and analyze their specific motives for participating. These include motives relating to several concerns: ecosystem health, personal health, environmental quality for residents in southeastern Michigan, global warming, and warm-glow (or intrinsic) satisfaction. In a statistical ranking of the importance of each motive, a biocentric motive ranks first, an altruistic motive ranks second, and an egoistic motive ranks third.</t>
  </si>
  <si>
    <t xml:space="preserve">This paper integrates themes from psych. &amp; #economics to analyze pro-environmental #behavior http://ow.ly/X5w8R </t>
  </si>
  <si>
    <t>Mandated choice: A plan to increase public commitment to organ donation</t>
  </si>
  <si>
    <t xml:space="preserve">Spital, A. </t>
  </si>
  <si>
    <t>Journal of the American Medical Association</t>
  </si>
  <si>
    <t>To estimate the impact of mandated choice--a system that requires competent adults to decide prospectively whether or not they wish to be organ donors when they die--on public commitment to organ donation; and to explore who is best suited to provide consent--the family or the individual?</t>
  </si>
  <si>
    <t>irigation practices</t>
  </si>
  <si>
    <t>Agrometeorological support of fruit production: application in SW Slovenia</t>
  </si>
  <si>
    <t>Sušnik, A., Matajc, I., &amp; Kodrič, I.
, Iztok Matajc1
&amp; Ivan Kodricˇ
2</t>
  </si>
  <si>
    <t>Environmental Agency of the Republic of Slovenia</t>
  </si>
  <si>
    <t>Fruit growing in Slovenia has become one of the more important agricultural production branches over
the last two decades. Due to climate variability over a relatively small area of 20,000 km2, irrigation
practices are not only important but also indispensable agrotechnical measures for obtaining permanent,
high quality crop yields in the northeastern and southwestern parts of the country. Hence, accurate
estimation of water consumption by agricultural crops with the inclusion of metorological monitoring is
essential in the field of water management. As a decision support tool, the Slovenian Agrometeorological
Information System (SAgMIS) developed by Agrometeorological Department in the Environmental
Agency of the Republic of Slovenia (EARS) and introduced 10 years ago has improved significally over
the last two years. Transfer of actual and forecasted agrometeorological data to the end users has been
quick and accurate, with the last version of mobile data dissemination in testing use. A case study of
water use by irrigated peach trees in the plantation orchards of lower Vipava valley was undertaken
from 1996 to 2004. A variety of irrigation systems with diverse irrigation water applications was
introduced for the purposes of studying irrigation water benefits derived from accurate weather data
and forecasts. The results showed that important savings in the amount of irrigation water used, on an
annual average of 20%, could be achieved with accurate and timely irrigation forecasts during the
vegetation periods.</t>
  </si>
  <si>
    <t>A Cognitive Dissonance Theory Perspective on Persuasion</t>
  </si>
  <si>
    <t>Harmon-Jones, E.</t>
  </si>
  <si>
    <t xml:space="preserve">Sage Publications </t>
  </si>
  <si>
    <t>http://www.socialemotiveneuroscience.org/pubs/hj2002_persuasion.pdf</t>
  </si>
  <si>
    <t>Basic overview of cognitive dissonance with original experiments</t>
  </si>
  <si>
    <t>Hypocrisy, Misattribution, and Dissonance Reduction</t>
  </si>
  <si>
    <t>Fried, C. B., &amp; Aronson, E.</t>
  </si>
  <si>
    <t>Personality and Social Psychology Bulletin</t>
  </si>
  <si>
    <t>Recent experiments involving hypocrisy have been theorized to be a form of cognitive dissonance induction. As such, hypocrisy would constitute a new experimental paradigm for dissonance induction. However, these hypocrisy studies are open to alternative explanations. The present study attempts to rule out these alternative explanations by providing independent evidence that hypocrisy is a form of cognitive dissonance arousal. In the present study, a 2×2 design manipulates whether hypocrisy is induced and whether subjects are given an opportunity to misattribute their arousal to external factors. If hypocrisy is a form of dissonance, the misattribution manipulation should reduce behavior changes brought on by the induction of hypocrisy. The results support the predictions.</t>
  </si>
  <si>
    <t>http://psp.sagepub.com/content/21/9/925.short</t>
  </si>
  <si>
    <t>The barriers to energy efficiency in China: Assessing household electricity savings and consumer behavior in Liaoning Province</t>
  </si>
  <si>
    <t>Inducing hypocrisy to create change</t>
  </si>
  <si>
    <t>Dianshu, F., Sovacool, B., &amp; Vu, K. M.</t>
  </si>
  <si>
    <t>This article investigates the barriers to energy efficiency at the residential sector within one province in China and explores patterns of household electricity consumption. The article presents the results of a survey questionnaire distributed to more than 600 households in Liaoning Province, field research at various Liaoning government agencies, and research interviews of Liaoning government officials to determine the efficacy of their energy efficiency efforts in China. It then investigates the extent that electricity consumers have taken advantage of energy efficiency opportunities relating to more efficient lights, water heaters, appliances, air-conditioners and heaters, and better energy-efficiency labels. The article also assesses the degree that electricity users have become more aware about electricity prices and their levels of consumption, and touches on the connection between rising levels of income and electricity use. It concludes by providing recommendations for how to improve efforts to promote conservation and reduce electricity load growth in Liaoning Province and beyond.</t>
  </si>
  <si>
    <t>Understanding and Influencing Behaviors in Conservation and Natural Resources Management</t>
  </si>
  <si>
    <t>Byers, B. A</t>
  </si>
  <si>
    <t>Washington, DC: Biodiversity Support Program</t>
  </si>
  <si>
    <t>This chapter will set the stage for the chapters that follow by introducing some key themes. First, we explain why we have chosen to emphasize behavior—the decisions, practices, and actions of people, both as individuals and in groups. We then discuss why social assessment and research is necessary to understand the social context of behaviors and to overcome the biases and test the assumptions of conservation practitioners. Next, we consider participation and explain why it is essential for understanding and influencing conservation behavior. Finally, we discuss the values that underlie and motivate conservation and natural resources management. For reasons explained in the section on values, we view “conservation” and “sustainable natural resources management” as the same thing; those terms will be used interchangeably throughout this report.</t>
  </si>
  <si>
    <t xml:space="preserve">Individual Environmental Responsibility and its Role in Public Environmentalism </t>
  </si>
  <si>
    <t>Eden, S. E.</t>
  </si>
  <si>
    <t>Environment and Planning</t>
  </si>
  <si>
    <t>Individual environmental responsibility has been used by business and government in promoting public environmentalism through, for example, green consumerism, passive membership of environmental groups, and domestic recycling. Such responsibility has not yet been adequately addressed in academic work, although associated concepts of environmental concern, values, and behaviour have been studied in the last two decades. The author therefore looks at the role of environmental responsibility in public environmentalism and particularly at how this notion is articulated by individuals involved in a range of pro-environmental behaviours. Environmental responsibility is shown to be most significant where an individual believes in the efficacy of their pro-environmental behaviour and where the self is perceived to be a responsible agent compared with other social agents. The translation of this environmental responsibility into consistent behaviour proves to be complex and dependent upon the individual's social context as well as upon organised environmentalism.</t>
  </si>
  <si>
    <t>http://epn.sagepub.com/content/25/12/1743.short</t>
  </si>
  <si>
    <t>Maybe</t>
  </si>
  <si>
    <t>Self-Efficacy</t>
  </si>
  <si>
    <t>Bandura, A.</t>
  </si>
  <si>
    <t>Corsini Encyclopedia of Psychology</t>
  </si>
  <si>
    <t>Perceived self-efficacy is concerned with people's beliefs in their ability to influence events that affect their lives. This core belief is the foundation of human motivation, performance accomplishments, and emotional well-being (Bandura, 1997, 2006). Unless people believe they can produce desired effects by their actions, they have little incentive to undertake activities or to persevere in the face of difficulties. Whatever other factors may serve as guides and motivators, they are rooted in the core belief that one can make a difference by one's actions.</t>
  </si>
  <si>
    <t>http://onlinelibrary.wiley.com/doi/10.1002/9780470479216.corpsy0836/abstract?userIsAuthenticated=false&amp;deniedAccessCustomisedMessage=</t>
  </si>
  <si>
    <t>To Practice What We Preach: The Use of Hypocrisy and Cognitive Dissonance to Motivate Behavior Change</t>
  </si>
  <si>
    <t>Stone, J., &amp; Fernadez, N. C.</t>
  </si>
  <si>
    <t>Social and Personality Psychology Compass</t>
  </si>
  <si>
    <t>When people fail to practice what they preach, their act of hypocrisy can induce cognitive dissonance and the motivation to change their behavior. The current paper examines the evidence for this assumption by reviewing and analyzing the research that has used the hypocrisy procedure to influence the performance of pro-social behaviors related to health, the environment, and interpersonal relations. The first section looks at the evidence for the claim that hypocrisy motivates behavior change as opposed to other forms of dissonance reduction
such as attitude change. We then review studies that suggest that the induction of hypocrisy exerts its greatest effect on behavior change when people publicly advocate the importance of the target course of action and are then privately reminded of their own recent Relatable failures to perform the target behavior. A third section discusses the limitations to the current body of work and important directions for future research. Finally, the paper concludes with a discussion of how the hypocrisy procedure relates to other contemporary models of behavior
change.</t>
  </si>
  <si>
    <t>http://onlinelibrary.wiley.com/doi/10.1111/j.1751-9004.2008.00088.x/pdf</t>
  </si>
  <si>
    <t>The effectiveness of hypocrisy in inducing change</t>
  </si>
  <si>
    <t>Hopeful - Provide feedback, Vivid - Make the problem stand out</t>
  </si>
  <si>
    <t>Real-time Feedback and Electricity Consumption: The Effects of Informational Prompts and Performance Feedback on Recycling Behavior</t>
  </si>
  <si>
    <t>Scholar Commons</t>
  </si>
  <si>
    <t>Recycling behavior was examined by the implementation of Informational Prompts and Performance Feedback.  Prompts containing facts on recycling and waste along with group performance feedback were studied at The Florida Mental Health Institute at The University of South Florida (Tampa campus).  Informational Prompts were introduced by placing informational facts about recycling and waste by 26 bins throughout the building.  Performance feedback signs were placed by the same bins and included the frequency of recycled material and trash discarded in the recycling bins on a daily basis when the campus was open.  The results showed that both interventions increased recycling.  Informational Prompts showed an increase in recycling and a decrease in trash placed in the recycling bin.   Performance Feedback showed a stronger increase in recycling when compared to Informational Prompts. The combination of the two produced a significant increase in the amount of recyclable material placed in the recycling bins and a decrease in the waste placed in the recycling containers.</t>
  </si>
  <si>
    <t>Cognitive Consequences of Forced Compliance</t>
  </si>
  <si>
    <t>Festinger, L., &amp; Carlsmith, J. M.</t>
  </si>
  <si>
    <t>The Journal of Abnormal and Social Psychology</t>
  </si>
  <si>
    <t>http://web.mit.edu/curhan/www/docs/Articles/15341_Readings/Motivation/Festinger_Carlsmith_1959_Cognitive_consequences_of_forced_compliance.pdf</t>
  </si>
  <si>
    <t>Seminal study on cognitive dissonance</t>
  </si>
  <si>
    <t xml:space="preserve">Hopeful, Vivid </t>
  </si>
  <si>
    <t xml:space="preserve">Hopeful - Empower the audience </t>
  </si>
  <si>
    <t xml:space="preserve">On the use of imagery for climate change engagement </t>
  </si>
  <si>
    <t>O’Neill, S. J., Boykoff, M., Niemeyer, S., &amp; Day, S. A.</t>
  </si>
  <si>
    <t>This article answers calls from scholars to attend to a research gap concerning the visual representation of climate change. We present results from three Q-methodology workshops held in Melbourne (Australia), Norwich (UK) and Boulder (USA) investigating engagement with climate change imagery drawn from mass media sources. Participants were provided with a concourse of climate change images drawn from a newspaper content analysis carried out across all three countries, and asked to carry out two Q-sorts: first, for salience (‘this image makes me feel climate change is important’) and second, for efficacy (‘this image makes me feel I can do something about climate change’). We found results remarkably consistent both across and within country cohorts. This may indicate the presence of a dominant, mainstream discourse around climate imagery. We found that imagery of climate impacts promotes feelings of salience, but undermines self-efficacy; that imagery of energy futures imagery promotes self-efficacy; and that images of politicians and celebrities strongly undermine saliency, and undermine self-efficacy for the Australian cohort. These results, if widely replicable, have implications for climate change communication and engagement. Our results suggest that imagery plays a role in either increasing the sense of importance of the issue of climate change (saliency), or in promoting feelings of being able to do something about climate change (efficacy) – but few, if any, images seem to do both. Communications strategies should assess the purpose of their messages, considering these findings regarding salience and efficacy in this study, and choose to employ images accordingly.</t>
  </si>
  <si>
    <t>Energy-Related Behaviors in Office Buildings: A Qualitative Study on Individual and Organisational Determinants</t>
  </si>
  <si>
    <t>Lo, S. H., Peters, G. Y., &amp; Kok, G.</t>
  </si>
  <si>
    <t>An analysis of individual and organisational determinants of energy-related behaviors in office buildings and the interplay between the two is presented. Interviews and focus groups were conducted with office workers from four organisations in two Dutch provinces. The results indicate that, overall, work efficiency and productivity was prioritised over energy conservation. In general, self-efficacy was the most salient individual determinant, and social norm the least discussed determinant of current office energy-related behaviors. Nevertheless, both self-efficacy and social norm elements were encountered in employees' proposed strategies to achieve future office energy-saving. Formal and informal aspects of the organisational context were found to equally affect individual determinants and their related behaviors. Facility managers' and general office workers' views differed in a few but important ways. Interorganisational comparisons showed that differences in organisational foci were linked to the relative salience of normative, gain, and hedonic motivations.</t>
  </si>
  <si>
    <t>Talks about individual and organizational determinants of energy-related behaviors in office buildings. Data comes from interviews and focus groups</t>
  </si>
  <si>
    <t>Climate - Belief, Climate - General</t>
  </si>
  <si>
    <t>The Scrooge effect revisited: Mortality salience increases the satisfaction derived from prosocial behavior</t>
  </si>
  <si>
    <t>Zaleskiewicz, T., Gasiorowska, A., &amp; Kesebir, P.</t>
  </si>
  <si>
    <t>Future lock-in: Future implementation increases selection of 'should' choices</t>
  </si>
  <si>
    <t xml:space="preserve">Rogers, T., &amp; Bazerman, M. H., </t>
  </si>
  <si>
    <t>According to terror management theory, people deal with the potential for anxiety that results from the knowledge of the inevitability of death by holding on to sources of value that exist within their cultural worldview. Acting prosocially is one such source of value, and previous research suggests that reminders of mortality increase the desire for prosociality. In three studies, we tested the hypothesis that mortality reminders would lead to more generous allocation of financial resources and to more satisfaction derived from acting generously. Using the dictator game (Study 1), the ultimatum game (Study 2), and a quasi-naturalistic giving situation (Study 3) we showed that participants reminded of their mortality were not only more generous but also more satisfied the more money they donated. Moreover, Study 3 demonstrated that people reminded of their mortality derived higher satisfaction from prosocial behavior and such behavior was associated with better suppression of death-related thoughts. We conclude that acting prosocially in the face of mortality thoughts effectively soothes death anxiety and in turn produces psychological satisfaction.</t>
  </si>
  <si>
    <t>People often experience tension over certain choices (e.g., they should reduce their gas consumption or increase their savings, but they do not want to). Some posit that this tension arises from the competing interests of a deliberative ‘‘should’’ self and an affective ‘‘want’’ self. We show that people are more likely to select choices that serve the should self (should-choices) when the choices will be implemented in the distant rather than the near future. This ‘‘future lock-in’’ is demonstrated in four experiments for should-choices involving donation, public policy, and self-improvement. Additionally, we show that future lock-in can arise without changing the structure of a should-choice, but by just changing people’s temporal focus. Finally, we provide evidence that the should self operates at a higher construal level (abstract, superordinate) than the want self, and that this difference in construal partly underlies future
lock-in.</t>
  </si>
  <si>
    <t>http://www.sciencedirect.com/science/article/pii/S002210311500027X</t>
  </si>
  <si>
    <t>http://scholar.harvard.edu/todd_rogers/publications/future-lock-future-implementation-increases-selection-%E2%80%98should%E2%80%99-choices</t>
  </si>
  <si>
    <t>Should vs. want</t>
  </si>
  <si>
    <t>Motivating voter turnout by invoking the self</t>
  </si>
  <si>
    <t>Relatable - Tap into emotions</t>
  </si>
  <si>
    <t xml:space="preserve">Bryan, C. J., Walton, G. M., Rogers, T., &amp; Dweck, C. S. </t>
  </si>
  <si>
    <t>Risk as feelings</t>
  </si>
  <si>
    <t>Loewenstein, G. F., Weber, E. U., Hsee, C. K., &amp; Welch, N.</t>
  </si>
  <si>
    <t>Psychological Bulletin</t>
  </si>
  <si>
    <t xml:space="preserve">Three randomized experiments found that subtle linguistic cues have the power to increase voting and related behavior. The phrasing of survey items was varied to frame voting either as the enactment of a Relatable identity (e.g., “being a voter”) or as simply a behavior (e.g., “voting”). As predicted, the Relatable-identity phrasing significantly increased interest in registering to vote (experiment 1) and, in two statewide elections in the United States, voter turnout as assessed by official state records (experiments 2 and 3). These results provide evidence that people are continually managing their self-concepts, seeking to assume or affirm valued Relatable identities. The results further demonstrate how this process can be channeled to motivate important socially relevant behavior. </t>
  </si>
  <si>
    <t>Virtually all current theories of choice under risk or uncertainty are cognitive and consequentialist. They assume that people assess the desirability and likelihood of possible outcomes of choice alternatives and integrate this information through some type of expectation-based calculus to arrive at a decision. The authors propose an alternative theoretical perspective, the risk-as-feelings hypothesis, that highlights the role of affect experienced at the moment of decision making. Drawing on research from clinical, physiological, and other subfields of psychology, they show that emotional reactions to risky situations often diverge from cognitive assessments of those risks. When such divergence occurs, emotional reactions often drive behavior. The risk-as-feelings hypothesis is shown to explain a wide range of phenomena that have resisted interpretation in cognitive–consequentialist terms.</t>
  </si>
  <si>
    <t>http://faculty.chicagobooth.edu/christopher.hsee/vita/papers/riskasfeelings.pdf</t>
  </si>
  <si>
    <t>effect of experience on behavior</t>
  </si>
  <si>
    <t xml:space="preserve">Vivid - None </t>
  </si>
  <si>
    <t>Thinking about time as money decreases environmental behavior</t>
  </si>
  <si>
    <t>Whillans, A. V., &amp; Dunn, E. W.</t>
  </si>
  <si>
    <t>Motivating behavior through self-identity</t>
  </si>
  <si>
    <t>Surprisingly, Americans are no more likely to engage in environmental behavior today than 20 years ago. A novel explanation for this pattern may lie in the increased tendency to see time as money. Using large-scale survey data, we show that people are less likely to engage in environmental behavior if they are paid by the hour, a form of compensation that leads people to see their time as money. Using experimental methodology, we show that making the economic value of time salient reduces environmental intentions and behavior. This occurs in part because thinking about the economic value of time creates awareness of the opportunity costs associated with environmental behavior. We mitigate these effects by reframing environmental behavior as an act consistent with self-interest. Together, this research suggests that viewing time as money shapes environmental decisions, potentially shedding light on patterns of environmental behavior across time and around the world.</t>
  </si>
  <si>
    <t>http://www.sciencedirect.com/science/article/pii/S0749597814001162</t>
  </si>
  <si>
    <t xml:space="preserve">Vivid - Make it emotionally resonate </t>
  </si>
  <si>
    <t>Wildlife - Human contact</t>
  </si>
  <si>
    <t xml:space="preserve">Exploring the Influence of Emotion on Human Decision Making in Human–Wildlife Conflict </t>
  </si>
  <si>
    <t>Hudenko, H. W.</t>
  </si>
  <si>
    <t xml:space="preserve">Human decisions and behaviors influence whether human–wildlife encounters result in negative outcomes for people and wildlife. For instance, the decision to feed or to approach a bear for a photograph may foster food conditioning or habituation, processes that often lead to conflict. In this article I apply theories and frameworks from the risk and decision making literature to understand human decisions related to human–wildlife conflicts. Through a review of cognitive and affective theories of deci- sion making, I explore ways in which emotions and cognitions influence decision making related to negative human–wildlife interactions. I argue that models that integrate emo- tion are most relevant for understanding decision making in human–wildlife conflict. The ability of managers to predict human behavior in these contexts may be improved through the application of integrated models of decision making. This knowledge could help us to evaluate wildlife management regulations and inform communication efforts. </t>
  </si>
  <si>
    <t>Vivid - Make the problem stand out</t>
  </si>
  <si>
    <t>Automatic bill payment and salience effects: Evidence from electricity consumption</t>
  </si>
  <si>
    <t>Sexton, S.</t>
  </si>
  <si>
    <t>The Review of Economics and Statistics</t>
  </si>
  <si>
    <t>The introduction of automatic bill payment (ABP) programs in 2005 eliminated the need for consumers to view recurring bills. If those enrolled in ABP programs offered by utilities and other service providers forgo inspection of their recurring bills, then price salience declines, prices perceived by boundedly rational agents fall, and consumption increases. This paper considers the impact of such programs on consumer demand and welfare and empirically tests whether enrollment in such programs increases demand. Results show ABP enrollment increases residential electricity consumption by 4.0% and commercial electricity consumption by as much as 8.1%. Enrollment in programs designed to smooth seasonal variation in monthly utility bills of low-income customers results in 6.7% greater electricity use.</t>
  </si>
  <si>
    <t>http://www.mitpressjournals.org/doi/pdf/10.1162/REST_a_00465</t>
  </si>
  <si>
    <t>Whole system - Carbon footprint, Whole System - Ecosystem/Conservation</t>
  </si>
  <si>
    <t>Cognitive and Institutional Barriers to New Forms of Cooperation on Environmental Protection</t>
  </si>
  <si>
    <t>Hoffman, A., Riley, H., Troast, J., &amp; Bazerman, M.</t>
  </si>
  <si>
    <t>American Behavioral Scientist</t>
  </si>
  <si>
    <t>Many perceive the predominantly command-and-control structure of regulatory policy to be overly restrictive and inefficient in achieving America’s emerging environmental goals. In response, the U.S. government has introduced several voluntary programs to develop innovative, beyond-compliance environmental management solutions through the collaboration between government agencies and regulated entities. Yet, these programs have not gained widespread acceptance. This article analyzes the cognitive and institutional barriers to that acceptance by looking specifically at two programs—Project XL and Habitat Conservation Plans. These barriers act out of force of habit, creating a resistance to change and a rejection of new forms of regulatory policy. The authors argue that policy change requires a shift in how individuals think and how institutions guide that thinking.</t>
  </si>
  <si>
    <t>The Matthew Effect and widely prescribed pharmaceuticals lacking environmental monitoring: Case study of an exposure-assessment vulnerability</t>
  </si>
  <si>
    <t>Daughton, C. G.</t>
  </si>
  <si>
    <t>Science of the Total Environment</t>
  </si>
  <si>
    <t>Assessing ambient exposure to chemical stressors often begins with time-consuming and costly monitoring studies to establish environmental occurrence. Both human and ecological toxicology are currently challenged by the unknowns surrounding low-dose exposure/effects, compounded by the reality that exposure undoubted- ly involves mixtures of multiple stressors whose identities and levels can vary over time. Long absent from the assessment process, however, is whether the full scope of the identities of the stressors is sufficiently known. The Matthew Effect (a psychosocial phenomenon sometimes informally called the “bandwagon effect” or “iceberg effect,” among others) may adversely bias or corrupt the exposure assessment process. The Matthew Effect is evidenced by decisions that base the selection of stressors to target in environmental monitoring surveys on whether they have been identified in prior studies, rather than considering the pos- sibility that additional, but previously unreported, stressors might also play important roles in an exposure scenario. The possibility that the Matthew Effect might influence the scope of environmental stressor research is explored for the first time in a comprehensive case study that examines the preponderance of “absence of data” (in contrast to positive data and “data of absence”) for the environmental occurrence of a very large class of potential chemical stressors associated with ubiquitous consumer use — active pharmaceu- tical ingredients (APIs). Comprehensive examination of the published data for an array of several hundred of the most frequently used drugs for whether their APIs are environmental contaminants provides a prototype exam- ple to catalyze discussion among the many disciplines involved with assessing risk. The findings could help guide the selection of those APIs that might merit targeting for environmental monitoring (based on the absence of data for environmental occurrence) as well as the prescribing of those medications that might have minimal environmental impact (based on data of absence for environmental occurrence).</t>
  </si>
  <si>
    <t xml:space="preserve">Cognitive Bias - Confirmation Bias </t>
  </si>
  <si>
    <t>Effective Messages in Vaccine Promotion: A Randomized Trial</t>
  </si>
  <si>
    <t>Nyhan, B., Reifler, R., Richey, S., &amp; Freed, G. L.</t>
  </si>
  <si>
    <t>American Academy of Pediatrics</t>
  </si>
  <si>
    <t>Objectives: To test the effectiveness of messages designed to reduce vaccine misperceptions and increase vaccination rates for measles-mumps-rubella (MMR). Methods: A Web-based nationally representative 2-wave survey experiment was conducted with 1759 parents age 18 years and older residing in the United States who have children in their household age 17 years or younger (conducted June–July 2011). Parents were randomly assigned to receive 1 of 4 interventions: (1) information explaining the lack of evidence that MMR causes autism from the Centers for Disease Control and Prevention; (2) textual information about the dangers of the diseases prevented by MMR from the Vaccine Information Statement; (3) images of children who have diseases prevented by the MMR vaccine; (4) a dramatic narrative about an infant who almost died of measles from a Centers for Disease Control and Prevention fact sheet; or to a control group. Results: None of the interventions increased parental intent to vaccinate a future child. Refuting claims of an MMR/autism link successfully reduced misperceptions that vaccines cause autism but nonetheless decreased intent to vaccinate among parents who had the least favorable vaccine attitudes. In addition, images of sick children increased expressed belief in a vaccine/autism link and a dramatic narrative about an infant in danger increased self-reported belief in serious vaccine side effects. Conclusions: Current public health communications about vaccines may not be effective. For some parents, they may actually increase misperceptions or reduce vaccination intention. Attempts to increase concerns about communicable diseases or correct false claims about vaccines may be especially likely to be counterproductive. More study of pro-vaccine messaging is needed.</t>
  </si>
  <si>
    <t>http://pediatrics.aappublications.org/content/early/2014/02/25/peds.2013-2365</t>
  </si>
  <si>
    <t>Does Correcting Myths About the Flu Vaccine Work?  An Experimental Evaluation of the Effects of Corrective Information</t>
  </si>
  <si>
    <t>Vaccine</t>
  </si>
  <si>
    <t>Seasonal influenza is responsible for thousands of deaths and billions of dollars of medical costs per year in the United States, but influenza vaccination coverage remains substantially below public health targets. One possible obstacle to greater immunization rates is the false belief that it is possible to contract the flu from the flu vaccine. A nationally representative survey experiment was conducted to assess the extent of this flu vaccine misperception. We find that a substantial portion of the public (43%) believes that the flu vaccine can give you the flu. We also evaluate how an intervention designed to address this concern affects belief in the myth, concerns about flu vaccine safety, and future intent to vaccinate. Corrective information adapted from the Centers for Disease Control and Prevention (CDC) website significantly reduced belief in the myth that the flu vaccine can give you the flu as well as concerns about its safety. However, the correction also significantly reduced intent to vaccinate among respondents with high levels of concern about vaccine side effects--a response that was not observed among those with low levels of concern. This result, which is consistent with previous research on misperceptions about the MMR vaccine, suggests that correcting myths about vaccines may not be an effective approach to promoting immunization.</t>
  </si>
  <si>
    <t>http://www.sciencedirect.com/science/article/pii/S0264410X14015424</t>
  </si>
  <si>
    <t xml:space="preserve">Commitment and Energy Conservation </t>
  </si>
  <si>
    <t>Pallak, M. S., Cook, D. A., &amp; Sullivan, J. J.</t>
  </si>
  <si>
    <t xml:space="preserve">Policy Studies Review Annual </t>
  </si>
  <si>
    <t>The authors discuss the process of becoming committed to energy conservation research, then describe practical issues of field research and several data sets on household energy conservation. Their results show that taking a stand affected behavior in reducing the levels of natural gas and electricity usage, with the effect continuing even after the study ended. Although based on the assumption that homeowners were initially favorable toward energy conservation, the studies suggest that energy-related behavior is malleable and amenable to approaches familiar to psychologists. The study indicates that feedback on energy use during peak seasons could help to avoid power shortages.</t>
  </si>
  <si>
    <t>https://books.google.com/books?hl=en&amp;lr=&amp;id=TFsnqmk97csC&amp;oi=fnd&amp;pg=PA352&amp;dq=commitment%20setting%20conservation&amp;ots=KFtD_MI7DD&amp;sig=2cZANhTPJb_zkYRDjWDoVT_ojPk&amp;q=commitment%20setting%20conservation&amp;f=false#v=onepage&amp;q=commitment%20setting%20conservation&amp;f=false</t>
  </si>
  <si>
    <t>Identity - Use "implementation intentions", Lasting - Design a habit supportive environment</t>
  </si>
  <si>
    <t>Does habit strength moderate the intention–behaviour relationship in the Theory of Planned Behaviour? The case of fruit consumption</t>
  </si>
  <si>
    <t>Bruijnab, G. D., Kremersb, S. P. J., De Vetc, E., De Nooijerb, J., Van Mechelend, W., &amp; Bruga, J.</t>
  </si>
  <si>
    <t>Psychology &amp; Health</t>
  </si>
  <si>
    <t>The present study examined if habit strength moderated the influence of intention on fruit consumption in a Dutch adult sample (N = 521, 46.3% males, mean age = 34.50, SD = 10.87), using the theoretical relations of the Theory of Planned Behaviour (TPB). TPB variables and habit strength were assessed at baseline. Fruit consumption was assessed with a validated questionnaire five weeks later. Three groups were created: low habit strength (n = 180), medium habit strength (n = 185) and high habit strength (n = 156). Confirmatory factor analyses and multi-group path analyses were performed using AMOS 4.0. A good fit was obtained for the overall measurement model and the structural models. Multi-group path analyses showed that intention was a significant predictor of fruit consumption in the low habit (β = 0.36, p &lt; 0.001) and medium habit group (β = 0.30, p &lt; 0.001), but a non-significant predictor in the high habit group (β = 0.05, p = 0.596). Implications for information-based and motivation-based interventions are discussed.</t>
  </si>
  <si>
    <t>Normative Social Influence is Underdetected</t>
  </si>
  <si>
    <t>http://selfregulationlab.nl/wp-content/uploads/2012/04/De-Bruijn-et-al-2007-PH.pdf</t>
  </si>
  <si>
    <t>Nolan, J. M., Schultz, P. W., Cialdini, R. B., Golstein, N. J., &amp; Griskevicius, V.</t>
  </si>
  <si>
    <t>"The present study examined if habit strength moderated the influence of intention on fruit consumption in a Dutch adult sample (N = 521, 46.3% males, mean age = 34.50, SD = 10.87), using the theoretical relations of the Theory of Planned Behaviour (TPB)"</t>
  </si>
  <si>
    <t>The present research investigated the persuasive impact and detectability of normative social influence. The first study surveyed 810 Californians about energy conservation and found that descriptive normative beliefs were more predictive of behavior than were other relevant beliefs, even though respondents rated such norms as least important in their conservation decisions. Study 2, a field experiment, showed that normative social influence produced the greatest change in behavior compared to information highlighting other reasons to conserve, even though respondents rated the normative information as least motivating. Results show that normative messages can be a powerful lever of persuasion but that their influence is underdetected.</t>
  </si>
  <si>
    <t>http://psp.sagepub.com/cgi/doi/10.1177/0146167208316691</t>
  </si>
  <si>
    <t>Normal = No; Resonate = No</t>
  </si>
  <si>
    <t>Normal = No; resonate = No</t>
  </si>
  <si>
    <t>N - x</t>
  </si>
  <si>
    <t>(N - Normative social influence is underdetected but a powerful lever of persuasion http://ow.ly/XnKxR #energy #conservation #research)</t>
  </si>
  <si>
    <t>(N - 4/4/2016)</t>
  </si>
  <si>
    <t xml:space="preserve">Identity - Tap into the audience's ideal self, Ordinary - Socially model the desired behavior </t>
  </si>
  <si>
    <t>600, 702</t>
  </si>
  <si>
    <t>A Focus Theory of Normative Conduct: When Norms Do and Do not Affect Behavior</t>
  </si>
  <si>
    <t>Kallgren, C. A., Reno, R. R., &amp; Cialdini, R. B.</t>
  </si>
  <si>
    <t>In three experiments, respondents’ behavior conformed to the dictates of a relevant norm (the norm against littering) only under conditions of normative focus. This relationship held true across three types of procedures for producing normative focus (physiological arousal, modeling, and self-directed attention), across two types of settings (public and private), and across two types of norms (social and Relatable). Moreover, factors that would be expected to affect normative action were influential only when the norm was focal. These factors included the degree to which the action violated the relevant norm (Study 2) and the degree to which an individual subscribed to that norm (Study 3). Implications are discussed for developing campaigns to encourage prosocial behavior.</t>
  </si>
  <si>
    <t>http://psp.sagepub.com/cgi/doi/10.1177/01461672002610009</t>
  </si>
  <si>
    <t xml:space="preserve">A Focus Theory of Normative Conduct: When #Norms Do and Do not Affect #Behavior http://ow.ly/X5xVw (reducing public littering) </t>
  </si>
  <si>
    <t>Academic Citation 1 - JUST CUT AND PASTE THE CITATIONS MADDIE DID, DON'T PUT IN URL</t>
  </si>
  <si>
    <t>Academic Citation 2 - JUST CUT AND PASTE THE CITATIONS MADDIE DID, DON'T PUT IN URL</t>
  </si>
  <si>
    <t>503, 801, 104</t>
  </si>
  <si>
    <t>Social norm information is a great tool to spark conservation motivations. A 2015 survey-based study presented respondents with questions aimed to simulate the experience of staying in a hotel and get them to consider their level of hypothetical electricity use while there. The survey compared the experimental group’s stated electricity consumption with the consumption of an average hotel guest, and then asked them to reevaluate their intention to conserve electricity. Subjects in the control group were asked to imagine their potential hotel consumption without a comparison to the average hotel-goer. Researchers found respondents in the experimental group demonstrated a significantly higher intention to reduce their electricity consumption compared to the control group, even when told that they consumed less than the average hotel guest.</t>
  </si>
  <si>
    <t>Chang, H. S., C. Huh, &amp; Lee, M. J. (2015). Would an Energy Conservation Nudge in Hotels Encourage Hotel Guests to Conserve? Cornell Hospitality Quarterly, 57(2), 172-183. doi: 10.1177/1938965515588132</t>
  </si>
  <si>
    <t>Global and Local Concerns: What Attitudes and Beliefs Motivate Farmers to Mitigate and Adapt to Climate Change?</t>
  </si>
  <si>
    <t>Haden, V. R., Niles, M. T., Lubell, M., Perlman, J., &amp; Jackson, L. E.</t>
  </si>
  <si>
    <t>PLOS One</t>
  </si>
  <si>
    <t>In response to agriculture's vulnerability and contribution to climate change, many governments are developing initiatives that promote the adoption of mitigation and adaptation practices among farmers. Since most climate policies affecting agriculture rely on voluntary efforts by individual farmers, success requires a sound understanding of the factors that motivate farmers to change practices. Recent evidence suggests that past experience with the effects of climate change and the psychological distance associated with people's concern for global and local impacts can influence environmental behavior. Here we surveyed farmers in a representative rural county in California's Central Valley to examine how their intention to adopt mitigation and adaptation practices is influenced by previous climate experiences and their global and local concerns about climate change. Perceived changes in water availability had significant effects on farmers' intention to adopt mitigation and adaptation strategies, which were mediated through global and local concerns respectively. This suggests that mitigation is largely motivated by psychologically distant concerns and beliefs about climate change, while adaptation is driven by psychologically proximate concerns for local impacts. This match between attitudes and behaviors according to the psychological distance at which they are cognitively construed indicates that policy and outreach initiatives may benefit by framing climate impacts and behavioral goals concordantly; either in a global context for mitigation or a local context for adaptation.</t>
  </si>
  <si>
    <t>Motivation of California Farmers to adopt climate change mitigation measures</t>
  </si>
  <si>
    <t xml:space="preserve">Global and Local Concerns: What Attitudes and Beliefs Motivate Farmers to Mitigate and Adapt to #ClimateChange? http://ow.ly/Xs4fK </t>
  </si>
  <si>
    <t xml:space="preserve">Sample group: need access to find out! </t>
  </si>
  <si>
    <t>Climate Change: Believing and Seeing Implies Adapting</t>
  </si>
  <si>
    <t>Are Tourists' Environmental Behavior Affected by Their Environmental Perceptions and Beliefs?</t>
  </si>
  <si>
    <t>Ramchurjee, N. A., &amp; Suresha, S.</t>
  </si>
  <si>
    <t xml:space="preserve">University of Mysore </t>
  </si>
  <si>
    <t>The key to eliminating environmental problems depends mainly on how much individuals are motivated to change their consumer behaviors and participate in more environmentally responsible practices. The purpose of this research is to examine if tourists’ environmental behaviors are affected by their environmental perceptions and beliefs and how these concepts influence tourists to engage in environmentally responsible behaviors while visiting Hassan, Karnataka India. Random sampling utilizes a structured questionnaire for this investigation. The questionnaire consisted of four sections with 335 participants. The results showed that some tourists engage in positive environmental behaviors. It also revealed that the tourists largely held positive environmental beliefs and perceptions, and are aware of the concerns for the environment, however, they are not ready to transfer their environmental beliefs into their behavioral practices. Their main aim when on vacation is to experience the destination and activities offered, relax and enjoy the cultural atmosphere and to generally “have a good time”.</t>
  </si>
  <si>
    <t>Knowledge of factors that trigger human response to climate change is crucial for effective climate change policy communication. Climate change has been claimed to have low salience as a risk issue because it cannot be directly experienced. Still, personal factors such as strength of belief in local effects of climate change have been shown to correlate strongly with responses to climate change and there is a growing literature on the hypothesis that personal experience of climate change (and/or its effects) explains responses to climate change. Here we provide, using survey data from 845 private forest owners operating in a wide range of bio-climatic as well as economic-social-political structures in a latitudinal gradient across Europe, the first evidence that the personal strength of belief and perception of local effects of climate change, highly significantly explain human responses to climate change. A logistic regression model was fitted to the two variables, estimating expected probabilities ranging from 0.07 (SD ±0.01) to 0.81 (SD ±0.03) for self-reported adaptive measures taken. Adding socio-demographic variables improved the fit, estimating expected probabilities ranging from 0.022 (SD ±0.008) to 0.91 (SD ±0.02). We conclude that to explain and predict adaptation to climate change, the combination of personal experience and belief must be considered.</t>
  </si>
  <si>
    <t>"Are Tourists' Environmental Behavior Affected by Their Environmental Perceptions and Beliefs?"</t>
  </si>
  <si>
    <t xml:space="preserve">Primary source -- need access to check sample group + overview of results, then can be changed to a 1 </t>
  </si>
  <si>
    <t>Behavioral Priming: it's all in the mind, but whose mind?</t>
  </si>
  <si>
    <t>Doyen, S., Klein, O., Pichon, C., &amp; Cleeremans, A.</t>
  </si>
  <si>
    <t>The perspective that behavior is often driven by unconscious determinants has become widespread in social psychology. Bargh, Chen, and Burrows' (1996) famous study, in which participants unwittingly exposed to the stereotype of age walked slower when exiting the laboratory, was instrumental in defining this perspective. Here, we present two experiments aimed at replicating the original study. Despite the use of automated timing methods and a larger sample, our first experiment failed to show priming. Our second experiment was aimed at manipulating the beliefs of the experimenters: Half were led to think that participants would walk slower when primed congruently, and the other half was led to expect the opposite. Strikingly, we obtained a walking speed effect, but only when experimenters believed participants would indeed walk slower. This suggests that both priming and experimenters' expectations are instrumental in explaining the walking speed effect. Further, debriefing was suggestive of awareness of the primes. We conclude that unconscious behavioral priming is real, while real, involves mechanisms different from those typically assumed to cause the effect.</t>
  </si>
  <si>
    <t>http://journals.plos.org/plosone/article?id=10.1371/journal.pone.0029081</t>
  </si>
  <si>
    <t xml:space="preserve">behavioral priming </t>
  </si>
  <si>
    <t>During the 1930s, the Canadian government started an initiative to promote certain agricultural practices among farmers in order to minimize top-soil loss, a necessity for agricultural practices. When the initiative was first launched, it was largely focused on spreading information, and was not highly successful. However, the government modified the initiative and began to work incorporated behavioral science and the power of norms. Specifically, the government began to work with a small group of farmers to help them adopt the recommended practices. Soon, neighboring farmers began observing the modeled behavior and adopting similar practices, following the new social norm. Once we see those close to us performing an activity, we are more likely to participate.</t>
  </si>
  <si>
    <t>• Nisbett, R. E., Borgida, E., Crandall, R., &amp; Reed, H. (n.d.). Popular induction: Information is not necessarily informative. Judgment under Uncertainty Heuristics and Biases, 101-116. doi:10.1017/cbo9780511809477.008</t>
  </si>
  <si>
    <t xml:space="preserve">Making Health Habitual </t>
  </si>
  <si>
    <t>Can't find primary source -- narrative pulled closely from DMM handbook</t>
  </si>
  <si>
    <t>The British Journal of General Practice</t>
  </si>
  <si>
    <t xml:space="preserve">Health professionals are being asked to ‘make every contact count’ by advising patients onbehaviour change. Yet, brief advice based on what and why to change behaviour typically yields only short-term benefits. In this paper, we suggest that health professionals considergiving advice on how to achieve long-term change, based on the psychology of habit-formation. Habits are actions performed automatically with little forethought or effort, and which persist over time. Habits form through repeated performance of an action in the same setting. Brief advice on forming healthy habits is easy for clinicians to deliver, and easy for patients to implement. </t>
  </si>
  <si>
    <t>http://www.ncbi.nlm.nih.gov/pmc/articles/PMC3505409/</t>
  </si>
  <si>
    <t>"Patients trust health professionals as a source of advice on ‘lifestyle’ (that is, behaviour) change, and brief opportunistic advice can be effective.2 However, many health professionals shy away from giving advice on modifying behaviour because they find traditional behaviour change strategies time-consuming to explain and difficult for the patient to implement.2 Furthermore, even when patients successfully initiate the recommended changes, the gains are often transient3 because few of the traditional behaviour change strategies have built-in mechanisms for maintenance."</t>
  </si>
  <si>
    <t xml:space="preserve">In 2001, the state of California successfully averted a major energy crisis. Officials used stringent policy and public awareness campaigns, among other tactics, to improve energy efficiency and avoid massive shortages, marking the single most successful energy conservation effort in US history. To better understand how they accomplished this and to inform future campaigns, researchers conducted an analysis and wrote up a report. The report acknowledged that, even with the success in 2001, many were concerned about what would occur after the temporary crisis-averting policies disappeared.  Mandates that were put in place were lifted and it was assumed that Californians would go back to business as usual with old wasteful habits.  However, the report found that this concern was overstated. 2002 saw evidence of lasting change, with a residual energy reduction level as high as 50% of what was achieved in 2001.  </t>
  </si>
  <si>
    <t>Bachrach, D., Ardema, M., &amp; Leupp, A. (2003). Energy Efficiency Leadership In California: Preventing the Next Crisis. Retrieved from https://www.nrdc.org/resources/energy-efficiency-leadership-california</t>
  </si>
  <si>
    <t xml:space="preserve">Getting out the Latino vote: How door-to-door canvassing influences voter turnout in rural central California. </t>
  </si>
  <si>
    <t>Michelson, M. R.</t>
  </si>
  <si>
    <t>Political Behavior</t>
  </si>
  <si>
    <t xml:space="preserve">Californians </t>
  </si>
  <si>
    <t>Using randomized experimentation, this study of a municipal election in Central California examines the effects of face-to-face canvassing on voter turnout. This is the first randomized experiment to focus on Latino voter mobilization. Building on previous field experimentation, this study focuses on a local school board election held in Dos Palos, CA. Two kinds of appeals were made to potential voters: one emphasized ethnic solidarity; the other emphasized civic duty. Canvassing was remarkably successful; voters who were contacted were significantly more likely to vote. The mobilization effort had a particularly large effect on the turnout of Latino Democrats.</t>
  </si>
  <si>
    <t>This is a consulting report -- relating results of this report to the habit chapter seems like a jump, no measured connection between behavior + energy reduction or habit formation and energy reduction.</t>
  </si>
  <si>
    <t xml:space="preserve">Discard? </t>
  </si>
  <si>
    <t xml:space="preserve">Attaching an incentive to an environmentally friendly take on a preexisting behavior can drive up participation rates. In the 1970s, with the US in full energy crisis mode, many companies enacted policies aimed to encourage their employees to carpool more. Researchers reviewed the literature on these old policies and found several strategies that stood out for their effectiveness. Companies that actively notified employees about coworkers and potential carpool buddies who lived near them punched their carpooling rates up from 7 to 30%. Companies that offered preferential parking to carpoolers did even better, increasing rates from 22 to 55%. Workplaces have a critically important role to play in reducing the number of cars on the road, and by providing small incentives to carpool, employers can significantly shift the behavior of their employees toward more environmentally friendly outcomes. </t>
  </si>
  <si>
    <t>Geller, E. S., Winnett, R. A., &amp; Everett, P.B. (1982). Preserving the environment: New strategies for  behavior change. New York: Permagon.</t>
  </si>
  <si>
    <t>?</t>
  </si>
  <si>
    <t>Tailored interventions to promote mammography screening: A meta-analytic review</t>
  </si>
  <si>
    <t xml:space="preserve">Literature review of multple studies, can't access the figures in the vignettes -- could be used for web or training if figures can be verified </t>
  </si>
  <si>
    <t>Sohl, S. J., &amp; Moyer, A.</t>
  </si>
  <si>
    <t>Preventive Medicine</t>
  </si>
  <si>
    <t>Lasting - Start with a tiny Behavior, Lasting - Design a habit supportive environment</t>
  </si>
  <si>
    <t>The analysis of travel as an example of complex human behavior in spatially-constrained situations: Definition and measurement issues</t>
  </si>
  <si>
    <t>Burnett, P., &amp; Hansan, S.</t>
  </si>
  <si>
    <t>Objective: To evaluate the effectiveness of tailored interventions, designed to reach one specific person based on her unique characteristics, for promoting mammography use. Method: This systematic review used meta-analytic techniques to aggregate the effect size of 28 studies published from 1997 through 2005. Potential study-level moderators of outcomes (sample, intervention, and methodological characteristics) were also examined. Results: A small but significant aggregate odds ratio effect size of 1.42 indicated that women exposed to tailored interventions were significantly more likely to get a mammogram (p &lt; 0.001). The type of population recruited and participants' pre-intervention level of mammography adherence did not significantly influence this effect. Tailored interventions that used the Health Belief Model and included a physician recommendation produced the strongest effects. Interventions delivered in person, by telephone, or in print were similarly effective. Finally, defining adherence as a single recent mammogram as opposed to regular or repeated mammograms yielded higher effect sizes. Conclusion: Tailored interventions, particularly those that employ the Health Belief Model and use a physician recommendation, are effective in promoting mammography screening. Future investigations should strive to use more standardized definitions of tailoring and assessments of mammography outcomes.</t>
  </si>
  <si>
    <t>Transportation Research Part A: General</t>
  </si>
  <si>
    <t xml:space="preserve">Discard unless source is verified </t>
  </si>
  <si>
    <t>This paper argues for greater attention to the definition, measurement and causal modeling of travel behaviors in cities of “advanced” economies. Greater discrimination and flexibility in definition and measurement is required to distinguish between “trips” and “trip chains” as choices, and “travel patterns” as deeply ingrained habits, for example. In addition, trips, trip chains or travel patterns may be the outcome of environmental constraints on behaviors, or of avoidance or other strategies, and not the usual choices or decisions, for many, at all. Thus, current models and modeling strategies based on classical choice theories may be badly misspecified and produce unacceptable results in the transportation and energy policy arenas. The paper outlines a “revised” choice theory to handle this situation, and feasible empirical research methods to begin judiciously to develop it.</t>
  </si>
  <si>
    <t>NOT IN PG: another vignette on a similar study could be more useful for the PG: try http://www.bestworkplaces.org/wp-content/uploads/2010/10/carpool_incentives_brief.pdf</t>
  </si>
  <si>
    <t xml:space="preserve">Increasing the price of unsustainable behavior has been proven effective in encouraging more sustainable behavior. To encourage residents of San Jose, California to divert their waste more diligently, the city’s government instituted a user pay system for its waste pick-up services. Residents were offered a choice in the landfill bin they wished to use, and were billed more as the bins increased in size while curbside recycling and yard waste compost collection were offered free. Residents got the message quickly and decreased the volume of waste sent to landfill by an exemplary 46%. Even better, they increased their recycling volume by 158%, and yard waste by 38%. </t>
  </si>
  <si>
    <t xml:space="preserve">Federation of Canadian Municipalities. A municipal guide on economic instruments to support municipal waste management programs. Toronto, Ontario: Resource Integration Systems Ltd. (RIS). </t>
  </si>
  <si>
    <t xml:space="preserve">San Jose residents </t>
  </si>
  <si>
    <t>"This paper argues for greater attention to the definition, measurement and causal modeling of travel behaviors in cities of “advanced” economies"</t>
  </si>
  <si>
    <t>403, 102</t>
  </si>
  <si>
    <t>Can't find primary source -- seems to be pulled from CBSM -- need access to fact check  -- should be able to find a different example?</t>
  </si>
  <si>
    <t xml:space="preserve">Lasting - Temporarily reward habit forming behaviors </t>
  </si>
  <si>
    <t xml:space="preserve">Discard unless source is found. look up "pay as you throw" or similar programs to write a different example </t>
  </si>
  <si>
    <t xml:space="preserve">Transportation - Biking   </t>
  </si>
  <si>
    <t>What does a one-month free bus ticket do to habitual drivers? An experimental analysis of habit and attitude change</t>
  </si>
  <si>
    <t>Fujii, S., &amp; Kitamura, R.</t>
  </si>
  <si>
    <t xml:space="preserve">In April 2014, the city of Gothenburg, Sweden rolled out a new initiative called Testcyklisterna (Swedish for ‘test riders’) to get more of its citizens pedaling. This program involved loaning 35 volunteers throughout the city bikes tailored to meet their specific needs (such as folding bikes, or cargo bikes). To get the bikes, these people first had to commit to biking at least three times a week for seven months.  In addition, the program provided participants resources for choosing the best bike for them and the best ways to use it. Sweden has not historically been particularly bike-friendly, and the conventional wisdom in its cities is that biking is dangerous and inconvenient. By rewarding people with a tangible object that incentivized the behavior enough to overcome barriers to the desired behavior, this initiative went a long way towards creating a stronger bike culture in Sweden. </t>
  </si>
  <si>
    <t>Would you drive less for the bike of your dreams?</t>
  </si>
  <si>
    <t>A.K. Streeter</t>
  </si>
  <si>
    <t>Treehugger</t>
  </si>
  <si>
    <t>The aim of this study was to investigate whether a temporary structural change would induce a lasting increase in drivers' public transport use. An experiment targeting 43 drivers was carried out, in which a one-month free bus ticket was given to 23 drivers in an experimental group but not to 20 drivers in a control group. Attitudes toward, habits of, and frequency of using automobile and bus were measured immediately before, immediately after, and one month after the one-month long intervention. The results showed that attitudes toward bus were more positive and that the frequency of bus use increased, whereas the habits of using automobile decreased from before the intervention, even one month after the intervention period. Furthermore, the increase in habitual bus use had the largest effect on the increase in the frequency of bus use. The results suggest that a temporary structural change, such as offering auto drivers a temporary free bus ticket, may be an important travel demand management tool for converting automotive travel demand to public-transport travel demand.</t>
  </si>
  <si>
    <t>http://www.treehugger.com/bikes/would-you-drive-lot-less-city-bike-your-dreams.html</t>
  </si>
  <si>
    <t>"The aim of this study was to investigate whether a temporary structural change would induce a lasting increase in drivers' public transport use."</t>
  </si>
  <si>
    <t xml:space="preserve">No study, no measured effect, not totally clear that this is a useful "benefit" either since the bikes were offered out as a loan. Could be used for trainings only or discarded. </t>
  </si>
  <si>
    <t xml:space="preserve">training </t>
  </si>
  <si>
    <t>The practice of mindfulness is proven to have far-reaching effects on cognition, and in particular is linked to increased control of attention. A 2007 study tested the effects of an 8-week course emphasizing focused meditation on a group of individuals unfamiliar with mindfulness practices. At the end of the treatment, participants took a test and exhibited significantly improved measures of attention across several different dimensions compared to a control group. In particular, participants enhanced their ability to narrow their attention to the most important piece of information and prioritize between different competing tasks and impulses. This study suggests that awareness yields improved attention, and may enhance our ability to differentiate environmentally sustainable actions. 
• Jha, A. P., Krompinger, J., &amp; Baime, M. J. (2007). Mindfulness training modifies subsystems of attention. Cognitive, Affective, &amp; Behavioral Neuroscience, 7(2), 109-119. doi:10.3758/cabn.7.2.109
• TAGS: Awareness—learn to practice mindfulness yourself 
• Region: Canada and the US 
• TOPIC: Non-Environmental 
</t>
  </si>
  <si>
    <t>Jha, A. P., Krompinger, J., &amp; Baime, M. J. (2007). Mindfulness training modifies subsystems of attention. Cognitive, Affective, &amp; Behavioral Neuroscience, 7(2), 109-119. doi:10.3758/cabn.7.2.109</t>
  </si>
  <si>
    <t>Anchoring Effect</t>
  </si>
  <si>
    <t>mindfulness training group</t>
  </si>
  <si>
    <t>Primary source -- not sure it really relates to the mindfulness chapter -- could be a stretch</t>
  </si>
  <si>
    <t>Lasting - Temporarily reward habit forming behaviors</t>
  </si>
  <si>
    <t xml:space="preserve">Breaking car use habits: The effectiveness of a free one-month travelcard </t>
  </si>
  <si>
    <t xml:space="preserve">Thogersen, J., &amp; Moller, B. </t>
  </si>
  <si>
    <t>Based on calls for innovative ways of reducing car traffic and research indicating that car driving is often the result of habitual decision-making and choice processes, this paper reports on a field experiment designed to test a tool aimed to entice drivers to skip the habitual choice of the car and consider using—or at least trying—public transport instead. About 1,000 car drivers participated in the experiment either as experimental subjects, receiving a free one-month travelcard, or as control subjects. As predicted, the intervention had a significant impact on drivers’ use of public transport and it also neutralized the impact of car driving habits on mode choice. However, in the longer run (i.e., four months after the experiment) experimental subjects did not use public transport more than control subjects. Hence, it seems that although many car drivers choose travel mode habitually, their final choice is consistent with their informed preferences, given the current price–quality relationships of the various options.</t>
  </si>
  <si>
    <t>Nonprice incentives and energy conservation</t>
  </si>
  <si>
    <t xml:space="preserve">Asensio, O. I., &amp; Delmas, M. A. </t>
  </si>
  <si>
    <t>In the electricity sector, energy conservation through technological and behavioral change is estimated to have a savings potential of 123 million metric tons of carbon per year, which represents 20% of US household direct emissions in the United States. In this article, we investigate the effectiveness of nonprice information strategies to motivate conservation behavior. We introduce environment and health-based messaging as a behavioral strategy to reduce energy use in the home and promote energy conserva- tion. In a randomized controlled trial with real-time appliance- level energy metering, we find that environment and health-based information strategies, which communicate the environmental and public health externalities of electricity production, such as pounds of pollutants, childhood asthma, and cancer, outperform monetary savings information to drive behavioral change in the home. Environment and health-based information treatments motivated 8% energy savings versus control and were particularly effective on families with children, who achieved up to 19% energy savings. Our results are based on a panel of 3.4 million hourly appliance-level kilowatt–hour observations for 118 residen- ces over 8 mo. We discuss the relative impacts of both cost-savings information and environmental health messaging strategies with residential consumers.</t>
  </si>
  <si>
    <t>In a study testing the impact of prompts on energy conservation at an American University, faculty received a general written request from the University president encouraging them to adopt the simple behavior of tilting the blinds in their classrooms to conserve heat. During the course of the study, faculty in the prompt-and-feedback group received additional written reminders from the cleaning staff if they forgot to tilt their blinds. Although there was an increase in window blind adjustments from the baseline for both groups, a greater percentage of offices in the prompt-and-feedback group consistently adjusted their blinds correctly. The two simple measures of providing a prompt and feedback led to an increase in the percentage of blind-tilting faculty from less than 10% to approximately two-thirds.</t>
  </si>
  <si>
    <t>Luyben, P. D. (1984). Drop and tilt: A comparison of two procedures to increase the use of venetian blinds to conserve energy. Journal of Community Psychology</t>
  </si>
  <si>
    <t>Linking social norms to efficient conservation investment in payments for ecosystem services</t>
  </si>
  <si>
    <t>Chen, X., Lupi, F., He, G., &amp; Liu, J.</t>
  </si>
  <si>
    <t xml:space="preserve">cannot access primary source, study is from 1984, could be considered too old </t>
  </si>
  <si>
    <t>The Constructive, Destructive, and Reconstructive Power of Social Norms</t>
  </si>
  <si>
    <t>Schultz, P. W., Nolan, J. M., Cialdini, R. B., Goldstein, N. J., &amp; Griskevicius, V.</t>
  </si>
  <si>
    <t>Despite a long tradition of effectiveness in laboratory tests, normative messages have had mixed success in changing behavior in field contexts, with some studies showing boomerang effects. To test a theoretical account of this inconsistency, we conducted a field experiment in which normative messages were used to promote household energy conservation. As predicted, a descriptive normative message detailing average neighborhood usage produced either desirable energy savings or the undesirable boomerang effect, depending on whether households were already consuming at a low or high rate. Also as predicted, adding an injunctive message (conveying social approval or disapproval) eliminated the boomerang effect. The results offer an explanation for the mixed success of persuasive appeals based on social norms and suggest how such appeals should be properly crafted.</t>
  </si>
  <si>
    <t>An increasing amount of investment has been devoted to protecting and restoring ecosystem services worldwide. The efficiency of conservation investments, including payments for ecosystem services (PES), has been found to be affected by biological, political, economic, demographic, and social factors, but little is known about the effects of social norms at the neighborhood level. As a first attempt to quantify the effects of social norms, we studied the effects of a series of possible factors on people's intentions of maintaining forest on their Grain-to-Green Program (GTGP) land plots if the program ends. GTGP is one of the world's largest PES programs and plays an important role in global conservation efforts. Our study was conducted in China's Wolong Nature Reserve, home to the world-famous endangered giant pandas and &gt;4,500 farmers. We found that, in addition to conservation payment amounts and program duration, social norms at the neighborhood level had significant impacts on program re-enrollment, suggesting that social norms can be used to leverage participation to enhance the sustainability of conservation benefits from PES programs. Moreover, our results demonstrate that economic and demographic trends also have profound implications for sustainable conservation. Thus, social norms should be incorporated with economic and demographic trends for efficient conservation investments.</t>
  </si>
  <si>
    <t xml:space="preserve">discard unless source is found </t>
  </si>
  <si>
    <t>http://www.pnas.org/lookup/doi/10.1073/pnas.0809980106</t>
  </si>
  <si>
    <t>http://pss.sagepub.com/lookup/doi/10.1111/j.1467-9280.2007.01917.x</t>
  </si>
  <si>
    <t>Linking social norms to efficient conservation investment in payments for ecosystem services http://ow.ly/XnJKJ</t>
  </si>
  <si>
    <t>species at risk</t>
  </si>
  <si>
    <t>Comparison of self-reported recycling attitudes and behaviors with actual behavior</t>
  </si>
  <si>
    <t>Barker, K., Fong, L., Grossman, S., Quin, C., &amp; Reid, R.</t>
  </si>
  <si>
    <t>Psychological Reports</t>
  </si>
  <si>
    <t>Managing social norms for persuasive impact</t>
  </si>
  <si>
    <t xml:space="preserve">Cialdini, R. B., Demaine, L. J., Sagarin, B. J., Barrett, D. W., Rhoads, K., &amp; Winter, P. L. </t>
  </si>
  <si>
    <t>Social Influence</t>
  </si>
  <si>
    <t>This study was designed to investigate the congruence of 102 college students' self-reported paper-recycling behaviors and attitudes with actual behavior. The hypothesis that college students would report positive attitudes toward paper recycling and associated behaviors in a survey was supported. Unobtrusive observation, however, indicated that self-reports did not predict actual paper recycling for most respondents. Only 14 students who had previously reported prorecycling attitudes and behaviors were observed to recycle. The implications of the results for research on college students' recycling and conservation behavior are discussed.</t>
  </si>
  <si>
    <t xml:space="preserve">Prompts can be used to connect specific behaviors with broad environmental efforts. Western Washington’s “Get in the Loop, Buy Recycled” campaign was developed in 1993 to encourage sales of recycled products. The campaign addressed barriers like low consumer awareness of recycled product availability, skepticism about environmental claims, and the unwillingness on the part of consumers to search for products made of recycled content. The campaign employed “shelf talkers,” or tags on the retail shelf under certain products. “Shelf talkers” were marked by the “Get in the Loop” logo and clearly identified which products had recycled content and how they compared to virgin-based products. Although aisle displays, door stickers, and employee buttons also helped to remind shoppers about the campaign, the “shelf-talkers” were key to its success, by offering a simple prompt at the decision point. In the four weeks of the program, recycled product sales in the participating stores increased by 58%. Overall, in retail locations throughout the relevant area, sales of recycled products increased 27% relative to the month before the campaign launch. For highly flexible purchase items – specifically recycled paper towels, napkins, and toilet tissue – sales increased by 74%. This example shows how effective prompts are in spreading campaigns and enhancing conservation behaviors. </t>
  </si>
  <si>
    <t xml:space="preserve">Tools of change </t>
  </si>
  <si>
    <t xml:space="preserve">In order to mobilise action against a social problem, public service communicators often include normative information in their persuasive appeals. Such messages can be either effective or ineffective because they can normalise either desirable or undesirable conduct. To examine the implications in an environmental context, visitors to Arizona's Petrified Forest National Park were exposed to messages that admonished against the theft of petrified wood. In addition, the messages conveyed information either about descriptive norms (the levels of others' behaviour) or injunctive norms (the levels of others' disapproval) regarding such thievery. Results showed that focusing message recipients on descriptive normative information was most likely to increase theft, whereas focusing them on injunctive normative information was most likely to suppress it. Recommendations are offered for optimising the impact of normative messages in situations characterised by objectionable levels of undesirable conduct. </t>
  </si>
  <si>
    <t>http://www.tandfonline.com/doi/abs/10.1080/15534510500181459</t>
  </si>
  <si>
    <t xml:space="preserve">Case study on Washington program </t>
  </si>
  <si>
    <t xml:space="preserve">cannot find primary source -- vignette is pulled from Tools of Change </t>
  </si>
  <si>
    <t xml:space="preserve">discard if no primary source is found OR contact TOC to ask for permission to use the case study </t>
  </si>
  <si>
    <t xml:space="preserve">In a simple and inexpensive attempt to reduce cleaning costs in the men’s urinals at Amsterdam’s Schiphol Airport, the image of a black house fly was etched onto the bowl of each urinal. According to the airport, this small addition resulted in an 80% reduction in spillage overnight. When provided a target, men are more easily able to prevent spillage while urinating. Through this easy to implement design feature, men subconsciously chose the optimum behavior. </t>
  </si>
  <si>
    <t xml:space="preserve">The Amsterdam Urinals </t>
  </si>
  <si>
    <t xml:space="preserve">Richard Thaler and Cass Sustein </t>
  </si>
  <si>
    <t xml:space="preserve">Nudge </t>
  </si>
  <si>
    <t xml:space="preserve">https://nudges.wordpress.com/the-amsterdam-urinals/ </t>
  </si>
  <si>
    <t>Is a nudge in the right direction all we need to be greener?</t>
  </si>
  <si>
    <t xml:space="preserve">George Webster </t>
  </si>
  <si>
    <t>http://edition.cnn.com/2012/02/08/tech/innovation/green-nudge-environment-persuasion/index.html?hpt=hp_c3</t>
  </si>
  <si>
    <t xml:space="preserve">men in an airport </t>
  </si>
  <si>
    <t xml:space="preserve">no primary source, seems specific to urinating, not sure where this is most applicable </t>
  </si>
  <si>
    <t xml:space="preserve">training? </t>
  </si>
  <si>
    <t xml:space="preserve">Urban bicycle sharing schemes attempt to set the stage for easy action by providing alternative transport options, but limitations on bicycle security and costs can make implementing these programs difficult. The bike share service in Paris called Velib made implementation easy by using advanced lock systems and secure payment methods. In addition, the bikes are cheaper to rent because they are subsidized by advertising on the bike stations themselves. Velib bicycles can be dropped at any station (located every 300 meters throughout the city), making biking much more convenient. These improvements to the bike scheme model made the sustainable option easier to adopt, and resulted in a tenfold jump in bicycle sharing since 2004. Velib now serves over 500 cities worldwide. </t>
  </si>
  <si>
    <t xml:space="preserve">Ordinary - Call attention to society’s expectations, Ordinary - Provide positive social proof </t>
  </si>
  <si>
    <t xml:space="preserve">DeMaio, p. (2009).  Bike-sharing: History, Impacts, Models of Provision, and Future. MetroBike, LLC. </t>
  </si>
  <si>
    <t xml:space="preserve">Private Recycling Values, Social Norms, and Legal Rules </t>
  </si>
  <si>
    <t>Viscusi, W.K., J. Huber, &amp; J. Bell</t>
  </si>
  <si>
    <t>SSRN Electronic Journal</t>
  </si>
  <si>
    <t xml:space="preserve">This article uses a large, original data set on U.S. recycling behavior and perception of social norms. The data include unique information with respect to personal norms as well as information on both descriptive and injunctive social norms with respect to recycling behavior. The analysis finds that the legal and regulatory environment is strongly related to average county recycling rates and private perceptions of neighbors’ attitudes toward recycling. Average community recycling rates, legal regimes, and per- ceived external norms are correlated with higher individual recycling rates so that both descriptive and injunctive norms are influential. Households that recycle are also more likely to have a private recycling norm. Deposit policies that provide financial incentives and recycling policies that make recycling more convenient are associated with greater recycling rates. </t>
  </si>
  <si>
    <t xml:space="preserve">Taking off the stabilizers </t>
  </si>
  <si>
    <t xml:space="preserve">Velib </t>
  </si>
  <si>
    <t>Retrieved 10-June-15</t>
  </si>
  <si>
    <t>Local Warming: Daily Temperature Change Influences Belief in Global Warming</t>
  </si>
  <si>
    <t>Li, Y., Johnson, E. J., &amp; Zaval, L.</t>
  </si>
  <si>
    <t>http://en.velib.paris.fr/How-it-works/Stations</t>
  </si>
  <si>
    <t xml:space="preserve">Although people are quite aware of global warming, their beliefs about it may be malleable; specifically, their beliefs may be constructed in response to questions about global warming. Beliefs may reflect irrelevant but salient information, such as the current day’s temperature. This replacement of a more complex, less easily accessed judgment with a simple, more accessible one is known as attribute substitution. In three studies, we asked residents of the United States and Australia to report their opinions about global warming and whether the temperature on the day of the study was warmer or cooler than usual. Respondents who thought that day was warmer than usual believed more in and had greater concern about global warming than did respondents who thought that day was colder than usual. They also donated more money to a global-warming charity if they thought that day seemed warmer than usual. We used instrumental variable regression to rule out some alternative explanations. </t>
  </si>
  <si>
    <t xml:space="preserve">No primary source </t>
  </si>
  <si>
    <t>No primary data/source; unrelated to recommendation; possible training material</t>
  </si>
  <si>
    <t>training (if reworked)</t>
  </si>
  <si>
    <t>Daily Temperature Change Influences Belief in #GlobalWarming http://ow.ly/Xs5aT</t>
  </si>
  <si>
    <t xml:space="preserve">Unsure </t>
  </si>
  <si>
    <t xml:space="preserve">Many cities actively promote biking as an environmentally friendly mode of transportation, but do not consider the terrain faced by cyclists. Interestingly, public surveys show that one of the biggest barriers to biking is the safety concern associated with biking alongside other motor vehicles. The City of Boulder, Colorado, dealt with this directly by reducing the number of vehicle lanes and creating wider bike lanes as part of their “right sizing” program. In transforming the context by increasing the size of bike lanes, the city successfully made citizens more comfortable with adopting this environmentally friendly behavior. As a result of enhancing the protected lane, weekday bicycle volume on roads impacted by the redesign jumped from nearly 900 to 1400 bicyclists over a week week period! Although weekly collisions reportedly fell by 38%, the increased rush hour traffic caused the city council to roll back the program. While other cities have implemented programs similar to Boulder’s, this example suggests that in depth community conversations early on may help prevent backlash. </t>
  </si>
  <si>
    <t>Living Lab - Phase II Corridor Evaluation: Folsom Street [Pamphlet]. (2015). Boulder, CA: Living Lab.</t>
  </si>
  <si>
    <t xml:space="preserve">City data primary source; pop article supporting </t>
  </si>
  <si>
    <t xml:space="preserve">While this program was successful, there was a huge community backlash that caused a roll back due to rush hour traffic -- should this vignette still be included ? </t>
  </si>
  <si>
    <t>Whole System - Ecosystem/Conservation</t>
  </si>
  <si>
    <t>Until the 1960s, the Aral Sea in Central Asia was the fourth largest saline lake in the world. Since then, dams diverting its two main source rivers for irrigation purposes have depleted it to 10% of its original size as of 2007, making the lake one of the most extreme sites of human-caused desertification in the world. This desertification has resulted in increased soil salinity, health problems due to evaporated, airborne pesticides and other chemicals from agricultural runoff, and an increase in dust storms in the area. A time-lapsed video, compiled from satellite images by NASA and publicized in 2014, makes the scale of the problem much easier to visualize and comprehend. This video has been widely reported on by the online press, and has raised awareness of the plight of the region in recent years. Such vivid images can work more effectively than statistics and facts, to highlight the extent of environmental damage and the need for conservation action.</t>
  </si>
  <si>
    <t xml:space="preserve">[Earth Outreach]. (2012, July 23). Amazon Deforestation: Timelapse. [Video File]. </t>
  </si>
  <si>
    <t>Lizzie Buchen</t>
  </si>
  <si>
    <t>RT</t>
  </si>
  <si>
    <t>https://www.rt.com/news/191952-aral-sea-dry-video/</t>
  </si>
  <si>
    <t>Not reference checked; no primary source</t>
  </si>
  <si>
    <t xml:space="preserve">No primary data/source; no findings; possible training material -- should be rechecked before included in training </t>
  </si>
  <si>
    <t>Human health - how people eat</t>
  </si>
  <si>
    <t>Choice architecture can help ‘nudge’ people into a particular decision when information is presented in a certain manner. One study on food decisions found that participants ordering sandwiches in a deli were 48% more likely to choose one of the “healthier” sandwich options when those options were presented as implicit default options on the front menu, with other options on the back. The study found that convenience played a much larger role than caloric information, which yielded no effect. This is another example of how choice architecture can steer people’s decision behavior.</t>
  </si>
  <si>
    <t xml:space="preserve">Downs, J. S., Loewenstein, G.  &amp; Wisdom, J. (2009). The Psychology of Food Consumption. Strategies for Promoting Healthier Food Choices. American Economic Review Papers and Proceedings, 99(2),1-10. </t>
  </si>
  <si>
    <t xml:space="preserve">diners in fast food restaurant </t>
  </si>
  <si>
    <t>original source: secondary -- here is link to primary: http://www.cmu.edu/dietrich/sds/docs/loewenstein/PromotingHealthyChoice.pdf</t>
  </si>
  <si>
    <t>can be used for web, training once reference is fixed (not explicitly environmental). Reference: (http://www.cmu.edu/dietrich/sds/docs/loewenstein/PromotingHealthyChoice.pdf)</t>
  </si>
  <si>
    <t>603, 1001</t>
  </si>
  <si>
    <t xml:space="preserve">In the small German town of Schӧnau, residents and businesses are automatically enrolled in the town’s default renewable energy option. In order to utilize alternate energy sources, citizens were offered the opportunity to opt out of the default program by identifying alternate energy providers they would like to use themselves. Since the program’s implementation, the opt-out rate has dwindled to less than 1%. By setting the status quo in line with environmentally friendly behavior, green energy defaults make the right choice the significantly easier choice. </t>
  </si>
  <si>
    <t>Kaenzig, J., Heinzle, S. L. &amp; Wüstenhagen, R. (2012). Whatever the customer wants, the customer gets? Exploring the gap between consume preferences and default electricity products in Germany. Energy Policy, 53, 311-322. doi:10.1016/j.enpol.2012.10.061</t>
  </si>
  <si>
    <t>Academic article is secondary source; narrative is different than that presented in vignette</t>
  </si>
  <si>
    <t xml:space="preserve">PG, web, training if correct source is nailed down </t>
  </si>
  <si>
    <t>Making Energy Conservation the Norm</t>
  </si>
  <si>
    <t>Nolan, J. M., Schultz, P. W., Ciladini, R. B., &amp; Griskevicius, V.</t>
  </si>
  <si>
    <t xml:space="preserve">Default settings on printers in the workplace can have a significant impact on conservation efforts. Rutgers University adopted a “double sided printing” default option for their on-campus computers at their New Brunswick campus in 2007. As of 2013, the university saved over 100 million sheets of paper, the equivalent of over 8,695 trees. In monetary amounts, the savings equated to approximately $250,000. Rutgers’ decision to change the default setting resulted in not only a reduction in environmental impact, but also a measurable economic benefit. </t>
  </si>
  <si>
    <t>Sunstein, C. R., &amp; Reisch, L. A. (2013). Automatically Green: Behavioral Economics and Environmental Protection. Harvard Environmental Law Review, 38, 128-158.</t>
  </si>
  <si>
    <t>Primary source questionable and not provided here. Perhaps training material only</t>
  </si>
  <si>
    <t>Ordinary - Provide positive social proof, Ordinary - Call attention to society’s expectations</t>
  </si>
  <si>
    <t>700, 701</t>
  </si>
  <si>
    <t>Using normative social influence to promote conservation among hotel guests</t>
  </si>
  <si>
    <t>Schultz, P. W., Khazian, A. M., &amp; Zaleski A. C.</t>
  </si>
  <si>
    <t>Psychology Press</t>
  </si>
  <si>
    <t>Three field experiments are reported on the ability of printed normative messages to influence conservation behavior among hotel guests. While prior research has shown that social norms can both guide and spur behavior, there are a number of questions about the generality of the effects, the impact of aligning descriptive and injunctive norms, and the relative impact of normative information about a specific versus general referent group. In the first experiment we demonstrate the basic influence of printed normative messages designed to promote towel reuse among a sample of hotel guests, and also that aligning the injunctive and descriptive elements of a normative message increases its impact on behavior. Experiment 2 extends this finding to guests staying in timeshare condominium units. In Experiment 3 we again replicate the effect, and also show that normative information about both generic and specific reference groups can affect behavior. Results are interpreted within the focus theory of normative conduct, and directions for future research are discussed.</t>
  </si>
  <si>
    <t>https://www.rug.nl/gmw/psychology/research/onderzoek_summerschool/firststep/content/papers/schultz_et_al._%282008%29.pdf</t>
  </si>
  <si>
    <t>Washing practice</t>
  </si>
  <si>
    <t>Using Nonpecuniary Strategies to Influence Behavior: Evidence from a Large-Scale Field Experiment</t>
  </si>
  <si>
    <t>Review of Economics and Statistics</t>
  </si>
  <si>
    <t>Defaults can help increase college admission rates for under-represented groups. Simply presenting students with information on financial assistance does little to enrollment rates. However, in a study testing the effect of information and default options on enrollment in higher education, researchers found that when parents were enrolled in automatic assistance to help them apply for financial aid, their children were 8% more likely to be enrolled in university in the year following the intervention than those provided solely information.</t>
  </si>
  <si>
    <t>Policymakers are increasingly using norm-based messages to influence individual decision making. We partner with a metropolitan water utility to implement a natural field experiment to examine the effect of such messages on residential water demand. The data, drawn from more than 100,000 households, indicate that social comparison messages had a greater influence on behavior than simple prosocial messages or technical information alone. Moreover, our data suggest that social comparison messages are most effective among households identified as the least price sensitive: high users. Yet the effectiveness of such messages wanes over time. Our results thus highlight important complementarities between pecuniary and nonpecuniary strategies.</t>
  </si>
  <si>
    <t>http://www.mitpressjournals.org/doi/abs/10.1162/REST_a_00344</t>
  </si>
  <si>
    <t>Social comparison msgs have a greater influence on #behavior than simple prosocial msgs or technical info alone http://ow.ly/Xqy1i 🚰🌎</t>
  </si>
  <si>
    <t>Understanding and Motivating Energy Conservation via Social Norms</t>
  </si>
  <si>
    <t>Cialdini, R., &amp; Schultz, W.</t>
  </si>
  <si>
    <t>William and Flora Hewlett Foundation</t>
  </si>
  <si>
    <t>Bettinger, E. P., Long, B. T., Oreopoulos, P. &amp; Sanbonmatsu, L. (2012). The Role of Application assistance and information in college decisions: Results from the H&amp;R block FASFA experiment. The Quarterly Journal of Economics, 127(3), 1205-1242.</t>
  </si>
  <si>
    <t>The purpose of this 3-year project was to examine the role of normative beliefs in an individual’s decision to conserve energy. In our proposal we outlined three sets of studies, with each set to be conducted over the course of a year. In the first set of studies, summarized in our 2002 Yearly Report, we examined the reasons that people gave for conserving energy, and the role of normative beliefs in energy conservation behaviors. Data for these analyses were based on random digit dialing telephone surveys of California residents. The second set of studies, which were summarized in our 2003 Yearly Report, involved the development of conservation messages that were placed in hotel rooms. A series of five experiments were conducted in California and Arizona. The results from these studies clearly indicate that messages targeting the normative aspects of energy conservation can significantly increase conservation behaviors. The third and final set of studies, reported below, examined the effectiveness of a normative feedback intervention for promoting household energy conservation among a diverse sample of community residents.</t>
  </si>
  <si>
    <t>http://docplayer.net/9084911-Understanding-and-motivating-energy-conservation-via-social-norms-project-report-2004-final-report.html</t>
  </si>
  <si>
    <t>Normal = No; Feedback = No</t>
  </si>
  <si>
    <t>B. I. Team</t>
  </si>
  <si>
    <t>Behavioral Insights Team Ltd</t>
  </si>
  <si>
    <t>http://www.behaviouralinsights.co.uk/wp-</t>
  </si>
  <si>
    <t>Not reference checked</t>
  </si>
  <si>
    <t>Could not locate primary source; college sample</t>
  </si>
  <si>
    <t xml:space="preserve">web, training if primary source determined </t>
  </si>
  <si>
    <t>Global</t>
  </si>
  <si>
    <t>Encouraging behavior by changing default settings is a mechanism that has worked across various contexts, including retirement plan contributions. We all know that we should be saving for retirement, yet enrollment in employee-matched retirement plans remains at an all-time low. However, studies conducted in countries such as the US, Chile, Denmark, and Sweden suggest that automatic enrollment in pensions, with the option to opt out, can significantly increase participation by up to 20 percent. When individuals are forced to exert additional energy to remove themselves from the default condition, they are much less likely to do so. This philosophy is easily applicable to environmental motives – make it easy to choose the greener option.</t>
  </si>
  <si>
    <t>Secondary source provided, being "Behavioral Insights"; could not access primary source provided in BI report.</t>
  </si>
  <si>
    <t>In a pilot program study, the City of Waterloo delivered backyard composting “green bins,” designed to take all kinds of organic waste (pet waste, dairy, meat, oils), door-to-door for free. With the new containers, 64% of households set their green bins on their curbsides every week for collection. Additionally, the amount of landfill waste produced by households decreased significantly. The number of households that set only one bag or less of landfill waste increased by nearly 60% and the number of households that normally produced three or more bags of landfill waste dropped by about 20%. By simply introducing mixed curbside composting and removing the physical barrier of obtaining green bins, composting rates shot up.</t>
  </si>
  <si>
    <t>McKenzie-Mohr, D., &amp; Smith, W. A. (1999). Fostering sustainable behavior: An introduction to community-based social marketing. Gabriola Island, BC: New Society.</t>
  </si>
  <si>
    <t xml:space="preserve">It is easy being green </t>
  </si>
  <si>
    <t xml:space="preserve">The green bin pilot program newsletter </t>
  </si>
  <si>
    <t>http://www.regionofwaterloo.ca/en/aboutTheEnvironment/resources/NewsletterJune07.pdf</t>
  </si>
  <si>
    <t xml:space="preserve">CBSM vignette; closely mirrors case study by DMM, can't find original article </t>
  </si>
  <si>
    <t>training</t>
  </si>
  <si>
    <t>Climate - General, Science acceptance</t>
  </si>
  <si>
    <t>In June 2015, thousands of Britons descended on London as part of a mass lobby of UK politicians, demanding action on climate change. The event was organized by The Climate Coalition, whose ‘For the Love Of…’ campaign promotes personal engagement on climate by tapping into popular affection for beaches, chocolate, gardening, rugby, and other well-loved things, places and activities. By highlighting how a vast variety of our interests will be affected by climate change, The Climate Coalition is able to inspire people from all walks of life to become personally invested in the environment.</t>
  </si>
  <si>
    <t>More than 10,000 people urge their MP's to tackle climate change</t>
  </si>
  <si>
    <t>not authored</t>
  </si>
  <si>
    <t>http://www.christianaid.org.uk/pressoffice/pressreleases/june_2015/more-than-10000-people-urge-their-mps-to-tackle-climate-change.aspx</t>
  </si>
  <si>
    <t xml:space="preserve">not authored </t>
  </si>
  <si>
    <t>For the love of</t>
  </si>
  <si>
    <t>http://fortheloveof.org.uk/stories/</t>
  </si>
  <si>
    <t>Not reference checked, no primary sources</t>
  </si>
  <si>
    <t>The psychological distance of climate change</t>
  </si>
  <si>
    <t xml:space="preserve">Spence, A., Poortinga, W., &amp; Pidgeon, N. </t>
  </si>
  <si>
    <t>Risk Analysis</t>
  </si>
  <si>
    <t>Not great source (Christian Aid); interesting case example; possible training material.</t>
  </si>
  <si>
    <t>Avoiding dangerous climate change is one of the most urgent social risk issues we face today and understanding related public perceptions is critical to engaging the public with the major societal transformations required to combat climate change. Analyses of public perceptions have indicated that climate change is perceived as distant on a number of different dimensions. However, to date there has been no in-depth exploration of the psychological distance of climate change. This study uses a nationally representative British sample in order to systematically explore and characterize each of the four theorized dimensions of psychological distance—temporal, social, and geographical distance, and uncertainty—in relation to climate change. We examine how each of these different aspects of psychological distance relate to each other as well as to concerns about climate change and sustainable behavior intentions. Results indicate that climate change is both psychologically distant and proximal in relation to different dimensions. Lower psychological distance was generally associated with higher levels of concern, although perceived impacts on developing countries, as an indicator of social distance, was also significantly related to preparedness to act on climate change. Our findings clearly point to the utility of risk communication techniques designed to reduce psychological distance. However, highlighting the potentially very serious distant impacts of climate change may also be useful in promoting sustainable behavior, even among those already concerned.</t>
  </si>
  <si>
    <t>Relatable - Messenger matters</t>
  </si>
  <si>
    <t>Willingness to adopt mitigation measures</t>
  </si>
  <si>
    <t>The Psychological Distance of #ClimateChange http://ow.ly/Xs2Ud</t>
  </si>
  <si>
    <t>When we hear information from those who uphold the same values and perspectives as we do, we are more likely to listen. Evangelical Texans and climate change messengers, pastor Andrew Farley and his wife, professor Katharine Hayhoe, are combatting the notion that global warming and evangelical Christianity are mutually exclusive. In 2009, they wrote a book broadly praised by climate activists and religious leaders, that emphasizes the reasons why Christians can relate to climate change, such as the fact that the poor and needy will be hit the hardest by climate change, and the idea that environmentalism is in line with God’s decree that humans must be stewards of the Earth. Hayhoe, listed among TIME magazine’s 100 most influential people of 2014, has become a popular and trusted speaker at Christian engagements both around town and around the country.</t>
  </si>
  <si>
    <t xml:space="preserve">Spreading the global warming gospel </t>
  </si>
  <si>
    <t>Neela Banarjee</t>
  </si>
  <si>
    <t>LA Times</t>
  </si>
  <si>
    <t>http://articles.latimes.com/2011/dec/07/nation/la-na-evangelical-warming-20111207</t>
  </si>
  <si>
    <t xml:space="preserve">Meet the scientist who might end the climate culture wars </t>
  </si>
  <si>
    <t>Popsci</t>
  </si>
  <si>
    <t>http://www.popsci.com/article/science/meet-scientist-who-might-end-climate-culture-wars</t>
  </si>
  <si>
    <t>No primary source; good case example though</t>
  </si>
  <si>
    <t>Relatable - Connect at a local level, Relatable - Link it to personal experience</t>
  </si>
  <si>
    <t xml:space="preserve">Beyond the CFL: Winning Imagery for Energy Efficiency </t>
  </si>
  <si>
    <t>Drawing on community pride, Oklahoma City publicized the message “Don’t Lay that Trash on Oklahoma” in 1982 as part of their littering campaign. This slogan effectively associated feelings of shame and embarrassment with the act of littering in public. At the end of the 7-year campaign, almost twice as many people considered littering an immoral behavior, and more than twice as many people agreed that littering could cause them to lose the respect of others. By connecting the desired behavior with local pride, this campaign served to change social norms and significantly reduce the amount of litter in public spaces.</t>
  </si>
  <si>
    <t>Grasmick, H. G., Bursik, R.J., Jr., &amp; Kinsey, K.A. (1991). Shame and Embarrassment as Deterrents to Noncompliance with the Law: The case of an Antilittering Campaign. Sage Journals. 23(2), 233–251.</t>
  </si>
  <si>
    <t>http://www.resource-media.org/wp-content/uploads/2015/03/Beyond-the-CFL-Report-Final.pdf</t>
  </si>
  <si>
    <t xml:space="preserve">Yes, Relatable </t>
  </si>
  <si>
    <t xml:space="preserve">Dated source; suggests differing motivations than newer/more relevant source; I recommend deleting. This contradicts the finding in the previous vignette – is it identity or is it shaming that is the driving motivational factor that curbs littering? What’s the message here that we’re giving environmental organisations? We are telling them to shame people and positively tap into their identity? Keep messaging around the same topic consistent. I question the relevance of this vignette – you have one telling the exact same story in a comparative region (Don’t mess with Texas) that is newer (2013/2015). This one from 1982 doesn’t really contribute anything.  </t>
  </si>
  <si>
    <t>How Framing Climate Change Influences Citizen Scientists' Intentions to Do Something About It</t>
  </si>
  <si>
    <t>Dickinson, J. L., Crain, R., Yalowitz, S., &amp; Cherry, T. M.</t>
  </si>
  <si>
    <t>605, 203</t>
  </si>
  <si>
    <t>Localizing the effects of an issue can help increase willingness to act. In a study to understand distance and climate change attitudes, researchers provided participants with a written assessment of global warming described in terms of either local impacts or continent-wide impacts. While participants presented with information on continent-wide impacts perceived the societal effects of climate change to be more severe, survey participants presented with information on local impacts cited feeling more positive overall about climate change mitigation. These findings suggest that situating negative environmental impacts at the local level can help increase relevance and personal motivation.</t>
  </si>
  <si>
    <t>How we communicate the dangers of climate change may influence attitudes, intentions, and behaviors. Here we test two pairs of positive and negative framing statements with North American citizen scientists interested in gardening and birdwatching. Mentioning dangers for humans did not increase participants’ interest in taking personal action on climate change, but mentioning dangers for birds was highly effective. Highlighting the positive collective impacts of small behavioral changes also increased participants’ interest in taking personal action. These results suggest that while some dire messages are ineffective, those evoking concern for target species of significance to the learners may be as successful as positive messages.</t>
  </si>
  <si>
    <t xml:space="preserve">Source good but unrelated to vignette. Needs rewriting from source material. Not sure what vignette is written is from. the source contradicts what is written -- belongs more in framing chapter -- needs to be reassessed/rewritten </t>
  </si>
  <si>
    <t>http://www.tandfonline.com/doi/abs/10.1080/00958964.2012.742032</t>
  </si>
  <si>
    <t>When we feel personally called upon, we can become more inclined to act. In an effort to increase response rates from doctors with outstanding tax liabilities, the UK’s HM Revenue and Customs team tested how different letters affect cooperation.  When doctors were sent a tailored letter conveying that the letter was part of a campaign specifically targeting doctors, response rates increased from 3.8 % to 21.1%. This personalized call to action was much more influential than letters containing a generic message.</t>
  </si>
  <si>
    <t xml:space="preserve">EAST: Four Simple Ways to Apply Behavioral Science Insights </t>
  </si>
  <si>
    <t xml:space="preserve">Natural Disasters - Response </t>
  </si>
  <si>
    <t>Is More Information Always Better? An Experimental Study of Charitable Giving and Hurricane Katrina</t>
  </si>
  <si>
    <t xml:space="preserve">Eckel, C. C., De Oliveira, A. C. M., &amp; Grossman, P. J. </t>
  </si>
  <si>
    <t>Southern Economic Journal</t>
  </si>
  <si>
    <t>We report results of an experiment designed to assess the impact of Hurricane Katrina on the pattern and level of charitable contributions of donors. The study includes an experimental measure of charitable giving and targets three charities: the American Red Cross, the Salvation Army, and Oxfam International. In the experiment subjects make allocation decisions from three endowments ($10, $20, and $50) and with four different matching subsidies (0%, 25%, 50%, and 100%), with the matching amount provided by the experimenter. Two locations (Texas and Minnesota) and two information conditions are used. Survey measures of sympathy, risk perceptions, and perceptions of Katrina victims are also collected. The probability and amount of giving are responsive to the experimental design parameters?the endowment and match. We find evidence of "Katrina overload" as those closest to the disaster respond negatively to Katrina-related priming information. Perceptions of the psychological attitudes of the victims of the disaster have a significant effect on the amount given.</t>
  </si>
  <si>
    <t>BI Team research, unable to substantiate/check findings; written from small case eg; perhaps ok for website.</t>
  </si>
  <si>
    <t xml:space="preserve">When a message is customized to match our needs, we may be more likely to remember and act upon it. In a study aimed to increase regular mammography visits among women in North Carolina, researchers experimented with different types of home delivered messages. Women who received a doctor’s letter tailored to their specific health history were more likely to remember their letter and recall reading it closely than women whose letter was not personalized. By including information that spoke to the patient’s personal health, doctors were able to capture their audience’s attention. </t>
  </si>
  <si>
    <t>Skinner, C.S., Strecher, V.J., &amp; Hospers, H. (1994). Physicians’ Recommendations for Mammography: Do Tailored Messages Make a Difference? American Journal of Public Health, 84(1), 43–49.</t>
  </si>
  <si>
    <t>Findings not significant in primary source; dated artile; not recommended for use.  Only 54% of women who received the letter recalled receiving it, and this recollection did not lead them to action, so I question the relevance of this finding if it is not a recommendation for improving action.</t>
  </si>
  <si>
    <t>Personalizing messages is a cost-effective way to enhance responsiveness. In 2012, a bank in the UK ran an internal fundraising campaign to support meningitis research. As a part of the campaign, the bank asked its employees to donate a day’s salary to support the cause. Employees received an email from the CEO with a generic message asking them to donate. While attempting to increase donations, the bank’s London office found that simply making the email more personal, by addressing the employees by their name instead of the standard “Dear colleague,” caused the percent of employees who donated a day’s salary to more than double - from 5% to 12%.  Researchers also found that providing candy to employees was quite effective—when offered sweets and personalized messages, 17% of employees donated. With this personal touch, the bank was able to draw in participants and ultimately increase employees’ willingness to support meningitis research.</t>
  </si>
  <si>
    <t xml:space="preserve">Sanders, M. (2013). Applying behavioral insights to charitable giving. Cabinet Office Behavioral Insights Team. </t>
  </si>
  <si>
    <t>802, 801</t>
  </si>
  <si>
    <t>BI Team research, unable to substantiate/check findings; written from small case eg; findings not really reported correctly; perhaps ok for website but I would not recommend.</t>
  </si>
  <si>
    <t>Treating people in a way that makes them feel personally valued promotes generous behavior. In the United States, it is now quite a common practice for the waiter to bring, along with the bill, a treat—such as a candy. In a study, waiters in two separate groups offered diners two candies after their meal—with one small catch. One group of diners was given the opportunity to choose two candies from a basket as the waiter delivered the bill. Another group was offered to choose one candy along with the bill, but the waiter checked back in shortly after to see if any members of the party would like a second piece. Though both groups of diners were offered the same amount of candy, the returning waiter provided an additional gesture of interaction, leading to significantly higher tips as a result of people’s motivation to reciprocate generosity. This implies that, in the environmental sector, acting generously to individual audience members may increase their likelihood to engage positive in environmental action.</t>
  </si>
  <si>
    <t>Strohmetz, D.B., Rind, B., Fisher, R., &amp; Lynn, M. (2002) Sweetening the Till: The Use of Candy to Increase Restaurant Tipping. Journal of Applied Social Psychology, 32(2), 300–309.</t>
  </si>
  <si>
    <t>The Psychology of Personalization: How Waiters Increased Tips by 23 Percent (Without Changing Service)</t>
  </si>
  <si>
    <t>https://www.helpscout.net/blog/the-psychology-of-personalization-how-waiters-increased-tips-by-23-percent-without-changing-service/</t>
  </si>
  <si>
    <t xml:space="preserve">Relatable - The importance of storytelling </t>
  </si>
  <si>
    <t>Seeing is Believing: A Guide to Visual Storytelling Best Practices</t>
  </si>
  <si>
    <t>At the heart of every social cause is the need to connect with people; to inspire, convince, and prompt them to take action or change behaviors. It is a tall order. Words, even carefully chosen words, are almost never enough. Time and time again we have seen it is pictures that make the difference. Science shows us that our brains are wired to respond first to visual input. Images are the pathway to human emotions, and emotions govern how people make decisions.</t>
  </si>
  <si>
    <t>http://www.resource-media.org/wp-content/uploads/2013/04/Visual-storytelling-guide.pdf</t>
  </si>
  <si>
    <t>Energy, Pollution</t>
  </si>
  <si>
    <t>Primary source ok; not really sure how it relates to lessons for enviro sector; recommend website only.  Not sure this vignette relates to drawing out individual audience members, but is more about reciprocating generous gestures.</t>
  </si>
  <si>
    <t>In part of a larger study on compassion and pro-environmental attitudes, German researchers at Ulm University tested 94 University students, by showing them two pictures of people suffering: a homeless person and a sick child. Researchers then instructed one group to feel empathy and the other to act neutral and withhold compassion to the best of their ability. Directly after, they surveyed the subjects about their environmental attitudes and actions. The results supported their hypothesis: the group instructed to feel empathy reported stronger environmental conviction and intent to behave in an environmentally friendly manner. This leads to an interesting speculation: not only is empathy a powerful force for change, but when we develop compassion in one area of our lives, it may spill over into other areas or color our views more generally.</t>
  </si>
  <si>
    <t>Pfattheicher, S., Sassenrath, C., &amp; Schindler, S. (2015). Feelings for the Suffering of Others and the Environment: Compassion Fosters Proenvironmental Tendencies. Sage Journals.</t>
  </si>
  <si>
    <t>
The surprising psychology behind why some people become environmentalists</t>
  </si>
  <si>
    <t>https://www.washingtonpost.com/news/energy-environment/wp/2015/03/19/the-surprising-reason-why-some-people-become-environmentalists-and-others-dont/</t>
  </si>
  <si>
    <t xml:space="preserve">Not written from primary source but from Washington Post Article; Not sure why TreeHugger article is cited; Not correctly reported from original article; if re-written from original might be ok; Not sure of "lesson" to enviro sector is relevant. Notes: how do you instruct someone to be empathetic? This is reported in washington post, but not the academic article. Article may actually be about compassion, and not empathy. </t>
  </si>
  <si>
    <t xml:space="preserve">web, training if fixed </t>
  </si>
  <si>
    <t>Climate - Science accpetance</t>
  </si>
  <si>
    <t xml:space="preserve">A study led by Cornell researcher Janis Dickinson sheds surprising light on empathy and effective climate change motivation. Dickinson’s team surveyed over three thousand people and asked them to rate multiple statements in terms of their efficacy in persuading participants to reduce carbon emissions. Two opinions offered stated that a) “climate change is a danger to people” and b) “climate change is a danger to birds”. Surprisingly, participants found statement B much more effective than statement A. The authors believe this is because the thought of human extinction actually kicks us into the same mode of denial that we use to downplay the inevitability of our own deaths in daily life. On the other hand, eliciting empathy for another group of animals, especially one as charismatic and widely encountered as birds, activates no such denial and may prompt greater motivation to act on behalf of the helpless animal. </t>
  </si>
  <si>
    <t>Dickinson, J. L., Crain, R., Yalowitz, S., &amp; Cherry, T. M. (2013). How Framing Climate Change Influences Citizen Scientists’ Intentions to Do Something About It. The Journal of Environmental Education, 44(3), 145-158.</t>
  </si>
  <si>
    <t xml:space="preserve">Can empathy stop climate change? </t>
  </si>
  <si>
    <t>Berkeley</t>
  </si>
  <si>
    <t>http://greatergood.berkeley.edu/article/item/can_empathy_stop_climate_change</t>
  </si>
  <si>
    <t xml:space="preserve">Cannot access primary article; probably needs some tweaking in writing; findings seem speculative.  Use less flourishing language. </t>
  </si>
  <si>
    <t xml:space="preserve">web, training, if source can be accessed + verified </t>
  </si>
  <si>
    <t>Worldvision, a Christian humanitarian organization, organizes 30-hour famine events, in which participants volunteer to fast for 30 hours. This brief experience of hunger fosters a deep and compassionate connection with those experiencing real famines and leaves a long-lasting impression on the participants. Since it started in Canada in 1971, the campaign has now grown to over 100 countries, raising millions of dollars each year. In the US alone, the campaign is reported to have raised more than $140 million between 1992 and 2010. The success of the campaign can be attributed in part to the campaign’s ability to invoke empathy in participants through shared experience.</t>
  </si>
  <si>
    <t>Rosaling S. Helderman</t>
  </si>
  <si>
    <t>Washingotn Post</t>
  </si>
  <si>
    <t>http://www.washingtonpost.com/wp-dyn/content/article/2007/02/24/AR2007022401366.html</t>
  </si>
  <si>
    <t>Secondary source which is marketing material; not really relatable to enviro sector; do not recommend use.</t>
  </si>
  <si>
    <t xml:space="preserve">discard </t>
  </si>
  <si>
    <t>Non-environmental; Fundraising</t>
  </si>
  <si>
    <t>Karen Klein, a 68-year-old bus monitor for a primary school bus in New York, made headlines in September 2012 for a very unusual reason. On one of her regular bus trips, Karen faced a ruthless spell of insults and mean comments by a group of primary school kids on the bus. After the video of the bullying incident was posted on YouTube and began to receive attention, an online fundraising campaign was set up to raise vacation funds for Karen. With the help of the identifiable victim effect, the campaign far exceeded its goal of raising $5,000; the campaign ended up receiving donations from over 30,000 people across 84 countries with a total amount of over $700,000 donated within just a few days.</t>
  </si>
  <si>
    <t xml:space="preserve">http://www.cbsnews.com/news/bullied-bus-monitor-receives-700k-check </t>
  </si>
  <si>
    <t>Training only (as identified previously)</t>
  </si>
  <si>
    <t>Researchers demonstrated both the strengths and limitations of group-based commitments through a series of experiments in which participants were asked to commit to increasing their paper recycling rates. In the first experiment, residents of a retirement home who made a group commitment to recycle for 4 weeks increased their recycling rate by 47%, and maintained this increase during a second 4-week follow-up period. The second study took place in a college residential dorm and involved asking some students to make a group commitment and some to make an individual commitment. Both conditions led students to recycle 3 to 5 times more paper than the control during the 4 week test period. However, only those who had made individual commitments continued to recycle at high rates 3 weeks after the test period ended. Thus, the success of individual and group goal commitments varies, depending on the audience.</t>
  </si>
  <si>
    <t>Wang, T. H., &amp; Katzev, R. D. (1990). Group Commitment and Resource Conservation: Two Field Experiments on Promoting Recycling. Journal of Applied Social Psychology, 20(4), 265-275.</t>
  </si>
  <si>
    <t xml:space="preserve">Can't access source -- vignette could be made more specific </t>
  </si>
  <si>
    <t>PG, web training IF source is accessed</t>
  </si>
  <si>
    <t xml:space="preserve">Commitments are an inexpensive alternative to more technologically complex solutions. In 1997, the the city of Durham, Canada was struggling to keep up with a quickly growing population. Rather than expanding the water supply infrastructure, which would cost around $100 per household, the city decided instead to send student workers to obtain written public commitments from Durham residents, getting them to agree not to water their lawns more than one inch weekly. This significantly reduced the volume of water necessary to hydrate all the new residents, and cut the costs of the water infrastructure upgrade to approximately $19 per household. Though the program has not been implemented every year, in the years since 1997 Water Efficient Durham has reduced peak water use by between 26% and 32%. And even in years when it wasn’t implemented, the effect persisted to a lesser degree, with average water use reductions of 17%. </t>
  </si>
  <si>
    <t>Water-Efficient Durham</t>
  </si>
  <si>
    <t>Tools for Change</t>
  </si>
  <si>
    <t>http://www.toolsofchange.com/English/CaseStudies/?ID=156</t>
  </si>
  <si>
    <t xml:space="preserve">No primary source, need to ask to use this case study done by Tools of Change </t>
  </si>
  <si>
    <t>A sense of personal responsibility may also increase the strength of a commitment. During the summer of 1972, researchers conducted a study in which they staged thefts of a portable radio at Jones Beach, New York. An actor, playing the theft victim, first asked a nearby beachgoer a question before leaving his beach blanket and portable radio unattended. The actor asked one group if they had a lighter, and the other if they would watch the actor’s things. Shortly after the actor left, a thief appeared and blatantly stole the radio. Only 20% of those asked for a lighter attempted to stop the thief, while an astonishing 95% of those asked to watch the victim’s belongings intervened. Instilling the same sense of personal responsibility for the environment may increase the strength of and adherence to environmental commitments.</t>
  </si>
  <si>
    <t>Moriarty, T. (1975). Crime, Commitment, and the Responsive Bystander: Two Field Experiments. Journal of Personality and Social Psychology, 31(2), 370-376.</t>
  </si>
  <si>
    <t xml:space="preserve">Non-environmental, old -- not sure if this is a study worth including for the web </t>
  </si>
  <si>
    <t>web (?), training</t>
  </si>
  <si>
    <t>Consumption - Freshwater; Transportation - General</t>
  </si>
  <si>
    <t>Canada and US; Europe</t>
  </si>
  <si>
    <t xml:space="preserve">Inducing cognitive dissonance without other mechanisms, such as commitment, can backfire. After researchers at UC Santa Cruz hung signs in the showers asking shower users to take shorter showers, some users responded indignantly by increasing their shower duration. Similarly, when car users in the Netherlands received personalized feedback on the environmental and financial impacts of their driving, this did not lead them to drive less. In fact, many of them ended up expressing a reduced concern for the environment, effectively altering their behavior in an undesirable manner to reduce dissonance. A meta-analysis of studies found that for certain interventions, inducing dissonance and creating a public commitment to resolve the dissonance is an effective way to reduce the potential side effects of cognitive dissonance.  </t>
  </si>
  <si>
    <t xml:space="preserve">Aronson, E. &amp; O’Leary, M. (1983). The relative effectiveness of models and prompts on energy conservation: A field experiment in a shower room. Journal of Environmental Systems, 12, 219-224. </t>
  </si>
  <si>
    <t>Stone, J., &amp; Fernandez, N. C. (2008). To Practice What We Preach: The Use of Hypocrisy and Cognitive Dissonance to Motivate Behavior Change. Social and Personality Psychology Compass 2(2), 1024-1051.</t>
  </si>
  <si>
    <t>Not reference checked fully (2nd and 3rd academic articles need checking)</t>
  </si>
  <si>
    <t xml:space="preserve">needs to be rewritten - too many sources, Aronson citation is not directly related to cognitive dissonance. Needs more clarity. </t>
  </si>
  <si>
    <t>The efficacy of methods that induce cognitive dissonance can also vary between cultures. For instance, in one study Canadian and Japanese participants were asked to choose between two CDs they considered nearly equally appealing. After selecting one of the two CDs, they assessed the CDs again. The Canadians evaluated the chosen CD more highly than the unchosen CD, citing its strengths while highlighting the rejected CD’s weaknesses. This reaction stemmed from the Canadian participants’ effort to reduce any dissonance by justifying their choice of one CD over the other. The Japanese participants, however, retained their initial observations of the CDs as equally appealing despite their having chosen one over the other. This reaction demonstrates that mechanisms inducing cognitive dissonance are not universal, but culturally learned. Therefore, cultural values and local norms should be considered when implementing an intervention.</t>
  </si>
  <si>
    <t>Heine, S. J., &amp; Lehman, D. R. (1997). Culture, Dissonance, and Self-Affirmation. Personality and Social Psychology Bulletin, 23(4), 389-400.</t>
  </si>
  <si>
    <t>Kitayama, S., Snibbe, A. C., Markus, H. R., &amp; Suzuki, T. (2004). Is There Any “Free” Choice? Self and Dissonance in Two Cultures. Psychological Science, 15(8), 527-533.</t>
  </si>
  <si>
    <t>this is not directly related to cognitive dissonance. Suggest finding a more straightforward vignette displaying cultural influences on behavior (i.e. Denmark v. US)</t>
  </si>
  <si>
    <t>Relatable - Link it to personal experience, Relatable - The messenger matters</t>
  </si>
  <si>
    <t>What shapes perceptions of climate change?</t>
  </si>
  <si>
    <t>Weber, E. U.</t>
  </si>
  <si>
    <t xml:space="preserve">Wiley Interdisciplinary Reviews: Climate change </t>
  </si>
  <si>
    <t xml:space="preserve">Vivid - Connect action to impact </t>
  </si>
  <si>
    <t>Alarming visual display monitors affecting shower end use water and energy conservation in Australian residential households</t>
  </si>
  <si>
    <t>Willis, R. M., Stewart, R. A., Panuwatwanich, K., Jones, S., &amp; Kyriakides, A.</t>
  </si>
  <si>
    <t>Climate change, as a slow and gradual modification of average climate conditions, is a difficult phenomenon to detect and track accurately based on Relatable experience. Insufficient concern and trust also complicate the transfer of scientific descriptions of climate change and climate variability from scientists to the public, politicians, and policy makers, which is not a simple transmission of facts. Instead, worldview and political ideology, two elements of the cultural context of decisions, guide attention toward events that threaten the desired or existing social order, and shape expectations of change, which in turn guide the detection and interpretation of climate events. Action that follows from climate change perceptions can be informed by different processes. Affect-based decisions about climate change are unlikely to motivate significant action, as politicians and the general public are not particularly worried about climate risks, and because attempts to scare people into greater action may have unintended negative consequences. Analysis-based decisions are also unlikely to result in significant action, because of large discounting of uncertain future costs of climate risks compared to the certain and immediate costs of climate change mitigation. Rule-based decisions that determine behavior based on moral or social responsibility may hold out the best prospects for sustainable action.</t>
  </si>
  <si>
    <t>http://onlinelibrary.wiley.com/doi/10.1002/wcc.41/abstract</t>
  </si>
  <si>
    <t>Intervention</t>
  </si>
  <si>
    <t xml:space="preserve">Sustainable urban water consumption has become a critical issue in Australian built environments due to the country’s dry climate and increasingly variable rainfall. Residential households have the potential to conserve water, especially across discretionary end uses such as showering. The advent of high resolution smart meters and data loggers allows for the disaggregation of water flow recordings into a registry of water end use events (e.g. showers, washing machine, taps, etc.). This study firstly reports on a water consumption end use study sample of 151 households conducted in the Gold Coast, Australia, with a focus on daily per capita shower end use distributions. A sub-sample of 44 households within the greater sample was recruited for the installation of an alarming visual display monitor locked at 40 litres consumption for bathroom showers. All sub-sample shower end use event durations, volumes and flow rates were then analysed and compared utilising independent sample t-tests pre- and post intervention. The installation of the shower monitor instigated a statistically significant mean reduction of 15.40 litres (27%) in shower event volumes. Monetary savings resulting from modelled water and energy conservation resulted in a 1.65 year payback period for the device. Furthermore, conservative modelling indicated that the citywide implementation of the device could yield 3% and 2.4% savings in total water and energy consumption, respectively. Moreover, a range of non-monetary benefits were indentified, including the deferment of water and energy supply infrastructure, reduced resource inflationary pressures, and climate change mitigation, to name a few. Resource consumption awareness devices like the one evaluated in this study assist resource consumers to take ownership of their usage and individually tackle individualistic and/or society driven conservation goals, ultimately helping to reduce the ecological footprint of built environments. </t>
  </si>
  <si>
    <t>http://citeseerx.ist.psu.edu/viewdoc/download?doi=10.1.1.465.9527&amp;rep=rep1&amp;type=pdf</t>
  </si>
  <si>
    <t>Organization</t>
  </si>
  <si>
    <t>Location</t>
  </si>
  <si>
    <t>Institute</t>
  </si>
  <si>
    <t>Type of Organization</t>
  </si>
  <si>
    <t>Goals/ Mission</t>
  </si>
  <si>
    <t>Decision Science Focus Area</t>
  </si>
  <si>
    <t>Work on the Environment</t>
  </si>
  <si>
    <t>Interesting Projects</t>
  </si>
  <si>
    <t>Targets</t>
  </si>
  <si>
    <t>Format</t>
  </si>
  <si>
    <t>What have they done to make work compelling/visible</t>
  </si>
  <si>
    <t>look for articles here</t>
  </si>
  <si>
    <t>Similar to Root Solutions?</t>
  </si>
  <si>
    <t>Twitter</t>
  </si>
  <si>
    <t>College Competition Note</t>
  </si>
  <si>
    <t>Consistent</t>
  </si>
  <si>
    <t>American Council for Energy-Efficient Economy (ACEEE)</t>
  </si>
  <si>
    <t>ACEEE</t>
  </si>
  <si>
    <t xml:space="preserve">The Determinants of Salience of Energy Issues </t>
  </si>
  <si>
    <t>Non-Profit Research</t>
  </si>
  <si>
    <t xml:space="preserve">Lowry, W. R., &amp; Joslyn, M. </t>
  </si>
  <si>
    <t>Review of Policy Research</t>
  </si>
  <si>
    <t>nonprofit research organization dedicated to advancing energy efficiency as a means of promoting economic prosperity, energy security, and environmental protection. They conduct in-depth technical and policy assessments; advise businesses, policymakers, and program managers; work collaboratively with businesses, public interest groups, and other organizations; organize technical conferences proceedings, and reports; educate consumers and businesses</t>
  </si>
  <si>
    <t>Studies show that salience of an issue influences the behavior of political elites, policy responses, and the attitudes of the public. Yet while the effects of salience are given considerable attention, less is known about the factors that produce salience. Specifically, what are the determinants of an issue’s salience? We examine salience of energy issues in the United States over the past six decades and make two contributions. First, we provide systematic explanations of issue salience. Second, contrary to popular conceptions that energy salience is driven entirely by gasoline prices, or some scholarly analyses that salience depends on crises, we argue that other factors increase salience. Specifically, we find that political actors and activities increase energy salience, even after controlling for higher gas prices and shocks. This is an important finding; political dynamics enhance salience. Meaningful political action, therefore, driven by enhanced salience, is not entirely dependent on market forces or unplanned events.</t>
  </si>
  <si>
    <t>CEE_Eval_PeopleCenteredInitiativesEnergy_1Nov2008.pdf</t>
  </si>
  <si>
    <t>WW</t>
  </si>
  <si>
    <t>Asia, Africa</t>
  </si>
  <si>
    <t>Salient</t>
  </si>
  <si>
    <t>42, 43</t>
  </si>
  <si>
    <t>Understanding Risk</t>
  </si>
  <si>
    <t>Bangladesh: Disasters and Public Finance</t>
  </si>
  <si>
    <t>Benson, C., &amp; Clay, E.</t>
  </si>
  <si>
    <t>Cardiff University</t>
  </si>
  <si>
    <t>Authority Bias, Base Rate Fallacy, Availability Bias, Confirmation Bias, Status Quo Bias</t>
  </si>
  <si>
    <t>52, 55, 53, 58, 69</t>
  </si>
  <si>
    <t>This report is based on a selective desk review of the extensive published literature and official documentation on Bangladesh's economy, public finances and natural disasters, as well as visits by the authors to Dhaka from February 2-13, and from September 1-6, 2001. In this connection, the authors would like to thank Bangladesh Govemment and Bangladesh Bank officials as well as many other people in Dhaka, hopefully all listed in Annex B, who generously gave their time and provided invaluable ideas and information without which this report could
not have been completed. The practical assistance provided by SocioconsuH, in particular Clement Perris, who quickly and successfully completed a brief survey of NGOs, and Alamgir Chowdhury is much appreciated. Mavis Clay assisted with the preparation of the report. The maps were prepared by Jim Dempster. The constructive comments on the draft report made by Dr Q.K. Ahmad, Mr Hugh Brammer, Dr. Omer Haider Chowdhury, Dr. Paul Dorosh, Mr. Alistair Femie, Dr. Nabiul Islam, Mr Kazi Fazlur Rahman and Dr. Quazi Shahabuddin were especially
helpful.</t>
  </si>
  <si>
    <t>Climate, Private sector</t>
  </si>
  <si>
    <t>Psychology of climate change; public attitudes towards and acceptability of energy supply systems; sustainable behaviour change and energy demand reduction; social conflicts and sitting of large scale energy technologies; risk perception, communication and public engagement</t>
  </si>
  <si>
    <t>Importance of communicating risk associated with climate change effectively by knowing your audience and making the right information available</t>
  </si>
  <si>
    <t>802, 203</t>
  </si>
  <si>
    <t>The iNudgeyou-team is a research innovation experiment in Guerrilla Research. We work at the intersection of applied behavioural science, public institutions, NGO’s and private stakeholders, with the aim of developing and scientifically validate behaviour change strategies for closing the gap between pro-social intentions and actions.</t>
  </si>
  <si>
    <t>American Council For An Energy-Efficient Economy: Behavior And Human Dimensions Program</t>
  </si>
  <si>
    <t>Washington DC</t>
  </si>
  <si>
    <t>American Council for an Energy-Efficent Economy</t>
  </si>
  <si>
    <t>ngo</t>
  </si>
  <si>
    <t>test behavior change strategies and create the tools for program developers to incorporate into their programs. Support the development and deployment of behavior-based energy efficiency programs and policies</t>
  </si>
  <si>
    <t>broad</t>
  </si>
  <si>
    <t>yes - energy</t>
  </si>
  <si>
    <t>* research on the effectiveness of feedback to reduce energy use
* white paper discussing the state of play in community-based social marketing programs for home energy retrofits
* working to develop a taxonomy od behavior program types and evaluate behavior change methods for energ efficiency</t>
  </si>
  <si>
    <t>provide policy insights, applied, provide knowledge</t>
  </si>
  <si>
    <t>fieldwork, white paper, report, webinar</t>
  </si>
  <si>
    <t>served as co-chair of the Behavior, Energy, and Climate Change conference</t>
  </si>
  <si>
    <t>http://aceee.org/blog/term/65
http://aceee.org/news-blog</t>
  </si>
  <si>
    <t>yes - but does more intensive field work and only focuses on energy</t>
  </si>
  <si>
    <t>Analyst Institute</t>
  </si>
  <si>
    <t>gathers evidence-based best practices in progress vote contact</t>
  </si>
  <si>
    <t>voter persuasion and voter mobilization</t>
  </si>
  <si>
    <t>ngos, applied</t>
  </si>
  <si>
    <t>client-based projects</t>
  </si>
  <si>
    <t>Arc Centre Of Excellence For Environmental Decisions</t>
  </si>
  <si>
    <t>australia</t>
  </si>
  <si>
    <t>ngo/academic?</t>
  </si>
  <si>
    <t>solving environmental management problems and evaluating the outcomes of environmental actions</t>
  </si>
  <si>
    <t>yes - environmental management, policy, monitoring, conservation</t>
  </si>
  <si>
    <t>new frames for hot debates, calculating biodiversity offsets, contributing to threatened species management</t>
  </si>
  <si>
    <t>provide information, influence policy(?)</t>
  </si>
  <si>
    <t>magazine, academic papers, white papers</t>
  </si>
  <si>
    <t>use lots of different media outlets, frequent updates to the news and publications section of their website</t>
  </si>
  <si>
    <t>Association Of Consumer Research</t>
  </si>
  <si>
    <t>Duluth, MN</t>
  </si>
  <si>
    <t>Labovitz School of Business &amp; Economics</t>
  </si>
  <si>
    <t>academic/ngo?</t>
  </si>
  <si>
    <t>provide a forum for exchange of ideas among those interested in consumer behavior research. stimulate research focused on better understanding of consumer behavior. Disseminate research findings through seminars, conferences, publications</t>
  </si>
  <si>
    <t>transformative consumer research - seeks to encourage, support, and publicize research that benefits consumer welfare and quality of life for all beings affected by consumption throughout the world</t>
  </si>
  <si>
    <t>provide information, foster communication</t>
  </si>
  <si>
    <t>academic papers, seminars, conferences, white papers, video</t>
  </si>
  <si>
    <t>conferences, networking opportunities, providing funding</t>
  </si>
  <si>
    <t>provides funding for its members for funding workshops and conferences and address consumer behavior</t>
  </si>
  <si>
    <t>The Impact of the Daily Show and the Colbert Report on Public Attentiveness to Science and the Environment</t>
  </si>
  <si>
    <t>Behavioral Decision-Making Group</t>
  </si>
  <si>
    <t>Feldman, L., Leiserowitz, A., &amp; Maibach, E. W.</t>
  </si>
  <si>
    <t>Social Science Electronic Publishing</t>
  </si>
  <si>
    <t>Los Angeles CA</t>
  </si>
  <si>
    <t>UCLA Anderson School of Management</t>
  </si>
  <si>
    <t>Academic</t>
  </si>
  <si>
    <t>Draw together scholars with diverse disciplinary backgrounds and shared research interests in the behavioral analysis of judgement and decision making</t>
  </si>
  <si>
    <t>provide knowledge, foster communication</t>
  </si>
  <si>
    <t>academic papers</t>
  </si>
  <si>
    <t>List of members: http://www.anderson.ucla.edu/faculty/interdisciplinary-group-in-behavioral-decision-making/members
website hasn't shown much activity since 2012</t>
  </si>
  <si>
    <t>Prior research on the political effects of late-night comedy programs has demonstrated that by piggy-backing political content on entertainment fare, such programs provide a, "gateway," to increased audience attention to news and public affairs, particularly among less politically engaged audiences. Given the heightened coverage of science and environmental topics on Comedy Central’s satirical news programs, "The Daily Show," and, "The Colbert Report," this paper considers whether a similar process could be at work relative to public attention to science and the environment. An analysis of nationally representative survey data finds that audience exposure to, "The Daily Show," and, "The Colbert Report," goes hand-in-hand with attention paid to science and environmental issues, specifically global warming. Moreover, the relationship between satirical news use and attentiveness is most pronounced among those with the least amount of formal education, who might otherwise lack the resources and motivation to pay attention to scientific and environmental issues. In this way, satirical news is an attention equalizer, reducing traditional gaps in attentiveness between those with low and high levels of education.</t>
  </si>
  <si>
    <t>http://papers.ssrn.com/sol3/papers.cfm?abstract_id=1838730</t>
  </si>
  <si>
    <t>Climate as Comedy: The Effects of Satirical Television News on Climate Change Perceptions</t>
  </si>
  <si>
    <t>Brewer, P. R., &amp; McKnight, J.</t>
  </si>
  <si>
    <t>Behavioral Insights Team</t>
  </si>
  <si>
    <t>Two satirical television news programs, The Daily Show and The Colbert Report, cover climate change in ways that affirm the existence of global warming. This study uses data from an experiment (N = 424) to test whether exposure to these programs’ coverage can influence viewers’ certainty that global warming is happening. It also examines whether viewers’ political beliefs predict their interpretations of the programs’ messages about climate change, whether such interpretations are related to viewers’ climate change perceptions, and whether the effects of the programs vary depending on viewers’ political beliefs.</t>
  </si>
  <si>
    <t>London, UK</t>
  </si>
  <si>
    <t>Gov.UK</t>
  </si>
  <si>
    <t>http://sciencepolicy.colorado.edu/students/envs3173/brewer2015.pdf</t>
  </si>
  <si>
    <t>owned by employees, the government, and Nesta</t>
  </si>
  <si>
    <t>help organizations in the UK and overseas apply behavioral insights in support of social purpose goals</t>
  </si>
  <si>
    <t>have worked a little bit on energy use</t>
  </si>
  <si>
    <t>* EAST: Four Simple Ways to Apply Behavior Insights (white paper)
* Behavior change and energy use: behavioral insights team paper</t>
  </si>
  <si>
    <t>business to business (help other organizations build and test their own behavioral insights intervetions), applied, influence policy</t>
  </si>
  <si>
    <t>research (ethnographic research, experiments), papers, host exchanges/conferences</t>
  </si>
  <si>
    <t>they have done a lot of randomized controlled experiments, run workshops and seminars, mailing list</t>
  </si>
  <si>
    <t>http://www.behaviouralinsights.co.uk/press
http://www.behaviouralinsights.co.uk/blog</t>
  </si>
  <si>
    <t>yes - similar philosophy but slightly different target audience, doesn't focus on the environment</t>
  </si>
  <si>
    <t>Behavioral Science &amp; Policy Association</t>
  </si>
  <si>
    <t>Promote the application of rigorous behavioral science research to concrete policy solutions that serve the public interest</t>
  </si>
  <si>
    <t>have an energy and environment policy area - investigates the environmental effects of energy acquisition, transport, and production, as well as efforts for conservation and cleanup. Support for sustainable development</t>
  </si>
  <si>
    <t>influence policy, provide knowledge, foster communication</t>
  </si>
  <si>
    <t>conferences and briefings, networking activities, online information resource, publication of the journal Behavioral Science &amp; Policy</t>
  </si>
  <si>
    <t>http://behavioralpolicy.org/media/</t>
  </si>
  <si>
    <t>Mc</t>
  </si>
  <si>
    <t>Behavioral Science &amp; Policy Center</t>
  </si>
  <si>
    <t>Durham, NC</t>
  </si>
  <si>
    <t>Duke University</t>
  </si>
  <si>
    <t>academic</t>
  </si>
  <si>
    <t>promotes the application of rigorous behavioral science research to public and private sector policy making, and disseminates this work to a broad audience. Unites scholars from a variety of behavioral scienc disciplines and facilitates interactions among behavioral scientists, policy analysts, and leaders from the public private and non-profit sectors</t>
  </si>
  <si>
    <t>publishes the journal Behavioral Science &amp; Policy</t>
  </si>
  <si>
    <t>provide information, foster communication, influence policy, applied</t>
  </si>
  <si>
    <t>conferences, briefings, networking activities, academic papers</t>
  </si>
  <si>
    <t>partners with BSPC, BSPA, the Brookings Institute, Social Science Research Institute, UCLA
List of potential experts: https://bspc.ssri.duke.edu/editorial-board</t>
  </si>
  <si>
    <t>https://bspc.ssri.duke.edu/</t>
  </si>
  <si>
    <t>MC</t>
  </si>
  <si>
    <t>Brainfacts.Org</t>
  </si>
  <si>
    <t>ngo, media</t>
  </si>
  <si>
    <t>publishes cognitive science news</t>
  </si>
  <si>
    <t>broad - publishes cognitive science news</t>
  </si>
  <si>
    <t>provide information</t>
  </si>
  <si>
    <t>news articles, educational articles</t>
  </si>
  <si>
    <t>good visuals, videos</t>
  </si>
  <si>
    <t>http://www.brainfacts.org/News
http://www.brainfacts.org/</t>
  </si>
  <si>
    <t>Busara Center</t>
  </si>
  <si>
    <t>Nairobi, Kenya</t>
  </si>
  <si>
    <t>consulting, ngo</t>
  </si>
  <si>
    <t>harness behavioral economics and field experiments by enabling researchers to conduct lab-based studies in behavioral economics in a developing country and applying the outcomes of research to real-world problems. improve the understanding of how people living in poverty make decision and to leverage that knowledge to product better social outcomes</t>
  </si>
  <si>
    <t>scarcity</t>
  </si>
  <si>
    <t>Run experiments in developing world</t>
  </si>
  <si>
    <t>provide knowledge, influence individual behavior, applied</t>
  </si>
  <si>
    <t>helps run experiments</t>
  </si>
  <si>
    <t>provides support for people trying to use decision science through their lab space and consulting services</t>
  </si>
  <si>
    <t>GREAT to get insight from them based on their experience</t>
  </si>
  <si>
    <t>Relatable - The messenger matters, Vivid - Link the action to it's impact</t>
  </si>
  <si>
    <t>Africa, Canada and the US</t>
  </si>
  <si>
    <t>43, 40</t>
  </si>
  <si>
    <t xml:space="preserve">Salience, Credibility, Legitimacy and Boundaries: Linking Research, Assessment and Decision Making </t>
  </si>
  <si>
    <t>Cash, D., Clark, W. C., Alcock, F., Dickson, N., Eckley, N., &amp; Jager, J.</t>
  </si>
  <si>
    <t>http://www.busaracenter.org/blog/</t>
  </si>
  <si>
    <t xml:space="preserve">The boundary between science and policy is only one of several boundaries that hinder the linking of scientific and technical information to decision making. Managing boundaries between disciplines, across scales of geography and jurisdiction, and between different forms of knowledge is also often critical to transferring information. The research presented in this paper finds that information requires three (not mutually exclusive) attributes – salience, credibility, and legitimacy – and that what makes boundary crossing difficult is that actors on different sides of a boundary perceive and value salience, credibility, and legitimacy differently. Presenting research on water management regimes in the United States, international agricultural research systems, El Niño forecasting systems in the Pacific and southern Africa, and fisheries in the North Atlantic, this paper explores: 1) how effective boundary work involves creating salient, credible, and legitimate information simultaneously for multiple audiences; 2) the thresholds, complementarities and tradeoffs between salience, credibility, and legitimacy when crossing boundaries; and 3) propositions for institutional mechanisms in boundary organizations which effectively balance tradeoffs, take advantage on complementarities, and reach thresholds of salience, credibility, and legitimacy. </t>
  </si>
  <si>
    <t>Campaignstrategy.Org</t>
  </si>
  <si>
    <t>provide strategy information to nonprofit groups</t>
  </si>
  <si>
    <t>yes  - provides advice to climate change campaigners</t>
  </si>
  <si>
    <t>ngos</t>
  </si>
  <si>
    <t>newsletter, educational materials, white papers, blog</t>
  </si>
  <si>
    <t>run by chris rose</t>
  </si>
  <si>
    <t>http://www.campaignstrategy.org/</t>
  </si>
  <si>
    <t>Center For Behavioral And Decision Research</t>
  </si>
  <si>
    <t>Pittsburgh</t>
  </si>
  <si>
    <t>Carnegie Mellon</t>
  </si>
  <si>
    <t>foster communication and research in decision science</t>
  </si>
  <si>
    <t>academic papers, seminars</t>
  </si>
  <si>
    <t>website hasn't been super active since 2012
links to other resources: http://www.cbdr.cmu.edu/links.html</t>
  </si>
  <si>
    <t>Center For Climate And Energy Decision Making</t>
  </si>
  <si>
    <t>develop and promulgate new and innovative, behaviorally and technically informed insights involving the intersection points between climate and energy. Generate methods to frame, analyze, and assist key stakeholders in addressing important decisions regarding climate change and the necessary transformation of the world's energy system</t>
  </si>
  <si>
    <t>yes - climate and energy</t>
  </si>
  <si>
    <t>climate mitigation strategies, climate adaptation strategies, interactions between abatement and adaptation, dealing with unanticipated and extreme impacts</t>
  </si>
  <si>
    <t>provide information, influence policy</t>
  </si>
  <si>
    <t>academic papers, seminars, workshops, videos</t>
  </si>
  <si>
    <t>funded by NSF and Carnegie Mellon University
partners with Duke, UBC, International Risk Governance Council, Penn State, George Mason, Vermont Law School, University of Leeds, University of Calgary, Woods Hole, RAND Pittsburg, RAND Santa Monica</t>
  </si>
  <si>
    <t>http://cedmcenter.org/</t>
  </si>
  <si>
    <t>http://cedmcenter.org/category/news-events/</t>
  </si>
  <si>
    <t>yes - though their work is focused in academia and stresses energy policy</t>
  </si>
  <si>
    <t>Center For Climate Change Communication</t>
  </si>
  <si>
    <t>Fairfax, VA</t>
  </si>
  <si>
    <t>academic, consulting</t>
  </si>
  <si>
    <t>conduct social science research that will facilitate public engagement with climate change issues</t>
  </si>
  <si>
    <t>yes - communications</t>
  </si>
  <si>
    <t>Climate Change in the American Mind
Communicating Climate Change and the Case for Action
National Park Service Climate Change Communication Guide
Global Warming Vs. Climate Change</t>
  </si>
  <si>
    <t>provide information, NGOs</t>
  </si>
  <si>
    <t>provide informatiom, applied, guides</t>
  </si>
  <si>
    <t>funders: http://www.climatechangecommunication.org/support-partners</t>
  </si>
  <si>
    <t>http://www.climatechangecommunication.org/</t>
  </si>
  <si>
    <t>http://www.climatechangecommunication.org/news-press</t>
  </si>
  <si>
    <t>yes - communications work</t>
  </si>
  <si>
    <t>Center For Decision Research</t>
  </si>
  <si>
    <t>Chicago</t>
  </si>
  <si>
    <t>University of Chicago</t>
  </si>
  <si>
    <t>promote the study of human decision making and judgement</t>
  </si>
  <si>
    <t>hosted Using Human Nature to Improve Human Life to examine how basic knowledge about human nature can be used to improve individual and social welfare</t>
  </si>
  <si>
    <t>academic papers, workshops, conferences</t>
  </si>
  <si>
    <t>Thaler
haven't released new publications since 2013</t>
  </si>
  <si>
    <t>http://research.chicagobooth.edu/cdr/faculty</t>
  </si>
  <si>
    <t>http://research.chicagobooth.edu/cdr/news</t>
  </si>
  <si>
    <t>Center For Environmental Policy And Behavior</t>
  </si>
  <si>
    <t>Davis, CA</t>
  </si>
  <si>
    <t>scientific analysis of the interactions among policy institutions, human behavior, and political decisions in the context of environmental and natural resource conflicts. Derive practical lessons that can be used to improve environmental policy</t>
  </si>
  <si>
    <t>social norms/ social networks, public policy general</t>
  </si>
  <si>
    <t>YES - agriculture, rangelands, plants, climate change, water management</t>
  </si>
  <si>
    <t>* social networks and transportation behavior 
* sustainable viticulture: practice adoption and social networks
* evolution of cooperation in multigenerational social dilemmas
* policy networks and climate change adaptation in the Lake Victoria region</t>
  </si>
  <si>
    <t>http://environmentalpolicy.ucdavis.edu/</t>
  </si>
  <si>
    <t>http://environmentalpolicy.ucdavis.edu/news
http://environmentalpolicy.ucdavis.edu/blog</t>
  </si>
  <si>
    <t>Center For Research On Environmental Decisions (Cred)</t>
  </si>
  <si>
    <t>New York,  NY</t>
  </si>
  <si>
    <t>Columbia University</t>
  </si>
  <si>
    <t>Academic, consulting</t>
  </si>
  <si>
    <t>comprehend and confront the gap between society's recognition of environmental problems and its failure to act on these insights</t>
  </si>
  <si>
    <t>* Consumer Responses to Energy Efficiency
* Impacts of Choice Architecture on Vehicle Purchasing
* Lab studies on group discussions, social dilemmas, and uncertainty
* Social scale and response to climate change
* Communication Guide
* Uncertainty, information, institutions &amp; water management in northeast Brazil: Understanding how behavior and participatory structures can improve the use of climate information</t>
  </si>
  <si>
    <t>academic papers, communication guides, videos, white papers</t>
  </si>
  <si>
    <t>field projects, easily accessible educational tools</t>
  </si>
  <si>
    <t>partner organizations: http://cred.columbia.edu/about-cred/partners/partners-in-the-u-s/</t>
  </si>
  <si>
    <t>http://cred.columbia.edu/news-events/cred-in-the-news/</t>
  </si>
  <si>
    <t>yes - they study similar topics but their work is definitely oriented towards academics</t>
  </si>
  <si>
    <t>Center For Risk Perception And Communication</t>
  </si>
  <si>
    <t>to bring together researchers interested in studying risk perception and risk communication, to establish a common framework within which these researchers can communicate and collaborate, and to bring our collective expertise to a diverse set of risk-related projects</t>
  </si>
  <si>
    <t>risk</t>
  </si>
  <si>
    <t>Decision-making competence, Scenarios as a decision-making tool</t>
  </si>
  <si>
    <t>provide information, foster communications</t>
  </si>
  <si>
    <t>seminars, academic papers</t>
  </si>
  <si>
    <t>http://sds.hss.cmu.edu/risk/</t>
  </si>
  <si>
    <t>Centre For Climate Change Economics And Policy</t>
  </si>
  <si>
    <t>University of Leeds, LSE</t>
  </si>
  <si>
    <t>advance public and private action on climate change through rigorous, innovative research into economics and policy. Bring together some of the world's leading researchers</t>
  </si>
  <si>
    <t>broad - focused more on policy evaluation than behavioral interventions</t>
  </si>
  <si>
    <t>yes - climate</t>
  </si>
  <si>
    <t>understanding green growth and climate-compatible development, advancing climate change finance and investment, evaluating the performance of climate policies, managing climate risks and uncertainities and strenghtening climate services, enabling rapid transitions in mitigation and adaptation</t>
  </si>
  <si>
    <t>provide information
change behavior
foster communication
NGOs</t>
  </si>
  <si>
    <t>academic papers, white papers, videos, seminars</t>
  </si>
  <si>
    <t>international scope on energy, climate, and economic issues</t>
  </si>
  <si>
    <t>funded by economic and social research council. Hosted jointly by the university of leeds and the london school of economics and political science</t>
  </si>
  <si>
    <t>http://www.cccep.ac.uk/Home.aspx</t>
  </si>
  <si>
    <t>some seminars and publications discuss how to improve sustainability research and improve climate change communication, but no other than that</t>
  </si>
  <si>
    <t>Centre For Decision Research</t>
  </si>
  <si>
    <t>Leeds, UK</t>
  </si>
  <si>
    <t>University of Leeds</t>
  </si>
  <si>
    <t>brings together researchers who have an interest in human decision making</t>
  </si>
  <si>
    <t>yes - climate change and extreme weather</t>
  </si>
  <si>
    <t>* responses to heatwaves
* public perceptions of climate change and extreme weather events
* public preparedness for climate change
* reducing consumers' electricity use</t>
  </si>
  <si>
    <t>provide information, foster communication, applied</t>
  </si>
  <si>
    <t>academic papers, conferences, seminars</t>
  </si>
  <si>
    <t>integrates research with consulting services</t>
  </si>
  <si>
    <t>http://lubswww.leeds.ac.uk/cdr/introduction/</t>
  </si>
  <si>
    <t>Changelabs</t>
  </si>
  <si>
    <t>Stanford, CA</t>
  </si>
  <si>
    <t>generating new paradigms to initiate rapid, large-scale change. Equip global leaders and innovators with new frameworks so they can engage in ill-defined complex issues and perscribe actionable interventions that are designed for scaled impact</t>
  </si>
  <si>
    <t>Large Scale Energy Savings Project
The Future of Clean Water
Sustainability and Public Safety in Mega-Cities
Responding to Marine Oil Spills
Reinventing Waste Management in India
research on systematic change - help social change leaders, practitioners, enablers, NGOs to more effectively initiate, design, and launch large-scale transformations in accelerated time frames</t>
  </si>
  <si>
    <t>provide information, foster communication, applied, change group behavior, NGOs</t>
  </si>
  <si>
    <t>consulting/research projects</t>
  </si>
  <si>
    <t>Deep Change Model, integrate research with consulting to conduct long-term projects</t>
  </si>
  <si>
    <t>http://changelabs.stanford.edu/index.php/news-and-events/</t>
  </si>
  <si>
    <t>yes - though their work addresses more issues than ours does</t>
  </si>
  <si>
    <t>Choice Lab</t>
  </si>
  <si>
    <t>Bergen, Norway</t>
  </si>
  <si>
    <t>Norweigan School of Economics</t>
  </si>
  <si>
    <t>In order to better understand economic and moral choices, designs experiments that are implemented in a controlled lab or field setting</t>
  </si>
  <si>
    <t>seminars, experiments and academic papers, conferences, workshops</t>
  </si>
  <si>
    <t>work is more philosophical than applied</t>
  </si>
  <si>
    <t xml:space="preserve">Shifting public opinion on climate change: an empirical assessment of factors influencing concern over climate change in the U.S. 2002–2010 </t>
  </si>
  <si>
    <t xml:space="preserve">Brulle, R. J., Carmichael, J., &amp; Jenkins, J. C. </t>
  </si>
  <si>
    <t>Shifting public opinion on climate change: An empirical assessment of factors influencing concern over climate change in the U.S., 2002–2010</t>
  </si>
  <si>
    <t>http://blogg.nhh.no/thechoicelab/?page_id=6898</t>
  </si>
  <si>
    <t xml:space="preserve">This paper conducts an empirical analysis of the factors affecting U.S. public concern about the threat of climate change between January 2002 and December 2010. Utilizing Stimson’s method of constructing aggregate opinion measures, data from 74 separate surveys over a 9-year period are used to construct quarterly measures of public concern over global climate change. We examine five factors that should account for changes in levels of concern: 1) extreme weather events, 2) public access to accurate scientific information, 3) media coverage, 4) elite cues, and 5) movement/countermovement advocacy. A time-series analysis indicates that elite cues and structural economic factors have the largest effect on the level of public concern about climate change. While media coverage exerts an important influence, this coverage is itself largely a function of elite cues and economic factors. Weather extremes have no effect on aggregate public opinion. Promulgation of scientific information to the public on climate change has a minimal effect. The implication would seem to be that information-based science advocacy has had only a minor effect on public concern, while political mobilization by elites and advocacy groups is critical in influencing climate change concern. </t>
  </si>
  <si>
    <t>Choice Modeling Centre</t>
  </si>
  <si>
    <t>aims to bring together expertise from all key disciplines and create an environment of collaboration. Aims to be a one-stop-shop for conducting state of the art theoretical research, making a step change in applied work, and providing teaching and professional development</t>
  </si>
  <si>
    <t>choice modeling</t>
  </si>
  <si>
    <t>yes - as one of many topics</t>
  </si>
  <si>
    <t>Decisions - looks at modeling long and short term decisions
Understanding public perceptions of and responses to heat waves: a behavioral decision research approach</t>
  </si>
  <si>
    <t>academic papers, educational programs</t>
  </si>
  <si>
    <t>http://www.cmc.leeds.ac.uk/</t>
  </si>
  <si>
    <t>part of the The Resource Innovation Group's Social Capital Project</t>
  </si>
  <si>
    <t>provide knowledge that network practitioners need to take their communications about climate to the next level</t>
  </si>
  <si>
    <t>climate access network - brings together climate practitioners across sectors
tracks public opinion and social science research and translates them into key trends, public engagement tools, and new framing approaches
writes guidebooks about climate communcations and behavior change
provides workshops and trainings in climate communications and behavior change, communicating about climate impacts and climate adaptation, ecological worldviews and environmental engagement, and public nerrative and climate change</t>
  </si>
  <si>
    <t>foster communications, NGOs</t>
  </si>
  <si>
    <t>Dynamic Salience with Intermittent Billing: Evidence from Smart Electricity Meters</t>
  </si>
  <si>
    <t>Gilbert, B., &amp; Zivin, J. S. G.</t>
  </si>
  <si>
    <t>semimars, conferences, online training, guidebooks, online forum, fact sheets</t>
  </si>
  <si>
    <t>The National Bureau of Economic Research</t>
  </si>
  <si>
    <t>online forum, lots of media outlets and engagement, lots of online resources</t>
  </si>
  <si>
    <t>founded by the Stonehouse Standing Cirlce and the Rutgers Initiative on Climate and Society. Funded by the Kresge Foundation, Vancity, and Del Mar Global Trust</t>
  </si>
  <si>
    <t>http://www.climateaccess.org</t>
  </si>
  <si>
    <t>yes - but focuses primarily on communications, addresses behavior change as a secondary issue</t>
  </si>
  <si>
    <t>Digital tracking and the proliferation of automated payments have made intermittent billing more commonplace, and the frequency at which consumers receive price, quantity, or total expenditure signals may distort their choices. This category of goods has expanded from household utilities, toll road access and software downloads to standard consumption goods paid by credit card or other "bill-me-later"-type systems. Yet we know surprisingly little about how these payment patterns affect decisions. This paper exploits hourly household electricity consumption data collected by "smart" electricity meters to examine dynamic consumer behavior under intermittent expenditure signals. Households reduce consumption by 0.6% to 1% following receipt of an electricity bill, but the response varies considerably by household type and season. Our results also suggest that spending "reminders" can reduce peak demand, particularly during summer months. We discuss the implications for energy policy when intermittent billing combined with inattention induces consumption cycles.</t>
  </si>
  <si>
    <t>Oxford, UK</t>
  </si>
  <si>
    <t>ensure that climate change and its impacts are understood, accepted and acted upon across the breadth of society in a manner that creates a truly sustainable future. Aims to develop meaningful narratives and storylines about climate change that engage a wide range of people and influence key organizations, raise the voices of those most impacted by climate change</t>
  </si>
  <si>
    <t>yes - climate change engagement</t>
  </si>
  <si>
    <t>Communicating Climate Change: academic papers, newsletter, blog
Community and personal action on climate change
Climate Change Migration and displacement</t>
  </si>
  <si>
    <t>NGOs</t>
  </si>
  <si>
    <t>training, communications strategies, academic paper, newsletter, podcasts, videos</t>
  </si>
  <si>
    <t>multimedia</t>
  </si>
  <si>
    <t>funders: http://www.climateoutreach.org.uk/about/funders-and-partners/</t>
  </si>
  <si>
    <t>http://www.climateoutreach.org.uk/resources/</t>
  </si>
  <si>
    <t>http://www.climateoutreach.org.uk/</t>
  </si>
  <si>
    <t>Common Cause: The Case For Working With Values And Frames</t>
  </si>
  <si>
    <t>ngo(?)</t>
  </si>
  <si>
    <t>Using values and framing to build a more sustainable, equitable, and democratic world</t>
  </si>
  <si>
    <t>Common Cause for Nature - report and practitioner's guide</t>
  </si>
  <si>
    <t>foster communication, NGOs, provide information</t>
  </si>
  <si>
    <t>guidebooks, practitioner's guide, workshops</t>
  </si>
  <si>
    <t>provides downloads of thei guidebooks on their website. Diction on their website is empowering and thoughtful. Fun graphics and projects (human values deck of cards)</t>
  </si>
  <si>
    <t>http://valuesandframes.org/blog/</t>
  </si>
  <si>
    <t>Conservation Pyschology Institute</t>
  </si>
  <si>
    <t>New Hampshire</t>
  </si>
  <si>
    <t>Antioch University</t>
  </si>
  <si>
    <t>They do trainings</t>
  </si>
  <si>
    <t>http://www.antiochne.edu/academics/continuing-education/the-conservation-psychology-institute/</t>
  </si>
  <si>
    <t>Decision Analysis Society</t>
  </si>
  <si>
    <t>promotes the development and use of logical methods for improving decision-making in public and private enterprise</t>
  </si>
  <si>
    <t>risk and uncertainty, competition and strategy</t>
  </si>
  <si>
    <t>part of INFORMS
hard to find info</t>
  </si>
  <si>
    <t>https://www.informs.org/Community/DAS</t>
  </si>
  <si>
    <t>Decision Research</t>
  </si>
  <si>
    <t>Eugene, OR</t>
  </si>
  <si>
    <t>ngo, consulting(?)</t>
  </si>
  <si>
    <t>investigating the psychological, cultural, political, and geographic factors that drive public environmental perception and behavior. Developing methods to assist people and organizations in making environmental decisions</t>
  </si>
  <si>
    <t>broad, dealing with risk and uncertainty</t>
  </si>
  <si>
    <t>publications:
Psychological aspects of the rejection of recycled water: Contamination, purification and disgust
Modeling and debiasing resource saving judgements
The affect heuristic, mortality salience, and risk: Domain-specific effects of a natural disaster on risk-benefit perception</t>
  </si>
  <si>
    <t>Have a large body of experts who conduct original research</t>
  </si>
  <si>
    <t>Partners with CRED,  receives funding from the EPA, NSF, NIH, and NASA</t>
  </si>
  <si>
    <t>http://www.decisionresearch.org/publications_search/?display=yes&amp;pubnumber=&amp;author=&amp;title=&amp;fullreference=&amp;keywords=environment&amp;abstract=&amp;year=&amp;new_query=Search+Publications&amp;new_display_records=10&amp;min=0&amp;total_records=793&amp;last_record=10&amp;display_records=10</t>
  </si>
  <si>
    <t>Decision Science And Policy | Pschology Of Environmental Decision Making</t>
  </si>
  <si>
    <t>Temple, Arizona</t>
  </si>
  <si>
    <t>ASU Decision Center for a Desert City</t>
  </si>
  <si>
    <t>Conducting climate, water, and decision research and developing innovative tools to bridge the boundary between scientists and decision makers and put our work into the hands of those whose concern is for the sustainable future of Greater Phoenix</t>
  </si>
  <si>
    <t>yes
Urban climate adaptation</t>
  </si>
  <si>
    <t>The Psychology of Environmental Decision Making
Decision Science and Policy
Water Demand Research</t>
  </si>
  <si>
    <t>provide information, influence policy, applied</t>
  </si>
  <si>
    <t>academic papers, partnerships with other organizations, educational programs, workshops, briefings</t>
  </si>
  <si>
    <t>present their work in a wide variety of formats intended to reach different audiences. Very specific research focus that bridges work in decision science, environmental policy, and quantitative modeling</t>
  </si>
  <si>
    <t>https://dcdc.asu.edu/news/</t>
  </si>
  <si>
    <t>yes - they have similar goals but their work is more about making infrastructure changes in phoenix</t>
  </si>
  <si>
    <t>Decisions And Ethics Center</t>
  </si>
  <si>
    <t>promote research on decision analysis, social systems, and ethics</t>
  </si>
  <si>
    <t>http://main.da.stanford.edu/home</t>
  </si>
  <si>
    <t>European Association Of Decision Making</t>
  </si>
  <si>
    <t>advancement and diffusion of knowledge about human judgement and decision making and providing support for the exchange of information relating to this subject between the members of other organizations throughout the world</t>
  </si>
  <si>
    <t>provide information, foster communcation</t>
  </si>
  <si>
    <t>meetings, workshops, summer schools, conferences, funding, mailing lists</t>
  </si>
  <si>
    <t>lots of engagement opportunities, seems to be trying hard to engage decision science researchers and create a cohesive community</t>
  </si>
  <si>
    <t>provides funding to decision science researchers</t>
  </si>
  <si>
    <t>http://eadm.eu/</t>
  </si>
  <si>
    <t>Fox Uncertainty Lab</t>
  </si>
  <si>
    <t>decision neuroscience, choice architecture and behavioral policy, organization behavior and strategy, decision making under uncertainty and risk</t>
  </si>
  <si>
    <t>Greenudge</t>
  </si>
  <si>
    <t>oslo</t>
  </si>
  <si>
    <t>Danish Nudging Network</t>
  </si>
  <si>
    <t>through cooperation with research institutions, organizations and business--initiate, finance, and promote research that combines behavioral research with climate measures</t>
  </si>
  <si>
    <t>why do heat pumps cause a rebound effect in Norway?
Better information makes customers more environmentally aware</t>
  </si>
  <si>
    <t>white papers</t>
  </si>
  <si>
    <t>partners: http://www.greenudge.no/en/samarbeidspartnere
funds research programs which combine behavioral research and climate measures</t>
  </si>
  <si>
    <t>http://www.greenudge.no/en/</t>
  </si>
  <si>
    <t>Harmony Institute</t>
  </si>
  <si>
    <t>NGO</t>
  </si>
  <si>
    <t>works to understand the impact of films, journalism, television, and games on audiences and pressing social issues. Colloborate with media makers and stakeholders to study the impact of entertainment</t>
  </si>
  <si>
    <t>Impact Strategy for Storytellers - A simple framework for developing powerful cause marketing campaigns
Offline Indicators Impact Glossary - Impact metics for tracking change in individuals, groups, and institutions</t>
  </si>
  <si>
    <t>entertainment evaluations, product and tool development</t>
  </si>
  <si>
    <t>does research on popular media</t>
  </si>
  <si>
    <t>Partners with CRED</t>
  </si>
  <si>
    <t>http://harmony-institute.org/about-us/</t>
  </si>
  <si>
    <t>Harvard Decision Science Laboratory</t>
  </si>
  <si>
    <t>Boston, MA</t>
  </si>
  <si>
    <t>Harvard</t>
  </si>
  <si>
    <t>studies how people make decisions and identifies strategies that help people, organizations, and society improve decision making approaches</t>
  </si>
  <si>
    <t>emotional influences on judgement and choice, leadership decision making, trust is decision making and negotiation</t>
  </si>
  <si>
    <t>books, academic papers</t>
  </si>
  <si>
    <t>ask a decision scientist column on their website</t>
  </si>
  <si>
    <t>http://decisionlab.harvard.edu/</t>
  </si>
  <si>
    <t>http://decisionlab.harvard.edu/media
http://decisionlab.harvard.edu/blog/</t>
  </si>
  <si>
    <t>Ideas42</t>
  </si>
  <si>
    <t>apply expertise in behavioral science to design innovative solutions to some of the world's toughest social problems. improve the lives of people. Aims to educate leaders and policy-makers about how behavioral science can help solve social problems, assist insitutions by designing low-cost interventions to change behavior, invent fresh solutions based on behavioral insights that can be brought to scale</t>
  </si>
  <si>
    <t>nudging for success: breaking behavioral barriers in the financal aid system
behavioral economics for innovations in family planning and reproductive health</t>
  </si>
  <si>
    <t>provide information, NGOs, change group behavior</t>
  </si>
  <si>
    <t>white papers, academic papers</t>
  </si>
  <si>
    <t>http://www.ideas42.org/</t>
  </si>
  <si>
    <t>yes - not focused exclusively on environmental issues</t>
  </si>
  <si>
    <t>Influence At Work</t>
  </si>
  <si>
    <t>professional research to improve organizational and personal performance by deploying ethical influence strategies.</t>
  </si>
  <si>
    <t>presentations, workshops, training program</t>
  </si>
  <si>
    <t>training programs, work discussed by a wide variety of different media sources</t>
  </si>
  <si>
    <t>founded by robert cialdini</t>
  </si>
  <si>
    <t>Institute For Environmental Decisions (Ied)</t>
  </si>
  <si>
    <t>Zurich</t>
  </si>
  <si>
    <t>ETH Zurich</t>
  </si>
  <si>
    <t>yes - energy and climate, food and agriculture, general</t>
  </si>
  <si>
    <t>groups: environmental systems science, environmental policy and economics, human-environment systems, natural resource policy, society environment and culture, natural and social science interface</t>
  </si>
  <si>
    <t>seminars, educational programs, conferences, academic papers, books</t>
  </si>
  <si>
    <t>very interdisplinary, works at an international scale</t>
  </si>
  <si>
    <t>maybe - their work covers more topics and is geared primarily towards academics</t>
  </si>
  <si>
    <t>Institute Of Decision Making</t>
  </si>
  <si>
    <t>San Francisco, CA</t>
  </si>
  <si>
    <t>consulting</t>
  </si>
  <si>
    <t>provide clients with behaviorally based insights on how to influence consumer choice. Gather insights from behavioral economics and neuroscience and apply them to marketing communications work</t>
  </si>
  <si>
    <t>the business of choice: marketing to consumers' instincts</t>
  </si>
  <si>
    <t>client-based consulting company</t>
  </si>
  <si>
    <t>book, applied</t>
  </si>
  <si>
    <t>founded by matthew willcox</t>
  </si>
  <si>
    <t>http://www.instituteofdecisionmaking.com/</t>
  </si>
  <si>
    <t>Irrationality Labs</t>
  </si>
  <si>
    <t>applies behavioral economics findings to product, marketing, and organizational design problems.</t>
  </si>
  <si>
    <t>hacking human nature for good: a practical guide to changing human behavior</t>
  </si>
  <si>
    <t>workbooks, consulting projects</t>
  </si>
  <si>
    <t xml:space="preserve">website is very well organized </t>
  </si>
  <si>
    <t>founded by dan ariely and kristen berman
</t>
  </si>
  <si>
    <t>http://irrationallabs.org/</t>
  </si>
  <si>
    <t>Human health, Land Use</t>
  </si>
  <si>
    <t>similar goals but doesn't focus on the environment</t>
  </si>
  <si>
    <t>Mit Sloan School Of Management Sustainability Initiative</t>
  </si>
  <si>
    <t>MIT Sloan School of Business</t>
  </si>
  <si>
    <t>seek to inspire change by engaging people in open dialogue around sustainability issues and challenging them to consider their own values related to social justice, care for future generations, and the fluorishging of life</t>
  </si>
  <si>
    <t>broad - takes a management-based approach to sustainability issues</t>
  </si>
  <si>
    <t>yes - sustainability, energy</t>
  </si>
  <si>
    <t>Fishbanks: interactive game that teaches the dynamics of renewable resoures by challenging players to build a sustainable fishing business
PepsiCo: students help PepsiCo think about sustainable agriculture metrics
Alternative Fuels: flight simulator focused on alternative fuels in transportation and research in buyer behavior influencing vehicle purchases</t>
  </si>
  <si>
    <t>provide information, applied</t>
  </si>
  <si>
    <t>educational programs, academic papers, projects, videos</t>
  </si>
  <si>
    <t>partners with large companies to make work that seems impactful and exciting</t>
  </si>
  <si>
    <t>http://mitsloan.mit.edu/sustainability/</t>
  </si>
  <si>
    <t>http://mitsloan.mit.edu/sustainability/in-the-news</t>
  </si>
  <si>
    <t>National Environemntal Research Program</t>
  </si>
  <si>
    <t>carry out applied research in decision science for biodiversity conservation</t>
  </si>
  <si>
    <t>yes - conservation, biodiversity, ecosystem protection and economics</t>
  </si>
  <si>
    <t>influence policy</t>
  </si>
  <si>
    <t>funded by the australian government</t>
  </si>
  <si>
    <t>http://nerpdecisions.edu.au/</t>
  </si>
  <si>
    <t>commercial</t>
  </si>
  <si>
    <t>combines a cloud-based platform, big data, and behavioral science to help utilities around the world reduce energy consumption</t>
  </si>
  <si>
    <t>energy efficiency, demand response, digital engagement</t>
  </si>
  <si>
    <t>applied</t>
  </si>
  <si>
    <t>commercial project</t>
  </si>
  <si>
    <t>videos, public speaking events</t>
  </si>
  <si>
    <t>opower.com</t>
  </si>
  <si>
    <t>yes - but this is a private company that focuses on promoting energy conservation</t>
  </si>
  <si>
    <t>Resource-Media</t>
  </si>
  <si>
    <t>multiple</t>
  </si>
  <si>
    <t>Develop and execute smart communications strategies for environemntal and public health campaigns. Assist in reframing contentious debates in ways that resonate with target audiences, help advocates use their communications assets efficiently and effectively, increase the power and impact of policy campaigns</t>
  </si>
  <si>
    <t>yes - aid in environmental campaign development</t>
  </si>
  <si>
    <t>examining communcations impact, changing the conversation about wildfire in California, Look Who's Talking About Climate Change</t>
  </si>
  <si>
    <t>help develop social marketing campaigns, worksheets and other educational materials available on their website</t>
  </si>
  <si>
    <t>their website is laid out in a very methodical way with lots of examples of successful campaigns they have helped implement</t>
  </si>
  <si>
    <t>The Brainerd Foundation funded the development of a database similar to ours. List of funders: http://www.resource-media.org/about/funding-partners/</t>
  </si>
  <si>
    <t>http://www.resource-media.org/blog/</t>
  </si>
  <si>
    <t>yes - their communications work is similar</t>
  </si>
  <si>
    <t>Society For Judgement And Decision Making</t>
  </si>
  <si>
    <t>103, 304</t>
  </si>
  <si>
    <t>the study of normative, descriptive, and prescriptive theories of judgments and decisions</t>
  </si>
  <si>
    <t>provide information, foster communication (networking opportunities)</t>
  </si>
  <si>
    <t>conferences, publishes the journal Judgment and Decision Making, mailing list, newsletter, book series</t>
  </si>
  <si>
    <t>mailing list, provides networking and professional collaboration opportunities, website includes links to lots of related organizations and resources</t>
  </si>
  <si>
    <t>newsletter sign up: http://mail.sjdm.org/mailman/listinfo/jdm-society
research page: http://www.sjdm.org/links.html#research</t>
  </si>
  <si>
    <t>http://www.sjdm.org/</t>
  </si>
  <si>
    <t>Susstain</t>
  </si>
  <si>
    <t>Columbia University, Woodrow Wilson Center for Scholars</t>
  </si>
  <si>
    <t>demonstrate how insights from the behavioral and social sciences can be put to work on energy consumption challenges in real-world applications and to disseminate that learning and experience into the research, policy, and business communities in order to facilitate progress towards energy efficiency</t>
  </si>
  <si>
    <t>smart grid projects, choice architecture to guide infrastructure development decisions that impact energy use</t>
  </si>
  <si>
    <t>provide information, ngos, applied</t>
  </si>
  <si>
    <t>projects</t>
  </si>
  <si>
    <t>initially funded by nsf. Partners with Avista, the Institute for Sustainable Infrastructure, and the Department of Defense</t>
  </si>
  <si>
    <t>http://susstain.org/</t>
  </si>
  <si>
    <t>yes - focuses exclusively on energy</t>
  </si>
  <si>
    <t>Energy, Population</t>
  </si>
  <si>
    <t>Translates the best research evidence into practical guides on a wide range of topics, ensuring academics and practitioners get the most from climate change communication research</t>
  </si>
  <si>
    <t>broad - communications</t>
  </si>
  <si>
    <t>yes - climate communications</t>
  </si>
  <si>
    <t>Communicating climate change, communicating climate science, encouraging sustainable behaviour, climate change scepticism and the media, public perceptions of climate change</t>
  </si>
  <si>
    <t>NGOs, provide information</t>
  </si>
  <si>
    <t>database of academic papers, newsletter, blog, guides, factsheets, e-book</t>
  </si>
  <si>
    <t>multimedia, partners with several high-level organizations</t>
  </si>
  <si>
    <t>partners with Climate Access</t>
  </si>
  <si>
    <t>http://talkingclimate.org/</t>
  </si>
  <si>
    <t>http://talkingclimate.org/blog/</t>
  </si>
  <si>
    <t>The Conservation Decisions Team</t>
  </si>
  <si>
    <t>france</t>
  </si>
  <si>
    <t>CSIRO Land and Water</t>
  </si>
  <si>
    <t>academic?</t>
  </si>
  <si>
    <t>pioneering techniques in optimal conservation resource allocation, cost-effectivess analysis, expert elicitation and adapative management. Apply expertise to diverse conservation problems to inform the recovery of endangered species, management of invasive species and diseases, design of conservation reserves, and the prioritization of threat management to conserve biodiversity. solve global conservation problems by connecting ecological data with decision science to determine what actions to take, when and where to get the best outcomes for biodiversity conservation</t>
  </si>
  <si>
    <t>yes - conservation and biodiversity</t>
  </si>
  <si>
    <t>http://conservationdecisions.org/</t>
  </si>
  <si>
    <t>The Cultural Cognition Project</t>
  </si>
  <si>
    <t>Yale</t>
  </si>
  <si>
    <t>studiying cultural values and how they shape public risk and perception. Identify the processes of democratic decisionmaking by which society can resolve culturally grounded differences in belief in a manner that is both cogenial and consistent with sound policymaking</t>
  </si>
  <si>
    <t>broad - risk</t>
  </si>
  <si>
    <t>only as a secondary issue</t>
  </si>
  <si>
    <t>evidence based science communication initiative</t>
  </si>
  <si>
    <t>academic papers, videos</t>
  </si>
  <si>
    <t>http://www.culturalcognition.net/</t>
  </si>
  <si>
    <t>The Hofstede Centre</t>
  </si>
  <si>
    <t>itim international</t>
  </si>
  <si>
    <t>ngo?</t>
  </si>
  <si>
    <t>offer education in the field of culture and management based on academic research and practical experience.</t>
  </si>
  <si>
    <t>cultural dimensions of organizational culture</t>
  </si>
  <si>
    <t>educational materials, books, articles</t>
  </si>
  <si>
    <t>http://geert-hofstede.com/</t>
  </si>
  <si>
    <t>The National Socio-Environmental Synthesis Center (Sesync)</t>
  </si>
  <si>
    <t>Annapolis, MD</t>
  </si>
  <si>
    <t>accelerating scientific discovery at the interface of human and ecological systems. Support data-driven solutions to pressing socio-environmental problems</t>
  </si>
  <si>
    <t>yes - broad</t>
  </si>
  <si>
    <t>Projects Funded: Teaching Socio-Environmnetal Synthesis with Case Studies, The Socio-Environmental Data Explorer, Salience &amp; Wildfire</t>
  </si>
  <si>
    <t>funds scientific research, workshops, and fellowships. Runs workshops</t>
  </si>
  <si>
    <t>Among other things, they do fund workshops; applications are reviewed in the Fall and Spring of each year</t>
  </si>
  <si>
    <t>funded by the University of Maryland and NSF
seek funding from them?</t>
  </si>
  <si>
    <t>http://www.sesync.org/</t>
  </si>
  <si>
    <t>http://www.sesync.org/about/center-news
http://www.sesync.org/blog</t>
  </si>
  <si>
    <t>U.S. Army Risk &amp; Decision Science</t>
  </si>
  <si>
    <t>U.S. Army</t>
  </si>
  <si>
    <t>government organization, consulting</t>
  </si>
  <si>
    <t>improve decision-making and stakeholder engagement through application and development of risk and decision science techniques</t>
  </si>
  <si>
    <t>risk and uncertainty</t>
  </si>
  <si>
    <t>change individual behavior
change group behavior</t>
  </si>
  <si>
    <t>http://el.erdc.usace.army.mil/riskdecision/</t>
  </si>
  <si>
    <t>UCL Center For Behavior Change</t>
  </si>
  <si>
    <t>University College London</t>
  </si>
  <si>
    <t>promoting research that increase human wellbeing</t>
  </si>
  <si>
    <t>Behaviour Change Initiative</t>
  </si>
  <si>
    <t>provide information, foster communication, influence policy</t>
  </si>
  <si>
    <t>working group, seminars, academic papers, white papers</t>
  </si>
  <si>
    <t>http://www.ucl.ac.uk/human-wellbeing/b-change</t>
  </si>
  <si>
    <t>Wbs Behavioural Science Group</t>
  </si>
  <si>
    <t>Coventry, UK</t>
  </si>
  <si>
    <t>University of Warwick</t>
  </si>
  <si>
    <t>linking theoretical and policy challenges in the social sciences with experimental methods and results from the natural sciences. Intends to be a bridge between what people know, and what studies confirm about human behavior, and the standard economic model. Aims to move to new methods for understanding aggregate behavior besides those used in traditional economics</t>
  </si>
  <si>
    <t>804, 502</t>
  </si>
  <si>
    <t>New Economic Models in the Digital Economy - Big Data, Innovations and New Business Models
Risk, Time and Society: The Behavioral Economics of Value - how humans arrive at valuations of goods and services in the present and the future</t>
  </si>
  <si>
    <t>educational programs, academic projects and papers</t>
  </si>
  <si>
    <t>http://www2.warwick.ac.uk/fac/soc/wbs/subjects/bsci/aboutus/</t>
  </si>
  <si>
    <t>http://www2.warwick.ac.uk/fac/soc/wbs/subjects/bsci/news-home/</t>
  </si>
  <si>
    <t>Yale Project On Climate Change Communication</t>
  </si>
  <si>
    <t>New Haven, CT</t>
  </si>
  <si>
    <t>Conducts research on public climate knowledge, risk perceptions, decision-making, and behavior. Designs and tests new strategies to engage the public in climate science and solutions. Empowers educators and communicators with the knowledge and tools to effectively engage their audiences</t>
  </si>
  <si>
    <t>Climate Change in the American Mind: investigates, explains, and tracks public understanding of climate change, support for climate policies, and the current barriers to action. Designs and tests new strategies to engage the public in climate science and solutions
International Public Opinion on Climate Change</t>
  </si>
  <si>
    <t>NGOs, provide informations</t>
  </si>
  <si>
    <t>academic papers, white papers, videos, webinars, radio series, conference</t>
  </si>
  <si>
    <t>couples original research with lots of different outreach projects</t>
  </si>
  <si>
    <t>http://environment.yale.edu/climate-communication/</t>
  </si>
  <si>
    <t>http://environment.yale.edu/climate-communication/
http://environment.yale.edu/climate-communication/filtered/?action=add_filter&amp;f1=f1</t>
  </si>
  <si>
    <t>The Hunting Dynasty</t>
  </si>
  <si>
    <t>http://www.thehuntingdynasty.com/</t>
  </si>
  <si>
    <t>World Bank Group</t>
  </si>
  <si>
    <t>World Bank</t>
  </si>
  <si>
    <t>inter-governmental</t>
  </si>
  <si>
    <t>end extreme poverty, promote shared prosperity</t>
  </si>
  <si>
    <t>yes - indirectly through the lens of international development</t>
  </si>
  <si>
    <t>World Development Report 2015: Mind, Society and Behavior</t>
  </si>
  <si>
    <t>influence policy, NGOs</t>
  </si>
  <si>
    <t>http://www.worldbank.org/en/publication/wdr2015</t>
  </si>
  <si>
    <t>the report has similar objectives</t>
  </si>
  <si>
    <t>Department for Environment Food &amp; Rural Affairs</t>
  </si>
  <si>
    <t>government organization</t>
  </si>
  <si>
    <t>waste and recycling, household energy, flooding and coastal change, marine fisheries, freshwater fisheries, marine environments, energy demand
publicaitons: behavioral economics in Defra: Applying theory to policy
Behavioural economics &amp; Energy using Products - scoping research on discounting behaviour and consumer reference points</t>
  </si>
  <si>
    <t>applied projects, white papers, can influence government policy</t>
  </si>
  <si>
    <t>https://www.gov.uk/government/organisations/department-for-environment-food-rural-affairs</t>
  </si>
  <si>
    <t>World Economic Forum</t>
  </si>
  <si>
    <t>yes - mostly in the context of energy and infrastructure development</t>
  </si>
  <si>
    <t>Cognitive and Behavioural Science Panel</t>
  </si>
  <si>
    <t>white papers, conferences and forum</t>
  </si>
  <si>
    <t>http://www.weforum.org/</t>
  </si>
  <si>
    <t>#ogilychange</t>
  </si>
  <si>
    <t>working with some of the world's largest brands to change people's minds and behavior for the better</t>
  </si>
  <si>
    <t>yes - tangentially</t>
  </si>
  <si>
    <t>applied projects</t>
  </si>
  <si>
    <t>video series</t>
  </si>
  <si>
    <t>marketing company</t>
  </si>
  <si>
    <t>http://www.ogilvychange.com/</t>
  </si>
  <si>
    <t>Climate Psychology Alliance</t>
  </si>
  <si>
    <t>http://www.climatepsychologyalliance.org/</t>
  </si>
  <si>
    <t>The Climate Media</t>
  </si>
  <si>
    <t>help develop fresh and popular approaches to climate change in non-news UK media</t>
  </si>
  <si>
    <t>http://theclimatemedia.net/</t>
  </si>
  <si>
    <t>Centre for Behaviour Change</t>
  </si>
  <si>
    <t>http://www.ucl.ac.uk/behaviour-change/index</t>
  </si>
  <si>
    <t>UC Davis Center for Water-Energy Efficiency</t>
  </si>
  <si>
    <t>water and energy efficiency</t>
  </si>
  <si>
    <t>Behavior-Based Water Conservation</t>
  </si>
  <si>
    <t>http://cwee.ucdavis.edu/</t>
  </si>
  <si>
    <t>Bits to Energy Lab</t>
  </si>
  <si>
    <t>ETH Zurich, University of Bamberg, University of St. Gallen</t>
  </si>
  <si>
    <t>combines information technology and behavioral sciences to promote sustainable energy consumption</t>
  </si>
  <si>
    <t>http://www.bitstoenergy.ch/</t>
  </si>
  <si>
    <t>Consensus</t>
  </si>
  <si>
    <t>research</t>
  </si>
  <si>
    <t>Uses social science and collaborative research methods to explore innovative solutions for sustainable household consumption in Ireland</t>
  </si>
  <si>
    <t>yes - heating, eating, and washing (energy, food, water, mobility)</t>
  </si>
  <si>
    <t>working to co-design processes to identify novel social and technical innovations for sustainable behavior</t>
  </si>
  <si>
    <t>http://www.consensus.ie/</t>
  </si>
  <si>
    <t>Upwell</t>
  </si>
  <si>
    <t xml:space="preserve">Listen to what people say about the environment, looking for upwelling of conversation. Curate and contextualize the best online ocean content online, create tools, and forge connections to help these conversations push past sticking points. </t>
  </si>
  <si>
    <t>yes - oceans</t>
  </si>
  <si>
    <t>http://www.upwell.us/</t>
  </si>
  <si>
    <t>no. they help curate communications</t>
  </si>
  <si>
    <t>Advance the nonprofit sector's communications capacity by identifying, translating and modeling relevant scholarly research for framing the public discourse about social problems</t>
  </si>
  <si>
    <t>framing</t>
  </si>
  <si>
    <t>yes - oceans, global warming, and environmental health</t>
  </si>
  <si>
    <t>http://www.frameworksinstitute.org/</t>
  </si>
  <si>
    <t>Center for Environmental Communication</t>
  </si>
  <si>
    <t>New Orleans</t>
  </si>
  <si>
    <t>Loyola University</t>
  </si>
  <si>
    <t>Publishes ENVIRODecisions, a newsletter dealing with the communication of environmental topics</t>
  </si>
  <si>
    <t>http://www.loyno.edu/lucec/</t>
  </si>
  <si>
    <t>Decision Science Research Group</t>
  </si>
  <si>
    <t>UC Berkeley</t>
  </si>
  <si>
    <t>http://www.decisionsciencegroup.org/</t>
  </si>
  <si>
    <t>project planning guide</t>
  </si>
  <si>
    <t>webinars, workshops, case studies, project planning guide</t>
  </si>
  <si>
    <t>Personal</t>
  </si>
  <si>
    <t>Qikiktagrugmiut climate change case study</t>
  </si>
  <si>
    <t>International Arctic Science Committee</t>
  </si>
  <si>
    <t>Identify scientific priorities for its member countries and develop global scientific knowledge</t>
  </si>
  <si>
    <t xml:space="preserve">non government research </t>
  </si>
  <si>
    <t>facilitate and promote cooperation in all aspects of Arctic research in all countries engaged in Arctic research and in all areas of the Arctic region.</t>
  </si>
  <si>
    <t xml:space="preserve">Relatable, Associations </t>
  </si>
  <si>
    <t>8, 4</t>
  </si>
  <si>
    <t xml:space="preserve">Relatable - Messenger matters, Associations - </t>
  </si>
  <si>
    <t xml:space="preserve"> How do young people engage with climate change? The role of knowledge, values, message framing, and trusted communicators</t>
  </si>
  <si>
    <t>Corner, A., Roberts, O., Chiari, S., Völler, S., Mayrhuber, E. S., Mandl, S., &amp; Monson, K.</t>
  </si>
  <si>
    <t>Wiley Interdisciplinary Reviews: Climate Change</t>
  </si>
  <si>
    <t>http://www.iasc.se/</t>
  </si>
  <si>
    <t>Feedback</t>
  </si>
  <si>
    <t>NOAA Tides and Currents</t>
  </si>
  <si>
    <t>Government</t>
  </si>
  <si>
    <t xml:space="preserve">Despite several decades of research on more effectively communicating climate change to the general public, there is only a limited amount of knowledge about how young people engage with an issue that will shape and define their generation. We provide a thorough review of international studies in this area, drawing on survey data and qualitative research. The review is organized into two main sections. The first briefly situates young people's engagement with climate change relative to other concerns and examines levels of awareness, concern and ‘scepticism’ among this age group. The second focuses on four key determinants of effective climate change communication and assess whether young people differ in any appreciable way from research findings relating to the general population. The four factors are the role of values and worldviews in determining climate change views; the efficacy of ‘information-based’ interventions; the ‘psychological distance’ of climate change and message framing; and the role of trusted messengers. In the concluding section we discuss the implications for engaging young people more effectively and explore possibilities for future research. </t>
  </si>
  <si>
    <t>Yes - Oceans</t>
  </si>
  <si>
    <t>PORTS Physical Oceanographic Real-Time System</t>
  </si>
  <si>
    <t>http://tidesandcurrents.noaa.gov/ports.html</t>
  </si>
  <si>
    <t>Native Village of Kotzebu</t>
  </si>
  <si>
    <t>The California Report</t>
  </si>
  <si>
    <t>KQED News</t>
  </si>
  <si>
    <t>The California Report provides daily coverage of news and culture throughout the state.
</t>
  </si>
  <si>
    <t>Public Radio; website</t>
  </si>
  <si>
    <t>62, 69</t>
  </si>
  <si>
    <t>Consumption, Population</t>
  </si>
  <si>
    <t>Consumption, Transportation</t>
  </si>
  <si>
    <t>Building Block or Problem/Bias</t>
  </si>
  <si>
    <t>Author (if applicable)</t>
  </si>
  <si>
    <t>Source</t>
  </si>
  <si>
    <t>Length</t>
  </si>
  <si>
    <t>Level</t>
  </si>
  <si>
    <t>Good for Website</t>
  </si>
  <si>
    <t>Posted on Facebook?</t>
  </si>
  <si>
    <t>Date Posted on Facebook</t>
  </si>
  <si>
    <t>Date Sent in Decision Science News</t>
  </si>
  <si>
    <t>Inattentional bias</t>
  </si>
  <si>
    <t>Non environmental example</t>
  </si>
  <si>
    <t>Inattentional Blindness: Chris Chabris at TEDxAlbany 2011</t>
  </si>
  <si>
    <t>Christopher Chabris</t>
  </si>
  <si>
    <t>TED</t>
  </si>
  <si>
    <t>inattentional blindness, expectations, memory</t>
  </si>
  <si>
    <t>https://www.youtube.com/watch?v=qHUJ6seBoCg</t>
  </si>
  <si>
    <t>Mindful = No; Salient = No</t>
  </si>
  <si>
    <t>Inattentional Blindness #tedtalk by @cfchabris ow.ly/Ujzvw#decisionscience</t>
  </si>
  <si>
    <t>Salient, Identity</t>
  </si>
  <si>
    <t>Dan M. Kahan - Science Communication as the "New Political Science" for Democracy</t>
  </si>
  <si>
    <t>Dan Kahan</t>
  </si>
  <si>
    <t>The current deficits in science communication. People's values and overall worldviews influence how they think about climate change. This means that polarization increases as scientific literacy increases; availability heuristic, confirmation bias, social norms</t>
  </si>
  <si>
    <t>16 min</t>
  </si>
  <si>
    <t>https://www.youtube.com/watch?v=LZah9G-7vxw is very similar</t>
  </si>
  <si>
    <t>https://www.youtube.com/watch?v=d5fBkivqa78</t>
  </si>
  <si>
    <t>VIDEO: Dan Kahan: #Science Literacy, Numeracy and #ClimateChange Risk Perceptions http://ow.ly/UvbZL#climate #communication</t>
  </si>
  <si>
    <t>Anthony Leiserowitz on global warming's "Six Americas"</t>
  </si>
  <si>
    <t>Anthony Leiserowitz</t>
  </si>
  <si>
    <t>discusses the 6 types of response to global warming among the American public</t>
  </si>
  <si>
    <t>https://www.youtube.com/watch?v=hbkJ5MKEVEE/ http://www.ted.com/talks/dan_pink_on_motivation</t>
  </si>
  <si>
    <t>.@ecotone2 talks about the findings from his "6 Americas" study on what the public believes about#climatechange. http://ow.ly/UvdRI</t>
  </si>
  <si>
    <t>RSA Spotlight: Cass Sunstein on Why Nudge?</t>
  </si>
  <si>
    <t>Cass Sunstein</t>
  </si>
  <si>
    <t>Discusses some of the concerns people might have about using nudges to influence behavior</t>
  </si>
  <si>
    <t>7 min</t>
  </si>
  <si>
    <t>https://www.youtube.com/watch?v=3AF09YG6tDs</t>
  </si>
  <si>
    <t>.@CassSunstein discusses some of the concerns people might have about using #nudges to influence behavior http://ow.ly/YeWOY</t>
  </si>
  <si>
    <t>Relatable, Easy</t>
  </si>
  <si>
    <t>Doug McKenzie-Mohr</t>
  </si>
  <si>
    <t>New society publishers</t>
  </si>
  <si>
    <t>strategies for effective social marketing and behavioral interventions to promote proenvironmental behavior; commitment setting/ sense of self, expert bias, social norms</t>
  </si>
  <si>
    <t>49 min</t>
  </si>
  <si>
    <t>https://www.youtube.com/watch?v=dtWG-HYcGY4 or https://vimeo.com/72849395 (a shorter version of the same  video)</t>
  </si>
  <si>
    <t>Strategies for effective social marketing and behavioral interventions to promote pro-environmental behavior http://ow.ly/YeXjk</t>
  </si>
  <si>
    <t>Climate - Generla Action</t>
  </si>
  <si>
    <t>Robert Cialdini at ZURICH.MINDS -- Influence</t>
  </si>
  <si>
    <t>Robert Cialdini</t>
  </si>
  <si>
    <t>using social norms to change environmental behavior; social norms</t>
  </si>
  <si>
    <t>19 min</t>
  </si>
  <si>
    <t>https://www.youtube.com/watch?v=HNxDinw_Kjo</t>
  </si>
  <si>
    <t>using social norms to change environmental behavior via @robertcialdini http://ow.ly/YeXto</t>
  </si>
  <si>
    <t>The Right Approach to Sustainability</t>
  </si>
  <si>
    <t>Vladas Griskevicius</t>
  </si>
  <si>
    <t>list of behavioral science principles that influence sustainable behavior; social norms, availability heuristic, discounting</t>
  </si>
  <si>
    <t>2.5 min</t>
  </si>
  <si>
    <t>https://www.youtube.com/watch?v=G7OhZ0Opi2M</t>
  </si>
  <si>
    <t>The Right Approach to #Sustainability Youtube video http://ow.ly/Xzv64</t>
  </si>
  <si>
    <t>Advantages of Local Climate Change Forecasts and Feedback, With a Couple of Caveats</t>
  </si>
  <si>
    <t>Elke Weber</t>
  </si>
  <si>
    <t>how to get people to prepare for natural disasters and care about climate change. It is too abstract and distant to most people. Applications to risk management; availability heuristic, wishful thinking, sense of self, confirmation bias, priming, limited attention, discounting</t>
  </si>
  <si>
    <t>20 min</t>
  </si>
  <si>
    <t>overview of many different decision science principles and how they influence people's belief in and willingness to respond to climate change</t>
  </si>
  <si>
    <t>https://www.youtube.com/watch?v=nfGaMvvYtpk</t>
  </si>
  <si>
    <t>.@Elke Weber: Advantages of Local #ClimateChange Forecasts and Feedback, With a Couple of Caveats http://ow.ly/XzvYh</t>
  </si>
  <si>
    <t>Making People Care About Climate Change</t>
  </si>
  <si>
    <t>discusses why it is hard for people to conceptualize and act on climate change, the importance of creating an organized movement, different communication strategies; discounting, sense of self</t>
  </si>
  <si>
    <t>45 min</t>
  </si>
  <si>
    <t>https://www.youtube.com/watch?v=V6l1rFvOarM</t>
  </si>
  <si>
    <t>Making People Care About Climate Change http://ow.ly/Y97CT</t>
  </si>
  <si>
    <t>Normal</t>
  </si>
  <si>
    <t>Tina Rosenberg: Harnessing the Power of Peers for Behavior Change</t>
  </si>
  <si>
    <t>benefits of peer pressure. People change their behavior because they identify with people who have already made the behavior change. Applications for sustainable living; sense of self</t>
  </si>
  <si>
    <t>35 min</t>
  </si>
  <si>
    <t>https://www.youtube.com/watch?v=2grEguLHezI</t>
  </si>
  <si>
    <t>Chris Chabris: When Intuition Fails</t>
  </si>
  <si>
    <t>inattentional blindness, memory, cognitive illusions;  overconfidence effect</t>
  </si>
  <si>
    <t>21 min</t>
  </si>
  <si>
    <t>all 3 of his videos are similar</t>
  </si>
  <si>
    <t>https://www.youtube.com/watch?v=59js7dcie08</t>
  </si>
  <si>
    <t>.@cfchabris 's work reveals how relying on our institutions is a perilous#decisionmaking strategy. ow.ly/UjzG4</t>
  </si>
  <si>
    <t xml:space="preserve">Normal </t>
  </si>
  <si>
    <t>discusses how people use emotions to make decisions under risk and uncertainty. People rely on experiences within their social groups</t>
  </si>
  <si>
    <t>8 min</t>
  </si>
  <si>
    <t>https://media.oregonstate.edu/media/anthony_leiserowitz/0_1arg60vh</t>
  </si>
  <si>
    <t>Decision Making About#ClimateChange VIDEO:http://ow.ly/Uvcqe</t>
  </si>
  <si>
    <t>Turning Mass Intention into Mass Action: Todd Rogers at TEDxCambridge 2013</t>
  </si>
  <si>
    <t>Todd Rogers</t>
  </si>
  <si>
    <t>using social norms, sense of self, and goal setting to encourage people to vote; commitment setting/ consistency</t>
  </si>
  <si>
    <t>10 min</t>
  </si>
  <si>
    <t>https://www.youtube.com/watch?v=Fn82cNy52a4</t>
  </si>
  <si>
    <t>Consistent; Mindful?</t>
  </si>
  <si>
    <t>Expectations Color Experiences</t>
  </si>
  <si>
    <t>Dan Ariely</t>
  </si>
  <si>
    <t>people like things more if they expect to like them before experiencing them; inattentional blindness (cognitive dissonance? Confirmation bias?)</t>
  </si>
  <si>
    <t>1 min</t>
  </si>
  <si>
    <t>https://www.youtube.com/watch?v=_l35a76_dBk</t>
  </si>
  <si>
    <t>Consistent = No; Mindful = No</t>
  </si>
  <si>
    <t>Name</t>
  </si>
  <si>
    <t>Institution</t>
  </si>
  <si>
    <t>Position</t>
  </si>
  <si>
    <t>The Effect of Expectations</t>
  </si>
  <si>
    <t>High or Low Level</t>
  </si>
  <si>
    <t>Specialist or Generalist</t>
  </si>
  <si>
    <t>Research / Work Focus</t>
  </si>
  <si>
    <t>expectations of an experience influence people's response; inattentional blindness (cognitive dissonance? Confirmation bias?)</t>
  </si>
  <si>
    <t>4 min</t>
  </si>
  <si>
    <t>Relevant DS Principles</t>
  </si>
  <si>
    <t>Homepage</t>
  </si>
  <si>
    <t>a more detailed version of the expectations video above</t>
  </si>
  <si>
    <t>Contact Information</t>
  </si>
  <si>
    <t>Publications</t>
  </si>
  <si>
    <t>https://www.youtube.com/watch?v=drEVExtrUgQ</t>
  </si>
  <si>
    <t>Videos</t>
  </si>
  <si>
    <t>In the News</t>
  </si>
  <si>
    <t>Useful for What</t>
  </si>
  <si>
    <t>Other Institutions</t>
  </si>
  <si>
    <t>Twitter Account</t>
  </si>
  <si>
    <t>Elliot Aronson</t>
  </si>
  <si>
    <t>University of Santa Cruz</t>
  </si>
  <si>
    <t>Retired psychology professor</t>
  </si>
  <si>
    <t>high</t>
  </si>
  <si>
    <t>generalist</t>
  </si>
  <si>
    <t>Yale Professor Dan Kahan on "motivated reasoning"</t>
  </si>
  <si>
    <t>Social influence, conformity, prejudice reduction, energy conservation, experimental methodology</t>
  </si>
  <si>
    <t>availability heuristic
defaults
discounting
loss aversion</t>
  </si>
  <si>
    <t>http://aronson.socialpsychology.org/</t>
  </si>
  <si>
    <t>phone: 212 854 5068
fax: 212 854 7647
email: ejj3@columbia.edu</t>
  </si>
  <si>
    <t>examples of motivated reasoning - seeing all evidence through a certain lens in order to maintain an idea; confirmation bias</t>
  </si>
  <si>
    <t>2 min</t>
  </si>
  <si>
    <t>Wrote Mistakes were made (but not by me): Why we justify foolish beliefs, bad decisions, and hurtful acts. New York: Harcourt. Full list of publications: http://aronson.socialpsychology.org/publications</t>
  </si>
  <si>
    <t>https://www.youtube.com/watch?v=lWg0iZWNAEs</t>
  </si>
  <si>
    <t>editing is a little awkward</t>
  </si>
  <si>
    <t>Center for the Decision Sciences
Center for Research on Environmental Decisions
ideas42</t>
  </si>
  <si>
    <t>Joel Cooper</t>
  </si>
  <si>
    <t>https://www.youtube.com/watch?v=W-xMj0LWglM</t>
  </si>
  <si>
    <t>Princeton University</t>
  </si>
  <si>
    <t>Professor of psychology</t>
  </si>
  <si>
    <t>Cognitive dissonance due to the inconsistent behavior of others, role of self in dissonance arousal</t>
  </si>
  <si>
    <t>https://psych.princeton.edu/psychology/research/cooper/index.php</t>
  </si>
  <si>
    <t xml:space="preserve">A Self-Standards Model of Cognitive Dissonance </t>
  </si>
  <si>
    <t>Adrian Camilleri on Choice Architecture and Translated Attributes</t>
  </si>
  <si>
    <t>Consistent; Normal</t>
  </si>
  <si>
    <t>Adrian Camilleri</t>
  </si>
  <si>
    <t>speaker and consultant</t>
  </si>
  <si>
    <t>choice architecture and implications for choosing fuel-efficient cars; framing, consistency</t>
  </si>
  <si>
    <t>behavior change, social marketing</t>
  </si>
  <si>
    <t>Choice Architecture + Translational Attributes explained using fuel economy case study - how presenting fuel economy in different ways can alter end outcome</t>
  </si>
  <si>
    <t>social norms
commitment setting
sense of self</t>
  </si>
  <si>
    <t>https://www.youtube.com/watch?v=xm_R3ch8ZnQ</t>
  </si>
  <si>
    <t>https://register.cbsm.com/about-the-presenter</t>
  </si>
  <si>
    <t>phone: 506 455 5061
email: dmm@cbsm.com</t>
  </si>
  <si>
    <t>Fostering Sustainable Behavior: An Introduction to Community-Based Social Marketing
 Social Marketing to Protect the Environment: What Works</t>
  </si>
  <si>
    <t>Eldar Shafir Discusses Mindsets of Scarcity at EMERGE 2014</t>
  </si>
  <si>
    <t>Eldar Shafir</t>
  </si>
  <si>
    <t>decision making, temptation, and limited attention for those in poverty; discounting, scarcity</t>
  </si>
  <si>
    <t>https://vimeo.com/103149372 (alternative link: https://www.youtube.com/watch?v=Vf54Ia9A4JA)</t>
  </si>
  <si>
    <t>Eldar Shafir on the Psychology of Scarcity</t>
  </si>
  <si>
    <t>decision making under time and attention scarcity, limited attention</t>
  </si>
  <si>
    <t>https://www.youtube.com/watch?v=B4tLkY2ayzk</t>
  </si>
  <si>
    <t>How to create a habit: With Charles Duhigg and Ramit Sethi</t>
  </si>
  <si>
    <t>keystone habits, willpower, and empowerment. It is important to know your limits and give yourself breaks; sense of self, meaning vs Sisyphus</t>
  </si>
  <si>
    <t>6.5 min</t>
  </si>
  <si>
    <t>https://www.youtube.com/watch?v=C8XG02das-A</t>
  </si>
  <si>
    <t>Dr. Doug McKenzie Mohr (48 min) https://www.youtube.com/watch?v=dtWG-HYcGY4 strategies for effective social marketing behavior change campaigns (https://vimeo.com/72849395 is  a shorter version of the same video) 
Using community based social marketing to enable behavior change (1.5 hrs) https://www.youtube.com/watch?v=6I-wbjtOKaE using behavioral principles to design good environmental behavior interventions</t>
  </si>
  <si>
    <t>Richard Thaler - Nudge: improving decisions about wealth, health, and happiness</t>
  </si>
  <si>
    <t>Introduction to Nudge and the importance of choice architecture</t>
  </si>
  <si>
    <t>http://grist.org/article/2010-11-16-changing-energy-behavior-it-aint-easy/ 
http://www.psmag.com/nature-and-technology/yellow-seriously-let-mellow-bathroom-toilet-water-conservation-94758 
http://www.dw.de/can-humanizing-animals-help-conserve-them/a-17678428 
http://www.nytimes.com/cwire/2009/11/19/19climatewire-how-understanding-the-human-mind-might-save-16335.html?pagewanted=all 
http://www.treehugger.com/culture/use-37-less-power-by-talking-to-friends-and-family.html</t>
  </si>
  <si>
    <t>18 min</t>
  </si>
  <si>
    <t>social marketing</t>
  </si>
  <si>
    <t>https://www.youtube.com/watch?v=p9lPBqvN_u4</t>
  </si>
  <si>
    <t>The Psychology of Scarcity - RES 2014</t>
  </si>
  <si>
    <t>Sendhil Mullainathan</t>
  </si>
  <si>
    <t>time and monetary scarcity and decision making, perception. Scarcity monopolizes your attention; limited attention, discounting</t>
  </si>
  <si>
    <t>Talks about how the use of cognitive resources can be straining and alter the way you make use of information in decision making</t>
  </si>
  <si>
    <t>https://www.youtube.com/watch?v=592cmhCzbZs</t>
  </si>
  <si>
    <t>Easy; Mindful</t>
  </si>
  <si>
    <t>Good Life Project: Charles Duhigg - Power of Habit</t>
  </si>
  <si>
    <t>how habits form, social and personal cues, why habits are difficult to change, how habits are like addictions. The importance of social support and rewards; first choice effect, priming, limited energy, sense of self/consistency, meaning vs Sisyphus</t>
  </si>
  <si>
    <t>37 min</t>
  </si>
  <si>
    <t>https://www.youtube.com/watch?v=voX0gUn_JOI</t>
  </si>
  <si>
    <t>Leah Stokes</t>
  </si>
  <si>
    <t>Habit</t>
  </si>
  <si>
    <t>MIT, urban studies and planning, environmental policy &amp; planning</t>
  </si>
  <si>
    <t>The Secret to Making and Breaking Habits</t>
  </si>
  <si>
    <t>graduate student</t>
  </si>
  <si>
    <t>low</t>
  </si>
  <si>
    <t xml:space="preserve">Gretchen Rubin </t>
  </si>
  <si>
    <t>Habit summit</t>
  </si>
  <si>
    <t xml:space="preserve">Describes the four tendencies </t>
  </si>
  <si>
    <t>energy and environmental politics, public policy, environmental negotiations, energy behavior</t>
  </si>
  <si>
    <t>33 min</t>
  </si>
  <si>
    <t>social norms
commitment setting
meaning vs sisyphus</t>
  </si>
  <si>
    <t>http://www.mit.edu/~lstokes/</t>
  </si>
  <si>
    <t>email: lstokes@mit.edu</t>
  </si>
  <si>
    <t>Effectiveness of a Segmental Approach to Climate Policy (Environmental Science &amp; Technology, 2014) 
Beyond the Information Campaign: Community-based Energy Behavioral Change at the University of Toronto (Environmental Practice, 2013)
 Analyzing Barriers to Energy Conservation in Residences and Offices: The Rewire Program at the University of Toronto (Applied Environmental Education &amp; Communication, 2012)</t>
  </si>
  <si>
    <t xml:space="preserve">Tiny surprises for happiness and health </t>
  </si>
  <si>
    <t xml:space="preserve">Ted Talks </t>
  </si>
  <si>
    <t>Consistent; Normal; Mindful</t>
  </si>
  <si>
    <t>NPR's Science Desk</t>
  </si>
  <si>
    <t>science correspondent</t>
  </si>
  <si>
    <t>Human behavior and social sciences</t>
  </si>
  <si>
    <t>confirmation bias
cognitive dissonance
priming
social norms</t>
  </si>
  <si>
    <t>http://www.hiddenbrain.org/</t>
  </si>
  <si>
    <t>The Hidden Brain</t>
  </si>
  <si>
    <t>Shankar Vedantam keynote: "The Hidden Brain" -- Strata + Hadoop 2014 (9 min) https://www.youtube.com/watch?v=7mpe6luA5Os about how the brain processes information and influences decision-making. How the brain shapes perception. 
Shankar Vedantam: How the hidden brain influences decision making (40 min) https://www.youtube.com/watch?v=s9wxpn4nflA discusses how cultural influences and priming influence how we conceptualize climate issues 
The Hidden Brain (radio) (30 min) http://www.wnyc.org/story/59944-the-hidden-brain/ discusses racial and gender biases, cognitive dissonance and confirmation bias 
Do We Know What We're Thinking? The Science Behind Our Behavior (22 min) http://integral-options.blogspot.com/2013/11/shankar-vedantam-do-we-know-what-were.html implicit racial and gender biases</t>
  </si>
  <si>
    <t>Wrote the Hidden Brain book; Recommended by Rod (http://www.npr.org/people/137765146/shankar-vedantam)- replication of social psychology experiments</t>
  </si>
  <si>
    <t>http://www.npr.org/templates/story/story.php?storyId=122864641 
http://boisestatepublicradio.org/post/nprs-shankar-vedantam-brings-hidden-brain-idaho 
http://wgbhnews.org/post/why-we-judge-algorithmic-mistakes-more-harshly-human-mistakes 
http://apr.org/post/psychology-behind-why-some-kids-go-unvaccinated</t>
  </si>
  <si>
    <t>Mindful</t>
  </si>
  <si>
    <t>Book TV: Shankar Vedantam, "The Hidden Brain"</t>
  </si>
  <si>
    <t>unconscious mental action, biases and assumptions, social norms</t>
  </si>
  <si>
    <t>uses terminology ("the hidden brain") that is specific to his book</t>
  </si>
  <si>
    <t>https://www.youtube.com/watch?v=q0tUUDavsz8</t>
  </si>
  <si>
    <t>Experts in Emotion 12.3 -- John Bargh on Unconscious Emotion</t>
  </si>
  <si>
    <t>John Bargh</t>
  </si>
  <si>
    <t>discusses the hot coffee experiment, the roots of decision science/behavioral psychology, emotion regulation. Everything is discussed in somewhat broad terms; discounting, priming</t>
  </si>
  <si>
    <t>Consistent; Normal; Salient</t>
  </si>
  <si>
    <t>https://www.youtube.com/watch?v=S4omk_ONo6M</t>
  </si>
  <si>
    <t>Tom Hargreaves</t>
  </si>
  <si>
    <t>University of East Angila</t>
  </si>
  <si>
    <t>Lecturer in Environmental Science and Policy</t>
  </si>
  <si>
    <t>Hot States: Self-Control Mechanisms</t>
  </si>
  <si>
    <t>Intersection of sociology and sustainability. how innovations to promote sustainability impact people's everyday lives, the dynamics and evolution of social practices, how technologies are adopted and used in everyday life, human geography, environmental sociology</t>
  </si>
  <si>
    <t>how self control mechanisms work; ego depletion</t>
  </si>
  <si>
    <t>https://www.youtube.com/watch?v=QWD-R0l5xLI</t>
  </si>
  <si>
    <t>awareness
meaning vs sisyphus
social practice theory - focuses on the social and collective organization of practices as opposed to the actions of the individual 
attentional bias
cognitive dissonance
social norms</t>
  </si>
  <si>
    <t>http://www.uea.ac.uk/environmental-sciences/people/profile/tom-hargreaves</t>
  </si>
  <si>
    <t>phone: +44 0 1603 59 3116
email: tom.hargreaves@uea.ac.uk</t>
  </si>
  <si>
    <t>John Bargh's walk to elevator priming experiments provide evidence against a free will</t>
  </si>
  <si>
    <t>being primed with words related to old people make people walk slower</t>
  </si>
  <si>
    <t>3 min</t>
  </si>
  <si>
    <t>https://www.youtube.com/watch?v=ZAlTlx8lmlQ</t>
  </si>
  <si>
    <t>Smart meters and the governance of energy use in the household (2014) 
A grassroots sustainable energy niche? Reflections on community energy in the UK (Environmental Innovation and Societal Transitions, 2014) 
Smart homes and their users: a systematic analysis and key challenges (Personal and Ubiquitous Computing, 2014) Keeping energy visible? Exploring how householders interact with feedback from smart energy monitors in the longer term (Energy Policy, 2013) 
Practice-ing behaviour change: Applying social practice theory to pro-environmental behaviour change (Journal of Consumer Culture, 2011) 
Exploring the social dynamics of pro-environmental behaviour change: A comparative study of intervention processes at home and work (Journal of Industrial Ecology, 2010)</t>
  </si>
  <si>
    <t>Default</t>
  </si>
  <si>
    <t>harvard</t>
  </si>
  <si>
    <t>law professor</t>
  </si>
  <si>
    <t>TEDxUIUC - Daniel Simons - Counter-Intuition</t>
  </si>
  <si>
    <t>Daniel Simons</t>
  </si>
  <si>
    <t>Behavioral economics, law, public policy, analyzing the effectiveness of government programs, group behavior</t>
  </si>
  <si>
    <t>our intuition and perception is more fallible than we think it is; inattentional blindness, overconfidence effect, limited attention</t>
  </si>
  <si>
    <t>https://www.youtube.com/watch?v=eb4TM19DYDY</t>
  </si>
  <si>
    <t>attitude polarization
availability heuristic
loss aversion
social norms
defaults
confirmation bias
expert bias</t>
  </si>
  <si>
    <t>http://hls.harvard.edu/faculty/directory/10871/Sunstein</t>
  </si>
  <si>
    <t>phone: 617 496 1764
email: csunstein@law.harvard.edu</t>
  </si>
  <si>
    <t>Mindful; Salient</t>
  </si>
  <si>
    <t>Nudge 
Risk and Reason (2002)
 Wiser: Getting Beyond Groupthink to Make Groups Smarter 
Simpler: The Future of Government</t>
  </si>
  <si>
    <t>Shankar Vedantam: How the hidden brain influences decision making</t>
  </si>
  <si>
    <t>how culture, psychological influences affect how we think about environmental and policy issues, how different communication strategies appeal to different value systems; priming, cognitive dissonance, availability heuristic (salience) (telescope effect), sense of self</t>
  </si>
  <si>
    <t>40 min</t>
  </si>
  <si>
    <t>https://www.youtube.com/watch?v=s9wxpn4nflA</t>
  </si>
  <si>
    <t>Cass Sunstein (7 min) http://thedailyshow.cc.com/videos/59kpyq/cass-sunstein discusses attitude polarization and group dynamics with regard to attitudes toward climate change 
Cass Sunstein (5 min) http://thecolbertreport.cc.com/videos/oiajpp/cass-sunstein discusses how to simplify government regulatory policies 
RSA Spotlight: Cass Sunstein on Why Nudge? (7 min) https://www.youtube.com/watch?v=3AF09YG6tDs addresses concerns that people might have about using nudges to influence behavior 
Cass Sunstein - Nudge: Improving Decisions About Health, Wealth, and Happiness (1 hr) https://www.youtube.com/watch?v=Rewo7dPiRyU discusses popular nudges, choice architecture, system 1 vs system 2 thinking
 Cass Sunstein: Getting Beyond Groupthink (26 min) https://www.youtube.com/watch?v=7jFfxsuoZQU discusses confirmation bias and attitude polarization with regards to political opinions</t>
  </si>
  <si>
    <t>http://www.nytimes.com/2010/05/16/magazine/16Sunstein-t.html?pagewanted=all 
http://foreignpolicy.com/2014/03/21/cass-sunstein-is-sleeping-on-the-couch-tonight-2/</t>
  </si>
  <si>
    <t>The Invisible Gorilla (featuring Daniel Simons)  - Regional EMMY Winning Video</t>
  </si>
  <si>
    <t>describes the invisible gorilla experiment; inattentional blindness</t>
  </si>
  <si>
    <t>4.5 min</t>
  </si>
  <si>
    <t>https://www.youtube.com/watch?v=UtKt8YF7dgQ</t>
  </si>
  <si>
    <t>Cass Sunstein: Getting Beyond Groupthink</t>
  </si>
  <si>
    <t>professor of psychology and behavioral economics</t>
  </si>
  <si>
    <t>Discusses political examples of confirmation bias and attitude polarization</t>
  </si>
  <si>
    <t>26 min</t>
  </si>
  <si>
    <t>https://www.youtube.com/watch?v=7jFfxsuoZQU</t>
  </si>
  <si>
    <t>Personal Website: http://danariely.com/ 
Academic Homepage (MIT): http://web.mit.edu/ariely/www/MIT/ 
Academic Homepage (Duke): http://www.fuqua.duke.edu/faculty_research/faculty_directory/ariely/</t>
  </si>
  <si>
    <t>phone: +19196607703
fax: +19196816246
email: dandan@duke.edu</t>
  </si>
  <si>
    <t>Predictably Irrational: The Hidden Forces That Shape Our Decisions The Honest Truth About Dishonesty: How We Lie to Everyone - Especially Ourselves The Upside of Irrationality</t>
  </si>
  <si>
    <t>The Cost of Social Norms</t>
  </si>
  <si>
    <t>Has a series of short videos on his website that give brief introductions to various behavioral economics principles</t>
  </si>
  <si>
    <t>work covers most decision science principles</t>
  </si>
  <si>
    <t>Center for Advanced Hindsight</t>
  </si>
  <si>
    <t>basic explanation of different types of social norms and how different norms apply in different situations (market vs social  norms)</t>
  </si>
  <si>
    <t>3.5 min</t>
  </si>
  <si>
    <t>https://www.youtube.com/watch?v=OdjlOgGVRVA</t>
  </si>
  <si>
    <t xml:space="preserve">Personal </t>
  </si>
  <si>
    <t>Six Americas--the six different types of responses to global warming among the American people. Different communication strategies</t>
  </si>
  <si>
    <t>6 min</t>
  </si>
  <si>
    <t>Eric J. Johnson</t>
  </si>
  <si>
    <t>http://environment.yale.edu/profile/leiserowitz/ (bottom of the page)</t>
  </si>
  <si>
    <t>Columbia Business School</t>
  </si>
  <si>
    <t>professor of marketing</t>
  </si>
  <si>
    <t>behavioral economics and environmental decision making/policy, consumer behavior, environmental decision making, healthcare</t>
  </si>
  <si>
    <t>Resonate</t>
  </si>
  <si>
    <t>http://www4.gsb.columbia.edu/cbs-directory/detail/494930/Johnson</t>
  </si>
  <si>
    <t>Why Don't We Naturally Make Good Decisions</t>
  </si>
  <si>
    <t>Ron Howard</t>
  </si>
  <si>
    <t>loss aversion; Decision making and framing</t>
  </si>
  <si>
    <t>http://www.kantola.com/Ron-Howard-PDPD-143-S.aspx</t>
  </si>
  <si>
    <t>How warm days increase in belief global warming (Nature Climate Change, 2014) 
Beyond Nudges: Tools of a Choice Architecture (Marketing Letters, 2012) 
Choice without Awareness: Ethical and Policy Implications of Defaults (Journal of Public Policy and Marketing, 2012)
 Partitioning Default Effects: Why People Choose Not to Choose (Journal of Experimental Psychology: Applied, 2011)
 Local Warming: Daily temperature changes influences belief in global warming (Psychological Science, 2011) 
Man, My Brain is Tired: Linking Depletion and Cognitive Effort in Choice (Journal of Consumer Psychology, 2008)</t>
  </si>
  <si>
    <t>Big Think Interview with Christopher Chabris</t>
  </si>
  <si>
    <t>Eric Johnson: Compensating Capabilities and Economic Decisions (1 hr) https://www.youtube.com/watch?v=JkSKuK5672o how decision making changes with age (are older people able to make complex financial and healthcare decisions?) 
DLDwomen13 - Why You Can't Always Get What You Want (Eric Johnson, Elke Weber) (20 min) https://www.youtube.com/watch?v=IrScbFOi3QY about using choice architecture to help us choose what is in our best interest</t>
  </si>
  <si>
    <t>the invisible gorilla experiment, distraction and multitasking, memory, and other cognitive biases mentioned briefly; inattentional blindness , limited attention, authority bias</t>
  </si>
  <si>
    <t>23 min</t>
  </si>
  <si>
    <t>http://medicalxpress.com/news/2015-01-debunking-aging-myths-financial-decisions.html 
http://www.japantimes.co.jp/opinion/2014/11/25/commentary/world-commentary/what-global-warming-pass-me-a-blanket/</t>
  </si>
  <si>
    <t>http://bigthink.com/videos/big-think-interview-with-christopher-chabris</t>
  </si>
  <si>
    <t>Professor of Behavioral Science and Economics</t>
  </si>
  <si>
    <t>Inattentional Blindness / Change Blindness - Dan Simons and Chris Chabris</t>
  </si>
  <si>
    <t>Daniel Simons and Chris Chabris</t>
  </si>
  <si>
    <t>change blindness experiment</t>
  </si>
  <si>
    <t>behavioral economics, finance, psychology of decision making, consumer behavior</t>
  </si>
  <si>
    <t>https://www.youtube.com/watch?v=BZ0l9s8_Hmk</t>
  </si>
  <si>
    <t>scarcity
discounting
defaults
loss aversion</t>
  </si>
  <si>
    <t>http://www.chicagobooth.edu/faculty/directory/t/richard-h-thaler 
http://faculty.chicagobooth.edu/Richard.Thaler/index.html 
nudge blog: http://nudges.org/tag/richard-thaler/</t>
  </si>
  <si>
    <t>phone: 1 773 702 5208
email: richard.thaler@chicagobooth.edu</t>
  </si>
  <si>
    <t>Behavioral Science &amp; Election Participation by Harvard Prof Todd Rogers</t>
  </si>
  <si>
    <t>Nudge
 Deal or No Deal? Decision Making Under Risk in a Large-Payoff Game Show (American Economic Review, 2008)
 Helping Consumers Know Themselves (American Economic Review, 2011) 
The Endowment Effect: Evidence of Losses Valued More than Gains (Handbook of Experimental Economics, 2008)</t>
  </si>
  <si>
    <t>commitment setting, social norms, sense of self, consistency; using behavioral science to increase voter turnout</t>
  </si>
  <si>
    <t>longer version of the video above</t>
  </si>
  <si>
    <t>https://www.youtube.com/watch?v=597Rj3qLH0Q</t>
  </si>
  <si>
    <t>Big Think Interview with Richard Thaler (16 min) https://www.youtube.com/watch?v=BWUtLSfb9zs overview of nudge 
Studying Economic Behavior in Unusual Places with Richard Thaler (1 hr) https://www.youtube.com/watch?v=XVglsxzS_3Q mental accounting, overview of several counterintuitive decision science principles in real life
 Richard Thaler: Nudge and Beyond: Behavioural Science, Policy and Knowing What Works (30 min) https://www.youtube.com/watch?v=5iz7U8ZCDfE discusses the importance of data transparency, dealing with overwhelming choices 
Richard Thaler - Nudge: improving decisions about wealth, health, and happiness (18 min) https://www.youtube.com/watch?v=5iz7U8ZCDfE intro to nudge and choice architecture</t>
  </si>
  <si>
    <t>Discusses group dynamics and attitude polarization with regards to attitudes about climate change; attitude polarization/ cognitive dissonance</t>
  </si>
  <si>
    <t>http://www.huffingtonpost.com/scottburns/americans-desperately-nee_b_6567412.html 
http://www.forbes.com/sites/rogertrapp/2015/01/30/anxious-leaders-make-better-decisions/ 
http://www.popmatters.com/review/189979-scarcity-the-new-science-of-having-less-and-how-it-defines-our-lives/ 
https://hbr.org/2015/01/ethical-consumerism-isnt-dead-it-just-needs-better-marketing 
http://www.nytimes.com/2015/01/11/upshot/how-to-make-yourself-go-to-the-gym.html?abt=0002&amp;abg=0 
http://time.com/money/3658298/how-to-save-more-money/</t>
  </si>
  <si>
    <t>http://thedailyshow.cc.com/videos/59kpyq/cass-sunstein</t>
  </si>
  <si>
    <t>Director of the Center for Decision Research, co-director of the Behavioral Economics Project at the National Bureau of Economic Research</t>
  </si>
  <si>
    <t xml:space="preserve">DLDwomen13 - Why You Can't Always Get What You Want </t>
  </si>
  <si>
    <t>Eric Johnson, Elke Weber</t>
  </si>
  <si>
    <t>discounting, defaults, query theory, limited attention; choice architecture, query theory (the first choice offered gets considered the most), tools to help us understand and act on our preferences</t>
  </si>
  <si>
    <t>https://www.youtube.com/watch?v=IrScbFOi3QY</t>
  </si>
  <si>
    <t>First Decisions Matter A Lot</t>
  </si>
  <si>
    <t>explains the first choice effect; first choice effect</t>
  </si>
  <si>
    <t>https://www.youtube.com/watch?v=iKQ3DIP8mzU</t>
  </si>
  <si>
    <t>Default; Normal</t>
  </si>
  <si>
    <t>High Cost of Attachment</t>
  </si>
  <si>
    <t>Ruth Greenspan Bell</t>
  </si>
  <si>
    <t>center for decision sciences at columbia business school</t>
  </si>
  <si>
    <t>public policy scholar</t>
  </si>
  <si>
    <t>people hold onto things they don't need because they are emotionally attached to them; loss aversion</t>
  </si>
  <si>
    <t>Low</t>
  </si>
  <si>
    <t>https://www.youtube.com/watch?v=1mvqsBx83p0</t>
  </si>
  <si>
    <t>energy policy, using social behavioral science research to reduce greenhouse gas emissions, public policy and law</t>
  </si>
  <si>
    <t>social norms
defaults
loss aversion
availability heuristic
base-rate fallacy</t>
  </si>
  <si>
    <t>http://www.wilsoncenter.org/staff/ruth-greenspan-bell</t>
  </si>
  <si>
    <t>Science of Persuasion</t>
  </si>
  <si>
    <t>phone: 202 691 4097
fax: 202 691 4001
email: ruth.bell@wilsoncenter.org</t>
  </si>
  <si>
    <t>quick intro to several ds principles with the goal of helping the viewer become a better influencer; reciprocity, scarcity, authority, consistency, liking (similarity, complements, cooperation), consensus (social norms)
</t>
  </si>
  <si>
    <t>Building International Climate Cooperation (2012) 
More than Meets the Eye: The Social Cost of Carbon in US Climate Policy (2011) 
High Wire Act: Electricity Transmission Infrastructure and its Impact on the Renewable Energy Market (2011)
 Focus on the Habits: Applying Behavioral Insights to Reduce Greenhouse Gas Emissions (2014) Living in Denial: Climate Change, Emotions, and Everyday Life (Review of Policy Research, 2012) 
Who Changed Delhi's Air? The Roles of the Court and the Executive in Environmental Decision-making (Resources for the Future, 2005)</t>
  </si>
  <si>
    <t>http://www.providencejournal.com/opinion/commentary/20150209-ruth-greenspan-bell-and-max-rodenbeck-as-oil-prices-drop-u.s.-needs-a-strategy.ece http://www.standard.net/Business/2015/01/24/The-next-energy-revolution-won-t-be-in-wind-or-solar-but-in-human-behavior 
http://www.newsweek.com/climate-change-anybody-listening-239069 
http://www.foreignaffairs.com/articles/136762/ruth-greenspan-bell-and-barry-blechman/how-much-did-the-climate-talks-in-durban-accomplish http://www.wri.org/blog/2011/07/%E2%80%9Csocial-cost-carbon%E2%80%9D-and-climate-change-policy</t>
  </si>
  <si>
    <t>environmental law institute, SUSSTAIN</t>
  </si>
  <si>
    <t>Default; Salient</t>
  </si>
  <si>
    <t>professor</t>
  </si>
  <si>
    <t>behavioral economics and environmental decision making/policy.  Behavioral models of judgment and decision making under risk and uncertainty, responses to climate change and variability, choices with consequences that are delayed and uncertain</t>
  </si>
  <si>
    <t>attribute substitution: individuals use less relevant but available information in place of more diagnostic but less accessible information (availability heuristic, anchoring)
people learn more effectively through personal experience than by reading facts and figures
base-rate fallacy
limited attention
salience</t>
  </si>
  <si>
    <t>influenceatwork</t>
  </si>
  <si>
    <t>http://www8.gsb.columbia.edu/cbs-directory/detail/euw2</t>
  </si>
  <si>
    <t>12 min</t>
  </si>
  <si>
    <t>https://www.youtube.com/watch?v=cFdCzN7RYbw</t>
  </si>
  <si>
    <t>The High Price of Ownership</t>
  </si>
  <si>
    <t>ownership causes people to become invested in experiences and people are more hesitant to part with experiences. Selling makes you think less about you get and more about what you give up; loss aversion</t>
  </si>
  <si>
    <t>The Puzzle of Motivation</t>
  </si>
  <si>
    <t>Dan Pink</t>
  </si>
  <si>
    <t>How warm days increase in belief global warming (Nature Climate Change, 2014) 
Psychology's contributions to understanding and addressing global climate change (American Psychologist, 2011)
Public Understanding of Climate Change in the United States (American Psychologist, 2011) 
What shapes perceptions of climate change? (Climate Change, 2010)</t>
  </si>
  <si>
    <t>How to tap into people's intrinsic motivation to get them to care about things, solve problems, and be creative; sense of self</t>
  </si>
  <si>
    <t>has a kind of self-help vibe but has interesting information. See the experts sheet for a shorter, animated version of this video</t>
  </si>
  <si>
    <t>http://www.ted.com/talks/dan_pink_on_motivation?language=en</t>
  </si>
  <si>
    <t>Decisions Matter: Understanding How and Why We Make Decisions About the Environment: https://www.youtube.com/watch?v=IqSkAqEqZF8 (1 hr). Good overview of psychological principles underlying environmental decision making
Advantages of Local Climate Change Forecasts and Feedback, With a Couple of Caveats (20 min): https://www.youtube.com/watch?v=nfGaMvvYtpk Discusses some barriers that prevent people from acting on climate change and possible solutions (turning climate change into a tangible, local issue)</t>
  </si>
  <si>
    <t>http://www.standard.net/Business/2015/01/24/The-next-energy-revolution-won-t-be-in-wind-or-solar-but-in-human-behavior http://www.healthnewsdigest.com/news/Environment_380/Focusing-on-Lasting-Legacy-Prompts-Environmental-Action.shtml</t>
  </si>
  <si>
    <t>XpertUS - Prof John Bargh - On Priming</t>
  </si>
  <si>
    <t>Center for the Decision Sciences, the Earth Institute</t>
  </si>
  <si>
    <t>the hot coffee experiment; priming</t>
  </si>
  <si>
    <t>5 min</t>
  </si>
  <si>
    <t>https://www.youtube.com/watch?v=vI0fFEffDd8</t>
  </si>
  <si>
    <t>Yale Professor Dan Kahan on why "spokespeople matter" in regards to cultural cognition</t>
  </si>
  <si>
    <t>expert bias</t>
  </si>
  <si>
    <t>https://www.youtube.com/watch?v=Xrw9q77SApo</t>
  </si>
  <si>
    <t>Avalibility heuristic</t>
  </si>
  <si>
    <t>Natural disaters</t>
  </si>
  <si>
    <t>How not to be ignorant about the world</t>
  </si>
  <si>
    <t>Banny Banerjee</t>
  </si>
  <si>
    <t>Hans and Ola Rosling</t>
  </si>
  <si>
    <t>standford university</t>
  </si>
  <si>
    <t>director of design program</t>
  </si>
  <si>
    <t>Video: How personal biases, outdated info and News bias (availability) lead us to percieve the worlds problems a certain way; Availability bias</t>
  </si>
  <si>
    <t>design, architecture, energy analysis, sustainable design, software design</t>
  </si>
  <si>
    <t>http://dschool.stanford.edu/bio/banny-banerjee/ 
http://changelabs.stanford.edu/index.php/people/245/</t>
  </si>
  <si>
    <t>Video: How personal biases, outdated info and News bias (availability) lead us to percieve the worlds problems a certain way</t>
  </si>
  <si>
    <t>http://www.ted.com/talks/hans_and_ola_rosling_how_not_to_be_ignorant_about_the_world?language=en</t>
  </si>
  <si>
    <t>How not to be ignorant about the#world ow.ly/Ujz9G #tedtalk by @HansRosling</t>
  </si>
  <si>
    <t>Banny Banerjee - Design Thinking: An approach to Strategic Transformations (1 hr) https://www.youtube.com/watch?v=-sVR9_2dL24 discusses problem solving approaches and how the brain 'designs' solutions and conceptualizes problems 
Fish hook questions: Banny Banerjee at TEDxStandford (16 min) https://www.youtube.com/watch?v=SEbg_dGQ0uI about different perceptions of reality and happiness. has implications for how we think about our economic and social expectations of happiness
 Banny Banerjee - Design of the future (26 min) http://vimeo.com/17497415 discusses creative approaches to decision making and problem solving</t>
  </si>
  <si>
    <t>http://www.stanforddaily.com/2014/05/29/student-built-home-receives-approval-to-be-a-residence-in-jasper-ridge-biological-preserve/</t>
  </si>
  <si>
    <t>design</t>
  </si>
  <si>
    <t>stanford changelabs</t>
  </si>
  <si>
    <t>Population - Sustainable communities</t>
  </si>
  <si>
    <t>Daniel Stokols</t>
  </si>
  <si>
    <t>UC Irvine</t>
  </si>
  <si>
    <t>Harnessing the Power of Peers for Behavior Change</t>
  </si>
  <si>
    <t>Environmental design, public policy and health</t>
  </si>
  <si>
    <t>Garrison Institute</t>
  </si>
  <si>
    <t>http://socialecology.uci.edu/faculty/dstokols</t>
  </si>
  <si>
    <t>Using peer pressure to promote conservation and public health</t>
  </si>
  <si>
    <t>https://www.youtube.com/watch?v=2grEguLHezI&amp;list=PLyGz__IQOrcObBUurAx_0LusA7LvlJ2EQ&amp;index=17</t>
  </si>
  <si>
    <t>How #peerpressure can be a force for positive #behaviorchange and should be a tool for #climatechangepractitioners http://ow.ly/UvcEJ</t>
  </si>
  <si>
    <t>Jennifer Jacquet: How do you punish global mega-corp? Shame them</t>
  </si>
  <si>
    <t>behavior; Using shame and punishment to promote cooperation in an environmental context</t>
  </si>
  <si>
    <t>Wired UK</t>
  </si>
  <si>
    <t>https://www.youtube.com/watch?v=yl4NSy0SXtc</t>
  </si>
  <si>
    <t>Katherine Milkman</t>
  </si>
  <si>
    <t>.@jenniferjacquet on shaming global mega-corps Full WIRED2014 talkhttp://ow.ly/UvcRw</t>
  </si>
  <si>
    <t>The Wharton School at the University of Pennsylvania</t>
  </si>
  <si>
    <t>Awareness, Vivid</t>
  </si>
  <si>
    <t>professor of economics</t>
  </si>
  <si>
    <t>habits, temptations</t>
  </si>
  <si>
    <t>Wayne Lin - Power Plants vs Saving Energy: Changing Behavior in a Low Engagement Environment</t>
  </si>
  <si>
    <t>Wayne Lin</t>
  </si>
  <si>
    <t>https://opimweb.wharton.upenn.edu/profile/389/</t>
  </si>
  <si>
    <t>Encouraging energy use reductions using game theory; Behavioral Science</t>
  </si>
  <si>
    <t>Gamification Co</t>
  </si>
  <si>
    <t>25min</t>
  </si>
  <si>
    <t>https://www.youtube.com/watch?v=sFreBxDi9eQ&amp;feature=youtu.be&amp;utm_content=bufferb91f7&amp;utm_medium=social&amp;utm_source=twitter.com&amp;utm_campaign=buffer</t>
  </si>
  <si>
    <t>How @opower saved 4TWh to date-- the equivalent of taking San Francisco off the grid for one year. http://ow.ly/Y96Xl</t>
  </si>
  <si>
    <t>specialist</t>
  </si>
  <si>
    <t>What is Environmental Communication?</t>
  </si>
  <si>
    <t>Various</t>
  </si>
  <si>
    <t>Communication and Framing</t>
  </si>
  <si>
    <t>Behavioral economics, the impact of poverty on mental bandwidth, discrimination, competition and media bias, machine learning and data mining to better understand human behavior, scarcity</t>
  </si>
  <si>
    <t>series of podcasts</t>
  </si>
  <si>
    <t>http://www.envirocomm.org/podcasts/</t>
  </si>
  <si>
    <t>scarcity
limited attention
discounting</t>
  </si>
  <si>
    <t>http://scholar.harvard.edu/sendhil/home</t>
  </si>
  <si>
    <t>phone: 617 496 2720
fax: 617 495 7730
email: mullain@fas.harvard.edu</t>
  </si>
  <si>
    <t>What Are the Linkages between #Environmental Communication and Non-Human Animals? http://ow.ly/XzuOG</t>
  </si>
  <si>
    <t>Dan Kahan: Cultural Cognition and the Challenge of Science Communication</t>
  </si>
  <si>
    <t>Glenn Jobson</t>
  </si>
  <si>
    <t>University of Cambridge</t>
  </si>
  <si>
    <t>Scarcity: Why Having too Little Means so Much Poverty Impedes Cognitive Function (Science, 2013) 
A Reduced-Form Approach to Behavioral Public Finance (Annual Review of Economics, 2012) 
Notes on Behavioral Economics and Labor Market Policy (IZA Journal of Labor Policy, 2012)
 Energy Policy with Externalities and Internalities (2012) 
Some Consequences of Having Too Little (Science Magazine, 2012)</t>
  </si>
  <si>
    <t>http://www.sms.cam.ac.uk/media/1083337;jsessionid=24318FACA80319A17E5841ADF99EDF23</t>
  </si>
  <si>
    <t>Dan Kahan: Cultural Cognition and the Challenge of #Science #Communication http://ow.ly/XzuF6</t>
  </si>
  <si>
    <t>F12020 Global Forum: Sendhil Mullaianathan (25 min) 
 Solving Social Problems with a nudge (18 min) http://www.ted.com/talks/sendhil_mullainathan?language=en information is not enough to solve social and public health problems. our intuitive models of how the world works sometimes fail us Sendhil Mullainathan and the Behavioral Economics of Extreme Poverty (1.5 hr) https://www.youtube.com/watch?v=HNyeKxWUwD4 how poverty effects thinking, scarcity. limited attention, people who are lacking something are more easily distracted by thinking about what they are missing (https://www.youtube.com/watch?v=XyBsiTsb3SQ is similar: money vs time poor, scarcity and how you think)</t>
  </si>
  <si>
    <t>The Psychological Climate Paradox: From Barriers to Solutions</t>
  </si>
  <si>
    <t>Per Espen Stoknes</t>
  </si>
  <si>
    <t>BI Center for Climate Strategy</t>
  </si>
  <si>
    <t>http://www.nytimes.com/2014/03/09/business/a-top-heavy-focus-on-income-inequality.html?ref=economy&amp;_r=0
 http://www.washingtonpost.com/blogs/wonkblog/wp/2013/09/13/being-poor-changes-your-thinking-about-everything/ 
http://www.huffingtonpost.com/2013/09/11/sendhil-mullainathan-for-_n_3906544.html</t>
  </si>
  <si>
    <t>30 min</t>
  </si>
  <si>
    <t>https://vimeo.com/85597189</t>
  </si>
  <si>
    <t xml:space="preserve">The Psychologicial #Climate Paradox: From Challenge to Change http://ow.ly/XzuW2 </t>
  </si>
  <si>
    <t>Don't Even Think About it - Why Our Brains Are Wired to Ignore Climate Change</t>
  </si>
  <si>
    <t>WGBH Forum</t>
  </si>
  <si>
    <t>https://www.youtube.com/watch?v=RelADP17zK8&amp;index=105&amp;list=PLyGz__IQOrcObBUurAx_0LusA7LvlJ2EQ</t>
  </si>
  <si>
    <t>Don't Even Think About It - Why Our Brains Are Wired to Ignore #ClimateChange VIDEO via @climategeorge http://ow.ly/WYR6i</t>
  </si>
  <si>
    <t>Easy; Habits; Mindful</t>
  </si>
  <si>
    <t>All about Osbaldiston's Meta-Analysis</t>
  </si>
  <si>
    <t>Environmental Sustainability and Behavioral Science: Meta-Analysis of Pro-Environmental Behavior Experiments</t>
  </si>
  <si>
    <t>stanford universty - persuasive technology lab</t>
  </si>
  <si>
    <t>Richard Osbaldiston</t>
  </si>
  <si>
    <t>lecturer in education and computer science</t>
  </si>
  <si>
    <t>Behavioral Science</t>
  </si>
  <si>
    <t>Vimeo (?)</t>
  </si>
  <si>
    <t>http://vimeo.com/66198536</t>
  </si>
  <si>
    <t>habit formation, what causes behavior, automating behavior change, implications for health, integrating technology to change behavior, persuasion in social networks, psychology education, design</t>
  </si>
  <si>
    <t>http://www.bjfogg.com/ 
http://www.behaviormodel.org/
 http://tinyhabits.com/ 
http://www.foggmethod.com/</t>
  </si>
  <si>
    <t xml:space="preserve">What we know—and what we don’t know—about promoting pro-environmental #behaviors. http://ow.ly/X28G3 </t>
  </si>
  <si>
    <t>phone: 707 479 4552
email: bjfogg@stanford.edu
schedule appointment via website</t>
  </si>
  <si>
    <t>Persuasive Technology: Using Computers to Change What We Think and Do</t>
  </si>
  <si>
    <t>Issues with people believing in climate change, ocean acidification, fisheries decline, problem with deforestation, etc.</t>
  </si>
  <si>
    <t>The Science of Why We Don't Believe in Science</t>
  </si>
  <si>
    <t>Chris Mooney - A writer (not scientist) who writes about science</t>
  </si>
  <si>
    <t>Video; Denying Science is a fundamenteally emotional process</t>
  </si>
  <si>
    <t>https://www.youtube.com/watch?v=ANeW7U0qRKo</t>
  </si>
  <si>
    <t>Habit Design  - BJ Fogg // Startup Elements (37 min) https://www.youtube.com/watch?v=YQjLOyguXSQ designing interventions to improve health. 
How to facilitate behavior change Spotlight: BJ Fogg, Psychology of Persuasion (15 min) (available at http://www.bjfogg.com/) behavior change comes from availability and motivation
 Motivation Waves (23 min) https://www.youtube.com/watch?v=fqUSjHjIEFg how motivation changes over time--we shouldn't assume that motivation is constant. 
understanding motivation to improve health behavior Forget big change, start with a tiny habit: BJ Fogg at TEDxFremont (17 min) https://www.youtube.com/watch?v=AdKUJxjn-R8changing environmental factors, how to change behavior in the short vs long term--start with small behavior changes</t>
  </si>
  <si>
    <t>http://archive.fortune.com/galleries/2008/fortune/0811/gallery.10_new_gurus.fortune/ 
http://www.forbes.com/sites/anthonykosner/2012/12/04/stanfords-school-of-persuasion-bj-fogg-on-how-to-win-users-and-influence-behavior/ 
http://lifehacker.com/encourage-new-habits-by-stacking-them-on-top-of-preexis-1680987077 
http://www.forbes.com/sites/parmyolson/2015/01/21/jawbone-guinea-pig-economy/</t>
  </si>
  <si>
    <t>behavior design boot camp</t>
  </si>
  <si>
    <t xml:space="preserve">.@chriscmooney  "The #Science of Why We Don't Believe in Science" http://ow.ly/X290D #environment </t>
  </si>
  <si>
    <t>Environmental Communication Training: Lesson Seven</t>
  </si>
  <si>
    <t>Water Words that Work</t>
  </si>
  <si>
    <t>Communucation; Environmental Communication</t>
  </si>
  <si>
    <t>https://www.youtube.com/watch?v=vCy3P2gG2mI&amp;index=8&amp;list=PLEE4A790680BA4EF9</t>
  </si>
  <si>
    <t xml:space="preserve">The importance of #imagery and foolproof photos when communicating #conservation to citizens http://ow.ly/X29ho </t>
  </si>
  <si>
    <t>Eco-buoyant!: Elin Kelsey at TEDxMonterey</t>
  </si>
  <si>
    <t>TEDx Talks</t>
  </si>
  <si>
    <t>Joseph Avrai</t>
  </si>
  <si>
    <t>Decision Research, University of Calgary</t>
  </si>
  <si>
    <t>Relentless "doom and gloom" fuels a culture of hopelessness among marine scientists, little kids, environmental activists and the rest of us. Elin champions a radical rethink of the ways we connect with the planet, drawing inspiration from studies on hope, resiliency, sustainable happiness, and the power to co-create in the post normal age.</t>
  </si>
  <si>
    <t>13 min</t>
  </si>
  <si>
    <t>interplay between cognitive and affective modes of judgment
developing decision aiding tools that can be used by people to improve decision quality in environmental, social, and economic contexts</t>
  </si>
  <si>
    <t>https://www.youtube.com/watch?v=igVR2M6CMyM</t>
  </si>
  <si>
    <t>http://www.decisionresearch.org/researcher/joseph-arvai/</t>
  </si>
  <si>
    <t>Relentless "doom and gloom" fuels a culture of hopelessness among#environmental #activists and the rest of us. ow.ly/Ujxvf</t>
  </si>
  <si>
    <t>Easy; Salient</t>
  </si>
  <si>
    <t>Duke Fuqua School of Business/ Afiiliated Researcher at CRED</t>
  </si>
  <si>
    <t>recycling</t>
  </si>
  <si>
    <t>lecturer</t>
  </si>
  <si>
    <t>Bottle Bank Arcade</t>
  </si>
  <si>
    <t>TheFunTheory</t>
  </si>
  <si>
    <t>people enjoy recycling more when it is fun</t>
  </si>
  <si>
    <t>https://youtu.be/zSiHjMU-MUo</t>
  </si>
  <si>
    <t>How choice architectures can be arranced to improve environmentally relevant decisions; how people make decisions under uncertainty. decision making under uncertainty, the effect that the source of the information has on decisions, mathematical models of decision-making, how judgments and decisions vary over time, strength vs weight of evidence, what features of the choice environment encourage people to repeat pro-environmental behavior</t>
  </si>
  <si>
    <t>availability heuristic
base-rate fallacy
consistency</t>
  </si>
  <si>
    <t>http://cred.columbia.edu/about-cred/people/affiliated-researchers/adrian-camilleri/
http://adriancamilleri.net/</t>
  </si>
  <si>
    <t>.@thefuntheory believes that the easiest way to change people's#behavior for the better is by making it fun to do. ow.ly/UjxDu</t>
  </si>
  <si>
    <t>phone: +613 9925 1501
email: adrian.camilleri@rmit.edu.au</t>
  </si>
  <si>
    <t>The World's Deepest Bin</t>
  </si>
  <si>
    <t>The long and short of it: Closing the description-experience "gap" by taking the long run view (Cognition, 2013) 
When and why rare events are underweighed: A direct comparison of the sampling, partial feedback, full feedback and description choice paradigms (Psychonomic Bulletin &amp; Review, 2011) 
The role of representation in experience-based choice (Judgment &amp; Decision Making, 2009)</t>
  </si>
  <si>
    <t>people like throwing trash in bin that makes a fun sound</t>
  </si>
  <si>
    <t>1.5 min</t>
  </si>
  <si>
    <t>https://youtu.be/cbEKAwCoCKw</t>
  </si>
  <si>
    <t>radio interview: http://mpegmedia.abc.net.au/rn/podcast/2011/11/ssw_20111105_1225.mp3  (6 min) discusses how people evaluate evidence and make decisions differently when they are thinking on long vs short time horizons
 Adrian Camilleri on Choice Architecture and Translated Attributes (4 min) http://adriancamilleri.net/2014/02/a-new-video-on-choice-architecture-and-translated-attributes/ talk about how people make multi-attribute choices and the effects of choice architecture</t>
  </si>
  <si>
    <t>Another #fun example from @thefuntheory! ow.ly/UjxGd #recycle#trash</t>
  </si>
  <si>
    <t>http://time.com/103019/the-incredibly-simple-way-to-get-drivers-to-buy-fuel-efficient-cars/</t>
  </si>
  <si>
    <t>Habit; Easy; Mindful</t>
  </si>
  <si>
    <t>Are we in control of our own decisions?</t>
  </si>
  <si>
    <t>TED Talks</t>
  </si>
  <si>
    <t xml:space="preserve">Dughig believes the power to change familial, social, work and personal goals is only successful once we understand how habits work. </t>
  </si>
  <si>
    <t>Behavioral economist Dan Ariely uses classical visual illusions and his own counterintuitive research findings to show how we're not as rational as we think when we make decisions</t>
  </si>
  <si>
    <t>technology, habit formation, business and economics</t>
  </si>
  <si>
    <t>first choice effect
priming
limited energy
sense of self/consistency
meaning vs sisyphus</t>
  </si>
  <si>
    <t>http://charlesduhigg.com/</t>
  </si>
  <si>
    <t>phone: 212 556 7477
email: charles@charlesduhigg.com
additional contact info on website</t>
  </si>
  <si>
    <t>The Power of Habit: Why We Do What We Do in Life and Business</t>
  </si>
  <si>
    <t>How to break habits (3.5 min) https://www.youtube.com/watch?v=4H0fTwtPLfo intro to the book the power of habit. 
Explains the basic mechanism of how habits work Charles Duhigg on the Colbert Report (6 min) http://thecolbertreport.cc.com/videos/y85ykp/charles-duhigg discusses the evolutionary roots and structure of habit formation 
Good Life Project: Charles Duhigg - Power of Habit (37 min) https://www.youtube.com/watch?v=voX0gUn_JOI 
The Power of Habit: Charles Duhigg at TEDxTeachersCollege (16 min) https://www.youtube.com/watch?v=OMbsGBlpP30  habit formation and willpower 
How to create a habit: With Charles Duhigg and Ramit Sethi (6 min) https://www.youtube.com/watch?v=C8XG02das-A the importance of rewards when forming habits</t>
  </si>
  <si>
    <t>http://www.medicaldaily.com/i-meditated-40-straight-days-heres-what-happened-322190 
http://www.clevelandjewishnews.com/special_sections/career_path/article_359da3d6-b094-11e4-8263-939b5a495240.html 
http://www.huffingtonpost.com/james-e-porter/sohows-that-new-years-resolution-going_b_6595694.html</t>
  </si>
  <si>
    <t>Are we in control of our own#decisions? #tedtalk: ow.ly/UjxIl</t>
  </si>
  <si>
    <t>reducing food waste</t>
  </si>
  <si>
    <t>Green nudge#2: A good meal</t>
  </si>
  <si>
    <t>Reducing food waste through smaller plates</t>
  </si>
  <si>
    <t>Charlie Wilson</t>
  </si>
  <si>
    <t>tyndall centre for climate change research, univeristy of east anglia</t>
  </si>
  <si>
    <t>lecturer in energy and climate change</t>
  </si>
  <si>
    <t>decision making and energy use, behavioral policy, technology use, energy transitions, environmental behavior</t>
  </si>
  <si>
    <t>awareness
attentional bias
</t>
  </si>
  <si>
    <t>https://www.uea.ac.uk/environmental-sciences/people/profile/charlie-wilson#overviewTab</t>
  </si>
  <si>
    <t>phone: +44 0 1603 59 1386
email: charlie.wilson@uea.ac.uk</t>
  </si>
  <si>
    <t>Models of decision making and Res. Energy use 
The Appeal of the Green Deal: Empirical Evidence for the Influence of Energy Efficiency Policy on Renovating Homeowners in Energy Policy (2015)
 The 'Four Dimensions of Behaviour' framework: a tool for characterising behaviours to help design better interventions in Transportation Planning and Technology (2014)</t>
  </si>
  <si>
    <t>Why mitigation must target energy efficiency: Charlie Wilson's research in Nature Climate Change (2 min) https://www.youtube.com/watch?v=S-AmWiabfTI improvements in energy efficiency are the best way to address climate change</t>
  </si>
  <si>
    <t>institute for resources, environment, and sustainability</t>
  </si>
  <si>
    <t>Great video from @GreeNudge !ow.ly/UjxMU Talks about the different#nudges to reduce #foodwaste!</t>
  </si>
  <si>
    <t>David Gershun</t>
  </si>
  <si>
    <t>Empowerment Institue</t>
  </si>
  <si>
    <t>Co-Founder and CEO</t>
  </si>
  <si>
    <t>Focuses on behavior change, community empowerment, and large-system transformation.  </t>
  </si>
  <si>
    <t>inattentional blindness, memory, cognitive illusions; overconfidence effect</t>
  </si>
  <si>
    <t xml:space="preserve">Which are deadlier: Sharks or Horses? </t>
  </si>
  <si>
    <t>CogSai</t>
  </si>
  <si>
    <t>Simple &amp; basic explanation of availability heuristic with interesting illustrations</t>
  </si>
  <si>
    <t>Social Change 2.0: A Blueprint for Reinventing Our World, and best-sellers Low Carbon Diet: A 30 Day Program to Lose 5,000 Pounds and, with his wife Gail Straub, Empowerment: The Art of Creating Your Life As You Want It</t>
  </si>
  <si>
    <t>Mindful; Personal</t>
  </si>
  <si>
    <t>Yale law school</t>
  </si>
  <si>
    <t>career analyst</t>
  </si>
  <si>
    <t>what motivates people- autonomy, mastery and purpose, persuasion, leadership</t>
  </si>
  <si>
    <t>confirmaiton bias
authority bias
expert bias
motivated reasoning</t>
  </si>
  <si>
    <t>http://www.danpink.com/about/</t>
  </si>
  <si>
    <t>A Whole new mind, Drive, To sell is human</t>
  </si>
  <si>
    <t>Interesting video on the #availability#heuristic! Which are deadlier: sharks or horses? http://ow.ly/Uvc81#cognitivescience</t>
  </si>
  <si>
    <t>podcast series: http://www.danpink.com/office-hours/ How to Persuade Others with the Right Question (5 min)  http://www.danpink.com/ac/how-to-persuade-others-with-the-right-questions-jedi-mind-tricks-from-daniel-h-pink/ motivational interviewing The puzzle of motivation (20 min)  http://www.ted.com/talks/dan_pink_on_motivation?language=en discusses how people respond to rewards when solving problems and creativity. what makes people feel motivated to solve a problem RSA Animate - Drive: The surprising truth about what motivates us https://www.youtube.com/watch?v=u6XAPnuFjJc (10 min) examples of interesting experiments that show how people respond to different types of rewards (contains the same audio as the video above)</t>
  </si>
  <si>
    <t>Black balloon</t>
  </si>
  <si>
    <t>Victorian government, Melboune</t>
  </si>
  <si>
    <t>Physical representation of GHG emissions to promote residential energy conservation; Overcoming perceptual barriers</t>
  </si>
  <si>
    <t>45 sec</t>
  </si>
  <si>
    <t>https://www.youtube.com/watch?v=gcMNZueIyNI</t>
  </si>
  <si>
    <t>Wow, this video powerfully shows a tangible and easy to understand unit of measurement. http://ow.ly/UvcdW#greenhousegas #climate</t>
  </si>
  <si>
    <t>energy consumption</t>
  </si>
  <si>
    <t>How behavioral science can lower your energy bill</t>
  </si>
  <si>
    <t>Alex Laskey</t>
  </si>
  <si>
    <t>TedTalk</t>
  </si>
  <si>
    <t>What's a proven way to lower your energy costs? Would you believe: learning what your neighbor pays. Alex Laskey shows how a quirk of human behavior can make us all better, wiser energy users, with lower bills to prove it. (opower); social norms and feedback and prompts</t>
  </si>
  <si>
    <t>http://www.ted.com/talks/alex_laskey_how_behavioral_science_can_lower_your_energy_bill#t-134769</t>
  </si>
  <si>
    <t>Geoffrey Cohen</t>
  </si>
  <si>
    <t>How #behavioralscience can lower your #energy bill #tedtalk:http://ow.ly/Uvdpq</t>
  </si>
  <si>
    <t>How to Persuade Others with the Right Question</t>
  </si>
  <si>
    <t>Communication, the importance of allowing people to articulate their own reason for doing or not doing something and the effect this has on promoting desirable behavior</t>
  </si>
  <si>
    <t>not directly related to any ds principle but shows how to communicate with people</t>
  </si>
  <si>
    <t>identity maintenance and implications for social problems. Group identity and effects on achievement, hiring discrimination, inter-group conflict, and anti-social behavior</t>
  </si>
  <si>
    <t>sense of self</t>
  </si>
  <si>
    <t>https://ed.stanford.edu/faculty/glc  lab website: http://cohenlab.stanford.edu/</t>
  </si>
  <si>
    <t>The Psychology of Change: Self-Affirmation and Social Psychological Intervention (Annual Review of Psychology, 2014) An identity threat perspective on intervention (in press)  Identity, ideology, and bias (Ideology, psychology, and law, 2012)</t>
  </si>
  <si>
    <t>Closing the Achievement Gap: https://www.youtube.com/watch?v=pwp71xrIxtY (5 min) discusses the importance of positive affirmation on achievement
 Identity, Belief, and Bias - Part 1: https://www.youtube.com/watch?v=hWZhSvFyR8E discusses how people respond to information that contradicts their beliefs. The video is clear and informative but the visuals aren't great. Emphasis is on race and prejudice</t>
  </si>
  <si>
    <t>http://www.stanforddaily.com/2012/05/11/steele-psych-profs-talk-stereotype-threat/ 
http://www.medicalnewstoday.com/articles/287773.php</t>
  </si>
  <si>
    <t>John Gastil</t>
  </si>
  <si>
    <t>Pennsylvania State University</t>
  </si>
  <si>
    <t>professor of communications</t>
  </si>
  <si>
    <t>political deliberation and group decision making. How our deeper values bias how we learn about issues and form opinions</t>
  </si>
  <si>
    <t>.@DanielPink on How to Persuade Others with the Right Questionshttp://ow.ly/Uve5Q</t>
  </si>
  <si>
    <t>http://cas.la.psu.edu/faculty-staff/jwg22  http://www.la1.psu.edu/cas/jgastil/</t>
  </si>
  <si>
    <t>email: jgastil@psu.edu
phone: 814 865 5232</t>
  </si>
  <si>
    <t>Political Communication and Deliberation , Fixing the Communication Problem , The Group in Society</t>
  </si>
  <si>
    <t>radio show: http://mpegmedia.abc.net.au/classic/podcast/current/audioonly/mti_20110729.mp3 discusses group dynamics</t>
  </si>
  <si>
    <t>Wash Lab All Types</t>
  </si>
  <si>
    <t>group dynamics</t>
  </si>
  <si>
    <t>the cultural cognition project</t>
  </si>
  <si>
    <t>different types of showers and how to approach each of them to get them take shorter showers</t>
  </si>
  <si>
    <t>https://www.youtube.com/watch?v=_V7DzW4KMrM&amp;feature=youtu.be</t>
  </si>
  <si>
    <t>This video outlines the traits of different personal washing behaviors. Which one are you? http://ow.ly/UveCL</t>
  </si>
  <si>
    <t xml:space="preserve">Mindful </t>
  </si>
  <si>
    <t>Can be used to be aware of cognitive biases towards the environment</t>
  </si>
  <si>
    <t>How to improve your daily decision making: Top 4 cognitive biases you should avoid
</t>
  </si>
  <si>
    <t>Being aware of certain cognitive biases can improve decision making. </t>
  </si>
  <si>
    <t>university of illinois</t>
  </si>
  <si>
    <t>professor of psychology</t>
  </si>
  <si>
    <t>visual cognition, attention, perception, memory, change blindness, inattentional blindness, metacognition, intuition</t>
  </si>
  <si>
    <t>inattetional blindness
overconfidence effect
limited attention</t>
  </si>
  <si>
    <t>http://www.dansimons.com/  http://www.psychology.illinois.edu/people/dsimons  blog: http://blog.dansimons.com/  http://beckman.illinois.edu/directory/person/dsimons   youtube channel: https://www.youtube.com/user/profsimons</t>
  </si>
  <si>
    <t>phone: 217 689 1527
email: dsimons@illinois.edu</t>
  </si>
  <si>
    <t>The invisible Gorilla: How Our Intuitions Deceive Us What you see is what you set: Sustained inattentional blindness and the capture of awareness (Psychological Review, 2005) The effects of individual differences and task difficultly on inattentional blindness (Psychonomic Bulletin &amp; Review, 2009) Change blindness: Past, present, and future (Trends in Cognitive Sciences, 2005)  The Value of Direct Replication (Perspectives on Psychological Science, 2014) Change Detection: Training and Transfer (Plos One, 2013)  Fixation Strategy Influences the Ability to Focus Attention on Two Spatially Separate Objects (Plos One, 2013)</t>
  </si>
  <si>
    <t>TEDxUIUC - Daniel Simons - Counter-Intuition (20 min) https://www.youtube.com/watch?v=eb4TM19DYDY people believe they will notice unusual or important things, but this is often not the case. Inattentional blindness  TEDxUIUC - Daniel Simons - Seeing the World As it Isn't (7 min) https://www.youtube.com/watch?v=9Il_D3Xt9W0 cognitive illusions, change blindness, visual perception</t>
  </si>
  <si>
    <t>http://www.slate.com/articles/health_and_science/science/2015/02/false_memories_of_brian_williams_memory_experts_chabris_and_simons_tips.single.html http://well.blogs.nytimes.com/2014/11/19/does-exercise-really-make-us-smarter/?_r=0 
http://beckman.illinois.edu/news/2014/02/science-cafe-dan-simons</t>
  </si>
  <si>
    <t>4 #cognitive #biases to avoid Being aware can improve decision making, even those made towards the #environment. http://ow.ly/WYQg5</t>
  </si>
  <si>
    <t>attention</t>
  </si>
  <si>
    <t>viscog productions</t>
  </si>
  <si>
    <t>How great leaders inspire action</t>
  </si>
  <si>
    <t>Simon Sinek</t>
  </si>
  <si>
    <t>Inspiring action</t>
  </si>
  <si>
    <t>Video; Talk about what you believe</t>
  </si>
  <si>
    <t>http://www.ted.com/talks/simon_sinek_how_great_leaders_inspire_action</t>
  </si>
  <si>
    <t>Foot in the Door Phenomenon</t>
  </si>
  <si>
    <t>Bo Bennet</t>
  </si>
  <si>
    <t>Bennet describes the foot in the door technique</t>
  </si>
  <si>
    <t>David Rose</t>
  </si>
  <si>
    <t>https://www.youtube.com/watch?v=oBNoa4c7J6I</t>
  </si>
  <si>
    <t>university of missouri</t>
  </si>
  <si>
    <t>A Lesson On Cognitive Dissonance</t>
  </si>
  <si>
    <t>behavioral economics, organization theory, political economy, intersection between cultural practices, morals, and economic operations</t>
  </si>
  <si>
    <t>Basic explication of cognitive dissonance with footage from original experiments</t>
  </si>
  <si>
    <t>http://www.umsl.edu/~econ/Faculty%20and%20Staff/rose.html</t>
  </si>
  <si>
    <t>email: rose@umsl.edu</t>
  </si>
  <si>
    <t>https://www.youtube.com/watch?v=korGK0yGIDo</t>
  </si>
  <si>
    <t>The Moral Foundation of Economic Behavior (2011) 
Why Culture Matters Most (in press)</t>
  </si>
  <si>
    <t>climate change</t>
  </si>
  <si>
    <t>Climate change - the greatest story never told</t>
  </si>
  <si>
    <t xml:space="preserve"> David Rose on the Moral Foundations of Economic Behavior (1 hr)(podcast) discusses ways to improve market efficiency and preserve knowledge http://www.econtalk.org/archives/2012/01/david_rose_on_t.html 
The Moral Foundations of Economic Behavior - David Rose - Show Me Institute (1 hr) https://www.youtube.com/watch?v=50NbzJ8bx7g moral beliefs play an important role in economic success</t>
  </si>
  <si>
    <t>tedx talks</t>
  </si>
  <si>
    <t>video</t>
  </si>
  <si>
    <t>http://blogs.umsl.edu/news/2012/02/06/drose/</t>
  </si>
  <si>
    <t>https://www.youtube.com/watch?v=wBlTu9Tpvvo</t>
  </si>
  <si>
    <t>Jessica Nolan</t>
  </si>
  <si>
    <t>university of scranton</t>
  </si>
  <si>
    <t>Dan Ariely - Cognitive Dissonance</t>
  </si>
  <si>
    <t>Ariely discusses Leon Festinger's cognitive dissonance experiment and Zappos</t>
  </si>
  <si>
    <t>https://www.youtube.com/watch?v=eFYPlXGiJ-E</t>
  </si>
  <si>
    <t>application of psychological tools and principles to understand and solve environmental problems. The effects of social norms on environmental behaviors such as energy conservation and household recycling. How government regulations influence environmental behavior. Normative belief change, connections with nature, implicit prejudice</t>
  </si>
  <si>
    <t>http://www.scranton.edu/faculty/nolan/</t>
  </si>
  <si>
    <t>phone: 570 941 4270
email: jessica.nolan@scranton.edu</t>
  </si>
  <si>
    <t>The cognitive ripple of social norms communications (Groups Processes and Intergroup Relations, 2011) 
An Inconvenient Truth increases knowledge, concern, and willingness to reduce greenhouse gases (Environment and Behavior, 2010) 
The constructive, destructive, and reconstructive power of social norms (Psychological Science, 2007)</t>
  </si>
  <si>
    <t>Climate Change -- The Greatest Story Never Told</t>
  </si>
  <si>
    <t>http://www.newscientist.com/article/mg20327222.100-how-psychology-can-help-the-planet-stay-cool.html 
http://usatoday30.usatoday.com/news/nation/environment/2008-08-13-green-psychology_N.htm http://www.theecologist.org/News/news_analysis/470617/seeking_status_embracing_our_selfish_motives_for_buying_green.html</t>
  </si>
  <si>
    <t>John List</t>
  </si>
  <si>
    <t>Yale Professor Dan Kahan on "protective cognition"</t>
  </si>
  <si>
    <t>behavior and markets, charitable giving, finance, non-market valuation</t>
  </si>
  <si>
    <t>norms</t>
  </si>
  <si>
    <t>http://home.uchicago.edu/jlist/</t>
  </si>
  <si>
    <t>https://www.youtube.com/watch?v=NJDBv7eldSU</t>
  </si>
  <si>
    <t>Life as a Laboratory: Using Field Experiments in Economics, John List (1.5 hr) https://www.youtube.com/watch?v=mZ0JaKpNwHI 
John List on Science of Philanthropy (5 min) https://www.youtube.com/watch?v=LwF7MEuspU0 discusses his plans to determine why people donate to organizations</t>
  </si>
  <si>
    <t>Preparedness</t>
  </si>
  <si>
    <t>Disaster Preparedness as a Catalyst for Building Community…Before it Happens</t>
  </si>
  <si>
    <t>JoAnn Jordan</t>
  </si>
  <si>
    <t>http://www.wsj.com/articles/SB10001424052970203370604577263320286138892 
http://news.uchicago.edu/article/2012/03/07/prof-john-list-recruits-researchers-teach-south-suburban-eighth-graders-about-eco 
http://www.economist.com/blogs/freeexchange/2014/06/nudges</t>
  </si>
  <si>
    <t>Overcoming barriers that prevent people from preparing for environmental disasters; Communication and Framing</t>
  </si>
  <si>
    <t>Rob Boyd</t>
  </si>
  <si>
    <t>School of Evolution and Social Change, Arizona State University</t>
  </si>
  <si>
    <t>https://www.youtube.com/watch?v=agZrXLjICnY&amp;list=PLyGz__IQOrcObBUurAx_0LusA7LvlJ2EQ&amp;index=8</t>
  </si>
  <si>
    <t>groups and evolution (prisoners dilemma), social learning, evolutionary psychology and cultural development</t>
  </si>
  <si>
    <t>http://robboyd.abcs.asu.edu/index.htm</t>
  </si>
  <si>
    <t>Health and Conservation Reminders Cut Consumer Energy Use</t>
  </si>
  <si>
    <t>Cynthia Graber</t>
  </si>
  <si>
    <t>phone: 310 909 3156
email: robert.t.boyd@gmail.com</t>
  </si>
  <si>
    <t>Households that got weekly messages about the lower pollution they generated via efficiency cut energy use much more than did residents who were told how much money they were saving. Cynthia Graber reports</t>
  </si>
  <si>
    <t>Evolutionary escape from the Prisoners dilemma 
Not by Genes Alone: How culture transformed human evolution 
Mathematical Models of Social Evolution 
The cultural niche: Why social learning is essential for human adaptation (PNAS, 2011) 
Rapid cultural adaptation can facilitate the evolution of large-scale cooperation (Behavioral Ecology and Sociobiology, 2011)</t>
  </si>
  <si>
    <t>Robert Boyd - "Coordinated, contingent punishment is group beneficial and can increase when rare" (1 hr) https://www.youtube.com/watch?v=UxlYHuFJxCc</t>
  </si>
  <si>
    <t>http://www.scientificamerican.com/podcast/episode/health-and-conservation-reminders-cut-consumer-energy-use/?utm_source=twitterfeed&amp;utm_medium=twitter</t>
  </si>
  <si>
    <t>evolutionary roots of behavior</t>
  </si>
  <si>
    <t>Santa fe institute</t>
  </si>
  <si>
    <t>arizona state university</t>
  </si>
  <si>
    <t>When Willpower Isn't Enough</t>
  </si>
  <si>
    <t>social influence studies, persuasion, altruism, self-presentation, the effects of social norms on energy use</t>
  </si>
  <si>
    <t>https://webapp4.asu.edu/directory/person/10913 
commercial homepage: http://www.influenceatwork.com/</t>
  </si>
  <si>
    <t>One of the most compelling talks I saw at this year’s American Economics Association conference was by Katherine Milkman, an assistant professor at the Wharton School at Penn. She holds a joint Ph.D. in computer science and business, but her passion is behavioral economics — and, specifically, how its findings can be applied to help people in their daily lives. </t>
  </si>
  <si>
    <t>phone: 480 965 4971
email: robert.cialdini@asu.edu</t>
  </si>
  <si>
    <t>http://freakonomics.com/podcast/when-willpower-isnt-enough-a-new-freakonomics-radio-podcast/</t>
  </si>
  <si>
    <t>Habits</t>
  </si>
  <si>
    <t>Normative social influence- author
 A room with a viewpoint: Using normative appeals to motivate environmental conservation in a hotel room setting (Journal of Consumer Research, 2008)  
Applying (and resisting) peer influence (MIT/Sloan Management Review, 2008) 
Social norms: An underestimated and underemployed lever for managing climate change (International Journal for Sustainability Communication, 2008) 
Normative influences on consumption and conservation behaviors (The Social Psychology of Consumer Behavior, 2008)</t>
  </si>
  <si>
    <t>Motivation Wave</t>
  </si>
  <si>
    <t>Motivation Wave: MotivationWave-BJFogg-2012</t>
  </si>
  <si>
    <t>Habits; Easy</t>
  </si>
  <si>
    <t>Robert Cialdini- The 6 Principles of Influence (15 min) https://www.youtube.com/watch?v=HOypv1AqYu0 quick overview of a few different ds principles (https://www.youtube.com/watch?v=_4ZcStMsss8 is a shorter version of the same video) 
Science of Persuasion (12 min) https://www.youtube.com/watch?v=cFdCzN7RYbw 
Robert Cialdini at ZURICH.MINDS -- Influence (19 min) https://www.youtube.com/watch?v=HNxDinw_Kjo using social norms to change environmental behavior 
Dr Robert Cialdini: Genius Network Interviews (1 hr) https://www.youtube.com/watch?v=4ZUZshxCQQA discusses different kinds of influencers 
Robert Cialdini Explains Social Psychology (5 min) http://bigthink.com/videos/robert-cialdini-explains-social-psychology</t>
  </si>
  <si>
    <t>Vime</t>
  </si>
  <si>
    <t>https://hbr.org/2015/02/increase-the-odds-of-achieving-your-goals-by-setting-them-with-your-spouse 
http://www.washingtonpost.com/opinions/the-psychology-of-why-sports-fans-see-their-teams-as-extensions-of-themselves/2015/01/30/521e0464-a816-11e4-a06b-9df2002b86a0_story.html http://www.ft.com/intl/cms/s/0/bcbc5924-399e-11e4-83c4-00144feabdc0.html</t>
  </si>
  <si>
    <t>opower, influence at work</t>
  </si>
  <si>
    <t>Simplicity and persuasive technologies, the easier a behavior is the more likely we do the behavior. The lowest cost effective tool. Simplicity is viewed as the perception of an experience, not inherent. 6 Elements/factors of simplicity: Time, Money, physical effort, brain cycles, Social deviance, and non routine. Each person has a different 'simplicity profile' and resources. Solutions differ for each profile. Simpilicity can be viewed as your scarcest element at the moment.</t>
  </si>
  <si>
    <t>Habits = No; Easy = No</t>
  </si>
  <si>
    <t>journalist</t>
  </si>
  <si>
    <t>peer pressure, social norms</t>
  </si>
  <si>
    <t>http://jointheclub.org/</t>
  </si>
  <si>
    <t>Brain Tricks - This Is How Your Brain Works</t>
  </si>
  <si>
    <t>Join the Club: How Peer Pressure Can Transform the World</t>
  </si>
  <si>
    <t>AsapSCIENCE</t>
  </si>
  <si>
    <t>System 1 and System 2 Thinking; Neuroscience</t>
  </si>
  <si>
    <t>Authors@Google: Tina Rosenberg (47 min) https://www.youtube.com/watch?v=bbHuEMtB0g0 examples of using peer pressure to promote positive social change 
Tina Rosenberg: Harnessing the Power of Peers for Behavior Change (30 min) https://www.youtube.com/watch?v=2grEguLHezI potential benefits of peer pressure. applications for promoting greener living and sustainable living</t>
  </si>
  <si>
    <t>https://www.youtube.com/watch?v=JiTz2i4VHFw&amp;index=2&amp;list=PLvFsG9gYFxY9XwLbh_VcqefKfOAEwA4mj</t>
  </si>
  <si>
    <t>http://www.nytimes.com/2011/05/22/books/review/book-review-join-the-club-by-tina-rosenberg.html?pagewanted=all 
http://www.theguardian.com/books/2011/sep/02/join-club-tina-rosenberg-review 
http://nymag.com/arts/books/reviews/tina-rosenberg-2011-3/</t>
  </si>
  <si>
    <t>Cognition: How Your Mind Can Amaze and Betray You</t>
  </si>
  <si>
    <t>CrashCourse</t>
  </si>
  <si>
    <t>Behavioral Science; cognitive science and biases</t>
  </si>
  <si>
    <t>https://www.youtube.com/watch?v=R-sVnmmw6WY&amp;index=15&amp;list=PL8dPuuaLjXtOPRKzVLY0jJY-uHOH9KVU6</t>
  </si>
  <si>
    <t>The Negative Side of Positive Thinking</t>
  </si>
  <si>
    <t>BrainCraft</t>
  </si>
  <si>
    <t>The effect of positive thoughts and motivation</t>
  </si>
  <si>
    <t>https://www.youtube.com/watch?v=UFeOw1tC_ew&amp;list=PLQwg0PxpUPlr0cfP61nVBc2wwaERqhWUG&amp;index=2</t>
  </si>
  <si>
    <t>RSA Animate - The Power of Outrospection</t>
  </si>
  <si>
    <t>The RSA</t>
  </si>
  <si>
    <t>Harvard, Kennedy School of Government</t>
  </si>
  <si>
    <t>https://www.youtube.com/watch?v=BG46IwVfSu8</t>
  </si>
  <si>
    <t>behavioral scientist, assistant professor of Public Policy</t>
  </si>
  <si>
    <t>What is Mindfulness Based Cognitive Therapy MBCT short animation by BEmindfulUK </t>
  </si>
  <si>
    <t>Behavioral scientist; expertise in behavioral science for student achievement and election participation. civic engagement, elections, political campaigns, social psychology, education, judgment and decision-making, behavioral economics, the cognitive and social factors that influence election participation, how time-inconsistent preferences can be leveraged to increase support for future-minded policies</t>
  </si>
  <si>
    <t>General/ Brief overview of cognitive mindfulness techniques. Stresses the importance of being  aware of automatic cognitive patterns.  </t>
  </si>
  <si>
    <t>discounting
social norms
herding - we are more likely to believe in the ability of people who themselves believe that they are likely to succeed 
effort justification</t>
  </si>
  <si>
    <t>http://scholar.harvard.edu/todd_rogers/home
http://www.hks.harvard.edu/about/faculty-staff-directory/todd-rogers</t>
  </si>
  <si>
    <t>phone: 617 496 3421
email: todd_rodgers@hks.harvard.edu</t>
  </si>
  <si>
    <t>The short-run and long-run effects of behavioral interventions: experimental evidence for energy conservation (American Economic Review, 2014) 
Political extremism is supported by an illusion of understanding (Psychological Science, 2013)
 I'll have the ice cream soon and the vegetables later: A study of online grocery purchases and order lead time (Marketing Letters, 2010) 
Descriptive Social Norms and Motivation to Vote: Everyone's Voting and so Should You (The Journal of Politics, 2009) 
Future Lock-in: Future Implementation Increases Selection of 'Should' Choices (Organizational Behavior and Human Decision Processes, 2008)</t>
  </si>
  <si>
    <t>Turning Mass Intention into Mass Action: Todd Rogers at TEDxCambridge 2013 (10 min) https://www.youtube.com/watch?v=Fn82cNy52a4 turning intention into behavior--voter mobilization</t>
  </si>
  <si>
    <t>Executive Director of Analyst Institute, LLC (The Brainerd Foundation funded a project of theirs on frames in the environment); seems to work with Sasha Issenberg (Author of Victory Lab); Senior researcher at ideas42
Recommended by Rod: implementation interventions - people are more likely to perform an action if they have already visualized doing it</t>
  </si>
  <si>
    <t>http://www.pennenergy.com/articles/pennenergy/2015/01/energy-management-an-app-that-s-changing-utility-customers-behavior.html 
http://harvardmagazine.com/2014/11/emotions-of-elections-study-todd-rogers
 http://news.harvard.edu/gazette/story/2014/12/deceiving-with-the-truth/ 
http://harvardmagazine.com/2012/03/the-art-of-the-dodge 
http://www.washingtonpost.com/blogs/the-switch/wp/2014/10/08/the-science-behind-why-our-inboxes-are-full-of-political-losers/</t>
  </si>
  <si>
    <t>Experimental Economics, Norms, and Prosocial Behaviour with Erik Kimbrough</t>
  </si>
  <si>
    <t>Garrett Petersen</t>
  </si>
  <si>
    <t>Economics Detective</t>
  </si>
  <si>
    <t>http://economicsdetective.com/2015/02/experimental-economics-norms-and-prosocial-behaviour-with-erik-kimbrough-mp3/</t>
  </si>
  <si>
    <t>What's Culture Got to do With It?</t>
  </si>
  <si>
    <t>Jennifer Hirsch</t>
  </si>
  <si>
    <t>Using communication and knowledge of community values to promote climate engagement</t>
  </si>
  <si>
    <t>https://www.youtube.com/watch?v=F9avrSER81I&amp;list=PLyGz__IQOrcObBUurAx_0LusA7LvlJ2EQ&amp;index=15</t>
  </si>
  <si>
    <t>university of minnesota</t>
  </si>
  <si>
    <t>specialist - evolutionary behavior</t>
  </si>
  <si>
    <t>Discusses group dynamics and attitude polarization with regards to attitudes about climate change</t>
  </si>
  <si>
    <t>persuasion and social influence, evolutionary psychology, sustainability and green behavior, luxury products, motivation and emotion, socioeconomic status</t>
  </si>
  <si>
    <t>social norms
scarcity</t>
  </si>
  <si>
    <t>http://carlsonschool.umn.edu/faculty/vladas-griskevicius</t>
  </si>
  <si>
    <t>phone: 612 626 3793
email: vladasg@umm.edu</t>
  </si>
  <si>
    <t xml:space="preserve">Behavioral Economics of Intrinsic Motivation </t>
  </si>
  <si>
    <t>Motivation</t>
  </si>
  <si>
    <t>The Rational Animal: How Evolution Made Us Smarter Than We Think
 Fundamental Motives: How Evolutionary Needs Influence Consumer Behavior (Journal of Consumer Psychology, 2013) 
The Evolutionary Basis for Sustainable Behavior: Implications for Marketing, Policy, and Social Entrepreneurship (Journal of Public Policy and Marketing, 2012)
 Going Green to be Seen: Status, Reputation, and Conspicuous Conservation (Journal of Personality and Social Psychology, 2010)</t>
  </si>
  <si>
    <t>Rationality and Evolution: Interview with Vladas Griskevicius - Part 1 (11 min) https://www.youtube.com/watch?v=-9KFvWNxeiU explains the evolutionary roots of some seemingly irrational economic choices (part 2: https://www.youtube.com/watch?v=wwnnfu4e710, part 3: https://www.youtube.com/watch?v=KvZ7GgZAsFQ) 
The Right Approach to Sustainability (2 min) https://www.youtube.com/watch?v=G7OhZ0Opi2M list of behavioral principles that influence sustainable behavior</t>
  </si>
  <si>
    <t>Importance of framing and methods of talking about an issue--more powerful than the facts themselves</t>
  </si>
  <si>
    <t>https://hbr.org/2014/12/being-a-good-leader-makes-you-more-attractive 
http://healthland.time.com/2012/01/18/the-connection-between-saving-and-sex/ 
http://qz.com/253467/growing-up-poor-erodes-a-sense-of-control-over-life-well-into-adulthood-study-finds/ 
http://www.huffingtonpost.com/2014/05/27/social-psychology-climate-change_n_5400061.html</t>
  </si>
  <si>
    <t>What's your story?</t>
  </si>
  <si>
    <t>The Really Big Questions (Sound Vision Productions &amp; PRI)</t>
  </si>
  <si>
    <t>Normal; Mindful</t>
  </si>
  <si>
    <t>Importance of framing and methods of talking about an issue--more powerful than the facts themselves; Storytelling; Framing</t>
  </si>
  <si>
    <t>Douglas Medin</t>
  </si>
  <si>
    <t>Northwestern Univeristy; Psychology Department</t>
  </si>
  <si>
    <t>Audio</t>
  </si>
  <si>
    <t>Decision making; role of culture as it relates to reasoning and knowledge about the natural world, culture and cognition, decision making, the role of moral values and emotion in decision making, categorization and decision making, biological categorization and reasoning</t>
  </si>
  <si>
    <t>http://www.psychology.northwestern.edu/people/faculty/core/profiles/douglas-medin.html
http://www.sesp.northwestern.edu/profile/?p=75</t>
  </si>
  <si>
    <t>phone: 847 467 1660
fax: 847 491 7859
email: medin@northwestern.edu</t>
  </si>
  <si>
    <t>Culture and epistemologies: putting culture back into the ecosystem (2013
) Cultural differences in children's ecological reasoning and psychological closeness to nature: Evidence from Menominee and European-American children (Journal of Culture and Cognition, 2012)</t>
  </si>
  <si>
    <t>19th APS Annual Convention (2007) - Presidential Symposium - Douglas L. Medin (16 min) discusses cultural biases in social science research http://vimeo.com/35912787</t>
  </si>
  <si>
    <t>Aral Sea</t>
  </si>
  <si>
    <t>http://www.washington.edu/news/2014/10/15/science-communication-should-consider-cultural-perspectives/
 http://www.scientificamerican.com/article/point-of-view-affects-how-science-is-done/ 
http://www.chicagotribune.com/news/ct-northwestern-john-evans-task-force-recommendations-met-20141119-story.html 
http://dailynorthwestern.com/2014/10/01/campus/study-examines-link-between-cultural-diversity-and-scientific-understanding/</t>
  </si>
  <si>
    <t>Wired Magazine</t>
  </si>
  <si>
    <t>Time lapse video of the dessertification of Aral Sea (Central Asia); Overcoming perceptual barriers</t>
  </si>
  <si>
    <t>Normal; Personal</t>
  </si>
  <si>
    <t>10 sec</t>
  </si>
  <si>
    <t>https://www.youtube.com/watch?v=MD3UldIQaUo</t>
  </si>
  <si>
    <t>Research scientist</t>
  </si>
  <si>
    <t>how culture, psychological influences affect how we think about environmental and policy issues, how different communication strategies appeal to different value systems</t>
  </si>
  <si>
    <t>public opinion and climate issues engagement. Psychological, cultural, and political factors that influence environmental beliefs, attitudes, and behavior</t>
  </si>
  <si>
    <t>expert bias
availability heuristic
base-rate fallacy
confirmation bias
discounting
social norms
limited attention</t>
  </si>
  <si>
    <t>http://environment.yale.edu/profile/leiserowitz/</t>
  </si>
  <si>
    <t>A Slice of the Pie: Profiling Behavioral Opportunities in Your City</t>
  </si>
  <si>
    <t>phone: 203 432 4865
fax: 203 436 3400
email: anthony.leiserowitz@yale.edu</t>
  </si>
  <si>
    <t>Karen Ehrhardt-Martinez</t>
  </si>
  <si>
    <t>Environmental Behavior; Environmental Behavior Research as applied to cities</t>
  </si>
  <si>
    <t>Key factors driving public climate change awareness and risk perception worldwide (Nature Climate Change, in press) 
Perceptions of changes in rainfall and extreme events among the Indian Public (Climate Change, in review) 
Predictors of trust in the general science and climate science research of US federal agencies (Public Understanding of Science, in review)
"Global Warming" vs "Climate change": The influence of terminology on beliefs and affective imagery (Climatic Change, in review)
 Predicting energy conservation and efficiency behaviors: A test of the Theory of Planned Behavior, the Health Belief Model, and an Integrated Model (Environment and Behavior, in review) 
Who remembers a hot summer or a cold winter? The asymmetric effect of beliefs about global warming on perceptions of local climate conditions in the US (Global Environmental Change, 2013)</t>
  </si>
  <si>
    <t>https://www.youtube.com/watch?v=5_tc0qmbR8o&amp;index=5&amp;list=PLyGz__IQOrcObBUurAx_0LusA7LvlJ2EQ</t>
  </si>
  <si>
    <t>Are Your Emotions Contagious?</t>
  </si>
  <si>
    <t>Ending the Silence on Climate Change: http://billmoyers.com/episode/full-show-ending-the-silence-on-climate-change/ (1 hr) Discusses the different types of Americans who have different views on climate change and must be approached in different ways, lays out different communication strategies 
video at the bottom of homepage (linked) gives a quick intro of the 6 Americas (6 min) 
Climate Change in the American Mind - Anthony Leiserowitz (1.5 hr) https://www.youtube.com/watch?v=h73241GaBcc 
The Five Thousand Pound Life: Climate Change in the American Mind (17 min) http://archleague.org/2013/10/climate-change-in-the-american-mind-videos/ covers a lot of the same material as the video above 
Anthony Leiserowitz on the public's perception of climate change - MIT Climate CoLab conference (50 min) https://www.youtube.com/watch?v=KJUNyb4RoA8 climate change attitudes and awareness around the world 
Communicating Climate Change in the US - Anthony Leiserowitz (1 hr) https://www.youtube.com/watch?v=y1naOXQ1awk
Making People Care About Climate Change (45 min) https://www.youtube.com/watch?v=V6l1rFvOarM
https://media.oregonstate.edu/media/anthony_leiserowitz/0_1arg60vh (8 min) emotions and decision making with risk</t>
  </si>
  <si>
    <t>Psychology; Emotions and Communication</t>
  </si>
  <si>
    <t>https://www.yalealumnimagazine.com/articles/4018/what-do-americans-think-about-global-warming</t>
  </si>
  <si>
    <t>public perceptions of climate issues</t>
  </si>
  <si>
    <t>https://www.youtube.com/watch?v=HTFdMwCXpMw</t>
  </si>
  <si>
    <t>Banny Banerjee - Design of the future</t>
  </si>
  <si>
    <t>https://vimeo.com/17497415</t>
  </si>
  <si>
    <t>Banny Banerjee - Design Thinking: An approach to Strategic Transformations</t>
  </si>
  <si>
    <t>Rainer Romero-Canyas</t>
  </si>
  <si>
    <t>Alta Scuola Politecnica</t>
  </si>
  <si>
    <t>columbia university, environmental defense fund</t>
  </si>
  <si>
    <t>social behavior scientist</t>
  </si>
  <si>
    <t>https://www.youtube.com/watch?v=-sVR9_2dL24</t>
  </si>
  <si>
    <t>specialist - social dynamics, sense of self, rejection</t>
  </si>
  <si>
    <t>Confirmation Bias, Identifiable Victim Effect</t>
  </si>
  <si>
    <t>58, 60</t>
  </si>
  <si>
    <t>Beware neuro-bunk</t>
  </si>
  <si>
    <t>applied personality and social psychology, attitudes/persuasion, belonging and rejection, communication, culture, environment, sustainability, environmental psychology, internet and social psychology, judgment and decision making, goals and motivation, norms and social influence, political psychology, stereotyping and prejudice, rejection</t>
  </si>
  <si>
    <t>Molly Crockett</t>
  </si>
  <si>
    <t>social norms
sense of self</t>
  </si>
  <si>
    <t>Cognitive bias</t>
  </si>
  <si>
    <t>Video; image of brain making us buy things</t>
  </si>
  <si>
    <t>Paying to Belong: When Does Rejection Trigger Ingratiation (J Pers Soc Psychol, 2011) 
Rejection Sensitivity and the Rejection-Hostility Link in Romantic Relationships (Journal of Personality, 2010) 
Internalizing the closet: concealment heightens the cognitive distinction between public and private selves (J Pers Soc Psychol, 2013)</t>
  </si>
  <si>
    <t>http://www.ted.com/talks/molly_crockett_beware_neuro_bunk</t>
  </si>
  <si>
    <t>http://www.sanfranciscosentinel.com/?p=42222</t>
  </si>
  <si>
    <t>climate science and global warming</t>
  </si>
  <si>
    <t>Decision Making Under Uncertainty</t>
  </si>
  <si>
    <t>Normal; Salient</t>
  </si>
  <si>
    <t>A.E. Dessler</t>
  </si>
  <si>
    <t>Hunt Allcott</t>
  </si>
  <si>
    <t>New York University</t>
  </si>
  <si>
    <t>Making decisions about climate science uncertanties; Decision Making</t>
  </si>
  <si>
    <t xml:space="preserve">professor </t>
  </si>
  <si>
    <t>https://www.youtube.com/watch?v=iRAL3dWnSNg&amp;index=28&amp;list=PLyGz__IQOrcObBUurAx_0LusA7LvlJ2EQ</t>
  </si>
  <si>
    <t>environmental and energy economics, industrial organization, behavioral economics, consumer behavior, business strategy, regulatory policy in energy markets. Uses economics and psychology to understand how consumers make energy-related choices, prospect theory, bounded rationality, heuristic decision-making</t>
  </si>
  <si>
    <t>resource use</t>
  </si>
  <si>
    <t>social norms
feedback</t>
  </si>
  <si>
    <t>https://files.nyu.edu/ha32/public/</t>
  </si>
  <si>
    <t>DLD14 - Time's Role in the Tragedy of the Commons</t>
  </si>
  <si>
    <t>email: hunt.allcot@nyu.edu</t>
  </si>
  <si>
    <t>behavior; cooperation, self-interest, and resource use</t>
  </si>
  <si>
    <t>DLDconferece</t>
  </si>
  <si>
    <t>https://www.youtube.com/watch?v=AKErMaIRf4w</t>
  </si>
  <si>
    <t>Evaluating Behaviorally-Motivated Policy: Experimental Evidence from the Lightbulb Market (American Economic Review) 
The Short-Run and Long-Run Effects of Behavioral Interventions: Experimental Evidence from Energy Conservation (American Economic Review, 2014) 
Social Norms and Energy Conservation
(Journal of Public Economics, 2011) Behavior and Energy Policy (Science, 2010)</t>
  </si>
  <si>
    <t>http://www.pennenergy.com/articles/pennenergy/2015/01/energy-management-an-app-that-s-changing-utility-customers-behavior.html 
http://www.wsj.com/articles/how-to-cut-residential-energy-use-1411937802</t>
  </si>
  <si>
    <t>Does Money Make you Mean?</t>
  </si>
  <si>
    <t>Paul Piff</t>
  </si>
  <si>
    <t>National Bureau of Economic Research, ideas42, Poverty Action Lab</t>
  </si>
  <si>
    <t>ted talks</t>
  </si>
  <si>
    <t>http://www.ted.com/talks/paul_piff_does_money_make_you_mean</t>
  </si>
  <si>
    <t>Fish hook questions: Banny Banerjee at TEDxStanford</t>
  </si>
  <si>
    <t>https://www.youtube.com/watch?v=SEbg_dGQ0uI</t>
  </si>
  <si>
    <t>How our brains feel emotion</t>
  </si>
  <si>
    <t>Damasio</t>
  </si>
  <si>
    <t>Emotions</t>
  </si>
  <si>
    <t>BigThink</t>
  </si>
  <si>
    <t>http://bigthink.com/videos/how-our-brains-feel-emotion</t>
  </si>
  <si>
    <t>Deborah Small</t>
  </si>
  <si>
    <t>The Wharton School of the University of Pennsylvania</t>
  </si>
  <si>
    <t>How to make choosing easier</t>
  </si>
  <si>
    <t>Sheena Iyengar</t>
  </si>
  <si>
    <t>Intersection of psychology and economics; underpinnings of human decision making; public policy, corporate social responsibility</t>
  </si>
  <si>
    <t>Complex decisions; Cognitive bias</t>
  </si>
  <si>
    <t>identifiable victim effect</t>
  </si>
  <si>
    <t>Video; Jam display</t>
  </si>
  <si>
    <t>https://marketing.wharton.upenn.edu/profile/202/</t>
  </si>
  <si>
    <t>https://www.ted.com/talks/sheena_iyengar_choosing_what_to_choose</t>
  </si>
  <si>
    <t>http://knowledge.wharton.upenn.edu/article/one-one-business-model-social-impact-avoiding-unintended-consequences/ 
http://america.aljazeera.com/opinions/2014/4/overpopulation-climatechangesahelunhealthsustainability.html</t>
  </si>
  <si>
    <t>How to spot psudoscience and biodebunk</t>
  </si>
  <si>
    <t>Carol A. Tavris</t>
  </si>
  <si>
    <t>Psuedoneuroscience</t>
  </si>
  <si>
    <t>Psychological Science Annual Convention</t>
  </si>
  <si>
    <t>Video; nearly an hour long</t>
  </si>
  <si>
    <t>http://www.psychologicalscience.org/index.php/video/how-to-spot-pseudoneuroscience-and-biobunk.html</t>
  </si>
  <si>
    <t>http://www.influenceatwork.com/videos/</t>
  </si>
  <si>
    <t>Inquiring Minds</t>
  </si>
  <si>
    <t>Indre Viskontas and Kishore Hari</t>
  </si>
  <si>
    <t>https://itunes.apple.com/us/podcast/inquiring-minds/id711675943?mt=2</t>
  </si>
  <si>
    <t>Invisibilia</t>
  </si>
  <si>
    <t>Behavioral Science, Psychology, Neuroscience</t>
  </si>
  <si>
    <t>Podcast Series</t>
  </si>
  <si>
    <t>http://www.npr.org/programs/invisibilia/</t>
  </si>
  <si>
    <t>Is Tyson Foods' Chicken Empire a "Meat Racket"?</t>
  </si>
  <si>
    <t>Dan Charles</t>
  </si>
  <si>
    <t>Rational actor model failure (Rod's description); Market functioning</t>
  </si>
  <si>
    <t>NPR Food</t>
  </si>
  <si>
    <t>Audio; About content of Christopher Leonard's The Meat Racket; higly consolidated market is not good for consumers</t>
  </si>
  <si>
    <t>http://www.npr.org/blogs/thesalt/2014/02/19/276981085/is-tyson-foods-chicken-empire-a-meat-racket</t>
  </si>
  <si>
    <t>George Loewenstein</t>
  </si>
  <si>
    <t>carnegie mellon university</t>
  </si>
  <si>
    <t>Science Communication as the "New Political Science" for Democracy</t>
  </si>
  <si>
    <t>Dan M. Kahan</t>
  </si>
  <si>
    <t>Intertemporal choice--decisions involving trade-offs between costs and benefits occurring at different points in time. Negotiations. People's predictions of their own future feelings and behavior</t>
  </si>
  <si>
    <t>Interaction between values, communication strategies, and concern about climate change; Communication and Framing</t>
  </si>
  <si>
    <t>Arthur M. Sackler Colloquia</t>
  </si>
  <si>
    <t>self-serving bias:  the tendency to believe what is beneficial to oneself is also fair
motivated reasoning
anchoring
salience
consistency</t>
  </si>
  <si>
    <t>http://www.cmu.edu/dietrich/sds/people/faculty/george-loewenstein.html</t>
  </si>
  <si>
    <t>https://www.youtube.com/watch?v=d5fBkivqa78&amp;index=33&amp;list=PLyGz__IQOrcObBUurAx_0LusA7LvlJ2EQ</t>
  </si>
  <si>
    <t>phone: 412 268 8787 
Fax: 412 268 6938 
Email: gl20@andrew.cmu.edu</t>
  </si>
  <si>
    <t>Simon Ruda - Pioneering Behavioural Science in Public Policy</t>
  </si>
  <si>
    <t>Simon Ruda</t>
  </si>
  <si>
    <t>Emotions in economic theory and economic behavior (American Economic Review, 2000) 
Projection bias in predicting future utility (Quarterly Journal of Economics, 2003) 
The tree of experience in the forest of information: Overweighing experienced relative to observed information (Games and Economic Behavior, 2008) 
Behind the veil of ignorance: Self-serving bias in climate change negotiations (Judgment and Decision Making, 2011)</t>
  </si>
  <si>
    <t>Behavior science and public policy; Behavioral Science</t>
  </si>
  <si>
    <t>digishoreditch</t>
  </si>
  <si>
    <t>Webpage links to video lectures about behavioral economics applications to health care programs, public policy. Most of the videos are about an hour long. They are interesting and informative but not super exciting</t>
  </si>
  <si>
    <t>https://www.youtube.com/watch?v=WfMt5Xvok4w&amp;index=4&amp;list=PLAOgoKukc6Mbg0fY6YLbOagIyDzZXst-g</t>
  </si>
  <si>
    <t>http://www.carnegiemellontoday.com/issues/june-2007-issue/feature-stories/buyer-beware/ 
http://business.time.com/2010/07/15/george-loewenstein-gets-real-about-behavioral-economics/</t>
  </si>
  <si>
    <t>behavioral economics</t>
  </si>
  <si>
    <t>center for behavioral decision research</t>
  </si>
  <si>
    <t>Sometimes it's good to give up the driver's seat</t>
  </si>
  <si>
    <t>Baba Shiv</t>
  </si>
  <si>
    <t>Paul Slovic</t>
  </si>
  <si>
    <t>university of oregon</t>
  </si>
  <si>
    <t>Video; we make more and better choices when the consequences of the choice affects us less directly</t>
  </si>
  <si>
    <t>http://www.ted.com/talks/baba_shiv_sometimes_it_s_good_to_give_up_the_driver_s_seat</t>
  </si>
  <si>
    <t>Personality, judgement and decision making, risk perception, affect and information processing, genocide and human rights, behavioral economics</t>
  </si>
  <si>
    <t>base-rate fallacy
availability heuristic</t>
  </si>
  <si>
    <t>Spaghetti sauce</t>
  </si>
  <si>
    <t>Malcolm Gladwell</t>
  </si>
  <si>
    <t>http://psychology.uoregon.edu/profile/pslovic/ 
http://www.decisionresearch.org/</t>
  </si>
  <si>
    <t>phone: 541 485 2400
email: pslovic@uoregon.edu</t>
  </si>
  <si>
    <t xml:space="preserve">Video: Howard Moskowitz in the 80s - Prego spaghetti sauce, Dijon mustard, fewer options, </t>
  </si>
  <si>
    <t>If I look at the mass I will never act: Psychic numbing and genocide (Judgement and Decision Making, 2007) 
The Perception of Risk
 The Feeling of Risk 
The Irrational Economist</t>
  </si>
  <si>
    <t>http://www.ted.com/talks/malcolm_gladwell_on_spaghetti_sauce</t>
  </si>
  <si>
    <t>Sustainability and Resilience Require A Shift "From Me to We"</t>
  </si>
  <si>
    <t>Paul Slovic Responds to the Case Against Empathy by Paul Bloom - New Yorker (1 hr) https://www.youtube.com/watch?v=cCNjVBBqZNs about how people empathisize with the plight over one person more than an abstract group of people, public policy applications
 UO Today Show 385 Paul Slovic (30 min) https://www.youtube.com/watch?v=E0MmAg6wo0g about establishing contrast in fostering empathy A Walk Through Risk (25 min) (part 1) https://www.youtube.com/watch?v=A_-9d-ihXGU (part 2) https://www.youtube.com/watch?v=hnH5KzxT1C8</t>
  </si>
  <si>
    <t>Bob Doppelt</t>
  </si>
  <si>
    <t>We should increase the capacity of our societies to withstand change; Behavior</t>
  </si>
  <si>
    <t>http://scienceblogs.com/thepumphandle/2013/01/16/how-do-we-perceive-risk-paul-slovics-landmark-analysis-2/ 
http://www.npr.org/blogs/goatsandsoda/2014/11/05/361433850/why-your-brain-wants-to-help-one-child-in-need-but-not-millions 
http://www.newyorker.com/science/maria-konnikova/recycled-water-problems-disgusting-solve 
http://www.huffingtonpost.com/david-ropeik/on-the-stubborn-persisten_b_6682186.html</t>
  </si>
  <si>
    <t>https://www.youtube.com/watch?v=hT8UEaXRJ3w&amp;list=PLyGz__IQOrcObBUurAx_0LusA7LvlJ2EQ&amp;index=6</t>
  </si>
  <si>
    <t>Rom Brafman</t>
  </si>
  <si>
    <t>Get target audiences to listen</t>
  </si>
  <si>
    <t>psychologist</t>
  </si>
  <si>
    <t>Tapping Into The Power of The Hidden Brain</t>
  </si>
  <si>
    <t>Communication; Behavioral Science</t>
  </si>
  <si>
    <t>resilience, empowerment, and transformation. Their manifestation in individual and interpersonal dynamics</t>
  </si>
  <si>
    <t>Communications Network</t>
  </si>
  <si>
    <t>Sway: The Irresistible Pull of Irrational Behavior
 Succeeding When You're Supposed to Fail 
Click: The Magic of Instant Connections 
Getting Things Done: The Art of Stress-Free Productivity</t>
  </si>
  <si>
    <t>http://www.comnetwork.org/2013/07/tapping-the-power-of-the-hidden-brain-video/</t>
  </si>
  <si>
    <t>https://www.youtube.com/watch?v=JilDs75cRIs (1 hr) discusses the premise of the book sway</t>
  </si>
  <si>
    <t>see ori brafman</t>
  </si>
  <si>
    <t>The art of choosing</t>
  </si>
  <si>
    <t>Personal; Mindful</t>
  </si>
  <si>
    <t>Video; US and French parents' decisions about infant being taken off life support</t>
  </si>
  <si>
    <t>yale university</t>
  </si>
  <si>
    <t>https://www.ted.com/talks/sheena_iyengar_on_the_art_of_choosing</t>
  </si>
  <si>
    <t>The Human Zoo</t>
  </si>
  <si>
    <t>BBC Radio 4</t>
  </si>
  <si>
    <t>professor of psychology and cognitive science</t>
  </si>
  <si>
    <t>messaging and unconscious behavior, motivation and goal pursuit, self and identity, social cognition</t>
  </si>
  <si>
    <t>http://www.bbc.co.uk/programmes/b036tbly/episodes/guide</t>
  </si>
  <si>
    <t>priming</t>
  </si>
  <si>
    <t>http://bargh.socialpsychology.org/ 
blog: https://www.psychologytoday.com/blog/the-natural-unconscious</t>
  </si>
  <si>
    <t>requests that media fills out a contact form provided on his webpage 
phone: 203 432 4547</t>
  </si>
  <si>
    <t>The optimism bias</t>
  </si>
  <si>
    <t>optimism bias; behavior</t>
  </si>
  <si>
    <t>What have we been priming all these years? On the development, mechanisms, and ecology of nonconscious social behavior (European Journal of Social Psychology, 2006)
 Automaticity of social behavior: Direct effects of trait construct and stereotype activation on action (Journal of Personality and Social Psychology, 1996)
 Priming effects of television food advertising on eating behavior (Health Psychology, 2009) 
Experiencing physical warmth promotes interpersonal warmth (Science, 2008)</t>
  </si>
  <si>
    <t>http://www.ted.com/talks/tali_sharot_the_optimism_bias</t>
  </si>
  <si>
    <t>The origins of pleasure</t>
  </si>
  <si>
    <t>Paul Bloom</t>
  </si>
  <si>
    <t>Experts in Emotion 12.3 -- John Bargh on Unconscious Emotion (20 min) https://www.youtube.com/watch?v=S4omk_ONo6M discusses priming and emotion 
XpertUS - Prof John Bargh - On Priming (5 min) https://www.youtube.com/watch?v=vI0fFEffDd8 discusses the warm coffee experiment 
John Bargh: Mirror Neurons, Mimicry, and Priming (12 min) https://www.youtube.com/watch?v=2Cjl8ToILic discusses mimicry, stereotyping/priming
 John Bargh: What Does the "Free" in "Free Will" Really Mean? (35 min) https://www.youtube.com/watch?v=A4S-fO-caCU 
Unconscious behavioral guidance systems (1.5 hrs) https://www.youtube.com/watch?v=pWSC48EUg-8 discusses visual priming, observed social norms. explanation is in primarily neurological terms</t>
  </si>
  <si>
    <t>Bin-creation; Cognitive bias</t>
  </si>
  <si>
    <t>Video; The pleasure from objects depends on their history</t>
  </si>
  <si>
    <t>http://www.ted.com/talks/paul_bloom_the_origins_of_pleasure</t>
  </si>
  <si>
    <t>http://www.theguardian.com/vaillant-warmth/2015/jan/16/why-warm-feelings-make-the-world-go-round
 http://www.scientificamerican.com/article/without-friends-or-family-even-extraordinary-experiences-are-disappointing/</t>
  </si>
  <si>
    <t>Jonathan Haidt</t>
  </si>
  <si>
    <t>The paradox of choice</t>
  </si>
  <si>
    <t>Video; about study done by Iyengar and Emir Kamenica; financial savings: every 10 additional funds offered, the likelyhood of individuals choosing no plan increased by 2.87%; Another study by David Myers and Robert Lane: despite GDP going up, stated levels of happiness have decreased (more options, less happy)</t>
  </si>
  <si>
    <t>http://www.ted.com/talks/barry_schwartz_on_the_paradox_of_choice</t>
  </si>
  <si>
    <t>The Science of Smart</t>
  </si>
  <si>
    <t>Education; Behavioral Science</t>
  </si>
  <si>
    <t>KQED</t>
  </si>
  <si>
    <t>http://www.kqed.org/a/radiospecials/R201408290200</t>
  </si>
  <si>
    <t>The town where everyone talks about death</t>
  </si>
  <si>
    <t>Channa Joffe-Walt</t>
  </si>
  <si>
    <t>Changing behavior in healthcare; Cognitive bias</t>
  </si>
  <si>
    <t>NPR Morning Edition</t>
  </si>
  <si>
    <t>Audio; Advance directives in healthcare in La Crosse, Wisconsin</t>
  </si>
  <si>
    <t>http://www.npr.org/blogs/money/2014/03/05/286126451/living-wills-are-the-talk-of-the-town-in-la-crosse-wis</t>
  </si>
  <si>
    <t>various</t>
  </si>
  <si>
    <t>willpower, decision fatigue; Behavior</t>
  </si>
  <si>
    <t>collection of podcasts</t>
  </si>
  <si>
    <t>http://howstuffworks.tumblr.com/post/114458602451/stufftoblowyourmind-it-may-not-always-be-polite</t>
  </si>
  <si>
    <t>What Sherlock Holmes Can Teach Us About Decision Making</t>
  </si>
  <si>
    <t>Ronald Howard</t>
  </si>
  <si>
    <t>professor of management science and engineering</t>
  </si>
  <si>
    <t>probabilistic modeling, decision analysis, dynamic programming, Markov processes</t>
  </si>
  <si>
    <t>https://profiles.stanford.edu/ronald-howard</t>
  </si>
  <si>
    <t>phone: 650 723 4176
email: rhoward@stanford.edu</t>
  </si>
  <si>
    <t>Influence Diagram Retrospective (Decision Analysis, 2005) 
Ethics for the Real World: Creating a Personal Code to Guide Decisions in Work and Life (2008)</t>
  </si>
  <si>
    <t>Why some people find excercize harder than others</t>
  </si>
  <si>
    <t>Emily Balcetis</t>
  </si>
  <si>
    <t>Decision Analysis at 50: A Look Back, A Look Ahead (1 hr) https://www.youtube.com/watch?v=fsruxY-Zygk the history and roots of decision analysis 
Why Don't We Naturally Make Good Decisions (2 min) http://www.kantola.com/Ron-Howard-PDPD-143-S.aspx framing and decision making 
has a series of short "Ask Ron" videos on youtube, all of which are pretty short and not incredibly informative</t>
  </si>
  <si>
    <t>Eye tricks; Behavioral Science</t>
  </si>
  <si>
    <t>https://hbr.org/2014/11/how-to-tell-if-youve-made-a-good-decision
 http://scienceblogs.com/grrlscientist/2008/06/24/ethics-for-the-real-world/</t>
  </si>
  <si>
    <t>How the minds eye sees things differently (apples look larger to dieters, excercize tips, obama skin color and how you vote)</t>
  </si>
  <si>
    <t>decisions and ethics center</t>
  </si>
  <si>
    <t>http://www.ted.com/talks/emily_balcetis_why_some_people_find_exercise_harder_than_others</t>
  </si>
  <si>
    <t>Resonate; Normal; Salient; Personal</t>
  </si>
  <si>
    <t xml:space="preserve">Make Hopeful </t>
  </si>
  <si>
    <t>Wesley Schultz</t>
  </si>
  <si>
    <t xml:space="preserve">Climate change </t>
  </si>
  <si>
    <t>"Daniel Goleman: Environmental Handprint Should be Our Focus"</t>
  </si>
  <si>
    <t>california state university, san marcos</t>
  </si>
  <si>
    <t>applied social psychology</t>
  </si>
  <si>
    <t xml:space="preserve">narrative about climate change is "speaking to the wrong brain system. Engage the positive reward system. Footprint is bad, hand print is subtotal of everything good we do. What can we do that will enlarge our positive contribution. Discussion of carbon footprint engages the system for distress, for fear for anger... what we should be doing is engaging the rewards system that energizes and enthuses us." Suggests new calculation to spur motivation: take footprint, subtrack handprint from it, try to enlarge handprint. </t>
  </si>
  <si>
    <t>social influences and sustainable behavior. Messaging, work on energy conservation, environmental messages and American values</t>
  </si>
  <si>
    <t>http://www.huffingtonpost.com/2012/07/26/environmental-handprint_n_1703407.html</t>
  </si>
  <si>
    <t>norms
sense of self
attentional blindness</t>
  </si>
  <si>
    <t>http://faculty.csusm.edu/schultz/</t>
  </si>
  <si>
    <t xml:space="preserve">Make it Mindful </t>
  </si>
  <si>
    <t>phone: 760 750 8045
email: wschultz@csusm.edu</t>
  </si>
  <si>
    <t xml:space="preserve">What we think about when we try not to think about global warming </t>
  </si>
  <si>
    <t>There are five main psychological barriers to climate action —the five D’s Per Espen Stoknes calls them—that keep us from acknowledging the need for change: We distance ourselves from the climate issue; we avoid doom and sacrifice messengers; we experience cognitive dissonance; we get rid of fear and guilt through denial mechanisms; and, automatically resist criticisms of identity, job, and lifestyle. We need to retell the story of climate change and, at the same time, create positive, meaningful actions that can be supported even by deniers.</t>
  </si>
  <si>
    <t xml:space="preserve">youtube </t>
  </si>
  <si>
    <t>https://www.youtube.com/watch?v=o-LVESQtG-s</t>
  </si>
  <si>
    <t xml:space="preserve">Make it Easy </t>
  </si>
  <si>
    <t>Design to nudge and change behaviour: Sille Krukow at TEDxCopenhagen</t>
  </si>
  <si>
    <t>Sille Krukow</t>
  </si>
  <si>
    <t xml:space="preserve"> TED</t>
  </si>
  <si>
    <t>Schultz, P. W., &amp; Zelezny, L. (2003). Reframing environmental messages to be congruent with American values. Human Ecology Review, 10, 126-136.
  Personalized normative feedback and the moderating role of personal norms: A field experiment to reduce residential water consumption (Environment and Behavior, in press) 
Prosocial behavior and environmental action (Handbook of prosocial behavior, in press) 
Strategies for promoting proenvironmental behavior: Lots of tools but few instructions (European Psychologist, 2014) 
Energy conservation in a public space: The role of implied norms and explicit messages (Social Influence, 2014) 
Naturally green: Harnessing "stone age" biases to foster environmental conservation behavior (Social Issues and Policy Review, 2014)
 Littering in context: Personal and environmental predictors of littering behavior (Environment and Behavior, 2013) 
Descriptive normative beliefs about self and nature: Evidence from an IAT game (Journal of Environmental Psychology, 2010)</t>
  </si>
  <si>
    <t>http://www.livescience.com/49165-neighbor-energy-bills-spur-greener-habits.html</t>
  </si>
  <si>
    <t>Talk/overview of our mission and what the company is about; behavior; nudges and human behavior</t>
  </si>
  <si>
    <t>https://www.youtube.com/embed/EsUzI9lZMak?utm_content=buffera0428&amp;utm_medium=social&amp;utm_source=twitter.com&amp;utm_campaign=buffer</t>
  </si>
  <si>
    <t>#TEDx vid perfectly describing human #behavior as the root of #environmental problems AND solutions http://bit.ly/1cMHxRI </t>
  </si>
  <si>
    <t>General, Make it Mindful</t>
  </si>
  <si>
    <t>Our brains: predictably irrational</t>
  </si>
  <si>
    <t>http://www.ted.com/playlists/74/our_brains_predictably_</t>
  </si>
  <si>
    <t>Our brains: predictably irrational - A playlist of twelve talks on Ted. http://www.ted.com/playlists/74/our_brains_predictably_irrati</t>
  </si>
  <si>
    <t xml:space="preserve">Make us mindful </t>
  </si>
  <si>
    <t xml:space="preserve">Our brains: predictably irrational </t>
  </si>
  <si>
    <t xml:space="preserve">Michael Shermer </t>
  </si>
  <si>
    <t xml:space="preserve">no date </t>
  </si>
  <si>
    <t xml:space="preserve">Irrational decision making </t>
  </si>
  <si>
    <t>http://inudgeyou.com/</t>
  </si>
  <si>
    <t xml:space="preserve">Pelle Guldborg Hansen </t>
  </si>
  <si>
    <t>Roskilde University</t>
  </si>
  <si>
    <t xml:space="preserve">Make it Normal   </t>
  </si>
  <si>
    <t>Behavioral scientist</t>
  </si>
  <si>
    <t xml:space="preserve">How behavioral science can lower your energy bill </t>
  </si>
  <si>
    <t xml:space="preserve">Alex Laskey </t>
  </si>
  <si>
    <t>Real world applications of behavioral economics, especially so-called ‘nudge’-interventions, within a wide range of arenas: from bank-mobility and conformity to tax regulation over organ-donation and street littering to registration processes within Danish Business Authorities.</t>
  </si>
  <si>
    <t>http://pelleonline.org/index.html</t>
  </si>
  <si>
    <t>Knowing what your neighbor pays for energy might make your more competitive to reduce energy use</t>
  </si>
  <si>
    <t>http://www.nature.com/nclimate/journal/v1/n1/full/nclimate1080.html</t>
  </si>
  <si>
    <t>http://www.understanding-risk.org/</t>
  </si>
  <si>
    <t>Salient; Mindful</t>
  </si>
  <si>
    <t>Union College</t>
  </si>
  <si>
    <t>Associate professor of psychology</t>
  </si>
  <si>
    <t>genetics and behavior, memory, decision-making, cognitive science, collective intelligence in human groups, cognitive illusions</t>
  </si>
  <si>
    <t>limited attention
inattetional blindness
overconfidence effect</t>
  </si>
  <si>
    <t>http://www.chabris.com/ 
blog: http://blog.chabris.com/</t>
  </si>
  <si>
    <t xml:space="preserve">Make it personal </t>
  </si>
  <si>
    <t>4 ways we can avoid a catastrophic drought</t>
  </si>
  <si>
    <t>David Sedlak</t>
  </si>
  <si>
    <t>Four behavior solutions to the drought</t>
  </si>
  <si>
    <t>https://www.ted.com/talks/david_sedlak_4_ways_we_can_avoid_a_catastrophic_drought?language=en</t>
  </si>
  <si>
    <t>Here's a great TED Talk that gives four implementable solutions to the California drought crisis #hopeful #solutions</t>
  </si>
  <si>
    <t>Make it rewarding, personal</t>
  </si>
  <si>
    <t>How I teach kids to love science</t>
  </si>
  <si>
    <t>Aileo Weinmann</t>
  </si>
  <si>
    <t>Cesar Handa</t>
  </si>
  <si>
    <t>Combining real life problems with imagination</t>
  </si>
  <si>
    <t>Energy and environmental communications</t>
  </si>
  <si>
    <t>http://www.resource-media.org/aileo-weinmann/</t>
  </si>
  <si>
    <t>https://www.ted.com/talks/cesar_harada_how_i_teach_kids_to_love_science#t-195152?platform=hootsuite</t>
  </si>
  <si>
    <t>https://twitter.com/AileoWeinmann</t>
  </si>
  <si>
    <t>Amanda Carrico</t>
  </si>
  <si>
    <t>Here's a great TED Talk on getting kids to fall in love w/ science by combining real life problems and imagination!</t>
  </si>
  <si>
    <t>behavioral dimensions of climate change mitigation and adaptation</t>
  </si>
  <si>
    <t>http://www.colorado.edu/envs/people/amanda-carrico</t>
  </si>
  <si>
    <t>make it easy</t>
  </si>
  <si>
    <t>amanda.carrico@colorado.edu</t>
  </si>
  <si>
    <t>How to make better decisions</t>
  </si>
  <si>
    <t>How to make better decisions, appealing to identity</t>
  </si>
  <si>
    <t>https://www.youtube.com/watch?v=NQ7SAcFp4so</t>
  </si>
  <si>
    <t>Andrea Zvinakis</t>
  </si>
  <si>
    <t>Google</t>
  </si>
  <si>
    <t>project manager</t>
  </si>
  <si>
    <t>Dr. Arvai talks about becoming consistent individuals by alligning our beliefs and our actions.</t>
  </si>
  <si>
    <t>https://www.linkedin.com/pub/andrea-zvinakis/18/2b7/292</t>
  </si>
  <si>
    <t>Potential contributor</t>
  </si>
  <si>
    <t xml:space="preserve">Make it normal   </t>
  </si>
  <si>
    <t>Ayelet Gneezy</t>
  </si>
  <si>
    <t xml:space="preserve">How do you punish global mega-corp? Shame them - Full WIRED2014 talk </t>
  </si>
  <si>
    <t>Wired / Youtube</t>
  </si>
  <si>
    <t xml:space="preserve">Shaming companies into straightening out </t>
  </si>
  <si>
    <t>The tendency to procrastinate applies not only to aversive tasks but also to positive experiences with immediate benefits. We propose that models of time discounting can explain this behavior and test our predictions with field data and experiments. A multi-city study shows that individuals with unlimited time windows delay visiting desirable landmarks; procrastination is reduced once the window of opportunity is constrained. Similarly, recipients of gift certificates and gift cards with long deadlines procrastinate redeeming them more than those with short deadlines, resulting in overall lower redemption rates. These results run counter to participants’ predictions and typical models of impulsive behavior.</t>
  </si>
  <si>
    <t xml:space="preserve">How to improve your daily decision making: Top 4 cognitive biases you should avoid </t>
  </si>
  <si>
    <t>Bite Size Psych</t>
  </si>
  <si>
    <t xml:space="preserve">Youtube </t>
  </si>
  <si>
    <t xml:space="preserve">Being aware of cognitive biases </t>
  </si>
  <si>
    <t>Baruch Fischhoff</t>
  </si>
  <si>
    <t>professor of social and decision sciences</t>
  </si>
  <si>
    <t>risk management, risk perception, science communication, public health and policy, energy policy, national security and intelligence issues</t>
  </si>
  <si>
    <t>http://www.cmu.edu/dietrich/sds/people/faculty/baruch-fischhoff.html</t>
  </si>
  <si>
    <t>phone: 412 268 3246
fax: 412 268 6938
email: baruch@cmu.edu</t>
  </si>
  <si>
    <t>Acceptable Risk 
Risk Communication: A Mental Model Approach 
Intelligence Analysis: Behavioral and Social Science 
Foundations Communicating Risk and Benefits: An Evidence-Based Guide Judgement and Decision Making 
Risk Analysis and Human Behavior 
The Science of Science Communication 
The Hawthorne Effect and energy awareness (PNAS, 2013) 
Decision making: Behaviorally realistic solutions to environmental problems (livebetter, 2012)</t>
  </si>
  <si>
    <t>Baruch Fischhoff - the micro view: individual responses in science communication (18 min) https://www.youtube.com/watch?v=zwdNoD5RlxY understanding how scientific research works 
The science of science communication (1 hr) http://events.tvworldwide.com/Events/NAS120521.aspx?VID=events/NAS/120521_NAS_Sackler_0830_ComOverview.flv
 ILSI North America Annual Meeting - Baruch Fischhoff (18 min) https://www.youtube.com/watch?v=McvNWKUTu-s the importance of good science communication</t>
  </si>
  <si>
    <t>This video explains sunk cost fallacy, self-serving bias, cognitive fluency, confirmation bias &amp; how they affect us</t>
  </si>
  <si>
    <t>http://www.ft.com/intl/cms/s/0/17975024-b6f9-11e4-a33b-00144feab7de.html 
http://www.scidev.net/global/communication/opinion/four-steps-effective-science-communication.html 
http://news.sciencemag.org/biology/2014/12/academy-meeting-risky-virus-studies-struggles-find-common-ground 
http://www.usatoday.com/story/money/markets/2015/01/17/motley-fool-oil-prices/21431253/</t>
  </si>
  <si>
    <t xml:space="preserve">The Right Approach to Sustainability </t>
  </si>
  <si>
    <t>Carlson School of Management</t>
  </si>
  <si>
    <t>society for judgement and decision making, society for risk analysis</t>
  </si>
  <si>
    <t xml:space="preserve">Copying others behavior can lead to climate action </t>
  </si>
  <si>
    <t>Belinda Griswold</t>
  </si>
  <si>
    <t>climate campaigning</t>
  </si>
  <si>
    <t>http://www.resource-media.org/belinda-griswold/</t>
  </si>
  <si>
    <t>Make it Feedback</t>
  </si>
  <si>
    <t>Advantages of Local Climate Change Forecasts and Feedback, with a couple of caveats</t>
  </si>
  <si>
    <t>benedetto de martino</t>
  </si>
  <si>
    <t>GarrisonInstitute</t>
  </si>
  <si>
    <t>royal holloway university</t>
  </si>
  <si>
    <t>Everyone can get behind local issues, regardless of climate change beliefs</t>
  </si>
  <si>
    <t>Branden Johnson</t>
  </si>
  <si>
    <t>risk perception and communication, drinking water</t>
  </si>
  <si>
    <t xml:space="preserve">Make it resonate, salient </t>
  </si>
  <si>
    <t>http://www.decisionresearch.org/researcher/branden-johnson/</t>
  </si>
  <si>
    <t xml:space="preserve">Environmental Communication Training: Lesson Seven </t>
  </si>
  <si>
    <t xml:space="preserve">Water Words That Work </t>
  </si>
  <si>
    <t>Chris Rose</t>
  </si>
  <si>
    <t>Using visuals to communicate about climate change</t>
  </si>
  <si>
    <t>https://www.youtube.com/watch?v=gjS2RK6aQhc</t>
  </si>
  <si>
    <t>consultant in environment and communications for non-government, public, and private sector organizations</t>
  </si>
  <si>
    <t>environmental campaigning</t>
  </si>
  <si>
    <t>This video reveals two effective keys to talk about the environment: talk in common llanguage, and talk about water! #</t>
  </si>
  <si>
    <t>http://www.campaignstrategy.org/chris_rose.php</t>
  </si>
  <si>
    <t>info@campaignstrategy.org</t>
  </si>
  <si>
    <t>How to Win Campaigns
 The Dirty Man of Europe
 Conservation and Crisis</t>
  </si>
  <si>
    <t xml:space="preserve">Making People Care About Climate Change </t>
  </si>
  <si>
    <t>Climate State</t>
  </si>
  <si>
    <t xml:space="preserve">Moral frameworks, what is the relationship between humans and nature? </t>
  </si>
  <si>
    <t>How to plan highly effective campaigns (37 min) https://vimeo.com/28497758 discusses campaign tools and strategies Campaign Strategy: Chris Rose 1 of 3 (10 min) https://www.youtube.com/watch?v=ehFSuxgsCXw&amp;noredirect=1https://www.youtube.com/watch?v=qjaSxlC3UbY (part 2 https://www.youtube.com/watch?v=qjaSxlC3UbY) (part 3 https://www.youtube.com/watch?v=k_Y1tRfGeiQ) these videos are a little hard to watch because they are shot from a weird angle and the sound isn't very good</t>
  </si>
  <si>
    <t>http://www.theecologist.org/campaigning/campaigning_the_basics/655504/how_to_win_campaigns_part_i_communication_essentials.html</t>
  </si>
  <si>
    <t>environmental campaign planning</t>
  </si>
  <si>
    <t>Christoph Ungemach</t>
  </si>
  <si>
    <t>http://cred.columbia.edu/about-cred/people/affiliated-researchers/christoph-ungemach/</t>
  </si>
  <si>
    <t>Colin Camerer</t>
  </si>
  <si>
    <t>caltech</t>
  </si>
  <si>
    <t>professor of behavioral finance and economics</t>
  </si>
  <si>
    <t>A message from the Yale Center for Climate Change Communication on communication, misinformation, and climate action!</t>
  </si>
  <si>
    <t>Make it habit</t>
  </si>
  <si>
    <t>game theory, behavioral and social neuroscience, business, economics and management, risky choice, limited strategic thinking, patience</t>
  </si>
  <si>
    <t xml:space="preserve">Are you eating plastic for dinner? </t>
  </si>
  <si>
    <t>http://people.hss.caltech.edu/~camerer/index.htm 
http://www.hss.caltech.edu/content/colin-f-camerer</t>
  </si>
  <si>
    <t>Nation Geographic</t>
  </si>
  <si>
    <t>phone: 626 395 4054
email: camerer@hss.caltech.edu</t>
  </si>
  <si>
    <t xml:space="preserve">Environmental problem, and suggested behavioral solutions </t>
  </si>
  <si>
    <t>http://video.nationalgeographic.com/video/short-film-showcase/are-you-eating-plastic-for-dinner</t>
  </si>
  <si>
    <t>in lad experiment vs real world article- also in NUDGE 
When does 'Economic Man' Dominate Social Behavior? (World Congress of the Econometric Society, 2005) 
Neural Systems Responding to Degrees of Uncertainty in Human Decision-Making (Science, 2005)</t>
  </si>
  <si>
    <t>Neuroscience, game theory, monkeys (15 min) http://www.ted.com/talks/colin_camerer_neuroscience_game_theory_monkeys discusses game theory and behavior 
(The Strategizing Brain: Colin Camerer at TEDxCaltech  https://www.youtube.com/watch?v=szaXR2_Smmk is the same video) 
Michael Kearns &amp; Colin Camerer - Beyond Economic Rationality (1.5 hr) https://www.youtube.com/watch?v=lfeHFBLZVdA is a more technical talk</t>
  </si>
  <si>
    <t>http://magazine.uchicago.edu/0502/features/economics.shtml 
http://theguruinvestor.com/2015/01/21/13982/ 
http://www.psmag.com/business-economics/cal-tech-macarthur-genius-grant-colin-camerer-behavioral-economics-neuroeconomist-70713</t>
  </si>
  <si>
    <t>"Are you eating plastic for dinner?" Here's a great video on plastics effect on the oceans &amp; how we can change that! </t>
  </si>
  <si>
    <t>Craig Fox</t>
  </si>
  <si>
    <t>UCLA</t>
  </si>
  <si>
    <t>Craig McKenzie</t>
  </si>
  <si>
    <t>UC San Deigo</t>
  </si>
  <si>
    <t>Professor</t>
  </si>
  <si>
    <t>cognitive psychology. Inference, uncertainty, and choice</t>
  </si>
  <si>
    <t>uncertainty and risk, framing</t>
  </si>
  <si>
    <t>http://psy2.ucsd.edu/~mckenzie/</t>
  </si>
  <si>
    <t>tel: 858-534-3739
fax: 858.534.0745
email: cmckenzie@ucsd.edu</t>
  </si>
  <si>
    <t>professor of psychology and law</t>
  </si>
  <si>
    <t>risk perception, criminal law, science education, application of decision science to law and policymaking</t>
  </si>
  <si>
    <t>Make it salient</t>
  </si>
  <si>
    <t xml:space="preserve">climate communication </t>
  </si>
  <si>
    <t xml:space="preserve">This is your brain on communication </t>
  </si>
  <si>
    <t>http://www.law.yale.edu/faculty/DKahan.htm 
http://www.culturalcognition.net/kahan/</t>
  </si>
  <si>
    <t>phone: 203 432 8832</t>
  </si>
  <si>
    <t>The neuroscience behind the importance of storytelling to communication</t>
  </si>
  <si>
    <t>https://www.ted.com/talks/uri_hasson_this_is_your_brain_on_communication</t>
  </si>
  <si>
    <t>Making Climate-Science Communication Evidence Based--All the Way Down (Culture, Politics, and Climate Change, 2014)
 Climate Science Communication and the Measurement Problem (Advances in Pol Psych, in press) 
Why are we poles apart on climate change (Nature, 2012) The polarizing impact of science literacy and numeracy on perceived climate change risks (Nature Climate Change, 2012) 
Geoengineering and Climate Change Polarization: Testing a Two-channel Model of Science Communication (Annals Am Pol &amp; Social Sci, in press)</t>
  </si>
  <si>
    <t>#Neuroscience just proved the importance of storytelling to #communication! Watch this TED talk to learn more.</t>
  </si>
  <si>
    <t>Associations, Aware</t>
  </si>
  <si>
    <t>Yale Professor Dan Kahan on "protective cognition" https://www.youtube.com/watch?v=NJDBv7eldSU (1.5 min) discusses confirmation bias and adherence to social norms 
Dan M. Kahan - Science Communication as the "New Political Science" for Democracy (15 min) https://www.youtube.com/watch?v=d5fBkivqa78 discusses the impacts confirmation bias, expert bias, and authority bias on attitudes towards science and climate change Yale professor 
Dan Kahan on "motivated reasoning" https://www.youtube.com/watch?v=W-xMj0LWglM (2 min) 
Could GMOs Harm the Science Communication Environment? Vice Versa?--Dan Kahan, Yale University https://www.youtube.com/watch?v=AshWK_95vto (35 min) 
Yale Professor Dan Kahan on why "spokespeople matter" in regards to cultural cognition https://www.youtube.com/watch?v=Xrw9q77SApo (2.5 min)</t>
  </si>
  <si>
    <t>http://www.adn.com/article/20150201/study-finds-wide-gulf-between-public-scientist-views-about-science 
http://www.washingtonpost.com/news/energy-environment/wp/2015/01/26/the-biggest-myth-about-vaccine-deniers-that-theyre-all-a-bunch-of-hippie-liberals/</t>
  </si>
  <si>
    <t>the cultural cognition project, national center for science and civic engagement</t>
  </si>
  <si>
    <t>David H. Krantz</t>
  </si>
  <si>
    <t>Columbia</t>
  </si>
  <si>
    <t>http://cred.columbia.edu/about-cred/people/directors-staff/david-krantz/</t>
  </si>
  <si>
    <t>David Halpern</t>
  </si>
  <si>
    <t>Behavioural Insights Team</t>
  </si>
  <si>
    <t>CEO</t>
  </si>
  <si>
    <t>The Hidden Wealth of Nations
Social Capital</t>
  </si>
  <si>
    <t>General action and awareness about global warming</t>
  </si>
  <si>
    <t>David Hardisty</t>
  </si>
  <si>
    <t>Associations, cognitive dissonance and environmental action</t>
  </si>
  <si>
    <t>http://cred.columbia.edu/about-cred/people/affiliated-researchers/david-hardisty/</t>
  </si>
  <si>
    <t>Most of us recognize that #climatechange is real and yet we do nothing to stop it. @climategeorge explains why ow.ly/UdQINVIDEO</t>
  </si>
  <si>
    <t>Aware</t>
  </si>
  <si>
    <t>Another Awareness Test You'll Probably Fail</t>
  </si>
  <si>
    <t>awareness</t>
  </si>
  <si>
    <t>http://magazine.good.is/videos/hard-awareness-test</t>
  </si>
  <si>
    <t>david laibson</t>
  </si>
  <si>
    <t>harvard university</t>
  </si>
  <si>
    <t>Habit Formation</t>
  </si>
  <si>
    <t>David Wigder</t>
  </si>
  <si>
    <t>Flipboard</t>
  </si>
  <si>
    <t>head of research</t>
  </si>
  <si>
    <t>New York Times reporter Charles Duhigg studies the way humans create habits. In this interview, he talks about how the formation of habits begins with behavior, not mindset.</t>
  </si>
  <si>
    <t>daw-an wu</t>
  </si>
  <si>
    <t>DeShazo</t>
  </si>
  <si>
    <t>http://luskin.ucla.edu/jr-deshazo</t>
  </si>
  <si>
    <t>Donald Braman</t>
  </si>
  <si>
    <t>george washington university</t>
  </si>
  <si>
    <t>criminal law, criminal procedure, public perceptions of global warming and other policy issues</t>
  </si>
  <si>
    <t>Intervention - Habits</t>
  </si>
  <si>
    <t>confirmation bias</t>
  </si>
  <si>
    <t>http://www.law.gwu.edu/Faculty/profile.aspx?id=10123</t>
  </si>
  <si>
    <t>phone: 202 994 0572
fax: 202 994 1087
email: dbraman@law.gwu.edu</t>
  </si>
  <si>
    <t>The Polarizing Impact of Science Literacy and Numeracy on Perceived Climate Change Risks (Nature Climate Change, 2012)</t>
  </si>
  <si>
    <t>Habbit Summit</t>
  </si>
  <si>
    <t xml:space="preserve">No one size fits all works for habits, one must be able to know your self in order to know how to make habits work for each person. </t>
  </si>
  <si>
    <t>33 minutes</t>
  </si>
  <si>
    <t>drazen prelac</t>
  </si>
  <si>
    <t>mit</t>
  </si>
  <si>
    <t>princeton university</t>
  </si>
  <si>
    <t>professor of psychology and public affairs</t>
  </si>
  <si>
    <t>Reasoning, judgment, decision-making, behavioral economics, making decisions under uncertainty</t>
  </si>
  <si>
    <t>scarcity
effort jusitification
cognitive dissonance
limited attention
anchoring</t>
  </si>
  <si>
    <t>https://psych.princeton.edu/psychology/research/shafir/</t>
  </si>
  <si>
    <t>phone: 609 258 5624
email: shafir@princeton.edu</t>
  </si>
  <si>
    <t>Scarcity: Why Having too Little Means so Much Poverty Impedes Cognitive Function (Science, 2013) 
The Martyrdom Effect: When pain and effort increase prosocial contributions (Journal of Behavioral Decision Making, 2013) 
Some consequences of having too little (Science, 2012) 
The conflicting choices of alternating selves (Organizational Behavior and Human Decision Processes, 2010) 
Anchoring on the "here" and "now" in time and distance judgments (Journal of Experimental Psychology: Learning, Memory, and Cognition, 2009)</t>
  </si>
  <si>
    <t>TEDxMidAtlantic 2011 - Eldar Shafir - Living Under Scarcity (13 min) https://www.youtube.com/watch?v=gV1ESN8NGh8 how poverty affects decision making, limited attention 
Eldar Shafir - Scarcity: Why having too little means so much (50 min) https://www.youtube.com/watch?v=D-Y7lcYoFC4 the psychology of scarcity. prioritizing and making decisions when you have limited time and/or money</t>
  </si>
  <si>
    <t>http://medicalxpress.com/news/2015-02-people-resources-scarce.html 
http://www.popmatters.com/review/189979-scarcity-the-new-science-of-having-less-and-how-it-defines-our-lives/ 
http://nymag.com/scienceofus/2015/01/companies-need-chief-behavioral-officers.html</t>
  </si>
  <si>
    <t xml:space="preserve">recommend publicly </t>
  </si>
  <si>
    <t>Erik Kimbrough</t>
  </si>
  <si>
    <t>Simon Fraser University</t>
  </si>
  <si>
    <t>Assistant Professor of Economics</t>
  </si>
  <si>
    <t>Intervention Habits</t>
  </si>
  <si>
    <t>https://sites.google.com/site/erikkimbrough/</t>
  </si>
  <si>
    <t>Habits: How They Form And How To Break Them</t>
  </si>
  <si>
    <t>Fresh Air/NPR</t>
  </si>
  <si>
    <t>Ezra Markowitz</t>
  </si>
  <si>
    <t>University of Massachusetts</t>
  </si>
  <si>
    <t xml:space="preserve">We make decisions in the prefrontal cortex and the cue is taken over by the basal ganglia. The brain recognizes habit chuncks (ie we do the same activities in the same way). Once cues change, habits can alter easier. </t>
  </si>
  <si>
    <t>38 minutes</t>
  </si>
  <si>
    <t>http://cred.columbia.edu/about-cred/people/affiliated-researchers/ezra-markowitz/</t>
  </si>
  <si>
    <t>Interview with Charles Duhigg</t>
  </si>
  <si>
    <t>http://www.npr.org/2012/03/05/147192599/habits-how-they-form-and-how-to-break-them</t>
  </si>
  <si>
    <t xml:space="preserve">Target targetting pregnant woman to instill new habits of shopping with them, cravings after cleaning for a new scent in Fabreeze, Apple and technology industries creating a habit culture. </t>
  </si>
  <si>
    <t>publicly recommend</t>
  </si>
  <si>
    <t>Tiny Habits</t>
  </si>
  <si>
    <t>Forget big change, start with a tiny habit</t>
  </si>
  <si>
    <t>Ted talks</t>
  </si>
  <si>
    <t>Gernot Wagner</t>
  </si>
  <si>
    <t>Environmental Defense Fund</t>
  </si>
  <si>
    <t xml:space="preserve">Start with tiny habits to foster large changes, because they do not require high motivation. Insert the habit after an existing habit and it will grow.  </t>
  </si>
  <si>
    <t>Lead Senior Economist</t>
  </si>
  <si>
    <t>17 minutes</t>
  </si>
  <si>
    <t>https://www.youtube.com/watch?v=AdKUJxjn-R8</t>
  </si>
  <si>
    <t>http://www.edf.org/people/gernot-wagner</t>
  </si>
  <si>
    <t>Girg Gigeranzer</t>
  </si>
  <si>
    <t>Iris Bohnet</t>
  </si>
  <si>
    <t>Harvard Kennedy School of Government</t>
  </si>
  <si>
    <t>Director</t>
  </si>
  <si>
    <t>decision making, trust, gender issues</t>
  </si>
  <si>
    <t>J.R. DeShazo</t>
  </si>
  <si>
    <t>ucla</t>
  </si>
  <si>
    <t>professor of public policy and urban planning</t>
  </si>
  <si>
    <t>public health, consumer behavior, environmental decision making, environmental and health policy, environmental economics, electric vehicles, energy economics, institutional design, energy policy</t>
  </si>
  <si>
    <t>phone: 310 593 1198
fax: 310 267 5443
email: deshazo@ucla.edu</t>
  </si>
  <si>
    <t>Tropical countries may be willing to pay more to protect their forests (PNAS, 2014) 
Regulatory Incentives and Impediments for Onsite Graywater Reuse in the United States (Water Environment Research, 2013) 
The Environmental Consequences of Decentralizing the Decision to Decentralize (Journal of Environmental Economics and Management, 2007)</t>
  </si>
  <si>
    <t>JR DeShazo Discusses Climate Change (8 min) https://www.youtube.com/watch?v=iPig9aLh2RU promotes energy efficiency technology and environmental justice 
J.R. DeShazo, Keynote Address, The Use of Land at 40 (25 min) https://www.youtube.com/watch?v=3u9QtlioSyY discusses sustainable urban planning</t>
  </si>
  <si>
    <t>http://www.businesswire.com/news/home/20141210006661/en/Rebuilding-Reinventing-Reimagining-California%E2%80%99s-Infrastructure 
http://www.cbsnews.com/news/global-demand-for-water-set-to-exceed-supply/</t>
  </si>
  <si>
    <t>institute of the environment and sustainability, luskin center</t>
  </si>
  <si>
    <t>Jay Howard</t>
  </si>
  <si>
    <t>Rod said to check him out- did he mean Ronald Howard? "Jay Howard at Harvard – run into anything by him in the literature? Supposed to have relevant expertise."</t>
  </si>
  <si>
    <t>Award-winning author and entrepreneur, Jonathan Fields, interviews New York Times investigative reporter and bestselling author of The Power of Habit, Charles Duhigg</t>
  </si>
  <si>
    <t>environmental and social sciences</t>
  </si>
  <si>
    <t>http://jenniferjacquet.com/</t>
  </si>
  <si>
    <t>Tiny surprises for happiness and health | BJ Fogg, PhD | TEDxMaui</t>
  </si>
  <si>
    <t>"Behavior scientist and expert on habit formation BJ Fogg shares "The Maui Habit", the one "tiny habit" he says is the most powerful and most effective to come from his work at Stanford’s Persuasive Tech Lab. You'll be surprised how simple it is!"</t>
  </si>
  <si>
    <t>https://www.youtube.com/watch?v=2L1R7OtJhWs</t>
  </si>
  <si>
    <t>jennifer lerner</t>
  </si>
  <si>
    <t>Richard Thaler - Nudge: improving decisions about wealth, health and happiness</t>
  </si>
  <si>
    <t>Tichard Thaler</t>
  </si>
  <si>
    <t>Jim Caley</t>
  </si>
  <si>
    <t>USMC Expeditionary Energy Office</t>
  </si>
  <si>
    <t>Energy efficiency and behavior</t>
  </si>
  <si>
    <t>With Richard Thaler, Professor of Behavioural Science and Economics at the University of Chicago. Thaler urges us to recognise our "human-ness" as a given and to use the way we think to our advantage.</t>
  </si>
  <si>
    <t>Jonathan Raab</t>
  </si>
  <si>
    <t>Raab Associates</t>
  </si>
  <si>
    <t>president</t>
  </si>
  <si>
    <t>decision making and consensus building, energy policy, sustainability, facilitation and mediation</t>
  </si>
  <si>
    <t>Using Consensus Building to Improve Utility Regulation</t>
  </si>
  <si>
    <t xml:space="preserve">tiny habits, habit formation, automatic behaviors </t>
  </si>
  <si>
    <t>energy issues</t>
  </si>
  <si>
    <t>Regional Greenhouse Gas Initiative, Electric Industry Restructuring Roundtable, MIT, University of Oregon</t>
  </si>
  <si>
    <t>Joshua greene</t>
  </si>
  <si>
    <t>June A. Flora</t>
  </si>
  <si>
    <t>kristen berman</t>
  </si>
  <si>
    <t>google</t>
  </si>
  <si>
    <t>hacking human nature for good: a practical guide to changing behavior</t>
  </si>
  <si>
    <t>irrationality labs</t>
  </si>
  <si>
    <t>Recommend inside or for general understanind of habits</t>
  </si>
  <si>
    <t>Laurent Giugni</t>
  </si>
  <si>
    <t>http://www.slideshare.net/captology/stanford-6401325</t>
  </si>
  <si>
    <t>exercise habits</t>
  </si>
  <si>
    <t>laurie santos</t>
  </si>
  <si>
    <t xml:space="preserve">Make it Ordinary </t>
  </si>
  <si>
    <t>Cultural Cognition and the Challenge of Science Communication</t>
  </si>
  <si>
    <t>Kahan, D.</t>
  </si>
  <si>
    <t>Linda Schuck</t>
  </si>
  <si>
    <t>California Institute for Energy and Environment</t>
  </si>
  <si>
    <t>Senior Advisor, Behavior &amp; Decision Making at the Califoria Institute for Energy and Environment</t>
  </si>
  <si>
    <t>energy efficiency, technology commercialization, climate change, behavior and decision research for climate policy</t>
  </si>
  <si>
    <t>http://uc-ciee.org/technical-experts/14/dpeople</t>
  </si>
  <si>
    <t>phone: 650 854 7286
email: linda.schuck@uc-ciee.org</t>
  </si>
  <si>
    <t>Behavior Energy and Climate Change Conference</t>
  </si>
  <si>
    <t>Lisa Chacon</t>
  </si>
  <si>
    <t>technology, sustainability, leadership, social change</t>
  </si>
  <si>
    <t>http://innovivegroup.com/resources-2/ 
The ABC's of Social Change</t>
  </si>
  <si>
    <t>http://www.sfgate.com/bayarea/johnson/article/New-model-of-development-on-the-rise-in-downtown-5499656.php</t>
  </si>
  <si>
    <t>Communicating science to people that don't rely on science when forming opinions</t>
  </si>
  <si>
    <t>social change campaigns</t>
  </si>
  <si>
    <t>HUB Oakland, Innovive</t>
  </si>
  <si>
    <t>http://www.sms.cam.ac.uk/media/1083337;jsessionid=24318FACA80319A17E5841ADF99EDF23?platform=hootsuite</t>
  </si>
  <si>
    <t>Mark Lubell</t>
  </si>
  <si>
    <t>professor of environmental science and policy</t>
  </si>
  <si>
    <t>Vivid, Ordinary</t>
  </si>
  <si>
    <t>Nature is Speaking - Edward Norton is the Soil</t>
  </si>
  <si>
    <t>Nature is Speaking</t>
  </si>
  <si>
    <t>cooperation problems and decision-making in environmental, agricultural, and public policy, water management, adaptive decision-making, climate change policy, local government policy, transportation behavior, plant disease management, invasive species, social network analysis</t>
  </si>
  <si>
    <t>availability heuristic
status quo bias
wishful thinking</t>
  </si>
  <si>
    <t>http://environmentalpolicy.ucdavis.edu/people/lubell</t>
  </si>
  <si>
    <t>phone: 530 752 5880
email: mnlubell@ucdavis.edu</t>
  </si>
  <si>
    <t xml:space="preserve">Soil says "I'm broken, aching, overused, sick. I am turning to dust. I suppose you still want to eat, right?" #NatureIsSpeaking is a series of micro-videos, like this one on @Soil_CI, re-Associations the conversation to point out that the earth doesn't need us, but we need the earth. </t>
  </si>
  <si>
    <t>Linking Knowledge and Action through Mental Models of Sustainable Agriculture (PNAS, 2014) 
Policy Coordination in an Ecology of Water Management Games (Ecology and Society, 2014) 
Conservation Program Participation and Adaptive Rangeland Decision-Making (Rangeland Ecology and Management, 2013)
 Perception and Responses to Climate Policy Risks Among California Farmers (Global Environmental Change, 2013)
 Policy Networks, stakeholder interactions and climate adaptation in the region of South East Queensland, Australia (Regional and Environmental Change, 2013)</t>
  </si>
  <si>
    <t>http://news.ucdavis.edu/search/news_detail.lasso?id=10817
 http://www.abqjournal.com/448425/blogs/nm-science/drought-and-the-availability-heuristic.html 
http://news.ucdavis.edu/search/news_detail.lasso?id=10714 
http://www.buffalonews.com/home/as-environmental-debate-rages-over-fracking-people-in-western-pennsylvania-express-dread-20140517</t>
  </si>
  <si>
    <t>Center for Environmental Policy and Behavior</t>
  </si>
  <si>
    <t>Max Bazerman</t>
  </si>
  <si>
    <t>Michael Norton</t>
  </si>
  <si>
    <t>michael vandenbergh</t>
  </si>
  <si>
    <t>vanderbilt university</t>
  </si>
  <si>
    <t>Soil says 'Without me humans could not exist but you treat me like dirt' Changing the conversation ~ nature @Soil_CI</t>
  </si>
  <si>
    <t>Michel Handgraaf</t>
  </si>
  <si>
    <t>http://cred.columbia.edu/about-cred/people/principal-investigators/michel-handgraaf/</t>
  </si>
  <si>
    <t>Min Gong</t>
  </si>
  <si>
    <t>http://cred.columbia.edu/about-cred/people/affiliated-researchers/min-gong/</t>
  </si>
  <si>
    <t>Nature is Speaking - Harrison Ford is the Ocean</t>
  </si>
  <si>
    <t>Naomi Oreskes</t>
  </si>
  <si>
    <t>Harrison Ford (aka the OCEAN) is suggesting it will be fine regardless. This is true, but not on our timescale. This ominous ocean isn’t inspiring me to want to heal it but others tell me they think this vignette is the best. What do you think? #NatureIsSpeaking</t>
  </si>
  <si>
    <t>Nate Silver</t>
  </si>
  <si>
    <t>Journalist, statistician, editor in chief of FiveThirtyEight</t>
  </si>
  <si>
    <t>using statistics and polling techniques to make predictions in sports and politics</t>
  </si>
  <si>
    <t>nrsilver@fivethirtyeight.com</t>
  </si>
  <si>
    <t>The Signal and the Noise 
blog posts (Nate Silver's Political Calculus): http://fivethirtyeight.blogs.nytimes.com/author/nate-silver/</t>
  </si>
  <si>
    <t>Does racism affect how you vote? (9 min) https://www.ted.com/talks/nate_silver_on_race_and_politics discusses demographic factors that may lead to racially-based voting 
Interview on the Daily Show (5 min) http://thedailyshow.cc.com/videos/t3pojp/exclusive---nate-silver-extended-interview-pt--1 about the signal and the noise and political predictions</t>
  </si>
  <si>
    <t>http://fivethirtyeight.blogs.nytimes.com/?_r=0 
http://www.politico.com/blogs/media/2014/09/the-nate-silver-disaster-at-espn-196288.html 
http://www.theatlantic.com/politics/archive/2015/02/nate-silver-qa/385161/</t>
  </si>
  <si>
    <t>statistics and polling techniques</t>
  </si>
  <si>
    <t>Nature is Speaking - Julia Roberts in Mother Nature</t>
  </si>
  <si>
    <t>Your actions will determine your fate - not mine. I am nature. I will go on. I am prepared to evolve.  Are you? ~ Mother Nature #NatureIsSpeaking</t>
  </si>
  <si>
    <t>Nathan Dieckman</t>
  </si>
  <si>
    <t>Oregon Health &amp; Science University, Decision Research</t>
  </si>
  <si>
    <t>decision-making, risk communication, statistical methodology. The use of meta-analytic methods in behavioral sciences</t>
  </si>
  <si>
    <t>http://www.decisionresearch.org/researcher/nathan-dieckmann/</t>
  </si>
  <si>
    <t>nicholas wright</t>
  </si>
  <si>
    <t>carnegie endowment for international peace</t>
  </si>
  <si>
    <t>paul glimcher</t>
  </si>
  <si>
    <t>Nature is Speaking - Penelope Cruz is Water</t>
  </si>
  <si>
    <t>Paul Stern</t>
  </si>
  <si>
    <t>national academy of sciences</t>
  </si>
  <si>
    <t>staff officer</t>
  </si>
  <si>
    <t xml:space="preserve">Water says "Where will humans find me when there are billions more of them around. Will they wage wars over me?"  ‪#‎NatureIsSpeaking‬‬‬‬‬‬‬‬‬, a series of micro-videos, like @Water_CI, is an environmental marketing campaign that hopes to help us see that the environmental movement is actually a "future of humans on earth" movement. </t>
  </si>
  <si>
    <t>the determinants of environmentally significant behavior, participatory processes for informing environmental decision making, processes for informing environmental decisions, governance of environmental resources and risks, risk communication and management</t>
  </si>
  <si>
    <t>availability heuristic
limited attention</t>
  </si>
  <si>
    <t>http://www.seri-us.org/content/paul-c-stern</t>
  </si>
  <si>
    <t>Environmental Problems and Human Behavior 
The Struggle to Govern the Commons 
Contributions of Psychology to Limiting Climate Change</t>
  </si>
  <si>
    <t>Paul Stern Keynote Address, Dickinson College, Teaching about Climate Change Workshop (1 hr) https://www.youtube.com/watch?v=XiV2zjOfY4Q about how to increase understanding of climate change and deal with risk perception 
Paul Stern on Climate Change and Human Behavior (6 min) https://www.youtube.com/watch?v=NdIQsijw-_I</t>
  </si>
  <si>
    <t>http://www.washingtonpost.com/news/energy-environment/wp/2015/01/22/the-next-energy-revolution-wont-be-in-wind-or-solar-it-will-be-in-our-brains/ http://www.weather.com/science/environment/news/psychology-global-warming-why-you-havent-acted-yet-20131001
 http://dotearth.blogs.nytimes.com/2011/10/04/a-medical-metaphor-for-climate-risk-including-the-risk-of-overreaction/?_r=0</t>
  </si>
  <si>
    <t>human dimensions of global change</t>
  </si>
  <si>
    <t>BI Center</t>
  </si>
  <si>
    <t>Researcher</t>
  </si>
  <si>
    <t>project leadership, facilitation, clean-tech, ecology and economic philosophy, scenario planning</t>
  </si>
  <si>
    <t>https://stoknesdotcom.wordpress.com/</t>
  </si>
  <si>
    <t>per.espen@stoknes.com, per.e.stoknes@bi.no</t>
  </si>
  <si>
    <t>Money &amp; Soul: the psychology of money and why we need a new kind of capitalism</t>
  </si>
  <si>
    <t>see videos tab</t>
  </si>
  <si>
    <t>partners with Digital Thinking Network, The Alliance for Wild Ethics, Norwegian Institute for Art- and Expression Therapy, BI Center for Climate Strategy</t>
  </si>
  <si>
    <t>https://stoknesdotcom.wordpress.com/media/</t>
  </si>
  <si>
    <t>climate planning and strategy, economic philosophy</t>
  </si>
  <si>
    <t>Read Montague</t>
  </si>
  <si>
    <t>virginia tech</t>
  </si>
  <si>
    <t>professor of physics and psychiatry of behavioral medicine</t>
  </si>
  <si>
    <t>@Water_CI says Where will humans find me when there are billions more of them around. Will they wage wars over me?" http://natureisspeaking.org/water.html"</t>
  </si>
  <si>
    <t>human social cognition, decision-making, willful choice, neurobiology of health and disease, computational neuroscience</t>
  </si>
  <si>
    <t>http://research.vtc.vt.edu/people/read-montague/</t>
  </si>
  <si>
    <t>phone: 540 526 2006
email: read@vtc.vt.edu</t>
  </si>
  <si>
    <t>Necessary, yet dissociable contributions of the insular and ventromedial prefrontal cortices to norm adaptation: computational and lesion evidence in humans (The Journal of Neuroscience, 2014) Nonpolitical images evoke neural predictors of political ideology (Current Biology, 2014) 
Choosing Money over Drugs: The Neural Underpinnings of Difficult Choice in Chronic Cocaine Users (J Addict, 2014)</t>
  </si>
  <si>
    <t>What We're Learning from 5000 brains (13 min) http://www.ted.com/talks/read_montague_what_we_re_learning_from_5_000_brains neuroscience technology, assigning value to interactions with other people 
Neuroeconomics - P. Read Montague, Baylor College of Medicine (25 min) https://vimeo.com/31009761 valuing things, modeling brain behavior</t>
  </si>
  <si>
    <t>http://news.discovery.com/human/psychology/repulsed-by-disgusting-images-must-be-republican-141104.htm 
http://www.cbsnews.com/news/how-you-react-to-this-photo-reveals-your-political-beliefs/ 
http://www.washingtonpost.com/news/morning-mix/wp/2014/07/08/how-brain-science-explains-market-bubbles-and-irrational-exuberance/</t>
  </si>
  <si>
    <t>cognition and neuroscience</t>
  </si>
  <si>
    <t>Nature is Speaking - Robert Redford is The Redwood</t>
  </si>
  <si>
    <t>Richard Larrick</t>
  </si>
  <si>
    <t>http://cred.columbia.edu/about-cred/people/principal-investigators/richard-larrick/</t>
  </si>
  <si>
    <t>richard zeckhauser</t>
  </si>
  <si>
    <t>The Redwood says: "When humans arrived... all hell broke loose… They started using the planet like it was put there just for them. *They act like they have an extra one laying around.*” ‪#‎NatureIsSpeaking‬‬‬‬‬‬‬‬‬ is a series of micro-videos, like Robert Redford's @Redwood_CI, re-Associations the conversation to point out that "If they don’t figure out that they're part of nature, instead of just using nature, they probably wont be around to see [the baby redwood] grow up.</t>
  </si>
  <si>
    <t>Robin Gregory</t>
  </si>
  <si>
    <t>Decision Research, Institute for Resources Environment and Sustainability at the University of British Columbia</t>
  </si>
  <si>
    <t>risk management, nonmarket environmental benefits and costs, policy choices under uncertainty, psychology and economics of value</t>
  </si>
  <si>
    <t>http://www.decisionresearch.org/researcher/robin-gregory/</t>
  </si>
  <si>
    <t>Ron Inglehart</t>
  </si>
  <si>
    <t>recommended by Rod - made value measurements and demonstrated that values shift over generations</t>
  </si>
  <si>
    <t>Samuel Bowles</t>
  </si>
  <si>
    <t>Santa Fe Institute Behavioral Sciences program</t>
  </si>
  <si>
    <t>cultural evolution, evolution and behavior, applications of this work to intellectual property rights, education, and government economic policies. Economic inequality</t>
  </si>
  <si>
    <t>http://tuvalu.santafe.edu/~bowles/</t>
  </si>
  <si>
    <t>phone: 505 984 8800
fax: 505 982 0565
email: bowles@santafe.edu</t>
  </si>
  <si>
    <t>A Cooperative Species: Human Reciprocity and Its Evolution 
The New Economics of Inequality and Redistribution 
Coordination, Conflict &amp; Competition: A Text in Intermediate Microeconomics</t>
  </si>
  <si>
    <t>video: http://thesciencenetwork.org/programs/santa-fe-institute-2009/sam-bowles (1 hr) discusses the evolutionary roots of altruism/reciprocity</t>
  </si>
  <si>
    <t xml:space="preserve">Robert Redford, as @Redwood_CI says "They act like they have an extra [planet] laying around." Are these ads working? </t>
  </si>
  <si>
    <t>Shahzeen Attari</t>
  </si>
  <si>
    <t>Indiana University</t>
  </si>
  <si>
    <t>http://cred.columbia.edu/about-cred/people/affiliated-researchers/shahzeen-attari/</t>
  </si>
  <si>
    <t>Sharon Talbott</t>
  </si>
  <si>
    <t>PeoplesGrid</t>
  </si>
  <si>
    <t>Smart Energy Project Consultant</t>
  </si>
  <si>
    <t>behavioral marketing; smart grids, resource distribution, energy use, behavior science, smart grid technologies, energy efficiency, energy management</t>
  </si>
  <si>
    <t>http://www.kqed.org/a/perspectives/R201401240735</t>
  </si>
  <si>
    <t>Shlomo Benartzi</t>
  </si>
  <si>
    <t>sian beilock</t>
  </si>
  <si>
    <t>Sim Sitkin</t>
  </si>
  <si>
    <t>Behavioral Science &amp; Policy Center
Behavioral Science &amp; Policy Association</t>
  </si>
  <si>
    <t>Steven Pinker</t>
  </si>
  <si>
    <t>Suzanne Shu</t>
  </si>
  <si>
    <t>tali santos</t>
  </si>
  <si>
    <t>Tim Profeta</t>
  </si>
  <si>
    <t>Duke</t>
  </si>
  <si>
    <t>Director of the Nicholas Institute of Environmental Policy Solutions at Duke University</t>
  </si>
  <si>
    <t>climate and energy, offsets, carbon markets, clean air act, climate change and energy policy</t>
  </si>
  <si>
    <t>http://nicholasinstitute.duke.edu/about/people/timothy-profeta</t>
  </si>
  <si>
    <t>phone: 919 613 8709
email: tim.profeta@duke.edu</t>
  </si>
  <si>
    <t>http://www.huffingtonpost.com/tim-profeta/the-climate-post-obama-ad_b_6624642.html 
http://www.huffingtonpost.com/tim-profeta/the-climate-post-us-india_b_6574758.html 
http://www.huffingtonpost.com/tim-profeta/the-climate-post-house-an_b_6482046.html 
http://www.huffingtonpost.com/tim-profeta/the-climate-post-us-china_b_6154878.html 
http://www.huffingtonpost.com/tim-profeta/the-climate-post-climate_b_6117286.html 
http://voices.nationalgeographic.com/2014/10/09/studies-focus-on-warming-of-oceans/ 
http://www.huffingtonpost.com/tim-profeta/the-climate-post-the-cost_b_5845302.html</t>
  </si>
  <si>
    <t>Nicholas Institute Environmental Summit, Timothy Profeta (15 min) https://www.youtube.com/watch?v=c2tqgtqD2HQ discusses the goals, mission, and history of the Nicholas Institute</t>
  </si>
  <si>
    <t>8 Rivers Capital
Climate Action Reserve Board
American Law Institute</t>
  </si>
  <si>
    <t>Uri Gneezy</t>
  </si>
  <si>
    <t>Wendy Wood</t>
  </si>
  <si>
    <t>http://wood.socialpsychology.org/
http://dornsife.usc.edu/wendywood</t>
  </si>
  <si>
    <t>Will Allen</t>
  </si>
  <si>
    <t>will allen &amp; associates</t>
  </si>
  <si>
    <t>consultant and researcher</t>
  </si>
  <si>
    <t>pest, fisheries, and water resources management, community-based resource management, social marketing, helps organizations use planning and monitoring and evaluation tools to manage natural resources</t>
  </si>
  <si>
    <t>http://icm.landcareresearch.co.nz/about/people/will_allen.asp</t>
  </si>
  <si>
    <t>phone: +64 3 321 9600
fax: +64 3 321 9998
email via homepage</t>
  </si>
  <si>
    <t xml:space="preserve">Valuing our waters - A case study in Tasman District  (2012) 
Building collaboration and learning in integrated catchment management: the importance of social processes and multiple engagement approaches (New Zealand Journal Marine and Freshwater Research, 2011) 
Achieving more effective social marketing: putting the social back into systems theory (The International Journal of Environmental, Cultural, Economic, and Social Sustainability, 2011) 
Learning about the social elements of adaptive management in the South Island tussock grasslands of New Zealand </t>
  </si>
  <si>
    <t>learningforsustainability.net</t>
  </si>
  <si>
    <t>y clair wang</t>
  </si>
  <si>
    <t>columbia university</t>
  </si>
  <si>
    <t>Yakov Ben-Haim</t>
  </si>
  <si>
    <t>http://decisions-and-info-gaps.blogspot.com/</t>
  </si>
  <si>
    <t xml:space="preserve">Nir Eyal </t>
  </si>
  <si>
    <t>Stanford Graduate School of Business and Design School.</t>
  </si>
  <si>
    <t xml:space="preserve">Author, professor </t>
  </si>
  <si>
    <t>http://www.nirandfar.com/about</t>
  </si>
  <si>
    <t xml:space="preserve">advertising, industry/consumer behavior </t>
  </si>
  <si>
    <t>Hooked: How to Build Habit-Forming Products</t>
  </si>
  <si>
    <t>Generalist &amp; Business focus</t>
  </si>
  <si>
    <t xml:space="preserve">Gretchin Rubin </t>
  </si>
  <si>
    <t>Author</t>
  </si>
  <si>
    <t>http://gretchenrubin.com/</t>
  </si>
  <si>
    <t>Happiness and Habits</t>
  </si>
  <si>
    <t>Better than Before and the Happiness Project</t>
  </si>
  <si>
    <t>Climate, Transportation</t>
  </si>
  <si>
    <t>Climate, Consumption, Energy</t>
  </si>
  <si>
    <t>200, 304, 700</t>
  </si>
  <si>
    <t>201, 1002, 1000</t>
  </si>
  <si>
    <t>203, 304</t>
  </si>
  <si>
    <t>801, 804</t>
  </si>
  <si>
    <t xml:space="preserve">Type - Behavior, Enviro, </t>
  </si>
  <si>
    <t>This years topic</t>
  </si>
  <si>
    <t>When</t>
  </si>
  <si>
    <t>Where</t>
  </si>
  <si>
    <t>Speaking Opportunity?</t>
  </si>
  <si>
    <t>International Behavioral Insights Conference</t>
  </si>
  <si>
    <t>Behavior</t>
  </si>
  <si>
    <t>Sydney</t>
  </si>
  <si>
    <t>Blog</t>
  </si>
  <si>
    <t>HOW I GO GREEN WITH MY PUMPING &amp; BABY BOTTLE ROUTINE</t>
  </si>
  <si>
    <t>Frank Conference</t>
  </si>
  <si>
    <t>Communicating Social Change</t>
  </si>
  <si>
    <t>February 23-26, 2016</t>
  </si>
  <si>
    <t>Gainesville, Florida</t>
  </si>
  <si>
    <t>Recycling-Large Scale Habit- Having a child</t>
  </si>
  <si>
    <t>Student parking passes: environmental and policy implications</t>
  </si>
  <si>
    <t>Alternative Transportation</t>
  </si>
  <si>
    <t>Silicon Valley Energy Summit</t>
  </si>
  <si>
    <t>"Workable ideas for sustainable business"</t>
  </si>
  <si>
    <t>Stanford University, Frances C. Arrillaga Alumni Center, Palo Alto, CA</t>
  </si>
  <si>
    <t>https://se3.stanford.edu/events/save-date-silicon-valley-energy-summit</t>
  </si>
  <si>
    <t>Behavior, Energy, and Climate Change Conference</t>
  </si>
  <si>
    <t>Behavior, Energy and Climate Change</t>
  </si>
  <si>
    <t>10/20/16 - 10/22/16</t>
  </si>
  <si>
    <t>Renaissance Baltimore Harborplace | Baltimore, Maryland</t>
  </si>
  <si>
    <t>https://www.regonline.com/builder/site/Default.aspx?EventID=1817340</t>
  </si>
  <si>
    <t>Fine Tuning Decisions in Music City</t>
  </si>
  <si>
    <t>11/13/16 - 11/16/16</t>
  </si>
  <si>
    <t>Nashville</t>
  </si>
  <si>
    <t>http://meetings2.informs.org/wordpress/nashville2016/</t>
  </si>
  <si>
    <t>Conservation Psychology Institute (CPI)</t>
  </si>
  <si>
    <t>The Institute faculty draw on a range of didactic and interactive strategies designed to foster collaborative learning, team problem-solving, and the development of clear ‘takeaways.’</t>
  </si>
  <si>
    <t>6/12/16 - 6/15/16</t>
  </si>
  <si>
    <t>Antioch University New England</t>
  </si>
  <si>
    <t>Deadlines &amp; Fees
Before April 1: $935
Before June 1: $1035
After June 1: $1185</t>
  </si>
  <si>
    <t>http://www.antiochne.edu/academics/continuing-education/conservation-psychology-institute-cpi/</t>
  </si>
  <si>
    <t>Games for Humanitarian and Development Work</t>
  </si>
  <si>
    <t>6/25/14 - 6/27/14</t>
  </si>
  <si>
    <t xml:space="preserve">Lugano, Switzerland </t>
  </si>
  <si>
    <t>Russell Sage Foundation Summer Institute in Behavioral Economics</t>
  </si>
  <si>
    <t>6/27/16 - 7/9/16</t>
  </si>
  <si>
    <t>Waterville Valley, NH</t>
  </si>
  <si>
    <t>Only open to PhD holders</t>
  </si>
  <si>
    <t>Behavioural Exchange 2016</t>
  </si>
  <si>
    <t>This is a conference for those who want to think about what's next in behavioral science and policy. We'll be talking about what we've learnedfrom government policy to date; what's new and innovative in academic research; how we can collaborate and integrate across the two; and how we can answer some of the critical questions coming out of the field. </t>
  </si>
  <si>
    <t>6/6/16 - 6/7/16</t>
  </si>
  <si>
    <t>Sold out for 2016</t>
  </si>
  <si>
    <t>http://www.bx2016.org/</t>
  </si>
  <si>
    <t>National Socioenvironmental Synthesis Center</t>
  </si>
  <si>
    <t>Research center, sponsors working groups</t>
  </si>
  <si>
    <t>Nationwide</t>
  </si>
  <si>
    <t>SESYNC invites proposals for collaborative and interdisciplinary team-based research projects. Proposals must be received by May 16, 2016.</t>
  </si>
  <si>
    <t>Garrison Institute Climate, Mind, and Behavior Symposium</t>
  </si>
  <si>
    <t>Subjective Probability, Utility, and Decision Making</t>
  </si>
  <si>
    <t>Behavioral Economics Summit</t>
  </si>
  <si>
    <t>Green Festival Expo</t>
  </si>
  <si>
    <t>Enviro</t>
  </si>
  <si>
    <t>Expo on green/sustainable living and products</t>
  </si>
  <si>
    <t>November 11-13, 2016</t>
  </si>
  <si>
    <t>Pier 35: 1454 The Embarcadero, San Francisco, CA 94133</t>
  </si>
  <si>
    <t>Other cities as well, such as DC, LA, Portland, and NY</t>
  </si>
  <si>
    <t>http://www.greenfestivals.org/speakers/apply-to-speak-or-perform.html</t>
  </si>
  <si>
    <t>VERGE</t>
  </si>
  <si>
    <t>convention on how to use "technology and innovation to accelerate the sustainable economy"</t>
  </si>
  <si>
    <t>September 19-22, 2016</t>
  </si>
  <si>
    <t>Santa Clara Convention Center: 5001 Great America Pkwy, Santa Clara, CA 95054</t>
  </si>
  <si>
    <t>https://www.greenbiz.com/events/verge/santa-clara/2016</t>
  </si>
  <si>
    <t>League of Women Voters: Environmental Concerns Speaker Series</t>
  </si>
  <si>
    <t>various environmental topics</t>
  </si>
  <si>
    <t>Fall, 2015</t>
  </si>
  <si>
    <t>1174 Euclid Ave, Berkeley</t>
  </si>
  <si>
    <t>May not be still occuring</t>
  </si>
  <si>
    <t>http://www.lwvbae.org/?s=environmental+concerns+speakers+series</t>
  </si>
  <si>
    <t>Meeting of the Minds</t>
  </si>
  <si>
    <t>Other</t>
  </si>
  <si>
    <t>To… "scaling up practical urban solutions, shaping new policies, deploying new technologies, embedding new innovations into mainstreem institutions, and blazing new trails"</t>
  </si>
  <si>
    <t>October 25027, 2016</t>
  </si>
  <si>
    <t>Craneway Pavillion: 1414 Harbour Way S, Richmond, CA 94804</t>
  </si>
  <si>
    <t>occurs every year</t>
  </si>
  <si>
    <t>http://cityminded.org/events/motm2016</t>
  </si>
  <si>
    <t>UC Berkeley, College of Natural Resources, Seminar events</t>
  </si>
  <si>
    <t>variety of environmental and scientific speakers</t>
  </si>
  <si>
    <t>Fall, 2016</t>
  </si>
  <si>
    <t>https://nature.berkeley.edu/events</t>
  </si>
  <si>
    <t>Bay Area Science Festival</t>
  </si>
  <si>
    <t>Science-based exhibits/events</t>
  </si>
  <si>
    <t>October 26 - November 5, 2016</t>
  </si>
  <si>
    <t>100 Medical Center Way, San Francisco, CA</t>
  </si>
  <si>
    <t>Environmental Forum of Marin</t>
  </si>
  <si>
    <t>Jan-April 2016</t>
  </si>
  <si>
    <t>Various Locations (Bay Area)</t>
  </si>
  <si>
    <t>http://www.marinefm.org/lecture-series</t>
  </si>
  <si>
    <t>Bioneers Conference</t>
  </si>
  <si>
    <t>summit for green living</t>
  </si>
  <si>
    <t>October 21-23, 2016</t>
  </si>
  <si>
    <t>Marin Center:  3501 Civic Center Dr, San Rafael, CA 94903</t>
  </si>
  <si>
    <t>http://conference.bioneers.org/</t>
  </si>
  <si>
    <t xml:space="preserve">Net Impact </t>
  </si>
  <si>
    <t>connecting with entrepreneurs and venturers to solve world's problems</t>
  </si>
  <si>
    <t>Fort Mason Center Cowell Theatre: 2 Marina Blvd, San Francisco, CA 94109</t>
  </si>
  <si>
    <t>http://netimpactsf.org/nix-san-francisco/</t>
  </si>
  <si>
    <t>Innovations on the Land: Managing for Change Synposium</t>
  </si>
  <si>
    <t>Land Conservation</t>
  </si>
  <si>
    <t>August 9-10, 2016</t>
  </si>
  <si>
    <t>Asiolmar Conference Grounds: 800 Asilomar Ave, Pacific Grove, CA 93950</t>
  </si>
  <si>
    <t>http://innovationsontheland.com/about-us/</t>
  </si>
  <si>
    <t>Bay Area Ecosystems Climate Change Consortium quarterly meetings</t>
  </si>
  <si>
    <t>"presentation and discussion of selected climate-related isuses with scientists and other regional profesisonals"</t>
  </si>
  <si>
    <t>2011-2014</t>
  </si>
  <si>
    <t>http://baeccc.org/accomplishments.php</t>
  </si>
  <si>
    <t>Soil Not Oil Conference</t>
  </si>
  <si>
    <t>Soil/ecosystem conservation</t>
  </si>
  <si>
    <t>Richmond Memorial Convention Center: 403 Civic Center Plaza, Richmond,</t>
  </si>
  <si>
    <t>http://soilnotoilcoalition.org/events/international-environmental-conference/</t>
  </si>
  <si>
    <t>Natural Areas Conference</t>
  </si>
  <si>
    <t>Workshops and speakers on enviro topics</t>
  </si>
  <si>
    <t>October 18-21, 2016</t>
  </si>
  <si>
    <t>http://naturalareasconference.org/</t>
  </si>
  <si>
    <t>Bigger, Better, Bolder Outlook Conference</t>
  </si>
  <si>
    <t>"Through a series of dynamic talks and thought-provoking conversations, we will explore the unique challenges and opportunities defining the Bay Area's future growth and prosperity"</t>
  </si>
  <si>
    <t>The Park Central San Francisco:  50 3rd St, San Francisco, CA 94103</t>
  </si>
  <si>
    <t>http://www.bayareacouncil.org/events/2016-outlook-conference-bigger-better-bolder/</t>
  </si>
  <si>
    <t>Open Space Conference</t>
  </si>
  <si>
    <t>gather as community to solve enviro problems</t>
  </si>
  <si>
    <t>http://openspacecouncil.org/community-events/conference/</t>
  </si>
  <si>
    <t>International Groundwater Conference</t>
  </si>
  <si>
    <t>"scientific, management, legal, and policy advances for sustainaing our groundwater resources in agricultural regions around the world"</t>
  </si>
  <si>
    <t>June 28-30, 2016</t>
  </si>
  <si>
    <t>Hyatt Regency SF Airport: 1333 Old Bayshore Hwy, Burlingame, CA 94010</t>
  </si>
  <si>
    <t>http://www.watereducation.org/internationalgroundwater2016</t>
  </si>
  <si>
    <t>Bay Area Landscape Water Conference</t>
  </si>
  <si>
    <t>water conservation</t>
  </si>
  <si>
    <t>Pleasant Hill Community Center: 320 Civic Drive, Pleasant Hill, CA 94523</t>
  </si>
  <si>
    <t>http://www.clca.us/balwc/</t>
  </si>
  <si>
    <t>California Water Policy Conference</t>
  </si>
  <si>
    <t>"policy issues impacting California's water"</t>
  </si>
  <si>
    <t>April 20-21, 2016</t>
  </si>
  <si>
    <t>UC Davis Conference Center</t>
  </si>
  <si>
    <t>http://www.cawaterpolicy.org/index.html</t>
  </si>
  <si>
    <t>MPSF Speaker Series</t>
  </si>
  <si>
    <t>varied</t>
  </si>
  <si>
    <t>2016-2017</t>
  </si>
  <si>
    <t>Places in Marin/Oakland/Peninsula</t>
  </si>
  <si>
    <t>http://speakerseries.net/about-us/</t>
  </si>
  <si>
    <t>San Jose State University GreenTalk Speaker Series</t>
  </si>
  <si>
    <t>"…how different industries and researchers are actually dealing with day-to-day environmental issues"</t>
  </si>
  <si>
    <t>SJSU</t>
  </si>
  <si>
    <t>https://engineering.sjsu.edu/our-college/events/greentalks</t>
  </si>
  <si>
    <t>The Bay Institute Film &amp; Lecture Series</t>
  </si>
  <si>
    <t>"bay, coast, and ocean health"</t>
  </si>
  <si>
    <t>Dates do not provide a year so events may have happened too far back in the past; locations seem to be varied</t>
  </si>
  <si>
    <t>http://www.thebayinstitute.org/film-and-lecture-series</t>
  </si>
  <si>
    <t>Golden Gate Audubon Speaker Series</t>
  </si>
  <si>
    <t>Summer 2016</t>
  </si>
  <si>
    <t>SF ( 1187 Franklin Street) and Berkeley (941 The Alameda)</t>
  </si>
  <si>
    <t>http://goldengateaudubon.org/education/speaker-series/</t>
  </si>
  <si>
    <t>Climate Ride Speaker Series</t>
  </si>
  <si>
    <t>hiking/biking/sustainable transportation</t>
  </si>
  <si>
    <t>speakers speak at different events?</t>
  </si>
  <si>
    <t>http://www.climateride.org/events/the-experience/expert-speakers</t>
  </si>
  <si>
    <t>Society of Environmental Journalists</t>
  </si>
  <si>
    <t>September 21-25, 2016</t>
  </si>
  <si>
    <t>Sacramento</t>
  </si>
  <si>
    <t>http://www.sej.org/sej-annual-conferences/AC2016-agenda</t>
  </si>
  <si>
    <t>American Geophysical Union (AGU) Fall Meeting</t>
  </si>
  <si>
    <t>earth and space science meeting</t>
  </si>
  <si>
    <t>December 12-16, 2016</t>
  </si>
  <si>
    <t>748 Howard St, San Francisco, CA 94103, </t>
  </si>
  <si>
    <t>Paper Abstract Submission Deadline is August 3</t>
  </si>
  <si>
    <t>https://fallmeeting.agu.org/2016/</t>
  </si>
  <si>
    <t>International Marine Conservation Congress (IMCC)</t>
  </si>
  <si>
    <t>marine conservation and policy</t>
  </si>
  <si>
    <t>July 30-August 3, 2016</t>
  </si>
  <si>
    <t>St John's, Newfoundland and Labrador (YYT)</t>
  </si>
  <si>
    <t>Not in the US</t>
  </si>
  <si>
    <t>http://conbio.org/mini-sites/imcc-2016</t>
  </si>
  <si>
    <t>Ashoka U Exchange</t>
  </si>
  <si>
    <t>education and social change</t>
  </si>
  <si>
    <t>March 2-4, 2017</t>
  </si>
  <si>
    <t>Miami Dade College, Florida</t>
  </si>
  <si>
    <t>Date Last Visited</t>
  </si>
  <si>
    <t>http://ashokau.org/exchange/</t>
  </si>
  <si>
    <t>also check their 'YPCCC In the News' sidebar</t>
  </si>
  <si>
    <t>Ethics of Nudge</t>
  </si>
  <si>
    <t>http://ethicsofnudge.com/</t>
  </si>
  <si>
    <t>Behavioral Economics in general / not many articles that peratin to the environment</t>
  </si>
  <si>
    <t>http://inudgeyou.com/blog/</t>
  </si>
  <si>
    <t>Danish; work at the intersection of applied behavioural science, public institutions, NGO’s and private stakeholders with the aim of developing and scientifically validate behaviour change strategies for closing the gap between pro-social intentions and actions</t>
  </si>
  <si>
    <t>Behavioral Insights Team blog</t>
  </si>
  <si>
    <t>http://www.behaviouralinsights.co.uk/blog/</t>
  </si>
  <si>
    <t>http://environmentalpolicy.ucdavis.edu/blog
http://environmentalpolicy.ucdavis.edu/news</t>
  </si>
  <si>
    <t>Nothing new since April of 2015</t>
  </si>
  <si>
    <t>Lots of useful aritcles are posted here</t>
  </si>
  <si>
    <t>ChangeLabs</t>
  </si>
  <si>
    <t>Lots of useful articles under the Publications tab, but none under the blogs or webinars</t>
  </si>
  <si>
    <t>https://www.washingtonpost.com/people/chris-mooney</t>
  </si>
  <si>
    <t>Excellent resource, 1/8  or 1/10 articles is about climate behavior</t>
  </si>
  <si>
    <t>http://www.climateaccess.org/blog</t>
  </si>
  <si>
    <t>This is a great resource, 1/2 articles are on climate change communciation and behavior</t>
  </si>
  <si>
    <t>http://www.climateoutreach.org.uk/blog/</t>
  </si>
  <si>
    <t>good resource</t>
  </si>
  <si>
    <t>http://ecoaffect.org/</t>
  </si>
  <si>
    <t>This site has links to great articles, but doesn't write anything original themselves. Be aware that you can find good stuff on here in the link beneath the EcoAffect summary of the article</t>
  </si>
  <si>
    <t>http://frameblog.org/</t>
  </si>
  <si>
    <t xml:space="preserve">Publish yearly or bi-annual reports in all their different fields in the environment category, very useful </t>
  </si>
  <si>
    <t>George Mason University Center for Climate Change Communication</t>
  </si>
  <si>
    <t>http://grist.org/climate-energy/</t>
  </si>
  <si>
    <t>http://www.ideas42.org/category/blog/</t>
  </si>
  <si>
    <t>6/1/2016 - website did not work</t>
  </si>
  <si>
    <t>InDecision</t>
  </si>
  <si>
    <t>http://indecisionblog.com/</t>
  </si>
  <si>
    <t>6/1/2016- no new articles</t>
  </si>
  <si>
    <t>Influence at Work</t>
  </si>
  <si>
    <t>http://www.influenceatwork.com/articles/</t>
  </si>
  <si>
    <t>6/1/2016- no new articles or blog posts</t>
  </si>
  <si>
    <t>http://lesswrong.com/</t>
  </si>
  <si>
    <t>6/3/2016 -not a good website</t>
  </si>
  <si>
    <t>https://marketinggreen.wordpress.com/</t>
  </si>
  <si>
    <t xml:space="preserve">Nef </t>
  </si>
  <si>
    <t>http://www.neweconomics.org/publications/entry/behavioural-economics</t>
  </si>
  <si>
    <t>Nir and Far</t>
  </si>
  <si>
    <t>http://www.nirandfar.com/2012/03/how-to-design-behavior.html</t>
  </si>
  <si>
    <t>6/6/2016 -not a good website for environmental stuff</t>
  </si>
  <si>
    <t>Nudge Blog</t>
  </si>
  <si>
    <t>http://nudges.org/tag/default-rules/</t>
  </si>
  <si>
    <t>http://www.salon.com/category/sustainability/</t>
  </si>
  <si>
    <t>http://blogs.scientificamerican.com/plugged-in/</t>
  </si>
  <si>
    <t>Scoop.it</t>
  </si>
  <si>
    <t>http://www.scoop.it/t/neuro-coscienza/p/4046428048/2015/06/24/the-behavioral-foundations-of-public-policy-eldar-shafir-9780691137568-amazon-com-books</t>
  </si>
  <si>
    <t>http://www.theguardian.com/sustainable-business/behaviour</t>
  </si>
  <si>
    <t>Think progress</t>
  </si>
  <si>
    <t>http://thinkprogress.org/climate/issue/</t>
  </si>
  <si>
    <t>TEN - The European Nudge Network</t>
  </si>
  <si>
    <t>https://www.linkedin.com/grp/home?gid=4746574</t>
  </si>
  <si>
    <t>ROOT SOLUTIONS TWITTER FEED….</t>
  </si>
  <si>
    <t>OTHER RESOURCES</t>
  </si>
  <si>
    <t>Centre of Excellence for Environmental Decisions</t>
  </si>
  <si>
    <t>http://ceed.edu.au/ceed-news/ceed-media-releases.html</t>
  </si>
  <si>
    <t>not a lot of behavioral sciences</t>
  </si>
  <si>
    <t>Decision Point</t>
  </si>
  <si>
    <t>http://decision-point.com.au/</t>
  </si>
  <si>
    <t>http://economicspsychologypolicy.blogspot.co.uk/</t>
  </si>
  <si>
    <t>http://conservationdecisions.org/tag/decision-science/</t>
  </si>
  <si>
    <t>http://e360.yale.edu/content/featurearchive.msp</t>
  </si>
  <si>
    <t>BrainFacts</t>
  </si>
  <si>
    <t>http://www.brainfacts.org/sensing-thinking-behaving/awareness-and-attention/</t>
  </si>
  <si>
    <t>not a lot of environmental articles</t>
  </si>
  <si>
    <t>Useful Science</t>
  </si>
  <si>
    <t>http://www.usefulscience.org/posts?page=1</t>
  </si>
  <si>
    <t>TRBQ</t>
  </si>
  <si>
    <t>http://trbq.org/topics/stories/</t>
  </si>
  <si>
    <t>radio show</t>
  </si>
  <si>
    <t>NPR Hidden Brain</t>
  </si>
  <si>
    <t>http://www.npr.org/tags/125936630/the-hidden-brain</t>
  </si>
  <si>
    <t>E2e</t>
  </si>
  <si>
    <t>http://e2e.haas.berkeley.edu/policy-briefs.html</t>
  </si>
  <si>
    <t>energy, kind of technical</t>
  </si>
  <si>
    <t>http://www.decisionsciencenews.com/</t>
  </si>
  <si>
    <t>news about conferences, not very useful beyong that</t>
  </si>
  <si>
    <t>https://www.behavioraleconomics.com/blog/</t>
  </si>
  <si>
    <t>Good resource for behavioral econ, but nothing on environment</t>
  </si>
  <si>
    <t xml:space="preserve">Climate Desk </t>
  </si>
  <si>
    <t>http://climatedesk.org/</t>
  </si>
  <si>
    <t>Not a helpful site for our purposes, but very interesting climate change info otherwise</t>
  </si>
  <si>
    <t>http://www.futerra.co.uk/blog</t>
  </si>
  <si>
    <t>Interesting projects and articles on how to implement sustainability, but nothing to do with behaviora econ</t>
  </si>
  <si>
    <t>Product</t>
  </si>
  <si>
    <t>What is it?</t>
  </si>
  <si>
    <t>Opower's App</t>
  </si>
  <si>
    <t>App</t>
  </si>
  <si>
    <t>A social app for broadcasting your energy use and comparing with friends</t>
  </si>
  <si>
    <t>https://social.opower.com/</t>
  </si>
  <si>
    <t>Nest</t>
  </si>
  <si>
    <t>Home energy use technology</t>
  </si>
  <si>
    <t>Home energy use/management company/approach</t>
  </si>
  <si>
    <t>https://nest.com/</t>
  </si>
  <si>
    <t>Design Triggers</t>
  </si>
  <si>
    <t>Product design skills based in cognitive biases and emotions</t>
  </si>
  <si>
    <t>Behavioral Insights Toolkit</t>
  </si>
  <si>
    <t>Advice paper</t>
  </si>
  <si>
    <t>Compilation of advice for targeting behavioral change</t>
  </si>
  <si>
    <t>https://www.gov.uk/government/uploads/system/uploads/attachment_data/file/3226/toolkit.pdf</t>
  </si>
  <si>
    <t>Look at page 22 - 30 and 48 - 49 in particular</t>
  </si>
  <si>
    <t>Stikk</t>
  </si>
  <si>
    <t>Website</t>
  </si>
  <si>
    <t>Website helps people set and therefore achieve goals by creating what they call "Commitment Contracts"</t>
  </si>
  <si>
    <t>https://new.stickk.com/</t>
  </si>
  <si>
    <t>Energy Slayer Calculator</t>
  </si>
  <si>
    <t>Helps people identify energy vampires in their home/office</t>
  </si>
  <si>
    <t>http://www.duke-energy.com/energyvampire/</t>
  </si>
  <si>
    <t>OpenLabel</t>
  </si>
  <si>
    <t>Good Fish Guide</t>
  </si>
  <si>
    <t>Sustainable seafood purchasing guide created by the Marine Conservation Society</t>
  </si>
  <si>
    <t>https://itunes.apple.com/us/app/good-fish-guide/id485701779?mt=8</t>
  </si>
  <si>
    <t>Buycott</t>
  </si>
  <si>
    <t>Helps consumers learn about the social impacts of their purchases. Allows consumers to join social and environmental issue networks</t>
  </si>
  <si>
    <t>https://itunes.apple.com/us/app/buycott/id585933440?mt=8</t>
  </si>
  <si>
    <t>HowGood</t>
  </si>
  <si>
    <t>Sorts over 100,000 products based on safety, health, social impact, and sustainability. Examines the product's manufacturing process, ingredients, treatment of workers, waste emissions, and more. Rankings have already been incorporated in some stores</t>
  </si>
  <si>
    <t>http://howgood.com/</t>
  </si>
  <si>
    <t>GoodGuide</t>
  </si>
  <si>
    <t>Gives products a ranking of 0-10 based on health, environmental, and social metrics</t>
  </si>
  <si>
    <t>http://www.goodguide.com/about/ratings</t>
  </si>
  <si>
    <t>CarbonStory</t>
  </si>
  <si>
    <t>To help companies make their reductions in carbon emissions more tangible and interesting to consumers. Uses storytelling, gamification, and creative visuals to promote active participation in these efforts</t>
  </si>
  <si>
    <t>http://carbonstory.org/</t>
  </si>
  <si>
    <t>JouleBug</t>
  </si>
  <si>
    <t>Awards users with badges, points, and pins for sustainable behaviors. Can sync to utility bills to illustrate savings</t>
  </si>
  <si>
    <t>http://joulebug.com/</t>
  </si>
  <si>
    <t>Rippl</t>
  </si>
  <si>
    <t>Created by the Ocean Conservancy and Invoke. Gives users suggestions on how to live more sustainably; allows them to set goals, and trak progress towards creating sustainable habits</t>
  </si>
  <si>
    <t>http://www.oceanconservancy.org/do-your-part/rippl.html</t>
  </si>
  <si>
    <t>goodnet.co</t>
  </si>
  <si>
    <t>sustainable procurement site that uses data regarding product's environmental and social impact to help people find cleaner and healthier products</t>
  </si>
  <si>
    <t>http://goodnet.co/</t>
  </si>
  <si>
    <t>Water usage calculator</t>
  </si>
  <si>
    <t xml:space="preserve">Website </t>
  </si>
  <si>
    <t>https://www.swfwmd.state.fl.us/conservation/thepowerof10/</t>
  </si>
  <si>
    <t>TITLE</t>
  </si>
  <si>
    <t>WHAT IS IT</t>
  </si>
  <si>
    <t>CATEGORY</t>
  </si>
  <si>
    <t>MAIN SUBJECT</t>
  </si>
  <si>
    <t>SECONDARY SUBJECT</t>
  </si>
  <si>
    <t>ENVIRONMENTAL IMPLICATION</t>
  </si>
  <si>
    <t>AUTHOR</t>
  </si>
  <si>
    <t>DATE</t>
  </si>
  <si>
    <t>SOURCE</t>
  </si>
  <si>
    <t>NOTES</t>
  </si>
  <si>
    <t>Included in Vinettes?</t>
  </si>
  <si>
    <t>[Excerpt] Lies my Teacher Told Me</t>
  </si>
  <si>
    <t>Book excerpt</t>
  </si>
  <si>
    <t>Cognitive dissonance</t>
  </si>
  <si>
    <t>Allegiance</t>
  </si>
  <si>
    <t>Loewen, J.</t>
  </si>
  <si>
    <t>BOOK recommended by Rod; pgs 345-35 describe a case study about how cognitive dissonance and allegiance interact with socialization education and financial success to influence attitudes about war
also makes a persuasive case for teaching the history of social change in a more objective way that included the roles if individuals and NGOs not just government action so that students understand how social achievements actually come about and learn that government usually follows movements rather than leads.</t>
  </si>
  <si>
    <t>The Hidden Brain: How our Unconscious Minds Elect Presidents, Control Markets, Wage Wars, and Save our Lives</t>
  </si>
  <si>
    <t>Book</t>
  </si>
  <si>
    <t>Unconsious mind</t>
  </si>
  <si>
    <t>Whose Freedom?</t>
  </si>
  <si>
    <t>Book and Rod's idea for a blog post</t>
  </si>
  <si>
    <t>ROD's blog idea: - What are the deep frames for the concepts of the environment, environmentalism, and conservation?  Are some inimical to progress? Do different groups of people (e.g., ethnicity, socioeconomic status, conservatives, progressive) hold different deep frames and use different metaphors to understand these concepts? What are the uncontested cores, and what are the contested details? (See chapters one and  two)? If some deep frames are problematic for conservation, how can they be changed?</t>
  </si>
  <si>
    <t>Rod commented also that pp 245-266 has insights into how to stop activating undesirable frames and how to start building new fundamental frames and deep metaphors that will make new surface frames that encourage desired beliefs, thinking, and behavior. He pointed out that this could be important for both the book and practitioner's guide.
pg 170-201 differences in moral reasoning that explain a lot if the heated political debates we are having. I think we should write about this with respect to conservation, maybe with respect to framing and targeting but also at the end when we get a bit more philosophical?; From Lakoff's other books:  Words are defined by surface frames e.g. Death taxes and liberal elites
Deep frames structure world view
Surface frames are only effective given deep frames</t>
  </si>
  <si>
    <t>The Victory Lab: The Secret Science of Winning Campaigns</t>
  </si>
  <si>
    <t>Sasha Issenberg</t>
  </si>
  <si>
    <t>Book; how the analytical revolution is upending the way political campaigns are run in the 21st century</t>
  </si>
  <si>
    <t>Scarcity: Why Having Too Little Means So Much</t>
  </si>
  <si>
    <t>Book excerpts</t>
  </si>
  <si>
    <t>Deadlines</t>
  </si>
  <si>
    <t>Coupons</t>
  </si>
  <si>
    <t>Position Title</t>
  </si>
  <si>
    <t>Contributing Editor</t>
  </si>
  <si>
    <t>https://meam.openchannels.org/news/meam/tundi%E2%80%99s-take-marketing-conservation-ocean-serving-or-self-serving</t>
  </si>
  <si>
    <t>From book overall: scarcity of any kind, time food energy – can't focus the mind by capturing at an increased productivity and a focus, but can also lead to long-term loss. People can also get trapped in scarcity – the busy stay busy, the poor stay poor; Book excerpts recommended by Rod: pg. 22 a study showing how expiratin dates make people use coupons more; pg. 25-26 Angry blueberries game shows that people with few blueberries to shoot tended to take better aim and achieve higher scores per blueberry than people who got lots of blueberries from the start. This laboratory experiment separates out explanatory variables other than scarcity because subjects were divided as the categories randomly; pg. 26-27 ...Very hard to fake scarcity to exploit these effects - subconscious; pg. 27 Scarcity captures the mind when thinking both fast and slow. 
Pg 214-215: get people to take actions that would otherwise fall in the “important but not urgent category” as soon as they fall out of the “tunnel” created by scarcity, which causes hyperfocus on whatever the scarce resource is (time, money, etc).  Otherwise these actions (like savings, exercise, etc) don’t get done.  Do things that link long term goals with predictable things (e.g., savings plans that put a portion of predictable salary increases into savings).  Whenever you are out of the tunnel thinking about good long term things (savings, exercise, conservation?), take advantage of being out of the tunnel and do things that will prolong motivation to do important but not urgent things (e.g., buy gym membership, commit to save or exercise with friends, fill pantry with healthy foods) so that when you are tunneling again you will be less likely to ignore the important but non-urgent things.  This helps prevent the scarcity trap, wherein excessive focus on scarce resources makes things worse by creating urgency to solve short-term problems often at the expense of long term benefit.
rich tend to stay rich, the poor tend to stay poor, the lonely tend to stay lonely , and diets tend not to work. Common perception is that the rich deserve to be rich, the poor are lazy or lack willpower or are stupid, the lonely are unlovable etc but the evidence contradicts this. Poor performance that perpetuates poverty loneliness etc is contextual , related to hyper focus, lack bandwidth, slack.
pp. 170-171 about programs that fail to help poor people find work because they do not accommodate the inherent variation in scarcity in poor people’s lives: e.g, linear job skill classes that build on each other do not fit with how a person facing scarcity must live (juggling, lots of variation and emergencies, etc).  the authors make a pretty good case that minor slip-ups like missing classes are an inevitable outcome of scarcity, rather than a psychological issue (e.g. lack of motivation or intelligence).  Instead, programs that fit the lifestyles might work better – but they offer no specific remedies. ; From book scarcity (Rod), pg. 91-93 Most people recommend travelling an extra distance to a store to save $50 on a $100 item but not to make the extra trip to save the same $50 off an item that cost $1000, because they are subject to a cognitive bias around judging relative to a baseline. When poor people are asked to make similar recommendations, that show very little difference in their answers relative to the base price – they always recommend traveling the extra distance to save money. The authors include a section on the biophysical basis for this cognitive bias – we perceive differences in weight light and tone for example by judging the change from baseline except where expertise allows us to overcome that bias.
pg 22: large scale marketing studies show that expiration dates cause coupons to be used more often than coupons with no expiration dates
scarcity of any kind, time food energy – can't focus the mind by capturing at an increased productivity and a focus, but can also lead to long-term loss. People can also get trapped in scarcity – the busy stay busy, the poor stay poor.
Angry blueberries game shows that people with few blueberries to shoot tended to take better aim and achieve higher scores per blueberry than people who got lots of blueberries from the start. This laboratory experiment separates out explanatory variables other than scarcity because subjects were divided as the categories randomly. Pp 25-26
Very hard to fake scarcity to exploit these effects - subconscious. P. 26 - 27
Scarcity captures the mind when thinking both fast and slow. Page 27.</t>
  </si>
  <si>
    <t>Brandwashed</t>
  </si>
  <si>
    <t>Cognitive Bias</t>
  </si>
  <si>
    <t>Marketing</t>
  </si>
  <si>
    <t>Increasing our awareness of tactics spurring overconsumption might promote environmental agendas</t>
  </si>
  <si>
    <t>Martin Lundstrom</t>
  </si>
  <si>
    <t>http://www.martinlindstrom.com/brandwashed/</t>
  </si>
  <si>
    <t>Has lots of good examples of how marketers use decision science - eg back to school commercials that always show groups if kids fitting in because they bought the right clothes etc . Might make good blog post: increase your awareness, don't be manipulated, consume less, save the environment.</t>
  </si>
  <si>
    <t>Random House</t>
  </si>
  <si>
    <t>Choices-Behaviors-Habits-Values continuum</t>
  </si>
  <si>
    <t>To break a bad habit you have to replace with a different behavior that responds to the same cue and provides the same reward. To form a new habit you have to link the desired behavior to something that already happens in your life that can be used as a cue, and you MUST take time to reward yourself for doing, and revel in the reward.</t>
  </si>
  <si>
    <t>Pjkant &amp; Naumof; Naumof blogspot</t>
  </si>
  <si>
    <t>A husband and wife team of "behavioral science trainers"</t>
  </si>
  <si>
    <t>how to use behaivoral science to increase profit</t>
  </si>
  <si>
    <t>http://www.naumof.com/#!design-influence/c7tr; http://naumof.blogspot.com/?m=1</t>
  </si>
  <si>
    <t>The New Optimism of Al Gore</t>
  </si>
  <si>
    <t>Quote</t>
  </si>
  <si>
    <t>attitudes toward climate change</t>
  </si>
  <si>
    <t>solving climate change</t>
  </si>
  <si>
    <t>Al Gore</t>
  </si>
  <si>
    <t>http://www.nytimes.com/2015/03/17/science/the-new-optimism-of-al-gore.html?_r=0</t>
  </si>
  <si>
    <t>"The most powerful advocate for solving the climate crisis is not me, but Mother Nature," he says. "The reality of the climate crisis is overwhelming, and more and more people see it and feel it every day."</t>
  </si>
  <si>
    <t>note from Rod</t>
  </si>
  <si>
    <t>politics and storytelling</t>
  </si>
  <si>
    <t>Rod</t>
  </si>
  <si>
    <t>Tip: get bureaucrats to step out of comfort zone as policy implementer and articulate aspirations - get in touch with why they entered public service.</t>
  </si>
  <si>
    <t>How to Win Campaigns</t>
  </si>
  <si>
    <t>campaigning</t>
  </si>
  <si>
    <t>framing, communication, cultural differences</t>
  </si>
  <si>
    <t>pg 109-110: Good explanation for why it is hard to understand human motivation 
Pg 95-100: description of issue mapping to understand landscape, identify players, processes, and connections, and reveal what is done and what is not known and what is unknown
86: figure showing how value groups map onto early adopters laggards and innovators in a behavior spreading model
pg 62-68: explanation of heuristics and behavior change. References cisldini's book influence : The psychology of persuasion. Also references book called homer Simpson for nonprofits the truth about how people really think and what it means for promoting causes by the network for good. Worth looking at, may replicate parts of our primer or practitioners guide.
pg 60: cultural differences in time perception can result in miscommunication
pg 59: good example of doing qualitative research to understand why people are not taking action then using that to build an ntervention that overcomes barriers.
pg 28-29: When confronted with the unknown, people reach for established frames to make sense of it (“it’s one of those”), allows them to ignore or reject certain kinds of information and invent others so it all fits the frame.  Once the frame is triggered, arguments are doomed.
Framing climate as a global issue needing international cooperation (as many scientists and politicians did) to solve was big mistake: feasible solutions (country, corporate, individual actions) did not match frame of problem.
In US: climate is framed as natural or God given.  Frame of carbon pollution makes more sense.
Economist Nicholas Stern framed issue as: global warming could shrink global economy by 20% but solution would cost only 1% of global gross product.  More persuasive.
pg 153: the color red denotes winners and results in more points awarded by judges in sports. And david and Goliath images showing a small hero confronting a large and powerful enemy are also effective.
pg 154: a film director told him that people on the right of the screen were more credible then if they're on the left.
pg 140: senior managers typically over estimate total risk because of their accumulated experience and the large number of stakeholders that they deal with. Middle managers tend to underestimate specific risks perhaps because they're on the hook to produce outcomes.
pg 133: simplification takes a complex issue and tries to reduce it to a simple explanation that results in misrepresentation or self-deception. Simplicity on the other hand is understanding the complexity and identifying the key part that can be changed to strategic advantage and then making a campaign that deals only with that single issue.
pg 84: Nice example of conscious targeting of key values group ("now" people) to precipitate behavior change tipping point: global cool.</t>
  </si>
  <si>
    <t>Mad Men</t>
  </si>
  <si>
    <t>TV Show</t>
  </si>
  <si>
    <t>I remembered the scene from mad men I was trying to think of to illustrate how the advertising industry has learned how to manipulate us:  Don Draper, the main creative guy at the agency, is pitching the Kodak carousel projector (for you young people, we used to use these to project our slides onto the wall for viewing).  He notes that it is not a machine to project images; it is a time machine that transports us to happier times (or something like that), and then he notes that it is called a “carousel” with all of that word’s connotations of fun, not a “projector”</t>
  </si>
  <si>
    <t>ngo audiences</t>
  </si>
  <si>
    <t>To make the point to ngo audiences who are mostly inner directed values people that They don't understand their core audiences, global cool plays a game in which they show people fashions TV shows etc. that are favored by other groups – campaigners really recognize much.</t>
  </si>
  <si>
    <t>The Case for Taking Selfies</t>
  </si>
  <si>
    <t>article excerpt</t>
  </si>
  <si>
    <t>behavioral science</t>
  </si>
  <si>
    <t>goal setting, discounting</t>
  </si>
  <si>
    <t>saving in developing countries</t>
  </si>
  <si>
    <t>Wall Street Journal (url: http://www.wsj.com/articles/the-case-for-taking-selfies-1417798001)</t>
  </si>
  <si>
    <t>A recent World Bank report offers some hope. In Kenya, according to the bank, many households report that a lack of cash often holds them back from investing in preventive health products such as insecticide-treated mosquito nets. To help Kenyans save for such needs, researchers provided families with a lockable metal box, a padlock and a place to write the name of the desired item. Simply by making these boxes available, researchers increased the purchase rates of these preventive health products by 66% to 75%, the report said. The idea behind this approach is that people tend to allocate their funds through a process of “mental accounting” in which they define categories of spending and structure their outlays accordingly. The metal box, the lock and the label all helped people to put money in a separate account dedicated to preventive health products.</t>
  </si>
  <si>
    <t>Social Change 2.0: A Blueprint for Reinventing Our World</t>
  </si>
  <si>
    <t>social change campaigning</t>
  </si>
  <si>
    <t>David Gershon</t>
  </si>
  <si>
    <t>I'm reading an interesting book by david Gershon called social change 2.0. He has led a lot of successful behavior change and sustainability campaigns and notes that checklists often result in people doing part if a task and then moving on without internalizing ultimate goals or process.
A better approach, he suggests, is to set up actions as ongoing practices.
He provides an example from the world of recycling : portlanders believed that by doing recycling they were doing all they needed to do and lost motivation for participating in a program aimed at promoting more sustainable behavior.
Program leaders found three beliefs that supported this main belief: "I recycle, therefore I do everything else ". "I do these actions sometimes, therefore I do that all the time". "I have knowledge about this issue, therefore I am taking action".
When confronted with this in the context of a meeting about the importance of ongoing process as opposed to checking things off, program performance increased substantially (30 percent reduction in garbage production).
a study comparing effectiveness of starving child image vs well fed happy child image which concluded that the latter elicited many more donations.
his leadership cultivation program is based on the idea that people need to find their "growing edges" where they will expand into their dreams and aspirations, in order to be inspired to lead. The program focuses on inspiration rather than on building skills. I suppose this motivated people to learn about apply the necessary skills. A lesson for capacity building?
He applies this thinking to social institutions and countries: try to find their growing edge, and attach your intervention intervention to that edge. It sounds a little bit like a scaling principal - piggybacking.</t>
  </si>
  <si>
    <t>communicating threats - salience</t>
  </si>
  <si>
    <t>gas leaks</t>
  </si>
  <si>
    <t>environmental threats</t>
  </si>
  <si>
    <t>Rainer Romeros</t>
  </si>
  <si>
    <t>rod</t>
  </si>
  <si>
    <t>From Rainer romeros work on gas leaks - communicating two or more impacts (eg explosion plus global warming) reduced salience for people.</t>
  </si>
  <si>
    <t>Resonate; Feedback; Normal</t>
  </si>
  <si>
    <t>Fostering Sustainable Behavior: An Introduction to Community-Based Social Marketing</t>
  </si>
  <si>
    <t>New Society Publishers</t>
  </si>
  <si>
    <t>Community-based social marketing</t>
  </si>
  <si>
    <t>Home Energy Efficiency, Water Conservation</t>
  </si>
  <si>
    <t>Resonate = Yes; Feedback = Yes; Normal = Yes</t>
  </si>
  <si>
    <t>Resonate = No; Feedback = No; Normal = No</t>
  </si>
  <si>
    <t>Better Than Before</t>
  </si>
  <si>
    <t>Crown Publishers</t>
  </si>
  <si>
    <t>Psychological Levers of Behavior Change. In The Behavioral Foundations of Public Policy P</t>
  </si>
  <si>
    <t>NJL Princeton Pres</t>
  </si>
  <si>
    <t>Miller, Dale T., and Deborah A. Prentice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</si>
</sst>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409]d\-mmm\-yy"/>
    <numFmt numFmtId="165" formatCode="[$-409]d\-mmm\-yyyy"/>
  </numFmts>
  <fonts count="69">
    <font>
      <sz val="12.0"/>
      <color rgb="FF000000"/>
      <name val="Calibri"/>
    </font>
    <font>
      <b/>
      <sz val="11.0"/>
      <color rgb="FF000000"/>
      <name val="Century Gothic"/>
    </font>
    <font>
      <sz val="11.0"/>
      <color rgb="FF000000"/>
      <name val="Century Gothic"/>
    </font>
    <font>
      <b/>
      <sz val="10.0"/>
      <color rgb="FF000000"/>
      <name val="Century Gothic"/>
    </font>
    <font>
      <b/>
      <sz val="10.0"/>
      <name val="Century Gothic"/>
    </font>
    <font>
      <sz val="11.0"/>
      <name val="Century Gothic"/>
    </font>
    <font>
      <b/>
      <sz val="11.0"/>
      <color rgb="FF3C3C3C"/>
      <name val="Century Gothic"/>
    </font>
    <font/>
    <font>
      <sz val="10.0"/>
      <color rgb="FF000000"/>
      <name val="Century Gothic"/>
    </font>
    <font>
      <sz val="10.0"/>
      <name val="Century Gothic"/>
    </font>
    <font>
      <sz val="11.0"/>
      <color rgb="FF3C3C3C"/>
      <name val="Century Gothic"/>
    </font>
    <font>
      <u/>
      <sz val="10.0"/>
      <color rgb="FF000000"/>
      <name val="Century Gothic"/>
    </font>
    <font>
      <u/>
      <sz val="10.0"/>
      <color rgb="FF000000"/>
      <name val="Century Gothic"/>
    </font>
    <font>
      <sz val="11.0"/>
      <color rgb="FF262626"/>
      <name val="Century Gothic"/>
    </font>
    <font>
      <u/>
      <sz val="10.0"/>
      <color rgb="FF0000FF"/>
      <name val="Century Gothic"/>
    </font>
    <font>
      <sz val="10.0"/>
      <color rgb="FFFF0000"/>
      <name val="Century Gothic"/>
    </font>
    <font>
      <u/>
      <sz val="10.0"/>
      <color rgb="FF0000FF"/>
      <name val="Century Gothic"/>
    </font>
    <font>
      <sz val="10.0"/>
      <color rgb="FF222222"/>
      <name val="Century Gothic"/>
    </font>
    <font>
      <sz val="11.0"/>
      <color rgb="FFFF0000"/>
      <name val="Century Gothic"/>
    </font>
    <font>
      <u/>
      <sz val="10.0"/>
      <color rgb="FF000000"/>
      <name val="Century Gothic"/>
    </font>
    <font>
      <u/>
      <sz val="10.0"/>
      <color rgb="FF000000"/>
      <name val="Century Gothic"/>
    </font>
    <font>
      <u/>
      <sz val="10.0"/>
      <color rgb="FF0000FF"/>
      <name val="Century Gothic"/>
    </font>
    <font>
      <u/>
      <sz val="10.0"/>
      <color rgb="FF000000"/>
      <name val="Century Gothic"/>
    </font>
    <font>
      <u/>
      <sz val="10.0"/>
      <color rgb="FF0000FF"/>
      <name val="Century Gothic"/>
    </font>
    <font>
      <u/>
      <sz val="10.0"/>
      <color rgb="FF0000FF"/>
      <name val="Century Gothic"/>
    </font>
    <font>
      <u/>
      <sz val="10.0"/>
      <color rgb="FF000000"/>
      <name val="Century Gothic"/>
    </font>
    <font>
      <u/>
      <sz val="10.0"/>
      <color rgb="FF000000"/>
      <name val="Century Gothic"/>
    </font>
    <font>
      <u/>
      <sz val="10.0"/>
      <color rgb="FF0000FF"/>
      <name val="Century Gothic"/>
    </font>
    <font>
      <u/>
      <sz val="10.0"/>
      <color rgb="FF0000FF"/>
      <name val="Century Gothic"/>
    </font>
    <font>
      <u/>
      <sz val="10.0"/>
      <color rgb="FF0000FF"/>
      <name val="Century Gothic"/>
    </font>
    <font>
      <u/>
      <sz val="10.0"/>
      <color rgb="FF000000"/>
      <name val="Century Gothic"/>
    </font>
    <font>
      <sz val="9.0"/>
      <color rgb="FF000000"/>
      <name val="Century Gothic"/>
    </font>
    <font>
      <u/>
      <sz val="9.0"/>
      <color rgb="FF0000FF"/>
      <name val="Century Gothic"/>
    </font>
    <font>
      <b/>
      <sz val="9.0"/>
      <color rgb="FF000000"/>
      <name val="Century Gothic"/>
    </font>
    <font>
      <u/>
      <sz val="10.0"/>
      <color rgb="FF0000FF"/>
      <name val="Century Gothic"/>
    </font>
    <font>
      <u/>
      <sz val="10.0"/>
      <color rgb="FF0000FF"/>
      <name val="Century Gothic"/>
    </font>
    <font>
      <u/>
      <sz val="10.0"/>
      <color rgb="FF0000FF"/>
      <name val="Century Gothic"/>
    </font>
    <font>
      <u/>
      <sz val="10.0"/>
      <color rgb="FF000000"/>
      <name val="Century Gothic"/>
    </font>
    <font>
      <sz val="11.0"/>
      <color rgb="FF222222"/>
      <name val="Century Gothic"/>
    </font>
    <font>
      <u/>
      <sz val="10.0"/>
      <color rgb="FF0000FF"/>
      <name val="Century Gothic"/>
    </font>
    <font>
      <sz val="10.0"/>
      <color rgb="FF000000"/>
      <name val="Calibri"/>
    </font>
    <font>
      <b/>
      <sz val="10.0"/>
      <color rgb="FF000000"/>
      <name val="Calibri"/>
    </font>
    <font>
      <u/>
      <sz val="10.0"/>
      <color rgb="FF0000FF"/>
      <name val="Century Gothic"/>
    </font>
    <font>
      <u/>
      <sz val="10.0"/>
      <color rgb="FF0000FF"/>
      <name val="Century Gothic"/>
    </font>
    <font>
      <u/>
      <sz val="10.0"/>
      <color rgb="FF0000FF"/>
      <name val="Century Gothic"/>
    </font>
    <font>
      <u/>
      <sz val="10.0"/>
      <color rgb="FF0000FF"/>
      <name val="Century Gothic"/>
    </font>
    <font>
      <u/>
      <sz val="10.0"/>
      <color rgb="FF0000FF"/>
      <name val="Century Gothic"/>
    </font>
    <font>
      <u/>
      <sz val="12.0"/>
      <color rgb="FF0000FF"/>
      <name val="Calibri"/>
    </font>
    <font>
      <u/>
      <sz val="12.0"/>
      <color rgb="FF0000FF"/>
      <name val="Calibri"/>
    </font>
    <font>
      <sz val="11.0"/>
      <color rgb="FF333333"/>
      <name val="Century Gothic"/>
    </font>
    <font>
      <u/>
      <sz val="12.0"/>
      <color rgb="FF0000FF"/>
      <name val="Calibri"/>
    </font>
    <font>
      <u/>
      <sz val="12.0"/>
      <color rgb="FF0000FF"/>
      <name val="Calibri"/>
    </font>
    <font>
      <u/>
      <sz val="12.0"/>
      <color rgb="FF0000FF"/>
      <name val="Calibri"/>
    </font>
    <font>
      <u/>
      <sz val="11.0"/>
      <color rgb="FF0000FF"/>
      <name val="Calibri"/>
    </font>
    <font>
      <u/>
      <sz val="11.0"/>
      <color rgb="FF0000FF"/>
      <name val="Calibri"/>
    </font>
    <font>
      <u/>
      <sz val="11.0"/>
      <color rgb="FF0000FF"/>
      <name val="Calibri"/>
    </font>
    <font>
      <u/>
      <sz val="10.0"/>
      <color rgb="FF0000FF"/>
      <name val="Century Gothic"/>
    </font>
    <font>
      <sz val="10.0"/>
      <color rgb="FF333333"/>
      <name val="Century Gothic"/>
    </font>
    <font>
      <u/>
      <sz val="10.0"/>
      <color rgb="FF000000"/>
      <name val="Century Gothic"/>
    </font>
    <font>
      <u/>
      <sz val="10.0"/>
      <color rgb="FF000000"/>
      <name val="Century Gothic"/>
    </font>
    <font>
      <i/>
      <sz val="10.0"/>
      <color rgb="FF000000"/>
      <name val="Century Gothic"/>
    </font>
    <font>
      <u/>
      <sz val="10.0"/>
      <color rgb="FF0000FF"/>
      <name val="Century Gothic"/>
    </font>
    <font>
      <u/>
      <sz val="12.0"/>
      <color rgb="FF0000FF"/>
      <name val="Calibri"/>
    </font>
    <font>
      <sz val="10.0"/>
      <color rgb="FF333333"/>
      <name val="Arial"/>
    </font>
    <font>
      <u/>
      <sz val="10.0"/>
      <color rgb="FF0000FF"/>
      <name val="Calibri"/>
    </font>
    <font>
      <sz val="10.0"/>
      <color rgb="FF737C89"/>
      <name val="Rambla"/>
    </font>
    <font>
      <sz val="10.0"/>
      <color rgb="FFE54EAA"/>
      <name val="Century Gothic"/>
    </font>
    <font>
      <u/>
      <sz val="10.0"/>
      <color rgb="FF0000FF"/>
      <name val="Century Gothic"/>
    </font>
    <font>
      <u/>
      <sz val="10.0"/>
      <name val="Century Gothic"/>
    </font>
  </fonts>
  <fills count="22">
    <fill>
      <patternFill patternType="none"/>
    </fill>
    <fill>
      <patternFill patternType="lightGray"/>
    </fill>
    <fill>
      <patternFill patternType="solid">
        <fgColor rgb="FFF2F2F2"/>
        <bgColor rgb="FFF2F2F2"/>
      </patternFill>
    </fill>
    <fill>
      <patternFill patternType="solid">
        <fgColor rgb="FFD8D8D8"/>
        <bgColor rgb="FFD8D8D8"/>
      </patternFill>
    </fill>
    <fill>
      <patternFill patternType="solid">
        <fgColor rgb="FFE5B8B7"/>
        <bgColor rgb="FFE5B8B7"/>
      </patternFill>
    </fill>
    <fill>
      <patternFill patternType="solid">
        <fgColor rgb="FFFBD4B4"/>
        <bgColor rgb="FFFBD4B4"/>
      </patternFill>
    </fill>
    <fill>
      <patternFill patternType="solid">
        <fgColor rgb="FFFFFD78"/>
        <bgColor rgb="FFFFFD78"/>
      </patternFill>
    </fill>
    <fill>
      <patternFill patternType="solid">
        <fgColor rgb="FFD6E3BC"/>
        <bgColor rgb="FFD6E3BC"/>
      </patternFill>
    </fill>
    <fill>
      <patternFill patternType="solid">
        <fgColor rgb="FFB6DDE8"/>
        <bgColor rgb="FFB6DDE8"/>
      </patternFill>
    </fill>
    <fill>
      <patternFill patternType="solid">
        <fgColor rgb="FFE5DFEC"/>
        <bgColor rgb="FFE5DFEC"/>
      </patternFill>
    </fill>
    <fill>
      <patternFill patternType="solid">
        <fgColor rgb="FFDBE5F1"/>
        <bgColor rgb="FFDBE5F1"/>
      </patternFill>
    </fill>
    <fill>
      <patternFill patternType="solid">
        <fgColor rgb="FFFFFFFF"/>
        <bgColor rgb="FFFFFFFF"/>
      </patternFill>
    </fill>
    <fill>
      <patternFill patternType="solid">
        <fgColor rgb="FFEEECE1"/>
        <bgColor rgb="FFEEECE1"/>
      </patternFill>
    </fill>
    <fill>
      <patternFill patternType="solid">
        <fgColor rgb="FFFFFF00"/>
        <bgColor rgb="FFFFFF00"/>
      </patternFill>
    </fill>
    <fill>
      <patternFill patternType="solid">
        <fgColor rgb="FFDDD9C3"/>
        <bgColor rgb="FFDDD9C3"/>
      </patternFill>
    </fill>
    <fill>
      <patternFill patternType="solid">
        <fgColor rgb="FFFF0000"/>
        <bgColor rgb="FFFF0000"/>
      </patternFill>
    </fill>
    <fill>
      <patternFill patternType="solid">
        <fgColor rgb="FFFDE9D9"/>
        <bgColor rgb="FFFDE9D9"/>
      </patternFill>
    </fill>
    <fill>
      <patternFill patternType="solid">
        <fgColor rgb="FFC2D69B"/>
        <bgColor rgb="FFC2D69B"/>
      </patternFill>
    </fill>
    <fill>
      <patternFill patternType="solid">
        <fgColor rgb="FFC4BD97"/>
        <bgColor rgb="FFC4BD97"/>
      </patternFill>
    </fill>
    <fill>
      <patternFill patternType="solid">
        <fgColor rgb="FF7030A0"/>
        <bgColor rgb="FF7030A0"/>
      </patternFill>
    </fill>
    <fill>
      <patternFill patternType="solid">
        <fgColor rgb="FF92D050"/>
        <bgColor rgb="FF92D050"/>
      </patternFill>
    </fill>
    <fill>
      <patternFill patternType="solid">
        <fgColor rgb="FFDAEEF3"/>
        <bgColor rgb="FFDAEEF3"/>
      </patternFill>
    </fill>
  </fills>
  <borders count="7">
    <border>
      <left/>
      <right/>
      <top/>
      <bottom/>
    </border>
    <border>
      <left style="thin">
        <color rgb="FFBFBFBF"/>
      </left>
      <right style="thin">
        <color rgb="FFBFBFBF"/>
      </right>
      <top style="thin">
        <color rgb="FFBFBFBF"/>
      </top>
      <bottom style="thin">
        <color rgb="FFBFBFBF"/>
      </bottom>
    </border>
    <border>
      <left style="thin">
        <color rgb="FFBFBFBF"/>
      </left>
      <right style="thin">
        <color rgb="FFBFBFBF"/>
      </right>
      <top/>
      <bottom/>
    </border>
    <border>
      <left style="thin">
        <color rgb="FFBFBFBF"/>
      </left>
      <right style="thin">
        <color rgb="FFBFBFBF"/>
      </right>
      <top style="thin">
        <color rgb="FFBFBFBF"/>
      </top>
      <bottom/>
    </border>
    <border>
      <left/>
      <right style="thin">
        <color rgb="FF000000"/>
      </right>
      <top/>
      <bottom/>
    </border>
    <border>
      <left style="thin">
        <color rgb="FF000000"/>
      </left>
      <right/>
      <top/>
      <bottom/>
    </border>
    <border>
      <left/>
      <right/>
      <top/>
      <bottom style="medium">
        <color rgb="FF000000"/>
      </bottom>
    </border>
  </borders>
  <cellStyleXfs count="1">
    <xf borderId="0" fillId="0" fontId="0" numFmtId="0" applyAlignment="1" applyFont="1"/>
  </cellStyleXfs>
  <cellXfs count="360">
    <xf borderId="0" fillId="0" fontId="0" numFmtId="0" xfId="0" applyAlignment="1" applyFont="1">
      <alignment/>
    </xf>
    <xf borderId="0" fillId="0" fontId="1" numFmtId="0" xfId="0" applyAlignment="1" applyFont="1">
      <alignment/>
    </xf>
    <xf borderId="0" fillId="0" fontId="2" numFmtId="0" xfId="0" applyFont="1"/>
    <xf borderId="0" fillId="2" fontId="3" numFmtId="0" xfId="0" applyAlignment="1" applyBorder="1" applyFill="1" applyFont="1">
      <alignment horizontal="left" vertical="center"/>
    </xf>
    <xf borderId="0" fillId="3" fontId="4" numFmtId="0" xfId="0" applyAlignment="1" applyBorder="1" applyFill="1" applyFont="1">
      <alignment horizontal="left" vertical="top" wrapText="1"/>
    </xf>
    <xf borderId="0" fillId="4" fontId="3" numFmtId="0" xfId="0" applyAlignment="1" applyBorder="1" applyFill="1" applyFont="1">
      <alignment horizontal="left" vertical="center"/>
    </xf>
    <xf borderId="0" fillId="0" fontId="5" numFmtId="0" xfId="0" applyAlignment="1" applyFont="1">
      <alignment horizontal="left" vertical="top"/>
    </xf>
    <xf borderId="0" fillId="5" fontId="3" numFmtId="0" xfId="0" applyAlignment="1" applyBorder="1" applyFill="1" applyFont="1">
      <alignment horizontal="left" vertical="center"/>
    </xf>
    <xf borderId="0" fillId="0" fontId="6" numFmtId="0" xfId="0" applyAlignment="1" applyFont="1">
      <alignment horizontal="left" vertical="center"/>
    </xf>
    <xf borderId="0" fillId="6" fontId="3" numFmtId="0" xfId="0" applyAlignment="1" applyBorder="1" applyFill="1" applyFont="1">
      <alignment horizontal="left" vertical="center"/>
    </xf>
    <xf borderId="0" fillId="7" fontId="3" numFmtId="0" xfId="0" applyAlignment="1" applyBorder="1" applyFill="1" applyFont="1">
      <alignment horizontal="left" vertical="center"/>
    </xf>
    <xf borderId="0" fillId="8" fontId="3" numFmtId="0" xfId="0" applyAlignment="1" applyBorder="1" applyFill="1" applyFont="1">
      <alignment horizontal="left" vertical="center"/>
    </xf>
    <xf borderId="0" fillId="9" fontId="3" numFmtId="0" xfId="0" applyAlignment="1" applyBorder="1" applyFill="1" applyFont="1">
      <alignment horizontal="left" vertical="center"/>
    </xf>
    <xf borderId="0" fillId="0" fontId="7" numFmtId="0" xfId="0" applyAlignment="1" applyFont="1">
      <alignment/>
    </xf>
    <xf borderId="0" fillId="3" fontId="3" numFmtId="0" xfId="0" applyAlignment="1" applyBorder="1" applyFont="1">
      <alignment horizontal="left" vertical="center"/>
    </xf>
    <xf borderId="0" fillId="0" fontId="2" numFmtId="0" xfId="0" applyAlignment="1" applyFont="1">
      <alignment horizontal="right"/>
    </xf>
    <xf borderId="0" fillId="10" fontId="3" numFmtId="0" xfId="0" applyAlignment="1" applyBorder="1" applyFill="1" applyFont="1">
      <alignment horizontal="left" vertical="center"/>
    </xf>
    <xf borderId="0" fillId="0" fontId="2" numFmtId="0" xfId="0" applyAlignment="1" applyFont="1">
      <alignment horizontal="left" vertical="center"/>
    </xf>
    <xf borderId="0" fillId="11" fontId="3" numFmtId="0" xfId="0" applyAlignment="1" applyBorder="1" applyFill="1" applyFont="1">
      <alignment horizontal="left" vertical="center"/>
    </xf>
    <xf borderId="0" fillId="0" fontId="4" numFmtId="0" xfId="0" applyAlignment="1" applyFont="1">
      <alignment horizontal="left" vertical="top" wrapText="1"/>
    </xf>
    <xf borderId="0" fillId="2" fontId="8" numFmtId="0" xfId="0" applyAlignment="1" applyBorder="1" applyFont="1">
      <alignment horizontal="left" vertical="center"/>
    </xf>
    <xf borderId="0" fillId="4" fontId="8" numFmtId="0" xfId="0" applyAlignment="1" applyBorder="1" applyFont="1">
      <alignment horizontal="left" vertical="center"/>
    </xf>
    <xf borderId="0" fillId="3" fontId="4" numFmtId="0" xfId="0" applyAlignment="1" applyBorder="1" applyFont="1">
      <alignment horizontal="left" vertical="top" wrapText="1"/>
    </xf>
    <xf borderId="0" fillId="5" fontId="8" numFmtId="0" xfId="0" applyAlignment="1" applyBorder="1" applyFont="1">
      <alignment horizontal="left" vertical="center"/>
    </xf>
    <xf borderId="0" fillId="6" fontId="8" numFmtId="0" xfId="0" applyAlignment="1" applyBorder="1" applyFont="1">
      <alignment horizontal="left" vertical="center"/>
    </xf>
    <xf borderId="0" fillId="0" fontId="2" numFmtId="0" xfId="0" applyAlignment="1" applyFont="1">
      <alignment/>
    </xf>
    <xf borderId="0" fillId="7" fontId="8" numFmtId="0" xfId="0" applyAlignment="1" applyBorder="1" applyFont="1">
      <alignment horizontal="left" vertical="center"/>
    </xf>
    <xf borderId="0" fillId="8" fontId="8" numFmtId="0" xfId="0" applyAlignment="1" applyBorder="1" applyFont="1">
      <alignment horizontal="left" vertical="center"/>
    </xf>
    <xf borderId="0" fillId="3" fontId="9" numFmtId="0" xfId="0" applyAlignment="1" applyBorder="1" applyFont="1">
      <alignment horizontal="left" vertical="center"/>
    </xf>
    <xf borderId="0" fillId="9" fontId="8" numFmtId="0" xfId="0" applyAlignment="1" applyBorder="1" applyFont="1">
      <alignment horizontal="left" vertical="center"/>
    </xf>
    <xf borderId="0" fillId="9" fontId="8" numFmtId="15" xfId="0" applyAlignment="1" applyBorder="1" applyFont="1" applyNumberFormat="1">
      <alignment horizontal="left" vertical="center"/>
    </xf>
    <xf borderId="0" fillId="0" fontId="10" numFmtId="0" xfId="0" applyAlignment="1" applyFont="1">
      <alignment horizontal="left" vertical="center"/>
    </xf>
    <xf borderId="0" fillId="3" fontId="8" numFmtId="0" xfId="0" applyAlignment="1" applyBorder="1" applyFont="1">
      <alignment horizontal="left" vertical="center"/>
    </xf>
    <xf borderId="0" fillId="10" fontId="8" numFmtId="0" xfId="0" applyAlignment="1" applyBorder="1" applyFont="1">
      <alignment horizontal="left" vertical="center"/>
    </xf>
    <xf borderId="0" fillId="12" fontId="8" numFmtId="0" xfId="0" applyAlignment="1" applyBorder="1" applyFill="1" applyFont="1">
      <alignment horizontal="left" vertical="center"/>
    </xf>
    <xf borderId="0" fillId="9" fontId="11" numFmtId="0" xfId="0" applyAlignment="1" applyBorder="1" applyFont="1">
      <alignment horizontal="left" vertical="center"/>
    </xf>
    <xf borderId="0" fillId="9" fontId="12" numFmtId="15" xfId="0" applyAlignment="1" applyBorder="1" applyFont="1" applyNumberFormat="1">
      <alignment horizontal="left" vertical="center"/>
    </xf>
    <xf borderId="0" fillId="0" fontId="9" numFmtId="0" xfId="0" applyAlignment="1" applyFont="1">
      <alignment horizontal="left" vertical="center"/>
    </xf>
    <xf borderId="0" fillId="0" fontId="9" numFmtId="0" xfId="0" applyAlignment="1" applyFont="1">
      <alignment horizontal="left" vertical="center"/>
    </xf>
    <xf borderId="0" fillId="0" fontId="13" numFmtId="0" xfId="0" applyAlignment="1" applyFont="1">
      <alignment horizontal="right" vertical="center"/>
    </xf>
    <xf borderId="0" fillId="13" fontId="9" numFmtId="0" xfId="0" applyAlignment="1" applyBorder="1" applyFill="1" applyFont="1">
      <alignment horizontal="left" vertical="center"/>
    </xf>
    <xf borderId="0" fillId="0" fontId="2" numFmtId="0" xfId="0" applyAlignment="1" applyFont="1">
      <alignment vertical="center"/>
    </xf>
    <xf borderId="0" fillId="0" fontId="9" numFmtId="15" xfId="0" applyAlignment="1" applyFont="1" applyNumberFormat="1">
      <alignment horizontal="left" vertical="center"/>
    </xf>
    <xf borderId="0" fillId="0" fontId="10" numFmtId="0" xfId="0" applyAlignment="1" applyFont="1">
      <alignment horizontal="right" vertical="center"/>
    </xf>
    <xf borderId="0" fillId="0" fontId="13" numFmtId="0" xfId="0" applyAlignment="1" applyFont="1">
      <alignment horizontal="left" vertical="center"/>
    </xf>
    <xf borderId="0" fillId="13" fontId="9" numFmtId="0" xfId="0" applyAlignment="1" applyFont="1">
      <alignment horizontal="left" vertical="center"/>
    </xf>
    <xf borderId="0" fillId="9" fontId="14" numFmtId="0" xfId="0" applyAlignment="1" applyBorder="1" applyFont="1">
      <alignment horizontal="left" vertical="center"/>
    </xf>
    <xf borderId="0" fillId="0" fontId="9" numFmtId="0" xfId="0" applyAlignment="1" applyBorder="1" applyFont="1">
      <alignment horizontal="left" vertical="center"/>
    </xf>
    <xf borderId="0" fillId="10" fontId="15" numFmtId="0" xfId="0" applyAlignment="1" applyBorder="1" applyFont="1">
      <alignment horizontal="left" vertical="center"/>
    </xf>
    <xf borderId="0" fillId="0" fontId="16" numFmtId="0" xfId="0" applyAlignment="1" applyFont="1">
      <alignment horizontal="left" vertical="center"/>
    </xf>
    <xf borderId="0" fillId="0" fontId="17" numFmtId="0" xfId="0" applyAlignment="1" applyFont="1">
      <alignment horizontal="left" vertical="center"/>
    </xf>
    <xf borderId="0" fillId="3" fontId="17" numFmtId="0" xfId="0" applyAlignment="1" applyBorder="1" applyFont="1">
      <alignment horizontal="left" vertical="center"/>
    </xf>
    <xf borderId="0" fillId="0" fontId="18" numFmtId="0" xfId="0" applyAlignment="1" applyFont="1">
      <alignment horizontal="left" vertical="center"/>
    </xf>
    <xf borderId="0" fillId="8" fontId="17" numFmtId="0" xfId="0" applyAlignment="1" applyBorder="1" applyFont="1">
      <alignment horizontal="left" vertical="center"/>
    </xf>
    <xf borderId="0" fillId="3" fontId="9" numFmtId="14" xfId="0" applyAlignment="1" applyBorder="1" applyFont="1" applyNumberFormat="1">
      <alignment horizontal="left" vertical="center"/>
    </xf>
    <xf borderId="0" fillId="0" fontId="9" numFmtId="164" xfId="0" applyAlignment="1" applyFont="1" applyNumberFormat="1">
      <alignment horizontal="left" vertical="center"/>
    </xf>
    <xf borderId="0" fillId="3" fontId="15" numFmtId="0" xfId="0" applyAlignment="1" applyBorder="1" applyFont="1">
      <alignment horizontal="left" vertical="center"/>
    </xf>
    <xf borderId="0" fillId="14" fontId="8" numFmtId="0" xfId="0" applyAlignment="1" applyBorder="1" applyFill="1" applyFont="1">
      <alignment horizontal="left" vertical="center"/>
    </xf>
    <xf borderId="0" fillId="13" fontId="8" numFmtId="0" xfId="0" applyAlignment="1" applyBorder="1" applyFont="1">
      <alignment horizontal="left" vertical="center"/>
    </xf>
    <xf borderId="0" fillId="14" fontId="3" numFmtId="0" xfId="0" applyAlignment="1" applyBorder="1" applyFont="1">
      <alignment horizontal="left" vertical="center"/>
    </xf>
    <xf borderId="0" fillId="0" fontId="3" numFmtId="0" xfId="0" applyAlignment="1" applyFont="1">
      <alignment horizontal="left" vertical="center"/>
    </xf>
    <xf borderId="0" fillId="0" fontId="9" numFmtId="1" xfId="0" applyAlignment="1" applyFont="1" applyNumberFormat="1">
      <alignment horizontal="left" vertical="center"/>
    </xf>
    <xf borderId="0" fillId="0" fontId="8" numFmtId="0" xfId="0" applyAlignment="1" applyFont="1">
      <alignment horizontal="left" vertical="center"/>
    </xf>
    <xf borderId="0" fillId="9" fontId="15" numFmtId="0" xfId="0" applyAlignment="1" applyBorder="1" applyFont="1">
      <alignment horizontal="left" vertical="center"/>
    </xf>
    <xf borderId="0" fillId="11" fontId="8" numFmtId="0" xfId="0" applyAlignment="1" applyBorder="1" applyFont="1">
      <alignment horizontal="left" vertical="center"/>
    </xf>
    <xf borderId="0" fillId="15" fontId="9" numFmtId="0" xfId="0" applyAlignment="1" applyFill="1" applyFont="1">
      <alignment horizontal="left" vertical="center"/>
    </xf>
    <xf borderId="0" fillId="3" fontId="9" numFmtId="17" xfId="0" applyAlignment="1" applyBorder="1" applyFont="1" applyNumberFormat="1">
      <alignment horizontal="left" vertical="center"/>
    </xf>
    <xf borderId="0" fillId="13" fontId="8" numFmtId="0" xfId="0" applyAlignment="1" applyFont="1">
      <alignment horizontal="left" vertical="center"/>
    </xf>
    <xf borderId="0" fillId="0" fontId="8" numFmtId="15" xfId="0" applyAlignment="1" applyFont="1" applyNumberFormat="1">
      <alignment horizontal="left" vertical="center"/>
    </xf>
    <xf borderId="0" fillId="0" fontId="15" numFmtId="0" xfId="0" applyAlignment="1" applyFont="1">
      <alignment horizontal="left" vertical="center"/>
    </xf>
    <xf borderId="0" fillId="3" fontId="4" numFmtId="0" xfId="0" applyAlignment="1" applyBorder="1" applyFont="1">
      <alignment horizontal="left" vertical="center"/>
    </xf>
    <xf borderId="0" fillId="3" fontId="9" numFmtId="1" xfId="0" applyAlignment="1" applyBorder="1" applyFont="1" applyNumberFormat="1">
      <alignment horizontal="left" vertical="center"/>
    </xf>
    <xf borderId="0" fillId="0" fontId="19" numFmtId="0" xfId="0" applyAlignment="1" applyFont="1">
      <alignment horizontal="left" vertical="center"/>
    </xf>
    <xf borderId="0" fillId="0" fontId="4" numFmtId="0" xfId="0" applyAlignment="1" applyFont="1">
      <alignment horizontal="center" vertical="top"/>
    </xf>
    <xf borderId="0" fillId="0" fontId="20" numFmtId="15" xfId="0" applyAlignment="1" applyFont="1" applyNumberFormat="1">
      <alignment horizontal="left" vertical="center"/>
    </xf>
    <xf borderId="0" fillId="13" fontId="4" numFmtId="0" xfId="0" applyAlignment="1" applyBorder="1" applyFont="1">
      <alignment horizontal="center" vertical="top"/>
    </xf>
    <xf borderId="0" fillId="3" fontId="4" numFmtId="0" xfId="0" applyAlignment="1" applyBorder="1" applyFont="1">
      <alignment horizontal="center" vertical="top"/>
    </xf>
    <xf borderId="0" fillId="0" fontId="4" numFmtId="164" xfId="0" applyAlignment="1" applyFont="1" applyNumberFormat="1">
      <alignment horizontal="center" vertical="top"/>
    </xf>
    <xf borderId="0" fillId="3" fontId="4" numFmtId="164" xfId="0" applyAlignment="1" applyBorder="1" applyFont="1" applyNumberFormat="1">
      <alignment horizontal="center" vertical="top"/>
    </xf>
    <xf borderId="0" fillId="0" fontId="9" numFmtId="0" xfId="0" applyAlignment="1" applyFont="1">
      <alignment vertical="top"/>
    </xf>
    <xf borderId="0" fillId="13" fontId="9" numFmtId="0" xfId="0" applyAlignment="1" applyBorder="1" applyFont="1">
      <alignment vertical="top"/>
    </xf>
    <xf borderId="0" fillId="3" fontId="9" numFmtId="0" xfId="0" applyAlignment="1" applyBorder="1" applyFont="1">
      <alignment vertical="top"/>
    </xf>
    <xf borderId="0" fillId="0" fontId="3" numFmtId="0" xfId="0" applyAlignment="1" applyFont="1">
      <alignment horizontal="center" vertical="top" wrapText="1"/>
    </xf>
    <xf borderId="0" fillId="0" fontId="9" numFmtId="164" xfId="0" applyAlignment="1" applyFont="1" applyNumberFormat="1">
      <alignment vertical="top"/>
    </xf>
    <xf borderId="0" fillId="0" fontId="4" numFmtId="0" xfId="0" applyAlignment="1" applyFont="1">
      <alignment horizontal="center" vertical="top" wrapText="1"/>
    </xf>
    <xf borderId="0" fillId="0" fontId="3" numFmtId="164" xfId="0" applyAlignment="1" applyFont="1" applyNumberFormat="1">
      <alignment horizontal="center" vertical="top" wrapText="1"/>
    </xf>
    <xf borderId="0" fillId="0" fontId="21" numFmtId="0" xfId="0" applyAlignment="1" applyFont="1">
      <alignment vertical="top"/>
    </xf>
    <xf borderId="0" fillId="0" fontId="8" numFmtId="0" xfId="0" applyAlignment="1" applyFont="1">
      <alignment vertical="top"/>
    </xf>
    <xf borderId="0" fillId="3" fontId="9" numFmtId="14" xfId="0" applyAlignment="1" applyBorder="1" applyFont="1" applyNumberFormat="1">
      <alignment vertical="top"/>
    </xf>
    <xf borderId="0" fillId="0" fontId="8" numFmtId="164" xfId="0" applyAlignment="1" applyFont="1" applyNumberFormat="1">
      <alignment vertical="top"/>
    </xf>
    <xf borderId="0" fillId="0" fontId="22" numFmtId="0" xfId="0" applyAlignment="1" applyFont="1">
      <alignment vertical="top"/>
    </xf>
    <xf borderId="0" fillId="0" fontId="8" numFmtId="14" xfId="0" applyAlignment="1" applyFont="1" applyNumberFormat="1">
      <alignment vertical="top"/>
    </xf>
    <xf borderId="0" fillId="0" fontId="8" numFmtId="1" xfId="0" applyAlignment="1" applyFont="1" applyNumberFormat="1">
      <alignment vertical="top"/>
    </xf>
    <xf borderId="0" fillId="3" fontId="9" numFmtId="17" xfId="0" applyAlignment="1" applyBorder="1" applyFont="1" applyNumberFormat="1">
      <alignment vertical="top"/>
    </xf>
    <xf borderId="0" fillId="0" fontId="9" numFmtId="1" xfId="0" applyAlignment="1" applyFont="1" applyNumberFormat="1">
      <alignment vertical="top"/>
    </xf>
    <xf borderId="0" fillId="3" fontId="23" numFmtId="0" xfId="0" applyAlignment="1" applyBorder="1" applyFont="1">
      <alignment horizontal="left" vertical="center"/>
    </xf>
    <xf borderId="0" fillId="3" fontId="24" numFmtId="14" xfId="0" applyAlignment="1" applyBorder="1" applyFont="1" applyNumberFormat="1">
      <alignment vertical="top"/>
    </xf>
    <xf borderId="0" fillId="0" fontId="25" numFmtId="164" xfId="0" applyAlignment="1" applyFont="1" applyNumberFormat="1">
      <alignment vertical="top"/>
    </xf>
    <xf borderId="0" fillId="0" fontId="3" numFmtId="0" xfId="0" applyAlignment="1" applyFont="1">
      <alignment vertical="top"/>
    </xf>
    <xf borderId="0" fillId="0" fontId="9" numFmtId="14" xfId="0" applyAlignment="1" applyFont="1" applyNumberFormat="1">
      <alignment horizontal="left" vertical="center"/>
    </xf>
    <xf borderId="0" fillId="0" fontId="8" numFmtId="17" xfId="0" applyAlignment="1" applyFont="1" applyNumberFormat="1">
      <alignment vertical="top"/>
    </xf>
    <xf borderId="0" fillId="0" fontId="26" numFmtId="14" xfId="0" applyAlignment="1" applyFont="1" applyNumberFormat="1">
      <alignment vertical="top"/>
    </xf>
    <xf borderId="0" fillId="3" fontId="4" numFmtId="0" xfId="0" applyAlignment="1" applyBorder="1" applyFont="1">
      <alignment vertical="top"/>
    </xf>
    <xf borderId="0" fillId="3" fontId="27" numFmtId="14" xfId="0" applyAlignment="1" applyBorder="1" applyFont="1" applyNumberFormat="1">
      <alignment horizontal="left" vertical="center"/>
    </xf>
    <xf borderId="0" fillId="0" fontId="15" numFmtId="0" xfId="0" applyAlignment="1" applyFont="1">
      <alignment vertical="top"/>
    </xf>
    <xf borderId="0" fillId="0" fontId="9" numFmtId="15" xfId="0" applyAlignment="1" applyFont="1" applyNumberFormat="1">
      <alignment vertical="top"/>
    </xf>
    <xf borderId="0" fillId="3" fontId="28" numFmtId="0" xfId="0" applyAlignment="1" applyBorder="1" applyFont="1">
      <alignment vertical="top"/>
    </xf>
    <xf borderId="0" fillId="0" fontId="8" numFmtId="15" xfId="0" applyAlignment="1" applyFont="1" applyNumberFormat="1">
      <alignment vertical="top"/>
    </xf>
    <xf borderId="0" fillId="0" fontId="29" numFmtId="164" xfId="0" applyAlignment="1" applyFont="1" applyNumberFormat="1">
      <alignment vertical="top"/>
    </xf>
    <xf borderId="0" fillId="0" fontId="8" numFmtId="0" xfId="0" applyAlignment="1" applyFont="1">
      <alignment horizontal="left" vertical="top"/>
    </xf>
    <xf borderId="0" fillId="0" fontId="8" numFmtId="164" xfId="0" applyAlignment="1" applyFont="1" applyNumberFormat="1">
      <alignment horizontal="left" vertical="top"/>
    </xf>
    <xf borderId="0" fillId="0" fontId="30" numFmtId="0" xfId="0" applyAlignment="1" applyFont="1">
      <alignment horizontal="left" vertical="top"/>
    </xf>
    <xf borderId="0" fillId="0" fontId="8" numFmtId="14" xfId="0" applyAlignment="1" applyFont="1" applyNumberFormat="1">
      <alignment horizontal="left" vertical="top"/>
    </xf>
    <xf borderId="0" fillId="15" fontId="31" numFmtId="0" xfId="0" applyAlignment="1" applyBorder="1" applyFont="1">
      <alignment vertical="top"/>
    </xf>
    <xf borderId="0" fillId="15" fontId="31" numFmtId="164" xfId="0" applyAlignment="1" applyBorder="1" applyFont="1" applyNumberFormat="1">
      <alignment vertical="top"/>
    </xf>
    <xf borderId="0" fillId="15" fontId="32" numFmtId="0" xfId="0" applyAlignment="1" applyBorder="1" applyFont="1">
      <alignment vertical="top"/>
    </xf>
    <xf borderId="0" fillId="15" fontId="33" numFmtId="0" xfId="0" applyAlignment="1" applyBorder="1" applyFont="1">
      <alignment vertical="top"/>
    </xf>
    <xf borderId="0" fillId="0" fontId="9" numFmtId="0" xfId="0" applyAlignment="1" applyFont="1">
      <alignment vertical="top" wrapText="1"/>
    </xf>
    <xf borderId="0" fillId="13" fontId="8" numFmtId="0" xfId="0" applyAlignment="1" applyBorder="1" applyFont="1">
      <alignment vertical="top"/>
    </xf>
    <xf borderId="0" fillId="0" fontId="9" numFmtId="14" xfId="0" applyAlignment="1" applyFont="1" applyNumberFormat="1">
      <alignment vertical="top"/>
    </xf>
    <xf borderId="0" fillId="3" fontId="4" numFmtId="0" xfId="0" applyAlignment="1" applyBorder="1" applyFont="1">
      <alignment horizontal="left" vertical="top"/>
    </xf>
    <xf borderId="0" fillId="0" fontId="4" numFmtId="0" xfId="0" applyAlignment="1" applyFont="1">
      <alignment horizontal="left" vertical="top"/>
    </xf>
    <xf borderId="0" fillId="13" fontId="4" numFmtId="0" xfId="0" applyAlignment="1" applyBorder="1" applyFont="1">
      <alignment horizontal="left" vertical="top"/>
    </xf>
    <xf borderId="0" fillId="3" fontId="9" numFmtId="0" xfId="0" applyAlignment="1" applyBorder="1" applyFont="1">
      <alignment horizontal="left" vertical="top"/>
    </xf>
    <xf borderId="0" fillId="0" fontId="9" numFmtId="0" xfId="0" applyAlignment="1" applyFont="1">
      <alignment horizontal="left" vertical="top"/>
    </xf>
    <xf borderId="0" fillId="13" fontId="9" numFmtId="0" xfId="0" applyAlignment="1" applyBorder="1" applyFont="1">
      <alignment horizontal="left" vertical="top"/>
    </xf>
    <xf borderId="0" fillId="0" fontId="9" numFmtId="1" xfId="0" applyAlignment="1" applyFont="1" applyNumberFormat="1">
      <alignment horizontal="left" vertical="top"/>
    </xf>
    <xf borderId="0" fillId="3" fontId="34" numFmtId="0" xfId="0" applyAlignment="1" applyBorder="1" applyFont="1">
      <alignment horizontal="left" vertical="top"/>
    </xf>
    <xf borderId="0" fillId="3" fontId="9" numFmtId="1" xfId="0" applyAlignment="1" applyBorder="1" applyFont="1" applyNumberFormat="1">
      <alignment horizontal="left" vertical="top"/>
    </xf>
    <xf borderId="0" fillId="3" fontId="9" numFmtId="14" xfId="0" applyAlignment="1" applyBorder="1" applyFont="1" applyNumberFormat="1">
      <alignment horizontal="left" vertical="top"/>
    </xf>
    <xf borderId="0" fillId="0" fontId="9" numFmtId="0" xfId="0" applyAlignment="1" applyFont="1">
      <alignment horizontal="left" vertical="top" wrapText="1"/>
    </xf>
    <xf borderId="0" fillId="0" fontId="35" numFmtId="0" xfId="0" applyAlignment="1" applyFont="1">
      <alignment horizontal="left" vertical="top"/>
    </xf>
    <xf borderId="0" fillId="5" fontId="9" numFmtId="0" xfId="0" applyAlignment="1" applyBorder="1" applyFont="1">
      <alignment horizontal="left" vertical="top"/>
    </xf>
    <xf borderId="0" fillId="15" fontId="8" numFmtId="0" xfId="0" applyAlignment="1" applyFont="1">
      <alignment horizontal="left" vertical="center"/>
    </xf>
    <xf borderId="0" fillId="16" fontId="9" numFmtId="0" xfId="0" applyAlignment="1" applyBorder="1" applyFill="1" applyFont="1">
      <alignment vertical="top"/>
    </xf>
    <xf borderId="0" fillId="0" fontId="9" numFmtId="17" xfId="0" applyAlignment="1" applyFont="1" applyNumberFormat="1">
      <alignment vertical="top"/>
    </xf>
    <xf borderId="0" fillId="15" fontId="9" numFmtId="0" xfId="0" applyAlignment="1" applyBorder="1" applyFont="1">
      <alignment horizontal="left" vertical="center"/>
    </xf>
    <xf borderId="0" fillId="0" fontId="9" numFmtId="14" xfId="0" applyAlignment="1" applyFont="1" applyNumberFormat="1">
      <alignment horizontal="left" vertical="top"/>
    </xf>
    <xf borderId="0" fillId="13" fontId="9" numFmtId="14" xfId="0" applyAlignment="1" applyBorder="1" applyFont="1" applyNumberFormat="1">
      <alignment vertical="top"/>
    </xf>
    <xf borderId="0" fillId="11" fontId="9" numFmtId="0" xfId="0" applyAlignment="1" applyBorder="1" applyFont="1">
      <alignment horizontal="left" vertical="top"/>
    </xf>
    <xf borderId="0" fillId="3" fontId="15" numFmtId="0" xfId="0" applyAlignment="1" applyBorder="1" applyFont="1">
      <alignment horizontal="left" vertical="top"/>
    </xf>
    <xf borderId="0" fillId="13" fontId="15" numFmtId="0" xfId="0" applyAlignment="1" applyBorder="1" applyFont="1">
      <alignment horizontal="left" vertical="center"/>
    </xf>
    <xf borderId="0" fillId="0" fontId="36" numFmtId="164" xfId="0" applyAlignment="1" applyFont="1" applyNumberFormat="1">
      <alignment horizontal="left" vertical="center"/>
    </xf>
    <xf borderId="0" fillId="0" fontId="9" numFmtId="17" xfId="0" applyAlignment="1" applyFont="1" applyNumberFormat="1">
      <alignment horizontal="left" vertical="center"/>
    </xf>
    <xf borderId="1" fillId="0" fontId="3" numFmtId="0" xfId="0" applyAlignment="1" applyBorder="1" applyFont="1">
      <alignment horizontal="left" vertical="top" wrapText="1"/>
    </xf>
    <xf borderId="1" fillId="5" fontId="3" numFmtId="0" xfId="0" applyAlignment="1" applyBorder="1" applyFont="1">
      <alignment horizontal="left" vertical="top" wrapText="1"/>
    </xf>
    <xf borderId="1" fillId="0" fontId="8" numFmtId="0" xfId="0" applyAlignment="1" applyBorder="1" applyFont="1">
      <alignment horizontal="left" vertical="top"/>
    </xf>
    <xf borderId="1" fillId="5" fontId="8" numFmtId="0" xfId="0" applyAlignment="1" applyBorder="1" applyFont="1">
      <alignment horizontal="left" vertical="top"/>
    </xf>
    <xf borderId="1" fillId="0" fontId="8" numFmtId="0" xfId="0" applyBorder="1" applyFont="1"/>
    <xf borderId="1" fillId="3" fontId="8" numFmtId="0" xfId="0" applyAlignment="1" applyBorder="1" applyFont="1">
      <alignment horizontal="left" vertical="top"/>
    </xf>
    <xf borderId="1" fillId="0" fontId="37" numFmtId="0" xfId="0" applyAlignment="1" applyBorder="1" applyFont="1">
      <alignment horizontal="left" vertical="top"/>
    </xf>
    <xf borderId="1" fillId="13" fontId="8" numFmtId="0" xfId="0" applyAlignment="1" applyBorder="1" applyFont="1">
      <alignment horizontal="left" vertical="top"/>
    </xf>
    <xf borderId="1" fillId="0" fontId="8" numFmtId="164" xfId="0" applyAlignment="1" applyBorder="1" applyFont="1" applyNumberFormat="1">
      <alignment horizontal="left" vertical="top"/>
    </xf>
    <xf borderId="1" fillId="0" fontId="8" numFmtId="14" xfId="0" applyAlignment="1" applyBorder="1" applyFont="1" applyNumberFormat="1">
      <alignment horizontal="left" vertical="top"/>
    </xf>
    <xf borderId="1" fillId="11" fontId="8" numFmtId="0" xfId="0" applyAlignment="1" applyBorder="1" applyFont="1">
      <alignment horizontal="left" vertical="top"/>
    </xf>
    <xf borderId="0" fillId="0" fontId="38" numFmtId="0" xfId="0" applyFont="1"/>
    <xf borderId="1" fillId="17" fontId="8" numFmtId="0" xfId="0" applyAlignment="1" applyBorder="1" applyFill="1" applyFont="1">
      <alignment horizontal="left" vertical="top"/>
    </xf>
    <xf borderId="1" fillId="0" fontId="9" numFmtId="0" xfId="0" applyAlignment="1" applyBorder="1" applyFont="1">
      <alignment horizontal="left" vertical="top"/>
    </xf>
    <xf borderId="1" fillId="8" fontId="8" numFmtId="0" xfId="0" applyAlignment="1" applyBorder="1" applyFont="1">
      <alignment horizontal="left" vertical="top"/>
    </xf>
    <xf borderId="1" fillId="0" fontId="8" numFmtId="0" xfId="0" applyAlignment="1" applyBorder="1" applyFont="1">
      <alignment horizontal="left" vertical="top" wrapText="1"/>
    </xf>
    <xf borderId="1" fillId="0" fontId="8" numFmtId="1" xfId="0" applyAlignment="1" applyBorder="1" applyFont="1" applyNumberFormat="1">
      <alignment horizontal="left" vertical="top"/>
    </xf>
    <xf borderId="1" fillId="13" fontId="15" numFmtId="0" xfId="0" applyAlignment="1" applyBorder="1" applyFont="1">
      <alignment horizontal="left" vertical="top"/>
    </xf>
    <xf borderId="0" fillId="14" fontId="9" numFmtId="0" xfId="0" applyAlignment="1" applyBorder="1" applyFont="1">
      <alignment horizontal="left" vertical="top"/>
    </xf>
    <xf borderId="0" fillId="0" fontId="15" numFmtId="0" xfId="0" applyAlignment="1" applyFont="1">
      <alignment horizontal="left" vertical="top"/>
    </xf>
    <xf borderId="0" fillId="18" fontId="9" numFmtId="0" xfId="0" applyAlignment="1" applyBorder="1" applyFill="1" applyFont="1">
      <alignment horizontal="left" vertical="top"/>
    </xf>
    <xf borderId="0" fillId="14" fontId="39" numFmtId="0" xfId="0" applyAlignment="1" applyBorder="1" applyFont="1">
      <alignment horizontal="left" vertical="top"/>
    </xf>
    <xf borderId="1" fillId="2" fontId="3" numFmtId="0" xfId="0" applyAlignment="1" applyBorder="1" applyFont="1">
      <alignment horizontal="left" vertical="top" wrapText="1"/>
    </xf>
    <xf borderId="1" fillId="4" fontId="3" numFmtId="0" xfId="0" applyAlignment="1" applyBorder="1" applyFont="1">
      <alignment horizontal="left" vertical="top" wrapText="1"/>
    </xf>
    <xf borderId="1" fillId="6" fontId="3" numFmtId="0" xfId="0" applyAlignment="1" applyBorder="1" applyFont="1">
      <alignment horizontal="left" vertical="top" wrapText="1"/>
    </xf>
    <xf borderId="1" fillId="7" fontId="3" numFmtId="0" xfId="0" applyAlignment="1" applyBorder="1" applyFont="1">
      <alignment horizontal="left" vertical="top" wrapText="1"/>
    </xf>
    <xf borderId="1" fillId="8" fontId="3" numFmtId="0" xfId="0" applyAlignment="1" applyBorder="1" applyFont="1">
      <alignment horizontal="left" vertical="top" wrapText="1"/>
    </xf>
    <xf borderId="1" fillId="9" fontId="3" numFmtId="0" xfId="0" applyAlignment="1" applyBorder="1" applyFont="1">
      <alignment horizontal="left" vertical="top" wrapText="1"/>
    </xf>
    <xf borderId="1" fillId="3" fontId="3" numFmtId="0" xfId="0" applyAlignment="1" applyBorder="1" applyFont="1">
      <alignment horizontal="left" vertical="top" wrapText="1"/>
    </xf>
    <xf borderId="1" fillId="10" fontId="3" numFmtId="0" xfId="0" applyAlignment="1" applyBorder="1" applyFont="1">
      <alignment horizontal="center" vertical="center" wrapText="1"/>
    </xf>
    <xf borderId="1" fillId="10" fontId="3" numFmtId="0" xfId="0" applyAlignment="1" applyBorder="1" applyFont="1">
      <alignment horizontal="left" vertical="top" wrapText="1"/>
    </xf>
    <xf borderId="1" fillId="2" fontId="8" numFmtId="0" xfId="0" applyBorder="1" applyFont="1"/>
    <xf borderId="1" fillId="4" fontId="8" numFmtId="0" xfId="0" applyBorder="1" applyFont="1"/>
    <xf borderId="1" fillId="5" fontId="8" numFmtId="0" xfId="0" applyBorder="1" applyFont="1"/>
    <xf borderId="1" fillId="5" fontId="40" numFmtId="0" xfId="0" applyBorder="1" applyFont="1"/>
    <xf borderId="1" fillId="6" fontId="8" numFmtId="0" xfId="0" applyBorder="1" applyFont="1"/>
    <xf borderId="1" fillId="7" fontId="8" numFmtId="0" xfId="0" applyAlignment="1" applyBorder="1" applyFont="1">
      <alignment horizontal="left" vertical="top" wrapText="1"/>
    </xf>
    <xf borderId="1" fillId="8" fontId="8" numFmtId="0" xfId="0" applyAlignment="1" applyBorder="1" applyFont="1">
      <alignment horizontal="left" vertical="top" wrapText="1"/>
    </xf>
    <xf borderId="1" fillId="8" fontId="40" numFmtId="0" xfId="0" applyBorder="1" applyFont="1"/>
    <xf borderId="1" fillId="9" fontId="40" numFmtId="0" xfId="0" applyBorder="1" applyFont="1"/>
    <xf borderId="1" fillId="3" fontId="8" numFmtId="0" xfId="0" applyBorder="1" applyFont="1"/>
    <xf borderId="1" fillId="10" fontId="8" numFmtId="0" xfId="0" applyAlignment="1" applyBorder="1" applyFont="1">
      <alignment horizontal="center" vertical="center" wrapText="1"/>
    </xf>
    <xf borderId="1" fillId="10" fontId="8" numFmtId="0" xfId="0" applyAlignment="1" applyBorder="1" applyFont="1">
      <alignment horizontal="left" vertical="top" wrapText="1"/>
    </xf>
    <xf borderId="1" fillId="0" fontId="40" numFmtId="0" xfId="0" applyBorder="1" applyFont="1"/>
    <xf borderId="0" fillId="0" fontId="0" numFmtId="0" xfId="0" applyFont="1"/>
    <xf borderId="1" fillId="8" fontId="8" numFmtId="0" xfId="0" applyAlignment="1" applyBorder="1" applyFont="1">
      <alignment wrapText="1"/>
    </xf>
    <xf borderId="1" fillId="8" fontId="0" numFmtId="0" xfId="0" applyBorder="1" applyFont="1"/>
    <xf borderId="1" fillId="9" fontId="0" numFmtId="0" xfId="0" applyBorder="1" applyFont="1"/>
    <xf borderId="1" fillId="3" fontId="0" numFmtId="0" xfId="0" applyBorder="1" applyFont="1"/>
    <xf borderId="1" fillId="0" fontId="0" numFmtId="0" xfId="0" applyBorder="1" applyFont="1"/>
    <xf borderId="1" fillId="5" fontId="8" numFmtId="0" xfId="0" applyAlignment="1" applyBorder="1" applyFont="1">
      <alignment wrapText="1"/>
    </xf>
    <xf borderId="1" fillId="8" fontId="8" numFmtId="0" xfId="0" applyBorder="1" applyFont="1"/>
    <xf borderId="1" fillId="9" fontId="8" numFmtId="0" xfId="0" applyBorder="1" applyFont="1"/>
    <xf borderId="2" fillId="3" fontId="8" numFmtId="0" xfId="0" applyBorder="1" applyFont="1"/>
    <xf borderId="1" fillId="10" fontId="3" numFmtId="0" xfId="0" applyAlignment="1" applyBorder="1" applyFont="1">
      <alignment horizontal="center" vertical="center"/>
    </xf>
    <xf borderId="1" fillId="10" fontId="8" numFmtId="0" xfId="0" applyAlignment="1" applyBorder="1" applyFont="1">
      <alignment wrapText="1"/>
    </xf>
    <xf borderId="0" fillId="0" fontId="8" numFmtId="0" xfId="0" applyFont="1"/>
    <xf borderId="1" fillId="4" fontId="8" numFmtId="0" xfId="0" applyAlignment="1" applyBorder="1" applyFont="1">
      <alignment wrapText="1"/>
    </xf>
    <xf borderId="0" fillId="7" fontId="8" numFmtId="0" xfId="0" applyBorder="1" applyFont="1"/>
    <xf borderId="2" fillId="10" fontId="8" numFmtId="0" xfId="0" applyAlignment="1" applyBorder="1" applyFont="1">
      <alignment wrapText="1"/>
    </xf>
    <xf borderId="0" fillId="0" fontId="8" numFmtId="0" xfId="0" applyAlignment="1" applyFont="1">
      <alignment wrapText="1"/>
    </xf>
    <xf borderId="2" fillId="3" fontId="8" numFmtId="0" xfId="0" applyAlignment="1" applyBorder="1" applyFont="1">
      <alignment wrapText="1"/>
    </xf>
    <xf borderId="1" fillId="9" fontId="8" numFmtId="15" xfId="0" applyBorder="1" applyFont="1" applyNumberFormat="1"/>
    <xf borderId="1" fillId="9" fontId="8" numFmtId="0" xfId="0" applyAlignment="1" applyBorder="1" applyFont="1">
      <alignment wrapText="1"/>
    </xf>
    <xf borderId="1" fillId="2" fontId="3" numFmtId="0" xfId="0" applyBorder="1" applyFont="1"/>
    <xf borderId="1" fillId="4" fontId="3" numFmtId="0" xfId="0" applyBorder="1" applyFont="1"/>
    <xf borderId="1" fillId="5" fontId="3" numFmtId="0" xfId="0" applyBorder="1" applyFont="1"/>
    <xf borderId="1" fillId="5" fontId="41" numFmtId="0" xfId="0" applyBorder="1" applyFont="1"/>
    <xf borderId="1" fillId="6" fontId="3" numFmtId="0" xfId="0" applyBorder="1" applyFont="1"/>
    <xf borderId="1" fillId="8" fontId="3" numFmtId="0" xfId="0" applyAlignment="1" applyBorder="1" applyFont="1">
      <alignment wrapText="1"/>
    </xf>
    <xf borderId="1" fillId="8" fontId="41" numFmtId="0" xfId="0" applyBorder="1" applyFont="1"/>
    <xf borderId="1" fillId="9" fontId="41" numFmtId="0" xfId="0" applyBorder="1" applyFont="1"/>
    <xf borderId="2" fillId="3" fontId="3" numFmtId="0" xfId="0" applyAlignment="1" applyBorder="1" applyFont="1">
      <alignment wrapText="1"/>
    </xf>
    <xf borderId="1" fillId="10" fontId="3" numFmtId="0" xfId="0" applyAlignment="1" applyBorder="1" applyFont="1">
      <alignment wrapText="1"/>
    </xf>
    <xf borderId="0" fillId="0" fontId="3" numFmtId="0" xfId="0" applyAlignment="1" applyFont="1">
      <alignment wrapText="1"/>
    </xf>
    <xf borderId="0" fillId="0" fontId="41" numFmtId="0" xfId="0" applyFont="1"/>
    <xf borderId="1" fillId="8" fontId="40" numFmtId="0" xfId="0" applyAlignment="1" applyBorder="1" applyFont="1">
      <alignment wrapText="1"/>
    </xf>
    <xf borderId="2" fillId="3" fontId="40" numFmtId="0" xfId="0" applyAlignment="1" applyBorder="1" applyFont="1">
      <alignment wrapText="1"/>
    </xf>
    <xf borderId="1" fillId="10" fontId="41" numFmtId="0" xfId="0" applyAlignment="1" applyBorder="1" applyFont="1">
      <alignment horizontal="center" vertical="center"/>
    </xf>
    <xf borderId="1" fillId="10" fontId="40" numFmtId="0" xfId="0" applyAlignment="1" applyBorder="1" applyFont="1">
      <alignment wrapText="1"/>
    </xf>
    <xf borderId="0" fillId="0" fontId="40" numFmtId="0" xfId="0" applyFont="1"/>
    <xf borderId="0" fillId="7" fontId="8" numFmtId="0" xfId="0" applyAlignment="1" applyBorder="1" applyFont="1">
      <alignment horizontal="left" vertical="top" wrapText="1"/>
    </xf>
    <xf borderId="0" fillId="9" fontId="8" numFmtId="0" xfId="0" applyAlignment="1" applyBorder="1" applyFont="1">
      <alignment wrapText="1"/>
    </xf>
    <xf borderId="0" fillId="3" fontId="8" numFmtId="0" xfId="0" applyAlignment="1" applyBorder="1" applyFont="1">
      <alignment vertical="center" wrapText="1"/>
    </xf>
    <xf borderId="0" fillId="8" fontId="8" numFmtId="0" xfId="0" applyAlignment="1" applyBorder="1" applyFont="1">
      <alignment wrapText="1"/>
    </xf>
    <xf borderId="0" fillId="9" fontId="42" numFmtId="0" xfId="0" applyAlignment="1" applyBorder="1" applyFont="1">
      <alignment horizontal="left" vertical="center" wrapText="1"/>
    </xf>
    <xf borderId="1" fillId="9" fontId="15" numFmtId="0" xfId="0" applyAlignment="1" applyBorder="1" applyFont="1">
      <alignment wrapText="1"/>
    </xf>
    <xf borderId="0" fillId="9" fontId="43" numFmtId="0" xfId="0" applyAlignment="1" applyBorder="1" applyFont="1">
      <alignment vertical="top" wrapText="1"/>
    </xf>
    <xf borderId="1" fillId="0" fontId="8" numFmtId="0" xfId="0" applyAlignment="1" applyBorder="1" applyFont="1">
      <alignment wrapText="1"/>
    </xf>
    <xf borderId="0" fillId="9" fontId="8" numFmtId="0" xfId="0" applyAlignment="1" applyBorder="1" applyFont="1">
      <alignment vertical="top" wrapText="1"/>
    </xf>
    <xf borderId="1" fillId="10" fontId="8" numFmtId="0" xfId="0" applyAlignment="1" applyBorder="1" applyFont="1">
      <alignment horizontal="center" vertical="center"/>
    </xf>
    <xf borderId="1" fillId="0" fontId="15" numFmtId="0" xfId="0" applyAlignment="1" applyBorder="1" applyFont="1">
      <alignment wrapText="1"/>
    </xf>
    <xf borderId="0" fillId="8" fontId="8" numFmtId="0" xfId="0" applyBorder="1" applyFont="1"/>
    <xf borderId="0" fillId="9" fontId="44" numFmtId="0" xfId="0" applyAlignment="1" applyBorder="1" applyFont="1">
      <alignment vertical="center"/>
    </xf>
    <xf borderId="3" fillId="9" fontId="8" numFmtId="0" xfId="0" applyBorder="1" applyFont="1"/>
    <xf borderId="1" fillId="3" fontId="8" numFmtId="0" xfId="0" applyAlignment="1" applyBorder="1" applyFont="1">
      <alignment wrapText="1"/>
    </xf>
    <xf borderId="0" fillId="10" fontId="3" numFmtId="0" xfId="0" applyAlignment="1" applyBorder="1" applyFont="1">
      <alignment horizontal="center" vertical="center"/>
    </xf>
    <xf borderId="2" fillId="2" fontId="8" numFmtId="0" xfId="0" applyBorder="1" applyFont="1"/>
    <xf borderId="2" fillId="4" fontId="8" numFmtId="0" xfId="0" applyBorder="1" applyFont="1"/>
    <xf borderId="2" fillId="5" fontId="8" numFmtId="0" xfId="0" applyBorder="1" applyFont="1"/>
    <xf borderId="0" fillId="5" fontId="8" numFmtId="0" xfId="0" applyBorder="1" applyFont="1"/>
    <xf borderId="2" fillId="6" fontId="8" numFmtId="0" xfId="0" applyBorder="1" applyFont="1"/>
    <xf borderId="0" fillId="9" fontId="8" numFmtId="0" xfId="0" applyBorder="1" applyFont="1"/>
    <xf borderId="0" fillId="3" fontId="8" numFmtId="0" xfId="0" applyBorder="1" applyFont="1"/>
    <xf borderId="0" fillId="10" fontId="8" numFmtId="0" xfId="0" applyAlignment="1" applyBorder="1" applyFont="1">
      <alignment horizontal="center" vertical="center"/>
    </xf>
    <xf borderId="0" fillId="8" fontId="8" numFmtId="0" xfId="0" applyAlignment="1" applyBorder="1" applyFont="1">
      <alignment vertical="center" wrapText="1"/>
    </xf>
    <xf borderId="2" fillId="2" fontId="3" numFmtId="0" xfId="0" applyBorder="1" applyFont="1"/>
    <xf borderId="2" fillId="4" fontId="3" numFmtId="0" xfId="0" applyBorder="1" applyFont="1"/>
    <xf borderId="2" fillId="5" fontId="3" numFmtId="0" xfId="0" applyBorder="1" applyFont="1"/>
    <xf borderId="0" fillId="5" fontId="3" numFmtId="0" xfId="0" applyBorder="1" applyFont="1"/>
    <xf borderId="2" fillId="6" fontId="3" numFmtId="0" xfId="0" applyBorder="1" applyFont="1"/>
    <xf borderId="0" fillId="3" fontId="3" numFmtId="0" xfId="0" applyAlignment="1" applyBorder="1" applyFont="1">
      <alignment vertical="center" wrapText="1"/>
    </xf>
    <xf borderId="0" fillId="8" fontId="3" numFmtId="0" xfId="0" applyAlignment="1" applyBorder="1" applyFont="1">
      <alignment vertical="center" wrapText="1"/>
    </xf>
    <xf borderId="0" fillId="8" fontId="3" numFmtId="0" xfId="0" applyBorder="1" applyFont="1"/>
    <xf borderId="0" fillId="9" fontId="3" numFmtId="0" xfId="0" applyBorder="1" applyFont="1"/>
    <xf borderId="0" fillId="3" fontId="3" numFmtId="0" xfId="0" applyBorder="1" applyFont="1"/>
    <xf borderId="0" fillId="10" fontId="3" numFmtId="0" xfId="0" applyAlignment="1" applyBorder="1" applyFont="1">
      <alignment wrapText="1"/>
    </xf>
    <xf borderId="0" fillId="0" fontId="3" numFmtId="0" xfId="0" applyFont="1"/>
    <xf borderId="2" fillId="4" fontId="8" numFmtId="0" xfId="0" applyAlignment="1" applyBorder="1" applyFont="1">
      <alignment wrapText="1"/>
    </xf>
    <xf borderId="0" fillId="3" fontId="8" numFmtId="0" xfId="0" applyAlignment="1" applyBorder="1" applyFont="1">
      <alignment wrapText="1"/>
    </xf>
    <xf borderId="0" fillId="10" fontId="8" numFmtId="0" xfId="0" applyAlignment="1" applyBorder="1" applyFont="1">
      <alignment wrapText="1"/>
    </xf>
    <xf borderId="0" fillId="2" fontId="8" numFmtId="0" xfId="0" applyBorder="1" applyFont="1"/>
    <xf borderId="0" fillId="4" fontId="8" numFmtId="0" xfId="0" applyBorder="1" applyFont="1"/>
    <xf borderId="0" fillId="4" fontId="8" numFmtId="0" xfId="0" applyAlignment="1" applyBorder="1" applyFont="1">
      <alignment wrapText="1"/>
    </xf>
    <xf borderId="0" fillId="5" fontId="8" numFmtId="0" xfId="0" applyAlignment="1" applyBorder="1" applyFont="1">
      <alignment wrapText="1"/>
    </xf>
    <xf borderId="0" fillId="6" fontId="8" numFmtId="0" xfId="0" applyBorder="1" applyFont="1"/>
    <xf borderId="0" fillId="9" fontId="8" numFmtId="0" xfId="0" applyAlignment="1" applyBorder="1" applyFont="1">
      <alignment vertical="center" wrapText="1"/>
    </xf>
    <xf borderId="0" fillId="9" fontId="15" numFmtId="0" xfId="0" applyAlignment="1" applyBorder="1" applyFont="1">
      <alignment vertical="center"/>
    </xf>
    <xf borderId="0" fillId="9" fontId="15" numFmtId="0" xfId="0" applyAlignment="1" applyBorder="1" applyFont="1">
      <alignment wrapText="1"/>
    </xf>
    <xf borderId="0" fillId="9" fontId="15" numFmtId="0" xfId="0" applyBorder="1" applyFont="1"/>
    <xf borderId="0" fillId="14" fontId="8" numFmtId="0" xfId="0" applyBorder="1" applyFont="1"/>
    <xf borderId="0" fillId="0" fontId="8" numFmtId="0" xfId="0" applyAlignment="1" applyFont="1">
      <alignment horizontal="center" vertical="center" wrapText="1"/>
    </xf>
    <xf borderId="0" fillId="6" fontId="8" numFmtId="0" xfId="0" applyAlignment="1" applyBorder="1" applyFont="1">
      <alignment wrapText="1"/>
    </xf>
    <xf borderId="0" fillId="9" fontId="8" numFmtId="15" xfId="0" applyBorder="1" applyFont="1" applyNumberFormat="1"/>
    <xf borderId="0" fillId="9" fontId="45" numFmtId="0" xfId="0" applyAlignment="1" applyBorder="1" applyFont="1">
      <alignment wrapText="1"/>
    </xf>
    <xf borderId="0" fillId="9" fontId="46" numFmtId="0" xfId="0" applyBorder="1" applyFont="1"/>
    <xf borderId="0" fillId="10" fontId="8" numFmtId="0" xfId="0" applyAlignment="1" applyBorder="1" applyFont="1">
      <alignment horizontal="center" vertical="center" wrapText="1"/>
    </xf>
    <xf borderId="0" fillId="10" fontId="3" numFmtId="0" xfId="0" applyAlignment="1" applyBorder="1" applyFont="1">
      <alignment horizontal="center" vertical="center" wrapText="1"/>
    </xf>
    <xf borderId="0" fillId="0" fontId="3" numFmtId="0" xfId="0" applyAlignment="1" applyFont="1">
      <alignment horizontal="center" vertical="center" wrapText="1"/>
    </xf>
    <xf borderId="0" fillId="9" fontId="8" numFmtId="0" xfId="0" applyAlignment="1" applyBorder="1" applyFont="1">
      <alignment vertical="center"/>
    </xf>
    <xf borderId="0" fillId="14" fontId="8" numFmtId="0" xfId="0" applyAlignment="1" applyBorder="1" applyFont="1">
      <alignment wrapText="1"/>
    </xf>
    <xf borderId="0" fillId="2" fontId="8" numFmtId="0" xfId="0" applyAlignment="1" applyBorder="1" applyFont="1">
      <alignment wrapText="1"/>
    </xf>
    <xf borderId="0" fillId="13" fontId="8" numFmtId="0" xfId="0" applyAlignment="1" applyBorder="1" applyFont="1">
      <alignment wrapText="1"/>
    </xf>
    <xf borderId="0" fillId="9" fontId="8" numFmtId="15" xfId="0" applyAlignment="1" applyBorder="1" applyFont="1" applyNumberFormat="1">
      <alignment wrapText="1"/>
    </xf>
    <xf borderId="0" fillId="0" fontId="3" numFmtId="0" xfId="0" applyAlignment="1" applyFont="1">
      <alignment horizontal="left" vertical="top" wrapText="1"/>
    </xf>
    <xf borderId="0" fillId="2" fontId="3" numFmtId="0" xfId="0" applyAlignment="1" applyBorder="1" applyFont="1">
      <alignment horizontal="left" vertical="top" wrapText="1"/>
    </xf>
    <xf borderId="4" fillId="2" fontId="3" numFmtId="0" xfId="0" applyAlignment="1" applyBorder="1" applyFont="1">
      <alignment horizontal="left" vertical="top" wrapText="1"/>
    </xf>
    <xf borderId="0" fillId="13" fontId="3" numFmtId="0" xfId="0" applyAlignment="1" applyBorder="1" applyFont="1">
      <alignment horizontal="left" vertical="top" wrapText="1"/>
    </xf>
    <xf borderId="0" fillId="9" fontId="3" numFmtId="0" xfId="0" applyAlignment="1" applyBorder="1" applyFont="1">
      <alignment horizontal="left" vertical="top" wrapText="1"/>
    </xf>
    <xf borderId="0" fillId="10" fontId="3" numFmtId="0" xfId="0" applyAlignment="1" applyBorder="1" applyFont="1">
      <alignment horizontal="left" vertical="top" wrapText="1"/>
    </xf>
    <xf borderId="0" fillId="0" fontId="2" numFmtId="0" xfId="0" applyAlignment="1" applyFont="1">
      <alignment vertical="top" wrapText="1"/>
    </xf>
    <xf borderId="0" fillId="0" fontId="2" numFmtId="0" xfId="0" applyAlignment="1" applyFont="1">
      <alignment horizontal="left" vertical="top"/>
    </xf>
    <xf borderId="0" fillId="0" fontId="47" numFmtId="0" xfId="0" applyAlignment="1" applyFont="1">
      <alignment vertical="top" wrapText="1"/>
    </xf>
    <xf borderId="0" fillId="0" fontId="2" numFmtId="1" xfId="0" applyAlignment="1" applyFont="1" applyNumberFormat="1">
      <alignment horizontal="left" vertical="top"/>
    </xf>
    <xf borderId="0" fillId="0" fontId="2" numFmtId="0" xfId="0" applyAlignment="1" applyFont="1">
      <alignment vertical="center" wrapText="1"/>
    </xf>
    <xf borderId="0" fillId="0" fontId="48" numFmtId="0" xfId="0" applyFont="1"/>
    <xf borderId="0" fillId="0" fontId="49" numFmtId="0" xfId="0" applyAlignment="1" applyFont="1">
      <alignment vertical="center" wrapText="1"/>
    </xf>
    <xf borderId="0" fillId="0" fontId="50" numFmtId="0" xfId="0" applyAlignment="1" applyFont="1">
      <alignment horizontal="left" vertical="center" wrapText="1"/>
    </xf>
    <xf borderId="0" fillId="0" fontId="51" numFmtId="0" xfId="0" applyAlignment="1" applyFont="1">
      <alignment vertical="center" wrapText="1"/>
    </xf>
    <xf borderId="0" fillId="0" fontId="2" numFmtId="0" xfId="0" applyAlignment="1" applyFont="1">
      <alignment wrapText="1"/>
    </xf>
    <xf borderId="0" fillId="0" fontId="2" numFmtId="0" xfId="0" applyAlignment="1" applyFont="1">
      <alignment horizontal="left" vertical="top" wrapText="1"/>
    </xf>
    <xf borderId="0" fillId="0" fontId="52" numFmtId="0" xfId="0" applyAlignment="1" applyFont="1">
      <alignment horizontal="left" vertical="top" wrapText="1"/>
    </xf>
    <xf borderId="0" fillId="0" fontId="2" numFmtId="1" xfId="0" applyAlignment="1" applyFont="1" applyNumberFormat="1">
      <alignment horizontal="left" vertical="top" wrapText="1"/>
    </xf>
    <xf borderId="0" fillId="13" fontId="2" numFmtId="0" xfId="0" applyAlignment="1" applyBorder="1" applyFont="1">
      <alignment horizontal="left" vertical="top" wrapText="1"/>
    </xf>
    <xf borderId="0" fillId="0" fontId="53" numFmtId="0" xfId="0" applyAlignment="1" applyFont="1">
      <alignment horizontal="left" vertical="top" wrapText="1"/>
    </xf>
    <xf borderId="0" fillId="0" fontId="54" numFmtId="0" xfId="0" applyAlignment="1" applyFont="1">
      <alignment horizontal="left" vertical="top"/>
    </xf>
    <xf borderId="0" fillId="0" fontId="55" numFmtId="0" xfId="0" applyAlignment="1" applyFont="1">
      <alignment horizontal="left" readingOrder="1" vertical="top" wrapText="1"/>
    </xf>
    <xf borderId="0" fillId="0" fontId="0" numFmtId="0" xfId="0" applyFont="1"/>
    <xf borderId="0" fillId="19" fontId="2" numFmtId="0" xfId="0" applyAlignment="1" applyBorder="1" applyFill="1" applyFont="1">
      <alignment horizontal="left" vertical="top"/>
    </xf>
    <xf borderId="0" fillId="0" fontId="3" numFmtId="0" xfId="0" applyAlignment="1" applyFont="1">
      <alignment horizontal="left" vertical="center" wrapText="1"/>
    </xf>
    <xf borderId="0" fillId="0" fontId="3" numFmtId="165" xfId="0" applyAlignment="1" applyFont="1" applyNumberFormat="1">
      <alignment horizontal="left" vertical="center" wrapText="1"/>
    </xf>
    <xf borderId="0" fillId="0" fontId="8" numFmtId="14" xfId="0" applyAlignment="1" applyFont="1" applyNumberFormat="1">
      <alignment horizontal="left" vertical="center"/>
    </xf>
    <xf borderId="0" fillId="0" fontId="8" numFmtId="1" xfId="0" applyAlignment="1" applyFont="1" applyNumberFormat="1">
      <alignment horizontal="left" vertical="center"/>
    </xf>
    <xf borderId="0" fillId="0" fontId="8" numFmtId="1" xfId="0" applyAlignment="1" applyFont="1" applyNumberFormat="1">
      <alignment horizontal="left" vertical="top"/>
    </xf>
    <xf borderId="0" fillId="0" fontId="8" numFmtId="0" xfId="0" applyAlignment="1" applyFont="1">
      <alignment horizontal="left" vertical="center" wrapText="1"/>
    </xf>
    <xf borderId="0" fillId="0" fontId="8" numFmtId="46" xfId="0" applyAlignment="1" applyFont="1" applyNumberFormat="1">
      <alignment horizontal="left" vertical="center"/>
    </xf>
    <xf borderId="0" fillId="20" fontId="8" numFmtId="0" xfId="0" applyAlignment="1" applyBorder="1" applyFill="1" applyFont="1">
      <alignment horizontal="left" vertical="top"/>
    </xf>
    <xf borderId="0" fillId="20" fontId="9" numFmtId="0" xfId="0" applyAlignment="1" applyBorder="1" applyFont="1">
      <alignment horizontal="left" vertical="top"/>
    </xf>
    <xf borderId="0" fillId="20" fontId="56" numFmtId="0" xfId="0" applyAlignment="1" applyBorder="1" applyFont="1">
      <alignment horizontal="left" vertical="top"/>
    </xf>
    <xf borderId="0" fillId="20" fontId="8" numFmtId="1" xfId="0" applyAlignment="1" applyBorder="1" applyFont="1" applyNumberFormat="1">
      <alignment horizontal="left" vertical="top"/>
    </xf>
    <xf borderId="0" fillId="20" fontId="57" numFmtId="0" xfId="0" applyAlignment="1" applyBorder="1" applyFont="1">
      <alignment horizontal="left" vertical="top"/>
    </xf>
    <xf borderId="0" fillId="0" fontId="17" numFmtId="0" xfId="0" applyAlignment="1" applyFont="1">
      <alignment horizontal="left" vertical="top"/>
    </xf>
    <xf borderId="0" fillId="0" fontId="58" numFmtId="1" xfId="0" applyAlignment="1" applyFont="1" applyNumberFormat="1">
      <alignment horizontal="left" vertical="center"/>
    </xf>
    <xf borderId="0" fillId="0" fontId="8" numFmtId="164" xfId="0" applyAlignment="1" applyFont="1" applyNumberFormat="1">
      <alignment horizontal="left" vertical="center"/>
    </xf>
    <xf borderId="0" fillId="0" fontId="8" numFmtId="20" xfId="0" applyAlignment="1" applyFont="1" applyNumberFormat="1">
      <alignment horizontal="left" vertical="center" wrapText="1"/>
    </xf>
    <xf borderId="0" fillId="0" fontId="8" numFmtId="14" xfId="0" applyAlignment="1" applyFont="1" applyNumberFormat="1">
      <alignment horizontal="left" vertical="center" wrapText="1"/>
    </xf>
    <xf borderId="0" fillId="0" fontId="8" numFmtId="46" xfId="0" applyAlignment="1" applyFont="1" applyNumberFormat="1">
      <alignment horizontal="left" vertical="center" wrapText="1"/>
    </xf>
    <xf borderId="0" fillId="0" fontId="59" numFmtId="0" xfId="0" applyAlignment="1" applyFont="1">
      <alignment horizontal="left" vertical="center" wrapText="1"/>
    </xf>
    <xf borderId="0" fillId="0" fontId="60" numFmtId="0" xfId="0" applyAlignment="1" applyFont="1">
      <alignment horizontal="left" vertical="center"/>
    </xf>
    <xf borderId="0" fillId="0" fontId="8" numFmtId="165" xfId="0" applyAlignment="1" applyFont="1" applyNumberFormat="1">
      <alignment horizontal="left" vertical="center"/>
    </xf>
    <xf borderId="5" fillId="0" fontId="8" numFmtId="0" xfId="0" applyAlignment="1" applyBorder="1" applyFont="1">
      <alignment horizontal="left" vertical="top"/>
    </xf>
    <xf borderId="0" fillId="15" fontId="8" numFmtId="0" xfId="0" applyAlignment="1" applyBorder="1" applyFont="1">
      <alignment horizontal="left" vertical="top"/>
    </xf>
    <xf borderId="0" fillId="15" fontId="8" numFmtId="1" xfId="0" applyAlignment="1" applyBorder="1" applyFont="1" applyNumberFormat="1">
      <alignment horizontal="left" vertical="top"/>
    </xf>
    <xf borderId="0" fillId="15" fontId="17" numFmtId="0" xfId="0" applyAlignment="1" applyBorder="1" applyFont="1">
      <alignment horizontal="left" vertical="top"/>
    </xf>
    <xf borderId="0" fillId="15" fontId="61" numFmtId="0" xfId="0" applyAlignment="1" applyBorder="1" applyFont="1">
      <alignment horizontal="left" vertical="top"/>
    </xf>
    <xf borderId="0" fillId="13" fontId="8" numFmtId="0" xfId="0" applyAlignment="1" applyBorder="1" applyFont="1">
      <alignment horizontal="left" vertical="top"/>
    </xf>
    <xf borderId="6" fillId="0" fontId="1" numFmtId="0" xfId="0" applyAlignment="1" applyBorder="1" applyFont="1">
      <alignment horizontal="center" wrapText="1"/>
    </xf>
    <xf borderId="0" fillId="0" fontId="62" numFmtId="0" xfId="0" applyAlignment="1" applyFont="1">
      <alignment horizontal="left" vertical="top"/>
    </xf>
    <xf borderId="0" fillId="0" fontId="8" numFmtId="16" xfId="0" applyAlignment="1" applyFont="1" applyNumberFormat="1">
      <alignment horizontal="left" vertical="top"/>
    </xf>
    <xf borderId="0" fillId="0" fontId="63" numFmtId="0" xfId="0" applyFont="1"/>
    <xf borderId="0" fillId="0" fontId="64" numFmtId="0" xfId="0" applyAlignment="1" applyFont="1">
      <alignment horizontal="left" vertical="top"/>
    </xf>
    <xf borderId="0" fillId="0" fontId="8" numFmtId="15" xfId="0" applyAlignment="1" applyFont="1" applyNumberFormat="1">
      <alignment horizontal="left" vertical="top"/>
    </xf>
    <xf borderId="0" fillId="0" fontId="8" numFmtId="0" xfId="0" applyAlignment="1" applyFont="1">
      <alignment horizontal="left" vertical="top" wrapText="1"/>
    </xf>
    <xf borderId="0" fillId="0" fontId="65" numFmtId="0" xfId="0" applyFont="1"/>
    <xf borderId="0" fillId="13" fontId="8" numFmtId="14" xfId="0" applyAlignment="1" applyBorder="1" applyFont="1" applyNumberFormat="1">
      <alignment horizontal="left" vertical="top"/>
    </xf>
    <xf borderId="0" fillId="21" fontId="8" numFmtId="14" xfId="0" applyAlignment="1" applyBorder="1" applyFill="1" applyFont="1" applyNumberFormat="1">
      <alignment horizontal="left" vertical="top"/>
    </xf>
    <xf borderId="0" fillId="21" fontId="8" numFmtId="0" xfId="0" applyAlignment="1" applyBorder="1" applyFont="1">
      <alignment horizontal="left" vertical="top"/>
    </xf>
    <xf borderId="0" fillId="10" fontId="8" numFmtId="0" xfId="0" applyAlignment="1" applyBorder="1" applyFont="1">
      <alignment horizontal="left" vertical="top"/>
    </xf>
    <xf borderId="0" fillId="0" fontId="66" numFmtId="0" xfId="0" applyAlignment="1" applyFont="1">
      <alignment horizontal="left" vertical="top"/>
    </xf>
    <xf borderId="0" fillId="0" fontId="66" numFmtId="14" xfId="0" applyAlignment="1" applyFont="1" applyNumberFormat="1">
      <alignment horizontal="left" vertical="top"/>
    </xf>
    <xf borderId="0" fillId="3" fontId="9" numFmtId="0" xfId="0" applyAlignment="1" applyFont="1">
      <alignment horizontal="left" vertical="center"/>
    </xf>
    <xf borderId="0" fillId="0" fontId="9" numFmtId="1" xfId="0" applyAlignment="1" applyFont="1" applyNumberFormat="1">
      <alignment horizontal="left" vertical="top" wrapText="1"/>
    </xf>
    <xf borderId="0" fillId="0" fontId="67" numFmtId="0" xfId="0" applyAlignment="1" applyFont="1">
      <alignment horizontal="left" vertical="top" wrapText="1"/>
    </xf>
    <xf borderId="0" fillId="0" fontId="9" numFmtId="14" xfId="0" applyAlignment="1" applyFont="1" applyNumberFormat="1">
      <alignment horizontal="left" vertical="top" wrapText="1"/>
    </xf>
    <xf borderId="0" fillId="0" fontId="9" numFmtId="0" xfId="0" applyFont="1"/>
    <xf borderId="0" fillId="0" fontId="68" numFmtId="0" xfId="0" applyAlignment="1" applyFont="1">
      <alignment horizontal="lef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90" Type="http://schemas.openxmlformats.org/officeDocument/2006/relationships/hyperlink" Target="http://www.vox.com/2015/6/14/8767823/psychology-global-warming" TargetMode="External"/><Relationship Id="rId194" Type="http://schemas.openxmlformats.org/officeDocument/2006/relationships/hyperlink" Target="http://grist.org/climate-energy/heres-everything-we-know-about-how-to-talk-about-climate-change/" TargetMode="External"/><Relationship Id="rId193" Type="http://schemas.openxmlformats.org/officeDocument/2006/relationships/hyperlink" Target="http://grist.org/climate-energy/down-with-guilt-there-are-much-better-ways-to-get-people-to-act-on-climate-change/" TargetMode="External"/><Relationship Id="rId192" Type="http://schemas.openxmlformats.org/officeDocument/2006/relationships/hyperlink" Target="http://grist.org/climate-energy/7-smarter-ways-to-talk-about-climate-change/" TargetMode="External"/><Relationship Id="rId191" Type="http://schemas.openxmlformats.org/officeDocument/2006/relationships/hyperlink" Target="http://grist.org/climate-energy/10-things-you-want-to-know-about-human-nature-if-youre-fighting-climate-change/" TargetMode="External"/><Relationship Id="rId187" Type="http://schemas.openxmlformats.org/officeDocument/2006/relationships/hyperlink" Target="http://bit.ly/1I7vt7Y" TargetMode="External"/><Relationship Id="rId186" Type="http://schemas.openxmlformats.org/officeDocument/2006/relationships/hyperlink" Target="http://grist.org/list/80-percent-of-humans-are-delusionally-optimistic-says-science/" TargetMode="External"/><Relationship Id="rId185" Type="http://schemas.openxmlformats.org/officeDocument/2006/relationships/hyperlink" Target="http://grist.org/politics/why-there-is-no-liberal-equivalent-to-climate-change-denial/" TargetMode="External"/><Relationship Id="rId184" Type="http://schemas.openxmlformats.org/officeDocument/2006/relationships/hyperlink" Target="http://grist.org/climate-energy/education-increases-belief-in-climate-change-everywhere-except-in-the-u-s/" TargetMode="External"/><Relationship Id="rId189" Type="http://schemas.openxmlformats.org/officeDocument/2006/relationships/hyperlink" Target="http://www.vox.com/users/Lisa%20Bennett" TargetMode="External"/><Relationship Id="rId188" Type="http://schemas.openxmlformats.org/officeDocument/2006/relationships/hyperlink" Target="http://grist.org/climate-energy/want-everyone-else-to-buy-into-environmentalism-never-say-earth/" TargetMode="External"/><Relationship Id="rId183" Type="http://schemas.openxmlformats.org/officeDocument/2006/relationships/hyperlink" Target="http://grist.org/people/does-shame-have-a-place-in-the-climate-fight-jennifer-jacquet-thinks-so/?utm_source=twitter&amp;utm_medium=tweet&amp;utm_campaign=socialflow" TargetMode="External"/><Relationship Id="rId182" Type="http://schemas.openxmlformats.org/officeDocument/2006/relationships/hyperlink" Target="http://grist.org/climate-energy/the-brutally-dishonest-attacks-on-showtimes-landmark-climate-series/" TargetMode="External"/><Relationship Id="rId181" Type="http://schemas.openxmlformats.org/officeDocument/2006/relationships/hyperlink" Target="https://www.greenbiz.com/article/5-truths-about-our-relationship-energy" TargetMode="External"/><Relationship Id="rId180" Type="http://schemas.openxmlformats.org/officeDocument/2006/relationships/hyperlink" Target="https://www.greenbiz.com/article/want-connect-climate-skeptics-just-listen" TargetMode="External"/><Relationship Id="rId176" Type="http://schemas.openxmlformats.org/officeDocument/2006/relationships/hyperlink" Target="http://magazine.good.is/articles/packaging-reimagined?utm_source=Facebook&amp;utm_medium=Source&amp;utm_campaign=goodfb" TargetMode="External"/><Relationship Id="rId297" Type="http://schemas.openxmlformats.org/officeDocument/2006/relationships/hyperlink" Target="http://www.npr.org/2015/02/25/388902014/peer-pressure-may-encourage-tax-delinquents-to-pay-up?sc=17?f=&amp;utm_source=iosnewsapp&amp;utm_medium=Email&amp;utm_campaign=app" TargetMode="External"/><Relationship Id="rId175" Type="http://schemas.openxmlformats.org/officeDocument/2006/relationships/hyperlink" Target="http://globe-net.com/fears-environment-rising-sustainable-behavior-falling/" TargetMode="External"/><Relationship Id="rId296" Type="http://schemas.openxmlformats.org/officeDocument/2006/relationships/hyperlink" Target="http://www.npr.org/2012/03/05/147192599/habits-how-they-form-and-how-to-break-them" TargetMode="External"/><Relationship Id="rId174" Type="http://schemas.openxmlformats.org/officeDocument/2006/relationships/hyperlink" Target="http://globe-net.com/fears-environment-rising-sustainable-behavior-falling/" TargetMode="External"/><Relationship Id="rId295" Type="http://schemas.openxmlformats.org/officeDocument/2006/relationships/hyperlink" Target="http://www.npr.org/blogs/health/2015/01/05/371894919/what-heroin-addiction-tells-us-about-changing-bad-habits?utm_source=facebook.com&amp;utm_medium=social&amp;utm_campaign=npr&amp;utm_term=nprnews&amp;utm_content=20150105" TargetMode="External"/><Relationship Id="rId173" Type="http://schemas.openxmlformats.org/officeDocument/2006/relationships/hyperlink" Target="http://www.sciencedirect.com/science/journal/09593780" TargetMode="External"/><Relationship Id="rId294" Type="http://schemas.openxmlformats.org/officeDocument/2006/relationships/hyperlink" Target="http://www.npr.org/blogs/13.7/2014/09/15/348629576/how-not-to-teach-climate-change?utm_source=facebook.com&amp;utm_medium=social&amp;utm_campaign=npr&amp;utm_term=nprnews&amp;utm_content=20140915" TargetMode="External"/><Relationship Id="rId179" Type="http://schemas.openxmlformats.org/officeDocument/2006/relationships/hyperlink" Target="http://www.greenbiz.com/article/need-talk-climate-denier-heres-how" TargetMode="External"/><Relationship Id="rId178" Type="http://schemas.openxmlformats.org/officeDocument/2006/relationships/hyperlink" Target="http://www.green-technology.org/green_technology_magazine/smud.htm" TargetMode="External"/><Relationship Id="rId299" Type="http://schemas.openxmlformats.org/officeDocument/2006/relationships/hyperlink" Target="http://www.npr.org/2015/01/11/376496332/the-more-the-better-repetition-propels-songs-up-the-charts" TargetMode="External"/><Relationship Id="rId177" Type="http://schemas.openxmlformats.org/officeDocument/2006/relationships/hyperlink" Target="http://greatergood.berkeley.edu/article/item/can_empathy_stop_climate_change" TargetMode="External"/><Relationship Id="rId298" Type="http://schemas.openxmlformats.org/officeDocument/2006/relationships/hyperlink" Target="http://www.npr.org/blogs/health/2014/04/07/300178813/play-it-again-and-again-sam" TargetMode="External"/><Relationship Id="rId198" Type="http://schemas.openxmlformats.org/officeDocument/2006/relationships/hyperlink" Target="http://grist.org/climate-energy/how-to-convince-the-climate-slacker-to-get-serious/" TargetMode="External"/><Relationship Id="rId197" Type="http://schemas.openxmlformats.org/officeDocument/2006/relationships/hyperlink" Target="http://grist.org/climate-energy/watch-global-warming-spiral-out-of-control/" TargetMode="External"/><Relationship Id="rId196" Type="http://schemas.openxmlformats.org/officeDocument/2006/relationships/hyperlink" Target="http://grist.org/article/2011-01-28-is-it-hot-in-here-or-is-the-climate-changing/" TargetMode="External"/><Relationship Id="rId195" Type="http://schemas.openxmlformats.org/officeDocument/2006/relationships/hyperlink" Target="http://grist.org/climate-energy/to-motivate-climate-activists-use-optimism/" TargetMode="External"/><Relationship Id="rId199" Type="http://schemas.openxmlformats.org/officeDocument/2006/relationships/hyperlink" Target="http://grist.org/climate-energy/how-to-tell-the-story-of-climate-change-in-photos/" TargetMode="External"/><Relationship Id="rId150" Type="http://schemas.openxmlformats.org/officeDocument/2006/relationships/hyperlink" Target="http://finance-commerce.com/2014/09/sustainable-reducing-energy-use-through-behavioral-science/" TargetMode="External"/><Relationship Id="rId271" Type="http://schemas.openxmlformats.org/officeDocument/2006/relationships/hyperlink" Target="http://researchrepository.murdoch.edu.au/2972/" TargetMode="External"/><Relationship Id="rId392" Type="http://schemas.openxmlformats.org/officeDocument/2006/relationships/hyperlink" Target="http://www.sustainablebrands.com/news_and_views/new_metrics/sustainable_brands/new_metrics_%E2%80%9914_increased_fears_about_environment_not_?utm_source=Twitter&amp;utm_medium=schtweets&amp;utm_campaign=editorial" TargetMode="External"/><Relationship Id="rId270" Type="http://schemas.openxmlformats.org/officeDocument/2006/relationships/hyperlink" Target="https://moz.com/ugc/10-psychological-research-studies-to-help-you-tap-into-human-behavior-and-increase-conversions" TargetMode="External"/><Relationship Id="rId391" Type="http://schemas.openxmlformats.org/officeDocument/2006/relationships/hyperlink" Target="http://economicspsychologypolicy.blogspot.ie/2013/12/the-15-best-behavioural-science-graphs.html?m=1%C2%A0%E2%80%A6" TargetMode="External"/><Relationship Id="rId390" Type="http://schemas.openxmlformats.org/officeDocument/2006/relationships/hyperlink" Target="http://blogs.ei.columbia.edu/2015/01/08/what-will-you-leave-behind-how-personal-legacy-affects-pro-environmental-behavior/" TargetMode="External"/><Relationship Id="rId1" Type="http://schemas.openxmlformats.org/officeDocument/2006/relationships/comments" Target="../comments1.xml"/><Relationship Id="rId2" Type="http://schemas.openxmlformats.org/officeDocument/2006/relationships/hyperlink" Target="http://dl.acm.org/citation.cfm?doid=587078.587110" TargetMode="External"/><Relationship Id="rId3" Type="http://schemas.openxmlformats.org/officeDocument/2006/relationships/hyperlink" Target="http://www.bob-mccown.com/wp-content/uploads/2011/10/130_Carberry2002FARMSCAPE.pdf" TargetMode="External"/><Relationship Id="rId149" Type="http://schemas.openxmlformats.org/officeDocument/2006/relationships/hyperlink" Target="http://finance-commerce.com/author/frankjossi/" TargetMode="External"/><Relationship Id="rId4" Type="http://schemas.openxmlformats.org/officeDocument/2006/relationships/hyperlink" Target="http://www.alternet.org/environment/study-suggests-moral-purity-may-overcome-right-wing-resistance-environmental-science" TargetMode="External"/><Relationship Id="rId148" Type="http://schemas.openxmlformats.org/officeDocument/2006/relationships/hyperlink" Target="http://www.fastcompany.com/3026411/leadership-now/why-wait-how-always-being-busy-makes-you-dumber" TargetMode="External"/><Relationship Id="rId269" Type="http://schemas.openxmlformats.org/officeDocument/2006/relationships/hyperlink" Target="http://motherboard.vice.com/read/apocalypse-neuro-why-our-brain-cant-process-the-planets-gravest-threats?utm_source=mbtwitter" TargetMode="External"/><Relationship Id="rId9" Type="http://schemas.openxmlformats.org/officeDocument/2006/relationships/hyperlink" Target="http://www.apa.org/pi/aids/resources/education/dissonance.aspx" TargetMode="External"/><Relationship Id="rId143" Type="http://schemas.openxmlformats.org/officeDocument/2006/relationships/hyperlink" Target="http://onlinelibrary.wiley.com/enhanced/doi/10.1002/ejsp.674" TargetMode="External"/><Relationship Id="rId264" Type="http://schemas.openxmlformats.org/officeDocument/2006/relationships/hyperlink" Target="https://www.pca.state.mn.us/sites/default/files/p-ee1-01.pdf" TargetMode="External"/><Relationship Id="rId385" Type="http://schemas.openxmlformats.org/officeDocument/2006/relationships/hyperlink" Target="http://papers.ssrn.com/sol3/papers.cfm?abstract_id=1843402" TargetMode="External"/><Relationship Id="rId142" Type="http://schemas.openxmlformats.org/officeDocument/2006/relationships/hyperlink" Target="http://pubs.acs.org/doi/abs/10.1021/es00010a003" TargetMode="External"/><Relationship Id="rId263" Type="http://schemas.openxmlformats.org/officeDocument/2006/relationships/hyperlink" Target="http://www.mindtools.com/pages/article/avoiding-psychological-bias.htm" TargetMode="External"/><Relationship Id="rId384" Type="http://schemas.openxmlformats.org/officeDocument/2006/relationships/hyperlink" Target="http://www.nrel.gov/docs/legosti/old/3386.pdf" TargetMode="External"/><Relationship Id="rId141" Type="http://schemas.openxmlformats.org/officeDocument/2006/relationships/hyperlink" Target="http://www.sciencedirect.com/science/article/pii/S0013935188800021?" TargetMode="External"/><Relationship Id="rId262" Type="http://schemas.openxmlformats.org/officeDocument/2006/relationships/hyperlink" Target="http://www.aere.org/meetings/documents/0608Alberini.pdf" TargetMode="External"/><Relationship Id="rId383" Type="http://schemas.openxmlformats.org/officeDocument/2006/relationships/hyperlink" Target="http://www.brainfacts.org/sensing-thinking-behaving/awareness-and-attention/articles/2009/decision-making/" TargetMode="External"/><Relationship Id="rId140" Type="http://schemas.openxmlformats.org/officeDocument/2006/relationships/hyperlink" Target="http://papers.ssrn.com/sol3/papers.cfm?abstract_id=1319881" TargetMode="External"/><Relationship Id="rId261" Type="http://schemas.openxmlformats.org/officeDocument/2006/relationships/hyperlink" Target="https://medium.com/@rdearborn/hey-environmentalists-lets-stop-being-so-depressing-c0d28bd7cad5" TargetMode="External"/><Relationship Id="rId382" Type="http://schemas.openxmlformats.org/officeDocument/2006/relationships/hyperlink" Target="http://papers.ssrn.com/sol3/papers.cfm?abstract_id=1871503" TargetMode="External"/><Relationship Id="rId5" Type="http://schemas.openxmlformats.org/officeDocument/2006/relationships/hyperlink" Target="http://aceee.org/research-report/e105" TargetMode="External"/><Relationship Id="rId147" Type="http://schemas.openxmlformats.org/officeDocument/2006/relationships/hyperlink" Target="http://www.fastcoexist.com/3046029/buy-your-way-out-of-your-carbon-footprint-with-a-credit-card-that-saves-trees-with-every-pur?partner=rss" TargetMode="External"/><Relationship Id="rId268" Type="http://schemas.openxmlformats.org/officeDocument/2006/relationships/hyperlink" Target="http://www.motherjones.com/politics/2013/09/new-study-politics-makes-you-innumerate" TargetMode="External"/><Relationship Id="rId389" Type="http://schemas.openxmlformats.org/officeDocument/2006/relationships/hyperlink" Target="http://blogs.ei.columbia.edu/2015/07/27/what-the-world-thinks-of-climate-change/" TargetMode="External"/><Relationship Id="rId6" Type="http://schemas.openxmlformats.org/officeDocument/2006/relationships/hyperlink" Target="http://home.uchicago.edu/~haggag/Default_Tips.pdf" TargetMode="External"/><Relationship Id="rId146" Type="http://schemas.openxmlformats.org/officeDocument/2006/relationships/hyperlink" Target="http://www.fastcoexist.com/3034104/the-climate-movement-needs-rebranding-but-these-milton-glazer-buttons-wont-do-it" TargetMode="External"/><Relationship Id="rId267" Type="http://schemas.openxmlformats.org/officeDocument/2006/relationships/hyperlink" Target="http://www.motherjones.com/politics/2011/03/denial-science-chris-mooney" TargetMode="External"/><Relationship Id="rId388" Type="http://schemas.openxmlformats.org/officeDocument/2006/relationships/hyperlink" Target="http://blogs.ei.columbia.edu/2014/03/11/using-fuel-economy-labels-to-help-consumers-save-money-and-the-environment/" TargetMode="External"/><Relationship Id="rId7" Type="http://schemas.openxmlformats.org/officeDocument/2006/relationships/hyperlink" Target="https://law.vanderbilt.edu/files/archive/202_Are-Risk-Regulators-Rational_Evidence-from-Hazardous-Waste-Cleanup-Decisions.pdf" TargetMode="External"/><Relationship Id="rId145" Type="http://schemas.openxmlformats.org/officeDocument/2006/relationships/hyperlink" Target="http://www.fastcocreate.com/3036634/nature-is-speaking-through-harrison-ford-julia-roberts-and-kevin-spacey-and-she-is-pissed" TargetMode="External"/><Relationship Id="rId266" Type="http://schemas.openxmlformats.org/officeDocument/2006/relationships/hyperlink" Target="https://mlmlblog.wordpress.com/2013/06/17/beyond-the-obituaries-the-shinning-stars-of-conservation-work/" TargetMode="External"/><Relationship Id="rId387" Type="http://schemas.openxmlformats.org/officeDocument/2006/relationships/hyperlink" Target="http://www.standard.net/Business/2015/01/24/The-next-energy-revolution-won-t-be-in-wind-or-solar-but-in-human-behavior.html" TargetMode="External"/><Relationship Id="rId8" Type="http://schemas.openxmlformats.org/officeDocument/2006/relationships/hyperlink" Target="http://ajph.aphapublications.org/doi/abs/10.2105/AJPH.84.1.43" TargetMode="External"/><Relationship Id="rId144" Type="http://schemas.openxmlformats.org/officeDocument/2006/relationships/hyperlink" Target="http://malmo.se/download/18.1388f79a149845ce3b910cd5/1415624861179/Enabling_sustainable_choices_webb_liten.pdf" TargetMode="External"/><Relationship Id="rId265" Type="http://schemas.openxmlformats.org/officeDocument/2006/relationships/hyperlink" Target="http://www.misbehavingbook.org/blog/2015/7/27/nudgespotting-behaviorally-informed-light-switches" TargetMode="External"/><Relationship Id="rId386" Type="http://schemas.openxmlformats.org/officeDocument/2006/relationships/hyperlink" Target="http://www.southernfriedscience.com/?p=18074" TargetMode="External"/><Relationship Id="rId260" Type="http://schemas.openxmlformats.org/officeDocument/2006/relationships/hyperlink" Target="http://www.medicaldaily.com/nature-walks-improve-mental-health-helping-people-avoid-rumination-341266" TargetMode="External"/><Relationship Id="rId381" Type="http://schemas.openxmlformats.org/officeDocument/2006/relationships/hyperlink" Target="https://sparq.stanford.edu/solutions/revealing-hypocrisy-boosts-water-conservation" TargetMode="External"/><Relationship Id="rId380" Type="http://schemas.openxmlformats.org/officeDocument/2006/relationships/hyperlink" Target="http://www.snap.is/magazine/paul-ferraro-sustainability-nudges-conservation/" TargetMode="External"/><Relationship Id="rId139" Type="http://schemas.openxmlformats.org/officeDocument/2006/relationships/hyperlink" Target="http://eab.sagepub.com/content/38/6/820.short" TargetMode="External"/><Relationship Id="rId138" Type="http://schemas.openxmlformats.org/officeDocument/2006/relationships/hyperlink" Target="http://eab.sagepub.com/content/43/5/612.short" TargetMode="External"/><Relationship Id="rId259" Type="http://schemas.openxmlformats.org/officeDocument/2006/relationships/hyperlink" Target="http://www.medicaldaily.com/energy-conservation-lesson-saving-lives-motivates-people-use-less-electricity-317442" TargetMode="External"/><Relationship Id="rId137" Type="http://schemas.openxmlformats.org/officeDocument/2006/relationships/hyperlink" Target="http://eab.sagepub.com/content/24/5/602" TargetMode="External"/><Relationship Id="rId258" Type="http://schemas.openxmlformats.org/officeDocument/2006/relationships/hyperlink" Target="http://www.medicaldaily.com/daily-show-and-colbert-report-may-be-why-so-many-more-people-believe-climate-change-346796" TargetMode="External"/><Relationship Id="rId379" Type="http://schemas.openxmlformats.org/officeDocument/2006/relationships/hyperlink" Target="http://www.smithsonianmag.com/science-nature/can-science-help-people-unlearn-their-unconscious-biases-180955789/?no-ist" TargetMode="External"/><Relationship Id="rId132" Type="http://schemas.openxmlformats.org/officeDocument/2006/relationships/hyperlink" Target="http://www.sciencedirect.com/science/article/pii/S0301421513000281%C2%A0%E2%80%A6" TargetMode="External"/><Relationship Id="rId253" Type="http://schemas.openxmlformats.org/officeDocument/2006/relationships/hyperlink" Target="https://marketinggreen.wordpress.com/2015/05/22/transforming-the-climate-conversation-through-social-video/" TargetMode="External"/><Relationship Id="rId374" Type="http://schemas.openxmlformats.org/officeDocument/2006/relationships/hyperlink" Target="http://www.searchenginejournal.com/7-principles-changing-behavior-danielpink-sxswi-2015-recap/128239/" TargetMode="External"/><Relationship Id="rId495" Type="http://schemas.openxmlformats.org/officeDocument/2006/relationships/hyperlink" Target="https://www.washingtonpost.com/news/wonk/wp/2014/12/11/the-7-psychological-reasons-that-are-stopping-us-from-acting-on-climate-change/" TargetMode="External"/><Relationship Id="rId131" Type="http://schemas.openxmlformats.org/officeDocument/2006/relationships/hyperlink" Target="http://www.sciencedirect.com/science/article/pii/S0301421513006174" TargetMode="External"/><Relationship Id="rId252" Type="http://schemas.openxmlformats.org/officeDocument/2006/relationships/hyperlink" Target="https://marketinggreen.wordpress.com/2015/05/22/innovative-black-carbon-certificates-fuel-traditional-cookstove-replacement/" TargetMode="External"/><Relationship Id="rId373" Type="http://schemas.openxmlformats.org/officeDocument/2006/relationships/hyperlink" Target="http://www.scientificamerican.com/article/virtual-reality-viewfinders-show-sea-level-rise-and-what-to-do-about-it/" TargetMode="External"/><Relationship Id="rId494" Type="http://schemas.openxmlformats.org/officeDocument/2006/relationships/hyperlink" Target="http://www.washingtonpost.com/news/energy-environment/wp/2015/03/19/the-surprising-reason-why-some-people-become-environmentalists-and-others-dont/" TargetMode="External"/><Relationship Id="rId130" Type="http://schemas.openxmlformats.org/officeDocument/2006/relationships/hyperlink" Target="https://www.researchgate.net/publication/23648560_Energy_sustainable_communities_Environmental_psychological_investigations" TargetMode="External"/><Relationship Id="rId251" Type="http://schemas.openxmlformats.org/officeDocument/2006/relationships/hyperlink" Target="https://www.google.com/url?sa=t&amp;rct=j&amp;q=&amp;esrc=s&amp;source=web&amp;cd=2&amp;cad=rja&amp;uact=8&amp;ved=0ahUKEwj2iMTei-_OAhVMHx4KHWEiBxgQFggjMAE&amp;url=https%3A%2F%2Fhalshs.archives-ouvertes.fr%2Fhal-00547701%2Fdocument&amp;usg=AFQjCNEv4NjyfMGOCu4v5tBiVGYEKjlbpg&amp;sig2=yFmBr31wVXuSmZ7z5es1Yw" TargetMode="External"/><Relationship Id="rId372" Type="http://schemas.openxmlformats.org/officeDocument/2006/relationships/hyperlink" Target="http://www.scientificamerican.com/article/games-help-save-energy/" TargetMode="External"/><Relationship Id="rId493" Type="http://schemas.openxmlformats.org/officeDocument/2006/relationships/hyperlink" Target="https://www.washingtonpost.com/news/energy-environment/wp/2016/04/27/this-key-psychological-factor-could-explain-why-you-care-about-the-environment/" TargetMode="External"/><Relationship Id="rId250" Type="http://schemas.openxmlformats.org/officeDocument/2006/relationships/hyperlink" Target="https://meam.openchannels.org/news/meam/tundi%E2%80%99s-take-marketing-conservation-ocean-serving-or-self-serving" TargetMode="External"/><Relationship Id="rId371" Type="http://schemas.openxmlformats.org/officeDocument/2006/relationships/hyperlink" Target="http://www.scientificamerican.com/article/what-do-farmers-think-about-climate-change/" TargetMode="External"/><Relationship Id="rId492" Type="http://schemas.openxmlformats.org/officeDocument/2006/relationships/hyperlink" Target="http://www.washingtonpost.com/news/energy-environment/wp/2015/02/18/the-term-that-actually-makes-climate-change-less-political/?postshare=761424787135937" TargetMode="External"/><Relationship Id="rId136" Type="http://schemas.openxmlformats.org/officeDocument/2006/relationships/hyperlink" Target="http://eab.sagepub.com/content/34/2/163.short" TargetMode="External"/><Relationship Id="rId257" Type="http://schemas.openxmlformats.org/officeDocument/2006/relationships/hyperlink" Target="http://voices.mckinseyonsociety.com/how-to-turn-consumers-green/" TargetMode="External"/><Relationship Id="rId378" Type="http://schemas.openxmlformats.org/officeDocument/2006/relationships/hyperlink" Target="http://www.smartthinkingbook.com/2014/08/do-you-prefer-more-choice-or-less-it.html" TargetMode="External"/><Relationship Id="rId499" Type="http://schemas.openxmlformats.org/officeDocument/2006/relationships/hyperlink" Target="http://www.washingtonpost.com/news/energy-environment/wp/2015/06/15/want-to-fix-the-world-start-by-making-clean-energy-a-default-setting/?postshare=2841434404402218" TargetMode="External"/><Relationship Id="rId135" Type="http://schemas.openxmlformats.org/officeDocument/2006/relationships/hyperlink" Target="http://www.eenews.net/stories/1060022688" TargetMode="External"/><Relationship Id="rId256" Type="http://schemas.openxmlformats.org/officeDocument/2006/relationships/hyperlink" Target="http://mavensnotebook.com/2015/03/18/responding-to-drought-options-for-demand-side-management-or-which-water-conservation-programs-actually-work/" TargetMode="External"/><Relationship Id="rId377" Type="http://schemas.openxmlformats.org/officeDocument/2006/relationships/hyperlink" Target="http://www.slate.com/blogs/the_world_/2013/12/05/do_older_countries_care_more_about_the_environment_nbsp.html" TargetMode="External"/><Relationship Id="rId498" Type="http://schemas.openxmlformats.org/officeDocument/2006/relationships/hyperlink" Target="https://www.washingtonpost.com/news/energy-environment/wp/2016/05/11/this-scientist-just-changed-how-we-think-about-climate-change-with-one-gif/" TargetMode="External"/><Relationship Id="rId134" Type="http://schemas.openxmlformats.org/officeDocument/2006/relationships/hyperlink" Target="https://www.researchgate.net/publication/262879224_Individual_and_household_interactions_with_energy_systems_Toward_integrated_understanding" TargetMode="External"/><Relationship Id="rId255" Type="http://schemas.openxmlformats.org/officeDocument/2006/relationships/hyperlink" Target="http://apps.olin.wustl.edu/workingpapers/pdf/2008-07-014.pdf" TargetMode="External"/><Relationship Id="rId376" Type="http://schemas.openxmlformats.org/officeDocument/2006/relationships/hyperlink" Target="http://www.slate.com/articles/news_and_politics/politics/2014/06/epa_emissions_regulations_and_climate_change_why_the_white_house_is_talking.html" TargetMode="External"/><Relationship Id="rId497" Type="http://schemas.openxmlformats.org/officeDocument/2006/relationships/hyperlink" Target="https://www.washingtonpost.com/posteverything/wp/2016/01/04/psychologists-have-discovered-the-secret-to-making-people-care-about-climate-change/?postshare=1441451917973467&amp;tid=ss_tw-bottom" TargetMode="External"/><Relationship Id="rId133" Type="http://schemas.openxmlformats.org/officeDocument/2006/relationships/hyperlink" Target="http://www.sciencedirect.com/science/article/pii/S0301421505002077" TargetMode="External"/><Relationship Id="rId254" Type="http://schemas.openxmlformats.org/officeDocument/2006/relationships/hyperlink" Target="https://marketinggreen.wordpress.com/2012/05/10/how-to-grow-consumer-attachment-to-green-brands/" TargetMode="External"/><Relationship Id="rId375" Type="http://schemas.openxmlformats.org/officeDocument/2006/relationships/hyperlink" Target="http://daily.sightline.org/2014/03/12/breaking-the-climate-fear-taboo/" TargetMode="External"/><Relationship Id="rId496" Type="http://schemas.openxmlformats.org/officeDocument/2006/relationships/hyperlink" Target="https://www.washingtonpost.com/news/energy-environment/wp/2016/04/14/whats-so-different-and-powerful-about-apples-newest-green-initiative/" TargetMode="External"/><Relationship Id="rId172" Type="http://schemas.openxmlformats.org/officeDocument/2006/relationships/hyperlink" Target="http://www.sciencedirect.com/science/article/pii/S0959378014000909" TargetMode="External"/><Relationship Id="rId293" Type="http://schemas.openxmlformats.org/officeDocument/2006/relationships/hyperlink" Target="http://www.npr.org/2013/09/27/226580668/how-recycling-bias-affects-what-you-toss-where" TargetMode="External"/><Relationship Id="rId171" Type="http://schemas.openxmlformats.org/officeDocument/2006/relationships/hyperlink" Target="http://www.sciencedirect.com/science/article/pii/S095937800500004X" TargetMode="External"/><Relationship Id="rId292" Type="http://schemas.openxmlformats.org/officeDocument/2006/relationships/hyperlink" Target="http://www.npr.org/blogs/13.7/2014/09/22/350519216/being-good-isnt-zero-sum?utm_source=facebook.com&amp;utm_medium=social&amp;utm_campaign=npr&amp;utm_term=nprnews&amp;utm_content=20140922" TargetMode="External"/><Relationship Id="rId170" Type="http://schemas.openxmlformats.org/officeDocument/2006/relationships/hyperlink" Target="http://papers.ssrn.com/sol3/papers.cfm?abstract_id=1304735" TargetMode="External"/><Relationship Id="rId291" Type="http://schemas.openxmlformats.org/officeDocument/2006/relationships/hyperlink" Target="http://www.npr.org/2015/05/05/404352534/blame-cognitive-biases-when-efforts-to-conserve-water-aren-t-effective" TargetMode="External"/><Relationship Id="rId290" Type="http://schemas.openxmlformats.org/officeDocument/2006/relationships/hyperlink" Target="http://www.acetiassociates.com/pubs/doverreport.pdf" TargetMode="External"/><Relationship Id="rId165" Type="http://schemas.openxmlformats.org/officeDocument/2006/relationships/hyperlink" Target="http://freakonomics.com/2008/11/14/a-commitment-device-for-energy-conservation/" TargetMode="External"/><Relationship Id="rId286" Type="http://schemas.openxmlformats.org/officeDocument/2006/relationships/hyperlink" Target="http://www.newsweek.com/our-brains-are-wired-hypocrisy-begley-80941" TargetMode="External"/><Relationship Id="rId164" Type="http://schemas.openxmlformats.org/officeDocument/2006/relationships/hyperlink" Target="http://frank.jou.ufl.edu/frankology/some-ghoulish-findings-about-fear-of-death-and-charitable-giving/" TargetMode="External"/><Relationship Id="rId285" Type="http://schemas.openxmlformats.org/officeDocument/2006/relationships/hyperlink" Target="http://www.newsinenglish.no/2012/11/20/smaller-plates-less-waste/" TargetMode="External"/><Relationship Id="rId163" Type="http://schemas.openxmlformats.org/officeDocument/2006/relationships/hyperlink" Target="http://frank.jou.ufl.edu/frankology/the-tree-huggers-got-it-right-the-link-between-compassion-and-conservation/" TargetMode="External"/><Relationship Id="rId284" Type="http://schemas.openxmlformats.org/officeDocument/2006/relationships/hyperlink" Target="http://www.nytimes.com/2008/07/13/world/europe/13paris.html?pagewanted=all" TargetMode="External"/><Relationship Id="rId162" Type="http://schemas.openxmlformats.org/officeDocument/2006/relationships/hyperlink" Target="http://frank.jou.ufl.edu/frankology/how-to-make-narcissists-think-green-is-the-new-black/" TargetMode="External"/><Relationship Id="rId283" Type="http://schemas.openxmlformats.org/officeDocument/2006/relationships/hyperlink" Target="http://www.nytimes.com/2011/10/16/technology/default-choices-are-hard-to-resist-online-or-not.html" TargetMode="External"/><Relationship Id="rId169" Type="http://schemas.openxmlformats.org/officeDocument/2006/relationships/hyperlink" Target="http://www.issuelab.org/resource/nudging_toward_a_healthy_natural_environment_how_behavioral_change_research_can_inform_conservation" TargetMode="External"/><Relationship Id="rId168" Type="http://schemas.openxmlformats.org/officeDocument/2006/relationships/hyperlink" Target="http://www.futurity.org/climate-policy-change-worries-farmers/?utm_source=Futurity+Today&amp;utm_campaign=b8bc7a0aa6-September_11_20139_11_2013&amp;utm_medium=email&amp;utm_term=0_e34e8ee443-b8bc7a0aa6-206307317" TargetMode="External"/><Relationship Id="rId289" Type="http://schemas.openxmlformats.org/officeDocument/2006/relationships/hyperlink" Target="http://home.uchicago.edu/davetannenbaum/documents/default%20information%20asymmetries.pdf" TargetMode="External"/><Relationship Id="rId167" Type="http://schemas.openxmlformats.org/officeDocument/2006/relationships/hyperlink" Target="http://www.futurity.org/renewable-energy-plans-944122/" TargetMode="External"/><Relationship Id="rId288" Type="http://schemas.openxmlformats.org/officeDocument/2006/relationships/hyperlink" Target="http://ftp.iza.org/dp7610.pdf" TargetMode="External"/><Relationship Id="rId166" Type="http://schemas.openxmlformats.org/officeDocument/2006/relationships/hyperlink" Target="http://www.futerra.co.uk/blog/whats-in-it-for-me" TargetMode="External"/><Relationship Id="rId287" Type="http://schemas.openxmlformats.org/officeDocument/2006/relationships/hyperlink" Target="http://www.nielsen.com/us/en/insights/news/2015/green-generation-millennials-say-sustainability-is-a-shopping-priority.html" TargetMode="External"/><Relationship Id="rId161" Type="http://schemas.openxmlformats.org/officeDocument/2006/relationships/hyperlink" Target="http://frank.jou.ufl.edu/frankology/meet-the-new-spokespeople-for-climate-change-politicians/" TargetMode="External"/><Relationship Id="rId282" Type="http://schemas.openxmlformats.org/officeDocument/2006/relationships/hyperlink" Target="http://www.nytimes.com/2007/04/12/opinion/12schwartz.html?pagewanted=2&amp;_r=0&amp;ei=5124&amp;en=5abe7f7de4d088be&amp;ex=1334116800&amp;partner=permalink&amp;exprod=permalink" TargetMode="External"/><Relationship Id="rId160" Type="http://schemas.openxmlformats.org/officeDocument/2006/relationships/hyperlink" Target="http://frameblog.org/2014/11/18/problems-need-solutions/" TargetMode="External"/><Relationship Id="rId281" Type="http://schemas.openxmlformats.org/officeDocument/2006/relationships/hyperlink" Target="http://www.nytimes.com/2014/04/09/opinion/global-warming-scare-tactics.html" TargetMode="External"/><Relationship Id="rId280" Type="http://schemas.openxmlformats.org/officeDocument/2006/relationships/hyperlink" Target="http://www.newrepublic.com/article/environment-energy/89377/poverty-escape-psychology-self-control" TargetMode="External"/><Relationship Id="rId159" Type="http://schemas.openxmlformats.org/officeDocument/2006/relationships/hyperlink" Target="http://frameblog.org/2015/01/07/valuing-the-science-of-climate-change/" TargetMode="External"/><Relationship Id="rId154" Type="http://schemas.openxmlformats.org/officeDocument/2006/relationships/hyperlink" Target="http://www.forbes.com/sites/neilpatel/2014/10/13/foot-in-the-door-technique-how-to-get-people-to-take-seamlessly-take-action/" TargetMode="External"/><Relationship Id="rId275" Type="http://schemas.openxmlformats.org/officeDocument/2006/relationships/hyperlink" Target="http://www.nature.com/news/let-s-think-about-cognitive-bias-1.18520" TargetMode="External"/><Relationship Id="rId396" Type="http://schemas.openxmlformats.org/officeDocument/2006/relationships/hyperlink" Target="http://talkingclimate.org/bypass-the-hang-ups-with-the-preparation-frame/" TargetMode="External"/><Relationship Id="rId153" Type="http://schemas.openxmlformats.org/officeDocument/2006/relationships/hyperlink" Target="http://www.forbes.com/sites/stevemeyer/2014/11/18/your-new-years-resolutions-will-fail-again-unless-you-do-this/" TargetMode="External"/><Relationship Id="rId274" Type="http://schemas.openxmlformats.org/officeDocument/2006/relationships/hyperlink" Target="http://www.sesync.org/news/climate-change-debate-echo-chambers" TargetMode="External"/><Relationship Id="rId395" Type="http://schemas.openxmlformats.org/officeDocument/2006/relationships/hyperlink" Target="http://www.takepart.com/article/2015/07/15/what-sea-level-rise-looks-america-coast?cmpid=organic-share-twitter" TargetMode="External"/><Relationship Id="rId152" Type="http://schemas.openxmlformats.org/officeDocument/2006/relationships/hyperlink" Target="http://fivethirtyeight.com/features/your-brain-is-primed-to-reach-false-conclusions/" TargetMode="External"/><Relationship Id="rId273" Type="http://schemas.openxmlformats.org/officeDocument/2006/relationships/hyperlink" Target="http://voices.nationalgeographic.com/2014/03/10/can-behavioral-economics-save-reefs/" TargetMode="External"/><Relationship Id="rId394" Type="http://schemas.openxmlformats.org/officeDocument/2006/relationships/hyperlink" Target="http://www.sustainablebrands.com/news_and_views/waste_not/hannah_furlong/trending_schemes_nyc_south_korea_helping_business_residents_?utm_source=Facebook&amp;utm_medium=posts&amp;utm_campaign=social" TargetMode="External"/><Relationship Id="rId151" Type="http://schemas.openxmlformats.org/officeDocument/2006/relationships/hyperlink" Target="http://www.ft.com/intl/cms/s/2/e98e2018-70ca-11e5-ad6d-f4ed76f0900a.html" TargetMode="External"/><Relationship Id="rId272" Type="http://schemas.openxmlformats.org/officeDocument/2006/relationships/hyperlink" Target="http://energyblog.nationalgeographic.com/2013/12/31/u-s-phase-out-of-incandescent-light-bulbs-continues-in-2014-with-40-60-watt-varieties/" TargetMode="External"/><Relationship Id="rId393" Type="http://schemas.openxmlformats.org/officeDocument/2006/relationships/hyperlink" Target="http://www.sustainablebrands.com/news_and_views/marketing_comms/brynn_mcnally/how_successfully_engage_consumers_around_water_sustaina?utm_source=Twitter&amp;utm_medium=schtweets&amp;utm_campaign=social" TargetMode="External"/><Relationship Id="rId158" Type="http://schemas.openxmlformats.org/officeDocument/2006/relationships/hyperlink" Target="http://frameblog.org/2014/08/25/instead-of-arguing-about-whether-climate-change-is-real-change-the-story/" TargetMode="External"/><Relationship Id="rId279" Type="http://schemas.openxmlformats.org/officeDocument/2006/relationships/hyperlink" Target="http://www.nejm.org/doi/full/10.1056/Nejmp1001784" TargetMode="External"/><Relationship Id="rId157" Type="http://schemas.openxmlformats.org/officeDocument/2006/relationships/hyperlink" Target="http://www.frameworksinstitute.org/assets/files/Employment/TKF_mtg_fullreport_final_2015.pdf" TargetMode="External"/><Relationship Id="rId278" Type="http://schemas.openxmlformats.org/officeDocument/2006/relationships/hyperlink" Target="http://www.nature.com/nclimate/journal/v2/n4/full/nclimate1378.htmlhttps:/www.dropbox.com/home/Root%20Solutions/Ayana/Mindfulness%20and%20Global%20Warming?preview=Climate+Change+and+Moral+Judgement.pdf" TargetMode="External"/><Relationship Id="rId399" Type="http://schemas.openxmlformats.org/officeDocument/2006/relationships/hyperlink" Target="http://talkingpointsmemo.com/news/red-state-cities-find-euphemisms-prepare-global-warming%C2%A0%E2%80%A6" TargetMode="External"/><Relationship Id="rId156" Type="http://schemas.openxmlformats.org/officeDocument/2006/relationships/hyperlink" Target="http://www.frameworksinstitute.org/assets/files/PDF_oceansclimate/climatechangeandtheocean_mm_final_2015.pdf" TargetMode="External"/><Relationship Id="rId277" Type="http://schemas.openxmlformats.org/officeDocument/2006/relationships/hyperlink" Target="http://www.nature.com/nclimate/journal/v2/n10/full/nclimate1547.html" TargetMode="External"/><Relationship Id="rId398" Type="http://schemas.openxmlformats.org/officeDocument/2006/relationships/hyperlink" Target="http://talkingclimate.org/5-strategies/" TargetMode="External"/><Relationship Id="rId155" Type="http://schemas.openxmlformats.org/officeDocument/2006/relationships/hyperlink" Target="http://www.frameworksinstitute.org/assets/files/occ_values.pdf" TargetMode="External"/><Relationship Id="rId276" Type="http://schemas.openxmlformats.org/officeDocument/2006/relationships/hyperlink" Target="http://search.proquest.com/openview/c6b68b3a938920008369c605bd2d7193/1?pq-origsite=gscholar&amp;cbl=1056412" TargetMode="External"/><Relationship Id="rId397" Type="http://schemas.openxmlformats.org/officeDocument/2006/relationships/hyperlink" Target="http://talkingclimate.org/personal-climate-stories/" TargetMode="External"/><Relationship Id="rId40" Type="http://schemas.openxmlformats.org/officeDocument/2006/relationships/hyperlink" Target="http://webarchive.nationalarchives.gov.uk/20130123162956/http:/archive.defra.gov.uk/environment/economy/documents/sustainable-life-framework.pdf" TargetMode="External"/><Relationship Id="rId42" Type="http://schemas.openxmlformats.org/officeDocument/2006/relationships/hyperlink" Target="http://changelabs.stanford.edu/sites/default/files/HabitsRoutinesSustainableLifestylesEVO502FinalSummaryReportNov20112.pdf" TargetMode="External"/><Relationship Id="rId41" Type="http://schemas.openxmlformats.org/officeDocument/2006/relationships/hyperlink" Target="http://changelabs.stanford.edu/sites/default/files/NEF_7_Principles_Behavior_Econ.pdf" TargetMode="External"/><Relationship Id="rId44" Type="http://schemas.openxmlformats.org/officeDocument/2006/relationships/hyperlink" Target="http://dl.acm.org/citation.cfm?id=1979659" TargetMode="External"/><Relationship Id="rId43" Type="http://schemas.openxmlformats.org/officeDocument/2006/relationships/hyperlink" Target="http://changingminds.org/techniques/general/sequential/fitd.htm" TargetMode="External"/><Relationship Id="rId46" Type="http://schemas.openxmlformats.org/officeDocument/2006/relationships/hyperlink" Target="http://www.chrisjordan.com/gallery/rtn2/" TargetMode="External"/><Relationship Id="rId45" Type="http://schemas.openxmlformats.org/officeDocument/2006/relationships/hyperlink" Target="http://smarterlunchrooms.org/SoftChalk_Lessons/NC_Module03/85225017-Smarter-Lunchrooms-Choices-2010.pdf" TargetMode="External"/><Relationship Id="rId509" Type="http://schemas.openxmlformats.org/officeDocument/2006/relationships/hyperlink" Target="https://www.washingtonpost.com/news/wonk/wp/2016/02/10/how-to-change-someones-mind-according-to-science/" TargetMode="External"/><Relationship Id="rId508" Type="http://schemas.openxmlformats.org/officeDocument/2006/relationships/hyperlink" Target="http://www.washingtonpost.com/wp-dyn/content/article/2009/01/05/AR2009010501863.html" TargetMode="External"/><Relationship Id="rId503" Type="http://schemas.openxmlformats.org/officeDocument/2006/relationships/hyperlink" Target="http://www.washingtonpost.com/news/energy-environment/wp/2015/02/27/we-could-be-reaping-much-bigger-carbon-cuts-by-changing-peoples-behavior/?postshare=7231425060735465" TargetMode="External"/><Relationship Id="rId502" Type="http://schemas.openxmlformats.org/officeDocument/2006/relationships/hyperlink" Target="http://www.washingtonpost.com/business/on-it/opower-keeps-improving-its-message-to-get-people-to-use-less-energy/2013/11/17/6c726aca-4bc5-11e3-ac54-aa84301ced81_story.html" TargetMode="External"/><Relationship Id="rId501" Type="http://schemas.openxmlformats.org/officeDocument/2006/relationships/hyperlink" Target="http://www.washingtonpost.com/news/energy-environment/wp/2015/04/04/how-to-get-californians-to-use-less-water-without-forcing-them-to/?postshare=7791428419899154" TargetMode="External"/><Relationship Id="rId500" Type="http://schemas.openxmlformats.org/officeDocument/2006/relationships/hyperlink" Target="http://www.washingtonpost.com/news/energy-environment/wp/2015/03/04/your-shower-is-wasting-huge-amounts-of-energy-and-water-heres-what-to-do-about-it/?postshare=9701427114030794" TargetMode="External"/><Relationship Id="rId507" Type="http://schemas.openxmlformats.org/officeDocument/2006/relationships/hyperlink" Target="http://www.washingtonpost.com/news/energy-environment/wp/2015/03/11/forget-what-your-neighbors-think-stop-dousing-your-lawn-with-so-much-fertilizer/?postshare=5611426249758304" TargetMode="External"/><Relationship Id="rId506" Type="http://schemas.openxmlformats.org/officeDocument/2006/relationships/hyperlink" Target="http://www.washingtonpost.com/news/energy-environment/wp/2015/05/26/viewing-nature-can-help-your-brain-work-better-study-finds/?postshare=5361432832740398" TargetMode="External"/><Relationship Id="rId505" Type="http://schemas.openxmlformats.org/officeDocument/2006/relationships/hyperlink" Target="https://www.washingtonpost.com/news/to-your-health/wp/2016/05/17/forest-bathing-is-latest-fitness-trend-to-hit-u-s-where-yoga-was-30-years-ago/" TargetMode="External"/><Relationship Id="rId504" Type="http://schemas.openxmlformats.org/officeDocument/2006/relationships/hyperlink" Target="https://www.washingtonpost.com/news/energy-environment/wp/2015/04/23/this-is-how-green-product-labels-affect-your-brain/?postshare=3861429878728924" TargetMode="External"/><Relationship Id="rId48" Type="http://schemas.openxmlformats.org/officeDocument/2006/relationships/hyperlink" Target="http://www.citylab.com/commute/2015/09/why-cyclists-form-stronger-commuting-habits-than-drivers/403069/" TargetMode="External"/><Relationship Id="rId47" Type="http://schemas.openxmlformats.org/officeDocument/2006/relationships/hyperlink" Target="http://brage.bibsys.no/xmlui/handle/11250/191992" TargetMode="External"/><Relationship Id="rId49" Type="http://schemas.openxmlformats.org/officeDocument/2006/relationships/hyperlink" Target="http://www.citylab.com/commute/2015/04/an-underrated-approach-to-cutting-car-commutes-peer-pressure/391514/?utm_source=SFTwitter" TargetMode="External"/><Relationship Id="rId31" Type="http://schemas.openxmlformats.org/officeDocument/2006/relationships/hyperlink" Target="http://www.businessinsider.com/cognitive-biases-2014-6?op=1" TargetMode="External"/><Relationship Id="rId30" Type="http://schemas.openxmlformats.org/officeDocument/2006/relationships/hyperlink" Target="http://www.businessinsider.com/subtle-grocery-store-psychological-biases-2015-6?r=UK" TargetMode="External"/><Relationship Id="rId33" Type="http://schemas.openxmlformats.org/officeDocument/2006/relationships/hyperlink" Target="http://www.call2recycle.org/curbside-recycling-will-convenience-increase-battery-collections/" TargetMode="External"/><Relationship Id="rId32" Type="http://schemas.openxmlformats.org/officeDocument/2006/relationships/hyperlink" Target="http://www.businessinsider.com/how-to-make-better-decisions-2015-6" TargetMode="External"/><Relationship Id="rId35" Type="http://schemas.openxmlformats.org/officeDocument/2006/relationships/hyperlink" Target="http://environmentalpolicy.ucdavis.edu/blog/2014/04/336" TargetMode="External"/><Relationship Id="rId34" Type="http://schemas.openxmlformats.org/officeDocument/2006/relationships/hyperlink" Target="http://www.politics.ubc.ca/fileadmin/user_upload/webhome/users/364/Why_Do_Citizens_Discount_the_Future_published.pdf" TargetMode="External"/><Relationship Id="rId37" Type="http://schemas.openxmlformats.org/officeDocument/2006/relationships/hyperlink" Target="http://environmentalpolicy.ucdavis.edu/node/291" TargetMode="External"/><Relationship Id="rId36" Type="http://schemas.openxmlformats.org/officeDocument/2006/relationships/hyperlink" Target="http://environmentalpolicy.ucdavis.edu/people/levy" TargetMode="External"/><Relationship Id="rId39" Type="http://schemas.openxmlformats.org/officeDocument/2006/relationships/hyperlink" Target="http://guide.cred.columbia.edu/pdfs/CREDguide_full-res.pdf" TargetMode="External"/><Relationship Id="rId38" Type="http://schemas.openxmlformats.org/officeDocument/2006/relationships/hyperlink" Target="https://www.google.com/url?sa=t&amp;rct=j&amp;q=&amp;esrc=s&amp;source=web&amp;cd=1&amp;ved=0ahUKEwjmzsLw5_vOAhUEySYKHTYcA0IQFgghMAA&amp;url=http%3A%2F%2Fenvironment.msu.edu%2Fclimatechange%2Fpresentations%2FCCGL.MarxWeber.pdf&amp;usg=AFQjCNH44KyCnTuDth8MKKS-glguJ8Jrpg&amp;sig2=eOYY8iAcFPB2HyzUoqHcyg" TargetMode="External"/><Relationship Id="rId20" Type="http://schemas.openxmlformats.org/officeDocument/2006/relationships/hyperlink" Target="http://papers.ssrn.com/sol3/papers.cfm?abstract_id=2173387" TargetMode="External"/><Relationship Id="rId22" Type="http://schemas.openxmlformats.org/officeDocument/2006/relationships/hyperlink" Target="http://blessedtomorrow.org/blog/multi-faith-survey-reveals-5-keys-communicating-climate-change?utm_content=buffer8728c&amp;utm_medium=social&amp;utm_source=twitter.com&amp;utm_campaign=buffer" TargetMode="External"/><Relationship Id="rId21" Type="http://schemas.openxmlformats.org/officeDocument/2006/relationships/hyperlink" Target="http://newsroom.haas.berkeley.edu/research-news/global-warming-science-or-sensation-feeling-warm-makes-people-more-likely-believe" TargetMode="External"/><Relationship Id="rId24" Type="http://schemas.openxmlformats.org/officeDocument/2006/relationships/hyperlink" Target="http://www.bloomberg.com/bw/articles/2013-04-04/with-clean-energy-default-rules-its-easy-being-green" TargetMode="External"/><Relationship Id="rId23" Type="http://schemas.openxmlformats.org/officeDocument/2006/relationships/hyperlink" Target="http://www.bloomberg.com/news/2014-08-29/nudging-can-save-europe-billions-of-euros-on-energy-bills.html" TargetMode="External"/><Relationship Id="rId409" Type="http://schemas.openxmlformats.org/officeDocument/2006/relationships/hyperlink" Target="http://theconversation.com/the-truth-is-out-there-so-how-do-you-debunk-a-myth-22641" TargetMode="External"/><Relationship Id="rId404" Type="http://schemas.openxmlformats.org/officeDocument/2006/relationships/hyperlink" Target="http://www.theatlantic.com/business/archive/2014/03/how-the-famous-marshmallow-study-explains-environmental-conservation/284190/" TargetMode="External"/><Relationship Id="rId525" Type="http://schemas.openxmlformats.org/officeDocument/2006/relationships/hyperlink" Target="http://www.sciencedirect.com/science/article/pii/0191260782900012" TargetMode="External"/><Relationship Id="rId403" Type="http://schemas.openxmlformats.org/officeDocument/2006/relationships/hyperlink" Target="http://www.theatlantic.com/business/archive/2015/05/an-economist-reads-marie-kondo/392921/" TargetMode="External"/><Relationship Id="rId524" Type="http://schemas.openxmlformats.org/officeDocument/2006/relationships/hyperlink" Target="http://link.springer.com/article/10.1023/A:1021234607980" TargetMode="External"/><Relationship Id="rId402" Type="http://schemas.openxmlformats.org/officeDocument/2006/relationships/hyperlink" Target="http://www.theatlantic.com/health/archive/2015/01/americans-believe-in-science-just-not-its-findings/384937/" TargetMode="External"/><Relationship Id="rId523" Type="http://schemas.openxmlformats.org/officeDocument/2006/relationships/hyperlink" Target="http://onlinelibrary.wiley.com/doi/10.1111/j.1432-2277.2005.00202.x/abstract" TargetMode="External"/><Relationship Id="rId401" Type="http://schemas.openxmlformats.org/officeDocument/2006/relationships/hyperlink" Target="http://www.azcentral.com/story/news/local/best-reads/2015/05/31/rewriting-story-petrified-national-monument-forest/28143093/" TargetMode="External"/><Relationship Id="rId522" Type="http://schemas.openxmlformats.org/officeDocument/2006/relationships/hyperlink" Target="http://www.toolsofchange.com/en/case-studies/detail/688/" TargetMode="External"/><Relationship Id="rId408" Type="http://schemas.openxmlformats.org/officeDocument/2006/relationships/hyperlink" Target="http://www.ncbi.nlm.nih.gov/pubmed/?term=Gardner%20B%5Bauth%5D" TargetMode="External"/><Relationship Id="rId529" Type="http://schemas.openxmlformats.org/officeDocument/2006/relationships/hyperlink" Target="http://www.treehugger.com/sustainable-product-design/simple-and-bizarre-thing-dramatically-reduces-littering.html" TargetMode="External"/><Relationship Id="rId407" Type="http://schemas.openxmlformats.org/officeDocument/2006/relationships/hyperlink" Target="http://www.behaviouralinsights.co.uk/north-america/how-can-a-letter-increase-sewer-bill-payments/" TargetMode="External"/><Relationship Id="rId528" Type="http://schemas.openxmlformats.org/officeDocument/2006/relationships/hyperlink" Target="http://www.treehugger.com/clean-technology/recycling-bins-34-more-effective-when-they-haveholes.html" TargetMode="External"/><Relationship Id="rId406" Type="http://schemas.openxmlformats.org/officeDocument/2006/relationships/hyperlink" Target="http://38r8om2xjhhl25mw24492dir.wpengine.netdna-cdn.com/wp-content/uploads/2015/07/behaviour-change-and-energy-use.pdf" TargetMode="External"/><Relationship Id="rId527" Type="http://schemas.openxmlformats.org/officeDocument/2006/relationships/hyperlink" Target="http://www.treehugger.com/sustainable-product-design/new-packaging-tells-you-how-to-reuse-it-creatively.html" TargetMode="External"/><Relationship Id="rId405" Type="http://schemas.openxmlformats.org/officeDocument/2006/relationships/hyperlink" Target="http://www.theatlantic.com/health/archive/2014/08/littering-and-following-the-crowd/374913/" TargetMode="External"/><Relationship Id="rId526" Type="http://schemas.openxmlformats.org/officeDocument/2006/relationships/hyperlink" Target="http://www.treehugger.com/corporate-responsibility/could-green-nudges-be-enough-push-us-better-direction.html" TargetMode="External"/><Relationship Id="rId26" Type="http://schemas.openxmlformats.org/officeDocument/2006/relationships/hyperlink" Target="http://www.biomedcentral.com/content/pdf/s12889-015-1691-8.pdf" TargetMode="External"/><Relationship Id="rId25" Type="http://schemas.openxmlformats.org/officeDocument/2006/relationships/hyperlink" Target="http://www.bloombergview.com/articles/2014-10-13/buyer-beware-of-cold-snaps" TargetMode="External"/><Relationship Id="rId28" Type="http://schemas.openxmlformats.org/officeDocument/2006/relationships/hyperlink" Target="http://www.bris.ac.uk/earthsciences/people/keri-a-mcnamara/index.html" TargetMode="External"/><Relationship Id="rId27" Type="http://schemas.openxmlformats.org/officeDocument/2006/relationships/hyperlink" Target="http://www.dailycamera.com/news/boulder/ci_28320818/right-sizing-debate-hits-boulder-council" TargetMode="External"/><Relationship Id="rId400" Type="http://schemas.openxmlformats.org/officeDocument/2006/relationships/hyperlink" Target="http://www.theage.com.au/it-pro/forget-facts-its-personality-that-rules-reactions-to-climate-change-20110527-1f8dl.html" TargetMode="External"/><Relationship Id="rId521" Type="http://schemas.openxmlformats.org/officeDocument/2006/relationships/hyperlink" Target="http://www.toolsofchange.com/English/CaseStudies/default.asp?ID=8" TargetMode="External"/><Relationship Id="rId29" Type="http://schemas.openxmlformats.org/officeDocument/2006/relationships/hyperlink" Target="http://cabot-institute.blogspot.co.uk/2015/06/the-great-climate-communication-clash.html" TargetMode="External"/><Relationship Id="rId520" Type="http://schemas.openxmlformats.org/officeDocument/2006/relationships/hyperlink" Target="http://www.toolsofchange.com/English/CaseStudies/?ID=156" TargetMode="External"/><Relationship Id="rId11" Type="http://schemas.openxmlformats.org/officeDocument/2006/relationships/hyperlink" Target="http://www.sciencedirect.com/science/article/pii/S0195666311004685" TargetMode="External"/><Relationship Id="rId10" Type="http://schemas.openxmlformats.org/officeDocument/2006/relationships/hyperlink" Target="https://dornsife.usc.edu/assets/sites/545/docs/Wendy_Wood_Research_Articles/wood.runger.2016.pdf" TargetMode="External"/><Relationship Id="rId13" Type="http://schemas.openxmlformats.org/officeDocument/2006/relationships/hyperlink" Target="http://www.sciencedirect.com/science/journal/00036870" TargetMode="External"/><Relationship Id="rId12" Type="http://schemas.openxmlformats.org/officeDocument/2006/relationships/hyperlink" Target="http://www.sciencedirect.com/science/article/pii/S0003687011001499" TargetMode="External"/><Relationship Id="rId519" Type="http://schemas.openxmlformats.org/officeDocument/2006/relationships/hyperlink" Target="http://www.toolsofchange.com/en/case-studies/detail/674" TargetMode="External"/><Relationship Id="rId514" Type="http://schemas.openxmlformats.org/officeDocument/2006/relationships/hyperlink" Target="http://thesecomefromtrees.blogspot.com/2009/08/wow-29-paper-towel-use-reduction-at.html" TargetMode="External"/><Relationship Id="rId513" Type="http://schemas.openxmlformats.org/officeDocument/2006/relationships/hyperlink" Target="http://www.thehumaneleague.com/changeofheart/e_plan.htm" TargetMode="External"/><Relationship Id="rId512" Type="http://schemas.openxmlformats.org/officeDocument/2006/relationships/hyperlink" Target="http://www.worldbank.org/en/news/feature/2014/10/01/greening-building-design-click-mouse?hootPostID=55b303f41aa136b30435ec6855926143" TargetMode="External"/><Relationship Id="rId511" Type="http://schemas.openxmlformats.org/officeDocument/2006/relationships/hyperlink" Target="http://www.worldbank.org/en/news/feature/2015/05/11/decarbonizing-development-zero-carbon-future?CID=CCG_TTccgEN_D_EXT" TargetMode="External"/><Relationship Id="rId518" Type="http://schemas.openxmlformats.org/officeDocument/2006/relationships/hyperlink" Target="http://swampland.time.com/2013/08/09/nudge-back-in-fashion-at-white-house/" TargetMode="External"/><Relationship Id="rId517" Type="http://schemas.openxmlformats.org/officeDocument/2006/relationships/hyperlink" Target="http://content.time.com/time/health/article/0,8599,2074067-1,00.html" TargetMode="External"/><Relationship Id="rId516" Type="http://schemas.openxmlformats.org/officeDocument/2006/relationships/hyperlink" Target="http://thinkprogress.org/climate/2016/05/23/3780854/portland-textbooks-climate-change/" TargetMode="External"/><Relationship Id="rId515" Type="http://schemas.openxmlformats.org/officeDocument/2006/relationships/hyperlink" Target="http://thinkprogress.org/climate/2015/06/23/3673153/communicating-climate-change-public-health/" TargetMode="External"/><Relationship Id="rId15" Type="http://schemas.openxmlformats.org/officeDocument/2006/relationships/hyperlink" Target="https://www.google.com/url?sa=t&amp;rct=j&amp;q=&amp;esrc=s&amp;source=web&amp;cd=1&amp;cad=rja&amp;uact=8&amp;ved=0ahUKEwj_xMLugu_OAhXGKyYKHcTcDVkQFgghMAA&amp;url=http%3A%2F%2Fciteseerx.ist.psu.edu%2Fviewdoc%2Fdownload%3Fdoi%3D10.1.1.659.3377%26rep%3Drep1%26type%3Dpdf&amp;usg=AFQjCNH8DMpfYStCNNaoK6_wmdX9Byva9A&amp;sig2=eYctN5wCYpk3PXCgdWn3aA" TargetMode="External"/><Relationship Id="rId14" Type="http://schemas.openxmlformats.org/officeDocument/2006/relationships/hyperlink" Target="https://appmothers.wordpress.com/2015/02/26/critical-thinking-first-remove-bias/" TargetMode="External"/><Relationship Id="rId17" Type="http://schemas.openxmlformats.org/officeDocument/2006/relationships/hyperlink" Target="http://www.psychologicalscience.org/index.php/news/releases/people-value-resources-more-consistently-when-they-are-scarce.html" TargetMode="External"/><Relationship Id="rId16" Type="http://schemas.openxmlformats.org/officeDocument/2006/relationships/hyperlink" Target="https://www.researchgate.net/publication/267643657_Seven_Cognitive_Concepts_for_Successful_Sustainable_Design" TargetMode="External"/><Relationship Id="rId19" Type="http://schemas.openxmlformats.org/officeDocument/2006/relationships/hyperlink" Target="http://www.sciencedirect.com/science/article/pii/S0005789480800074" TargetMode="External"/><Relationship Id="rId510" Type="http://schemas.openxmlformats.org/officeDocument/2006/relationships/hyperlink" Target="http://www-wds.worldbank.org/external/default/WDSContentServer/WDSP/IB/2003/07/26/000094946_03071512065261/Rendered/PDF/multi0page.pdf" TargetMode="External"/><Relationship Id="rId18" Type="http://schemas.openxmlformats.org/officeDocument/2006/relationships/hyperlink" Target="https://medium.com/backchannel/conserving-water-with-software-and-shame-3a846c01b811" TargetMode="External"/><Relationship Id="rId84" Type="http://schemas.openxmlformats.org/officeDocument/2006/relationships/hyperlink" Target="http://bob-mccown.com/wp-content/uploads/2011/10/124_HochmanEtAl2000FARMSCAPEexperience.pdf" TargetMode="External"/><Relationship Id="rId83" Type="http://schemas.openxmlformats.org/officeDocument/2006/relationships/hyperlink" Target="http://valuesandframes.org/no-cause-is-an-island/" TargetMode="External"/><Relationship Id="rId86" Type="http://schemas.openxmlformats.org/officeDocument/2006/relationships/hyperlink" Target="http://blogs.discovermagazine.com/notrocketscience/2010/10/19/when-in-doubt-shout-%E2%80%93-why-shaking-someone%E2%80%99s-beliefs-turns-them-into-stronger-advocates/" TargetMode="External"/><Relationship Id="rId85" Type="http://schemas.openxmlformats.org/officeDocument/2006/relationships/hyperlink" Target="http://blogs.discovermagazine.com/intersection/2011/05/05/what-is-motivated-reasoning-how-does-it-work-dan-kahan-answers/" TargetMode="External"/><Relationship Id="rId88" Type="http://schemas.openxmlformats.org/officeDocument/2006/relationships/hyperlink" Target="http://www.earthmagazine.org/article/comment-our-flawed-perceptions-risk" TargetMode="External"/><Relationship Id="rId87" Type="http://schemas.openxmlformats.org/officeDocument/2006/relationships/hyperlink" Target="http://distractify.com/old-school/2014/05/29/powerful-social-advertisements-1197697406" TargetMode="External"/><Relationship Id="rId89" Type="http://schemas.openxmlformats.org/officeDocument/2006/relationships/hyperlink" Target="http://ecoaffect.org/2015/03/24/why-one-climate-friendly-action-doesnt-always-lead-to-another-and-what-to-do-about-it/" TargetMode="External"/><Relationship Id="rId80" Type="http://schemas.openxmlformats.org/officeDocument/2006/relationships/hyperlink" Target="http://link.springer.com/article/10.1007/s10584-006-9060-3" TargetMode="External"/><Relationship Id="rId82" Type="http://schemas.openxmlformats.org/officeDocument/2006/relationships/hyperlink" Target="http://valuesandframes.org/some-psychological-consequences-of-putting-a-price-on-nature/" TargetMode="External"/><Relationship Id="rId81" Type="http://schemas.openxmlformats.org/officeDocument/2006/relationships/hyperlink" Target="http://edition.cnn.com/2012/02/08/tech/innovation/green-nudge-environment-persuasion/index.html?hpt=hp_c3" TargetMode="External"/><Relationship Id="rId73" Type="http://schemas.openxmlformats.org/officeDocument/2006/relationships/hyperlink" Target="http://www.climateoutreach.org.uk/download/3803/" TargetMode="External"/><Relationship Id="rId72" Type="http://schemas.openxmlformats.org/officeDocument/2006/relationships/hyperlink" Target="http://climateoutreach.org/ocean-acidification/" TargetMode="External"/><Relationship Id="rId75" Type="http://schemas.openxmlformats.org/officeDocument/2006/relationships/hyperlink" Target="http://www.climateaccess.org/blog/know-thy-audience" TargetMode="External"/><Relationship Id="rId74" Type="http://schemas.openxmlformats.org/officeDocument/2006/relationships/hyperlink" Target="http://www.climateaccess.org/blog/7-ways-talk-about-climate-impacts-just-about-anyone-yes-even-republicans" TargetMode="External"/><Relationship Id="rId77" Type="http://schemas.openxmlformats.org/officeDocument/2006/relationships/hyperlink" Target="http://www.scientificamerican.com/article/how-to-talk-global-warming-in-plain-english/" TargetMode="External"/><Relationship Id="rId76" Type="http://schemas.openxmlformats.org/officeDocument/2006/relationships/hyperlink" Target="http://www.climateaccess.org/blog/why-groups-need-be-ready-climate-crisis-events-deepwater-spill" TargetMode="External"/><Relationship Id="rId79" Type="http://schemas.openxmlformats.org/officeDocument/2006/relationships/hyperlink" Target="http://t.co/6DlzfY3VHl" TargetMode="External"/><Relationship Id="rId78" Type="http://schemas.openxmlformats.org/officeDocument/2006/relationships/hyperlink" Target="http://www.eenews.net/climatewire/2015/02/06/stories/1060013001" TargetMode="External"/><Relationship Id="rId71" Type="http://schemas.openxmlformats.org/officeDocument/2006/relationships/hyperlink" Target="http://climateoutreach.org/here-and-now-not-there-and-then/" TargetMode="External"/><Relationship Id="rId70" Type="http://schemas.openxmlformats.org/officeDocument/2006/relationships/hyperlink" Target="http://climateoutreach.org/finding-the-right-words-shaping-an-effective-climate-change-narrative/" TargetMode="External"/><Relationship Id="rId62" Type="http://schemas.openxmlformats.org/officeDocument/2006/relationships/hyperlink" Target="http://www.climateaccess.org/sites/default/files/TEA_Climate_Engagement_Principles.pdf" TargetMode="External"/><Relationship Id="rId61" Type="http://schemas.openxmlformats.org/officeDocument/2006/relationships/hyperlink" Target="http://www.climateaccess.org/blog/case-study-visuals-and-conversation-help-deepen-engagement-climate-impacts" TargetMode="External"/><Relationship Id="rId64" Type="http://schemas.openxmlformats.org/officeDocument/2006/relationships/hyperlink" Target="http://www.climatechangenews.com/2015/07/09/how-to-talk-about-uncertainty-in-climate-science/" TargetMode="External"/><Relationship Id="rId63" Type="http://schemas.openxmlformats.org/officeDocument/2006/relationships/hyperlink" Target="http://www.climatechangenews.com/2016/03/24/framing-climate-risk-we-need-more-than-a-few-magic-words/" TargetMode="External"/><Relationship Id="rId66" Type="http://schemas.openxmlformats.org/officeDocument/2006/relationships/hyperlink" Target="http://climateoutreach.org/climate-faith/" TargetMode="External"/><Relationship Id="rId65" Type="http://schemas.openxmlformats.org/officeDocument/2006/relationships/hyperlink" Target="http://www.climatechangenews.com/2016/01/14/28197/" TargetMode="External"/><Relationship Id="rId68" Type="http://schemas.openxmlformats.org/officeDocument/2006/relationships/hyperlink" Target="http://climateoutreach.org/resources/centre-right-renewable-energy/" TargetMode="External"/><Relationship Id="rId67" Type="http://schemas.openxmlformats.org/officeDocument/2006/relationships/hyperlink" Target="http://climateoutreach.org/introducing-climate-visuals-an-innovative-new-resource-for-visual-climate-change-communication/" TargetMode="External"/><Relationship Id="rId60" Type="http://schemas.openxmlformats.org/officeDocument/2006/relationships/hyperlink" Target="http://www.climateaccess.org/blog/building-local-support-carbon-rules" TargetMode="External"/><Relationship Id="rId69" Type="http://schemas.openxmlformats.org/officeDocument/2006/relationships/hyperlink" Target="http://www.climateoutreach.org.uk/engaging-the-public-on-drought-risks-stories-about-security/" TargetMode="External"/><Relationship Id="rId51" Type="http://schemas.openxmlformats.org/officeDocument/2006/relationships/hyperlink" Target="http://www.climateaccess.org/blog/using-new-economic-frames-drive-climate-action" TargetMode="External"/><Relationship Id="rId50" Type="http://schemas.openxmlformats.org/officeDocument/2006/relationships/hyperlink" Target="http://www.climateaccess.org/blog/next-steps-towards-new-kind-climate-movement" TargetMode="External"/><Relationship Id="rId53" Type="http://schemas.openxmlformats.org/officeDocument/2006/relationships/hyperlink" Target="http://www.climateaccess.org/blog/communicating-through-shared-values" TargetMode="External"/><Relationship Id="rId52" Type="http://schemas.openxmlformats.org/officeDocument/2006/relationships/hyperlink" Target="http://www.climateaccess.org/blog/what-you-need-know-about-changing-climate-conversation" TargetMode="External"/><Relationship Id="rId55" Type="http://schemas.openxmlformats.org/officeDocument/2006/relationships/hyperlink" Target="http://www.climateaccess.org/blog/highlights-hub" TargetMode="External"/><Relationship Id="rId54" Type="http://schemas.openxmlformats.org/officeDocument/2006/relationships/hyperlink" Target="http://www.climateaccess.org/blog/connecting-climate-health-and-opportunity" TargetMode="External"/><Relationship Id="rId57" Type="http://schemas.openxmlformats.org/officeDocument/2006/relationships/hyperlink" Target="http://www.climateaccess.org/blog/inspire-action-through-smart-imagery" TargetMode="External"/><Relationship Id="rId56" Type="http://schemas.openxmlformats.org/officeDocument/2006/relationships/hyperlink" Target="https://hootsuite.com/dashboard" TargetMode="External"/><Relationship Id="rId59" Type="http://schemas.openxmlformats.org/officeDocument/2006/relationships/hyperlink" Target="http://www.climateaccess.org/blog/human-conversations-about-climate-change" TargetMode="External"/><Relationship Id="rId58" Type="http://schemas.openxmlformats.org/officeDocument/2006/relationships/hyperlink" Target="http://www.climateaccess.org/blog/using-humor-effectively-communicate-climate-change" TargetMode="External"/><Relationship Id="rId107" Type="http://schemas.openxmlformats.org/officeDocument/2006/relationships/hyperlink" Target="http://ecoaffect.org/2016/05/25/want-to-make-climate-impacts-more-relatable-start-with-water/" TargetMode="External"/><Relationship Id="rId228" Type="http://schemas.openxmlformats.org/officeDocument/2006/relationships/hyperlink" Target="http://www.sciencedirect.com/science/article/pii/S0272494400901907" TargetMode="External"/><Relationship Id="rId349" Type="http://schemas.openxmlformats.org/officeDocument/2006/relationships/hyperlink" Target="http://www.resource-media.org/moving-beyond-organic-versus-conventional-when-it-comes-to-feeding-the-world/" TargetMode="External"/><Relationship Id="rId106" Type="http://schemas.openxmlformats.org/officeDocument/2006/relationships/hyperlink" Target="http://ecoaffect.org/2015/09/16/3-lessons-for-communicating-the-value-of-energy-efficiency/" TargetMode="External"/><Relationship Id="rId227" Type="http://schemas.openxmlformats.org/officeDocument/2006/relationships/hyperlink" Target="http://www.sciencedirect.com/science/article/pii/S0095069611000982" TargetMode="External"/><Relationship Id="rId348" Type="http://schemas.openxmlformats.org/officeDocument/2006/relationships/hyperlink" Target="http://www.resource-media.org/3-lessons-from-testing-images-and-appeals-for-online-action-in-2014/" TargetMode="External"/><Relationship Id="rId469" Type="http://schemas.openxmlformats.org/officeDocument/2006/relationships/hyperlink" Target="http://www.nytimes.com/2013/08/28/dining/wooing-us-down-the-produce-aisle.html" TargetMode="External"/><Relationship Id="rId105" Type="http://schemas.openxmlformats.org/officeDocument/2006/relationships/hyperlink" Target="http://ecoaffect.org/2015/04/17/why-do-you-care-about-climate-change-how-making-it-personal-can-drive-people-to-action/" TargetMode="External"/><Relationship Id="rId226" Type="http://schemas.openxmlformats.org/officeDocument/2006/relationships/hyperlink" Target="http://digitalcommons.law.yale.edu/cgi/viewcontent.cgi?article=1554&amp;context=fss_papers" TargetMode="External"/><Relationship Id="rId347" Type="http://schemas.openxmlformats.org/officeDocument/2006/relationships/hyperlink" Target="http://www.research-live.com/features/motivations-and-money-raising-in-a-social-media-world/4012202.article" TargetMode="External"/><Relationship Id="rId468" Type="http://schemas.openxmlformats.org/officeDocument/2006/relationships/hyperlink" Target="http://www.nytimes.com/2011/08/15/education/15energy.html?src=me&amp;ref=general" TargetMode="External"/><Relationship Id="rId104" Type="http://schemas.openxmlformats.org/officeDocument/2006/relationships/hyperlink" Target="http://ecoaffect.org/2015/12/18/putting-people-first-3-ways-to-approach-climate-communications-2/" TargetMode="External"/><Relationship Id="rId225" Type="http://schemas.openxmlformats.org/officeDocument/2006/relationships/hyperlink" Target="http://www.chicagobooth.edu/research/workshops/marketing/archive/WorkshopPapers/Skeptical%20Shoppers.pdf" TargetMode="External"/><Relationship Id="rId346" Type="http://schemas.openxmlformats.org/officeDocument/2006/relationships/hyperlink" Target="http://www.regblog.org/2015/05/13/punchak-behavioral-science/" TargetMode="External"/><Relationship Id="rId467" Type="http://schemas.openxmlformats.org/officeDocument/2006/relationships/hyperlink" Target="http://www.nytimes.com/2009/01/31/science/earth/31compete.html?_r=0" TargetMode="External"/><Relationship Id="rId109" Type="http://schemas.openxmlformats.org/officeDocument/2006/relationships/hyperlink" Target="http://ecoamerica.org/wp-content/uploads/2016/06/ecoAmerica-15-Steps-To-Create-Effective-Climate-Communications.pdf" TargetMode="External"/><Relationship Id="rId108" Type="http://schemas.openxmlformats.org/officeDocument/2006/relationships/hyperlink" Target="http://ecoamerica.org/wp-content/uploads/2014/03/eA_2012_CampaignsII_Report.pdf" TargetMode="External"/><Relationship Id="rId229" Type="http://schemas.openxmlformats.org/officeDocument/2006/relationships/hyperlink" Target="http://www.sciencedirect.com/science/article/pii/S0272494410000319" TargetMode="External"/><Relationship Id="rId220" Type="http://schemas.openxmlformats.org/officeDocument/2006/relationships/hyperlink" Target="http://inudgeyou.com/green-nudge-nudging-litter-into-the-bin/" TargetMode="External"/><Relationship Id="rId341" Type="http://schemas.openxmlformats.org/officeDocument/2006/relationships/hyperlink" Target="https://www.psychologytoday.com/blog/happiness-in-world/201302/how-ensure-youre-almost-always-right" TargetMode="External"/><Relationship Id="rId462" Type="http://schemas.openxmlformats.org/officeDocument/2006/relationships/hyperlink" Target="http://tierneylab.blogs.nytimes.com/2010/01/27/monkeys-candy-and-cognitive-dissonance/?_r=0" TargetMode="External"/><Relationship Id="rId340" Type="http://schemas.openxmlformats.org/officeDocument/2006/relationships/hyperlink" Target="https://www.psychologytoday.com/blog/dont-delay/201001/implementation-intentions-facilitate-action-control" TargetMode="External"/><Relationship Id="rId461" Type="http://schemas.openxmlformats.org/officeDocument/2006/relationships/hyperlink" Target="http://www.nytimes.com/2014/11/02/business/that-devil-on-your-shoulder-likes-to-sleep-in.html?smid=fb-share" TargetMode="External"/><Relationship Id="rId460" Type="http://schemas.openxmlformats.org/officeDocument/2006/relationships/hyperlink" Target="http://www.nytimes.com/2015/09/27/opinion/sunday/the-curious-politics-of-the-nudge.html?smid=tw-nytopinion&amp;smtyp=cur" TargetMode="External"/><Relationship Id="rId103" Type="http://schemas.openxmlformats.org/officeDocument/2006/relationships/hyperlink" Target="http://ecoaffect.org/2015/12/11/13612/" TargetMode="External"/><Relationship Id="rId224" Type="http://schemas.openxmlformats.org/officeDocument/2006/relationships/hyperlink" Target="http://onlinelibrary.wiley.com/doi/10.1111/j.1559-1816.2002.tb00216.x/abstract" TargetMode="External"/><Relationship Id="rId345" Type="http://schemas.openxmlformats.org/officeDocument/2006/relationships/hyperlink" Target="http://www.retirementmadesimpler.org/Library/The%20Power%20of%20Suggestion-%20Inertia%20in%20401(k).pdf" TargetMode="External"/><Relationship Id="rId466" Type="http://schemas.openxmlformats.org/officeDocument/2006/relationships/hyperlink" Target="http://www.nytimes.com/2014/04/04/business/energy-environment/energy-saving-company-set-for-public-offering.html" TargetMode="External"/><Relationship Id="rId102" Type="http://schemas.openxmlformats.org/officeDocument/2006/relationships/hyperlink" Target="http://ecoaffect.org/2016/04/04/climate-messaging-lessons-from-the-marriage-equality-movement/" TargetMode="External"/><Relationship Id="rId223" Type="http://schemas.openxmlformats.org/officeDocument/2006/relationships/hyperlink" Target="http://www.ncbi.nlm.nih.gov/pmc/articles/PMC1297743/pdf/jaba00012-0109.pdf" TargetMode="External"/><Relationship Id="rId344" Type="http://schemas.openxmlformats.org/officeDocument/2006/relationships/hyperlink" Target="http://valuesandframes.org/initiative/nature/" TargetMode="External"/><Relationship Id="rId465" Type="http://schemas.openxmlformats.org/officeDocument/2006/relationships/hyperlink" Target="http://www.nytimes.com/2015/03/01/opinion/sunday/is-the-environment-a-moral-cause.html" TargetMode="External"/><Relationship Id="rId101" Type="http://schemas.openxmlformats.org/officeDocument/2006/relationships/hyperlink" Target="http://ecoaffect.org/2015/11/06/9-best-practices-for-engaging-the-public-on-climate-related-flood-risks/" TargetMode="External"/><Relationship Id="rId222" Type="http://schemas.openxmlformats.org/officeDocument/2006/relationships/hyperlink" Target="http://www.ncbi.nlm.nih.gov/pmc/articles/PMC1308167/pdf/jaba00050-0077.pdf" TargetMode="External"/><Relationship Id="rId343" Type="http://schemas.openxmlformats.org/officeDocument/2006/relationships/hyperlink" Target="https://www.psychologytoday.com/blog/the-green-mind/201311/despair-courage-hope-in-age-environmental-turmoil" TargetMode="External"/><Relationship Id="rId464" Type="http://schemas.openxmlformats.org/officeDocument/2006/relationships/hyperlink" Target="http://www.nytimes.com/2015/02/17/science/earth/in-climate-change-whats-in-a-name.html?action=click&amp;pgtype=Homepage&amp;module=c-column-middle-span-region&amp;region=c-column-middle-span-region&amp;WT.nav=c-column-middle-span-region" TargetMode="External"/><Relationship Id="rId100" Type="http://schemas.openxmlformats.org/officeDocument/2006/relationships/hyperlink" Target="http://ecoaffect.org/2015/07/17/3-ways-to-improve-your-climate-conversations/" TargetMode="External"/><Relationship Id="rId221" Type="http://schemas.openxmlformats.org/officeDocument/2006/relationships/hyperlink" Target="http://irrationallabs.org/2015/10/a-long-list-of-examples-of-be-tech/" TargetMode="External"/><Relationship Id="rId342" Type="http://schemas.openxmlformats.org/officeDocument/2006/relationships/hyperlink" Target="https://www.psychologytoday.com/blog/dont-delay/201208/the-power-hypocrisy" TargetMode="External"/><Relationship Id="rId463" Type="http://schemas.openxmlformats.org/officeDocument/2006/relationships/hyperlink" Target="http://www.nytimes.com/2014/05/09/upshot/vaccine-opponents-can-be-immune-to-education.html?partner=rss&amp;emc=rss&amp;smid=tw-upshot&amp;_r=2&amp;abt=0002&amp;abg=0" TargetMode="External"/><Relationship Id="rId217" Type="http://schemas.openxmlformats.org/officeDocument/2006/relationships/hyperlink" Target="http://inudgeyou.com/nudge-for-reducing-junk-ads/" TargetMode="External"/><Relationship Id="rId338" Type="http://schemas.openxmlformats.org/officeDocument/2006/relationships/hyperlink" Target="https://www.psychologytoday.com/blog/the-power-prime/201305/cognitive-biases-are-bad-business" TargetMode="External"/><Relationship Id="rId459" Type="http://schemas.openxmlformats.org/officeDocument/2006/relationships/hyperlink" Target="http://dotearth.blogs.nytimes.com/2014/11/10/how-solution-aversion-and-global-warming-prescriptions-polarize-the-climate-debate/?emc=edit_tnt_20141111&amp;nlid=59604398&amp;tntemail0=y&amp;_r=2" TargetMode="External"/><Relationship Id="rId216" Type="http://schemas.openxmlformats.org/officeDocument/2006/relationships/hyperlink" Target="http://inudgeyou.com/click/" TargetMode="External"/><Relationship Id="rId337" Type="http://schemas.openxmlformats.org/officeDocument/2006/relationships/hyperlink" Target="https://www.psychologytoday.com/blog/culture-conscious/201306/is-cognitive-dissonance-universal" TargetMode="External"/><Relationship Id="rId458" Type="http://schemas.openxmlformats.org/officeDocument/2006/relationships/hyperlink" Target="http://www.nytimes.com/roomfordebate/2015/01/04/are-conspiracy-theories-all-bad-17/the-negative-social-impact-of-conspiracy-theories" TargetMode="External"/><Relationship Id="rId215" Type="http://schemas.openxmlformats.org/officeDocument/2006/relationships/hyperlink" Target="http://nationalforum.com/Electronic%20Journal%20Volumes/Lunenburg,%20Fred%20C.%20Self-Efficacy%20in%20the%20Workplace%20IJMBA%20V14%20N1%202011.pdf" TargetMode="External"/><Relationship Id="rId336" Type="http://schemas.openxmlformats.org/officeDocument/2006/relationships/hyperlink" Target="http://psychologyofeating.com/simple-psychology-habits/" TargetMode="External"/><Relationship Id="rId457" Type="http://schemas.openxmlformats.org/officeDocument/2006/relationships/hyperlink" Target="http://www.nber.org/papers/w19510" TargetMode="External"/><Relationship Id="rId214" Type="http://schemas.openxmlformats.org/officeDocument/2006/relationships/hyperlink" Target="http://www.sciencedirect.com/science/article/pii/S1750583612000503" TargetMode="External"/><Relationship Id="rId335" Type="http://schemas.openxmlformats.org/officeDocument/2006/relationships/hyperlink" Target="http://www.psychologicalscience.org/index.php/news/were-only-human/the-perils-of-adolescence.html" TargetMode="External"/><Relationship Id="rId456" Type="http://schemas.openxmlformats.org/officeDocument/2006/relationships/hyperlink" Target="http://www.huffingtonpost.com/2010/09/30/8-clever-and-innovative-w_n_736668.html" TargetMode="External"/><Relationship Id="rId219" Type="http://schemas.openxmlformats.org/officeDocument/2006/relationships/hyperlink" Target="http://inudgeyou.com/green-footprints-ashfield/" TargetMode="External"/><Relationship Id="rId218" Type="http://schemas.openxmlformats.org/officeDocument/2006/relationships/hyperlink" Target="http://inudgeyou.com/archives/6638" TargetMode="External"/><Relationship Id="rId339" Type="http://schemas.openxmlformats.org/officeDocument/2006/relationships/hyperlink" Target="https://www.psychologytoday.com/blog/presence-mind/201305/are-you-sustainability-hypocrite" TargetMode="External"/><Relationship Id="rId330" Type="http://schemas.openxmlformats.org/officeDocument/2006/relationships/hyperlink" Target="http://www.ncbi.nlm.nih.gov/pubmed/12930475" TargetMode="External"/><Relationship Id="rId451" Type="http://schemas.openxmlformats.org/officeDocument/2006/relationships/hyperlink" Target="http://www.huffingtonpost.com/entry/climate-change-psychology_us_571ead75e4b0f309baee5b9b" TargetMode="External"/><Relationship Id="rId572" Type="http://schemas.openxmlformats.org/officeDocument/2006/relationships/hyperlink" Target="http://bit.ly/1BZKqpC" TargetMode="External"/><Relationship Id="rId450" Type="http://schemas.openxmlformats.org/officeDocument/2006/relationships/hyperlink" Target="http://www.huffingtonpost.com/wray-herbert/remember-me-personal-lega_b_5991314.html" TargetMode="External"/><Relationship Id="rId571" Type="http://schemas.openxmlformats.org/officeDocument/2006/relationships/hyperlink" Target="http://www.zerowastescotland.org.uk/content/edinburgh-%E2%80%98nudging%E2%80%99-success-recycling" TargetMode="External"/><Relationship Id="rId570" Type="http://schemas.openxmlformats.org/officeDocument/2006/relationships/hyperlink" Target="http://www.zerowastescotland.org.uk/content/edinburgh-%E2%80%98nudging%E2%80%99-success-recycling" TargetMode="External"/><Relationship Id="rId213" Type="http://schemas.openxmlformats.org/officeDocument/2006/relationships/hyperlink" Target="http://onlinelibrary.wiley.com/doi/10.1111/j.1470-6431.2011.01081.x/abstract" TargetMode="External"/><Relationship Id="rId334" Type="http://schemas.openxmlformats.org/officeDocument/2006/relationships/hyperlink" Target="https://www.psychologytoday.com/blog/ulterior-motives/201104/global-warming-politics-is-local" TargetMode="External"/><Relationship Id="rId455" Type="http://schemas.openxmlformats.org/officeDocument/2006/relationships/hyperlink" Target="http://www.huffingtonpost.com/2014/07/23/pugedon-vending-machine_n_5606494.html" TargetMode="External"/><Relationship Id="rId212" Type="http://schemas.openxmlformats.org/officeDocument/2006/relationships/hyperlink" Target="http://www.iejeegreen.com/index.php/iejeegreen/article/view/58/32" TargetMode="External"/><Relationship Id="rId333" Type="http://schemas.openxmlformats.org/officeDocument/2006/relationships/hyperlink" Target="https://www.psychologytoday.com/blog/ulterior-motives/201105/why-is-the-belief-in-global-warming-affected-temperature" TargetMode="External"/><Relationship Id="rId454" Type="http://schemas.openxmlformats.org/officeDocument/2006/relationships/hyperlink" Target="http://www.huffingtonpost.com/wray-herbert/the-psychology-of-a-memor_b_5158650.html" TargetMode="External"/><Relationship Id="rId211" Type="http://schemas.openxmlformats.org/officeDocument/2006/relationships/hyperlink" Target="http://changelabs.stanford.edu/sites/default/files/Mindspace.pdf" TargetMode="External"/><Relationship Id="rId332" Type="http://schemas.openxmlformats.org/officeDocument/2006/relationships/hyperlink" Target="http://psy2.ucsd.edu/~mckenzie/McKenzieetal2006PsychSci.pdf" TargetMode="External"/><Relationship Id="rId453" Type="http://schemas.openxmlformats.org/officeDocument/2006/relationships/hyperlink" Target="http://www.huffingtonpost.com/james-clear/decision-fatigue_b_4044212.html?utm_hp_ref=tw" TargetMode="External"/><Relationship Id="rId574" Type="http://schemas.openxmlformats.org/officeDocument/2006/relationships/vmlDrawing" Target="../drawings/vmlDrawing1.vml"/><Relationship Id="rId210" Type="http://schemas.openxmlformats.org/officeDocument/2006/relationships/hyperlink" Target="http://insideclimatenews.org/news/25082015/climate-changes-overlooked-sociological-side" TargetMode="External"/><Relationship Id="rId331" Type="http://schemas.openxmlformats.org/officeDocument/2006/relationships/hyperlink" Target="http://pss.sagepub.com/content/early/2012/03/16/0956797611429579" TargetMode="External"/><Relationship Id="rId452" Type="http://schemas.openxmlformats.org/officeDocument/2006/relationships/hyperlink" Target="http://www.huffingtonpost.com/2014/08/26/virtual-reality-sustainable-habits_n_5717647.html" TargetMode="External"/><Relationship Id="rId573" Type="http://schemas.openxmlformats.org/officeDocument/2006/relationships/drawing" Target="../drawings/drawing1.xml"/><Relationship Id="rId370" Type="http://schemas.openxmlformats.org/officeDocument/2006/relationships/hyperlink" Target="http://www.scientificamerican.com/article/overconsumption-consumer-green/" TargetMode="External"/><Relationship Id="rId491" Type="http://schemas.openxmlformats.org/officeDocument/2006/relationships/hyperlink" Target="http://www.washingtonpost.com/news/energy-environment/wp/2015/04/30/pope-francis-has-given-the-climate-movement-just-what-it-needed-faith/?postshare=4411430764571913" TargetMode="External"/><Relationship Id="rId490" Type="http://schemas.openxmlformats.org/officeDocument/2006/relationships/hyperlink" Target="http://www.washingtonpost.com/news/energy-environment/wp/2015/01/27/can-your-personality-explain-how-you-feel-about-the-keystone-xl-pipeline/?postshare=3321422455709727" TargetMode="External"/><Relationship Id="rId129" Type="http://schemas.openxmlformats.org/officeDocument/2006/relationships/hyperlink" Target="https://www.researchgate.net/publication/227415617_Conditional_inevitability_Expert_perceptions_of_carbon_capture_and_storage_uncertainties_in_the_UK_context" TargetMode="External"/><Relationship Id="rId128" Type="http://schemas.openxmlformats.org/officeDocument/2006/relationships/hyperlink" Target="https://energyathaas.wordpress.com/2015/04/06/for-energy-and-water-conservation-moral-suasion-is-no-substitute-for-getting-the-prices-right/?utm_campaign=blog%20re%2042&amp;utm_content=13753048&amp;utm_medium=social&amp;utm_source=twitter" TargetMode="External"/><Relationship Id="rId249" Type="http://schemas.openxmlformats.org/officeDocument/2006/relationships/hyperlink" Target="https://www.google.com/url?sa=t&amp;rct=j&amp;q=&amp;esrc=s&amp;source=web&amp;cd=1&amp;cad=rja&amp;uact=8&amp;ved=0ahUKEwjm2tHYhe_OAhVEKCYKHQNhBBAQFggeMAA&amp;url=http%3A%2F%2Fetd.lsu.edu%2Fdocs%2Favailable%2Fetd-04142005-104733%2Funrestricted%2FSomers_thesis.pdf&amp;usg=AFQjCNEd_9qSXDBFu1dyxnIHI3Aq_NcSGA&amp;sig2=UzVU__YKggK3vUhevHQhzQ" TargetMode="External"/><Relationship Id="rId127" Type="http://schemas.openxmlformats.org/officeDocument/2006/relationships/hyperlink" Target="http://t.co/CWeAgqLXbX" TargetMode="External"/><Relationship Id="rId248" Type="http://schemas.openxmlformats.org/officeDocument/2006/relationships/hyperlink" Target="http://articles.latimes.com/2011/dec/07/nation/la-na-evangelical-warming-20111207" TargetMode="External"/><Relationship Id="rId369" Type="http://schemas.openxmlformats.org/officeDocument/2006/relationships/hyperlink" Target="http://www.scientificamerican.com/article/why-people-fly-from-facts/" TargetMode="External"/><Relationship Id="rId126" Type="http://schemas.openxmlformats.org/officeDocument/2006/relationships/hyperlink" Target="http://energyefficiencymarkets.com/people-power-pilot-yields-10-energy-savings-changing-behavior/" TargetMode="External"/><Relationship Id="rId247" Type="http://schemas.openxmlformats.org/officeDocument/2006/relationships/hyperlink" Target="http://lisabennett.org/2014/10/31/three-traps-to-avoid-when-speaking-about-the-environment/" TargetMode="External"/><Relationship Id="rId368" Type="http://schemas.openxmlformats.org/officeDocument/2006/relationships/hyperlink" Target="http://www.scientificamerican.com/article/how-to-win-friends-and-bamboozle-people-about-climate-change/" TargetMode="External"/><Relationship Id="rId489" Type="http://schemas.openxmlformats.org/officeDocument/2006/relationships/hyperlink" Target="http://www.washingtonpost.com/wp-dyn/content/article/2010/07/16/AR2010071606839.html" TargetMode="External"/><Relationship Id="rId121" Type="http://schemas.openxmlformats.org/officeDocument/2006/relationships/hyperlink" Target="http://ecowatch.com/2013/08/05/plastic-recycling-transit-fares-china/" TargetMode="External"/><Relationship Id="rId242" Type="http://schemas.openxmlformats.org/officeDocument/2006/relationships/hyperlink" Target="https://www.google.com/url?sa=t&amp;rct=j&amp;q=&amp;esrc=s&amp;source=web&amp;cd=2&amp;ved=0ahUKEwj0-ufj8_vOAhUIwmMKHUFpCFQQFgghMAE&amp;url=http%3A%2F%2Ffulltext.study%2Fpreview%2Fpdf%2F93215.pdf&amp;usg=AFQjCNExNId8noqRRzwJwRr46iyJLKRRmg&amp;sig2=RFgZJ5YJ4OXENqr3xrahHA" TargetMode="External"/><Relationship Id="rId363" Type="http://schemas.openxmlformats.org/officeDocument/2006/relationships/hyperlink" Target="http://nymag.com/scienceofus/2015/01/time-to-get-acquainted-with-future-you.html?mid=twitter_scienceofus" TargetMode="External"/><Relationship Id="rId484" Type="http://schemas.openxmlformats.org/officeDocument/2006/relationships/hyperlink" Target="http://bit.ly/1Ch5c2s" TargetMode="External"/><Relationship Id="rId120" Type="http://schemas.openxmlformats.org/officeDocument/2006/relationships/hyperlink" Target="http://www.econlife.com/how-rating-at-whole-foods-simplify-decision-making/" TargetMode="External"/><Relationship Id="rId241" Type="http://schemas.openxmlformats.org/officeDocument/2006/relationships/hyperlink" Target="http://journal.sjdm.org/10/10831a/jdm10831a.html" TargetMode="External"/><Relationship Id="rId362" Type="http://schemas.openxmlformats.org/officeDocument/2006/relationships/hyperlink" Target="http://nymag.com/scienceofus/2014/09/how-to-convince-conservatives-on-climate-change.html?utm_content=buffercaf8d&amp;utm_medium=social&amp;utm_source=twitter.com&amp;utm_campaign=buffer" TargetMode="External"/><Relationship Id="rId483" Type="http://schemas.openxmlformats.org/officeDocument/2006/relationships/hyperlink" Target="http://www.uvm.edu/~uvmpr/?Page=news&amp;storyID=20208&amp;category=ucommfeatureb" TargetMode="External"/><Relationship Id="rId240" Type="http://schemas.openxmlformats.org/officeDocument/2006/relationships/hyperlink" Target="http://onlinelibrary.wiley.com/doi/10.1111/j.1752-1688.2002.tb04367.x/abstract" TargetMode="External"/><Relationship Id="rId361" Type="http://schemas.openxmlformats.org/officeDocument/2006/relationships/hyperlink" Target="http://www.mercurynews.com/bay-area-living/ci_27229262/heres-secret-sticking-new-years-resolutions" TargetMode="External"/><Relationship Id="rId482" Type="http://schemas.openxmlformats.org/officeDocument/2006/relationships/hyperlink" Target="http://www.telegraph.co.uk/culture/books/bookreviews/11376490/Is-Shame-Necessary-New-Uses-for-an-Old-Tool-by-Jennifer-Jacquet.html" TargetMode="External"/><Relationship Id="rId360" Type="http://schemas.openxmlformats.org/officeDocument/2006/relationships/hyperlink" Target="http://www.salon.com/2014/07/06/comedy_vs_anti_science_10_amazing_videos_that_show_how_humor_can_make_a_difference/" TargetMode="External"/><Relationship Id="rId481" Type="http://schemas.openxmlformats.org/officeDocument/2006/relationships/hyperlink" Target="http://t.co/xPyMtdeaky" TargetMode="External"/><Relationship Id="rId125" Type="http://schemas.openxmlformats.org/officeDocument/2006/relationships/hyperlink" Target="http://www.sciencedirect.com/science/article/pii/0378778878900129" TargetMode="External"/><Relationship Id="rId246" Type="http://schemas.openxmlformats.org/officeDocument/2006/relationships/hyperlink" Target="http://lisabennett.org/2014/10/31/three-traps-to-avoid-when-speaking-about-the-environment/" TargetMode="External"/><Relationship Id="rId367" Type="http://schemas.openxmlformats.org/officeDocument/2006/relationships/hyperlink" Target="http://www.scientificamerican.com/article/what-do-farmers-think-about-climate-change/" TargetMode="External"/><Relationship Id="rId488" Type="http://schemas.openxmlformats.org/officeDocument/2006/relationships/hyperlink" Target="http://www.washingtonpost.com/news/energy-environment/wp/2015/03/20/the-bizarre-way-that-we-justify-actions-that-waste-energy-and-are-bad-for-the-environment/?postshare=1531426944649616" TargetMode="External"/><Relationship Id="rId124" Type="http://schemas.openxmlformats.org/officeDocument/2006/relationships/hyperlink" Target="http://energistarakentamista.com/2015/05/19/granlund-host-finlands-first-ever-behaviour-change-hackathon-5-tips-to-reduce-building-user-energy-consumption/" TargetMode="External"/><Relationship Id="rId245" Type="http://schemas.openxmlformats.org/officeDocument/2006/relationships/hyperlink" Target="http://lisabennett.org/author/lisapbennett/" TargetMode="External"/><Relationship Id="rId366" Type="http://schemas.openxmlformats.org/officeDocument/2006/relationships/hyperlink" Target="http://sciencenordic.com/how-nudge-consumers-make-greener-choices" TargetMode="External"/><Relationship Id="rId487" Type="http://schemas.openxmlformats.org/officeDocument/2006/relationships/hyperlink" Target="https://www.washingtonpost.com/news/energy-environment/wp/2016/01/04/heres-how-scientific-misinformation-such-as-climate-doubt-spreads-through-social-media/" TargetMode="External"/><Relationship Id="rId123" Type="http://schemas.openxmlformats.org/officeDocument/2006/relationships/hyperlink" Target="http://www.epri.com/abstracts/Pages/ProductAbstract.aspx?ProductId=000000000001019319" TargetMode="External"/><Relationship Id="rId244" Type="http://schemas.openxmlformats.org/officeDocument/2006/relationships/hyperlink" Target="http://lifehacker.com/this-graphic-explains-20-cognitive-biases-that-affect-y-1730901381?utm_expid=66866090-55.VeucWPObSOiOW4XRx2RJDA.0" TargetMode="External"/><Relationship Id="rId365" Type="http://schemas.openxmlformats.org/officeDocument/2006/relationships/hyperlink" Target="http://nymag.com/scienceofus/2015/01/changing-a-habit-can-mess-with-your-identity.html" TargetMode="External"/><Relationship Id="rId486" Type="http://schemas.openxmlformats.org/officeDocument/2006/relationships/hyperlink" Target="https://www.washingtonpost.com/news/wonk/wp/2014/11/10/conservatives-dont-hate-climate-science-they-hate-the-lefts-climate-solutions/" TargetMode="External"/><Relationship Id="rId122" Type="http://schemas.openxmlformats.org/officeDocument/2006/relationships/hyperlink" Target="http://www.edinburghnews.scotsman.com/news/edinburgh-recycling-rates-soar-85-per-cent-1-3650917" TargetMode="External"/><Relationship Id="rId243" Type="http://schemas.openxmlformats.org/officeDocument/2006/relationships/hyperlink" Target="http://lesswrong.com/lw/hw/scope_insensitivity/" TargetMode="External"/><Relationship Id="rId364" Type="http://schemas.openxmlformats.org/officeDocument/2006/relationships/hyperlink" Target="http://sciof.us/1bWlybo" TargetMode="External"/><Relationship Id="rId485" Type="http://schemas.openxmlformats.org/officeDocument/2006/relationships/hyperlink" Target="http://www.wsj.com/articles/in-tests-scientists-try-to-change-behaviors-1406588998" TargetMode="External"/><Relationship Id="rId95" Type="http://schemas.openxmlformats.org/officeDocument/2006/relationships/hyperlink" Target="http://ecoaffect.org/2015/11/04/looking-back-on-50-years-of-climate-communications-where-are-we-now/" TargetMode="External"/><Relationship Id="rId94" Type="http://schemas.openxmlformats.org/officeDocument/2006/relationships/hyperlink" Target="http://ecoaffect.org/2015/04/13/why-clear-simple-messages-are-the-key-to-better-climate-understanding/" TargetMode="External"/><Relationship Id="rId97" Type="http://schemas.openxmlformats.org/officeDocument/2006/relationships/hyperlink" Target="http://ecoaffect.org/2015/11/24/new-research-4-top-messages-for-strengthening-support-for-climate-solutions/" TargetMode="External"/><Relationship Id="rId96" Type="http://schemas.openxmlformats.org/officeDocument/2006/relationships/hyperlink" Target="http://ecoaffect.org/2016/05/26/overcoming-the-psychological-barriers-for-climate-action/" TargetMode="External"/><Relationship Id="rId99" Type="http://schemas.openxmlformats.org/officeDocument/2006/relationships/hyperlink" Target="http://ecoaffect.org/2016/06/02/personally-speaking-why-effective-climate-messaging-starts-with-people/" TargetMode="External"/><Relationship Id="rId480" Type="http://schemas.openxmlformats.org/officeDocument/2006/relationships/hyperlink" Target="http://www.stanforddaily.com/2015/03/11/the-medias-role-in-climate-change-action/" TargetMode="External"/><Relationship Id="rId98" Type="http://schemas.openxmlformats.org/officeDocument/2006/relationships/hyperlink" Target="http://ecoaffect.org/2016/01/07/sustainability-on-ice-how-the-nhl-is-addressing-climate-concerns/" TargetMode="External"/><Relationship Id="rId91" Type="http://schemas.openxmlformats.org/officeDocument/2006/relationships/hyperlink" Target="http://ecoaffect.org/2015/03/11/increasing-moral-engagement-on-climate-change/" TargetMode="External"/><Relationship Id="rId90" Type="http://schemas.openxmlformats.org/officeDocument/2006/relationships/hyperlink" Target="http://ecoaffect.org/2016/05/16/cause-effect-and-the-power-of-we-motivating-people-to-act-on-climate/" TargetMode="External"/><Relationship Id="rId93" Type="http://schemas.openxmlformats.org/officeDocument/2006/relationships/hyperlink" Target="http://ecoaffect.org/2016/04/21/to-give-life-to-the-paris-climate-agreement-connect-on-personal-values/" TargetMode="External"/><Relationship Id="rId92" Type="http://schemas.openxmlformats.org/officeDocument/2006/relationships/hyperlink" Target="http://ecoaffect.org/2015/11/11/4-factors-that-affect-how-people-feel-about-climate-change/" TargetMode="External"/><Relationship Id="rId118" Type="http://schemas.openxmlformats.org/officeDocument/2006/relationships/hyperlink" Target="https://www.researchgate.net/profile/Andrew_Gilg/publication/222001460_Behavioural_attitudes_towards_water_saving_Evidence_from_a_study_of_environmental_actions/links/0c96052a0485e8d938000000.pdf" TargetMode="External"/><Relationship Id="rId239" Type="http://schemas.openxmlformats.org/officeDocument/2006/relationships/hyperlink" Target="https://www.google.com/url?sa=t&amp;rct=j&amp;q=&amp;esrc=s&amp;source=web&amp;cd=4&amp;ved=0ahUKEwiU9deG1-zOAhUFymMKHZRKAH8QFggzMAM&amp;url=http%3A%2F%2Fhesg.org.uk%2Fwp-content%2Fplugins%2Fpapers-listing%2Fpublic%2Fdownload.php%3Fid%3D462%26fn%3DBakerNewcastle2005.pdf%26fl%3D00%2F00&amp;usg=AFQjCNFM4xZ6zgALFv7nq7It4as7ObNvTA&amp;sig2=_TnhQ4EeQQ57CTmOG-Fg0w" TargetMode="External"/><Relationship Id="rId117" Type="http://schemas.openxmlformats.org/officeDocument/2006/relationships/hyperlink" Target="http://ecoamerica.org/wp-content/uploads/2012/12/ecoAmericaClimateImpactsReportAug2012a.pdf" TargetMode="External"/><Relationship Id="rId238" Type="http://schemas.openxmlformats.org/officeDocument/2006/relationships/hyperlink" Target="http://www.tandfonline.com/doi/abs/10.1080/13669870701552235" TargetMode="External"/><Relationship Id="rId359" Type="http://schemas.openxmlformats.org/officeDocument/2006/relationships/hyperlink" Target="https://www.researchgate.net/publication/5305895_'Normative_Social_Influence_Is_Underdetected" TargetMode="External"/><Relationship Id="rId116" Type="http://schemas.openxmlformats.org/officeDocument/2006/relationships/hyperlink" Target="http://ecoamerica.org/wp-content/uploads/2014/09/ACV14-Racial-Ethnic-Report-Summary.pdf" TargetMode="External"/><Relationship Id="rId237" Type="http://schemas.openxmlformats.org/officeDocument/2006/relationships/hyperlink" Target="http://www.sciencedirect.com/science/article/pii/S0969698911000592" TargetMode="External"/><Relationship Id="rId358" Type="http://schemas.openxmlformats.org/officeDocument/2006/relationships/hyperlink" Target="http://onlinelibrary.wiley.com/doi/10.1111/j.1539-6924.2011.01695.x/abstract" TargetMode="External"/><Relationship Id="rId479" Type="http://schemas.openxmlformats.org/officeDocument/2006/relationships/hyperlink" Target="http://www.scientificamerican.com/article/green-and-mean/" TargetMode="External"/><Relationship Id="rId115" Type="http://schemas.openxmlformats.org/officeDocument/2006/relationships/hyperlink" Target="http://ecoamerica.org/wp-content/uploads/2013/11/Communicating-on-Climate-13-steps_ecoAmerica.pdf" TargetMode="External"/><Relationship Id="rId236" Type="http://schemas.openxmlformats.org/officeDocument/2006/relationships/hyperlink" Target="http://media.cbsm.com/uploads/1/HabitReview.pdf" TargetMode="External"/><Relationship Id="rId357" Type="http://schemas.openxmlformats.org/officeDocument/2006/relationships/hyperlink" Target="http://www.sciencedirect.com/science/journal/09213449" TargetMode="External"/><Relationship Id="rId478" Type="http://schemas.openxmlformats.org/officeDocument/2006/relationships/hyperlink" Target="http://rosslandtelegraph.com/news/rosslands-energy-diet-sparks-trend-20048" TargetMode="External"/><Relationship Id="rId119" Type="http://schemas.openxmlformats.org/officeDocument/2006/relationships/hyperlink" Target="http://www.sciencedirect.com/science/article/pii/S0921800914001165" TargetMode="External"/><Relationship Id="rId110" Type="http://schemas.openxmlformats.org/officeDocument/2006/relationships/hyperlink" Target="http://ecoamerica.org/wp-content/uploads/2015/11/eA-lets-talk-climate.pdf" TargetMode="External"/><Relationship Id="rId231" Type="http://schemas.openxmlformats.org/officeDocument/2006/relationships/hyperlink" Target="http://www.sciencedirect.com/science/article/pii/S0272494415300487" TargetMode="External"/><Relationship Id="rId352" Type="http://schemas.openxmlformats.org/officeDocument/2006/relationships/hyperlink" Target="http://www.resource-media.org/visualizing-food-waste/" TargetMode="External"/><Relationship Id="rId473" Type="http://schemas.openxmlformats.org/officeDocument/2006/relationships/hyperlink" Target="http://www.nytimes.com/2010/10/31/magazine/31politics-t.html?pagewanted=all&amp;_r=0" TargetMode="External"/><Relationship Id="rId230" Type="http://schemas.openxmlformats.org/officeDocument/2006/relationships/hyperlink" Target="http://www.sciencedirect.com/science/article/pii/S0272494498901050" TargetMode="External"/><Relationship Id="rId351" Type="http://schemas.openxmlformats.org/officeDocument/2006/relationships/hyperlink" Target="http://www.resource-media.org/food-waste-on-twitter-lots-of-talk-but-can-we-get-some-action/" TargetMode="External"/><Relationship Id="rId472" Type="http://schemas.openxmlformats.org/officeDocument/2006/relationships/hyperlink" Target="http://www.nytimes.com/2014/01/05/opinion/sunday/how-to-keep-your-resolutions.html?_r=0" TargetMode="External"/><Relationship Id="rId350" Type="http://schemas.openxmlformats.org/officeDocument/2006/relationships/hyperlink" Target="http://www.resource-media.org/universities-leading-the-charge-on-food-waste/" TargetMode="External"/><Relationship Id="rId471" Type="http://schemas.openxmlformats.org/officeDocument/2006/relationships/hyperlink" Target="http://www.nytimes.com/2015/01/18/upshot/helping-the-poor-in-higher-education-the-power-of-a-simple-nudge.html?smid=fb-nytimes&amp;smtyp=cur&amp;bicmp=AD&amp;bicmlukp=WT.mc_id&amp;bicmst=1409232722000&amp;bicmet=1419773522000&amp;abt=0002&amp;abg=0" TargetMode="External"/><Relationship Id="rId470" Type="http://schemas.openxmlformats.org/officeDocument/2006/relationships/hyperlink" Target="http://www.nytimes.com/2015/11/15/opinion/sunday/the-key-to-political-persuasion.html?ref=opinion&amp;_r=1" TargetMode="External"/><Relationship Id="rId114" Type="http://schemas.openxmlformats.org/officeDocument/2006/relationships/hyperlink" Target="http://ecoamerica.org/wp-content/uploads/2015/11/CRED_final.pdf" TargetMode="External"/><Relationship Id="rId235" Type="http://schemas.openxmlformats.org/officeDocument/2006/relationships/hyperlink" Target="https://faculty.chicagobooth.edu/Richard.Thaler/research/pdf/SMarTJPE.pdf" TargetMode="External"/><Relationship Id="rId356" Type="http://schemas.openxmlformats.org/officeDocument/2006/relationships/hyperlink" Target="http://www.rff.org/Publications/WPC/Pages/What-Behavioral-Science-Has-to-Say-About-Energy-Conservation.aspx" TargetMode="External"/><Relationship Id="rId477" Type="http://schemas.openxmlformats.org/officeDocument/2006/relationships/hyperlink" Target="http://www.nytimes.com/2012/08/19/magazine/the-mind-of-a-flip-flopper.html" TargetMode="External"/><Relationship Id="rId113" Type="http://schemas.openxmlformats.org/officeDocument/2006/relationships/hyperlink" Target="http://ecoamerica.org/wp-content/uploads/2014/06/eA_Beyond_Storms_and_Droughts_Psych_Impacts_of_Climate_Change.pdf" TargetMode="External"/><Relationship Id="rId234" Type="http://schemas.openxmlformats.org/officeDocument/2006/relationships/hyperlink" Target="https://msbfile03.usc.edu/digitalmeasures/macinnis/intellcont/Park_Jun_MacInnis_2000-1.pdf" TargetMode="External"/><Relationship Id="rId355" Type="http://schemas.openxmlformats.org/officeDocument/2006/relationships/hyperlink" Target="http://www.resource-media.org/here-now-us-actualizes-climate-change-for-marin-county/" TargetMode="External"/><Relationship Id="rId476" Type="http://schemas.openxmlformats.org/officeDocument/2006/relationships/hyperlink" Target="http://www.nytimes.com/2011/08/21/magazine/do-you-suffer-from-decision-fatigue.html?pagewanted=all" TargetMode="External"/><Relationship Id="rId112" Type="http://schemas.openxmlformats.org/officeDocument/2006/relationships/hyperlink" Target="http://ecoamerica.org/wp-content/uploads/2015/09/ecoAmerica-ACV-supplement.pdf" TargetMode="External"/><Relationship Id="rId233" Type="http://schemas.openxmlformats.org/officeDocument/2006/relationships/hyperlink" Target="http://www.sciencedirect.com/science/article/pii/S0022103105001356" TargetMode="External"/><Relationship Id="rId354" Type="http://schemas.openxmlformats.org/officeDocument/2006/relationships/hyperlink" Target="http://www.resource-media.org/building-support-for-coastal-resilience-top-5-tips/" TargetMode="External"/><Relationship Id="rId475" Type="http://schemas.openxmlformats.org/officeDocument/2006/relationships/hyperlink" Target="http://opinionator.blogs.nytimes.com/2013/03/27/the-destructive-influence-of-imaginary-peers/" TargetMode="External"/><Relationship Id="rId111" Type="http://schemas.openxmlformats.org/officeDocument/2006/relationships/hyperlink" Target="http://ecoamerica.org/wp-content/uploads/2015/05/ecoAmerica-ACV-Faith-2015.pdf" TargetMode="External"/><Relationship Id="rId232" Type="http://schemas.openxmlformats.org/officeDocument/2006/relationships/hyperlink" Target="http://triggered.clockss.org/ServeContent?url=http://baywood.stanford.clockss.org%2FBWES%2FBAWOOD_BWES_9_1%2F9W4J7LPPXGBKY8XU.pdf" TargetMode="External"/><Relationship Id="rId353" Type="http://schemas.openxmlformats.org/officeDocument/2006/relationships/hyperlink" Target="http://www.resource-media.org/mainstreaming-water-conservation-lessons-from-energy-efficiency/" TargetMode="External"/><Relationship Id="rId474" Type="http://schemas.openxmlformats.org/officeDocument/2006/relationships/hyperlink" Target="http://www.nytimes.com/2012/02/19/magazine/shopping-habits.html?pagewanted=all&amp;_r=0" TargetMode="External"/><Relationship Id="rId305" Type="http://schemas.openxmlformats.org/officeDocument/2006/relationships/hyperlink" Target="http://www.stern.nyu.edu/experience-stern/news-events/hershfield-climate-change" TargetMode="External"/><Relationship Id="rId426" Type="http://schemas.openxmlformats.org/officeDocument/2006/relationships/hyperlink" Target="http://www.theguardian.com/environment/climate-consensus-97-per-cent/2015/oct/01/emphasizing-co-benefits-motivates-people-to-take-action-on-climate-change?CMP=EMCENVEML1631" TargetMode="External"/><Relationship Id="rId547" Type="http://schemas.openxmlformats.org/officeDocument/2006/relationships/hyperlink" Target="http://www.vox.com/2015/4/29/8512853/fossil-fuel-divestment" TargetMode="External"/><Relationship Id="rId304" Type="http://schemas.openxmlformats.org/officeDocument/2006/relationships/hyperlink" Target="http://www.stern.nyu.edu/experience-stern/news-events/hershfield-climate-change" TargetMode="External"/><Relationship Id="rId425" Type="http://schemas.openxmlformats.org/officeDocument/2006/relationships/hyperlink" Target="http://www.theguardian.com/environment/2015/may/15/the-climate-change-movement-must-overcome-political-tribalism?CMP=share_btn_tw" TargetMode="External"/><Relationship Id="rId546" Type="http://schemas.openxmlformats.org/officeDocument/2006/relationships/hyperlink" Target="http://www.vice.com/read/a-psychologist-explains-why-people-dont-really-give-a-shit-about-climate-change-608?utm_source=vicefbus" TargetMode="External"/><Relationship Id="rId303" Type="http://schemas.openxmlformats.org/officeDocument/2006/relationships/hyperlink" Target="http://www.nytimes.com/2014/05/09/upshot/vaccine-opponents-can-be-immune-to-education.html?partner=rss&amp;emc=rss&amp;smid=tw-upshot&amp;_r=1&amp;abt=0002&amp;abg=0" TargetMode="External"/><Relationship Id="rId424" Type="http://schemas.openxmlformats.org/officeDocument/2006/relationships/hyperlink" Target="http://www.theguardian.com/sustainable-business/behavioural-insights/2014/dec/02/science-wont-win-over-sceptics-climate-change" TargetMode="External"/><Relationship Id="rId545" Type="http://schemas.openxmlformats.org/officeDocument/2006/relationships/hyperlink" Target="http://psychology.about.com/od/socialinfluence/f/rule-of-commitment.htm" TargetMode="External"/><Relationship Id="rId302" Type="http://schemas.openxmlformats.org/officeDocument/2006/relationships/hyperlink" Target="https://nudges.wordpress.com/the-amsterdam-urinals/" TargetMode="External"/><Relationship Id="rId423" Type="http://schemas.openxmlformats.org/officeDocument/2006/relationships/hyperlink" Target="http://www.theguardian.com/sustainable-business/2015/jun/04/sufficiency-economy-karma-marketing-branding-business" TargetMode="External"/><Relationship Id="rId544" Type="http://schemas.openxmlformats.org/officeDocument/2006/relationships/hyperlink" Target="http://onetonnelife.com/" TargetMode="External"/><Relationship Id="rId309" Type="http://schemas.openxmlformats.org/officeDocument/2006/relationships/hyperlink" Target="http://www.psmag.com/books-and-culture/joe-henrich-weird-ultimatum-game-shaking-up-psychology-economics-53135" TargetMode="External"/><Relationship Id="rId308" Type="http://schemas.openxmlformats.org/officeDocument/2006/relationships/hyperlink" Target="http://blog.opower.com/2015/01/us-drivers-13-less-energy/" TargetMode="External"/><Relationship Id="rId429" Type="http://schemas.openxmlformats.org/officeDocument/2006/relationships/hyperlink" Target="http://www.theguardian.com/environment/2014/aug/27/uk-winter-floods-climate-change" TargetMode="External"/><Relationship Id="rId307" Type="http://schemas.openxmlformats.org/officeDocument/2006/relationships/hyperlink" Target="http://www.onegreenplanet.org/environment/are-you-a-litter-bug-how-that-can-change-with-an-extra-set-of-eyes/" TargetMode="External"/><Relationship Id="rId428" Type="http://schemas.openxmlformats.org/officeDocument/2006/relationships/hyperlink" Target="http://www.theguardian.com/sustainable-business/2014/sep/18/build-support-climate-change-campaign" TargetMode="External"/><Relationship Id="rId549" Type="http://schemas.openxmlformats.org/officeDocument/2006/relationships/hyperlink" Target="https://www.washingtonpost.com/news/energy-environment/wp/2016/05/12/the-vicious-cycle-that-makes-people-afraid-to-talk-about-climate-change/" TargetMode="External"/><Relationship Id="rId306" Type="http://schemas.openxmlformats.org/officeDocument/2006/relationships/hyperlink" Target="https://www.fws.gov/uploadedFiles/myer_thesis_2012.pdf" TargetMode="External"/><Relationship Id="rId427" Type="http://schemas.openxmlformats.org/officeDocument/2006/relationships/hyperlink" Target="http://www.theguardian.com/global-development-professionals-network/2015/may/05/15-ways-to-powerfully-communicate-climate-change-solutions" TargetMode="External"/><Relationship Id="rId548" Type="http://schemas.openxmlformats.org/officeDocument/2006/relationships/hyperlink" Target="http://www.vox.com/2016/3/14/11219446/psychology-replication-crisis" TargetMode="External"/><Relationship Id="rId301" Type="http://schemas.openxmlformats.org/officeDocument/2006/relationships/hyperlink" Target="http://www.npr.org/blogs/itsallpolitics/2013/12/15/250735621/another-partisan-divide-mitt-romneys-looks" TargetMode="External"/><Relationship Id="rId422" Type="http://schemas.openxmlformats.org/officeDocument/2006/relationships/hyperlink" Target="http://www.theguardian.com/sustainable-business/2015/jul/06/12-tools-for-communicating-climate-change-more-effectively?CMP=share_btn_tw" TargetMode="External"/><Relationship Id="rId543" Type="http://schemas.openxmlformats.org/officeDocument/2006/relationships/hyperlink" Target="http://content.usatoday.com/communities/sciencefair/post/2012/05/study-personality-split-climate-views-not-science-literacy/1" TargetMode="External"/><Relationship Id="rId300" Type="http://schemas.openxmlformats.org/officeDocument/2006/relationships/hyperlink" Target="http://www.npr.org/blogs/krulwich/2014/03/01/283993033/polar-bear-flip-flop-people-hated-then-loved-these-photos-what-changed" TargetMode="External"/><Relationship Id="rId421" Type="http://schemas.openxmlformats.org/officeDocument/2006/relationships/hyperlink" Target="http://www.theguardian.com/environment/2015/jun/19/peoples-climate-march-al-gore-leonardo-dicaprio-climate-change" TargetMode="External"/><Relationship Id="rId542" Type="http://schemas.openxmlformats.org/officeDocument/2006/relationships/hyperlink" Target="http://www.upworthy.com/the-bizarre-human-tendency-that-made-baby-jessica-a-household-name-in-1987" TargetMode="External"/><Relationship Id="rId420" Type="http://schemas.openxmlformats.org/officeDocument/2006/relationships/hyperlink" Target="http://www.theguardian.com/commentisfree/2015/apr/04/climate-change-campaigners-evangelism-religion-activism?CMP=share_btn_tw" TargetMode="External"/><Relationship Id="rId541" Type="http://schemas.openxmlformats.org/officeDocument/2006/relationships/hyperlink" Target="http://www.news.wisc.edu/23688" TargetMode="External"/><Relationship Id="rId540" Type="http://schemas.openxmlformats.org/officeDocument/2006/relationships/hyperlink" Target="http://conservationmagazine.org/2015/05/dont-eat-bugs-to-save-the-world-but-because-theyre-tasty/" TargetMode="External"/><Relationship Id="rId415" Type="http://schemas.openxmlformats.org/officeDocument/2006/relationships/hyperlink" Target="http://www.regionofwaterloo.ca/en/aboutTheEnvironment/resources/NewsletterJune07.pdf" TargetMode="External"/><Relationship Id="rId536" Type="http://schemas.openxmlformats.org/officeDocument/2006/relationships/hyperlink" Target="https://www.google.com/url?sa=t&amp;rct=j&amp;q=&amp;esrc=s&amp;source=web&amp;cd=3&amp;cad=rja&amp;uact=8&amp;ved=0ahUKEwj9zJv3w_vOAhWD1x4KHeYNA2EQFggsMAI&amp;url=http%3A%2F%2Fspot.colorado.edu%2F~porterka%2FBonstrom-2011-CU-MS-Thesis.pdf&amp;usg=AFQjCNFgmmH9PmzW-sQIWue9oh4CKe9hzA&amp;sig2=bnKdbebrmJCAFwNhvT7Kbg" TargetMode="External"/><Relationship Id="rId414" Type="http://schemas.openxmlformats.org/officeDocument/2006/relationships/hyperlink" Target="http://www.theglobeandmail.com/globe-debate/what-if-green-becomes-the-default-setting/article11579431/" TargetMode="External"/><Relationship Id="rId535" Type="http://schemas.openxmlformats.org/officeDocument/2006/relationships/hyperlink" Target="https://www.google.com/search?q=The+Impact+of+Cooperation+Defaults+on+Voluntary+Contributions+to+Public+Goods&amp;oq=The+Impact+of+Cooperation+Defaults+on+Voluntary+Contributions+to+Public+Goods&amp;aqs=chrome..69i57.207j0j7&amp;sourceid=chrome&amp;es_sm=93&amp;ie=UTF-8" TargetMode="External"/><Relationship Id="rId413" Type="http://schemas.openxmlformats.org/officeDocument/2006/relationships/hyperlink" Target="http://elr.info/news-analysis/38/10882/social-norms-and-policies-promote-energy-efficiency-home" TargetMode="External"/><Relationship Id="rId534" Type="http://schemas.openxmlformats.org/officeDocument/2006/relationships/hyperlink" Target="http://bit.ly/1JaiyCz" TargetMode="External"/><Relationship Id="rId412" Type="http://schemas.openxmlformats.org/officeDocument/2006/relationships/hyperlink" Target="http://t.co/azlpOGxXEl" TargetMode="External"/><Relationship Id="rId533" Type="http://schemas.openxmlformats.org/officeDocument/2006/relationships/hyperlink" Target="http://climatemigration.org.uk/image-problem-are-we-using-the-wrong-photographs-to-illustrate-migration-and-climate-change/" TargetMode="External"/><Relationship Id="rId419" Type="http://schemas.openxmlformats.org/officeDocument/2006/relationships/hyperlink" Target="http://www.theguardian.com/environment/2015/jan/20/why-its-good-to-laugh-at-climate-change" TargetMode="External"/><Relationship Id="rId418" Type="http://schemas.openxmlformats.org/officeDocument/2006/relationships/hyperlink" Target="http://www.theguardian.com/sustainable-business/2015/feb/27/most-people-are-neither-alarmist-nor-in-denial-about-climate-change" TargetMode="External"/><Relationship Id="rId539" Type="http://schemas.openxmlformats.org/officeDocument/2006/relationships/hyperlink" Target="https://www.ruor.uottawa.ca/handle/10393/23855" TargetMode="External"/><Relationship Id="rId417" Type="http://schemas.openxmlformats.org/officeDocument/2006/relationships/hyperlink" Target="http://www.theguardian.com/science/neurophilosophy/2015/sep/07/self-control-saps-memory-resources" TargetMode="External"/><Relationship Id="rId538" Type="http://schemas.openxmlformats.org/officeDocument/2006/relationships/hyperlink" Target="http://search.proquest.com/openview/d5caf50fa62f26a3f4ad06e5015edd92/1?pq-origsite=gscholar&amp;cbl=2030907" TargetMode="External"/><Relationship Id="rId416" Type="http://schemas.openxmlformats.org/officeDocument/2006/relationships/hyperlink" Target="http://www.theguardian.com/sustainable-business/2015/feb/23/five-ways-that-people-frame-climate-change-debates" TargetMode="External"/><Relationship Id="rId537" Type="http://schemas.openxmlformats.org/officeDocument/2006/relationships/hyperlink" Target="https://www.cokecce.com/system/file_resources/117/CCE_REPORT_FINAL_V10_hires.pdf" TargetMode="External"/><Relationship Id="rId411" Type="http://schemas.openxmlformats.org/officeDocument/2006/relationships/hyperlink" Target="http://theenergycollective.com/stephenlacey/2189811/money-versus-morals-why-economic-rewards-trump-polite-messaging-efficiency" TargetMode="External"/><Relationship Id="rId532" Type="http://schemas.openxmlformats.org/officeDocument/2006/relationships/hyperlink" Target="https://www.google.com/url?sa=t&amp;rct=j&amp;q=&amp;esrc=s&amp;source=web&amp;cd=1&amp;cad=rja&amp;uact=8&amp;ved=0ahUKEwjnvO3r2-zOAhVMwWMKHV8ECkEQFggeMAA&amp;url=http%3A%2F%2Ftyndall.ac.uk%2Fsites%2Fdefault%2Ffiles%2Fwp98.pdf&amp;usg=AFQjCNGyhbx4OhZk6SK29ey0XuI7WN64Ag&amp;sig2=3GS9u0CPLMBJs1v3SwrChA" TargetMode="External"/><Relationship Id="rId410" Type="http://schemas.openxmlformats.org/officeDocument/2006/relationships/hyperlink" Target="http://www.theemotionmachine.com/the-power-of-nudges-insights-on-how-to-influence-human-behavior" TargetMode="External"/><Relationship Id="rId531" Type="http://schemas.openxmlformats.org/officeDocument/2006/relationships/hyperlink" Target="http://www.triplepundit.com/2015/05/new-report-offers-advice-selling-sustainability-right-one/" TargetMode="External"/><Relationship Id="rId530" Type="http://schemas.openxmlformats.org/officeDocument/2006/relationships/hyperlink" Target="http://www.triplepundit.com/2015/06/pain-keeps-us-acting-climate-change/" TargetMode="External"/><Relationship Id="rId206" Type="http://schemas.openxmlformats.org/officeDocument/2006/relationships/hyperlink" Target="http://ideas.ted.com/the-science-of-setting-goals/" TargetMode="External"/><Relationship Id="rId327" Type="http://schemas.openxmlformats.org/officeDocument/2006/relationships/hyperlink" Target="http://www.pnas.org/content/108/31/12653.full" TargetMode="External"/><Relationship Id="rId448" Type="http://schemas.openxmlformats.org/officeDocument/2006/relationships/hyperlink" Target="http://www.huffingtonpost.com/entry/climate-change-psychology_us_5674272ee4b014efe0d52186" TargetMode="External"/><Relationship Id="rId569" Type="http://schemas.openxmlformats.org/officeDocument/2006/relationships/hyperlink" Target="http://www.zerowasteeurope.eu/2013/09/the-story-of-capannori-a-zero-waste-champion/" TargetMode="External"/><Relationship Id="rId205" Type="http://schemas.openxmlformats.org/officeDocument/2006/relationships/hyperlink" Target="http://www.huffingtonpost.com/miroslava-korenha/what-the-environmental-co_b_6350424.html" TargetMode="External"/><Relationship Id="rId326" Type="http://schemas.openxmlformats.org/officeDocument/2006/relationships/hyperlink" Target="http://www.pnas.org/content/107/37/16054.abstract" TargetMode="External"/><Relationship Id="rId447" Type="http://schemas.openxmlformats.org/officeDocument/2006/relationships/hyperlink" Target="http://www.huffingtonpost.com/hal-e-hershfield/to-change-environmental-behavior_b_3845707.html" TargetMode="External"/><Relationship Id="rId568" Type="http://schemas.openxmlformats.org/officeDocument/2006/relationships/hyperlink" Target="http://youarenotsosmart.com/2011/06/10/the-backfire-effect/" TargetMode="External"/><Relationship Id="rId204" Type="http://schemas.openxmlformats.org/officeDocument/2006/relationships/hyperlink" Target="http://www.hongkongfp.com/2015/06/29/chinese-company-uses-smoke-art-to-warn-of-air-pollution-dangers/" TargetMode="External"/><Relationship Id="rId325" Type="http://schemas.openxmlformats.org/officeDocument/2006/relationships/hyperlink" Target="http://www.sciencedirect.com/science/article/pii/S0091743507002502" TargetMode="External"/><Relationship Id="rId446" Type="http://schemas.openxmlformats.org/officeDocument/2006/relationships/hyperlink" Target="http://www.huffingtonpost.com/wray-herbert/heat-wave-psychology-long_b_3644823.html" TargetMode="External"/><Relationship Id="rId567" Type="http://schemas.openxmlformats.org/officeDocument/2006/relationships/hyperlink" Target="http://t.co/2SLjLocFYg" TargetMode="External"/><Relationship Id="rId203" Type="http://schemas.openxmlformats.org/officeDocument/2006/relationships/hyperlink" Target="http://www.hennepin.us/~/media/hennepinus/residents/recycling/recycle-everywhere/RecycleEverywhere_TipsTricks.pdf?la=en" TargetMode="External"/><Relationship Id="rId324" Type="http://schemas.openxmlformats.org/officeDocument/2006/relationships/hyperlink" Target="https://www.positive.news/2015/perspective/18138/restoration-vs-preservation-psychology-nature-conservation/" TargetMode="External"/><Relationship Id="rId445" Type="http://schemas.openxmlformats.org/officeDocument/2006/relationships/hyperlink" Target="http://www.huffingtonpost.com/george-lakoff/why-environmental-underst_b_205477.html" TargetMode="External"/><Relationship Id="rId566" Type="http://schemas.openxmlformats.org/officeDocument/2006/relationships/hyperlink" Target="http://environment.yale.edu/climate-communication/article/scientific-consensus-on-climate-change-as-a-gateway-belief/" TargetMode="External"/><Relationship Id="rId209" Type="http://schemas.openxmlformats.org/officeDocument/2006/relationships/hyperlink" Target="http://papers.ssrn.com/sol3/papers.cfm?abstract_id=1116650" TargetMode="External"/><Relationship Id="rId208" Type="http://schemas.openxmlformats.org/officeDocument/2006/relationships/hyperlink" Target="http://inhabitat.com/the-city-of-lucerne-turns-taking-out-the-trash-into-a-fun-game/" TargetMode="External"/><Relationship Id="rId329" Type="http://schemas.openxmlformats.org/officeDocument/2006/relationships/hyperlink" Target="http://pss.sagepub.com/content/22/4/454" TargetMode="External"/><Relationship Id="rId207" Type="http://schemas.openxmlformats.org/officeDocument/2006/relationships/hyperlink" Target="http://www.ideas42.org/wp-content/uploads/2015/04/Belen-Paper-Final.pdf" TargetMode="External"/><Relationship Id="rId328" Type="http://schemas.openxmlformats.org/officeDocument/2006/relationships/hyperlink" Target="http://www.ncbi.nlm.nih.gov/pubmed/16771803" TargetMode="External"/><Relationship Id="rId449" Type="http://schemas.openxmlformats.org/officeDocument/2006/relationships/hyperlink" Target="http://www.huffingtonpost.com/rod-fujita/the-nature-of-humans_b_5695242.html" TargetMode="External"/><Relationship Id="rId440" Type="http://schemas.openxmlformats.org/officeDocument/2006/relationships/hyperlink" Target="http://www.theguardian.com/sustainable-business/behavioural-insights/2014/sep/02/recycling-home-break-down-barriers" TargetMode="External"/><Relationship Id="rId561" Type="http://schemas.openxmlformats.org/officeDocument/2006/relationships/hyperlink" Target="https://worksthatwork.com/1/urinal-fly" TargetMode="External"/><Relationship Id="rId560" Type="http://schemas.openxmlformats.org/officeDocument/2006/relationships/hyperlink" Target="https://nudges.wordpress.com/tag/environment/" TargetMode="External"/><Relationship Id="rId202" Type="http://schemas.openxmlformats.org/officeDocument/2006/relationships/hyperlink" Target="http://www.helpscout.net/blog/the-psychology-of-personalization-how-waiters-increased-tips-by-23-percent-without-changing-service/" TargetMode="External"/><Relationship Id="rId323" Type="http://schemas.openxmlformats.org/officeDocument/2006/relationships/hyperlink" Target="http://www.popsci.com/article/science/meet-scientist-who-might-end-climate-culture-wars" TargetMode="External"/><Relationship Id="rId444" Type="http://schemas.openxmlformats.org/officeDocument/2006/relationships/hyperlink" Target="http://www.huffingtonpost.com/david-ropeik/putting-the-disaster-in-natural-disasters_b_3617132.html" TargetMode="External"/><Relationship Id="rId565" Type="http://schemas.openxmlformats.org/officeDocument/2006/relationships/hyperlink" Target="http://climatecommunication.yale.edu/publications/faith-morality-environment/" TargetMode="External"/><Relationship Id="rId201" Type="http://schemas.openxmlformats.org/officeDocument/2006/relationships/hyperlink" Target="https://www.hks.harvard.edu/index.php/content/download/70830/1256130/version/1/file/RPP_2013_1" TargetMode="External"/><Relationship Id="rId322" Type="http://schemas.openxmlformats.org/officeDocument/2006/relationships/hyperlink" Target="http://www.ncbi.nlm.nih.gov/pmc/articles/PMC3504002/" TargetMode="External"/><Relationship Id="rId443" Type="http://schemas.openxmlformats.org/officeDocument/2006/relationships/hyperlink" Target="http://www.thehindu.com/news/national/world-bank-report-stresses-behavioural-aspects/article6691378.ece" TargetMode="External"/><Relationship Id="rId564" Type="http://schemas.openxmlformats.org/officeDocument/2006/relationships/hyperlink" Target="http://environment.yale.edu/climate-communication/article/simple-messages-increase-understanding-of-the-climate-change-consensus/" TargetMode="External"/><Relationship Id="rId200" Type="http://schemas.openxmlformats.org/officeDocument/2006/relationships/hyperlink" Target="http://grist.org/news/seattle-to-shame-residents-for-throwing-away-food/" TargetMode="External"/><Relationship Id="rId321" Type="http://schemas.openxmlformats.org/officeDocument/2006/relationships/hyperlink" Target="http://www.ncbi.nlm.nih.gov/pubmed/?term=Blennow%20K%5Bauth%5D" TargetMode="External"/><Relationship Id="rId442" Type="http://schemas.openxmlformats.org/officeDocument/2006/relationships/hyperlink" Target="http://www.theguardian.com/sustainable-business/2015/jun/05/mad-max-angry-birds-climate-change-message?" TargetMode="External"/><Relationship Id="rId563" Type="http://schemas.openxmlformats.org/officeDocument/2006/relationships/hyperlink" Target="http://e360.yale.edu/feature/how_can_we_make_people_care_about_climate_change/2892/" TargetMode="External"/><Relationship Id="rId320" Type="http://schemas.openxmlformats.org/officeDocument/2006/relationships/hyperlink" Target="http://journals.plos.org/plosone/article?id=10.1371/journal.pone.0052882" TargetMode="External"/><Relationship Id="rId441" Type="http://schemas.openxmlformats.org/officeDocument/2006/relationships/hyperlink" Target="http://bit.ly/1a8uqdd" TargetMode="External"/><Relationship Id="rId562" Type="http://schemas.openxmlformats.org/officeDocument/2006/relationships/hyperlink" Target="http://www.yaleclimateconnections.org/2012/04/communicating-climate-change-in-a-national-park/" TargetMode="External"/><Relationship Id="rId316" Type="http://schemas.openxmlformats.org/officeDocument/2006/relationships/hyperlink" Target="http://jamesclear.com/design-default" TargetMode="External"/><Relationship Id="rId437" Type="http://schemas.openxmlformats.org/officeDocument/2006/relationships/hyperlink" Target="http://www.theguardian.com/sustainable-business/power-behavioural-design-beyond-nudging" TargetMode="External"/><Relationship Id="rId558" Type="http://schemas.openxmlformats.org/officeDocument/2006/relationships/hyperlink" Target="http://lisabennett.org/author/lisapbennett/" TargetMode="External"/><Relationship Id="rId315" Type="http://schemas.openxmlformats.org/officeDocument/2006/relationships/hyperlink" Target="http://studiolab.psu.edu/projects/energy-behavior-change" TargetMode="External"/><Relationship Id="rId436" Type="http://schemas.openxmlformats.org/officeDocument/2006/relationships/hyperlink" Target="http://www.theguardian.com/sustainable-business/social-norm-behaviour-change" TargetMode="External"/><Relationship Id="rId557" Type="http://schemas.openxmlformats.org/officeDocument/2006/relationships/hyperlink" Target="https://hootsuite.com/dashboard" TargetMode="External"/><Relationship Id="rId314" Type="http://schemas.openxmlformats.org/officeDocument/2006/relationships/hyperlink" Target="http://studiolab.psu.edu/projects/energy-behavior-change" TargetMode="External"/><Relationship Id="rId435" Type="http://schemas.openxmlformats.org/officeDocument/2006/relationships/hyperlink" Target="http://www.theguardian.com/global-development-professionals-network/gallery/2015/apr/01/over-population-over-consumption-in-pictures" TargetMode="External"/><Relationship Id="rId556" Type="http://schemas.openxmlformats.org/officeDocument/2006/relationships/hyperlink" Target="http://www.wired.com/2015/08/obamas-getting-americans-care-climate-change/" TargetMode="External"/><Relationship Id="rId313" Type="http://schemas.openxmlformats.org/officeDocument/2006/relationships/hyperlink" Target="http://www.nature.nps.gov/ParkScience/Archive/PDF/Article_PDFs/ParkScience25(1)Summer2008_34-35_Winter_2588.pdf" TargetMode="External"/><Relationship Id="rId434" Type="http://schemas.openxmlformats.org/officeDocument/2006/relationships/hyperlink" Target="http://www.theguardian.com/sustainable-business/behavioural-insights/2014/oct/09/eco-laundry-sustainable-washing-machines" TargetMode="External"/><Relationship Id="rId555" Type="http://schemas.openxmlformats.org/officeDocument/2006/relationships/hyperlink" Target="http://www.wired.com/2014/03/neuroscience-decision-making-explained-30-seconds/" TargetMode="External"/><Relationship Id="rId319" Type="http://schemas.openxmlformats.org/officeDocument/2006/relationships/hyperlink" Target="http://t.co/rEgh7oYsaQ" TargetMode="External"/><Relationship Id="rId318" Type="http://schemas.openxmlformats.org/officeDocument/2006/relationships/hyperlink" Target="http://phys.org/news/2015-02-climate-science-literacy-unrelated-human-caused.html" TargetMode="External"/><Relationship Id="rId439" Type="http://schemas.openxmlformats.org/officeDocument/2006/relationships/hyperlink" Target="http://www.theguardian.com/sustainable-business/2014/oct/03/real-time-advertising-persuade-people-recycle" TargetMode="External"/><Relationship Id="rId317" Type="http://schemas.openxmlformats.org/officeDocument/2006/relationships/hyperlink" Target="http://www.nber.org/papers/w8651.pdf" TargetMode="External"/><Relationship Id="rId438" Type="http://schemas.openxmlformats.org/officeDocument/2006/relationships/hyperlink" Target="http://www.theguardian.com/commentisfree/oliver-burkeman-column/2015/mar/24/never-having-a-choice-always-having-to-choose" TargetMode="External"/><Relationship Id="rId559" Type="http://schemas.openxmlformats.org/officeDocument/2006/relationships/hyperlink" Target="http://lisabennett.org/2015/03/16/3-insights-into-writing-about-social-issues/" TargetMode="External"/><Relationship Id="rId550" Type="http://schemas.openxmlformats.org/officeDocument/2006/relationships/hyperlink" Target="http://www.wbs.ac.uk/news/blissful-ignorance-is-almost-our-natural-state/" TargetMode="External"/><Relationship Id="rId312" Type="http://schemas.openxmlformats.org/officeDocument/2006/relationships/hyperlink" Target="https://psmag.com/from-humbug-to-humble-the-power-of-the-scrooge-effect-18275f5059d1" TargetMode="External"/><Relationship Id="rId433" Type="http://schemas.openxmlformats.org/officeDocument/2006/relationships/hyperlink" Target="http://www.theguardian.com/sustainable-business/behaviour-change-energy-consumption?newsfeed=true" TargetMode="External"/><Relationship Id="rId554" Type="http://schemas.openxmlformats.org/officeDocument/2006/relationships/hyperlink" Target="http://www.wired.com/insights/2013/12/human-centered-design-matters/" TargetMode="External"/><Relationship Id="rId311" Type="http://schemas.openxmlformats.org/officeDocument/2006/relationships/hyperlink" Target="http://t.co/vaoSsFfjeg" TargetMode="External"/><Relationship Id="rId432" Type="http://schemas.openxmlformats.org/officeDocument/2006/relationships/hyperlink" Target="http://www.theguardian.com/sustainable-business/2015/feb/10/openlabel-app-consumer-information-google-facebook" TargetMode="External"/><Relationship Id="rId553" Type="http://schemas.openxmlformats.org/officeDocument/2006/relationships/hyperlink" Target="http://www.wired.com/2014/06/energy-and-human-behavior/" TargetMode="External"/><Relationship Id="rId310" Type="http://schemas.openxmlformats.org/officeDocument/2006/relationships/hyperlink" Target="http://www.psmag.com/business-economics/time-as-money-mindset-decreases-green-behaviors" TargetMode="External"/><Relationship Id="rId431" Type="http://schemas.openxmlformats.org/officeDocument/2006/relationships/hyperlink" Target="http://www.theguardian.com/global-development-professionals-network/2016/apr/25/12-ways-the-arts-can-encourage-climate-action" TargetMode="External"/><Relationship Id="rId552" Type="http://schemas.openxmlformats.org/officeDocument/2006/relationships/hyperlink" Target="http://www.whydev.org/cognitive-dissonance-and-social-change-what-can-we-learn/" TargetMode="External"/><Relationship Id="rId430" Type="http://schemas.openxmlformats.org/officeDocument/2006/relationships/hyperlink" Target="http://www.theguardian.com/sustainable-business/2015/jan/29/climate-change-communicate-risk-appeal-popular-opinion" TargetMode="External"/><Relationship Id="rId551" Type="http://schemas.openxmlformats.org/officeDocument/2006/relationships/hyperlink" Target="http://knowledge.wharton.upenn.edu/article/the-key-to-making-smarter-long-term-decision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zerowastescotland.org.uk/content/edinburgh-%E2%80%98nudging%E2%80%99-success-recycling" TargetMode="External"/><Relationship Id="rId2" Type="http://schemas.openxmlformats.org/officeDocument/2006/relationships/hyperlink" Target="http://www.scientificamerican.com/article/what-do-farmers-think-about-climate-change/" TargetMode="External"/><Relationship Id="rId3" Type="http://schemas.openxmlformats.org/officeDocument/2006/relationships/hyperlink" Target="http://www.nytimes.com/2014/05/09/upshot/vaccine-opponents-can-be-immune-to-education.html?partner=rss&amp;emc=rss&amp;smid=tw-upshot&amp;_r=1&amp;abt=0002&amp;abg=0"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90" Type="http://schemas.openxmlformats.org/officeDocument/2006/relationships/hyperlink" Target="http://www.theatlantic.com/business/archive/2014/03/how-the-famous-marshmallow-study-explains-environmental-conservation/284190/" TargetMode="External"/><Relationship Id="rId194" Type="http://schemas.openxmlformats.org/officeDocument/2006/relationships/hyperlink" Target="http://frank.jou.ufl.edu/frankology/how-to-make-narcissists-think-green-is-the-new-black/" TargetMode="External"/><Relationship Id="rId193" Type="http://schemas.openxmlformats.org/officeDocument/2006/relationships/hyperlink" Target="http://www.businessinsider.com/how-to-make-better-decisions-2015-6" TargetMode="External"/><Relationship Id="rId192" Type="http://schemas.openxmlformats.org/officeDocument/2006/relationships/hyperlink" Target="http://www.huffingtonpost.com/james-clear/decision-fatigue_b_4044212.html?utm_hp_ref=tw" TargetMode="External"/><Relationship Id="rId191" Type="http://schemas.openxmlformats.org/officeDocument/2006/relationships/hyperlink" Target="http://voices.mckinseyonsociety.com/how-to-turn-consumers-green/" TargetMode="External"/><Relationship Id="rId187" Type="http://schemas.openxmlformats.org/officeDocument/2006/relationships/hyperlink" Target="http://sciof.us/1bWlybo" TargetMode="External"/><Relationship Id="rId186" Type="http://schemas.openxmlformats.org/officeDocument/2006/relationships/hyperlink" Target="http://nymag.com/scienceofus/2015/01/time-to-get-acquainted-with-future-you.html?mid=twitter_scienceofus" TargetMode="External"/><Relationship Id="rId185" Type="http://schemas.openxmlformats.org/officeDocument/2006/relationships/hyperlink" Target="http://www.washingtonpost.com/news/energy-environment/wp/2015/05/26/viewing-nature-can-help-your-brain-work-better-study-finds/?postshare=5361432832740398" TargetMode="External"/><Relationship Id="rId184" Type="http://schemas.openxmlformats.org/officeDocument/2006/relationships/hyperlink" Target="http://www.smithsonianmag.com/science-nature/can-science-help-people-unlearn-their-unconscious-biases-180955789/?no-ist" TargetMode="External"/><Relationship Id="rId189" Type="http://schemas.openxmlformats.org/officeDocument/2006/relationships/hyperlink" Target="http://knowledge.wharton.upenn.edu/article/the-key-to-making-smarter-long-term-decisions/" TargetMode="External"/><Relationship Id="rId188" Type="http://schemas.openxmlformats.org/officeDocument/2006/relationships/hyperlink" Target="http://www.huffingtonpost.com/rod-fujita/the-nature-of-humans_b_5695242.html" TargetMode="External"/><Relationship Id="rId183" Type="http://schemas.openxmlformats.org/officeDocument/2006/relationships/hyperlink" Target="http://www.nielsen.com/us/en/insights/news/2015/green-generation-millennials-say-sustainability-is-a-shopping-priority.html" TargetMode="External"/><Relationship Id="rId182" Type="http://schemas.openxmlformats.org/officeDocument/2006/relationships/hyperlink" Target="https://www.washingtonpost.com/news/to-your-health/wp/2016/05/17/forest-bathing-is-latest-fitness-trend-to-hit-u-s-where-yoga-was-30-years-ago/" TargetMode="External"/><Relationship Id="rId181" Type="http://schemas.openxmlformats.org/officeDocument/2006/relationships/hyperlink" Target="http://lisabennett.org/2015/03/16/3-insights-into-writing-about-social-issues/" TargetMode="External"/><Relationship Id="rId180" Type="http://schemas.openxmlformats.org/officeDocument/2006/relationships/hyperlink" Target="http://lisabennett.org/author/lisapbennett/" TargetMode="External"/><Relationship Id="rId176" Type="http://schemas.openxmlformats.org/officeDocument/2006/relationships/hyperlink" Target="https://www.psychologytoday.com/blog/happiness-in-world/201302/how-ensure-youre-almost-always-right" TargetMode="External"/><Relationship Id="rId297" Type="http://schemas.openxmlformats.org/officeDocument/2006/relationships/hyperlink" Target="http://www.vice.com/read/a-psychologist-explains-why-people-dont-really-give-a-shit-about-climate-change-608?utm_source=vicefbus" TargetMode="External"/><Relationship Id="rId175" Type="http://schemas.openxmlformats.org/officeDocument/2006/relationships/hyperlink" Target="http://www.slate.com/blogs/the_world_/2013/12/05/do_older_countries_care_more_about_the_environment_nbsp.html" TargetMode="External"/><Relationship Id="rId296" Type="http://schemas.openxmlformats.org/officeDocument/2006/relationships/hyperlink" Target="http://studiolab.psu.edu/projects/energy-behavior-change" TargetMode="External"/><Relationship Id="rId174" Type="http://schemas.openxmlformats.org/officeDocument/2006/relationships/hyperlink" Target="http://ecoaffect.org/2015/04/13/why-clear-simple-messages-are-the-key-to-better-climate-understanding/" TargetMode="External"/><Relationship Id="rId295" Type="http://schemas.openxmlformats.org/officeDocument/2006/relationships/hyperlink" Target="http://studiolab.psu.edu/projects/energy-behavior-change" TargetMode="External"/><Relationship Id="rId173" Type="http://schemas.openxmlformats.org/officeDocument/2006/relationships/hyperlink" Target="http://www.climateaccess.org/blog/case-study-visuals-and-conversation-help-deepen-engagement-climate-impacts" TargetMode="External"/><Relationship Id="rId294" Type="http://schemas.openxmlformats.org/officeDocument/2006/relationships/hyperlink" Target="http://www.climateaccess.org/blog/using-humor-effectively-communicate-climate-change" TargetMode="External"/><Relationship Id="rId179" Type="http://schemas.openxmlformats.org/officeDocument/2006/relationships/hyperlink" Target="http://theconversation.com/the-truth-is-out-there-so-how-do-you-debunk-a-myth-22641" TargetMode="External"/><Relationship Id="rId178" Type="http://schemas.openxmlformats.org/officeDocument/2006/relationships/hyperlink" Target="http://www.theguardian.com/environment/2015/may/15/the-climate-change-movement-must-overcome-political-tribalism?CMP=share_btn_tw" TargetMode="External"/><Relationship Id="rId299" Type="http://schemas.openxmlformats.org/officeDocument/2006/relationships/hyperlink" Target="http://www.washingtonpost.com/business/on-it/opower-keeps-improving-its-message-to-get-people-to-use-less-energy/2013/11/17/6c726aca-4bc5-11e3-ac54-aa84301ced81_story.html" TargetMode="External"/><Relationship Id="rId177" Type="http://schemas.openxmlformats.org/officeDocument/2006/relationships/hyperlink" Target="http://www.medicaldaily.com/nature-walks-improve-mental-health-helping-people-avoid-rumination-341266" TargetMode="External"/><Relationship Id="rId298" Type="http://schemas.openxmlformats.org/officeDocument/2006/relationships/hyperlink" Target="http://www.washingtonpost.com/news/energy-environment/wp/2015/04/04/how-to-get-californians-to-use-less-water-without-forcing-them-to/?postshare=7791428419899154" TargetMode="External"/><Relationship Id="rId198" Type="http://schemas.openxmlformats.org/officeDocument/2006/relationships/hyperlink" Target="http://www.huffingtonpost.com/wray-herbert/remember-me-personal-lega_b_5991314.html" TargetMode="External"/><Relationship Id="rId197" Type="http://schemas.openxmlformats.org/officeDocument/2006/relationships/hyperlink" Target="http://thinkprogress.org/climate/2015/06/23/3673153/communicating-climate-change-public-health/" TargetMode="External"/><Relationship Id="rId196" Type="http://schemas.openxmlformats.org/officeDocument/2006/relationships/hyperlink" Target="https://www.washingtonpost.com/news/wonk/wp/2014/12/11/the-7-psychological-reasons-that-are-stopping-us-from-acting-on-climate-change/" TargetMode="External"/><Relationship Id="rId195" Type="http://schemas.openxmlformats.org/officeDocument/2006/relationships/hyperlink" Target="http://www.washingtonpost.com/news/energy-environment/wp/2015/03/19/the-surprising-reason-why-some-people-become-environmentalists-and-others-dont/" TargetMode="External"/><Relationship Id="rId199" Type="http://schemas.openxmlformats.org/officeDocument/2006/relationships/hyperlink" Target="http://irrationallabs.org/2015/10/a-long-list-of-examples-of-be-tech/" TargetMode="External"/><Relationship Id="rId150" Type="http://schemas.openxmlformats.org/officeDocument/2006/relationships/hyperlink" Target="http://lesswrong.com/lw/hw/scope_insensitivity/" TargetMode="External"/><Relationship Id="rId271" Type="http://schemas.openxmlformats.org/officeDocument/2006/relationships/hyperlink" Target="http://www.nytimes.com/2015/01/18/upshot/helping-the-poor-in-higher-education-the-power-of-a-simple-nudge.html?smid=fb-nytimes&amp;smtyp=cur&amp;bicmp=AD&amp;bicmlukp=WT.mc_id&amp;bicmst=1409232722000&amp;bicmet=1419773522000&amp;abt=0002&amp;abg=0" TargetMode="External"/><Relationship Id="rId392" Type="http://schemas.openxmlformats.org/officeDocument/2006/relationships/hyperlink" Target="http://www.helpscout.net/blog/the-psychology-of-personalization-how-waiters-increased-tips-by-23-percent-without-changing-service/" TargetMode="External"/><Relationship Id="rId270" Type="http://schemas.openxmlformats.org/officeDocument/2006/relationships/hyperlink" Target="http://t.co/CWeAgqLXbX" TargetMode="External"/><Relationship Id="rId391" Type="http://schemas.openxmlformats.org/officeDocument/2006/relationships/hyperlink" Target="http://ecoaffect.org/2015/04/17/why-do-you-care-about-climate-change-how-making-it-personal-can-drive-people-to-action/" TargetMode="External"/><Relationship Id="rId390" Type="http://schemas.openxmlformats.org/officeDocument/2006/relationships/hyperlink" Target="http://www.theage.com.au/it-pro/forget-facts-its-personality-that-rules-reactions-to-climate-change-20110527-1f8dl.html" TargetMode="External"/><Relationship Id="rId1" Type="http://schemas.openxmlformats.org/officeDocument/2006/relationships/comments" Target="../comments2.xml"/><Relationship Id="rId2" Type="http://schemas.openxmlformats.org/officeDocument/2006/relationships/hyperlink" Target="http://www.scientificamerican.com/article/how-to-win-friends-and-bamboozle-people-about-climate-change/" TargetMode="External"/><Relationship Id="rId3" Type="http://schemas.openxmlformats.org/officeDocument/2006/relationships/hyperlink" Target="http://grist.org/climate-energy/the-brutally-dishonest-attacks-on-showtimes-landmark-climate-series/" TargetMode="External"/><Relationship Id="rId149" Type="http://schemas.openxmlformats.org/officeDocument/2006/relationships/hyperlink" Target="http://climatecommunication.yale.edu/publications/faith-morality-environment/" TargetMode="External"/><Relationship Id="rId4" Type="http://schemas.openxmlformats.org/officeDocument/2006/relationships/hyperlink" Target="http://www.theatlantic.com/health/archive/2015/01/americans-believe-in-science-just-not-its-findings/384937/" TargetMode="External"/><Relationship Id="rId148" Type="http://schemas.openxmlformats.org/officeDocument/2006/relationships/hyperlink" Target="http://ecoaffect.org/2015/03/11/increasing-moral-engagement-on-climate-change/" TargetMode="External"/><Relationship Id="rId269" Type="http://schemas.openxmlformats.org/officeDocument/2006/relationships/hyperlink" Target="http://energyefficiencymarkets.com/people-power-pilot-yields-10-energy-savings-changing-behavior/" TargetMode="External"/><Relationship Id="rId9" Type="http://schemas.openxmlformats.org/officeDocument/2006/relationships/hyperlink" Target="http://www.nytimes.com/roomfordebate/2015/01/04/are-conspiracy-theories-all-bad-17/the-negative-social-impact-of-conspiracy-theories" TargetMode="External"/><Relationship Id="rId143" Type="http://schemas.openxmlformats.org/officeDocument/2006/relationships/hyperlink" Target="http://www.southernfriedscience.com/?p=18074" TargetMode="External"/><Relationship Id="rId264" Type="http://schemas.openxmlformats.org/officeDocument/2006/relationships/hyperlink" Target="https://www.greenbiz.com/article/5-truths-about-our-relationship-energy" TargetMode="External"/><Relationship Id="rId385" Type="http://schemas.openxmlformats.org/officeDocument/2006/relationships/hyperlink" Target="http://www.wired.com/2015/08/obamas-getting-americans-care-climate-change/" TargetMode="External"/><Relationship Id="rId142" Type="http://schemas.openxmlformats.org/officeDocument/2006/relationships/hyperlink" Target="http://www.climateoutreach.org.uk/engaging-the-public-on-drought-risks-stories-about-security/" TargetMode="External"/><Relationship Id="rId263" Type="http://schemas.openxmlformats.org/officeDocument/2006/relationships/hyperlink" Target="http://inudgeyou.com/archives/6638" TargetMode="External"/><Relationship Id="rId384" Type="http://schemas.openxmlformats.org/officeDocument/2006/relationships/hyperlink" Target="http://articles.latimes.com/2011/dec/07/nation/la-na-evangelical-warming-20111207" TargetMode="External"/><Relationship Id="rId141" Type="http://schemas.openxmlformats.org/officeDocument/2006/relationships/hyperlink" Target="http://www.theguardian.com/sustainable-business/behavioural-insights/2014/dec/02/science-wont-win-over-sceptics-climate-change" TargetMode="External"/><Relationship Id="rId262" Type="http://schemas.openxmlformats.org/officeDocument/2006/relationships/hyperlink" Target="http://economicspsychologypolicy.blogspot.ie/2013/12/the-15-best-behavioural-science-graphs.html?m=1%C2%A0%E2%80%A6" TargetMode="External"/><Relationship Id="rId383" Type="http://schemas.openxmlformats.org/officeDocument/2006/relationships/hyperlink" Target="http://www.huffingtonpost.com/miroslava-korenha/what-the-environmental-co_b_6350424.html" TargetMode="External"/><Relationship Id="rId140" Type="http://schemas.openxmlformats.org/officeDocument/2006/relationships/hyperlink" Target="http://www.climateaccess.org/sites/default/files/TEA_Climate_Engagement_Principles.pdf" TargetMode="External"/><Relationship Id="rId261" Type="http://schemas.openxmlformats.org/officeDocument/2006/relationships/hyperlink" Target="http://www.theguardian.com/sustainable-business/2015/feb/10/openlabel-app-consumer-information-google-facebook" TargetMode="External"/><Relationship Id="rId382" Type="http://schemas.openxmlformats.org/officeDocument/2006/relationships/hyperlink" Target="https://www.washingtonpost.com/posteverything/wp/2016/01/04/psychologists-have-discovered-the-secret-to-making-people-care-about-climate-change/?postshare=1441451917973467&amp;tid=ss_tw-bottom" TargetMode="External"/><Relationship Id="rId5" Type="http://schemas.openxmlformats.org/officeDocument/2006/relationships/hyperlink" Target="http://www.theguardian.com/sustainable-business/2015/feb/23/five-ways-that-people-frame-climate-change-debates" TargetMode="External"/><Relationship Id="rId147" Type="http://schemas.openxmlformats.org/officeDocument/2006/relationships/hyperlink" Target="http://www.climateaccess.org/blog/know-thy-audience" TargetMode="External"/><Relationship Id="rId268" Type="http://schemas.openxmlformats.org/officeDocument/2006/relationships/hyperlink" Target="http://energistarakentamista.com/2015/05/19/granlund-host-finlands-first-ever-behaviour-change-hackathon-5-tips-to-reduce-building-user-energy-consumption/" TargetMode="External"/><Relationship Id="rId389" Type="http://schemas.openxmlformats.org/officeDocument/2006/relationships/hyperlink" Target="https://psmag.com/from-humbug-to-humble-the-power-of-the-scrooge-effect-18275f5059d1" TargetMode="External"/><Relationship Id="rId6" Type="http://schemas.openxmlformats.org/officeDocument/2006/relationships/hyperlink" Target="http://environmentalpolicy.ucdavis.edu/blog/2014/04/336" TargetMode="External"/><Relationship Id="rId146" Type="http://schemas.openxmlformats.org/officeDocument/2006/relationships/hyperlink" Target="https://www.washingtonpost.com/news/energy-environment/wp/2016/04/27/this-key-psychological-factor-could-explain-why-you-care-about-the-environment/" TargetMode="External"/><Relationship Id="rId267" Type="http://schemas.openxmlformats.org/officeDocument/2006/relationships/hyperlink" Target="http://www.scientificamerican.com/article/overconsumption-consumer-green/" TargetMode="External"/><Relationship Id="rId388" Type="http://schemas.openxmlformats.org/officeDocument/2006/relationships/hyperlink" Target="http://ecoaffect.org/2015/12/18/putting-people-first-3-ways-to-approach-climate-communications-2/" TargetMode="External"/><Relationship Id="rId7" Type="http://schemas.openxmlformats.org/officeDocument/2006/relationships/hyperlink" Target="http://www.nytimes.com/2014/04/09/opinion/global-warming-scare-tactics.html" TargetMode="External"/><Relationship Id="rId145" Type="http://schemas.openxmlformats.org/officeDocument/2006/relationships/hyperlink" Target="http://www.climateaccess.org/blog/connecting-climate-health-and-opportunity" TargetMode="External"/><Relationship Id="rId266" Type="http://schemas.openxmlformats.org/officeDocument/2006/relationships/hyperlink" Target="http://finance-commerce.com/2014/09/sustainable-reducing-energy-use-through-behavioral-science/" TargetMode="External"/><Relationship Id="rId387" Type="http://schemas.openxmlformats.org/officeDocument/2006/relationships/hyperlink" Target="http://ecoaffect.org/2015/12/11/13612/" TargetMode="External"/><Relationship Id="rId8" Type="http://schemas.openxmlformats.org/officeDocument/2006/relationships/hyperlink" Target="http://valuesandframes.org/some-psychological-consequences-of-putting-a-price-on-nature/" TargetMode="External"/><Relationship Id="rId144" Type="http://schemas.openxmlformats.org/officeDocument/2006/relationships/hyperlink" Target="http://www.climateaccess.org/blog/communicating-through-shared-values" TargetMode="External"/><Relationship Id="rId265" Type="http://schemas.openxmlformats.org/officeDocument/2006/relationships/hyperlink" Target="http://finance-commerce.com/author/frankjossi/" TargetMode="External"/><Relationship Id="rId386" Type="http://schemas.openxmlformats.org/officeDocument/2006/relationships/hyperlink" Target="https://hootsuite.com/dashboard" TargetMode="External"/><Relationship Id="rId260" Type="http://schemas.openxmlformats.org/officeDocument/2006/relationships/hyperlink" Target="http://www.nytimes.com/2008/07/13/world/europe/13paris.html?pagewanted=all" TargetMode="External"/><Relationship Id="rId381" Type="http://schemas.openxmlformats.org/officeDocument/2006/relationships/hyperlink" Target="http://frank.jou.ufl.edu/frankology/some-ghoulish-findings-about-fear-of-death-and-charitable-giving/" TargetMode="External"/><Relationship Id="rId380" Type="http://schemas.openxmlformats.org/officeDocument/2006/relationships/hyperlink" Target="http://frank.jou.ufl.edu/frankology/the-tree-huggers-got-it-right-the-link-between-compassion-and-conservation/" TargetMode="External"/><Relationship Id="rId139" Type="http://schemas.openxmlformats.org/officeDocument/2006/relationships/hyperlink" Target="http://content.usatoday.com/communities/sciencefair/post/2012/05/study-personality-split-climate-views-not-science-literacy/1" TargetMode="External"/><Relationship Id="rId138" Type="http://schemas.openxmlformats.org/officeDocument/2006/relationships/hyperlink" Target="https://www.psychologytoday.com/blog/dont-delay/201001/implementation-intentions-facilitate-action-control" TargetMode="External"/><Relationship Id="rId259" Type="http://schemas.openxmlformats.org/officeDocument/2006/relationships/hyperlink" Target="http://www.nytimes.com/2011/10/16/technology/default-choices-are-hard-to-resist-online-or-not.html" TargetMode="External"/><Relationship Id="rId137" Type="http://schemas.openxmlformats.org/officeDocument/2006/relationships/hyperlink" Target="http://www.forbes.com/sites/stevemeyer/2014/11/18/your-new-years-resolutions-will-fail-again-unless-you-do-this/" TargetMode="External"/><Relationship Id="rId258" Type="http://schemas.openxmlformats.org/officeDocument/2006/relationships/hyperlink" Target="http://www.wsj.com/articles/in-tests-scientists-try-to-change-behaviors-1406588998" TargetMode="External"/><Relationship Id="rId379" Type="http://schemas.openxmlformats.org/officeDocument/2006/relationships/hyperlink" Target="http://talkingpointsmemo.com/news/red-state-cities-find-euphemisms-prepare-global-warming%C2%A0%E2%80%A6" TargetMode="External"/><Relationship Id="rId132" Type="http://schemas.openxmlformats.org/officeDocument/2006/relationships/hyperlink" Target="http://www.climateaccess.org/blog/using-new-economic-frames-drive-climate-action" TargetMode="External"/><Relationship Id="rId253" Type="http://schemas.openxmlformats.org/officeDocument/2006/relationships/hyperlink" Target="http://www.theguardian.com/commentisfree/oliver-burkeman-column/2015/mar/24/never-having-a-choice-always-having-to-choose" TargetMode="External"/><Relationship Id="rId374" Type="http://schemas.openxmlformats.org/officeDocument/2006/relationships/hyperlink" Target="http://ecoaffect.org/2015/07/17/3-ways-to-improve-your-climate-conversations/" TargetMode="External"/><Relationship Id="rId131" Type="http://schemas.openxmlformats.org/officeDocument/2006/relationships/hyperlink" Target="https://medium.com/@rdearborn/hey-environmentalists-lets-stop-being-so-depressing-c0d28bd7cad5" TargetMode="External"/><Relationship Id="rId252" Type="http://schemas.openxmlformats.org/officeDocument/2006/relationships/hyperlink" Target="http://www.regionofwaterloo.ca/en/aboutTheEnvironment/resources/NewsletterJune07.pdf" TargetMode="External"/><Relationship Id="rId373" Type="http://schemas.openxmlformats.org/officeDocument/2006/relationships/hyperlink" Target="http://www.climateaccess.org/blog/building-local-support-carbon-rules" TargetMode="External"/><Relationship Id="rId130" Type="http://schemas.openxmlformats.org/officeDocument/2006/relationships/hyperlink" Target="https://mlmlblog.wordpress.com/2013/06/17/beyond-the-obituaries-the-shinning-stars-of-conservation-work/" TargetMode="External"/><Relationship Id="rId251" Type="http://schemas.openxmlformats.org/officeDocument/2006/relationships/hyperlink" Target="http://www.newsinenglish.no/2012/11/20/smaller-plates-less-waste/" TargetMode="External"/><Relationship Id="rId372" Type="http://schemas.openxmlformats.org/officeDocument/2006/relationships/hyperlink" Target="http://www.climateaccess.org/blog/human-conversations-about-climate-change" TargetMode="External"/><Relationship Id="rId250" Type="http://schemas.openxmlformats.org/officeDocument/2006/relationships/hyperlink" Target="http://www.regblog.org/2015/05/13/punchak-behavioral-science/" TargetMode="External"/><Relationship Id="rId371" Type="http://schemas.openxmlformats.org/officeDocument/2006/relationships/hyperlink" Target="http://talkingclimate.org/personal-climate-stories/" TargetMode="External"/><Relationship Id="rId136" Type="http://schemas.openxmlformats.org/officeDocument/2006/relationships/hyperlink" Target="http://www.climateaccess.org/blog/what-you-need-know-about-changing-climate-conversation" TargetMode="External"/><Relationship Id="rId257" Type="http://schemas.openxmlformats.org/officeDocument/2006/relationships/hyperlink" Target="http://onetonnelife.com/" TargetMode="External"/><Relationship Id="rId378" Type="http://schemas.openxmlformats.org/officeDocument/2006/relationships/hyperlink" Target="http://www.scientificamerican.com/article/how-to-talk-global-warming-in-plain-english/" TargetMode="External"/><Relationship Id="rId135" Type="http://schemas.openxmlformats.org/officeDocument/2006/relationships/hyperlink" Target="http://grist.org/climate-energy/7-smarter-ways-to-talk-about-climate-change/" TargetMode="External"/><Relationship Id="rId256" Type="http://schemas.openxmlformats.org/officeDocument/2006/relationships/hyperlink" Target="http://www.resource-media.org/universities-leading-the-charge-on-food-waste/" TargetMode="External"/><Relationship Id="rId377" Type="http://schemas.openxmlformats.org/officeDocument/2006/relationships/hyperlink" Target="http://ecoaffect.org/2016/04/04/climate-messaging-lessons-from-the-marriage-equality-movement/" TargetMode="External"/><Relationship Id="rId134" Type="http://schemas.openxmlformats.org/officeDocument/2006/relationships/hyperlink" Target="http://www.theguardian.com/sustainable-business/2015/jun/04/sufficiency-economy-karma-marketing-branding-business" TargetMode="External"/><Relationship Id="rId255" Type="http://schemas.openxmlformats.org/officeDocument/2006/relationships/hyperlink" Target="http://www.snap.is/magazine/paul-ferraro-sustainability-nudges-conservation/" TargetMode="External"/><Relationship Id="rId376" Type="http://schemas.openxmlformats.org/officeDocument/2006/relationships/hyperlink" Target="http://blogs.ei.columbia.edu/2015/07/27/what-the-world-thinks-of-climate-change/" TargetMode="External"/><Relationship Id="rId133" Type="http://schemas.openxmlformats.org/officeDocument/2006/relationships/hyperlink" Target="http://www.triplepundit.com/2015/06/pain-keeps-us-acting-climate-change/" TargetMode="External"/><Relationship Id="rId254" Type="http://schemas.openxmlformats.org/officeDocument/2006/relationships/hyperlink" Target="http://energyblog.nationalgeographic.com/2013/12/31/u-s-phase-out-of-incandescent-light-bulbs-continues-in-2014-with-40-60-watt-varieties/" TargetMode="External"/><Relationship Id="rId375" Type="http://schemas.openxmlformats.org/officeDocument/2006/relationships/hyperlink" Target="http://ecoaffect.org/2015/11/06/9-best-practices-for-engaging-the-public-on-climate-related-flood-risks/" TargetMode="External"/><Relationship Id="rId172" Type="http://schemas.openxmlformats.org/officeDocument/2006/relationships/hyperlink" Target="http://www.fastcoexist.com/3034104/the-climate-movement-needs-rebranding-but-these-milton-glazer-buttons-wont-do-it" TargetMode="External"/><Relationship Id="rId293" Type="http://schemas.openxmlformats.org/officeDocument/2006/relationships/hyperlink" Target="http://ecoaffect.org/2016/05/26/overcoming-the-psychological-barriers-for-climate-action/" TargetMode="External"/><Relationship Id="rId171" Type="http://schemas.openxmlformats.org/officeDocument/2006/relationships/hyperlink" Target="http://blogs.ei.columbia.edu/2015/01/08/what-will-you-leave-behind-how-personal-legacy-affects-pro-environmental-behavior/" TargetMode="External"/><Relationship Id="rId292" Type="http://schemas.openxmlformats.org/officeDocument/2006/relationships/hyperlink" Target="http://insideclimatenews.org/news/25082015/climate-changes-overlooked-sociological-side" TargetMode="External"/><Relationship Id="rId170" Type="http://schemas.openxmlformats.org/officeDocument/2006/relationships/hyperlink" Target="http://www.huffingtonpost.com/entry/climate-change-psychology_us_5674272ee4b014efe0d52186" TargetMode="External"/><Relationship Id="rId291" Type="http://schemas.openxmlformats.org/officeDocument/2006/relationships/hyperlink" Target="http://www.wired.com/insights/2013/12/human-centered-design-matters/" TargetMode="External"/><Relationship Id="rId290" Type="http://schemas.openxmlformats.org/officeDocument/2006/relationships/hyperlink" Target="http://swampland.time.com/2013/08/09/nudge-back-in-fashion-at-white-house/" TargetMode="External"/><Relationship Id="rId165" Type="http://schemas.openxmlformats.org/officeDocument/2006/relationships/hyperlink" Target="http://climateoutreach.org/introducing-climate-visuals-an-innovative-new-resource-for-visual-climate-change-communication/" TargetMode="External"/><Relationship Id="rId286" Type="http://schemas.openxmlformats.org/officeDocument/2006/relationships/hyperlink" Target="http://www.treehugger.com/clean-technology/recycling-bins-34-more-effective-when-they-haveholes.html" TargetMode="External"/><Relationship Id="rId164" Type="http://schemas.openxmlformats.org/officeDocument/2006/relationships/hyperlink" Target="http://www.nytimes.com/2015/11/15/opinion/sunday/the-key-to-political-persuasion.html?ref=opinion&amp;_r=1" TargetMode="External"/><Relationship Id="rId285" Type="http://schemas.openxmlformats.org/officeDocument/2006/relationships/hyperlink" Target="http://bit.ly/1BZKqpC" TargetMode="External"/><Relationship Id="rId163" Type="http://schemas.openxmlformats.org/officeDocument/2006/relationships/hyperlink" Target="http://frank.jou.ufl.edu/frankology/meet-the-new-spokespeople-for-climate-change-politicians/" TargetMode="External"/><Relationship Id="rId284" Type="http://schemas.openxmlformats.org/officeDocument/2006/relationships/hyperlink" Target="http://www.zerowastescotland.org.uk/content/edinburgh-%E2%80%98nudging%E2%80%99-success-recycling" TargetMode="External"/><Relationship Id="rId162" Type="http://schemas.openxmlformats.org/officeDocument/2006/relationships/hyperlink" Target="https://www.greenbiz.com/article/want-connect-climate-skeptics-just-listen" TargetMode="External"/><Relationship Id="rId283" Type="http://schemas.openxmlformats.org/officeDocument/2006/relationships/hyperlink" Target="http://inudgeyou.com/nudge-for-reducing-junk-ads/" TargetMode="External"/><Relationship Id="rId169" Type="http://schemas.openxmlformats.org/officeDocument/2006/relationships/hyperlink" Target="https://www.psychologytoday.com/blog/ulterior-motives/201104/global-warming-politics-is-local" TargetMode="External"/><Relationship Id="rId168" Type="http://schemas.openxmlformats.org/officeDocument/2006/relationships/hyperlink" Target="https://www.psychologytoday.com/blog/ulterior-motives/201105/why-is-the-belief-in-global-warming-affected-temperature" TargetMode="External"/><Relationship Id="rId289" Type="http://schemas.openxmlformats.org/officeDocument/2006/relationships/hyperlink" Target="http://www.nytimes.com/2011/08/15/education/15energy.html?src=me&amp;ref=general" TargetMode="External"/><Relationship Id="rId167" Type="http://schemas.openxmlformats.org/officeDocument/2006/relationships/hyperlink" Target="http://bit.ly/1JaiyCz" TargetMode="External"/><Relationship Id="rId288" Type="http://schemas.openxmlformats.org/officeDocument/2006/relationships/hyperlink" Target="http://inudgeyou.com/green-footprints-ashfield/" TargetMode="External"/><Relationship Id="rId166" Type="http://schemas.openxmlformats.org/officeDocument/2006/relationships/hyperlink" Target="http://climatemigration.org.uk/image-problem-are-we-using-the-wrong-photographs-to-illustrate-migration-and-climate-change/" TargetMode="External"/><Relationship Id="rId287" Type="http://schemas.openxmlformats.org/officeDocument/2006/relationships/hyperlink" Target="http://www.edinburghnews.scotsman.com/news/edinburgh-recycling-rates-soar-85-per-cent-1-3650917" TargetMode="External"/><Relationship Id="rId161" Type="http://schemas.openxmlformats.org/officeDocument/2006/relationships/hyperlink" Target="http://www.scientificamerican.com/article/what-do-farmers-think-about-climate-change/" TargetMode="External"/><Relationship Id="rId282" Type="http://schemas.openxmlformats.org/officeDocument/2006/relationships/hyperlink" Target="https://worksthatwork.com/1/urinal-fly" TargetMode="External"/><Relationship Id="rId160" Type="http://schemas.openxmlformats.org/officeDocument/2006/relationships/hyperlink" Target="http://www.climatechangenews.com/2015/07/09/how-to-talk-about-uncertainty-in-climate-science/" TargetMode="External"/><Relationship Id="rId281" Type="http://schemas.openxmlformats.org/officeDocument/2006/relationships/hyperlink" Target="http://www.theguardian.com/sustainable-business/behavioural-insights/2014/oct/09/eco-laundry-sustainable-washing-machines" TargetMode="External"/><Relationship Id="rId280" Type="http://schemas.openxmlformats.org/officeDocument/2006/relationships/hyperlink" Target="http://www.theguardian.com/sustainable-business/2014/oct/03/real-time-advertising-persuade-people-recycle" TargetMode="External"/><Relationship Id="rId159" Type="http://schemas.openxmlformats.org/officeDocument/2006/relationships/hyperlink" Target="http://ecoaffect.org/2016/04/21/to-give-life-to-the-paris-climate-agreement-connect-on-personal-values/" TargetMode="External"/><Relationship Id="rId154" Type="http://schemas.openxmlformats.org/officeDocument/2006/relationships/hyperlink" Target="http://climateoutreach.org/climate-faith/" TargetMode="External"/><Relationship Id="rId275" Type="http://schemas.openxmlformats.org/officeDocument/2006/relationships/hyperlink" Target="http://rosslandtelegraph.com/news/rosslands-energy-diet-sparks-trend-20048" TargetMode="External"/><Relationship Id="rId396" Type="http://schemas.openxmlformats.org/officeDocument/2006/relationships/hyperlink" Target="http://www.medicaldaily.com/energy-conservation-lesson-saving-lives-motivates-people-use-less-electricity-317442" TargetMode="External"/><Relationship Id="rId153" Type="http://schemas.openxmlformats.org/officeDocument/2006/relationships/hyperlink" Target="http://www.popsci.com/article/science/meet-scientist-who-might-end-climate-culture-wars" TargetMode="External"/><Relationship Id="rId274" Type="http://schemas.openxmlformats.org/officeDocument/2006/relationships/hyperlink" Target="http://www.zerowasteeurope.eu/2013/09/the-story-of-capannori-a-zero-waste-champion/" TargetMode="External"/><Relationship Id="rId395" Type="http://schemas.openxmlformats.org/officeDocument/2006/relationships/hyperlink" Target="http://www.theguardian.com/environment/2014/aug/27/uk-winter-floods-climate-change" TargetMode="External"/><Relationship Id="rId152" Type="http://schemas.openxmlformats.org/officeDocument/2006/relationships/hyperlink" Target="http://ecoaffect.org/2016/05/25/want-to-make-climate-impacts-more-relatable-start-with-water/" TargetMode="External"/><Relationship Id="rId273" Type="http://schemas.openxmlformats.org/officeDocument/2006/relationships/hyperlink" Target="http://www.npr.org/2012/03/05/147192599/habits-how-they-form-and-how-to-break-them" TargetMode="External"/><Relationship Id="rId394" Type="http://schemas.openxmlformats.org/officeDocument/2006/relationships/hyperlink" Target="http://t.co/6DlzfY3VHl" TargetMode="External"/><Relationship Id="rId151" Type="http://schemas.openxmlformats.org/officeDocument/2006/relationships/hyperlink" Target="http://ecoaffect.org/2015/11/11/4-factors-that-affect-how-people-feel-about-climate-change/" TargetMode="External"/><Relationship Id="rId272" Type="http://schemas.openxmlformats.org/officeDocument/2006/relationships/hyperlink" Target="http://www.npr.org/blogs/health/2015/01/05/371894919/what-heroin-addiction-tells-us-about-changing-bad-habits?utm_source=facebook.com&amp;utm_medium=social&amp;utm_campaign=npr&amp;utm_term=nprnews&amp;utm_content=20150105" TargetMode="External"/><Relationship Id="rId393" Type="http://schemas.openxmlformats.org/officeDocument/2006/relationships/hyperlink" Target="http://www.eenews.net/climatewire/2015/02/06/stories/1060013001" TargetMode="External"/><Relationship Id="rId158" Type="http://schemas.openxmlformats.org/officeDocument/2006/relationships/hyperlink" Target="http://www.slate.com/articles/news_and_politics/politics/2014/06/epa_emissions_regulations_and_climate_change_why_the_white_house_is_talking.html" TargetMode="External"/><Relationship Id="rId279" Type="http://schemas.openxmlformats.org/officeDocument/2006/relationships/hyperlink" Target="http://inudgeyou.com/click/" TargetMode="External"/><Relationship Id="rId157" Type="http://schemas.openxmlformats.org/officeDocument/2006/relationships/hyperlink" Target="http://grist.org/climate-energy/down-with-guilt-there-are-much-better-ways-to-get-people-to-act-on-climate-change/" TargetMode="External"/><Relationship Id="rId278" Type="http://schemas.openxmlformats.org/officeDocument/2006/relationships/hyperlink" Target="http://www.theguardian.com/sustainable-business/behaviour-change-energy-consumption?newsfeed=true" TargetMode="External"/><Relationship Id="rId399" Type="http://schemas.openxmlformats.org/officeDocument/2006/relationships/hyperlink" Target="http://www.climatechangenews.com/2016/01/14/28197/" TargetMode="External"/><Relationship Id="rId156" Type="http://schemas.openxmlformats.org/officeDocument/2006/relationships/hyperlink" Target="http://climateoutreach.org/here-and-now-not-there-and-then/" TargetMode="External"/><Relationship Id="rId277" Type="http://schemas.openxmlformats.org/officeDocument/2006/relationships/hyperlink" Target="http://www.searchenginejournal.com/7-principles-changing-behavior-danielpink-sxswi-2015-recap/128239/" TargetMode="External"/><Relationship Id="rId398" Type="http://schemas.openxmlformats.org/officeDocument/2006/relationships/hyperlink" Target="http://www.resource-media.org/here-now-us-actualizes-climate-change-for-marin-county/" TargetMode="External"/><Relationship Id="rId155" Type="http://schemas.openxmlformats.org/officeDocument/2006/relationships/hyperlink" Target="http://climateoutreach.org/finding-the-right-words-shaping-an-effective-climate-change-narrative/" TargetMode="External"/><Relationship Id="rId276" Type="http://schemas.openxmlformats.org/officeDocument/2006/relationships/hyperlink" Target="http://ecoaffect.org/2015/11/04/looking-back-on-50-years-of-climate-communications-where-are-we-now/" TargetMode="External"/><Relationship Id="rId397" Type="http://schemas.openxmlformats.org/officeDocument/2006/relationships/hyperlink" Target="http://www.theguardian.com/sustainable-business/2015/jan/29/climate-change-communicate-risk-appeal-popular-opinion" TargetMode="External"/><Relationship Id="rId40" Type="http://schemas.openxmlformats.org/officeDocument/2006/relationships/hyperlink" Target="http://www.scientificamerican.com/article/green-and-mean/" TargetMode="External"/><Relationship Id="rId42" Type="http://schemas.openxmlformats.org/officeDocument/2006/relationships/hyperlink" Target="http://www.npr.org/blogs/13.7/2014/09/22/350519216/being-good-isnt-zero-sum?utm_source=facebook.com&amp;utm_medium=social&amp;utm_campaign=npr&amp;utm_term=nprnews&amp;utm_content=20140922" TargetMode="External"/><Relationship Id="rId41" Type="http://schemas.openxmlformats.org/officeDocument/2006/relationships/hyperlink" Target="http://www.washingtonpost.com/wp-dyn/content/article/2010/07/16/AR2010071606839.html" TargetMode="External"/><Relationship Id="rId44" Type="http://schemas.openxmlformats.org/officeDocument/2006/relationships/hyperlink" Target="http://grist.org/list/80-percent-of-humans-are-delusionally-optimistic-says-science/" TargetMode="External"/><Relationship Id="rId43" Type="http://schemas.openxmlformats.org/officeDocument/2006/relationships/hyperlink" Target="http://blogs.discovermagazine.com/intersection/2011/05/05/what-is-motivated-reasoning-how-does-it-work-dan-kahan-answers/" TargetMode="External"/><Relationship Id="rId46" Type="http://schemas.openxmlformats.org/officeDocument/2006/relationships/hyperlink" Target="http://www.huffingtonpost.com/david-ropeik/putting-the-disaster-in-natural-disasters_b_3617132.html" TargetMode="External"/><Relationship Id="rId45" Type="http://schemas.openxmlformats.org/officeDocument/2006/relationships/hyperlink" Target="http://bit.ly/1I7vt7Y" TargetMode="External"/><Relationship Id="rId48" Type="http://schemas.openxmlformats.org/officeDocument/2006/relationships/hyperlink" Target="http://www.bloombergview.com/articles/2014-10-13/buyer-beware-of-cold-snaps" TargetMode="External"/><Relationship Id="rId47" Type="http://schemas.openxmlformats.org/officeDocument/2006/relationships/hyperlink" Target="http://content.time.com/time/health/article/0,8599,2074067-1,00.html" TargetMode="External"/><Relationship Id="rId49" Type="http://schemas.openxmlformats.org/officeDocument/2006/relationships/hyperlink" Target="http://www.econlife.com/how-rating-at-whole-foods-simplify-decision-making/" TargetMode="External"/><Relationship Id="rId31" Type="http://schemas.openxmlformats.org/officeDocument/2006/relationships/hyperlink" Target="http://www.nature.com/news/let-s-think-about-cognitive-bias-1.18520" TargetMode="External"/><Relationship Id="rId30" Type="http://schemas.openxmlformats.org/officeDocument/2006/relationships/hyperlink" Target="http://www.wbs.ac.uk/news/blissful-ignorance-is-almost-our-natural-state/" TargetMode="External"/><Relationship Id="rId33" Type="http://schemas.openxmlformats.org/officeDocument/2006/relationships/hyperlink" Target="http://www.businessinsider.com/cognitive-biases-2014-6?op=1" TargetMode="External"/><Relationship Id="rId32" Type="http://schemas.openxmlformats.org/officeDocument/2006/relationships/hyperlink" Target="http://lifehacker.com/this-graphic-explains-20-cognitive-biases-that-affect-y-1730901381?utm_expid=66866090-55.VeucWPObSOiOW4XRx2RJDA.0" TargetMode="External"/><Relationship Id="rId35" Type="http://schemas.openxmlformats.org/officeDocument/2006/relationships/hyperlink" Target="http://www.upworthy.com/the-bizarre-human-tendency-that-made-baby-jessica-a-household-name-in-1987" TargetMode="External"/><Relationship Id="rId34" Type="http://schemas.openxmlformats.org/officeDocument/2006/relationships/hyperlink" Target="http://www.mindtools.com/pages/article/avoiding-psychological-bias.htm" TargetMode="External"/><Relationship Id="rId37" Type="http://schemas.openxmlformats.org/officeDocument/2006/relationships/hyperlink" Target="http://www.theatlantic.com/business/archive/2015/05/an-economist-reads-marie-kondo/392921/" TargetMode="External"/><Relationship Id="rId36" Type="http://schemas.openxmlformats.org/officeDocument/2006/relationships/hyperlink" Target="http://fivethirtyeight.com/features/your-brain-is-primed-to-reach-false-conclusions/" TargetMode="External"/><Relationship Id="rId39" Type="http://schemas.openxmlformats.org/officeDocument/2006/relationships/hyperlink" Target="http://ecoaffect.org/2015/03/24/why-one-climate-friendly-action-doesnt-always-lead-to-another-and-what-to-do-about-it/" TargetMode="External"/><Relationship Id="rId38" Type="http://schemas.openxmlformats.org/officeDocument/2006/relationships/hyperlink" Target="http://www.washingtonpost.com/news/energy-environment/wp/2015/03/20/the-bizarre-way-that-we-justify-actions-that-waste-energy-and-are-bad-for-the-environment/?postshare=1531426944649616" TargetMode="External"/><Relationship Id="rId20" Type="http://schemas.openxmlformats.org/officeDocument/2006/relationships/hyperlink" Target="http://grist.org/politics/why-there-is-no-liberal-equivalent-to-climate-change-denial/" TargetMode="External"/><Relationship Id="rId22" Type="http://schemas.openxmlformats.org/officeDocument/2006/relationships/hyperlink" Target="https://www.washingtonpost.com/news/energy-environment/wp/2016/01/04/heres-how-scientific-misinformation-such-as-climate-doubt-spreads-through-social-media/" TargetMode="External"/><Relationship Id="rId21" Type="http://schemas.openxmlformats.org/officeDocument/2006/relationships/hyperlink" Target="http://www.nytimes.com/2014/05/09/upshot/vaccine-opponents-can-be-immune-to-education.html?partner=rss&amp;emc=rss&amp;smid=tw-upshot&amp;_r=2&amp;abt=0002&amp;abg=0" TargetMode="External"/><Relationship Id="rId24" Type="http://schemas.openxmlformats.org/officeDocument/2006/relationships/hyperlink" Target="http://www.motherjones.com/politics/2013/09/new-study-politics-makes-you-innumerate" TargetMode="External"/><Relationship Id="rId23" Type="http://schemas.openxmlformats.org/officeDocument/2006/relationships/hyperlink" Target="http://www.motherjones.com/politics/2011/03/denial-science-chris-mooney" TargetMode="External"/><Relationship Id="rId409" Type="http://schemas.openxmlformats.org/officeDocument/2006/relationships/hyperlink" Target="http://distractify.com/old-school/2014/05/29/powerful-social-advertisements-1197697406" TargetMode="External"/><Relationship Id="rId404" Type="http://schemas.openxmlformats.org/officeDocument/2006/relationships/hyperlink" Target="http://www.scientificamerican.com/article/virtual-reality-viewfinders-show-sea-level-rise-and-what-to-do-about-it/" TargetMode="External"/><Relationship Id="rId403" Type="http://schemas.openxmlformats.org/officeDocument/2006/relationships/hyperlink" Target="http://grist.org/climate-energy/watch-global-warming-spiral-out-of-control/" TargetMode="External"/><Relationship Id="rId402" Type="http://schemas.openxmlformats.org/officeDocument/2006/relationships/hyperlink" Target="http://www.theguardian.com/global-development-professionals-network/2016/apr/25/12-ways-the-arts-can-encourage-climate-action" TargetMode="External"/><Relationship Id="rId401" Type="http://schemas.openxmlformats.org/officeDocument/2006/relationships/hyperlink" Target="http://www.npr.org/blogs/health/2014/04/07/300178813/play-it-again-and-again-sam" TargetMode="External"/><Relationship Id="rId408" Type="http://schemas.openxmlformats.org/officeDocument/2006/relationships/hyperlink" Target="http://inhabitat.com/the-city-of-lucerne-turns-taking-out-the-trash-into-a-fun-game/" TargetMode="External"/><Relationship Id="rId407" Type="http://schemas.openxmlformats.org/officeDocument/2006/relationships/hyperlink" Target="http://newsroom.haas.berkeley.edu/research-news/global-warming-science-or-sensation-feeling-warm-makes-people-more-likely-believe" TargetMode="External"/><Relationship Id="rId406" Type="http://schemas.openxmlformats.org/officeDocument/2006/relationships/hyperlink" Target="https://www.washingtonpost.com/news/energy-environment/wp/2016/05/11/this-scientist-just-changed-how-we-think-about-climate-change-with-one-gif/" TargetMode="External"/><Relationship Id="rId405" Type="http://schemas.openxmlformats.org/officeDocument/2006/relationships/hyperlink" Target="http://www.chrisjordan.com/gallery/rtn2/" TargetMode="External"/><Relationship Id="rId26" Type="http://schemas.openxmlformats.org/officeDocument/2006/relationships/hyperlink" Target="http://motherboard.vice.com/read/apocalypse-neuro-why-our-brain-cant-process-the-planets-gravest-threats?utm_source=mbtwitter" TargetMode="External"/><Relationship Id="rId25" Type="http://schemas.openxmlformats.org/officeDocument/2006/relationships/hyperlink" Target="http://www.scientificamerican.com/article/why-people-fly-from-facts/" TargetMode="External"/><Relationship Id="rId28" Type="http://schemas.openxmlformats.org/officeDocument/2006/relationships/hyperlink" Target="http://t.co/xPyMtdeaky" TargetMode="External"/><Relationship Id="rId27" Type="http://schemas.openxmlformats.org/officeDocument/2006/relationships/hyperlink" Target="http://www.stanforddaily.com/2015/03/11/the-medias-role-in-climate-change-action/" TargetMode="External"/><Relationship Id="rId400" Type="http://schemas.openxmlformats.org/officeDocument/2006/relationships/hyperlink" Target="http://www.hongkongfp.com/2015/06/29/chinese-company-uses-smoke-art-to-warn-of-air-pollution-dangers/" TargetMode="External"/><Relationship Id="rId29" Type="http://schemas.openxmlformats.org/officeDocument/2006/relationships/hyperlink" Target="https://www.psychologytoday.com/blog/the-power-prime/201305/cognitive-biases-are-bad-business" TargetMode="External"/><Relationship Id="rId11" Type="http://schemas.openxmlformats.org/officeDocument/2006/relationships/hyperlink" Target="http://www.psychologicalscience.org/index.php/news/releases/people-value-resources-more-consistently-when-they-are-scarce.html" TargetMode="External"/><Relationship Id="rId10" Type="http://schemas.openxmlformats.org/officeDocument/2006/relationships/hyperlink" Target="http://www.earthmagazine.org/article/comment-our-flawed-perceptions-risk" TargetMode="External"/><Relationship Id="rId13" Type="http://schemas.openxmlformats.org/officeDocument/2006/relationships/hyperlink" Target="http://dotearth.blogs.nytimes.com/2014/11/10/how-solution-aversion-and-global-warming-prescriptions-polarize-the-climate-debate/?emc=edit_tnt_20141111&amp;nlid=59604398&amp;tntemail0=y&amp;_r=2" TargetMode="External"/><Relationship Id="rId12" Type="http://schemas.openxmlformats.org/officeDocument/2006/relationships/hyperlink" Target="https://www.washingtonpost.com/news/wonk/wp/2014/11/10/conservatives-dont-hate-climate-science-they-hate-the-lefts-climate-solutions/" TargetMode="External"/><Relationship Id="rId15" Type="http://schemas.openxmlformats.org/officeDocument/2006/relationships/hyperlink" Target="https://appmothers.wordpress.com/2015/02/26/critical-thinking-first-remove-bias/" TargetMode="External"/><Relationship Id="rId14" Type="http://schemas.openxmlformats.org/officeDocument/2006/relationships/hyperlink" Target="http://www.businessinsider.com/subtle-grocery-store-psychological-biases-2015-6?r=UK" TargetMode="External"/><Relationship Id="rId17" Type="http://schemas.openxmlformats.org/officeDocument/2006/relationships/hyperlink" Target="http://www.brainfacts.org/sensing-thinking-behaving/awareness-and-attention/articles/2009/decision-making/" TargetMode="External"/><Relationship Id="rId16" Type="http://schemas.openxmlformats.org/officeDocument/2006/relationships/hyperlink" Target="http://grist.org/people/does-shame-have-a-place-in-the-climate-fight-jennifer-jacquet-thinks-so/?utm_source=twitter&amp;utm_medium=tweet&amp;utm_campaign=socialflow" TargetMode="External"/><Relationship Id="rId19" Type="http://schemas.openxmlformats.org/officeDocument/2006/relationships/hyperlink" Target="http://youarenotsosmart.com/2011/06/10/the-backfire-effect/" TargetMode="External"/><Relationship Id="rId18" Type="http://schemas.openxmlformats.org/officeDocument/2006/relationships/hyperlink" Target="http://www.nytimes.com/2015/09/27/opinion/sunday/the-curious-politics-of-the-nudge.html?smid=tw-nytopinion&amp;smtyp=cur" TargetMode="External"/><Relationship Id="rId84" Type="http://schemas.openxmlformats.org/officeDocument/2006/relationships/hyperlink" Target="http://grist.org/climate-energy/want-everyone-else-to-buy-into-environmentalism-never-say-earth/" TargetMode="External"/><Relationship Id="rId83" Type="http://schemas.openxmlformats.org/officeDocument/2006/relationships/hyperlink" Target="http://www.climateaccess.org/blog/next-steps-towards-new-kind-climate-movement" TargetMode="External"/><Relationship Id="rId86" Type="http://schemas.openxmlformats.org/officeDocument/2006/relationships/hyperlink" Target="http://nymag.com/scienceofus/2014/09/how-to-convince-conservatives-on-climate-change.html?utm_content=buffercaf8d&amp;utm_medium=social&amp;utm_source=twitter.com&amp;utm_campaign=buffer" TargetMode="External"/><Relationship Id="rId85" Type="http://schemas.openxmlformats.org/officeDocument/2006/relationships/hyperlink" Target="http://www.resource-media.org/3-lessons-from-testing-images-and-appeals-for-online-action-in-2014/" TargetMode="External"/><Relationship Id="rId88" Type="http://schemas.openxmlformats.org/officeDocument/2006/relationships/hyperlink" Target="http://www.medicaldaily.com/daily-show-and-colbert-report-may-be-why-so-many-more-people-believe-climate-change-346796" TargetMode="External"/><Relationship Id="rId87" Type="http://schemas.openxmlformats.org/officeDocument/2006/relationships/hyperlink" Target="http://www.nytimes.com/2015/02/17/science/earth/in-climate-change-whats-in-a-name.html?action=click&amp;pgtype=Homepage&amp;module=c-column-middle-span-region&amp;region=c-column-middle-span-region&amp;WT.nav=c-column-middle-span-region" TargetMode="External"/><Relationship Id="rId89" Type="http://schemas.openxmlformats.org/officeDocument/2006/relationships/hyperlink" Target="http://frameblog.org/2014/11/18/problems-need-solutions/" TargetMode="External"/><Relationship Id="rId80" Type="http://schemas.openxmlformats.org/officeDocument/2006/relationships/hyperlink" Target="http://frameblog.org/2014/08/25/instead-of-arguing-about-whether-climate-change-is-real-change-the-story/" TargetMode="External"/><Relationship Id="rId82" Type="http://schemas.openxmlformats.org/officeDocument/2006/relationships/hyperlink" Target="http://www.huffingtonpost.com/george-lakoff/why-environmental-underst_b_205477.html" TargetMode="External"/><Relationship Id="rId81" Type="http://schemas.openxmlformats.org/officeDocument/2006/relationships/hyperlink" Target="http://frameblog.org/2015/01/07/valuing-the-science-of-climate-change/" TargetMode="External"/><Relationship Id="rId73" Type="http://schemas.openxmlformats.org/officeDocument/2006/relationships/hyperlink" Target="https://www.washingtonpost.com/news/wonk/wp/2016/02/10/how-to-change-someones-mind-according-to-science/" TargetMode="External"/><Relationship Id="rId72" Type="http://schemas.openxmlformats.org/officeDocument/2006/relationships/hyperlink" Target="http://climateoutreach.org/ocean-acidification/" TargetMode="External"/><Relationship Id="rId75" Type="http://schemas.openxmlformats.org/officeDocument/2006/relationships/hyperlink" Target="http://www.washingtonpost.com/news/energy-environment/wp/2015/04/30/pope-francis-has-given-the-climate-movement-just-what-it-needed-faith/?postshare=4411430764571913" TargetMode="External"/><Relationship Id="rId74" Type="http://schemas.openxmlformats.org/officeDocument/2006/relationships/hyperlink" Target="http://www.sustainablebrands.com/news_and_views/marketing_comms/brynn_mcnally/how_successfully_engage_consumers_around_water_sustaina?utm_source=Twitter&amp;utm_medium=schtweets&amp;utm_campaign=social" TargetMode="External"/><Relationship Id="rId77" Type="http://schemas.openxmlformats.org/officeDocument/2006/relationships/hyperlink" Target="http://www.resource-media.org/moving-beyond-organic-versus-conventional-when-it-comes-to-feeding-the-world/" TargetMode="External"/><Relationship Id="rId76" Type="http://schemas.openxmlformats.org/officeDocument/2006/relationships/hyperlink" Target="http://ecoaffect.org/2015/09/16/3-lessons-for-communicating-the-value-of-energy-efficiency/" TargetMode="External"/><Relationship Id="rId79" Type="http://schemas.openxmlformats.org/officeDocument/2006/relationships/hyperlink" Target="http://ecoaffect.org/2016/05/16/cause-effect-and-the-power-of-we-motivating-people-to-act-on-climate/" TargetMode="External"/><Relationship Id="rId78" Type="http://schemas.openxmlformats.org/officeDocument/2006/relationships/hyperlink" Target="http://www.vox.com/2015/4/29/8512853/fossil-fuel-divestment" TargetMode="External"/><Relationship Id="rId71" Type="http://schemas.openxmlformats.org/officeDocument/2006/relationships/hyperlink" Target="http://www.theguardian.com/environment/2015/jan/20/why-its-good-to-laugh-at-climate-change" TargetMode="External"/><Relationship Id="rId70" Type="http://schemas.openxmlformats.org/officeDocument/2006/relationships/hyperlink" Target="http://www.climatechangenews.com/2016/03/24/framing-climate-risk-we-need-more-than-a-few-magic-words/" TargetMode="External"/><Relationship Id="rId62" Type="http://schemas.openxmlformats.org/officeDocument/2006/relationships/hyperlink" Target="http://www.npr.org/blogs/itsallpolitics/2013/12/15/250735621/another-partisan-divide-mitt-romneys-looks" TargetMode="External"/><Relationship Id="rId61" Type="http://schemas.openxmlformats.org/officeDocument/2006/relationships/hyperlink" Target="http://www.whydev.org/cognitive-dissonance-and-social-change-what-can-we-learn/" TargetMode="External"/><Relationship Id="rId64" Type="http://schemas.openxmlformats.org/officeDocument/2006/relationships/hyperlink" Target="http://www.nytimes.com/2012/08/19/magazine/the-mind-of-a-flip-flopper.html" TargetMode="External"/><Relationship Id="rId63" Type="http://schemas.openxmlformats.org/officeDocument/2006/relationships/hyperlink" Target="http://grist.org/climate-energy/education-increases-belief-in-climate-change-everywhere-except-in-the-u-s/" TargetMode="External"/><Relationship Id="rId66" Type="http://schemas.openxmlformats.org/officeDocument/2006/relationships/hyperlink" Target="http://globe-net.com/fears-environment-rising-sustainable-behavior-falling/" TargetMode="External"/><Relationship Id="rId65" Type="http://schemas.openxmlformats.org/officeDocument/2006/relationships/hyperlink" Target="http://globe-net.com/fears-environment-rising-sustainable-behavior-falling/" TargetMode="External"/><Relationship Id="rId68" Type="http://schemas.openxmlformats.org/officeDocument/2006/relationships/hyperlink" Target="http://www.psmag.com/books-and-culture/joe-henrich-weird-ultimatum-game-shaking-up-psychology-economics-53135" TargetMode="External"/><Relationship Id="rId67" Type="http://schemas.openxmlformats.org/officeDocument/2006/relationships/hyperlink" Target="http://www.washingtonpost.com/news/energy-environment/wp/2015/01/27/can-your-personality-explain-how-you-feel-about-the-keystone-xl-pipeline/?postshare=3321422455709727" TargetMode="External"/><Relationship Id="rId60" Type="http://schemas.openxmlformats.org/officeDocument/2006/relationships/hyperlink" Target="http://www.newsweek.com/our-brains-are-wired-hypocrisy-begley-80941" TargetMode="External"/><Relationship Id="rId69" Type="http://schemas.openxmlformats.org/officeDocument/2006/relationships/hyperlink" Target="http://www.theguardian.com/sustainable-business/2015/feb/27/most-people-are-neither-alarmist-nor-in-denial-about-climate-change" TargetMode="External"/><Relationship Id="rId51" Type="http://schemas.openxmlformats.org/officeDocument/2006/relationships/hyperlink" Target="http://www.nytimes.com/2014/11/02/business/that-devil-on-your-shoulder-likes-to-sleep-in.html?smid=fb-share" TargetMode="External"/><Relationship Id="rId50" Type="http://schemas.openxmlformats.org/officeDocument/2006/relationships/hyperlink" Target="http://www.nytimes.com/2011/08/21/magazine/do-you-suffer-from-decision-fatigue.html?pagewanted=all" TargetMode="External"/><Relationship Id="rId53" Type="http://schemas.openxmlformats.org/officeDocument/2006/relationships/hyperlink" Target="http://www.vox.com/2016/3/14/11219446/psychology-replication-crisis" TargetMode="External"/><Relationship Id="rId52" Type="http://schemas.openxmlformats.org/officeDocument/2006/relationships/hyperlink" Target="http://www.theguardian.com/science/neurophilosophy/2015/sep/07/self-control-saps-memory-resources" TargetMode="External"/><Relationship Id="rId55" Type="http://schemas.openxmlformats.org/officeDocument/2006/relationships/hyperlink" Target="http://www.npr.org/2013/09/27/226580668/how-recycling-bias-affects-what-you-toss-where" TargetMode="External"/><Relationship Id="rId54" Type="http://schemas.openxmlformats.org/officeDocument/2006/relationships/hyperlink" Target="http://www.newrepublic.com/article/environment-energy/89377/poverty-escape-psychology-self-control" TargetMode="External"/><Relationship Id="rId57" Type="http://schemas.openxmlformats.org/officeDocument/2006/relationships/hyperlink" Target="http://www.sustainablebrands.com/news_and_views/new_metrics/sustainable_brands/new_metrics_%E2%80%9914_increased_fears_about_environment_not_?utm_source=Twitter&amp;utm_medium=schtweets&amp;utm_campaign=editorial" TargetMode="External"/><Relationship Id="rId56" Type="http://schemas.openxmlformats.org/officeDocument/2006/relationships/hyperlink" Target="http://www.npr.org/2015/05/05/404352534/blame-cognitive-biases-when-efforts-to-conserve-water-aren-t-effective" TargetMode="External"/><Relationship Id="rId59" Type="http://schemas.openxmlformats.org/officeDocument/2006/relationships/hyperlink" Target="https://www.psychologytoday.com/blog/culture-conscious/201306/is-cognitive-dissonance-universal" TargetMode="External"/><Relationship Id="rId58" Type="http://schemas.openxmlformats.org/officeDocument/2006/relationships/hyperlink" Target="http://tierneylab.blogs.nytimes.com/2010/01/27/monkeys-candy-and-cognitive-dissonance/?_r=0" TargetMode="External"/><Relationship Id="rId107" Type="http://schemas.openxmlformats.org/officeDocument/2006/relationships/hyperlink" Target="http://www.vox.com/users/Lisa%20Bennett" TargetMode="External"/><Relationship Id="rId228" Type="http://schemas.openxmlformats.org/officeDocument/2006/relationships/hyperlink" Target="http://blessedtomorrow.org/blog/multi-faith-survey-reveals-5-keys-communicating-climate-change?utm_content=buffer8728c&amp;utm_medium=social&amp;utm_source=twitter.com&amp;utm_campaign=buffer" TargetMode="External"/><Relationship Id="rId349" Type="http://schemas.openxmlformats.org/officeDocument/2006/relationships/hyperlink" Target="http://www.resource-media.org/mainstreaming-water-conservation-lessons-from-energy-efficiency/" TargetMode="External"/><Relationship Id="rId106" Type="http://schemas.openxmlformats.org/officeDocument/2006/relationships/hyperlink" Target="http://greatergood.berkeley.edu/article/item/can_empathy_stop_climate_change" TargetMode="External"/><Relationship Id="rId227" Type="http://schemas.openxmlformats.org/officeDocument/2006/relationships/hyperlink" Target="http://www.theguardian.com/global-development-professionals-network/2015/may/05/15-ways-to-powerfully-communicate-climate-change-solutions" TargetMode="External"/><Relationship Id="rId348" Type="http://schemas.openxmlformats.org/officeDocument/2006/relationships/hyperlink" Target="http://www.sesync.org/news/climate-change-debate-echo-chambers" TargetMode="External"/><Relationship Id="rId105" Type="http://schemas.openxmlformats.org/officeDocument/2006/relationships/hyperlink" Target="http://valuesandframes.org/initiative/nature/" TargetMode="External"/><Relationship Id="rId226" Type="http://schemas.openxmlformats.org/officeDocument/2006/relationships/hyperlink" Target="http://www.futerra.co.uk/blog/whats-in-it-for-me" TargetMode="External"/><Relationship Id="rId347" Type="http://schemas.openxmlformats.org/officeDocument/2006/relationships/hyperlink" Target="http://ecoaffect.org/2016/01/07/sustainability-on-ice-how-the-nhl-is-addressing-climate-concerns/" TargetMode="External"/><Relationship Id="rId104" Type="http://schemas.openxmlformats.org/officeDocument/2006/relationships/hyperlink" Target="https://www.washingtonpost.com/news/energy-environment/wp/2015/04/23/this-is-how-green-product-labels-affect-your-brain/?postshare=3861429878728924" TargetMode="External"/><Relationship Id="rId225" Type="http://schemas.openxmlformats.org/officeDocument/2006/relationships/hyperlink" Target="http://mavensnotebook.com/2015/03/18/responding-to-drought-options-for-demand-side-management-or-which-water-conservation-programs-actually-work/" TargetMode="External"/><Relationship Id="rId346" Type="http://schemas.openxmlformats.org/officeDocument/2006/relationships/hyperlink" Target="https://www.washingtonpost.com/news/energy-environment/wp/2016/05/12/the-vicious-cycle-that-makes-people-afraid-to-talk-about-climate-change/" TargetMode="External"/><Relationship Id="rId109" Type="http://schemas.openxmlformats.org/officeDocument/2006/relationships/hyperlink" Target="http://www.yaleclimateconnections.org/2012/04/communicating-climate-change-in-a-national-park/" TargetMode="External"/><Relationship Id="rId108" Type="http://schemas.openxmlformats.org/officeDocument/2006/relationships/hyperlink" Target="http://www.vox.com/2015/6/14/8767823/psychology-global-warming" TargetMode="External"/><Relationship Id="rId229" Type="http://schemas.openxmlformats.org/officeDocument/2006/relationships/hyperlink" Target="http://www.climateaccess.org/blog/inspire-action-through-smart-imagery" TargetMode="External"/><Relationship Id="rId220" Type="http://schemas.openxmlformats.org/officeDocument/2006/relationships/hyperlink" Target="http://t.co/azlpOGxXEl" TargetMode="External"/><Relationship Id="rId341" Type="http://schemas.openxmlformats.org/officeDocument/2006/relationships/hyperlink" Target="http://psychologyofeating.com/simple-psychology-habits/" TargetMode="External"/><Relationship Id="rId340" Type="http://schemas.openxmlformats.org/officeDocument/2006/relationships/hyperlink" Target="https://dornsife.usc.edu/assets/sites/545/docs/Wendy_Wood_Research_Articles/wood.runger.2016.pdf" TargetMode="External"/><Relationship Id="rId103" Type="http://schemas.openxmlformats.org/officeDocument/2006/relationships/hyperlink" Target="http://lisabennett.org/2014/10/31/three-traps-to-avoid-when-speaking-about-the-environment/" TargetMode="External"/><Relationship Id="rId224" Type="http://schemas.openxmlformats.org/officeDocument/2006/relationships/hyperlink" Target="http://www.behaviouralinsights.co.uk/north-america/how-can-a-letter-increase-sewer-bill-payments/" TargetMode="External"/><Relationship Id="rId345" Type="http://schemas.openxmlformats.org/officeDocument/2006/relationships/hyperlink" Target="http://bit.ly/1Ch5c2s" TargetMode="External"/><Relationship Id="rId102" Type="http://schemas.openxmlformats.org/officeDocument/2006/relationships/hyperlink" Target="http://lisabennett.org/2014/10/31/three-traps-to-avoid-when-speaking-about-the-environment/" TargetMode="External"/><Relationship Id="rId223" Type="http://schemas.openxmlformats.org/officeDocument/2006/relationships/hyperlink" Target="http://cabot-institute.blogspot.co.uk/2015/06/the-great-climate-communication-clash.html" TargetMode="External"/><Relationship Id="rId344" Type="http://schemas.openxmlformats.org/officeDocument/2006/relationships/hyperlink" Target="http://www.uvm.edu/~uvmpr/?Page=news&amp;storyID=20208&amp;category=ucommfeatureb" TargetMode="External"/><Relationship Id="rId101" Type="http://schemas.openxmlformats.org/officeDocument/2006/relationships/hyperlink" Target="http://lisabennett.org/author/lisapbennett/" TargetMode="External"/><Relationship Id="rId222" Type="http://schemas.openxmlformats.org/officeDocument/2006/relationships/hyperlink" Target="http://www.bris.ac.uk/earthsciences/people/keri-a-mcnamara/index.html" TargetMode="External"/><Relationship Id="rId343" Type="http://schemas.openxmlformats.org/officeDocument/2006/relationships/hyperlink" Target="https://medium.com/backchannel/conserving-water-with-software-and-shame-3a846c01b811" TargetMode="External"/><Relationship Id="rId100" Type="http://schemas.openxmlformats.org/officeDocument/2006/relationships/hyperlink" Target="http://t.co/rEgh7oYsaQ" TargetMode="External"/><Relationship Id="rId221" Type="http://schemas.openxmlformats.org/officeDocument/2006/relationships/hyperlink" Target="https://marketinggreen.wordpress.com/2015/05/22/transforming-the-climate-conversation-through-social-video/" TargetMode="External"/><Relationship Id="rId342" Type="http://schemas.openxmlformats.org/officeDocument/2006/relationships/hyperlink" Target="http://www.research-live.com/features/motivations-and-money-raising-in-a-social-media-world/4012202.article" TargetMode="External"/><Relationship Id="rId217" Type="http://schemas.openxmlformats.org/officeDocument/2006/relationships/hyperlink" Target="https://hootsuite.com/dashboard" TargetMode="External"/><Relationship Id="rId338" Type="http://schemas.openxmlformats.org/officeDocument/2006/relationships/hyperlink" Target="http://e360.yale.edu/feature/how_can_we_make_people_care_about_climate_change/2892/" TargetMode="External"/><Relationship Id="rId216" Type="http://schemas.openxmlformats.org/officeDocument/2006/relationships/hyperlink" Target="http://www.climateaccess.org/blog/highlights-hub" TargetMode="External"/><Relationship Id="rId337" Type="http://schemas.openxmlformats.org/officeDocument/2006/relationships/hyperlink" Target="http://www.toolsofchange.com/en/case-studies/detail/688/" TargetMode="External"/><Relationship Id="rId215" Type="http://schemas.openxmlformats.org/officeDocument/2006/relationships/hyperlink" Target="http://www.toolsofchange.com/en/case-studies/detail/674" TargetMode="External"/><Relationship Id="rId336" Type="http://schemas.openxmlformats.org/officeDocument/2006/relationships/hyperlink" Target="http://www.hennepin.us/~/media/hennepinus/residents/recycling/recycle-everywhere/RecycleEverywhere_TipsTricks.pdf?la=en" TargetMode="External"/><Relationship Id="rId214" Type="http://schemas.openxmlformats.org/officeDocument/2006/relationships/hyperlink" Target="http://www.triplepundit.com/2015/05/new-report-offers-advice-selling-sustainability-right-one/" TargetMode="External"/><Relationship Id="rId335" Type="http://schemas.openxmlformats.org/officeDocument/2006/relationships/hyperlink" Target="https://www.positive.news/2015/perspective/18138/restoration-vs-preservation-psychology-nature-conservation/" TargetMode="External"/><Relationship Id="rId219" Type="http://schemas.openxmlformats.org/officeDocument/2006/relationships/hyperlink" Target="http://theenergycollective.com/stephenlacey/2189811/money-versus-morals-why-economic-rewards-trump-polite-messaging-efficiency" TargetMode="External"/><Relationship Id="rId218" Type="http://schemas.openxmlformats.org/officeDocument/2006/relationships/hyperlink" Target="https://www.washingtonpost.com/news/energy-environment/wp/2016/04/14/whats-so-different-and-powerful-about-apples-newest-green-initiative/" TargetMode="External"/><Relationship Id="rId339" Type="http://schemas.openxmlformats.org/officeDocument/2006/relationships/hyperlink" Target="http://www.npr.org/blogs/13.7/2014/09/15/348629576/how-not-to-teach-climate-change?utm_source=facebook.com&amp;utm_medium=social&amp;utm_campaign=npr&amp;utm_term=nprnews&amp;utm_content=20140915" TargetMode="External"/><Relationship Id="rId330" Type="http://schemas.openxmlformats.org/officeDocument/2006/relationships/hyperlink" Target="http://grist.org/climate-energy/to-motivate-climate-activists-use-optimism/" TargetMode="External"/><Relationship Id="rId213" Type="http://schemas.openxmlformats.org/officeDocument/2006/relationships/hyperlink" Target="http://www.worldbank.org/en/news/feature/2015/05/11/decarbonizing-development-zero-carbon-future?CID=CCG_TTccgEN_D_EXT" TargetMode="External"/><Relationship Id="rId334" Type="http://schemas.openxmlformats.org/officeDocument/2006/relationships/hyperlink" Target="http://www.scientificamerican.com/article/games-help-save-energy/" TargetMode="External"/><Relationship Id="rId212" Type="http://schemas.openxmlformats.org/officeDocument/2006/relationships/hyperlink" Target="http://www.huffingtonpost.com/2010/09/30/8-clever-and-innovative-w_n_736668.html" TargetMode="External"/><Relationship Id="rId333" Type="http://schemas.openxmlformats.org/officeDocument/2006/relationships/hyperlink" Target="http://www.news.wisc.edu/23688" TargetMode="External"/><Relationship Id="rId211" Type="http://schemas.openxmlformats.org/officeDocument/2006/relationships/hyperlink" Target="https://meam.openchannels.org/news/meam/tundi%E2%80%99s-take-marketing-conservation-ocean-serving-or-self-serving" TargetMode="External"/><Relationship Id="rId332" Type="http://schemas.openxmlformats.org/officeDocument/2006/relationships/hyperlink" Target="https://www.psychologytoday.com/blog/the-green-mind/201311/despair-courage-hope-in-age-environmental-turmoil" TargetMode="External"/><Relationship Id="rId210" Type="http://schemas.openxmlformats.org/officeDocument/2006/relationships/hyperlink" Target="http://www.treehugger.com/corporate-responsibility/could-green-nudges-be-enough-push-us-better-direction.html" TargetMode="External"/><Relationship Id="rId331" Type="http://schemas.openxmlformats.org/officeDocument/2006/relationships/hyperlink" Target="http://aceee.org/research-report/e105" TargetMode="External"/><Relationship Id="rId370" Type="http://schemas.openxmlformats.org/officeDocument/2006/relationships/hyperlink" Target="http://environmentalpolicy.ucdavis.edu/node/291" TargetMode="External"/><Relationship Id="rId129" Type="http://schemas.openxmlformats.org/officeDocument/2006/relationships/hyperlink" Target="http://talkingclimate.org/bypass-the-hang-ups-with-the-preparation-frame/" TargetMode="External"/><Relationship Id="rId128" Type="http://schemas.openxmlformats.org/officeDocument/2006/relationships/hyperlink" Target="http://www.stern.nyu.edu/experience-stern/news-events/hershfield-climate-change" TargetMode="External"/><Relationship Id="rId249" Type="http://schemas.openxmlformats.org/officeDocument/2006/relationships/hyperlink" Target="http://www.call2recycle.org/curbside-recycling-will-convenience-increase-battery-collections/" TargetMode="External"/><Relationship Id="rId127" Type="http://schemas.openxmlformats.org/officeDocument/2006/relationships/hyperlink" Target="http://www.stern.nyu.edu/experience-stern/news-events/hershfield-climate-change" TargetMode="External"/><Relationship Id="rId248" Type="http://schemas.openxmlformats.org/officeDocument/2006/relationships/hyperlink" Target="http://thinkprogress.org/climate/2016/05/23/3780854/portland-textbooks-climate-change/" TargetMode="External"/><Relationship Id="rId369" Type="http://schemas.openxmlformats.org/officeDocument/2006/relationships/hyperlink" Target="http://environmentalpolicy.ucdavis.edu/people/levy" TargetMode="External"/><Relationship Id="rId126" Type="http://schemas.openxmlformats.org/officeDocument/2006/relationships/hyperlink" Target="http://www.huffingtonpost.com/hal-e-hershfield/to-change-environmental-behavior_b_3845707.html" TargetMode="External"/><Relationship Id="rId247" Type="http://schemas.openxmlformats.org/officeDocument/2006/relationships/hyperlink" Target="http://bit.ly/1a8uqdd" TargetMode="External"/><Relationship Id="rId368" Type="http://schemas.openxmlformats.org/officeDocument/2006/relationships/hyperlink" Target="http://www.resource-media.org/food-waste-on-twitter-lots-of-talk-but-can-we-get-some-action/" TargetMode="External"/><Relationship Id="rId121" Type="http://schemas.openxmlformats.org/officeDocument/2006/relationships/hyperlink" Target="http://www.resource-media.org/building-support-for-coastal-resilience-top-5-tips/" TargetMode="External"/><Relationship Id="rId242" Type="http://schemas.openxmlformats.org/officeDocument/2006/relationships/hyperlink" Target="http://www.theguardian.com/sustainable-business/power-behavioural-design-beyond-nudging" TargetMode="External"/><Relationship Id="rId363" Type="http://schemas.openxmlformats.org/officeDocument/2006/relationships/hyperlink" Target="http://ecoaffect.org/2016/06/02/personally-speaking-why-effective-climate-messaging-starts-with-people/" TargetMode="External"/><Relationship Id="rId120" Type="http://schemas.openxmlformats.org/officeDocument/2006/relationships/hyperlink" Target="https://marketinggreen.wordpress.com/2012/05/10/how-to-grow-consumer-attachment-to-green-brands/" TargetMode="External"/><Relationship Id="rId241" Type="http://schemas.openxmlformats.org/officeDocument/2006/relationships/hyperlink" Target="http://www.standard.net/Business/2015/01/24/The-next-energy-revolution-won-t-be-in-wind-or-solar-but-in-human-behavior.html" TargetMode="External"/><Relationship Id="rId362" Type="http://schemas.openxmlformats.org/officeDocument/2006/relationships/hyperlink" Target="http://www.nytimes.com/2009/01/31/science/earth/31compete.html?_r=0" TargetMode="External"/><Relationship Id="rId240" Type="http://schemas.openxmlformats.org/officeDocument/2006/relationships/hyperlink" Target="http://www.washingtonpost.com/news/energy-environment/wp/2015/03/04/your-shower-is-wasting-huge-amounts-of-energy-and-water-heres-what-to-do-about-it/?postshare=9701427114030794" TargetMode="External"/><Relationship Id="rId361" Type="http://schemas.openxmlformats.org/officeDocument/2006/relationships/hyperlink" Target="http://www.citylab.com/commute/2015/04/an-underrated-approach-to-cutting-car-commutes-peer-pressure/391514/?utm_source=SFTwitter" TargetMode="External"/><Relationship Id="rId360" Type="http://schemas.openxmlformats.org/officeDocument/2006/relationships/hyperlink" Target="http://www.washingtonpost.com/news/energy-environment/wp/2015/03/11/forget-what-your-neighbors-think-stop-dousing-your-lawn-with-so-much-fertilizer/?postshare=5611426249758304" TargetMode="External"/><Relationship Id="rId125" Type="http://schemas.openxmlformats.org/officeDocument/2006/relationships/hyperlink" Target="http://www.theemotionmachine.com/the-power-of-nudges-insights-on-how-to-influence-human-behavior" TargetMode="External"/><Relationship Id="rId246" Type="http://schemas.openxmlformats.org/officeDocument/2006/relationships/hyperlink" Target="http://www.theguardian.com/sustainable-business/behavioural-insights/2014/sep/02/recycling-home-break-down-barriers" TargetMode="External"/><Relationship Id="rId367" Type="http://schemas.openxmlformats.org/officeDocument/2006/relationships/hyperlink" Target="http://grist.org/article/2011-01-28-is-it-hot-in-here-or-is-the-climate-changing/" TargetMode="External"/><Relationship Id="rId124" Type="http://schemas.openxmlformats.org/officeDocument/2006/relationships/hyperlink" Target="http://www.theguardian.com/sustainable-business/2015/jul/06/12-tools-for-communicating-climate-change-more-effectively?CMP=share_btn_tw" TargetMode="External"/><Relationship Id="rId245" Type="http://schemas.openxmlformats.org/officeDocument/2006/relationships/hyperlink" Target="http://jamesclear.com/design-default" TargetMode="External"/><Relationship Id="rId366" Type="http://schemas.openxmlformats.org/officeDocument/2006/relationships/hyperlink" Target="http://www.nytimes.com/2013/08/28/dining/wooing-us-down-the-produce-aisle.html" TargetMode="External"/><Relationship Id="rId123" Type="http://schemas.openxmlformats.org/officeDocument/2006/relationships/hyperlink" Target="http://talkingclimate.org/5-strategies/" TargetMode="External"/><Relationship Id="rId244" Type="http://schemas.openxmlformats.org/officeDocument/2006/relationships/hyperlink" Target="http://www.dailycamera.com/news/boulder/ci_28320818/right-sizing-debate-hits-boulder-council" TargetMode="External"/><Relationship Id="rId365" Type="http://schemas.openxmlformats.org/officeDocument/2006/relationships/hyperlink" Target="http://www.fastcocreate.com/3036634/nature-is-speaking-through-harrison-ford-julia-roberts-and-kevin-spacey-and-she-is-pissed" TargetMode="External"/><Relationship Id="rId122" Type="http://schemas.openxmlformats.org/officeDocument/2006/relationships/hyperlink" Target="http://www.theguardian.com/environment/2015/jun/19/peoples-climate-march-al-gore-leonardo-dicaprio-climate-change" TargetMode="External"/><Relationship Id="rId243" Type="http://schemas.openxmlformats.org/officeDocument/2006/relationships/hyperlink" Target="http://www.fastcompany.com/3026411/leadership-now/why-wait-how-always-being-busy-makes-you-dumber" TargetMode="External"/><Relationship Id="rId364" Type="http://schemas.openxmlformats.org/officeDocument/2006/relationships/hyperlink" Target="http://inudgeyou.com/green-nudge-nudging-litter-into-the-bin/" TargetMode="External"/><Relationship Id="rId95" Type="http://schemas.openxmlformats.org/officeDocument/2006/relationships/hyperlink" Target="http://valuesandframes.org/no-cause-is-an-island/" TargetMode="External"/><Relationship Id="rId94" Type="http://schemas.openxmlformats.org/officeDocument/2006/relationships/hyperlink" Target="http://environment.yale.edu/climate-communication/article/simple-messages-increase-understanding-of-the-climate-change-consensus/" TargetMode="External"/><Relationship Id="rId97" Type="http://schemas.openxmlformats.org/officeDocument/2006/relationships/hyperlink" Target="http://t.co/vaoSsFfjeg" TargetMode="External"/><Relationship Id="rId96" Type="http://schemas.openxmlformats.org/officeDocument/2006/relationships/hyperlink" Target="http://www.psmag.com/business-economics/time-as-money-mindset-decreases-green-behaviors" TargetMode="External"/><Relationship Id="rId99" Type="http://schemas.openxmlformats.org/officeDocument/2006/relationships/hyperlink" Target="http://phys.org/news/2015-02-climate-science-literacy-unrelated-human-caused.html" TargetMode="External"/><Relationship Id="rId98" Type="http://schemas.openxmlformats.org/officeDocument/2006/relationships/hyperlink" Target="http://www.huffingtonpost.com/wray-herbert/heat-wave-psychology-long_b_3644823.html" TargetMode="External"/><Relationship Id="rId91" Type="http://schemas.openxmlformats.org/officeDocument/2006/relationships/hyperlink" Target="http://www.washingtonpost.com/news/energy-environment/wp/2015/02/18/the-term-that-actually-makes-climate-change-less-political/?postshare=761424787135937" TargetMode="External"/><Relationship Id="rId90" Type="http://schemas.openxmlformats.org/officeDocument/2006/relationships/hyperlink" Target="http://www.alternet.org/environment/study-suggests-moral-purity-may-overcome-right-wing-resistance-environmental-science" TargetMode="External"/><Relationship Id="rId93" Type="http://schemas.openxmlformats.org/officeDocument/2006/relationships/hyperlink" Target="http://www.npr.org/blogs/krulwich/2014/03/01/283993033/polar-bear-flip-flop-people-hated-then-loved-these-photos-what-changed" TargetMode="External"/><Relationship Id="rId92" Type="http://schemas.openxmlformats.org/officeDocument/2006/relationships/hyperlink" Target="http://www.nytimes.com/2015/03/01/opinion/sunday/is-the-environment-a-moral-cause.html" TargetMode="External"/><Relationship Id="rId118" Type="http://schemas.openxmlformats.org/officeDocument/2006/relationships/hyperlink" Target="http://www.climateaccess.org/blog/7-ways-talk-about-climate-impacts-just-about-anyone-yes-even-republicans" TargetMode="External"/><Relationship Id="rId239" Type="http://schemas.openxmlformats.org/officeDocument/2006/relationships/hyperlink" Target="http://www.washingtonpost.com/news/energy-environment/wp/2015/06/15/want-to-fix-the-world-start-by-making-clean-energy-a-default-setting/?postshare=2841434404402218" TargetMode="External"/><Relationship Id="rId117" Type="http://schemas.openxmlformats.org/officeDocument/2006/relationships/hyperlink" Target="http://grist.org/climate-energy/10-things-you-want-to-know-about-human-nature-if-youre-fighting-climate-change/" TargetMode="External"/><Relationship Id="rId238" Type="http://schemas.openxmlformats.org/officeDocument/2006/relationships/hyperlink" Target="http://sciencenordic.com/how-nudge-consumers-make-greener-choices" TargetMode="External"/><Relationship Id="rId359" Type="http://schemas.openxmlformats.org/officeDocument/2006/relationships/hyperlink" Target="http://www.green-technology.org/green_technology_magazine/smud.htm" TargetMode="External"/><Relationship Id="rId116" Type="http://schemas.openxmlformats.org/officeDocument/2006/relationships/hyperlink" Target="http://www.wired.com/2014/06/energy-and-human-behavior/" TargetMode="External"/><Relationship Id="rId237" Type="http://schemas.openxmlformats.org/officeDocument/2006/relationships/hyperlink" Target="http://www.bloomberg.com/bw/articles/2013-04-04/with-clean-energy-default-rules-its-easy-being-green" TargetMode="External"/><Relationship Id="rId358" Type="http://schemas.openxmlformats.org/officeDocument/2006/relationships/hyperlink" Target="http://www.theguardian.com/sustainable-business/social-norm-behaviour-change" TargetMode="External"/><Relationship Id="rId115" Type="http://schemas.openxmlformats.org/officeDocument/2006/relationships/hyperlink" Target="http://www.greenbiz.com/article/need-talk-climate-denier-heres-how" TargetMode="External"/><Relationship Id="rId236" Type="http://schemas.openxmlformats.org/officeDocument/2006/relationships/hyperlink" Target="http://www.theglobeandmail.com/globe-debate/what-if-green-becomes-the-default-setting/article11579431/" TargetMode="External"/><Relationship Id="rId357" Type="http://schemas.openxmlformats.org/officeDocument/2006/relationships/hyperlink" Target="http://www.psychologicalscience.org/index.php/news/were-only-human/the-perils-of-adolescence.html" TargetMode="External"/><Relationship Id="rId119" Type="http://schemas.openxmlformats.org/officeDocument/2006/relationships/hyperlink" Target="https://moz.com/ugc/10-psychological-research-studies-to-help-you-tap-into-human-behavior-and-increase-conversions" TargetMode="External"/><Relationship Id="rId110" Type="http://schemas.openxmlformats.org/officeDocument/2006/relationships/hyperlink" Target="http://daily.sightline.org/2014/03/12/breaking-the-climate-fear-taboo/" TargetMode="External"/><Relationship Id="rId231" Type="http://schemas.openxmlformats.org/officeDocument/2006/relationships/hyperlink" Target="https://energyathaas.wordpress.com/2015/04/06/for-energy-and-water-conservation-moral-suasion-is-no-substitute-for-getting-the-prices-right/?utm_campaign=blog%20re%2042&amp;utm_content=13753048&amp;utm_medium=social&amp;utm_source=twitter" TargetMode="External"/><Relationship Id="rId352" Type="http://schemas.openxmlformats.org/officeDocument/2006/relationships/hyperlink" Target="http://www.telegraph.co.uk/culture/books/bookreviews/11376490/Is-Shame-Necessary-New-Uses-for-an-Old-Tool-by-Jennifer-Jacquet.html" TargetMode="External"/><Relationship Id="rId230" Type="http://schemas.openxmlformats.org/officeDocument/2006/relationships/hyperlink" Target="http://www.eenews.net/stories/1060022688" TargetMode="External"/><Relationship Id="rId351" Type="http://schemas.openxmlformats.org/officeDocument/2006/relationships/hyperlink" Target="http://t.co/2SLjLocFYg" TargetMode="External"/><Relationship Id="rId350" Type="http://schemas.openxmlformats.org/officeDocument/2006/relationships/hyperlink" Target="http://environment.yale.edu/climate-communication/article/scientific-consensus-on-climate-change-as-a-gateway-belief/" TargetMode="External"/><Relationship Id="rId114" Type="http://schemas.openxmlformats.org/officeDocument/2006/relationships/hyperlink" Target="http://blogs.ei.columbia.edu/2014/03/11/using-fuel-economy-labels-to-help-consumers-save-money-and-the-environment/" TargetMode="External"/><Relationship Id="rId235" Type="http://schemas.openxmlformats.org/officeDocument/2006/relationships/hyperlink" Target="http://www.futurity.org/renewable-energy-plans-944122/" TargetMode="External"/><Relationship Id="rId356" Type="http://schemas.openxmlformats.org/officeDocument/2006/relationships/hyperlink" Target="http://www.theatlantic.com/health/archive/2014/08/littering-and-following-the-crowd/374913/" TargetMode="External"/><Relationship Id="rId113" Type="http://schemas.openxmlformats.org/officeDocument/2006/relationships/hyperlink" Target="http://www.futurity.org/climate-policy-change-worries-farmers/?utm_source=Futurity+Today&amp;utm_campaign=b8bc7a0aa6-September_11_20139_11_2013&amp;utm_medium=email&amp;utm_term=0_e34e8ee443-b8bc7a0aa6-206307317" TargetMode="External"/><Relationship Id="rId234" Type="http://schemas.openxmlformats.org/officeDocument/2006/relationships/hyperlink" Target="http://www.nytimes.com/2007/04/12/opinion/12schwartz.html?pagewanted=2&amp;_r=0&amp;ei=5124&amp;en=5abe7f7de4d088be&amp;ex=1334116800&amp;partner=permalink&amp;exprod=permalink" TargetMode="External"/><Relationship Id="rId355" Type="http://schemas.openxmlformats.org/officeDocument/2006/relationships/hyperlink" Target="http://opinionator.blogs.nytimes.com/2013/03/27/the-destructive-influence-of-imaginary-peers/" TargetMode="External"/><Relationship Id="rId112" Type="http://schemas.openxmlformats.org/officeDocument/2006/relationships/hyperlink" Target="http://www.theguardian.com/commentisfree/2015/apr/04/climate-change-campaigners-evangelism-religion-activism?CMP=share_btn_tw" TargetMode="External"/><Relationship Id="rId233" Type="http://schemas.openxmlformats.org/officeDocument/2006/relationships/hyperlink" Target="http://www.bloomberg.com/news/2014-08-29/nudging-can-save-europe-billions-of-euros-on-energy-bills.html" TargetMode="External"/><Relationship Id="rId354" Type="http://schemas.openxmlformats.org/officeDocument/2006/relationships/hyperlink" Target="http://www.azcentral.com/story/news/local/best-reads/2015/05/31/rewriting-story-petrified-national-monument-forest/28143093/" TargetMode="External"/><Relationship Id="rId111" Type="http://schemas.openxmlformats.org/officeDocument/2006/relationships/hyperlink" Target="http://conservationmagazine.org/2015/05/dont-eat-bugs-to-save-the-world-but-because-theyre-tasty/" TargetMode="External"/><Relationship Id="rId232" Type="http://schemas.openxmlformats.org/officeDocument/2006/relationships/hyperlink" Target="http://magazine.good.is/articles/packaging-reimagined?utm_source=Facebook&amp;utm_medium=Source&amp;utm_campaign=goodfb" TargetMode="External"/><Relationship Id="rId353" Type="http://schemas.openxmlformats.org/officeDocument/2006/relationships/hyperlink" Target="http://www.npr.org/2015/02/25/388902014/peer-pressure-may-encourage-tax-delinquents-to-pay-up?sc=17?f=&amp;utm_source=iosnewsapp&amp;utm_medium=Email&amp;utm_campaign=app" TargetMode="External"/><Relationship Id="rId305" Type="http://schemas.openxmlformats.org/officeDocument/2006/relationships/hyperlink" Target="http://www.apa.org/pi/aids/resources/education/dissonance.aspx" TargetMode="External"/><Relationship Id="rId426" Type="http://schemas.openxmlformats.org/officeDocument/2006/relationships/hyperlink" Target="http://www.climateaccess.org/blog/why-groups-need-be-ready-climate-crisis-events-deepwater-spill" TargetMode="External"/><Relationship Id="rId304" Type="http://schemas.openxmlformats.org/officeDocument/2006/relationships/hyperlink" Target="http://www.huffingtonpost.com/entry/climate-change-psychology_us_571ead75e4b0f309baee5b9b" TargetMode="External"/><Relationship Id="rId425" Type="http://schemas.openxmlformats.org/officeDocument/2006/relationships/hyperlink" Target="http://www.takepart.com/article/2015/07/15/what-sea-level-rise-looks-america-coast?cmpid=organic-share-twitter" TargetMode="External"/><Relationship Id="rId303" Type="http://schemas.openxmlformats.org/officeDocument/2006/relationships/hyperlink" Target="http://ecoaffect.org/2015/11/24/new-research-4-top-messages-for-strengthening-support-for-climate-solutions/" TargetMode="External"/><Relationship Id="rId424" Type="http://schemas.openxmlformats.org/officeDocument/2006/relationships/hyperlink" Target="http://www.huffingtonpost.com/2014/08/26/virtual-reality-sustainable-habits_n_5717647.html" TargetMode="External"/><Relationship Id="rId302" Type="http://schemas.openxmlformats.org/officeDocument/2006/relationships/hyperlink" Target="http://grist.org/climate-energy/heres-everything-we-know-about-how-to-talk-about-climate-change/" TargetMode="External"/><Relationship Id="rId423" Type="http://schemas.openxmlformats.org/officeDocument/2006/relationships/hyperlink" Target="https://nudges.wordpress.com/the-amsterdam-urinals/" TargetMode="External"/><Relationship Id="rId309" Type="http://schemas.openxmlformats.org/officeDocument/2006/relationships/hyperlink" Target="http://psychology.about.com/od/socialinfluence/f/rule-of-commitment.htm" TargetMode="External"/><Relationship Id="rId308" Type="http://schemas.openxmlformats.org/officeDocument/2006/relationships/hyperlink" Target="http://www.nytimes.com/2014/01/05/opinion/sunday/how-to-keep-your-resolutions.html?_r=0" TargetMode="External"/><Relationship Id="rId429" Type="http://schemas.openxmlformats.org/officeDocument/2006/relationships/hyperlink" Target="http://www.wired.com/2014/03/neuroscience-decision-making-explained-30-seconds/" TargetMode="External"/><Relationship Id="rId307" Type="http://schemas.openxmlformats.org/officeDocument/2006/relationships/hyperlink" Target="http://freakonomics.com/2008/11/14/a-commitment-device-for-energy-conservation/" TargetMode="External"/><Relationship Id="rId428" Type="http://schemas.openxmlformats.org/officeDocument/2006/relationships/hyperlink" Target="http://www.smartthinkingbook.com/2014/08/do-you-prefer-more-choice-or-less-it.html" TargetMode="External"/><Relationship Id="rId306" Type="http://schemas.openxmlformats.org/officeDocument/2006/relationships/hyperlink" Target="http://blogs.discovermagazine.com/notrocketscience/2010/10/19/when-in-doubt-shout-%E2%80%93-why-shaking-someone%E2%80%99s-beliefs-turns-them-into-stronger-advocates/" TargetMode="External"/><Relationship Id="rId427" Type="http://schemas.openxmlformats.org/officeDocument/2006/relationships/hyperlink" Target="http://www.huffingtonpost.com/wray-herbert/the-psychology-of-a-memor_b_5158650.html" TargetMode="External"/><Relationship Id="rId301" Type="http://schemas.openxmlformats.org/officeDocument/2006/relationships/hyperlink" Target="http://www.theguardian.com/sustainable-business/2014/sep/18/build-support-climate-change-campaign" TargetMode="External"/><Relationship Id="rId422" Type="http://schemas.openxmlformats.org/officeDocument/2006/relationships/hyperlink" Target="http://www.thehindu.com/news/national/world-bank-report-stresses-behavioural-aspects/article6691378.ece" TargetMode="External"/><Relationship Id="rId300" Type="http://schemas.openxmlformats.org/officeDocument/2006/relationships/hyperlink" Target="http://www.salon.com/2014/07/06/comedy_vs_anti_science_10_amazing_videos_that_show_how_humor_can_make_a_difference/" TargetMode="External"/><Relationship Id="rId421" Type="http://schemas.openxmlformats.org/officeDocument/2006/relationships/hyperlink" Target="http://thesecomefromtrees.blogspot.com/2009/08/wow-29-paper-towel-use-reduction-at.html" TargetMode="External"/><Relationship Id="rId420" Type="http://schemas.openxmlformats.org/officeDocument/2006/relationships/hyperlink" Target="http://www.npr.org/2015/01/11/376496332/the-more-the-better-repetition-propels-songs-up-the-charts" TargetMode="External"/><Relationship Id="rId415" Type="http://schemas.openxmlformats.org/officeDocument/2006/relationships/hyperlink" Target="http://www.onegreenplanet.org/environment/are-you-a-litter-bug-how-that-can-change-with-an-extra-set-of-eyes/" TargetMode="External"/><Relationship Id="rId414" Type="http://schemas.openxmlformats.org/officeDocument/2006/relationships/hyperlink" Target="http://www.treehugger.com/sustainable-product-design/new-packaging-tells-you-how-to-reuse-it-creatively.html" TargetMode="External"/><Relationship Id="rId413" Type="http://schemas.openxmlformats.org/officeDocument/2006/relationships/hyperlink" Target="http://www.misbehavingbook.org/blog/2015/7/27/nudgespotting-behaviorally-informed-light-switches" TargetMode="External"/><Relationship Id="rId412" Type="http://schemas.openxmlformats.org/officeDocument/2006/relationships/hyperlink" Target="http://grist.org/climate-energy/how-to-tell-the-story-of-climate-change-in-photos/" TargetMode="External"/><Relationship Id="rId419" Type="http://schemas.openxmlformats.org/officeDocument/2006/relationships/hyperlink" Target="http://www.theguardian.com/global-development-professionals-network/gallery/2015/apr/01/over-population-over-consumption-in-pictures" TargetMode="External"/><Relationship Id="rId418" Type="http://schemas.openxmlformats.org/officeDocument/2006/relationships/hyperlink" Target="http://www.toolsofchange.com/English/CaseStudies/default.asp?ID=8" TargetMode="External"/><Relationship Id="rId417" Type="http://schemas.openxmlformats.org/officeDocument/2006/relationships/hyperlink" Target="http://www.treehugger.com/sustainable-product-design/simple-and-bizarre-thing-dramatically-reduces-littering.html" TargetMode="External"/><Relationship Id="rId416" Type="http://schemas.openxmlformats.org/officeDocument/2006/relationships/hyperlink" Target="http://www.resource-media.org/visualizing-food-waste/" TargetMode="External"/><Relationship Id="rId411" Type="http://schemas.openxmlformats.org/officeDocument/2006/relationships/hyperlink" Target="http://grist.org/climate-energy/how-to-convince-the-climate-slacker-to-get-serious/" TargetMode="External"/><Relationship Id="rId410" Type="http://schemas.openxmlformats.org/officeDocument/2006/relationships/hyperlink" Target="http://edition.cnn.com/2012/02/08/tech/innovation/green-nudge-environment-persuasion/index.html?hpt=hp_c3" TargetMode="External"/><Relationship Id="rId206" Type="http://schemas.openxmlformats.org/officeDocument/2006/relationships/hyperlink" Target="http://www.theguardian.com/environment/climate-consensus-97-per-cent/2015/oct/01/emphasizing-co-benefits-motivates-people-to-take-action-on-climate-change?CMP=EMCENVEML1631" TargetMode="External"/><Relationship Id="rId327" Type="http://schemas.openxmlformats.org/officeDocument/2006/relationships/hyperlink" Target="http://www.washingtonpost.com/news/energy-environment/wp/2015/02/27/we-could-be-reaping-much-bigger-carbon-cuts-by-changing-peoples-behavior/?postshare=7231425060735465" TargetMode="External"/><Relationship Id="rId205" Type="http://schemas.openxmlformats.org/officeDocument/2006/relationships/hyperlink" Target="http://www.rff.org/Publications/WPC/Pages/What-Behavioral-Science-Has-to-Say-About-Energy-Conservation.aspx" TargetMode="External"/><Relationship Id="rId326" Type="http://schemas.openxmlformats.org/officeDocument/2006/relationships/hyperlink" Target="http://www.nytimes.com/2012/02/19/magazine/shopping-habits.html?pagewanted=all&amp;_r=0" TargetMode="External"/><Relationship Id="rId204" Type="http://schemas.openxmlformats.org/officeDocument/2006/relationships/hyperlink" Target="http://www.sustainablebrands.com/news_and_views/waste_not/hannah_furlong/trending_schemes_nyc_south_korea_helping_business_residents_?utm_source=Facebook&amp;utm_medium=posts&amp;utm_campaign=social" TargetMode="External"/><Relationship Id="rId325" Type="http://schemas.openxmlformats.org/officeDocument/2006/relationships/hyperlink" Target="http://www.sciencedirect.com/science/article/pii/S0272494415300487" TargetMode="External"/><Relationship Id="rId203" Type="http://schemas.openxmlformats.org/officeDocument/2006/relationships/hyperlink" Target="https://marketinggreen.wordpress.com/2015/05/22/innovative-black-carbon-certificates-fuel-traditional-cookstove-replacement/" TargetMode="External"/><Relationship Id="rId324" Type="http://schemas.openxmlformats.org/officeDocument/2006/relationships/hyperlink" Target="http://blog.opower.com/2015/01/us-drivers-13-less-energy/" TargetMode="External"/><Relationship Id="rId209" Type="http://schemas.openxmlformats.org/officeDocument/2006/relationships/hyperlink" Target="http://grist.org/news/seattle-to-shame-residents-for-throwing-away-food/" TargetMode="External"/><Relationship Id="rId208" Type="http://schemas.openxmlformats.org/officeDocument/2006/relationships/hyperlink" Target="http://www.worldbank.org/en/news/feature/2014/10/01/greening-building-design-click-mouse?hootPostID=55b303f41aa136b30435ec6855926143" TargetMode="External"/><Relationship Id="rId329" Type="http://schemas.openxmlformats.org/officeDocument/2006/relationships/hyperlink" Target="http://www.citylab.com/commute/2015/09/why-cyclists-form-stronger-commuting-habits-than-drivers/403069/" TargetMode="External"/><Relationship Id="rId207" Type="http://schemas.openxmlformats.org/officeDocument/2006/relationships/hyperlink" Target="http://www.huffingtonpost.com/2014/07/23/pugedon-vending-machine_n_5606494.html" TargetMode="External"/><Relationship Id="rId328" Type="http://schemas.openxmlformats.org/officeDocument/2006/relationships/hyperlink" Target="http://www.nytimes.com/2014/04/04/business/energy-environment/energy-saving-company-set-for-public-offering.html" TargetMode="External"/><Relationship Id="rId202" Type="http://schemas.openxmlformats.org/officeDocument/2006/relationships/hyperlink" Target="http://ecowatch.com/2013/08/05/plastic-recycling-transit-fares-china/" TargetMode="External"/><Relationship Id="rId323" Type="http://schemas.openxmlformats.org/officeDocument/2006/relationships/hyperlink" Target="http://www.ft.com/intl/cms/s/2/e98e2018-70ca-11e5-ad6d-f4ed76f0900a.html" TargetMode="External"/><Relationship Id="rId201" Type="http://schemas.openxmlformats.org/officeDocument/2006/relationships/hyperlink" Target="http://www.fastcoexist.com/3046029/buy-your-way-out-of-your-carbon-footprint-with-a-credit-card-that-saves-trees-with-every-pur?partner=rss" TargetMode="External"/><Relationship Id="rId322" Type="http://schemas.openxmlformats.org/officeDocument/2006/relationships/hyperlink" Target="http://www.nytimes.com/2010/10/31/magazine/31politics-t.html?pagewanted=all&amp;_r=0" TargetMode="External"/><Relationship Id="rId200" Type="http://schemas.openxmlformats.org/officeDocument/2006/relationships/hyperlink" Target="http://voices.nationalgeographic.com/2014/03/10/can-behavioral-economics-save-reefs/" TargetMode="External"/><Relationship Id="rId321" Type="http://schemas.openxmlformats.org/officeDocument/2006/relationships/hyperlink" Target="http://www.theguardian.com/sustainable-business/2015/jun/05/mad-max-angry-birds-climate-change-message?" TargetMode="External"/><Relationship Id="rId320" Type="http://schemas.openxmlformats.org/officeDocument/2006/relationships/hyperlink" Target="https://www.psychologytoday.com/blog/presence-mind/201305/are-you-sustainability-hypocrite" TargetMode="External"/><Relationship Id="rId316" Type="http://schemas.openxmlformats.org/officeDocument/2006/relationships/hyperlink" Target="https://sparq.stanford.edu/solutions/revealing-hypocrisy-boosts-water-conservation" TargetMode="External"/><Relationship Id="rId315" Type="http://schemas.openxmlformats.org/officeDocument/2006/relationships/hyperlink" Target="http://www.toolsofchange.com/English/CaseStudies/?ID=156" TargetMode="External"/><Relationship Id="rId314" Type="http://schemas.openxmlformats.org/officeDocument/2006/relationships/hyperlink" Target="http://changingminds.org/techniques/general/sequential/fitd.htm" TargetMode="External"/><Relationship Id="rId313" Type="http://schemas.openxmlformats.org/officeDocument/2006/relationships/hyperlink" Target="http://www.thehumaneleague.com/changeofheart/e_plan.htm" TargetMode="External"/><Relationship Id="rId319" Type="http://schemas.openxmlformats.org/officeDocument/2006/relationships/hyperlink" Target="http://nymag.com/scienceofus/2015/01/changing-a-habit-can-mess-with-your-identity.html" TargetMode="External"/><Relationship Id="rId318" Type="http://schemas.openxmlformats.org/officeDocument/2006/relationships/hyperlink" Target="https://www.psychologytoday.com/blog/dont-delay/201208/the-power-hypocrisy" TargetMode="External"/><Relationship Id="rId317" Type="http://schemas.openxmlformats.org/officeDocument/2006/relationships/hyperlink" Target="http://www.washingtonpost.com/wp-dyn/content/article/2009/01/05/AR2009010501863.html" TargetMode="External"/><Relationship Id="rId312" Type="http://schemas.openxmlformats.org/officeDocument/2006/relationships/hyperlink" Target="http://www.forbes.com/sites/neilpatel/2014/10/13/foot-in-the-door-technique-how-to-get-people-to-take-seamlessly-take-action/" TargetMode="External"/><Relationship Id="rId311" Type="http://schemas.openxmlformats.org/officeDocument/2006/relationships/hyperlink" Target="http://ideas.ted.com/the-science-of-setting-goals/" TargetMode="External"/><Relationship Id="rId432" Type="http://schemas.openxmlformats.org/officeDocument/2006/relationships/vmlDrawing" Target="../drawings/vmlDrawing2.vml"/><Relationship Id="rId310" Type="http://schemas.openxmlformats.org/officeDocument/2006/relationships/hyperlink" Target="http://www.mercurynews.com/bay-area-living/ci_27229262/heres-secret-sticking-new-years-resolutions" TargetMode="External"/><Relationship Id="rId431" Type="http://schemas.openxmlformats.org/officeDocument/2006/relationships/drawing" Target="../drawings/drawing4.xml"/><Relationship Id="rId430" Type="http://schemas.openxmlformats.org/officeDocument/2006/relationships/hyperlink" Target="https://nudges.wordpress.com/tag/environment/"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www.theatlantic.com/health/archive/2012/03/study-of-the-day-why-that-last-piece-of-chocolate-tastes-the-best/253636/" TargetMode="External"/><Relationship Id="rId3" Type="http://schemas.openxmlformats.org/officeDocument/2006/relationships/hyperlink" Target="http://www.climateoutreach.org.uk/research-reveals-current-climate-engagement-strategies-are-failing-to-reach-young-people/" TargetMode="External"/><Relationship Id="rId4" Type="http://schemas.openxmlformats.org/officeDocument/2006/relationships/hyperlink" Target="http://e360.yale.edu/feature/green_failure_whats_wrong_with_environmental_education/2407/" TargetMode="External"/><Relationship Id="rId9" Type="http://schemas.openxmlformats.org/officeDocument/2006/relationships/hyperlink" Target="http://www.humansandnature.org/mind---morality---jennifer-jacquet-response-127.php" TargetMode="External"/><Relationship Id="rId143" Type="http://schemas.openxmlformats.org/officeDocument/2006/relationships/hyperlink" Target="http://130.91.81.228/documents/publications/expedition/PDFs/48-1/Chrzan.pdf" TargetMode="External"/><Relationship Id="rId142" Type="http://schemas.openxmlformats.org/officeDocument/2006/relationships/hyperlink" Target="http://www.theguardian.com/sustainable-business/behavioural-insights/2014/sep/04/watching-apes-humans-behave-sustainably-social-biomimicry" TargetMode="External"/><Relationship Id="rId141" Type="http://schemas.openxmlformats.org/officeDocument/2006/relationships/hyperlink" Target="http://www.scientificamerican.com/article.cfm?id=the-discrimination-tax&amp;WT.mc_id=SA_sharetool_Twitter%C2%A0%E2%80%A6" TargetMode="External"/><Relationship Id="rId140" Type="http://schemas.openxmlformats.org/officeDocument/2006/relationships/hyperlink" Target="http://www.behavioraleconomics.com/rationality-and-emotional-biases-do-you-know-what-they-are/" TargetMode="External"/><Relationship Id="rId5" Type="http://schemas.openxmlformats.org/officeDocument/2006/relationships/hyperlink" Target="http://www.triplepundit.com/2015/05/green-initiatives-improve-brands-perceived-value/" TargetMode="External"/><Relationship Id="rId6" Type="http://schemas.openxmlformats.org/officeDocument/2006/relationships/hyperlink" Target="http://climatecommunication.yale.edu/publications/finding-common-ground-at-the-thanksgiving-table/" TargetMode="External"/><Relationship Id="rId146" Type="http://schemas.openxmlformats.org/officeDocument/2006/relationships/vmlDrawing" Target="../drawings/vmlDrawing3.vml"/><Relationship Id="rId7" Type="http://schemas.openxmlformats.org/officeDocument/2006/relationships/hyperlink" Target="http://nymag.com/scienceofus/2016/05/why-americans-ignore-the-role-of-luck-in-everything.html" TargetMode="External"/><Relationship Id="rId145" Type="http://schemas.openxmlformats.org/officeDocument/2006/relationships/drawing" Target="../drawings/drawing5.xml"/><Relationship Id="rId8" Type="http://schemas.openxmlformats.org/officeDocument/2006/relationships/hyperlink" Target="https://ux.opower.com/1kwh/" TargetMode="External"/><Relationship Id="rId144" Type="http://schemas.openxmlformats.org/officeDocument/2006/relationships/hyperlink" Target="http://staugustine.com/stories/020106/nat_3611786.shtml" TargetMode="External"/><Relationship Id="rId139" Type="http://schemas.openxmlformats.org/officeDocument/2006/relationships/hyperlink" Target="http://www.businessinsider.com/shopping-subconscious-factors-2015-6?r=UK" TargetMode="External"/><Relationship Id="rId138" Type="http://schemas.openxmlformats.org/officeDocument/2006/relationships/hyperlink" Target="http://www.class5energy.com/cambridge-isanti-public-schools-2/" TargetMode="External"/><Relationship Id="rId137" Type="http://schemas.openxmlformats.org/officeDocument/2006/relationships/hyperlink" Target="http://wonderforgood.com/category/information-aversion/" TargetMode="External"/><Relationship Id="rId132" Type="http://schemas.openxmlformats.org/officeDocument/2006/relationships/hyperlink" Target="https://www.theguardian.com/world/2016/jun/20/chinas-meat-consumption-climate-change?CMP=share_btn_fb" TargetMode="External"/><Relationship Id="rId131" Type="http://schemas.openxmlformats.org/officeDocument/2006/relationships/hyperlink" Target="http://thinkprogress.org/climate/2015/06/23/3672836/lancet-report-health-air-pollution/" TargetMode="External"/><Relationship Id="rId130" Type="http://schemas.openxmlformats.org/officeDocument/2006/relationships/hyperlink" Target="http://www.salon.com/2015/06/30/those_4th_of_july_fireworks_spectaculars_are_causing_huge_spikes_in_dangerous_air_pollution/" TargetMode="External"/><Relationship Id="rId136" Type="http://schemas.openxmlformats.org/officeDocument/2006/relationships/hyperlink" Target="http://www.npr.org/2014/08/13/340005026/how-a-co-worker-s-breast-cancer-diagnosis-affects-colleagues" TargetMode="External"/><Relationship Id="rId135" Type="http://schemas.openxmlformats.org/officeDocument/2006/relationships/hyperlink" Target="http://www.dailycamera.com/news/boulder/ci_28320818/right-sizing-debate-hits-boulder-council" TargetMode="External"/><Relationship Id="rId134" Type="http://schemas.openxmlformats.org/officeDocument/2006/relationships/hyperlink" Target="http://www.resilience.org/stories/2015-01-05/review-don-t-even-think-about-it-by-george-marshall" TargetMode="External"/><Relationship Id="rId133" Type="http://schemas.openxmlformats.org/officeDocument/2006/relationships/hyperlink" Target="http://talkingclimate.org/i-say-climate-change/" TargetMode="External"/><Relationship Id="rId40" Type="http://schemas.openxmlformats.org/officeDocument/2006/relationships/hyperlink" Target="http://valuesandframes.org/framing_farming/" TargetMode="External"/><Relationship Id="rId42" Type="http://schemas.openxmlformats.org/officeDocument/2006/relationships/hyperlink" Target="http://www.climateaccess.org/blog/Associations-uncertainty-assertively" TargetMode="External"/><Relationship Id="rId41" Type="http://schemas.openxmlformats.org/officeDocument/2006/relationships/hyperlink" Target="http://valuesandframes.org/Associations_farming/" TargetMode="External"/><Relationship Id="rId44" Type="http://schemas.openxmlformats.org/officeDocument/2006/relationships/hyperlink" Target="https://thedailycogito.wordpress.com/2015/01/15/a-new-reality-the-power-of-perception/" TargetMode="External"/><Relationship Id="rId43" Type="http://schemas.openxmlformats.org/officeDocument/2006/relationships/hyperlink" Target="https://hbr.org/2015/04/3-ways-to-make-less-biased-decisions?utm_source=Socialflow&amp;utm_medium=Tweet&amp;utm_campaign=Socialflow" TargetMode="External"/><Relationship Id="rId46" Type="http://schemas.openxmlformats.org/officeDocument/2006/relationships/hyperlink" Target="http://www.salon.com/2014/11/29/why_are_these_clowns_winning_secrets_of_the_right_wing_brain/" TargetMode="External"/><Relationship Id="rId45" Type="http://schemas.openxmlformats.org/officeDocument/2006/relationships/hyperlink" Target="http://www.sustainablebrands.com/news_and_views/brand_innovation/hannah_ritchie/true_cost%E2%80%99_brings_fashion%E2%80%99s_dark_secrets_big_screen?platform=hootsuite" TargetMode="External"/><Relationship Id="rId48" Type="http://schemas.openxmlformats.org/officeDocument/2006/relationships/hyperlink" Target="http://time.com/3773931/developing-mental-framework/" TargetMode="External"/><Relationship Id="rId47" Type="http://schemas.openxmlformats.org/officeDocument/2006/relationships/hyperlink" Target="http://www.farnamstreetblog.com/2014/07/daniel-kahneman-the-two-systems/" TargetMode="External"/><Relationship Id="rId49" Type="http://schemas.openxmlformats.org/officeDocument/2006/relationships/hyperlink" Target="http://www.brainfacts.org/diseases-disorders/psychiatric-disorders/articles/2013/does-depression-change-the-way-people-perceive-the-world/" TargetMode="External"/><Relationship Id="rId31" Type="http://schemas.openxmlformats.org/officeDocument/2006/relationships/hyperlink" Target="http://frameblog.org/2014/09/15/the-power-of-finding-a-story/" TargetMode="External"/><Relationship Id="rId30" Type="http://schemas.openxmlformats.org/officeDocument/2006/relationships/hyperlink" Target="http://www.decisionsciencenews.com/2011/12/06/misleading-comparisons-of-probability/" TargetMode="External"/><Relationship Id="rId33" Type="http://schemas.openxmlformats.org/officeDocument/2006/relationships/hyperlink" Target="http://www.huffingtonpost.com/george-lakoff/systemic-causation-and-sy_b_3916092.html" TargetMode="External"/><Relationship Id="rId32" Type="http://schemas.openxmlformats.org/officeDocument/2006/relationships/hyperlink" Target="http://www.intractableconflict.org/environmentalAssociations/introduction2.shtml" TargetMode="External"/><Relationship Id="rId35" Type="http://schemas.openxmlformats.org/officeDocument/2006/relationships/hyperlink" Target="http://www.theguardian.com/environment/2015/jun/04/global-warming-hasnt-paused-study-finds?CMP=share_btn_tw" TargetMode="External"/><Relationship Id="rId34" Type="http://schemas.openxmlformats.org/officeDocument/2006/relationships/hyperlink" Target="http://www.theatlantic.com/magazine/archive/2014/09/how-to-talk-about-climate-change-so-people-will-listen/375067/" TargetMode="External"/><Relationship Id="rId37" Type="http://schemas.openxmlformats.org/officeDocument/2006/relationships/hyperlink" Target="http://www.nature.com/news/psychologists-strike-a-blow-for-reproducibility-1.14232" TargetMode="External"/><Relationship Id="rId36" Type="http://schemas.openxmlformats.org/officeDocument/2006/relationships/hyperlink" Target="http://www.climateaccess.org/blog/social-change-not-linear" TargetMode="External"/><Relationship Id="rId39" Type="http://schemas.openxmlformats.org/officeDocument/2006/relationships/hyperlink" Target="http://valuesandframes.org/author/tom/" TargetMode="External"/><Relationship Id="rId38" Type="http://schemas.openxmlformats.org/officeDocument/2006/relationships/hyperlink" Target="http://www.climateoutreach.org.uk/how-to-build-climate-narratives-around-national-identity-and-cultural-pride/" TargetMode="External"/><Relationship Id="rId20" Type="http://schemas.openxmlformats.org/officeDocument/2006/relationships/hyperlink" Target="http://fortheloveof.org.uk/stories/" TargetMode="External"/><Relationship Id="rId22" Type="http://schemas.openxmlformats.org/officeDocument/2006/relationships/hyperlink" Target="http://calgary.ctvnews.ca/inspired-to-ignite-world-vision-s-30-hour-famine-movement-1.2307984" TargetMode="External"/><Relationship Id="rId21" Type="http://schemas.openxmlformats.org/officeDocument/2006/relationships/hyperlink" Target="http://insideclimatenews.org/carbon-copy/06042015/climate-change-beliefs-parsed-local-level-paint-valuable-portrait" TargetMode="External"/><Relationship Id="rId24" Type="http://schemas.openxmlformats.org/officeDocument/2006/relationships/hyperlink" Target="http://www.washingtonpost.com/wp-dyn/content/article/2007/02/24/AR2007022401366.html" TargetMode="External"/><Relationship Id="rId23" Type="http://schemas.openxmlformats.org/officeDocument/2006/relationships/hyperlink" Target="http://napavalleyregister.com/star/news/local/students-adults-learn-about-experience-famine/article_d227d8b6-b635-5397-8048-226aaf53d641.html" TargetMode="External"/><Relationship Id="rId26" Type="http://schemas.openxmlformats.org/officeDocument/2006/relationships/hyperlink" Target="http://frameblog.org/2014/09/09/communicating-complexity/" TargetMode="External"/><Relationship Id="rId25" Type="http://schemas.openxmlformats.org/officeDocument/2006/relationships/hyperlink" Target="http://www.therootsolutions.org/" TargetMode="External"/><Relationship Id="rId28" Type="http://schemas.openxmlformats.org/officeDocument/2006/relationships/hyperlink" Target="http://ecoaffect.org/2015/03/12/want-people-to-save-energy-choose-the-right-imagery/" TargetMode="External"/><Relationship Id="rId27" Type="http://schemas.openxmlformats.org/officeDocument/2006/relationships/hyperlink" Target="http://m.fastcompany.com/3044728/what-americans-think-about-climate-change-its-complicated" TargetMode="External"/><Relationship Id="rId29" Type="http://schemas.openxmlformats.org/officeDocument/2006/relationships/hyperlink" Target="http://www.amazon.com/Metaphors-Environmental-Sustainability-Redefining-Relationship/dp/0300151535" TargetMode="External"/><Relationship Id="rId11" Type="http://schemas.openxmlformats.org/officeDocument/2006/relationships/hyperlink" Target="https://www.americanprogress.org/issues/green/report/2015/05/11/112873/social-cohesion-the-secret-weapon-in-the-fight-for-equitable-climate-resilience/" TargetMode="External"/><Relationship Id="rId10" Type="http://schemas.openxmlformats.org/officeDocument/2006/relationships/hyperlink" Target="http://www.theguardian.com/commentisfree/2016/mar/16/takeaway-coffee-cups-recycle-environment-waste" TargetMode="External"/><Relationship Id="rId13" Type="http://schemas.openxmlformats.org/officeDocument/2006/relationships/hyperlink" Target="http://www.newyorker.com/humor/borowitz-report/scientists-earth-endangered-by-new-strain-of-fact-resistant-humans" TargetMode="External"/><Relationship Id="rId12" Type="http://schemas.openxmlformats.org/officeDocument/2006/relationships/hyperlink" Target="http://www.newyorker.com/contributors/andy-borowitz" TargetMode="External"/><Relationship Id="rId15" Type="http://schemas.openxmlformats.org/officeDocument/2006/relationships/hyperlink" Target="http://www.vox.com/2015/5/15/8612113/truth-climate-change" TargetMode="External"/><Relationship Id="rId14" Type="http://schemas.openxmlformats.org/officeDocument/2006/relationships/hyperlink" Target="http://www.vox.com/authors/david-roberts" TargetMode="External"/><Relationship Id="rId17" Type="http://schemas.openxmlformats.org/officeDocument/2006/relationships/hyperlink" Target="http://www.theguardian.com/environment/2014/sep/21/sir-paul-mccartney-raps-meat-free-monday?CMP=twt_gu" TargetMode="External"/><Relationship Id="rId16" Type="http://schemas.openxmlformats.org/officeDocument/2006/relationships/hyperlink" Target="http://www.npr.org/2014/08/13/340005026/how-a-co-worker-s-breast-cancer-diagnosis-affects-colleagues" TargetMode="External"/><Relationship Id="rId19" Type="http://schemas.openxmlformats.org/officeDocument/2006/relationships/hyperlink" Target="http://www.bloomberg.com/graphics/2015-whats-warming-the-world/" TargetMode="External"/><Relationship Id="rId18" Type="http://schemas.openxmlformats.org/officeDocument/2006/relationships/hyperlink" Target="http://www.instituteofdecisionmaking.com/want-to-change-behavior/" TargetMode="External"/><Relationship Id="rId84" Type="http://schemas.openxmlformats.org/officeDocument/2006/relationships/hyperlink" Target="http://grist.org/politics/from-veteran-organizer-marshall-ganz-how-tos-for-activists/" TargetMode="External"/><Relationship Id="rId83" Type="http://schemas.openxmlformats.org/officeDocument/2006/relationships/hyperlink" Target="http://climateconviction.org/" TargetMode="External"/><Relationship Id="rId86" Type="http://schemas.openxmlformats.org/officeDocument/2006/relationships/hyperlink" Target="https://www.theguardian.com/science/2012/mar/15/precognition-studies-curse-failed-replications" TargetMode="External"/><Relationship Id="rId85" Type="http://schemas.openxmlformats.org/officeDocument/2006/relationships/hyperlink" Target="http://www.therootsolutions.org/" TargetMode="External"/><Relationship Id="rId88" Type="http://schemas.openxmlformats.org/officeDocument/2006/relationships/hyperlink" Target="http://grist.org/politics/what-do-conservative-policy-intellectuals-think-about-climate-change/" TargetMode="External"/><Relationship Id="rId87" Type="http://schemas.openxmlformats.org/officeDocument/2006/relationships/hyperlink" Target="https://psyborgs.github.io/projects/replication-in-psychology/" TargetMode="External"/><Relationship Id="rId89" Type="http://schemas.openxmlformats.org/officeDocument/2006/relationships/hyperlink" Target="http://www.class5energy.com/schools-for-energy-efficiency-see-program/" TargetMode="External"/><Relationship Id="rId80" Type="http://schemas.openxmlformats.org/officeDocument/2006/relationships/hyperlink" Target="http://ideas.ted.com/4-critical-mistakes-that-inventors-make/" TargetMode="External"/><Relationship Id="rId82" Type="http://schemas.openxmlformats.org/officeDocument/2006/relationships/hyperlink" Target="https://jpratt27.wordpress.com/2015/06/23/climate-mitigation-the-greatest-public-health-opportunity-of-our-time-auspol/" TargetMode="External"/><Relationship Id="rId81" Type="http://schemas.openxmlformats.org/officeDocument/2006/relationships/hyperlink" Target="http://upriser.com/posts/california-will-run-out-of-water-in-a-year-nasa-scientist-says" TargetMode="External"/><Relationship Id="rId73" Type="http://schemas.openxmlformats.org/officeDocument/2006/relationships/hyperlink" Target="http://bigthink.com/users/robertmontenegro" TargetMode="External"/><Relationship Id="rId72" Type="http://schemas.openxmlformats.org/officeDocument/2006/relationships/hyperlink" Target="http://www.economist.com/news/finance-and-economics/21635477-behavioural-economics-meets-development-policy-poor-behaviour?fsrc=scn/tw_ec/poor_behaviour" TargetMode="External"/><Relationship Id="rId75" Type="http://schemas.openxmlformats.org/officeDocument/2006/relationships/hyperlink" Target="https://www.iser.essex.ac.uk/projects/the-distribution-and-dynamics-of-uk-citizens-environmental-attitudes-behaviours-and-actions" TargetMode="External"/><Relationship Id="rId74" Type="http://schemas.openxmlformats.org/officeDocument/2006/relationships/hyperlink" Target="http://bigthink.com/ideafeed/science-communication-needs-to-be-about-more-than-fundraising" TargetMode="External"/><Relationship Id="rId77" Type="http://schemas.openxmlformats.org/officeDocument/2006/relationships/hyperlink" Target="http://www.nationaljournal.com/energy/americans-don-t-talk-about-global-warming-very-often-20150420" TargetMode="External"/><Relationship Id="rId76" Type="http://schemas.openxmlformats.org/officeDocument/2006/relationships/hyperlink" Target="http://restaurant-hospitality.com/sustainability/how-one-california-restaurant-dealing-drought" TargetMode="External"/><Relationship Id="rId79" Type="http://schemas.openxmlformats.org/officeDocument/2006/relationships/hyperlink" Target="http://www.smithsonianmag.com/science-nature/brains-make-decisions-way-alan-turing-cracked-codes-180954212/?no-ist" TargetMode="External"/><Relationship Id="rId78" Type="http://schemas.openxmlformats.org/officeDocument/2006/relationships/hyperlink" Target="http://grist.org/climate-energy/cool-roofs-offer-a-salve-for-hot-cities-and-the-climate-too/" TargetMode="External"/><Relationship Id="rId71" Type="http://schemas.openxmlformats.org/officeDocument/2006/relationships/hyperlink" Target="https://www2.gmu.edu/news/3534" TargetMode="External"/><Relationship Id="rId70" Type="http://schemas.openxmlformats.org/officeDocument/2006/relationships/hyperlink" Target="http://naumof.blogspot.nl/2015/05/nudging-rich-and-nudging-poor.html" TargetMode="External"/><Relationship Id="rId62" Type="http://schemas.openxmlformats.org/officeDocument/2006/relationships/hyperlink" Target="https://www.edx.org/course/behavioural-economics-action-university-torontox-be101x" TargetMode="External"/><Relationship Id="rId61" Type="http://schemas.openxmlformats.org/officeDocument/2006/relationships/hyperlink" Target="http://bit.ly/1H1k5vI" TargetMode="External"/><Relationship Id="rId64" Type="http://schemas.openxmlformats.org/officeDocument/2006/relationships/hyperlink" Target="http://thefinancebuff.com/opt-in-or-opt-out-power-of-default.html" TargetMode="External"/><Relationship Id="rId63" Type="http://schemas.openxmlformats.org/officeDocument/2006/relationships/hyperlink" Target="https://www.whitehouse.gov/blog/2015/02/09/using-behavioral-science-insights-make-government-more-effective-simpler-and-more-us" TargetMode="External"/><Relationship Id="rId66" Type="http://schemas.openxmlformats.org/officeDocument/2006/relationships/hyperlink" Target="http://grist.org/climate-energy/with-one-more-nail-in-its-coffin-is-keystone-xl-history/" TargetMode="External"/><Relationship Id="rId65" Type="http://schemas.openxmlformats.org/officeDocument/2006/relationships/hyperlink" Target="http://www.huffingtonpost.com/2015/01/28/fight-climate-change_n_6562264.html?ncid=tweetlnkushpmg00000048" TargetMode="External"/><Relationship Id="rId68" Type="http://schemas.openxmlformats.org/officeDocument/2006/relationships/hyperlink" Target="http://www.latimes.com/opinion/op-ed/la-oe-famiglietti-drought-california-20150313-story.html" TargetMode="External"/><Relationship Id="rId67" Type="http://schemas.openxmlformats.org/officeDocument/2006/relationships/hyperlink" Target="http://www.brainfacts.org/sensing-thinking-behaving/awareness-and-attention/articles/2011/the-neuroscience-of-decision-making/" TargetMode="External"/><Relationship Id="rId60" Type="http://schemas.openxmlformats.org/officeDocument/2006/relationships/hyperlink" Target="http://ceed.edu.au/images/media_releases/SMART_targets_Maxwell_6Mar2015.pdf" TargetMode="External"/><Relationship Id="rId69" Type="http://schemas.openxmlformats.org/officeDocument/2006/relationships/hyperlink" Target="http://www.timeslive.co.za/thetimes/2015/06/25/Global-warming-catastrophe-for-health" TargetMode="External"/><Relationship Id="rId51" Type="http://schemas.openxmlformats.org/officeDocument/2006/relationships/hyperlink" Target="http://www.huffingtonpost.com/lara-fielding/4-core-mind-habits-helped_b_7021686.html" TargetMode="External"/><Relationship Id="rId50" Type="http://schemas.openxmlformats.org/officeDocument/2006/relationships/hyperlink" Target="http://www.therootsolutions.org/" TargetMode="External"/><Relationship Id="rId53" Type="http://schemas.openxmlformats.org/officeDocument/2006/relationships/hyperlink" Target="http://www.costaricantimes.com/sentience-self-awareness-and-self-knowing/35962" TargetMode="External"/><Relationship Id="rId52" Type="http://schemas.openxmlformats.org/officeDocument/2006/relationships/hyperlink" Target="http://www.psychologytoday.com/blog/sold/201209/avoiding-the-willpower-depleting-effects-self-control" TargetMode="External"/><Relationship Id="rId55" Type="http://schemas.openxmlformats.org/officeDocument/2006/relationships/hyperlink" Target="http://lifehacker.com/forest-keeps-your-phone-from-being-distracted-by-growin-1750696513?utm_campaign=socialflow_lifehacker_facebook&amp;utm_source=lifehacker_facebook&amp;utm_medium=socialflow" TargetMode="External"/><Relationship Id="rId54" Type="http://schemas.openxmlformats.org/officeDocument/2006/relationships/hyperlink" Target="http://www.nytimes.com/2015/05/10/upshot/unless-you-are-spock-irrelevant-things-matter-in-economic-behavior.html?_r=0&amp;abt=0002&amp;abg=1" TargetMode="External"/><Relationship Id="rId57" Type="http://schemas.openxmlformats.org/officeDocument/2006/relationships/hyperlink" Target="http://www.economist.com/news/science-and-technology/21598944-sloppy-researchers-beware-new-institute-has-you-its-sights-metaphysicians" TargetMode="External"/><Relationship Id="rId56" Type="http://schemas.openxmlformats.org/officeDocument/2006/relationships/hyperlink" Target="http://www.nytimes.com/interactive/2015/07/03/upshot/a-quick-puzzle-to-test-your-problem-solving.html?smid=tw-share&amp;abt=0002&amp;abg=0" TargetMode="External"/><Relationship Id="rId59" Type="http://schemas.openxmlformats.org/officeDocument/2006/relationships/hyperlink" Target="http://www.automotive-fleet.com/blog/market-trends/story/2013/04/maximize-fuel-efficiency-as-a-sustainability-goal.aspx" TargetMode="External"/><Relationship Id="rId58" Type="http://schemas.openxmlformats.org/officeDocument/2006/relationships/hyperlink" Target="http://www.joelwood.ca/hopefully-coherent-thoughts/agreatbookbutisapigouviantaxanudge" TargetMode="External"/><Relationship Id="rId107" Type="http://schemas.openxmlformats.org/officeDocument/2006/relationships/hyperlink" Target="http://www.cambridge.k12.mn.us/~doffice/Archive%20Minutes/BOARD%20MIN%2006-20-13.pdf" TargetMode="External"/><Relationship Id="rId106" Type="http://schemas.openxmlformats.org/officeDocument/2006/relationships/hyperlink" Target="http://usatoday30.usatoday.com/news/health/2005-11-02-babyfood_x.htm" TargetMode="External"/><Relationship Id="rId105" Type="http://schemas.openxmlformats.org/officeDocument/2006/relationships/hyperlink" Target="http://www.slideshare.net/captology/stanford-6401325" TargetMode="External"/><Relationship Id="rId104" Type="http://schemas.openxmlformats.org/officeDocument/2006/relationships/hyperlink" Target="http://www.slideshare.net/captology/3-steps-to-new-habits" TargetMode="External"/><Relationship Id="rId109" Type="http://schemas.openxmlformats.org/officeDocument/2006/relationships/hyperlink" Target="http://www.bostonglobe.com/magazine/2015/07/25/what-religion-can-teach-climate-scientists/LAZYZ6DBVHr1THqvWFXffO/story.html?event=event12" TargetMode="External"/><Relationship Id="rId108" Type="http://schemas.openxmlformats.org/officeDocument/2006/relationships/hyperlink" Target="http://www.examiner.com/list/dorm-life-green-habits-to-take-back-to-campus" TargetMode="External"/><Relationship Id="rId103" Type="http://schemas.openxmlformats.org/officeDocument/2006/relationships/hyperlink" Target="http://www.behaviormodel.org/index.html" TargetMode="External"/><Relationship Id="rId102" Type="http://schemas.openxmlformats.org/officeDocument/2006/relationships/hyperlink" Target="http://jamesclear.com/new-habit" TargetMode="External"/><Relationship Id="rId101" Type="http://schemas.openxmlformats.org/officeDocument/2006/relationships/hyperlink" Target="http://technori.com/2012/10/2612-behavior-design-bootcamp/" TargetMode="External"/><Relationship Id="rId100" Type="http://schemas.openxmlformats.org/officeDocument/2006/relationships/hyperlink" Target="http://www.noaanews.noaa.gov/stories2014/20140723_jacksonvilleports.html" TargetMode="External"/><Relationship Id="rId129" Type="http://schemas.openxmlformats.org/officeDocument/2006/relationships/hyperlink" Target="http://www.npr.org/blogs/ed/2015/01/15/376966406/a-new-study-reveals-much-about-how-parents-really-choose-schools?utm_source=facebook.com&amp;utm_medium=social&amp;utm_campaign=npr&amp;utm_term=nprnews&amp;utm_content=20150115" TargetMode="External"/><Relationship Id="rId128" Type="http://schemas.openxmlformats.org/officeDocument/2006/relationships/hyperlink" Target="http://www.theguardian.com/sustainable-business/2015/feb/09/corporate-ngo-campaign-environment-climate-change" TargetMode="External"/><Relationship Id="rId127" Type="http://schemas.openxmlformats.org/officeDocument/2006/relationships/hyperlink" Target="http://climatecommunication.yale.edu/publications/do-americans-understand-that-global-warming-is-harmful-to-human-health/" TargetMode="External"/><Relationship Id="rId126" Type="http://schemas.openxmlformats.org/officeDocument/2006/relationships/hyperlink" Target="http://economicspsychologypolicy.blogspot.com/2016/01/david-hume-on-present-bias.html?utm_medium=twitter" TargetMode="External"/><Relationship Id="rId121" Type="http://schemas.openxmlformats.org/officeDocument/2006/relationships/hyperlink" Target="http://www.dailymail.co.uk/news/article-2218731/Jessica-Morales-Famous-toddler-rescued-1987-married-children.html" TargetMode="External"/><Relationship Id="rId120" Type="http://schemas.openxmlformats.org/officeDocument/2006/relationships/hyperlink" Target="http://www.prnewswire.com/news-releases/new-study-only-two-percent-of-american-teens-willing-to-go-without-food-for-a-day-116302339.html" TargetMode="External"/><Relationship Id="rId125" Type="http://schemas.openxmlformats.org/officeDocument/2006/relationships/hyperlink" Target="http://articles.latimes.com/1987-10-17/news/mn-3702_1_jessica-mcclure" TargetMode="External"/><Relationship Id="rId124" Type="http://schemas.openxmlformats.org/officeDocument/2006/relationships/hyperlink" Target="http://www.huffingtonpost.com/carly-ledbetter/climate-change-march-peoples-climate_b_5861738.html?&amp;ncid=tweetlnkushpmg00000048" TargetMode="External"/><Relationship Id="rId123" Type="http://schemas.openxmlformats.org/officeDocument/2006/relationships/hyperlink" Target="http://www.mobilisationlab.org/beyond-clicks-what-type-of-changemaker-are-you/" TargetMode="External"/><Relationship Id="rId122" Type="http://schemas.openxmlformats.org/officeDocument/2006/relationships/hyperlink" Target="http://web.archive.org/web/20110326215656/http:/www.comcast.net/articles/news-national/20110325/US.Baby.Jessica" TargetMode="External"/><Relationship Id="rId95" Type="http://schemas.openxmlformats.org/officeDocument/2006/relationships/hyperlink" Target="http://mobile.nytimes.com/2014/05/18/magazine/who-gets-to-graduate.html?referrer=&amp;_r=0" TargetMode="External"/><Relationship Id="rId94" Type="http://schemas.openxmlformats.org/officeDocument/2006/relationships/hyperlink" Target="http://wonderforgood.com/category/information-aversion/" TargetMode="External"/><Relationship Id="rId97" Type="http://schemas.openxmlformats.org/officeDocument/2006/relationships/hyperlink" Target="http://www.therootsolutions.org/" TargetMode="External"/><Relationship Id="rId96" Type="http://schemas.openxmlformats.org/officeDocument/2006/relationships/hyperlink" Target="https://hbr.org/2015/10/a-tool-to-help-you-reach-your-goals-in-4-steps" TargetMode="External"/><Relationship Id="rId99" Type="http://schemas.openxmlformats.org/officeDocument/2006/relationships/hyperlink" Target="http://news.nationalgeographic.com/news/energy/2012/03/120309-japan-fukushima-anniversary-energy-shortage/" TargetMode="External"/><Relationship Id="rId98" Type="http://schemas.openxmlformats.org/officeDocument/2006/relationships/hyperlink" Target="http://blog.ted.com/the-science-of-willpower-kelly-mcgonigal-on-why-its-so-dang-hard-to-stick-to-a-resolution/" TargetMode="External"/><Relationship Id="rId91" Type="http://schemas.openxmlformats.org/officeDocument/2006/relationships/hyperlink" Target="http://www.climateaccess.org/blog/placing-equity-heart-resilience" TargetMode="External"/><Relationship Id="rId90" Type="http://schemas.openxmlformats.org/officeDocument/2006/relationships/hyperlink" Target="https://www.energystar.gov/sites/default/files/buildings/tools/SEE_CambridgeIsanti_SPP_Success_Story.pdf" TargetMode="External"/><Relationship Id="rId93" Type="http://schemas.openxmlformats.org/officeDocument/2006/relationships/hyperlink" Target="http://aceee.org/blog/2015/01/expanding-energy-efficiency-pie-throu" TargetMode="External"/><Relationship Id="rId92" Type="http://schemas.openxmlformats.org/officeDocument/2006/relationships/hyperlink" Target="http://www.wired.com/2011/01/cognitive-dissonance/" TargetMode="External"/><Relationship Id="rId118" Type="http://schemas.openxmlformats.org/officeDocument/2006/relationships/hyperlink" Target="http://www.therootsolutions.org/" TargetMode="External"/><Relationship Id="rId117" Type="http://schemas.openxmlformats.org/officeDocument/2006/relationships/hyperlink" Target="http://thinkprogress.org/climate/2015/11/17/3721693/build-a-better-environmental-movement/" TargetMode="External"/><Relationship Id="rId116" Type="http://schemas.openxmlformats.org/officeDocument/2006/relationships/hyperlink" Target="http://www.huffingtonpost.com/david-kaiser/evolving-culture-of-scien_b_5929332.html" TargetMode="External"/><Relationship Id="rId115" Type="http://schemas.openxmlformats.org/officeDocument/2006/relationships/hyperlink" Target="http://www.fastcodesign.com/3042467/infographic-of-the-day/could-graphic-design-help-people-better-relate-to-each-other" TargetMode="External"/><Relationship Id="rId119" Type="http://schemas.openxmlformats.org/officeDocument/2006/relationships/hyperlink" Target="http://www.cbsnews.com/news/bullied-bus-monitor-receives-700k-check/" TargetMode="External"/><Relationship Id="rId110" Type="http://schemas.openxmlformats.org/officeDocument/2006/relationships/hyperlink" Target="http://ecoaffect.org/2015/06/11/at-momentus-summit-faith-leaders-urge-seizing-kairos-moment/" TargetMode="External"/><Relationship Id="rId114" Type="http://schemas.openxmlformats.org/officeDocument/2006/relationships/hyperlink" Target="http://www.christianaid.org.uk/pressoffice/pressreleases/june_2015/more-than-10000-people-urge-their-mps-to-tackle-climate-change.aspx" TargetMode="External"/><Relationship Id="rId113" Type="http://schemas.openxmlformats.org/officeDocument/2006/relationships/hyperlink" Target="http://www.climatecentral.org/news/for-katharine-hayhoe-climate-change-not-a-leap-of-faith" TargetMode="External"/><Relationship Id="rId112" Type="http://schemas.openxmlformats.org/officeDocument/2006/relationships/hyperlink" Target="http://www.therootsolutions.org/" TargetMode="External"/><Relationship Id="rId111" Type="http://schemas.openxmlformats.org/officeDocument/2006/relationships/hyperlink" Target="http://www.therootsolutions.org/"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ecoamerica.org/wp-content/uploads/2014/03/eA_2012_CampaignsII_Report.pdf" TargetMode="External"/><Relationship Id="rId3" Type="http://schemas.openxmlformats.org/officeDocument/2006/relationships/hyperlink" Target="https://msbfile03.usc.edu/digitalmeasures/macinnis/intellcont/Park_Jun_MacInnis_2000-1.pdf" TargetMode="External"/><Relationship Id="rId4" Type="http://schemas.openxmlformats.org/officeDocument/2006/relationships/hyperlink" Target="http://www.frameworksinstitute.org/assets/files/occ_values.pdf" TargetMode="External"/><Relationship Id="rId9" Type="http://schemas.openxmlformats.org/officeDocument/2006/relationships/hyperlink" Target="http://ecoamerica.org/wp-content/uploads/2015/11/eA-lets-talk-climate.pdf" TargetMode="External"/><Relationship Id="rId142" Type="http://schemas.openxmlformats.org/officeDocument/2006/relationships/vmlDrawing" Target="../drawings/vmlDrawing4.vml"/><Relationship Id="rId141" Type="http://schemas.openxmlformats.org/officeDocument/2006/relationships/drawing" Target="../drawings/drawing6.xml"/><Relationship Id="rId140" Type="http://schemas.openxmlformats.org/officeDocument/2006/relationships/hyperlink" Target="https://www.pca.state.mn.us/sites/default/files/p-ee1-01.pdf" TargetMode="External"/><Relationship Id="rId5" Type="http://schemas.openxmlformats.org/officeDocument/2006/relationships/hyperlink" Target="http://pss.sagepub.com/content/early/2012/03/16/0956797611429579" TargetMode="External"/><Relationship Id="rId6" Type="http://schemas.openxmlformats.org/officeDocument/2006/relationships/hyperlink" Target="http://www.nature.com/nclimate/journal/v2/n10/full/nclimate1547.html" TargetMode="External"/><Relationship Id="rId7" Type="http://schemas.openxmlformats.org/officeDocument/2006/relationships/hyperlink" Target="http://www.frameworksinstitute.org/assets/files/PDF_oceansclimate/climatechangeandtheocean_mm_final_2015.pdf" TargetMode="External"/><Relationship Id="rId8" Type="http://schemas.openxmlformats.org/officeDocument/2006/relationships/hyperlink" Target="http://ecoamerica.org/wp-content/uploads/2016/06/ecoAmerica-15-Steps-To-Create-Effective-Climate-Communications.pdf" TargetMode="External"/><Relationship Id="rId139" Type="http://schemas.openxmlformats.org/officeDocument/2006/relationships/hyperlink" Target="http://pss.sagepub.com/content/22/4/454" TargetMode="External"/><Relationship Id="rId138" Type="http://schemas.openxmlformats.org/officeDocument/2006/relationships/hyperlink" Target="http://www.sciencedirect.com/science/journal/00036870" TargetMode="External"/><Relationship Id="rId137" Type="http://schemas.openxmlformats.org/officeDocument/2006/relationships/hyperlink" Target="http://www.sciencedirect.com/science/article/pii/S0003687011001499" TargetMode="External"/><Relationship Id="rId132" Type="http://schemas.openxmlformats.org/officeDocument/2006/relationships/hyperlink" Target="http://climateoutreach.org/resources/centre-right-renewable-energy/" TargetMode="External"/><Relationship Id="rId131" Type="http://schemas.openxmlformats.org/officeDocument/2006/relationships/hyperlink" Target="http://ajph.aphapublications.org/doi/abs/10.2105/AJPH.84.1.43" TargetMode="External"/><Relationship Id="rId130" Type="http://schemas.openxmlformats.org/officeDocument/2006/relationships/hyperlink" Target="http://www.sciencedirect.com/science/article/pii/S0091743507002502" TargetMode="External"/><Relationship Id="rId136" Type="http://schemas.openxmlformats.org/officeDocument/2006/relationships/hyperlink" Target="http://www.sciencedirect.com/science/journal/09213449" TargetMode="External"/><Relationship Id="rId135" Type="http://schemas.openxmlformats.org/officeDocument/2006/relationships/hyperlink" Target="http://www.nber.org/papers/w19510" TargetMode="External"/><Relationship Id="rId134" Type="http://schemas.openxmlformats.org/officeDocument/2006/relationships/hyperlink" Target="http://www.ncbi.nlm.nih.gov/pmc/articles/PMC1297743/pdf/jaba00012-0109.pdf" TargetMode="External"/><Relationship Id="rId133" Type="http://schemas.openxmlformats.org/officeDocument/2006/relationships/hyperlink" Target="http://www.sciencedirect.com/science/article/pii/S0272494410000319" TargetMode="External"/><Relationship Id="rId40" Type="http://schemas.openxmlformats.org/officeDocument/2006/relationships/hyperlink" Target="https://www.ruor.uottawa.ca/handle/10393/23855" TargetMode="External"/><Relationship Id="rId42" Type="http://schemas.openxmlformats.org/officeDocument/2006/relationships/hyperlink" Target="https://www.researchgate.net/publication/262879224_Individual_and_household_interactions_with_energy_systems_Toward_integrated_understanding" TargetMode="External"/><Relationship Id="rId41" Type="http://schemas.openxmlformats.org/officeDocument/2006/relationships/hyperlink" Target="https://www.google.com/url?sa=t&amp;rct=j&amp;q=&amp;esrc=s&amp;source=web&amp;cd=1&amp;cad=rja&amp;uact=8&amp;ved=0ahUKEwjnvO3r2-zOAhVMwWMKHV8ECkEQFggeMAA&amp;url=http%3A%2F%2Ftyndall.ac.uk%2Fsites%2Fdefault%2Ffiles%2Fwp98.pdf&amp;usg=AFQjCNGyhbx4OhZk6SK29ey0XuI7WN64Ag&amp;sig2=3GS9u0CPLMBJs1v3SwrChA" TargetMode="External"/><Relationship Id="rId44" Type="http://schemas.openxmlformats.org/officeDocument/2006/relationships/hyperlink" Target="https://www.researchgate.net/publication/227415617_Conditional_inevitability_Expert_perceptions_of_carbon_capture_and_storage_uncertainties_in_the_UK_context" TargetMode="External"/><Relationship Id="rId43" Type="http://schemas.openxmlformats.org/officeDocument/2006/relationships/hyperlink" Target="http://onlinelibrary.wiley.com/doi/10.1111/j.1752-1688.2002.tb04367.x/abstract" TargetMode="External"/><Relationship Id="rId46" Type="http://schemas.openxmlformats.org/officeDocument/2006/relationships/hyperlink" Target="http://papers.ssrn.com/sol3/papers.cfm?abstract_id=1319881" TargetMode="External"/><Relationship Id="rId45" Type="http://schemas.openxmlformats.org/officeDocument/2006/relationships/hyperlink" Target="https://law.vanderbilt.edu/files/archive/202_Are-Risk-Regulators-Rational_Evidence-from-Hazardous-Waste-Cleanup-Decisions.pdf" TargetMode="External"/><Relationship Id="rId48" Type="http://schemas.openxmlformats.org/officeDocument/2006/relationships/hyperlink" Target="http://www.sciencedirect.com/science/article/pii/S0301421513000281%C2%A0%E2%80%A6" TargetMode="External"/><Relationship Id="rId47" Type="http://schemas.openxmlformats.org/officeDocument/2006/relationships/hyperlink" Target="https://www.fws.gov/uploadedFiles/myer_thesis_2012.pdf" TargetMode="External"/><Relationship Id="rId49" Type="http://schemas.openxmlformats.org/officeDocument/2006/relationships/hyperlink" Target="http://www.sciencedirect.com/science/article/pii/S0272494400901907" TargetMode="External"/><Relationship Id="rId31" Type="http://schemas.openxmlformats.org/officeDocument/2006/relationships/hyperlink" Target="http://www.pnas.org/content/107/37/16054.abstract" TargetMode="External"/><Relationship Id="rId30" Type="http://schemas.openxmlformats.org/officeDocument/2006/relationships/hyperlink" Target="http://www.sciencedirect.com/science/article/pii/S1750583612000503" TargetMode="External"/><Relationship Id="rId33" Type="http://schemas.openxmlformats.org/officeDocument/2006/relationships/hyperlink" Target="http://search.proquest.com/openview/c6b68b3a938920008369c605bd2d7193/1?pq-origsite=gscholar&amp;cbl=1056412" TargetMode="External"/><Relationship Id="rId32" Type="http://schemas.openxmlformats.org/officeDocument/2006/relationships/hyperlink" Target="http://www.politics.ubc.ca/fileadmin/user_upload/webhome/users/364/Why_Do_Citizens_Discount_the_Future_published.pdf" TargetMode="External"/><Relationship Id="rId35" Type="http://schemas.openxmlformats.org/officeDocument/2006/relationships/hyperlink" Target="http://papers.ssrn.com/sol3/papers.cfm?abstract_id=1304735" TargetMode="External"/><Relationship Id="rId34" Type="http://schemas.openxmlformats.org/officeDocument/2006/relationships/hyperlink" Target="https://www.google.com/url?sa=t&amp;rct=j&amp;q=&amp;esrc=s&amp;source=web&amp;cd=2&amp;ved=0ahUKEwj0-ufj8_vOAhUIwmMKHUFpCFQQFgghMAE&amp;url=http%3A%2F%2Ffulltext.study%2Fpreview%2Fpdf%2F93215.pdf&amp;usg=AFQjCNExNId8noqRRzwJwRr46iyJLKRRmg&amp;sig2=RFgZJ5YJ4OXENqr3xrahHA" TargetMode="External"/><Relationship Id="rId37" Type="http://schemas.openxmlformats.org/officeDocument/2006/relationships/hyperlink" Target="https://www.google.com/url?sa=t&amp;rct=j&amp;q=&amp;esrc=s&amp;source=web&amp;cd=2&amp;cad=rja&amp;uact=8&amp;ved=0ahUKEwj2iMTei-_OAhVMHx4KHWEiBxgQFggjMAE&amp;url=https%3A%2F%2Fhalshs.archives-ouvertes.fr%2Fhal-00547701%2Fdocument&amp;usg=AFQjCNEv4NjyfMGOCu4v5tBiVGYEKjlbpg&amp;sig2=yFmBr31wVXuSmZ7z5es1Yw" TargetMode="External"/><Relationship Id="rId36" Type="http://schemas.openxmlformats.org/officeDocument/2006/relationships/hyperlink" Target="http://pubs.acs.org/doi/abs/10.1021/es00010a003" TargetMode="External"/><Relationship Id="rId39" Type="http://schemas.openxmlformats.org/officeDocument/2006/relationships/hyperlink" Target="https://www.google.com/url?sa=t&amp;rct=j&amp;q=&amp;esrc=s&amp;source=web&amp;cd=1&amp;ved=0ahUKEwjmzsLw5_vOAhUEySYKHTYcA0IQFgghMAA&amp;url=http%3A%2F%2Fenvironment.msu.edu%2Fclimatechange%2Fpresentations%2FCCGL.MarxWeber.pdf&amp;usg=AFQjCNH44KyCnTuDth8MKKS-glguJ8Jrpg&amp;sig2=eOYY8iAcFPB2HyzUoqHcyg" TargetMode="External"/><Relationship Id="rId38" Type="http://schemas.openxmlformats.org/officeDocument/2006/relationships/hyperlink" Target="https://www.google.com/url?sa=t&amp;rct=j&amp;q=&amp;esrc=s&amp;source=web&amp;cd=3&amp;cad=rja&amp;uact=8&amp;ved=0ahUKEwj9zJv3w_vOAhWD1x4KHeYNA2EQFggsMAI&amp;url=http%3A%2F%2Fspot.colorado.edu%2F~porterka%2FBonstrom-2011-CU-MS-Thesis.pdf&amp;usg=AFQjCNFgmmH9PmzW-sQIWue9oh4CKe9hzA&amp;sig2=bnKdbebrmJCAFwNhvT7Kbg" TargetMode="External"/><Relationship Id="rId20" Type="http://schemas.openxmlformats.org/officeDocument/2006/relationships/hyperlink" Target="http://papers.ssrn.com/sol3/papers.cfm?abstract_id=1871503" TargetMode="External"/><Relationship Id="rId22" Type="http://schemas.openxmlformats.org/officeDocument/2006/relationships/hyperlink" Target="http://researchrepository.murdoch.edu.au/2972/" TargetMode="External"/><Relationship Id="rId21" Type="http://schemas.openxmlformats.org/officeDocument/2006/relationships/hyperlink" Target="https://www.google.com/url?sa=t&amp;rct=j&amp;q=&amp;esrc=s&amp;source=web&amp;cd=4&amp;ved=0ahUKEwiU9deG1-zOAhUFymMKHZRKAH8QFggzMAM&amp;url=http%3A%2F%2Fhesg.org.uk%2Fwp-content%2Fplugins%2Fpapers-listing%2Fpublic%2Fdownload.php%3Fid%3D462%26fn%3DBakerNewcastle2005.pdf%26fl%3D00%2F00&amp;usg=AFQjCNFM4xZ6zgALFv7nq7It4as7ObNvTA&amp;sig2=_TnhQ4EeQQ57CTmOG-Fg0w" TargetMode="External"/><Relationship Id="rId24" Type="http://schemas.openxmlformats.org/officeDocument/2006/relationships/hyperlink" Target="http://www.aere.org/meetings/documents/0608Alberini.pdf" TargetMode="External"/><Relationship Id="rId23" Type="http://schemas.openxmlformats.org/officeDocument/2006/relationships/hyperlink" Target="https://www.hks.harvard.edu/index.php/content/download/70830/1256130/version/1/file/RPP_2013_1" TargetMode="External"/><Relationship Id="rId26" Type="http://schemas.openxmlformats.org/officeDocument/2006/relationships/hyperlink" Target="https://www.researchgate.net/publication/23648560_Energy_sustainable_communities_Environmental_psychological_investigations" TargetMode="External"/><Relationship Id="rId25" Type="http://schemas.openxmlformats.org/officeDocument/2006/relationships/hyperlink" Target="http://www.sciencedirect.com/science/article/pii/S0301421513006174" TargetMode="External"/><Relationship Id="rId28" Type="http://schemas.openxmlformats.org/officeDocument/2006/relationships/hyperlink" Target="https://www.researchgate.net/publication/267643657_Seven_Cognitive_Concepts_for_Successful_Sustainable_Design" TargetMode="External"/><Relationship Id="rId27" Type="http://schemas.openxmlformats.org/officeDocument/2006/relationships/hyperlink" Target="https://www.google.com/url?sa=t&amp;rct=j&amp;q=&amp;esrc=s&amp;source=web&amp;cd=1&amp;cad=rja&amp;uact=8&amp;ved=0ahUKEwjm2tHYhe_OAhVEKCYKHQNhBBAQFggeMAA&amp;url=http%3A%2F%2Fetd.lsu.edu%2Fdocs%2Favailable%2Fetd-04142005-104733%2Funrestricted%2FSomers_thesis.pdf&amp;usg=AFQjCNEd_9qSXDBFu1dyxnIHI3Aq_NcSGA&amp;sig2=UzVU__YKggK3vUhevHQhzQ" TargetMode="External"/><Relationship Id="rId29" Type="http://schemas.openxmlformats.org/officeDocument/2006/relationships/hyperlink" Target="https://www.google.com/url?sa=t&amp;rct=j&amp;q=&amp;esrc=s&amp;source=web&amp;cd=1&amp;cad=rja&amp;uact=8&amp;ved=0ahUKEwj_xMLugu_OAhXGKyYKHcTcDVkQFgghMAA&amp;url=http%3A%2F%2Fciteseerx.ist.psu.edu%2Fviewdoc%2Fdownload%3Fdoi%3D10.1.1.659.3377%26rep%3Drep1%26type%3Dpdf&amp;usg=AFQjCNH8DMpfYStCNNaoK6_wmdX9Byva9A&amp;sig2=eYctN5wCYpk3PXCgdWn3aA" TargetMode="External"/><Relationship Id="rId11" Type="http://schemas.openxmlformats.org/officeDocument/2006/relationships/hyperlink" Target="http://guide.cred.columbia.edu/pdfs/CREDguide_full-res.pdf" TargetMode="External"/><Relationship Id="rId10" Type="http://schemas.openxmlformats.org/officeDocument/2006/relationships/hyperlink" Target="http://www.climateoutreach.org.uk/download/3803/" TargetMode="External"/><Relationship Id="rId13" Type="http://schemas.openxmlformats.org/officeDocument/2006/relationships/hyperlink" Target="http://ecoamerica.org/wp-content/uploads/2012/12/ecoAmericaClimateImpactsReportAug2012a.pdf" TargetMode="External"/><Relationship Id="rId12" Type="http://schemas.openxmlformats.org/officeDocument/2006/relationships/hyperlink" Target="http://ecoamerica.org/wp-content/uploads/2015/05/ecoAmerica-ACV-Faith-2015.pdf" TargetMode="External"/><Relationship Id="rId15" Type="http://schemas.openxmlformats.org/officeDocument/2006/relationships/hyperlink" Target="http://www.sciencedirect.com/science/article/pii/S0921800914001165" TargetMode="External"/><Relationship Id="rId14" Type="http://schemas.openxmlformats.org/officeDocument/2006/relationships/hyperlink" Target="http://www.frameworksinstitute.org/assets/files/Employment/TKF_mtg_fullreport_final_2015.pdf" TargetMode="External"/><Relationship Id="rId17" Type="http://schemas.openxmlformats.org/officeDocument/2006/relationships/hyperlink" Target="http://triggered.clockss.org/ServeContent?url=http://baywood.stanford.clockss.org%2FBWES%2FBAWOOD_BWES_9_1%2F9W4J7LPPXGBKY8XU.pdf" TargetMode="External"/><Relationship Id="rId16" Type="http://schemas.openxmlformats.org/officeDocument/2006/relationships/hyperlink" Target="http://www.nrel.gov/docs/legosti/old/3386.pdf" TargetMode="External"/><Relationship Id="rId19" Type="http://schemas.openxmlformats.org/officeDocument/2006/relationships/hyperlink" Target="http://ecoamerica.org/wp-content/uploads/2014/06/eA_Beyond_Storms_and_Droughts_Psych_Impacts_of_Climate_Change.pdf" TargetMode="External"/><Relationship Id="rId18" Type="http://schemas.openxmlformats.org/officeDocument/2006/relationships/hyperlink" Target="http://ecoamerica.org/wp-content/uploads/2015/09/ecoAmerica-ACV-supplement.pdf" TargetMode="External"/><Relationship Id="rId84" Type="http://schemas.openxmlformats.org/officeDocument/2006/relationships/hyperlink" Target="http://www.sciencedirect.com/science/article/pii/S0272494498901050" TargetMode="External"/><Relationship Id="rId83" Type="http://schemas.openxmlformats.org/officeDocument/2006/relationships/hyperlink" Target="http://www.epri.com/abstracts/Pages/ProductAbstract.aspx?ProductId=000000000001019319" TargetMode="External"/><Relationship Id="rId86" Type="http://schemas.openxmlformats.org/officeDocument/2006/relationships/hyperlink" Target="http://www.bob-mccown.com/wp-content/uploads/2011/10/130_Carberry2002FARMSCAPE.pdf" TargetMode="External"/><Relationship Id="rId85" Type="http://schemas.openxmlformats.org/officeDocument/2006/relationships/hyperlink" Target="http://www.sciencedirect.com/science/article/pii/0378778878900129" TargetMode="External"/><Relationship Id="rId88" Type="http://schemas.openxmlformats.org/officeDocument/2006/relationships/hyperlink" Target="http://bob-mccown.com/wp-content/uploads/2011/10/124_HochmanEtAl2000FARMSCAPEexperience.pdf" TargetMode="External"/><Relationship Id="rId87" Type="http://schemas.openxmlformats.org/officeDocument/2006/relationships/hyperlink" Target="http://nationalforum.com/Electronic%20Journal%20Volumes/Lunenburg,%20Fred%20C.%20Self-Efficacy%20in%20the%20Workplace%20IJMBA%20V14%20N1%202011.pdf" TargetMode="External"/><Relationship Id="rId89" Type="http://schemas.openxmlformats.org/officeDocument/2006/relationships/hyperlink" Target="http://dl.acm.org/citation.cfm?id=1979659" TargetMode="External"/><Relationship Id="rId80" Type="http://schemas.openxmlformats.org/officeDocument/2006/relationships/hyperlink" Target="http://www.biomedcentral.com/content/pdf/s12889-015-1691-8.pdf" TargetMode="External"/><Relationship Id="rId82" Type="http://schemas.openxmlformats.org/officeDocument/2006/relationships/hyperlink" Target="http://www.sciencedirect.com/science/article/pii/S0301421505002077" TargetMode="External"/><Relationship Id="rId81" Type="http://schemas.openxmlformats.org/officeDocument/2006/relationships/hyperlink" Target="http://www.sciencedirect.com/science/article/pii/S0005789480800074" TargetMode="External"/><Relationship Id="rId73" Type="http://schemas.openxmlformats.org/officeDocument/2006/relationships/hyperlink" Target="http://apps.olin.wustl.edu/workingpapers/pdf/2008-07-014.pdf" TargetMode="External"/><Relationship Id="rId72" Type="http://schemas.openxmlformats.org/officeDocument/2006/relationships/hyperlink" Target="http://www.issuelab.org/resource/nudging_toward_a_healthy_natural_environment_how_behavioral_change_research_can_inform_conservation" TargetMode="External"/><Relationship Id="rId75" Type="http://schemas.openxmlformats.org/officeDocument/2006/relationships/hyperlink" Target="http://changelabs.stanford.edu/sites/default/files/NEF_7_Principles_Behavior_Econ.pdf" TargetMode="External"/><Relationship Id="rId74" Type="http://schemas.openxmlformats.org/officeDocument/2006/relationships/hyperlink" Target="https://www.cokecce.com/system/file_resources/117/CCE_REPORT_FINAL_V10_hires.pdf" TargetMode="External"/><Relationship Id="rId77" Type="http://schemas.openxmlformats.org/officeDocument/2006/relationships/hyperlink" Target="http://changelabs.stanford.edu/sites/default/files/Mindspace.pdf" TargetMode="External"/><Relationship Id="rId76" Type="http://schemas.openxmlformats.org/officeDocument/2006/relationships/hyperlink" Target="http://elr.info/news-analysis/38/10882/social-norms-and-policies-promote-energy-efficiency-home" TargetMode="External"/><Relationship Id="rId79" Type="http://schemas.openxmlformats.org/officeDocument/2006/relationships/hyperlink" Target="http://ecoamerica.org/wp-content/uploads/2015/11/CRED_final.pdf" TargetMode="External"/><Relationship Id="rId78" Type="http://schemas.openxmlformats.org/officeDocument/2006/relationships/hyperlink" Target="http://38r8om2xjhhl25mw24492dir.wpengine.netdna-cdn.com/wp-content/uploads/2015/07/behaviour-change-and-energy-use.pdf" TargetMode="External"/><Relationship Id="rId71" Type="http://schemas.openxmlformats.org/officeDocument/2006/relationships/hyperlink" Target="http://malmo.se/download/18.1388f79a149845ce3b910cd5/1415624861179/Enabling_sustainable_choices_webb_liten.pdf" TargetMode="External"/><Relationship Id="rId70" Type="http://schemas.openxmlformats.org/officeDocument/2006/relationships/hyperlink" Target="http://www.ncbi.nlm.nih.gov/pubmed/16771803" TargetMode="External"/><Relationship Id="rId62" Type="http://schemas.openxmlformats.org/officeDocument/2006/relationships/hyperlink" Target="http://www.sciencedirect.com/science/article/pii/S0095069611000982" TargetMode="External"/><Relationship Id="rId61" Type="http://schemas.openxmlformats.org/officeDocument/2006/relationships/hyperlink" Target="http://journal.sjdm.org/10/10831a/jdm10831a.html" TargetMode="External"/><Relationship Id="rId64" Type="http://schemas.openxmlformats.org/officeDocument/2006/relationships/hyperlink" Target="http://www.retirementmadesimpler.org/Library/The%20Power%20of%20Suggestion-%20Inertia%20in%20401(k).pdf" TargetMode="External"/><Relationship Id="rId63" Type="http://schemas.openxmlformats.org/officeDocument/2006/relationships/hyperlink" Target="http://onlinelibrary.wiley.com/doi/10.1111/j.1432-2277.2005.00202.x/abstract" TargetMode="External"/><Relationship Id="rId66" Type="http://schemas.openxmlformats.org/officeDocument/2006/relationships/hyperlink" Target="http://home.uchicago.edu/~haggag/Default_Tips.pdf" TargetMode="External"/><Relationship Id="rId65" Type="http://schemas.openxmlformats.org/officeDocument/2006/relationships/hyperlink" Target="https://www.google.com/search?q=The+Impact+of+Cooperation+Defaults+on+Voluntary+Contributions+to+Public+Goods&amp;oq=The+Impact+of+Cooperation+Defaults+on+Voluntary+Contributions+to+Public+Goods&amp;aqs=chrome..69i57.207j0j7&amp;sourceid=chrome&amp;es_sm=93&amp;ie=UTF-8" TargetMode="External"/><Relationship Id="rId68" Type="http://schemas.openxmlformats.org/officeDocument/2006/relationships/hyperlink" Target="http://www.ncbi.nlm.nih.gov/pmc/articles/PMC1308167/pdf/jaba00050-0077.pdf" TargetMode="External"/><Relationship Id="rId67" Type="http://schemas.openxmlformats.org/officeDocument/2006/relationships/hyperlink" Target="http://home.uchicago.edu/davetannenbaum/documents/default%20information%20asymmetries.pdf" TargetMode="External"/><Relationship Id="rId60" Type="http://schemas.openxmlformats.org/officeDocument/2006/relationships/hyperlink" Target="http://ftp.iza.org/dp7610.pdf" TargetMode="External"/><Relationship Id="rId69" Type="http://schemas.openxmlformats.org/officeDocument/2006/relationships/hyperlink" Target="http://www.ncbi.nlm.nih.gov/pubmed/12930475" TargetMode="External"/><Relationship Id="rId51" Type="http://schemas.openxmlformats.org/officeDocument/2006/relationships/hyperlink" Target="http://smarterlunchrooms.org/SoftChalk_Lessons/NC_Module03/85225017-Smarter-Lunchrooms-Choices-2010.pdf" TargetMode="External"/><Relationship Id="rId50" Type="http://schemas.openxmlformats.org/officeDocument/2006/relationships/hyperlink" Target="http://www.nature.com/nclimate/journal/v2/n4/full/nclimate1378.htmlhttps:/www.dropbox.com/home/Root%20Solutions/Ayana/Mindfulness%20and%20Global%20Warming?preview=Climate+Change+and+Moral+Judgement.pdf" TargetMode="External"/><Relationship Id="rId53" Type="http://schemas.openxmlformats.org/officeDocument/2006/relationships/hyperlink" Target="https://faculty.chicagobooth.edu/Richard.Thaler/research/pdf/SMarTJPE.pdf" TargetMode="External"/><Relationship Id="rId52" Type="http://schemas.openxmlformats.org/officeDocument/2006/relationships/hyperlink" Target="http://www.chicagobooth.edu/research/workshops/marketing/archive/WorkshopPapers/Skeptical%20Shoppers.pdf" TargetMode="External"/><Relationship Id="rId55" Type="http://schemas.openxmlformats.org/officeDocument/2006/relationships/hyperlink" Target="http://www.nber.org/papers/w8651.pdf" TargetMode="External"/><Relationship Id="rId54" Type="http://schemas.openxmlformats.org/officeDocument/2006/relationships/hyperlink" Target="http://papers.ssrn.com/sol3/papers.cfm?abstract_id=1116650" TargetMode="External"/><Relationship Id="rId57" Type="http://schemas.openxmlformats.org/officeDocument/2006/relationships/hyperlink" Target="http://digitalcommons.law.yale.edu/cgi/viewcontent.cgi?article=1554&amp;context=fss_papers" TargetMode="External"/><Relationship Id="rId56" Type="http://schemas.openxmlformats.org/officeDocument/2006/relationships/hyperlink" Target="http://www.sciencedirect.com/science/article/pii/S0969698911000592" TargetMode="External"/><Relationship Id="rId59" Type="http://schemas.openxmlformats.org/officeDocument/2006/relationships/hyperlink" Target="http://papers.ssrn.com/sol3/papers.cfm?abstract_id=2173387" TargetMode="External"/><Relationship Id="rId58" Type="http://schemas.openxmlformats.org/officeDocument/2006/relationships/hyperlink" Target="http://psy2.ucsd.edu/~mckenzie/McKenzieetal2006PsychSci.pdf" TargetMode="External"/><Relationship Id="rId107" Type="http://schemas.openxmlformats.org/officeDocument/2006/relationships/hyperlink" Target="http://onlinelibrary.wiley.com/doi/10.1111/j.1470-6431.2011.01081.x/abstract" TargetMode="External"/><Relationship Id="rId106" Type="http://schemas.openxmlformats.org/officeDocument/2006/relationships/hyperlink" Target="http://onlinelibrary.wiley.com/enhanced/doi/10.1002/ejsp.674" TargetMode="External"/><Relationship Id="rId105" Type="http://schemas.openxmlformats.org/officeDocument/2006/relationships/hyperlink" Target="http://www.ncbi.nlm.nih.gov/pubmed/?term=Gardner%20B%5Bauth%5D" TargetMode="External"/><Relationship Id="rId104" Type="http://schemas.openxmlformats.org/officeDocument/2006/relationships/hyperlink" Target="http://search.proquest.com/openview/d5caf50fa62f26a3f4ad06e5015edd92/1?pq-origsite=gscholar&amp;cbl=2030907" TargetMode="External"/><Relationship Id="rId109" Type="http://schemas.openxmlformats.org/officeDocument/2006/relationships/hyperlink" Target="http://link.springer.com/article/10.1023/A:1021234607980" TargetMode="External"/><Relationship Id="rId108" Type="http://schemas.openxmlformats.org/officeDocument/2006/relationships/hyperlink" Target="http://www.sciencedirect.com/science/article/pii/0191260782900012" TargetMode="External"/><Relationship Id="rId103" Type="http://schemas.openxmlformats.org/officeDocument/2006/relationships/hyperlink" Target="http://media.cbsm.com/uploads/1/HabitReview.pdf" TargetMode="External"/><Relationship Id="rId102" Type="http://schemas.openxmlformats.org/officeDocument/2006/relationships/hyperlink" Target="https://www.researchgate.net/profile/Andrew_Gilg/publication/222001460_Behavioural_attitudes_towards_water_saving_Evidence_from_a_study_of_environmental_actions/links/0c96052a0485e8d938000000.pdf" TargetMode="External"/><Relationship Id="rId101" Type="http://schemas.openxmlformats.org/officeDocument/2006/relationships/hyperlink" Target="http://eab.sagepub.com/content/43/5/612.short" TargetMode="External"/><Relationship Id="rId100" Type="http://schemas.openxmlformats.org/officeDocument/2006/relationships/hyperlink" Target="http://brage.bibsys.no/xmlui/handle/11250/191992" TargetMode="External"/><Relationship Id="rId129" Type="http://schemas.openxmlformats.org/officeDocument/2006/relationships/hyperlink" Target="http://onlinelibrary.wiley.com/doi/10.1111/j.1559-1816.2002.tb00216.x/abstract" TargetMode="External"/><Relationship Id="rId128" Type="http://schemas.openxmlformats.org/officeDocument/2006/relationships/hyperlink" Target="http://www-wds.worldbank.org/external/default/WDSContentServer/WDSP/IB/2003/07/26/000094946_03071512065261/Rendered/PDF/multi0page.pdf" TargetMode="External"/><Relationship Id="rId127" Type="http://schemas.openxmlformats.org/officeDocument/2006/relationships/hyperlink" Target="http://www.sciencedirect.com/science/article/pii/S095937800500004X" TargetMode="External"/><Relationship Id="rId126" Type="http://schemas.openxmlformats.org/officeDocument/2006/relationships/hyperlink" Target="http://www.ncbi.nlm.nih.gov/pmc/articles/PMC3504002/" TargetMode="External"/><Relationship Id="rId121" Type="http://schemas.openxmlformats.org/officeDocument/2006/relationships/hyperlink" Target="http://journals.plos.org/plosone/article?id=10.1371/journal.pone.0052882" TargetMode="External"/><Relationship Id="rId120" Type="http://schemas.openxmlformats.org/officeDocument/2006/relationships/hyperlink" Target="http://www.tandfonline.com/doi/abs/10.1080/13669870701552235" TargetMode="External"/><Relationship Id="rId125" Type="http://schemas.openxmlformats.org/officeDocument/2006/relationships/hyperlink" Target="http://www.ncbi.nlm.nih.gov/pubmed/?term=Blennow%20K%5Bauth%5D" TargetMode="External"/><Relationship Id="rId124" Type="http://schemas.openxmlformats.org/officeDocument/2006/relationships/hyperlink" Target="http://link.springer.com/article/10.1007/s10584-006-9060-3" TargetMode="External"/><Relationship Id="rId123" Type="http://schemas.openxmlformats.org/officeDocument/2006/relationships/hyperlink" Target="http://www.sciencedirect.com/science/article/pii/S0013935188800021?" TargetMode="External"/><Relationship Id="rId122" Type="http://schemas.openxmlformats.org/officeDocument/2006/relationships/hyperlink" Target="http://eab.sagepub.com/content/24/5/602" TargetMode="External"/><Relationship Id="rId95" Type="http://schemas.openxmlformats.org/officeDocument/2006/relationships/hyperlink" Target="http://www.pnas.org/content/108/31/12653.full" TargetMode="External"/><Relationship Id="rId94" Type="http://schemas.openxmlformats.org/officeDocument/2006/relationships/hyperlink" Target="http://www.sciencedirect.com/science/journal/09593780" TargetMode="External"/><Relationship Id="rId97" Type="http://schemas.openxmlformats.org/officeDocument/2006/relationships/hyperlink" Target="http://changelabs.stanford.edu/sites/default/files/HabitsRoutinesSustainableLifestylesEVO502FinalSummaryReportNov20112.pdf" TargetMode="External"/><Relationship Id="rId96" Type="http://schemas.openxmlformats.org/officeDocument/2006/relationships/hyperlink" Target="http://www.sciencedirect.com/science/article/pii/S0022103105001356" TargetMode="External"/><Relationship Id="rId99" Type="http://schemas.openxmlformats.org/officeDocument/2006/relationships/hyperlink" Target="http://www.sciencedirect.com/science/article/pii/S0195666311004685" TargetMode="External"/><Relationship Id="rId98" Type="http://schemas.openxmlformats.org/officeDocument/2006/relationships/hyperlink" Target="http://webarchive.nationalarchives.gov.uk/20130123162956/http:/archive.defra.gov.uk/environment/economy/documents/sustainable-life-framework.pdf" TargetMode="External"/><Relationship Id="rId91" Type="http://schemas.openxmlformats.org/officeDocument/2006/relationships/hyperlink" Target="http://www.nature.nps.gov/ParkScience/Archive/PDF/Article_PDFs/ParkScience25(1)Summer2008_34-35_Winter_2588.pdf" TargetMode="External"/><Relationship Id="rId90" Type="http://schemas.openxmlformats.org/officeDocument/2006/relationships/hyperlink" Target="http://www.iejeegreen.com/index.php/iejeegreen/article/view/58/32" TargetMode="External"/><Relationship Id="rId93" Type="http://schemas.openxmlformats.org/officeDocument/2006/relationships/hyperlink" Target="http://www.sciencedirect.com/science/article/pii/S0959378014000909" TargetMode="External"/><Relationship Id="rId92" Type="http://schemas.openxmlformats.org/officeDocument/2006/relationships/hyperlink" Target="http://ecoamerica.org/wp-content/uploads/2013/11/Communicating-on-Climate-13-steps_ecoAmerica.pdf" TargetMode="External"/><Relationship Id="rId118" Type="http://schemas.openxmlformats.org/officeDocument/2006/relationships/hyperlink" Target="http://papers.ssrn.com/sol3/papers.cfm?abstract_id=1843402" TargetMode="External"/><Relationship Id="rId117" Type="http://schemas.openxmlformats.org/officeDocument/2006/relationships/hyperlink" Target="http://dl.acm.org/citation.cfm?doid=587078.587110" TargetMode="External"/><Relationship Id="rId116" Type="http://schemas.openxmlformats.org/officeDocument/2006/relationships/hyperlink" Target="http://onlinelibrary.wiley.com/doi/10.1111/j.1539-6924.2011.01695.x/abstract" TargetMode="External"/><Relationship Id="rId115" Type="http://schemas.openxmlformats.org/officeDocument/2006/relationships/hyperlink" Target="http://ecoamerica.org/wp-content/uploads/2014/09/ACV14-Racial-Ethnic-Report-Summary.pdf" TargetMode="External"/><Relationship Id="rId119" Type="http://schemas.openxmlformats.org/officeDocument/2006/relationships/hyperlink" Target="http://www.nejm.org/doi/full/10.1056/Nejmp1001784" TargetMode="External"/><Relationship Id="rId110" Type="http://schemas.openxmlformats.org/officeDocument/2006/relationships/hyperlink" Target="http://eab.sagepub.com/content/38/6/820.short" TargetMode="External"/><Relationship Id="rId114" Type="http://schemas.openxmlformats.org/officeDocument/2006/relationships/hyperlink" Target="https://www.researchgate.net/publication/5305895_'Normative_Social_Influence_Is_Underdetected" TargetMode="External"/><Relationship Id="rId113" Type="http://schemas.openxmlformats.org/officeDocument/2006/relationships/hyperlink" Target="http://www.acetiassociates.com/pubs/doverreport.pdf" TargetMode="External"/><Relationship Id="rId112" Type="http://schemas.openxmlformats.org/officeDocument/2006/relationships/hyperlink" Target="http://www.ideas42.org/wp-content/uploads/2015/04/Belen-Paper-Final.pdf" TargetMode="External"/><Relationship Id="rId111" Type="http://schemas.openxmlformats.org/officeDocument/2006/relationships/hyperlink" Target="http://eab.sagepub.com/content/34/2/163.short" TargetMode="Externa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www.ncbi.nlm.nih.gov/pubmed/15044675" TargetMode="External"/><Relationship Id="rId3" Type="http://schemas.openxmlformats.org/officeDocument/2006/relationships/hyperlink" Target="http://ecoamerica.org/wp-content/uploads/2015/07/2015_climate_for_health_national_convening_summary.pdf" TargetMode="External"/><Relationship Id="rId4" Type="http://schemas.openxmlformats.org/officeDocument/2006/relationships/hyperlink" Target="http://www.ncbi.nlm.nih.gov/pmc/articles/PMC3480633/" TargetMode="External"/><Relationship Id="rId9" Type="http://schemas.openxmlformats.org/officeDocument/2006/relationships/hyperlink" Target="http://psp.sagepub.com/content/early/2014/12/24/0146167214566187" TargetMode="External"/><Relationship Id="rId5" Type="http://schemas.openxmlformats.org/officeDocument/2006/relationships/hyperlink" Target="http://www.uky.edu/~eushe2/BanduraPubs/Bandura1991OBHDP.pdf" TargetMode="External"/><Relationship Id="rId6" Type="http://schemas.openxmlformats.org/officeDocument/2006/relationships/hyperlink" Target="http://www.wwf.org.au/get_involved/change_the_way_you_live/recycle_reuse_reduce/" TargetMode="External"/><Relationship Id="rId7" Type="http://schemas.openxmlformats.org/officeDocument/2006/relationships/hyperlink" Target="http://www.energyneighbourhoods.eu/sites/default/files/Final%20Version%20EN2%20brochure_1.pdf" TargetMode="External"/><Relationship Id="rId8" Type="http://schemas.openxmlformats.org/officeDocument/2006/relationships/hyperlink" Target="http://www.ncbi.nlm.nih.gov/pubmed/19760473" TargetMode="External"/><Relationship Id="rId20" Type="http://schemas.openxmlformats.org/officeDocument/2006/relationships/drawing" Target="../drawings/drawing7.xml"/><Relationship Id="rId21" Type="http://schemas.openxmlformats.org/officeDocument/2006/relationships/vmlDrawing" Target="../drawings/vmlDrawing5.vml"/><Relationship Id="rId11" Type="http://schemas.openxmlformats.org/officeDocument/2006/relationships/hyperlink" Target="http://journal.sjdm.org/7314/jdm7314.htm" TargetMode="External"/><Relationship Id="rId10" Type="http://schemas.openxmlformats.org/officeDocument/2006/relationships/hyperlink" Target="http://www.eief.it/butler/files/2009/11/thaler80.pdf" TargetMode="External"/><Relationship Id="rId13" Type="http://schemas.openxmlformats.org/officeDocument/2006/relationships/hyperlink" Target="http://www.uclg-cisdp.org/sites/default/files/Capannori_2010_en_FINAL.pdf" TargetMode="External"/><Relationship Id="rId12" Type="http://schemas.openxmlformats.org/officeDocument/2006/relationships/hyperlink" Target="https://www0.gsb.columbia.edu/mygsb/faculty/research/pubfiles/1173/defaults_framing_and_privacy.pdf" TargetMode="External"/><Relationship Id="rId15" Type="http://schemas.openxmlformats.org/officeDocument/2006/relationships/hyperlink" Target="http://www.sciencedirect.com/science/article/pii/S0272494402001056" TargetMode="External"/><Relationship Id="rId14" Type="http://schemas.openxmlformats.org/officeDocument/2006/relationships/hyperlink" Target="http://www.sciencedirect.com/science/article/pii/S0143622810001724" TargetMode="External"/><Relationship Id="rId17" Type="http://schemas.openxmlformats.org/officeDocument/2006/relationships/hyperlink" Target="http://onlinelibrary.wiley.com/doi/10.1017/S1350482706002581/pdf" TargetMode="External"/><Relationship Id="rId16" Type="http://schemas.openxmlformats.org/officeDocument/2006/relationships/hyperlink" Target="http://www.ncbi.nlm.nih.gov/pubmed/7837372" TargetMode="External"/><Relationship Id="rId19" Type="http://schemas.openxmlformats.org/officeDocument/2006/relationships/hyperlink" Target="http://www.ncbi.nlm.nih.gov/pubmed/23911922" TargetMode="External"/><Relationship Id="rId18" Type="http://schemas.openxmlformats.org/officeDocument/2006/relationships/hyperlink" Target="http://onlinelibrary.wiley.com/doi/10.1111/j.1464-0597.2011.00464.x/full"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economist.com/news/international/21587826-sharing-two-wheels-becoming-ever-more-popular-taking-stabilisers" TargetMode="External"/><Relationship Id="rId2" Type="http://schemas.openxmlformats.org/officeDocument/2006/relationships/hyperlink" Target="http://www.wired.com/2009/05/earthobservatoryvideos/" TargetMode="External"/><Relationship Id="rId3" Type="http://schemas.openxmlformats.org/officeDocument/2006/relationships/hyperlink" Target="http://www.behaviouralinsights.co.uk/publications/east-four-simple-ways-to-apply-behavioural-insights/" TargetMode="External"/><Relationship Id="rId4" Type="http://schemas.openxmlformats.org/officeDocument/2006/relationships/hyperlink" Target="https://www.psychologytoday.com/blog/culture-conscious/201306/is-cognitive-dissonance-universal" TargetMode="External"/><Relationship Id="rId5"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www.aceee.org/" TargetMode="External"/><Relationship Id="rId2" Type="http://schemas.openxmlformats.org/officeDocument/2006/relationships/hyperlink" Target="http://www.nature.com/nclimate/journal/v1/n1/full/nclimate1080.html" TargetMode="External"/><Relationship Id="rId3" Type="http://schemas.openxmlformats.org/officeDocument/2006/relationships/hyperlink" Target="http://www.understanding-risk.org/" TargetMode="External"/><Relationship Id="rId4" Type="http://schemas.openxmlformats.org/officeDocument/2006/relationships/hyperlink" Target="http://inudgeyou.com/" TargetMode="External"/><Relationship Id="rId9" Type="http://schemas.openxmlformats.org/officeDocument/2006/relationships/hyperlink" Target="http://www.anderson.ucla.edu/faculty/interdisciplinary-group-in-behavioral-decision-making" TargetMode="External"/><Relationship Id="rId5" Type="http://schemas.openxmlformats.org/officeDocument/2006/relationships/hyperlink" Target="http://www.aceee.org/about/programs/Behavior" TargetMode="External"/><Relationship Id="rId6" Type="http://schemas.openxmlformats.org/officeDocument/2006/relationships/hyperlink" Target="https://analystinstitute.org/" TargetMode="External"/><Relationship Id="rId7" Type="http://schemas.openxmlformats.org/officeDocument/2006/relationships/hyperlink" Target="http://ceed.edu.au/" TargetMode="External"/><Relationship Id="rId8" Type="http://schemas.openxmlformats.org/officeDocument/2006/relationships/hyperlink" Target="http://www.acrwebsite.org/" TargetMode="External"/><Relationship Id="rId40" Type="http://schemas.openxmlformats.org/officeDocument/2006/relationships/hyperlink" Target="https://twitter.com/RMedia" TargetMode="External"/><Relationship Id="rId42" Type="http://schemas.openxmlformats.org/officeDocument/2006/relationships/hyperlink" Target="https://twitter.com/ConservationDec" TargetMode="External"/><Relationship Id="rId41" Type="http://schemas.openxmlformats.org/officeDocument/2006/relationships/hyperlink" Target="https://twitter.com/talkingclimates" TargetMode="External"/><Relationship Id="rId44" Type="http://schemas.openxmlformats.org/officeDocument/2006/relationships/hyperlink" Target="https://twitter.com/HuntingDynasty" TargetMode="External"/><Relationship Id="rId43" Type="http://schemas.openxmlformats.org/officeDocument/2006/relationships/hyperlink" Target="https://twitter.com/yalefesclimate" TargetMode="External"/><Relationship Id="rId46" Type="http://schemas.openxmlformats.org/officeDocument/2006/relationships/hyperlink" Target="https://twitter.com/DefraGovUK" TargetMode="External"/><Relationship Id="rId45" Type="http://schemas.openxmlformats.org/officeDocument/2006/relationships/hyperlink" Target="https://twitter.com/wbclimatechange" TargetMode="External"/><Relationship Id="rId48" Type="http://schemas.openxmlformats.org/officeDocument/2006/relationships/hyperlink" Target="https://twitter.com/BehaviourSci" TargetMode="External"/><Relationship Id="rId47" Type="http://schemas.openxmlformats.org/officeDocument/2006/relationships/hyperlink" Target="https://twitter.com/wef" TargetMode="External"/><Relationship Id="rId49" Type="http://schemas.openxmlformats.org/officeDocument/2006/relationships/drawing" Target="../drawings/drawing9.xml"/><Relationship Id="rId31" Type="http://schemas.openxmlformats.org/officeDocument/2006/relationships/hyperlink" Target="https://twitter.com/FoxLabUCLA" TargetMode="External"/><Relationship Id="rId30" Type="http://schemas.openxmlformats.org/officeDocument/2006/relationships/hyperlink" Target="http://fox-lab.org/" TargetMode="External"/><Relationship Id="rId33" Type="http://schemas.openxmlformats.org/officeDocument/2006/relationships/hyperlink" Target="https://twitter.com/HInstitute" TargetMode="External"/><Relationship Id="rId32" Type="http://schemas.openxmlformats.org/officeDocument/2006/relationships/hyperlink" Target="https://twitter.com/GreeNudge" TargetMode="External"/><Relationship Id="rId35" Type="http://schemas.openxmlformats.org/officeDocument/2006/relationships/hyperlink" Target="https://twitter.com/ideas42" TargetMode="External"/><Relationship Id="rId34" Type="http://schemas.openxmlformats.org/officeDocument/2006/relationships/hyperlink" Target="https://twitter.com/harvard_dsl" TargetMode="External"/><Relationship Id="rId37" Type="http://schemas.openxmlformats.org/officeDocument/2006/relationships/hyperlink" Target="https://twitter.com/IrrationalLabs" TargetMode="External"/><Relationship Id="rId36" Type="http://schemas.openxmlformats.org/officeDocument/2006/relationships/hyperlink" Target="http://www.ied.ethz.ch/" TargetMode="External"/><Relationship Id="rId39" Type="http://schemas.openxmlformats.org/officeDocument/2006/relationships/hyperlink" Target="http://www.resource-media.org/" TargetMode="External"/><Relationship Id="rId38" Type="http://schemas.openxmlformats.org/officeDocument/2006/relationships/hyperlink" Target="https://twitter.com/Opower" TargetMode="External"/><Relationship Id="rId20" Type="http://schemas.openxmlformats.org/officeDocument/2006/relationships/hyperlink" Target="https://twitter.com/ColumbiaCRED" TargetMode="External"/><Relationship Id="rId22" Type="http://schemas.openxmlformats.org/officeDocument/2006/relationships/hyperlink" Target="http://lubswww.leeds.ac.uk/cdr/introduction/" TargetMode="External"/><Relationship Id="rId21" Type="http://schemas.openxmlformats.org/officeDocument/2006/relationships/hyperlink" Target="https://twitter.com/CCCEP" TargetMode="External"/><Relationship Id="rId24" Type="http://schemas.openxmlformats.org/officeDocument/2006/relationships/hyperlink" Target="http://blogg.nhh.no/thechoicelab/" TargetMode="External"/><Relationship Id="rId23" Type="http://schemas.openxmlformats.org/officeDocument/2006/relationships/hyperlink" Target="http://changelabs.stanford.edu/" TargetMode="External"/><Relationship Id="rId26" Type="http://schemas.openxmlformats.org/officeDocument/2006/relationships/hyperlink" Target="https://twitter.com/climateaccess" TargetMode="External"/><Relationship Id="rId25" Type="http://schemas.openxmlformats.org/officeDocument/2006/relationships/hyperlink" Target="https://twitter.com/TheChoiceLab" TargetMode="External"/><Relationship Id="rId28" Type="http://schemas.openxmlformats.org/officeDocument/2006/relationships/hyperlink" Target="http://www.decisionresearch.org/research/environment/" TargetMode="External"/><Relationship Id="rId27" Type="http://schemas.openxmlformats.org/officeDocument/2006/relationships/hyperlink" Target="http://valuesandframes.org/" TargetMode="External"/><Relationship Id="rId29" Type="http://schemas.openxmlformats.org/officeDocument/2006/relationships/hyperlink" Target="http://dcdc.asu.edu/" TargetMode="External"/><Relationship Id="rId11" Type="http://schemas.openxmlformats.org/officeDocument/2006/relationships/hyperlink" Target="http://behavioralpolicy.org/" TargetMode="External"/><Relationship Id="rId10" Type="http://schemas.openxmlformats.org/officeDocument/2006/relationships/hyperlink" Target="https://www.gov.uk/government/organisations/behavioural-insights-team" TargetMode="External"/><Relationship Id="rId13" Type="http://schemas.openxmlformats.org/officeDocument/2006/relationships/hyperlink" Target="http://www.brainfacts.org/" TargetMode="External"/><Relationship Id="rId12" Type="http://schemas.openxmlformats.org/officeDocument/2006/relationships/hyperlink" Target="https://twitter.com/BeSciPol" TargetMode="External"/><Relationship Id="rId15" Type="http://schemas.openxmlformats.org/officeDocument/2006/relationships/hyperlink" Target="http://www.busaracenter.org/" TargetMode="External"/><Relationship Id="rId14" Type="http://schemas.openxmlformats.org/officeDocument/2006/relationships/hyperlink" Target="https://twitter.com/Brain_Facts_org" TargetMode="External"/><Relationship Id="rId17" Type="http://schemas.openxmlformats.org/officeDocument/2006/relationships/hyperlink" Target="http://www.cbdr.cmu.edu/index.asp" TargetMode="External"/><Relationship Id="rId16" Type="http://schemas.openxmlformats.org/officeDocument/2006/relationships/hyperlink" Target="https://twitter.com/BusaraCenter" TargetMode="External"/><Relationship Id="rId19" Type="http://schemas.openxmlformats.org/officeDocument/2006/relationships/hyperlink" Target="http://cred.columbia.edu/" TargetMode="External"/><Relationship Id="rId18" Type="http://schemas.openxmlformats.org/officeDocument/2006/relationships/hyperlink" Target="https://twitter.com/Mason4C" TargetMode="External"/></Relationships>
</file>

<file path=xl/worksheets/_rels/sheet10.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www.cbsm.com/pages/guide/communication:-creating-effective-messages/" TargetMode="External"/><Relationship Id="rId3" Type="http://schemas.openxmlformats.org/officeDocument/2006/relationships/hyperlink" Target="https://www.youtube.com/watch?v=jGIxYjfMedg" TargetMode="External"/><Relationship Id="rId4" Type="http://schemas.openxmlformats.org/officeDocument/2006/relationships/hyperlink" Target="https://www.youtube.com/watch?v=2L1R7OtJhWs" TargetMode="External"/><Relationship Id="rId9" Type="http://schemas.openxmlformats.org/officeDocument/2006/relationships/hyperlink" Target="https://www.youtube.com/watch?v=3Ux3pm6UfCo" TargetMode="External"/><Relationship Id="rId5" Type="http://schemas.openxmlformats.org/officeDocument/2006/relationships/hyperlink" Target="http://www.ted.com/talks/dan_ariely_asks_are_we_in_control_of_our_own_decisions" TargetMode="External"/><Relationship Id="rId6" Type="http://schemas.openxmlformats.org/officeDocument/2006/relationships/hyperlink" Target="https://www.youtube.com/watch?v=9MImOh4hWUM" TargetMode="External"/><Relationship Id="rId7" Type="http://schemas.openxmlformats.org/officeDocument/2006/relationships/hyperlink" Target="https://www.youtube.com/watch?v=2_wkv1Gx2vM" TargetMode="External"/><Relationship Id="rId8" Type="http://schemas.openxmlformats.org/officeDocument/2006/relationships/hyperlink" Target="https://www.youtube.com/watch?v=WAL7Pz1i1jU" TargetMode="External"/><Relationship Id="rId20" Type="http://schemas.openxmlformats.org/officeDocument/2006/relationships/hyperlink" Target="https://www.youtube.com/watch?v=3Ux3pm6UfCo" TargetMode="External"/><Relationship Id="rId22" Type="http://schemas.openxmlformats.org/officeDocument/2006/relationships/hyperlink" Target="http://www.slideshare.net/captology/3-steps-to-new-habits" TargetMode="External"/><Relationship Id="rId21" Type="http://schemas.openxmlformats.org/officeDocument/2006/relationships/hyperlink" Target="https://www.youtube.com/watch?v=jGIxYjfMedg" TargetMode="External"/><Relationship Id="rId24" Type="http://schemas.openxmlformats.org/officeDocument/2006/relationships/hyperlink" Target="http://natureisspeaking.org/theocean.html" TargetMode="External"/><Relationship Id="rId23" Type="http://schemas.openxmlformats.org/officeDocument/2006/relationships/hyperlink" Target="http://natureisspeaking.org/thesoil.html" TargetMode="External"/><Relationship Id="rId26" Type="http://schemas.openxmlformats.org/officeDocument/2006/relationships/hyperlink" Target="http://natureisspeaking.org/water.html" TargetMode="External"/><Relationship Id="rId25" Type="http://schemas.openxmlformats.org/officeDocument/2006/relationships/hyperlink" Target="http://natureisspeaking.org/mothernature.html" TargetMode="External"/><Relationship Id="rId28" Type="http://schemas.openxmlformats.org/officeDocument/2006/relationships/drawing" Target="../drawings/drawing10.xml"/><Relationship Id="rId27" Type="http://schemas.openxmlformats.org/officeDocument/2006/relationships/hyperlink" Target="http://natureisspeaking.org/theredwood.html" TargetMode="External"/><Relationship Id="rId29" Type="http://schemas.openxmlformats.org/officeDocument/2006/relationships/vmlDrawing" Target="../drawings/vmlDrawing6.vml"/><Relationship Id="rId11" Type="http://schemas.openxmlformats.org/officeDocument/2006/relationships/hyperlink" Target="http://trbq.org/topics/stories/" TargetMode="External"/><Relationship Id="rId10" Type="http://schemas.openxmlformats.org/officeDocument/2006/relationships/hyperlink" Target="https://www.youtube.com/watch?v=8JsYp1Lp92w" TargetMode="External"/><Relationship Id="rId13" Type="http://schemas.openxmlformats.org/officeDocument/2006/relationships/hyperlink" Target="http://www.ted.com/playlists/74/our_brains_predictably_?platform=hootsuite" TargetMode="External"/><Relationship Id="rId12" Type="http://schemas.openxmlformats.org/officeDocument/2006/relationships/hyperlink" Target="https://www.youtube.com/watch?v=JfZd2oLIIMw" TargetMode="External"/><Relationship Id="rId15" Type="http://schemas.openxmlformats.org/officeDocument/2006/relationships/hyperlink" Target="https://www.youtube.com/watch?v=yl4NSy0SXtc" TargetMode="External"/><Relationship Id="rId14" Type="http://schemas.openxmlformats.org/officeDocument/2006/relationships/hyperlink" Target="http://www.ted.com/talks/alex_laskey_how_behavioral_science_can_lower_your_energy_bill" TargetMode="External"/><Relationship Id="rId17" Type="http://schemas.openxmlformats.org/officeDocument/2006/relationships/hyperlink" Target="https://www.youtube.com/watch?v=G7OhZ0Opi2M" TargetMode="External"/><Relationship Id="rId16" Type="http://schemas.openxmlformats.org/officeDocument/2006/relationships/hyperlink" Target="https://www.youtube.com/watch?v=3Ux3pm6UfCo" TargetMode="External"/><Relationship Id="rId19" Type="http://schemas.openxmlformats.org/officeDocument/2006/relationships/hyperlink" Target="https://www.youtube.com/watch?v=V6l1rFvOarM" TargetMode="External"/><Relationship Id="rId18" Type="http://schemas.openxmlformats.org/officeDocument/2006/relationships/hyperlink" Target="https://www.youtube.com/watch?v=nfGaMvvYtpk"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twitter.com/dougcbsm" TargetMode="External"/><Relationship Id="rId2" Type="http://schemas.openxmlformats.org/officeDocument/2006/relationships/hyperlink" Target="https://twitter.com/leahstokes" TargetMode="External"/><Relationship Id="rId3" Type="http://schemas.openxmlformats.org/officeDocument/2006/relationships/hyperlink" Target="https://twitter.com/HiddenBrain" TargetMode="External"/><Relationship Id="rId4" Type="http://schemas.openxmlformats.org/officeDocument/2006/relationships/hyperlink" Target="https://twitter.com/CassSunstein" TargetMode="External"/><Relationship Id="rId9" Type="http://schemas.openxmlformats.org/officeDocument/2006/relationships/hyperlink" Target="https://twitter.com/dstokols" TargetMode="External"/><Relationship Id="rId5" Type="http://schemas.openxmlformats.org/officeDocument/2006/relationships/hyperlink" Target="https://twitter.com/danariely" TargetMode="External"/><Relationship Id="rId6" Type="http://schemas.openxmlformats.org/officeDocument/2006/relationships/hyperlink" Target="https://twitter.com/R_Thaler" TargetMode="External"/><Relationship Id="rId7" Type="http://schemas.openxmlformats.org/officeDocument/2006/relationships/hyperlink" Target="mailto:euw2@columbia.edu" TargetMode="External"/><Relationship Id="rId8" Type="http://schemas.openxmlformats.org/officeDocument/2006/relationships/hyperlink" Target="https://twitter.com/elkeweber" TargetMode="External"/><Relationship Id="rId40" Type="http://schemas.openxmlformats.org/officeDocument/2006/relationships/hyperlink" Target="https://twitter.com/NateSilver538" TargetMode="External"/><Relationship Id="rId42" Type="http://schemas.openxmlformats.org/officeDocument/2006/relationships/hyperlink" Target="https://twitter.com/estoknes" TargetMode="External"/><Relationship Id="rId41" Type="http://schemas.openxmlformats.org/officeDocument/2006/relationships/hyperlink" Target="https://twitter.com/nicholasdwright" TargetMode="External"/><Relationship Id="rId44" Type="http://schemas.openxmlformats.org/officeDocument/2006/relationships/hyperlink" Target="https://twitter.com/PeoplesGrid" TargetMode="External"/><Relationship Id="rId43" Type="http://schemas.openxmlformats.org/officeDocument/2006/relationships/hyperlink" Target="https://twitter.com/Shahzeen" TargetMode="External"/><Relationship Id="rId46" Type="http://schemas.openxmlformats.org/officeDocument/2006/relationships/hyperlink" Target="https://twitter.com/sianbeilock" TargetMode="External"/><Relationship Id="rId45" Type="http://schemas.openxmlformats.org/officeDocument/2006/relationships/hyperlink" Target="https://twitter.com/shlomobenartzi" TargetMode="External"/><Relationship Id="rId48" Type="http://schemas.openxmlformats.org/officeDocument/2006/relationships/hyperlink" Target="https://twitter.com/UriGneezy" TargetMode="External"/><Relationship Id="rId47" Type="http://schemas.openxmlformats.org/officeDocument/2006/relationships/hyperlink" Target="https://twitter.com/sapinker" TargetMode="External"/><Relationship Id="rId49" Type="http://schemas.openxmlformats.org/officeDocument/2006/relationships/hyperlink" Target="https://www.youtube.com/watch?v=jGIxYjfMedg" TargetMode="External"/><Relationship Id="rId31" Type="http://schemas.openxmlformats.org/officeDocument/2006/relationships/hyperlink" Target="https://twitter.com/GernotWagner" TargetMode="External"/><Relationship Id="rId30" Type="http://schemas.openxmlformats.org/officeDocument/2006/relationships/hyperlink" Target="https://twitter.com/ezramarkowitz" TargetMode="External"/><Relationship Id="rId33" Type="http://schemas.openxmlformats.org/officeDocument/2006/relationships/hyperlink" Target="https://twitter.com/bermster" TargetMode="External"/><Relationship Id="rId32" Type="http://schemas.openxmlformats.org/officeDocument/2006/relationships/hyperlink" Target="https://twitter.com/jenniferjacquet" TargetMode="External"/><Relationship Id="rId35" Type="http://schemas.openxmlformats.org/officeDocument/2006/relationships/hyperlink" Target="https://twitter.com/lauriesantos" TargetMode="External"/><Relationship Id="rId34" Type="http://schemas.openxmlformats.org/officeDocument/2006/relationships/hyperlink" Target="https://twitter.com/GEOlaugic" TargetMode="External"/><Relationship Id="rId37" Type="http://schemas.openxmlformats.org/officeDocument/2006/relationships/hyperlink" Target="https://twitter.com/EnvPolicyCenter" TargetMode="External"/><Relationship Id="rId36" Type="http://schemas.openxmlformats.org/officeDocument/2006/relationships/hyperlink" Target="https://twitter.com/lisachacon" TargetMode="External"/><Relationship Id="rId39" Type="http://schemas.openxmlformats.org/officeDocument/2006/relationships/hyperlink" Target="https://twitter.com/NaomiOreskes" TargetMode="External"/><Relationship Id="rId38" Type="http://schemas.openxmlformats.org/officeDocument/2006/relationships/hyperlink" Target="https://twitter.com/MaxBazerman" TargetMode="External"/><Relationship Id="rId20" Type="http://schemas.openxmlformats.org/officeDocument/2006/relationships/hyperlink" Target="https://twitter.com/HuntAllcott" TargetMode="External"/><Relationship Id="rId22" Type="http://schemas.openxmlformats.org/officeDocument/2006/relationships/hyperlink" Target="https://twitter.com/cfchabris" TargetMode="External"/><Relationship Id="rId21" Type="http://schemas.openxmlformats.org/officeDocument/2006/relationships/hyperlink" Target="https://twitter.com/deborahasmall" TargetMode="External"/><Relationship Id="rId24" Type="http://schemas.openxmlformats.org/officeDocument/2006/relationships/hyperlink" Target="https://twitter.com/belindagriswold" TargetMode="External"/><Relationship Id="rId23" Type="http://schemas.openxmlformats.org/officeDocument/2006/relationships/hyperlink" Target="https://twitter.com/agneezy" TargetMode="External"/><Relationship Id="rId26" Type="http://schemas.openxmlformats.org/officeDocument/2006/relationships/hyperlink" Target="https://twitter.com/CFCamerer" TargetMode="External"/><Relationship Id="rId25" Type="http://schemas.openxmlformats.org/officeDocument/2006/relationships/hyperlink" Target="https://twitter.com/bendemartino" TargetMode="External"/><Relationship Id="rId28" Type="http://schemas.openxmlformats.org/officeDocument/2006/relationships/hyperlink" Target="http://twitter.com/dwigder" TargetMode="External"/><Relationship Id="rId27" Type="http://schemas.openxmlformats.org/officeDocument/2006/relationships/hyperlink" Target="https://twitter.com/dhardisty" TargetMode="External"/><Relationship Id="rId29" Type="http://schemas.openxmlformats.org/officeDocument/2006/relationships/hyperlink" Target="https://twitter.com/donaldbraman" TargetMode="External"/><Relationship Id="rId11" Type="http://schemas.openxmlformats.org/officeDocument/2006/relationships/hyperlink" Target="https://twitter.com/m_sendhil" TargetMode="External"/><Relationship Id="rId10" Type="http://schemas.openxmlformats.org/officeDocument/2006/relationships/hyperlink" Target="https://twitter.com/katy_milkman" TargetMode="External"/><Relationship Id="rId13" Type="http://schemas.openxmlformats.org/officeDocument/2006/relationships/hyperlink" Target="https://twitter.com/cduhigg" TargetMode="External"/><Relationship Id="rId12" Type="http://schemas.openxmlformats.org/officeDocument/2006/relationships/hyperlink" Target="https://twitter.com/bjfogg" TargetMode="External"/><Relationship Id="rId15" Type="http://schemas.openxmlformats.org/officeDocument/2006/relationships/hyperlink" Target="https://twitter.com/jgastil" TargetMode="External"/><Relationship Id="rId14" Type="http://schemas.openxmlformats.org/officeDocument/2006/relationships/hyperlink" Target="http://www.empowermentinstitute.net/index.php/about/about-david-gershon" TargetMode="External"/><Relationship Id="rId17" Type="http://schemas.openxmlformats.org/officeDocument/2006/relationships/hyperlink" Target="https://twitter.com/tirosenberg" TargetMode="External"/><Relationship Id="rId16" Type="http://schemas.openxmlformats.org/officeDocument/2006/relationships/hyperlink" Target="https://twitter.com/profsimons" TargetMode="External"/><Relationship Id="rId19" Type="http://schemas.openxmlformats.org/officeDocument/2006/relationships/hyperlink" Target="https://twitter.com/ecotone2" TargetMode="External"/><Relationship Id="rId18" Type="http://schemas.openxmlformats.org/officeDocument/2006/relationships/hyperlink" Target="https://twitter.com/Todd_Rogers_" TargetMode="External"/><Relationship Id="rId50"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bx2014.org/" TargetMode="External"/><Relationship Id="rId2" Type="http://schemas.openxmlformats.org/officeDocument/2006/relationships/hyperlink" Target="http://frank.jou.ufl.edu/" TargetMode="External"/><Relationship Id="rId3" Type="http://schemas.openxmlformats.org/officeDocument/2006/relationships/hyperlink" Target="http://www.humanitariansummerschool.com/games-workshop.html" TargetMode="External"/><Relationship Id="rId4" Type="http://schemas.openxmlformats.org/officeDocument/2006/relationships/hyperlink" Target="http://scholar.harvard.edu/laibson/rsfcamp" TargetMode="External"/><Relationship Id="rId5" Type="http://schemas.openxmlformats.org/officeDocument/2006/relationships/hyperlink" Target="http://www.sesync.org/" TargetMode="External"/><Relationship Id="rId6" Type="http://schemas.openxmlformats.org/officeDocument/2006/relationships/hyperlink" Target="http://www.garrisoninstitute.org/climate-and-behavior/climate-mind-and-behavior-project" TargetMode="External"/><Relationship Id="rId7" Type="http://schemas.openxmlformats.org/officeDocument/2006/relationships/hyperlink" Target="http://www.bayareascience.org/" TargetMode="External"/><Relationship Id="rId8"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www.ashleysgreenlife.com/2011/09/how-i-go-green-with-my-pumping-baby.html" TargetMode="External"/><Relationship Id="rId2" Type="http://schemas.openxmlformats.org/officeDocument/2006/relationships/hyperlink" Target="http://www.myparkingsign.com/blog/student-parking-passes-environmental-policy-implications/"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hyperlink" Target="http://zurb.com/triggers" TargetMode="External"/><Relationship Id="rId2"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www.thevictorylab.com/" TargetMode="External"/><Relationship Id="rId2"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1" width="12.11"/>
    <col customWidth="1" min="2" max="2" width="11.11"/>
    <col customWidth="1" min="3" max="3" width="15.44"/>
    <col customWidth="1" min="4" max="4" width="17.0"/>
    <col customWidth="1" min="5" max="5" width="12.56"/>
    <col customWidth="1" min="6" max="6" width="16.89"/>
    <col customWidth="1" min="7" max="7" width="16.44"/>
    <col customWidth="1" min="8" max="8" width="16.56"/>
    <col customWidth="1" min="9" max="10" width="15.89"/>
    <col customWidth="1" min="11" max="11" width="15.0"/>
    <col customWidth="1" min="12" max="12" width="19.22"/>
    <col customWidth="1" min="13" max="13" width="23.67"/>
    <col customWidth="1" min="14" max="14" width="23.33"/>
    <col customWidth="1" min="15" max="15" width="18.44"/>
    <col customWidth="1" min="16" max="16" width="20.0"/>
    <col customWidth="1" min="17" max="17" width="18.22"/>
    <col customWidth="1" min="18" max="18" width="22.44"/>
    <col customWidth="1" min="19" max="19" width="16.67"/>
    <col customWidth="1" min="20" max="20" width="22.78"/>
    <col customWidth="1" min="21" max="21" width="44.22"/>
    <col customWidth="1" min="22" max="22" width="6.44"/>
    <col customWidth="1" min="23" max="23" width="19.44"/>
    <col customWidth="1" min="24" max="24" width="24.78"/>
    <col customWidth="1" min="25" max="25" width="25.22"/>
    <col customWidth="1" min="26" max="26" width="27.0"/>
    <col customWidth="1" min="27" max="27" width="28.89"/>
    <col customWidth="1" min="28" max="28" width="31.44"/>
    <col customWidth="1" min="29" max="29" width="29.22"/>
    <col customWidth="1" min="30" max="30" width="33.67"/>
    <col customWidth="1" min="31" max="31" width="27.33"/>
    <col customWidth="1" min="32" max="32" width="28.78"/>
    <col customWidth="1" min="33" max="67" width="6.44"/>
  </cols>
  <sheetData>
    <row r="1" ht="40.5" customHeight="1">
      <c r="A1" s="4" t="s">
        <v>2</v>
      </c>
      <c r="B1" s="19" t="s">
        <v>7</v>
      </c>
      <c r="C1" s="19" t="s">
        <v>13</v>
      </c>
      <c r="D1" s="19" t="s">
        <v>40</v>
      </c>
      <c r="E1" s="19" t="s">
        <v>41</v>
      </c>
      <c r="F1" s="19" t="s">
        <v>42</v>
      </c>
      <c r="G1" s="19" t="s">
        <v>43</v>
      </c>
      <c r="H1" s="19" t="s">
        <v>44</v>
      </c>
      <c r="I1" s="19" t="s">
        <v>45</v>
      </c>
      <c r="J1" s="19" t="s">
        <v>33</v>
      </c>
      <c r="K1" s="19" t="s">
        <v>46</v>
      </c>
      <c r="L1" s="19" t="s">
        <v>47</v>
      </c>
      <c r="M1" s="19" t="s">
        <v>48</v>
      </c>
      <c r="N1" s="19" t="s">
        <v>32</v>
      </c>
      <c r="O1" s="19" t="s">
        <v>49</v>
      </c>
      <c r="P1" s="19" t="s">
        <v>50</v>
      </c>
      <c r="Q1" s="19" t="s">
        <v>11</v>
      </c>
      <c r="R1" s="19" t="s">
        <v>51</v>
      </c>
      <c r="S1" s="19" t="s">
        <v>52</v>
      </c>
      <c r="T1" s="19" t="s">
        <v>53</v>
      </c>
      <c r="U1" s="19" t="s">
        <v>54</v>
      </c>
      <c r="V1" s="19" t="s">
        <v>55</v>
      </c>
      <c r="W1" s="19" t="s">
        <v>56</v>
      </c>
      <c r="X1" s="19" t="s">
        <v>57</v>
      </c>
      <c r="Y1" s="19" t="s">
        <v>58</v>
      </c>
      <c r="Z1" s="19" t="s">
        <v>59</v>
      </c>
      <c r="AA1" s="19" t="s">
        <v>60</v>
      </c>
      <c r="AB1" s="19" t="s">
        <v>61</v>
      </c>
      <c r="AC1" s="19" t="s">
        <v>62</v>
      </c>
      <c r="AD1" s="19" t="s">
        <v>63</v>
      </c>
      <c r="AE1" s="19" t="s">
        <v>65</v>
      </c>
      <c r="AF1" s="19" t="s">
        <v>66</v>
      </c>
      <c r="AG1" s="22" t="s">
        <v>67</v>
      </c>
      <c r="AH1" s="22" t="s">
        <v>71</v>
      </c>
      <c r="AI1" s="22" t="s">
        <v>72</v>
      </c>
      <c r="AJ1" s="22" t="s">
        <v>73</v>
      </c>
      <c r="AK1" s="22" t="s">
        <v>74</v>
      </c>
      <c r="AL1" s="22" t="s">
        <v>75</v>
      </c>
      <c r="AM1" s="22" t="s">
        <v>76</v>
      </c>
      <c r="AN1" s="22" t="s">
        <v>77</v>
      </c>
      <c r="AO1" s="22" t="s">
        <v>78</v>
      </c>
      <c r="AP1" s="22" t="s">
        <v>79</v>
      </c>
      <c r="AQ1" s="22" t="s">
        <v>80</v>
      </c>
      <c r="AR1" s="22" t="s">
        <v>81</v>
      </c>
      <c r="AS1" s="22" t="s">
        <v>82</v>
      </c>
      <c r="AT1" s="22" t="s">
        <v>83</v>
      </c>
      <c r="AU1" s="22" t="s">
        <v>84</v>
      </c>
      <c r="AV1" s="22" t="s">
        <v>85</v>
      </c>
      <c r="AW1" s="22" t="s">
        <v>86</v>
      </c>
      <c r="AX1" s="22" t="s">
        <v>87</v>
      </c>
      <c r="AY1" s="22" t="s">
        <v>88</v>
      </c>
      <c r="AZ1" s="22" t="s">
        <v>89</v>
      </c>
      <c r="BA1" s="22" t="s">
        <v>90</v>
      </c>
      <c r="BB1" s="22" t="s">
        <v>91</v>
      </c>
      <c r="BC1" s="22" t="s">
        <v>92</v>
      </c>
      <c r="BD1" s="22" t="s">
        <v>93</v>
      </c>
      <c r="BE1" s="22" t="s">
        <v>94</v>
      </c>
      <c r="BF1" s="22"/>
      <c r="BG1" s="22"/>
      <c r="BH1" s="22"/>
      <c r="BI1" s="22"/>
      <c r="BJ1" s="22"/>
      <c r="BK1" s="22"/>
      <c r="BL1" s="22"/>
      <c r="BM1" s="22"/>
      <c r="BN1" s="22"/>
      <c r="BO1" s="22"/>
    </row>
    <row r="2" ht="25.5" customHeight="1">
      <c r="A2" s="28">
        <v>311.0</v>
      </c>
      <c r="B2" s="37" t="b">
        <v>1</v>
      </c>
      <c r="C2" s="38" t="s">
        <v>106</v>
      </c>
      <c r="D2" s="38">
        <v>80.0</v>
      </c>
      <c r="E2" s="13" t="b">
        <v>0</v>
      </c>
      <c r="F2" s="13" t="b">
        <v>1</v>
      </c>
      <c r="G2" s="38" t="s">
        <v>224</v>
      </c>
      <c r="H2" s="38"/>
      <c r="I2" s="38" t="s">
        <v>226</v>
      </c>
      <c r="J2" s="38" t="s">
        <v>228</v>
      </c>
      <c r="K2" s="38" t="s">
        <v>229</v>
      </c>
      <c r="L2" s="38" t="s">
        <v>230</v>
      </c>
      <c r="M2" s="38" t="s">
        <v>107</v>
      </c>
      <c r="N2" s="38">
        <v>3000.0</v>
      </c>
      <c r="O2" s="38" t="s">
        <v>116</v>
      </c>
      <c r="P2" s="40"/>
      <c r="Q2" s="38" t="s">
        <v>111</v>
      </c>
      <c r="R2" s="38">
        <v>41.0</v>
      </c>
      <c r="S2" s="38" t="s">
        <v>248</v>
      </c>
      <c r="T2" s="38" t="s">
        <v>250</v>
      </c>
      <c r="U2" s="38" t="s">
        <v>252</v>
      </c>
      <c r="V2" s="38">
        <v>2014.0</v>
      </c>
      <c r="W2" s="38" t="s">
        <v>262</v>
      </c>
      <c r="X2" s="38" t="s">
        <v>264</v>
      </c>
      <c r="Y2" s="38"/>
      <c r="Z2" s="38"/>
      <c r="AA2" s="38"/>
      <c r="AB2" s="38"/>
      <c r="AC2" s="38"/>
      <c r="AD2" s="38"/>
      <c r="AE2" s="38"/>
      <c r="AF2" s="38"/>
      <c r="AG2" s="28"/>
      <c r="AH2" s="28" t="s">
        <v>269</v>
      </c>
      <c r="AI2" s="28" t="s">
        <v>270</v>
      </c>
      <c r="AJ2" s="28"/>
      <c r="AK2" s="28"/>
      <c r="AL2" s="28"/>
      <c r="AM2" s="28"/>
      <c r="AN2" s="28"/>
      <c r="AO2" s="28"/>
      <c r="AP2" s="28"/>
      <c r="AQ2" s="28"/>
      <c r="AR2" s="28"/>
      <c r="AS2" s="28"/>
      <c r="AT2" s="28"/>
      <c r="AU2" s="28"/>
      <c r="AV2" s="28"/>
      <c r="AW2" s="28"/>
      <c r="AX2" s="28"/>
      <c r="AY2" s="28"/>
      <c r="AZ2" s="28"/>
      <c r="BA2" s="28"/>
      <c r="BB2" s="28"/>
      <c r="BC2" s="28"/>
      <c r="BD2" s="28"/>
      <c r="BE2" s="28"/>
      <c r="BF2" s="28"/>
      <c r="BG2" s="28"/>
      <c r="BH2" s="28"/>
      <c r="BI2" s="28"/>
      <c r="BJ2" s="28"/>
      <c r="BK2" s="28"/>
      <c r="BL2" s="28"/>
      <c r="BM2" s="28"/>
      <c r="BN2" s="28"/>
      <c r="BO2" s="28"/>
    </row>
    <row r="3" ht="25.5" customHeight="1">
      <c r="A3" s="28">
        <v>10322.0</v>
      </c>
      <c r="B3" s="37" t="b">
        <v>1</v>
      </c>
      <c r="C3" s="38" t="s">
        <v>238</v>
      </c>
      <c r="D3" s="38">
        <v>81.0</v>
      </c>
      <c r="E3" s="13" t="b">
        <v>0</v>
      </c>
      <c r="F3" s="13" t="b">
        <v>1</v>
      </c>
      <c r="G3" s="38" t="s">
        <v>224</v>
      </c>
      <c r="H3" s="38"/>
      <c r="I3" s="38" t="s">
        <v>280</v>
      </c>
      <c r="J3" s="38">
        <v>10.0</v>
      </c>
      <c r="K3" s="38"/>
      <c r="L3" s="38"/>
      <c r="M3" s="38" t="s">
        <v>107</v>
      </c>
      <c r="N3" s="38">
        <v>3000.0</v>
      </c>
      <c r="O3" s="38" t="s">
        <v>286</v>
      </c>
      <c r="P3" s="40"/>
      <c r="Q3" s="38" t="s">
        <v>289</v>
      </c>
      <c r="R3" s="38">
        <v>40.0</v>
      </c>
      <c r="S3" s="38" t="s">
        <v>291</v>
      </c>
      <c r="T3" s="38" t="s">
        <v>294</v>
      </c>
      <c r="U3" s="38" t="s">
        <v>296</v>
      </c>
      <c r="V3" s="42">
        <v>41961.0</v>
      </c>
      <c r="W3" s="38" t="s">
        <v>311</v>
      </c>
      <c r="X3" s="38" t="s">
        <v>313</v>
      </c>
      <c r="Y3" s="38"/>
      <c r="Z3" s="38"/>
      <c r="AA3" s="38"/>
      <c r="AB3" s="38"/>
      <c r="AC3" s="38"/>
      <c r="AD3" s="38"/>
      <c r="AE3" s="38"/>
      <c r="AF3" s="38"/>
      <c r="AG3" s="28"/>
      <c r="AH3" s="28"/>
      <c r="AI3" s="28"/>
      <c r="AJ3" s="28"/>
      <c r="AK3" s="28"/>
      <c r="AL3" s="28"/>
      <c r="AM3" s="28"/>
      <c r="AN3" s="28"/>
      <c r="AO3" s="28"/>
      <c r="AP3" s="28"/>
      <c r="AQ3" s="28"/>
      <c r="AR3" s="28"/>
      <c r="AS3" s="28"/>
      <c r="AT3" s="28"/>
      <c r="AU3" s="28"/>
      <c r="AV3" s="28"/>
      <c r="AW3" s="28"/>
      <c r="AX3" s="28"/>
      <c r="AY3" s="28"/>
      <c r="AZ3" s="28" t="s">
        <v>314</v>
      </c>
      <c r="BA3" s="28"/>
      <c r="BB3" s="28"/>
      <c r="BC3" s="28"/>
      <c r="BD3" s="28"/>
      <c r="BE3" s="28"/>
      <c r="BF3" s="28"/>
      <c r="BG3" s="28"/>
      <c r="BH3" s="28"/>
      <c r="BI3" s="28"/>
      <c r="BJ3" s="28"/>
      <c r="BK3" s="28"/>
      <c r="BL3" s="28"/>
      <c r="BM3" s="28"/>
      <c r="BN3" s="28"/>
      <c r="BO3" s="28"/>
    </row>
    <row r="4" ht="25.5" customHeight="1">
      <c r="A4" s="28">
        <v>135.0</v>
      </c>
      <c r="B4" s="37" t="b">
        <v>1</v>
      </c>
      <c r="C4" s="38" t="s">
        <v>106</v>
      </c>
      <c r="D4" s="38">
        <v>80.0</v>
      </c>
      <c r="E4" s="13" t="b">
        <v>1</v>
      </c>
      <c r="F4" s="13" t="b">
        <v>0</v>
      </c>
      <c r="G4" s="38" t="s">
        <v>284</v>
      </c>
      <c r="H4" s="38">
        <v>53.0</v>
      </c>
      <c r="I4" s="38" t="s">
        <v>224</v>
      </c>
      <c r="J4" s="38"/>
      <c r="K4" s="38" t="s">
        <v>224</v>
      </c>
      <c r="L4" s="38"/>
      <c r="M4" s="38" t="s">
        <v>319</v>
      </c>
      <c r="N4" s="38" t="s">
        <v>320</v>
      </c>
      <c r="O4" s="38" t="s">
        <v>322</v>
      </c>
      <c r="P4" s="40"/>
      <c r="Q4" s="38" t="s">
        <v>324</v>
      </c>
      <c r="R4" s="38" t="s">
        <v>325</v>
      </c>
      <c r="S4" s="38" t="s">
        <v>327</v>
      </c>
      <c r="T4" s="38" t="s">
        <v>328</v>
      </c>
      <c r="U4" s="38" t="s">
        <v>329</v>
      </c>
      <c r="V4" s="38">
        <v>2011.0</v>
      </c>
      <c r="W4" s="38" t="s">
        <v>340</v>
      </c>
      <c r="X4" s="38"/>
      <c r="Y4" s="38"/>
      <c r="Z4" s="38"/>
      <c r="AA4" s="38"/>
      <c r="AB4" s="38"/>
      <c r="AC4" s="38"/>
      <c r="AD4" s="38"/>
      <c r="AE4" s="38"/>
      <c r="AF4" s="3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row>
    <row r="5" ht="25.5" customHeight="1">
      <c r="A5" s="28">
        <v>140.0</v>
      </c>
      <c r="B5" s="37" t="b">
        <v>1</v>
      </c>
      <c r="C5" s="38" t="s">
        <v>106</v>
      </c>
      <c r="D5" s="38">
        <v>80.0</v>
      </c>
      <c r="E5" s="13" t="b">
        <v>1</v>
      </c>
      <c r="F5" s="13" t="b">
        <v>0</v>
      </c>
      <c r="G5" s="38" t="s">
        <v>284</v>
      </c>
      <c r="H5" s="38">
        <v>53.0</v>
      </c>
      <c r="I5" s="38" t="s">
        <v>224</v>
      </c>
      <c r="J5" s="38"/>
      <c r="K5" s="38" t="s">
        <v>224</v>
      </c>
      <c r="L5" s="38"/>
      <c r="M5" s="45" t="s">
        <v>346</v>
      </c>
      <c r="N5" s="38" t="s">
        <v>358</v>
      </c>
      <c r="O5" s="38" t="s">
        <v>361</v>
      </c>
      <c r="P5" s="40"/>
      <c r="Q5" s="38" t="s">
        <v>324</v>
      </c>
      <c r="R5" s="38" t="s">
        <v>325</v>
      </c>
      <c r="S5" s="38" t="s">
        <v>365</v>
      </c>
      <c r="T5" s="38" t="s">
        <v>366</v>
      </c>
      <c r="U5" s="38" t="s">
        <v>368</v>
      </c>
      <c r="V5" s="38">
        <v>2010.0</v>
      </c>
      <c r="W5" s="38" t="s">
        <v>380</v>
      </c>
      <c r="X5" s="38"/>
      <c r="Y5" s="38"/>
      <c r="Z5" s="38"/>
      <c r="AA5" s="38"/>
      <c r="AB5" s="38"/>
      <c r="AC5" s="38"/>
      <c r="AD5" s="38"/>
      <c r="AE5" s="38"/>
      <c r="AF5" s="3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row>
    <row r="6" ht="25.5" customHeight="1">
      <c r="A6" s="28">
        <v>422.0</v>
      </c>
      <c r="B6" s="37" t="b">
        <v>1</v>
      </c>
      <c r="C6" s="38" t="s">
        <v>106</v>
      </c>
      <c r="D6" s="38">
        <v>80.0</v>
      </c>
      <c r="E6" s="13" t="b">
        <v>1</v>
      </c>
      <c r="F6" s="13" t="b">
        <v>0</v>
      </c>
      <c r="G6" s="38" t="s">
        <v>224</v>
      </c>
      <c r="H6" s="38"/>
      <c r="I6" s="38" t="s">
        <v>387</v>
      </c>
      <c r="J6" s="38">
        <v>8.0</v>
      </c>
      <c r="K6" s="47" t="s">
        <v>389</v>
      </c>
      <c r="L6" s="38">
        <v>802.0</v>
      </c>
      <c r="M6" s="38" t="s">
        <v>388</v>
      </c>
      <c r="N6" s="38">
        <v>14000.0</v>
      </c>
      <c r="O6" s="38" t="s">
        <v>224</v>
      </c>
      <c r="P6" s="40"/>
      <c r="Q6" s="38" t="s">
        <v>289</v>
      </c>
      <c r="R6" s="38">
        <v>40.0</v>
      </c>
      <c r="S6" s="38" t="s">
        <v>416</v>
      </c>
      <c r="T6" s="38" t="s">
        <v>417</v>
      </c>
      <c r="U6" s="38" t="s">
        <v>418</v>
      </c>
      <c r="V6" s="38">
        <v>2002.0</v>
      </c>
      <c r="W6" s="38" t="s">
        <v>423</v>
      </c>
      <c r="X6" s="49" t="str">
        <f>HYPERLINK("http://dl.acm.org/citation.cfm?doid=587078.587110","http://dl.acm.org/citation.cfm?doid=587078.587110")</f>
        <v>http://dl.acm.org/citation.cfm?doid=587078.587110</v>
      </c>
      <c r="Y6" s="38"/>
      <c r="Z6" s="38"/>
      <c r="AA6" s="38"/>
      <c r="AB6" s="38"/>
      <c r="AC6" s="38"/>
      <c r="AD6" s="38"/>
      <c r="AE6" s="38"/>
      <c r="AF6" s="38"/>
      <c r="AG6" s="28" t="s">
        <v>461</v>
      </c>
      <c r="AH6" s="28" t="s">
        <v>428</v>
      </c>
      <c r="AI6" s="28" t="s">
        <v>462</v>
      </c>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row>
    <row r="7" ht="25.5" customHeight="1">
      <c r="A7" s="28">
        <v>242.0</v>
      </c>
      <c r="B7" s="37" t="b">
        <v>1</v>
      </c>
      <c r="C7" s="38" t="s">
        <v>106</v>
      </c>
      <c r="D7" s="38">
        <v>80.0</v>
      </c>
      <c r="E7" s="13" t="b">
        <v>0</v>
      </c>
      <c r="F7" s="13" t="b">
        <v>1</v>
      </c>
      <c r="G7" s="38" t="s">
        <v>224</v>
      </c>
      <c r="H7" s="38"/>
      <c r="I7" s="38" t="s">
        <v>466</v>
      </c>
      <c r="J7" s="38" t="s">
        <v>467</v>
      </c>
      <c r="K7" s="38" t="s">
        <v>224</v>
      </c>
      <c r="L7" s="38"/>
      <c r="M7" s="38" t="s">
        <v>107</v>
      </c>
      <c r="N7" s="38">
        <v>3000.0</v>
      </c>
      <c r="O7" s="38" t="s">
        <v>470</v>
      </c>
      <c r="P7" s="40"/>
      <c r="Q7" s="38" t="s">
        <v>289</v>
      </c>
      <c r="R7" s="38">
        <v>40.0</v>
      </c>
      <c r="S7" s="38" t="s">
        <v>473</v>
      </c>
      <c r="T7" s="38" t="s">
        <v>474</v>
      </c>
      <c r="U7" s="38" t="s">
        <v>418</v>
      </c>
      <c r="V7" s="38">
        <v>2010.0</v>
      </c>
      <c r="W7" s="38" t="s">
        <v>479</v>
      </c>
      <c r="X7" s="38" t="s">
        <v>481</v>
      </c>
      <c r="Y7" s="38"/>
      <c r="Z7" s="38"/>
      <c r="AA7" s="38"/>
      <c r="AB7" s="38"/>
      <c r="AC7" s="38"/>
      <c r="AD7" s="38"/>
      <c r="AE7" s="38"/>
      <c r="AF7" s="38"/>
      <c r="AG7" s="28" t="s">
        <v>484</v>
      </c>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row>
    <row r="8" ht="25.5" customHeight="1">
      <c r="A8" s="28">
        <v>344.0</v>
      </c>
      <c r="B8" s="37" t="b">
        <v>1</v>
      </c>
      <c r="C8" s="38" t="s">
        <v>106</v>
      </c>
      <c r="D8" s="38">
        <v>80.0</v>
      </c>
      <c r="E8" s="13" t="b">
        <v>1</v>
      </c>
      <c r="F8" s="13" t="b">
        <v>1</v>
      </c>
      <c r="G8" s="38" t="s">
        <v>224</v>
      </c>
      <c r="H8" s="38"/>
      <c r="I8" s="38" t="s">
        <v>490</v>
      </c>
      <c r="J8" s="38">
        <v>6.0</v>
      </c>
      <c r="K8" s="38" t="s">
        <v>491</v>
      </c>
      <c r="L8" s="38">
        <v>605.0</v>
      </c>
      <c r="M8" s="38" t="s">
        <v>359</v>
      </c>
      <c r="N8" s="38">
        <v>10000.0</v>
      </c>
      <c r="O8" s="38" t="s">
        <v>493</v>
      </c>
      <c r="P8" s="40"/>
      <c r="Q8" s="38" t="s">
        <v>298</v>
      </c>
      <c r="R8" s="38">
        <v>44.0</v>
      </c>
      <c r="S8" s="38" t="s">
        <v>494</v>
      </c>
      <c r="T8" s="38" t="s">
        <v>496</v>
      </c>
      <c r="U8" s="38" t="s">
        <v>497</v>
      </c>
      <c r="V8" s="38">
        <v>1991.0</v>
      </c>
      <c r="W8" s="38" t="s">
        <v>504</v>
      </c>
      <c r="X8" s="38" t="s">
        <v>505</v>
      </c>
      <c r="Y8" s="38"/>
      <c r="Z8" s="38"/>
      <c r="AA8" s="38"/>
      <c r="AB8" s="38"/>
      <c r="AC8" s="38"/>
      <c r="AD8" s="38"/>
      <c r="AE8" s="38"/>
      <c r="AF8" s="38"/>
      <c r="AG8" s="28" t="s">
        <v>506</v>
      </c>
      <c r="AH8" s="28" t="s">
        <v>462</v>
      </c>
      <c r="AI8" s="28" t="s">
        <v>462</v>
      </c>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row>
    <row r="9" ht="25.5" customHeight="1">
      <c r="A9" s="28">
        <v>53.0</v>
      </c>
      <c r="B9" s="37" t="b">
        <v>1</v>
      </c>
      <c r="C9" s="38" t="s">
        <v>106</v>
      </c>
      <c r="D9" s="38">
        <v>80.0</v>
      </c>
      <c r="E9" s="13" t="b">
        <v>0</v>
      </c>
      <c r="F9" s="13" t="b">
        <v>1</v>
      </c>
      <c r="G9" s="38" t="s">
        <v>224</v>
      </c>
      <c r="H9" s="38"/>
      <c r="I9" s="38" t="s">
        <v>510</v>
      </c>
      <c r="J9" s="38" t="s">
        <v>511</v>
      </c>
      <c r="K9" s="38" t="s">
        <v>513</v>
      </c>
      <c r="L9" s="38" t="s">
        <v>514</v>
      </c>
      <c r="M9" s="38" t="s">
        <v>388</v>
      </c>
      <c r="N9" s="38">
        <v>14000.0</v>
      </c>
      <c r="O9" s="38" t="s">
        <v>224</v>
      </c>
      <c r="P9" s="40"/>
      <c r="Q9" s="38" t="s">
        <v>289</v>
      </c>
      <c r="R9" s="38">
        <v>40.0</v>
      </c>
      <c r="S9" s="38" t="s">
        <v>515</v>
      </c>
      <c r="T9" s="38" t="s">
        <v>517</v>
      </c>
      <c r="U9" s="38" t="s">
        <v>518</v>
      </c>
      <c r="V9" s="38">
        <v>2006.0</v>
      </c>
      <c r="W9" s="38" t="s">
        <v>525</v>
      </c>
      <c r="X9" s="38" t="s">
        <v>527</v>
      </c>
      <c r="Y9" s="38"/>
      <c r="Z9" s="38"/>
      <c r="AA9" s="38"/>
      <c r="AB9" s="38"/>
      <c r="AC9" s="38"/>
      <c r="AD9" s="38"/>
      <c r="AE9" s="38"/>
      <c r="AF9" s="38"/>
      <c r="AG9" s="28" t="s">
        <v>529</v>
      </c>
      <c r="AH9" s="28" t="s">
        <v>530</v>
      </c>
      <c r="AI9" s="28" t="s">
        <v>530</v>
      </c>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row>
    <row r="10" ht="25.5" customHeight="1">
      <c r="A10" s="28">
        <v>287.0</v>
      </c>
      <c r="B10" s="37" t="b">
        <v>1</v>
      </c>
      <c r="C10" s="38" t="s">
        <v>106</v>
      </c>
      <c r="D10" s="38">
        <v>80.0</v>
      </c>
      <c r="E10" s="13" t="b">
        <v>0</v>
      </c>
      <c r="F10" s="13" t="b">
        <v>1</v>
      </c>
      <c r="G10" s="38" t="s">
        <v>224</v>
      </c>
      <c r="H10" s="38"/>
      <c r="I10" s="38" t="s">
        <v>536</v>
      </c>
      <c r="J10" s="38">
        <v>3.0</v>
      </c>
      <c r="K10" s="38" t="s">
        <v>224</v>
      </c>
      <c r="L10" s="38"/>
      <c r="M10" s="38" t="s">
        <v>367</v>
      </c>
      <c r="N10" s="38">
        <v>11000.0</v>
      </c>
      <c r="O10" s="38" t="s">
        <v>538</v>
      </c>
      <c r="P10" s="40"/>
      <c r="Q10" s="38" t="s">
        <v>298</v>
      </c>
      <c r="R10" s="38">
        <v>44.0</v>
      </c>
      <c r="S10" s="38" t="s">
        <v>539</v>
      </c>
      <c r="T10" s="38" t="s">
        <v>541</v>
      </c>
      <c r="U10" s="50" t="s">
        <v>542</v>
      </c>
      <c r="V10" s="38">
        <v>2002.0</v>
      </c>
      <c r="W10" s="38" t="s">
        <v>546</v>
      </c>
      <c r="X10" s="49" t="str">
        <f>HYPERLINK("http://www.bob-mccown.com/wp-content/uploads/2011/10/130_Carberry2002FARMSCAPE.pdf","http://www.bob-mccown.com/wp-content/uploads/2011/10/130_Carberry2002FARMSCAPE.pdf")</f>
        <v>http://www.bob-mccown.com/wp-content/uploads/2011/10/130_Carberry2002FARMSCAPE.pdf</v>
      </c>
      <c r="Y10" s="38"/>
      <c r="Z10" s="38"/>
      <c r="AA10" s="38"/>
      <c r="AB10" s="38"/>
      <c r="AC10" s="38"/>
      <c r="AD10" s="38"/>
      <c r="AE10" s="38"/>
      <c r="AF10" s="38"/>
      <c r="AG10" s="28"/>
      <c r="AH10" s="28" t="s">
        <v>428</v>
      </c>
      <c r="AI10" s="28" t="s">
        <v>462</v>
      </c>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row>
    <row r="11" ht="25.5" customHeight="1">
      <c r="A11" s="28">
        <v>250.0</v>
      </c>
      <c r="B11" s="37" t="b">
        <v>1</v>
      </c>
      <c r="C11" s="38" t="s">
        <v>106</v>
      </c>
      <c r="D11" s="38">
        <v>80.0</v>
      </c>
      <c r="E11" s="13" t="b">
        <v>1</v>
      </c>
      <c r="F11" s="13" t="b">
        <v>1</v>
      </c>
      <c r="G11" s="38" t="s">
        <v>224</v>
      </c>
      <c r="H11" s="38"/>
      <c r="I11" s="38" t="s">
        <v>323</v>
      </c>
      <c r="J11" s="38">
        <v>11.0</v>
      </c>
      <c r="K11" s="38" t="s">
        <v>224</v>
      </c>
      <c r="L11" s="38"/>
      <c r="M11" s="38" t="s">
        <v>549</v>
      </c>
      <c r="N11" s="38">
        <v>6000.0</v>
      </c>
      <c r="O11" s="38" t="s">
        <v>552</v>
      </c>
      <c r="P11" s="40"/>
      <c r="Q11" s="38" t="s">
        <v>289</v>
      </c>
      <c r="R11" s="38">
        <v>40.0</v>
      </c>
      <c r="S11" s="38" t="s">
        <v>553</v>
      </c>
      <c r="T11" s="38" t="s">
        <v>554</v>
      </c>
      <c r="U11" s="38" t="s">
        <v>555</v>
      </c>
      <c r="V11" s="38">
        <v>1966.0</v>
      </c>
      <c r="W11" s="38" t="s">
        <v>559</v>
      </c>
      <c r="X11" s="38"/>
      <c r="Y11" s="38"/>
      <c r="Z11" s="38"/>
      <c r="AA11" s="38"/>
      <c r="AB11" s="38"/>
      <c r="AC11" s="38"/>
      <c r="AD11" s="38"/>
      <c r="AE11" s="38"/>
      <c r="AF11" s="38"/>
      <c r="AG11" s="28"/>
      <c r="AH11" s="28" t="s">
        <v>462</v>
      </c>
      <c r="AI11" s="28" t="s">
        <v>462</v>
      </c>
      <c r="AJ11" s="28"/>
      <c r="AK11" s="28"/>
      <c r="AL11" s="28" t="s">
        <v>561</v>
      </c>
      <c r="AM11" s="28" t="s">
        <v>562</v>
      </c>
      <c r="AN11" s="28">
        <v>42492.0</v>
      </c>
      <c r="AO11" s="28"/>
      <c r="AP11" s="54"/>
      <c r="AQ11" s="28"/>
      <c r="AR11" s="28"/>
      <c r="AS11" s="28"/>
      <c r="AT11" s="28"/>
      <c r="AU11" s="54"/>
      <c r="AV11" s="28"/>
      <c r="AW11" s="28"/>
      <c r="AX11" s="28"/>
      <c r="AY11" s="28"/>
      <c r="AZ11" s="28"/>
      <c r="BA11" s="28"/>
      <c r="BB11" s="28"/>
      <c r="BC11" s="28"/>
      <c r="BD11" s="28"/>
      <c r="BE11" s="28"/>
      <c r="BF11" s="28"/>
      <c r="BG11" s="28"/>
      <c r="BH11" s="28"/>
      <c r="BI11" s="28"/>
      <c r="BJ11" s="28"/>
      <c r="BK11" s="28"/>
      <c r="BL11" s="28"/>
      <c r="BM11" s="28"/>
      <c r="BN11" s="28"/>
      <c r="BO11" s="28"/>
    </row>
    <row r="12" ht="25.5" customHeight="1">
      <c r="A12" s="28">
        <v>10088.0</v>
      </c>
      <c r="B12" s="37" t="b">
        <v>1</v>
      </c>
      <c r="C12" s="38" t="s">
        <v>238</v>
      </c>
      <c r="D12" s="38">
        <v>81.0</v>
      </c>
      <c r="E12" s="13" t="b">
        <v>0</v>
      </c>
      <c r="F12" s="13" t="b">
        <v>1</v>
      </c>
      <c r="G12" s="38" t="s">
        <v>224</v>
      </c>
      <c r="H12" s="38"/>
      <c r="I12" s="38" t="s">
        <v>574</v>
      </c>
      <c r="J12" s="38">
        <v>4.0</v>
      </c>
      <c r="K12" s="38"/>
      <c r="L12" s="38"/>
      <c r="M12" s="38" t="s">
        <v>35</v>
      </c>
      <c r="N12" s="38">
        <v>2000.0</v>
      </c>
      <c r="O12" s="38" t="s">
        <v>578</v>
      </c>
      <c r="P12" s="40"/>
      <c r="Q12" s="38" t="s">
        <v>289</v>
      </c>
      <c r="R12" s="38">
        <v>40.0</v>
      </c>
      <c r="S12" s="38" t="s">
        <v>584</v>
      </c>
      <c r="T12" s="38" t="s">
        <v>585</v>
      </c>
      <c r="U12" s="38" t="s">
        <v>586</v>
      </c>
      <c r="V12" s="55">
        <v>41330.0</v>
      </c>
      <c r="W12" s="38" t="s">
        <v>574</v>
      </c>
      <c r="X12" s="49" t="str">
        <f>HYPERLINK("http://www.alternet.org/environment/study-suggests-moral-purity-may-overcome-right-wing-resistance-environmental-science","http://www.alternet.org/environment/study-suggests-moral-purity-may-overcome-right-wing-resistance-environmental-science")</f>
        <v>http://www.alternet.org/environment/study-suggests-moral-purity-may-overcome-right-wing-resistance-environmental-science</v>
      </c>
      <c r="Y12" s="38"/>
      <c r="Z12" s="38"/>
      <c r="AA12" s="38"/>
      <c r="AB12" s="38"/>
      <c r="AC12" s="38"/>
      <c r="AD12" s="38"/>
      <c r="AE12" s="38"/>
      <c r="AF12" s="38"/>
      <c r="AG12" s="28"/>
      <c r="AH12" s="28" t="s">
        <v>428</v>
      </c>
      <c r="AI12" s="28" t="s">
        <v>462</v>
      </c>
      <c r="AJ12" s="28"/>
      <c r="AK12" s="28"/>
      <c r="AL12" s="28" t="s">
        <v>600</v>
      </c>
      <c r="AM12" s="28"/>
      <c r="AN12" s="54"/>
      <c r="AO12" s="54"/>
      <c r="AP12" s="54"/>
      <c r="AQ12" s="28"/>
      <c r="AR12" s="28"/>
      <c r="AS12" s="54"/>
      <c r="AT12" s="28"/>
      <c r="AU12" s="28"/>
      <c r="AV12" s="28"/>
      <c r="AW12" s="28"/>
      <c r="AX12" s="28"/>
      <c r="AY12" s="28"/>
      <c r="AZ12" s="28"/>
      <c r="BA12" s="28"/>
      <c r="BB12" s="28"/>
      <c r="BC12" s="28"/>
      <c r="BD12" s="28"/>
      <c r="BE12" s="28"/>
      <c r="BF12" s="28"/>
      <c r="BG12" s="28"/>
      <c r="BH12" s="28"/>
      <c r="BI12" s="28"/>
      <c r="BJ12" s="28"/>
      <c r="BK12" s="28"/>
      <c r="BL12" s="28"/>
      <c r="BM12" s="28"/>
      <c r="BN12" s="28"/>
      <c r="BO12" s="28"/>
    </row>
    <row r="13" ht="25.5" customHeight="1">
      <c r="A13" s="28">
        <v>267.0</v>
      </c>
      <c r="B13" s="37" t="b">
        <v>1</v>
      </c>
      <c r="C13" s="38" t="s">
        <v>106</v>
      </c>
      <c r="D13" s="38">
        <v>80.0</v>
      </c>
      <c r="E13" s="13" t="b">
        <v>1</v>
      </c>
      <c r="F13" s="13" t="b">
        <v>1</v>
      </c>
      <c r="G13" s="38" t="s">
        <v>224</v>
      </c>
      <c r="H13" s="38"/>
      <c r="I13" s="38" t="s">
        <v>536</v>
      </c>
      <c r="J13" s="38">
        <v>3.0</v>
      </c>
      <c r="K13" s="38" t="s">
        <v>603</v>
      </c>
      <c r="L13" s="38">
        <v>304.0</v>
      </c>
      <c r="M13" s="38" t="s">
        <v>239</v>
      </c>
      <c r="N13" s="38">
        <v>4000.0</v>
      </c>
      <c r="O13" s="38" t="s">
        <v>605</v>
      </c>
      <c r="P13" s="40"/>
      <c r="Q13" s="38" t="s">
        <v>289</v>
      </c>
      <c r="R13" s="38">
        <v>40.0</v>
      </c>
      <c r="S13" s="38" t="s">
        <v>606</v>
      </c>
      <c r="T13" s="38" t="s">
        <v>608</v>
      </c>
      <c r="U13" s="38" t="s">
        <v>609</v>
      </c>
      <c r="V13" s="38">
        <v>2010.0</v>
      </c>
      <c r="W13" s="38" t="s">
        <v>610</v>
      </c>
      <c r="X13" s="38" t="s">
        <v>611</v>
      </c>
      <c r="Y13" s="38"/>
      <c r="Z13" s="38"/>
      <c r="AA13" s="38"/>
      <c r="AB13" s="38"/>
      <c r="AC13" s="38"/>
      <c r="AD13" s="38"/>
      <c r="AE13" s="38"/>
      <c r="AF13" s="38"/>
      <c r="AG13" s="28"/>
      <c r="AH13" s="28" t="s">
        <v>613</v>
      </c>
      <c r="AI13" s="28" t="s">
        <v>613</v>
      </c>
      <c r="AJ13" s="28"/>
      <c r="AK13" s="28"/>
      <c r="AL13" s="28"/>
      <c r="AM13" s="28"/>
      <c r="AN13" s="28"/>
      <c r="AO13" s="28"/>
      <c r="AP13" s="28"/>
      <c r="AQ13" s="28"/>
      <c r="AR13" s="28"/>
      <c r="AS13" s="28"/>
      <c r="AT13" s="28"/>
      <c r="AU13" s="28"/>
      <c r="AV13" s="28"/>
      <c r="AW13" s="28"/>
      <c r="AX13" s="28"/>
      <c r="AY13" s="28"/>
      <c r="AZ13" s="28"/>
      <c r="BA13" s="28" t="s">
        <v>615</v>
      </c>
      <c r="BB13" s="28"/>
      <c r="BC13" s="28"/>
      <c r="BD13" s="28"/>
      <c r="BE13" s="28"/>
      <c r="BF13" s="28"/>
      <c r="BG13" s="28"/>
      <c r="BH13" s="28"/>
      <c r="BI13" s="28"/>
      <c r="BJ13" s="28"/>
      <c r="BK13" s="28"/>
      <c r="BL13" s="28"/>
      <c r="BM13" s="28"/>
      <c r="BN13" s="28"/>
      <c r="BO13" s="28"/>
    </row>
    <row r="14" ht="25.5" customHeight="1">
      <c r="A14" s="28">
        <v>41.0</v>
      </c>
      <c r="B14" s="37" t="b">
        <v>1</v>
      </c>
      <c r="C14" s="38" t="s">
        <v>106</v>
      </c>
      <c r="D14" s="38">
        <v>80.0</v>
      </c>
      <c r="E14" s="13" t="b">
        <v>0</v>
      </c>
      <c r="F14" s="13" t="b">
        <v>1</v>
      </c>
      <c r="G14" s="38" t="s">
        <v>224</v>
      </c>
      <c r="H14" s="38"/>
      <c r="I14" s="38" t="s">
        <v>619</v>
      </c>
      <c r="J14" s="38" t="s">
        <v>620</v>
      </c>
      <c r="K14" s="38" t="s">
        <v>621</v>
      </c>
      <c r="L14" s="38" t="s">
        <v>622</v>
      </c>
      <c r="M14" s="38" t="s">
        <v>239</v>
      </c>
      <c r="N14" s="38">
        <v>4000.0</v>
      </c>
      <c r="O14" s="38" t="s">
        <v>623</v>
      </c>
      <c r="P14" s="40"/>
      <c r="Q14" s="38" t="s">
        <v>289</v>
      </c>
      <c r="R14" s="38">
        <v>40.0</v>
      </c>
      <c r="S14" s="38" t="s">
        <v>624</v>
      </c>
      <c r="T14" s="38" t="s">
        <v>625</v>
      </c>
      <c r="U14" s="38" t="s">
        <v>609</v>
      </c>
      <c r="V14" s="38">
        <v>2012.0</v>
      </c>
      <c r="W14" s="38" t="s">
        <v>626</v>
      </c>
      <c r="X14" s="38" t="s">
        <v>627</v>
      </c>
      <c r="Y14" s="38"/>
      <c r="Z14" s="38"/>
      <c r="AA14" s="38"/>
      <c r="AB14" s="38"/>
      <c r="AC14" s="38"/>
      <c r="AD14" s="38"/>
      <c r="AE14" s="38"/>
      <c r="AF14" s="38"/>
      <c r="AG14" s="28" t="s">
        <v>628</v>
      </c>
      <c r="AH14" s="28" t="s">
        <v>613</v>
      </c>
      <c r="AI14" s="28" t="s">
        <v>613</v>
      </c>
      <c r="AJ14" s="28"/>
      <c r="AK14" s="28"/>
      <c r="AL14" s="28" t="s">
        <v>561</v>
      </c>
      <c r="AM14" s="28" t="s">
        <v>630</v>
      </c>
      <c r="AN14" s="54">
        <v>42417.0</v>
      </c>
      <c r="AO14" s="28"/>
      <c r="AP14" s="54">
        <v>42592.0</v>
      </c>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row>
    <row r="15" ht="25.5" customHeight="1">
      <c r="A15" s="28">
        <v>281.0</v>
      </c>
      <c r="B15" s="37" t="b">
        <v>1</v>
      </c>
      <c r="C15" s="38" t="s">
        <v>106</v>
      </c>
      <c r="D15" s="38">
        <v>80.0</v>
      </c>
      <c r="E15" s="13" t="b">
        <v>0</v>
      </c>
      <c r="F15" s="13" t="b">
        <v>1</v>
      </c>
      <c r="G15" s="38" t="s">
        <v>224</v>
      </c>
      <c r="H15" s="38"/>
      <c r="I15" s="38" t="s">
        <v>536</v>
      </c>
      <c r="J15" s="38">
        <v>3.0</v>
      </c>
      <c r="K15" s="38" t="s">
        <v>603</v>
      </c>
      <c r="L15" s="38">
        <v>304.0</v>
      </c>
      <c r="M15" s="38" t="s">
        <v>239</v>
      </c>
      <c r="N15" s="38">
        <v>4000.0</v>
      </c>
      <c r="O15" s="38" t="s">
        <v>70</v>
      </c>
      <c r="P15" s="40"/>
      <c r="Q15" s="38" t="s">
        <v>324</v>
      </c>
      <c r="R15" s="38" t="s">
        <v>325</v>
      </c>
      <c r="S15" s="38" t="s">
        <v>635</v>
      </c>
      <c r="T15" s="38" t="s">
        <v>636</v>
      </c>
      <c r="U15" s="38" t="s">
        <v>609</v>
      </c>
      <c r="V15" s="38">
        <v>2012.0</v>
      </c>
      <c r="W15" s="38" t="s">
        <v>642</v>
      </c>
      <c r="X15" s="38" t="s">
        <v>643</v>
      </c>
      <c r="Y15" s="38"/>
      <c r="Z15" s="38"/>
      <c r="AA15" s="38"/>
      <c r="AB15" s="38"/>
      <c r="AC15" s="38"/>
      <c r="AD15" s="38"/>
      <c r="AE15" s="38"/>
      <c r="AF15" s="38"/>
      <c r="AG15" s="28"/>
      <c r="AH15" s="28" t="s">
        <v>613</v>
      </c>
      <c r="AI15" s="28" t="s">
        <v>613</v>
      </c>
      <c r="AJ15" s="28"/>
      <c r="AK15" s="28"/>
      <c r="AL15" s="28"/>
      <c r="AM15" s="28"/>
      <c r="AN15" s="28"/>
      <c r="AO15" s="28"/>
      <c r="AP15" s="28"/>
      <c r="AQ15" s="28"/>
      <c r="AR15" s="28"/>
      <c r="AS15" s="28"/>
      <c r="AT15" s="28"/>
      <c r="AU15" s="28"/>
      <c r="AV15" s="28"/>
      <c r="AW15" s="28"/>
      <c r="AX15" s="28"/>
      <c r="AY15" s="28"/>
      <c r="AZ15" s="28"/>
      <c r="BA15" s="28" t="s">
        <v>615</v>
      </c>
      <c r="BB15" s="28"/>
      <c r="BC15" s="28"/>
      <c r="BD15" s="28"/>
      <c r="BE15" s="28"/>
      <c r="BF15" s="28"/>
      <c r="BG15" s="28"/>
      <c r="BH15" s="28"/>
      <c r="BI15" s="28"/>
      <c r="BJ15" s="28"/>
      <c r="BK15" s="28"/>
      <c r="BL15" s="28"/>
      <c r="BM15" s="28"/>
      <c r="BN15" s="28"/>
      <c r="BO15" s="28"/>
    </row>
    <row r="16" ht="25.5" customHeight="1">
      <c r="A16" s="28">
        <v>417.0</v>
      </c>
      <c r="B16" s="37" t="b">
        <v>1</v>
      </c>
      <c r="C16" s="38" t="s">
        <v>106</v>
      </c>
      <c r="D16" s="38">
        <v>80.0</v>
      </c>
      <c r="E16" s="13" t="b">
        <v>0</v>
      </c>
      <c r="F16" s="13" t="b">
        <v>1</v>
      </c>
      <c r="G16" s="38" t="s">
        <v>224</v>
      </c>
      <c r="H16" s="38"/>
      <c r="I16" s="38" t="s">
        <v>68</v>
      </c>
      <c r="J16" s="38">
        <v>7.0</v>
      </c>
      <c r="K16" s="38" t="s">
        <v>649</v>
      </c>
      <c r="L16" s="38" t="s">
        <v>650</v>
      </c>
      <c r="M16" s="38" t="s">
        <v>239</v>
      </c>
      <c r="N16" s="38">
        <v>4000.0</v>
      </c>
      <c r="O16" s="38" t="s">
        <v>651</v>
      </c>
      <c r="P16" s="40"/>
      <c r="Q16" s="38" t="s">
        <v>289</v>
      </c>
      <c r="R16" s="38">
        <v>40.0</v>
      </c>
      <c r="S16" s="38" t="s">
        <v>653</v>
      </c>
      <c r="T16" s="38" t="s">
        <v>655</v>
      </c>
      <c r="U16" s="38" t="s">
        <v>609</v>
      </c>
      <c r="V16" s="38">
        <v>2012.0</v>
      </c>
      <c r="W16" s="38" t="s">
        <v>660</v>
      </c>
      <c r="X16" s="38" t="s">
        <v>661</v>
      </c>
      <c r="Y16" s="38"/>
      <c r="Z16" s="38"/>
      <c r="AA16" s="38"/>
      <c r="AB16" s="38"/>
      <c r="AC16" s="38"/>
      <c r="AD16" s="38"/>
      <c r="AE16" s="38"/>
      <c r="AF16" s="38"/>
      <c r="AG16" s="28" t="s">
        <v>662</v>
      </c>
      <c r="AH16" s="28" t="s">
        <v>613</v>
      </c>
      <c r="AI16" s="28" t="s">
        <v>613</v>
      </c>
      <c r="AJ16" s="28"/>
      <c r="AK16" s="28" t="s">
        <v>663</v>
      </c>
      <c r="AL16" s="28" t="s">
        <v>664</v>
      </c>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row>
    <row r="17" ht="25.5" customHeight="1">
      <c r="A17" s="28">
        <v>10338.0</v>
      </c>
      <c r="B17" s="37" t="b">
        <v>1</v>
      </c>
      <c r="C17" s="38" t="s">
        <v>238</v>
      </c>
      <c r="D17" s="38">
        <v>81.0</v>
      </c>
      <c r="E17" s="13" t="b">
        <v>0</v>
      </c>
      <c r="F17" s="13" t="b">
        <v>1</v>
      </c>
      <c r="G17" s="38" t="s">
        <v>224</v>
      </c>
      <c r="H17" s="38"/>
      <c r="I17" s="38" t="s">
        <v>280</v>
      </c>
      <c r="J17" s="38">
        <v>10.0</v>
      </c>
      <c r="K17" s="38"/>
      <c r="L17" s="38"/>
      <c r="M17" s="38" t="s">
        <v>107</v>
      </c>
      <c r="N17" s="38">
        <v>3000.0</v>
      </c>
      <c r="O17" s="38" t="s">
        <v>470</v>
      </c>
      <c r="P17" s="40"/>
      <c r="Q17" s="38" t="s">
        <v>289</v>
      </c>
      <c r="R17" s="38">
        <v>40.0</v>
      </c>
      <c r="S17" s="38" t="s">
        <v>667</v>
      </c>
      <c r="T17" s="38" t="s">
        <v>668</v>
      </c>
      <c r="U17" s="38" t="s">
        <v>669</v>
      </c>
      <c r="V17" s="55">
        <v>40355.0</v>
      </c>
      <c r="W17" s="38"/>
      <c r="X17" s="49" t="str">
        <f>HYPERLINK("http://aceee.org/research-report/e105","http://aceee.org/research-report/e105")</f>
        <v>http://aceee.org/research-report/e105</v>
      </c>
      <c r="Y17" s="38"/>
      <c r="Z17" s="38"/>
      <c r="AA17" s="38"/>
      <c r="AB17" s="38"/>
      <c r="AC17" s="38"/>
      <c r="AD17" s="38"/>
      <c r="AE17" s="38"/>
      <c r="AF17" s="38"/>
      <c r="AG17" s="28" t="s">
        <v>675</v>
      </c>
      <c r="AH17" s="28" t="s">
        <v>462</v>
      </c>
      <c r="AI17" s="28" t="s">
        <v>462</v>
      </c>
      <c r="AJ17" s="28"/>
      <c r="AK17" s="28" t="s">
        <v>676</v>
      </c>
      <c r="AL17" s="28" t="s">
        <v>677</v>
      </c>
      <c r="AM17" s="28"/>
      <c r="AN17" s="54"/>
      <c r="AO17" s="54"/>
      <c r="AP17" s="28"/>
      <c r="AQ17" s="28"/>
      <c r="AR17" s="28"/>
      <c r="AS17" s="54"/>
      <c r="AT17" s="28"/>
      <c r="AU17" s="28"/>
      <c r="AV17" s="28"/>
      <c r="AW17" s="28"/>
      <c r="AX17" s="28"/>
      <c r="AY17" s="28"/>
      <c r="AZ17" s="28" t="s">
        <v>678</v>
      </c>
      <c r="BA17" s="28"/>
      <c r="BB17" s="28"/>
      <c r="BC17" s="28"/>
      <c r="BD17" s="28"/>
      <c r="BE17" s="28"/>
      <c r="BF17" s="28"/>
      <c r="BG17" s="28"/>
      <c r="BH17" s="28"/>
      <c r="BI17" s="28"/>
      <c r="BJ17" s="28"/>
      <c r="BK17" s="28"/>
      <c r="BL17" s="28"/>
      <c r="BM17" s="28"/>
      <c r="BN17" s="28"/>
      <c r="BO17" s="28"/>
    </row>
    <row r="18" ht="25.5" customHeight="1">
      <c r="A18" s="28">
        <v>198.0</v>
      </c>
      <c r="B18" s="37" t="b">
        <v>1</v>
      </c>
      <c r="C18" s="38" t="s">
        <v>106</v>
      </c>
      <c r="D18" s="38">
        <v>80.0</v>
      </c>
      <c r="E18" s="13" t="b">
        <v>0</v>
      </c>
      <c r="F18" s="13" t="b">
        <v>1</v>
      </c>
      <c r="G18" s="38" t="s">
        <v>224</v>
      </c>
      <c r="H18" s="38"/>
      <c r="I18" s="38" t="s">
        <v>429</v>
      </c>
      <c r="J18" s="38">
        <v>2.0</v>
      </c>
      <c r="K18" s="38" t="s">
        <v>524</v>
      </c>
      <c r="L18" s="38">
        <v>205.0</v>
      </c>
      <c r="M18" s="38" t="s">
        <v>388</v>
      </c>
      <c r="N18" s="38">
        <v>14000.0</v>
      </c>
      <c r="O18" s="38" t="s">
        <v>224</v>
      </c>
      <c r="P18" s="40"/>
      <c r="Q18" s="38" t="s">
        <v>687</v>
      </c>
      <c r="R18" s="38" t="s">
        <v>688</v>
      </c>
      <c r="S18" s="38" t="s">
        <v>689</v>
      </c>
      <c r="T18" s="38" t="s">
        <v>690</v>
      </c>
      <c r="U18" s="38" t="s">
        <v>691</v>
      </c>
      <c r="V18" s="38">
        <v>2014.0</v>
      </c>
      <c r="W18" s="38" t="s">
        <v>692</v>
      </c>
      <c r="X18" s="49" t="str">
        <f>HYPERLINK("http://home.uchicago.edu/~haggag/Default_Tips.pdf","http://home.uchicago.edu/~haggag/Default_Tips.pdf")</f>
        <v>http://home.uchicago.edu/~haggag/Default_Tips.pdf</v>
      </c>
      <c r="Y18" s="38"/>
      <c r="Z18" s="38"/>
      <c r="AA18" s="38"/>
      <c r="AB18" s="38"/>
      <c r="AC18" s="38"/>
      <c r="AD18" s="38"/>
      <c r="AE18" s="38"/>
      <c r="AF18" s="38"/>
      <c r="AG18" s="28"/>
      <c r="AH18" s="28" t="s">
        <v>462</v>
      </c>
      <c r="AI18" s="28" t="s">
        <v>462</v>
      </c>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row>
    <row r="19" ht="25.5" customHeight="1">
      <c r="A19" s="28">
        <v>148.0</v>
      </c>
      <c r="B19" s="37" t="b">
        <v>1</v>
      </c>
      <c r="C19" s="38" t="s">
        <v>106</v>
      </c>
      <c r="D19" s="38">
        <v>80.0</v>
      </c>
      <c r="E19" s="13" t="b">
        <v>1</v>
      </c>
      <c r="F19" s="13" t="b">
        <v>0</v>
      </c>
      <c r="G19" s="38" t="s">
        <v>284</v>
      </c>
      <c r="H19" s="38">
        <v>53.0</v>
      </c>
      <c r="I19" s="38" t="s">
        <v>224</v>
      </c>
      <c r="J19" s="38"/>
      <c r="K19" s="38" t="s">
        <v>224</v>
      </c>
      <c r="L19" s="38"/>
      <c r="M19" s="38" t="s">
        <v>395</v>
      </c>
      <c r="N19" s="38">
        <v>16000.0</v>
      </c>
      <c r="O19" s="38" t="s">
        <v>696</v>
      </c>
      <c r="P19" s="40"/>
      <c r="Q19" s="38" t="s">
        <v>289</v>
      </c>
      <c r="R19" s="38">
        <v>40.0</v>
      </c>
      <c r="S19" s="38" t="s">
        <v>697</v>
      </c>
      <c r="T19" s="38" t="s">
        <v>698</v>
      </c>
      <c r="U19" s="38" t="s">
        <v>699</v>
      </c>
      <c r="V19" s="38">
        <v>1999.0</v>
      </c>
      <c r="W19" s="38" t="s">
        <v>702</v>
      </c>
      <c r="X19" s="49" t="str">
        <f>HYPERLINK("https://law.vanderbilt.edu/files/archive/202_Are-Risk-Regulators-Rational_Evidence-from-Hazardous-Waste-Cleanup-Decisions.pdf","https://law.vanderbilt.edu/files/archive/202_Are-Risk-Regulators-Rational_Evidence-from-Hazardous-Waste-Cleanup-Decisions.pdf")</f>
        <v>https://law.vanderbilt.edu/files/archive/202_Are-Risk-Regulators-Rational_Evidence-from-Hazardous-Waste-Cleanup-Decisions.pdf</v>
      </c>
      <c r="Y19" s="38"/>
      <c r="Z19" s="38"/>
      <c r="AA19" s="38"/>
      <c r="AB19" s="38"/>
      <c r="AC19" s="38"/>
      <c r="AD19" s="38"/>
      <c r="AE19" s="38"/>
      <c r="AF19" s="3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row>
    <row r="20" ht="25.5" customHeight="1">
      <c r="A20" s="28">
        <v>392.0</v>
      </c>
      <c r="B20" s="37" t="b">
        <v>1</v>
      </c>
      <c r="C20" s="38" t="s">
        <v>106</v>
      </c>
      <c r="D20" s="38">
        <v>80.0</v>
      </c>
      <c r="E20" s="13" t="b">
        <v>0</v>
      </c>
      <c r="F20" s="13" t="b">
        <v>1</v>
      </c>
      <c r="G20" s="38" t="s">
        <v>224</v>
      </c>
      <c r="H20" s="38"/>
      <c r="I20" s="38" t="s">
        <v>712</v>
      </c>
      <c r="J20" s="38">
        <v>7.0</v>
      </c>
      <c r="K20" s="38" t="s">
        <v>714</v>
      </c>
      <c r="L20" s="38">
        <v>701.0</v>
      </c>
      <c r="M20" s="38" t="s">
        <v>107</v>
      </c>
      <c r="N20" s="38">
        <v>3000.0</v>
      </c>
      <c r="O20" s="38" t="s">
        <v>470</v>
      </c>
      <c r="P20" s="40"/>
      <c r="Q20" s="38" t="s">
        <v>289</v>
      </c>
      <c r="R20" s="38">
        <v>40.0</v>
      </c>
      <c r="S20" s="38" t="s">
        <v>715</v>
      </c>
      <c r="T20" s="38" t="s">
        <v>716</v>
      </c>
      <c r="U20" s="38" t="s">
        <v>699</v>
      </c>
      <c r="V20" s="61">
        <v>2014.0</v>
      </c>
      <c r="W20" s="38" t="s">
        <v>725</v>
      </c>
      <c r="X20" s="38" t="s">
        <v>726</v>
      </c>
      <c r="Y20" s="38"/>
      <c r="Z20" s="38"/>
      <c r="AA20" s="38"/>
      <c r="AB20" s="38"/>
      <c r="AC20" s="38"/>
      <c r="AD20" s="38"/>
      <c r="AE20" s="38"/>
      <c r="AF20" s="3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row>
    <row r="21" ht="25.5" customHeight="1">
      <c r="A21" s="28">
        <v>402.0</v>
      </c>
      <c r="B21" s="37" t="b">
        <v>1</v>
      </c>
      <c r="C21" s="38" t="s">
        <v>106</v>
      </c>
      <c r="D21" s="38">
        <v>80.0</v>
      </c>
      <c r="E21" s="13" t="b">
        <v>0</v>
      </c>
      <c r="F21" s="13" t="b">
        <v>1</v>
      </c>
      <c r="G21" s="38" t="s">
        <v>224</v>
      </c>
      <c r="H21" s="38"/>
      <c r="I21" s="38" t="s">
        <v>712</v>
      </c>
      <c r="J21" s="38">
        <v>7.0</v>
      </c>
      <c r="K21" s="38" t="s">
        <v>731</v>
      </c>
      <c r="L21" s="38">
        <v>700.0</v>
      </c>
      <c r="M21" s="38" t="s">
        <v>107</v>
      </c>
      <c r="N21" s="38">
        <v>3000.0</v>
      </c>
      <c r="O21" s="38" t="s">
        <v>116</v>
      </c>
      <c r="P21" s="40"/>
      <c r="Q21" s="38" t="s">
        <v>289</v>
      </c>
      <c r="R21" s="38">
        <v>40.0</v>
      </c>
      <c r="S21" s="38" t="s">
        <v>734</v>
      </c>
      <c r="T21" s="38" t="s">
        <v>735</v>
      </c>
      <c r="U21" s="38" t="s">
        <v>699</v>
      </c>
      <c r="V21" s="38">
        <v>2013.0</v>
      </c>
      <c r="W21" s="38" t="s">
        <v>736</v>
      </c>
      <c r="X21" s="38" t="s">
        <v>737</v>
      </c>
      <c r="Y21" s="38"/>
      <c r="Z21" s="38"/>
      <c r="AA21" s="38"/>
      <c r="AB21" s="38"/>
      <c r="AC21" s="38"/>
      <c r="AD21" s="38"/>
      <c r="AE21" s="38"/>
      <c r="AF21" s="38"/>
      <c r="AG21" s="28"/>
      <c r="AH21" s="28" t="s">
        <v>428</v>
      </c>
      <c r="AI21" s="28" t="s">
        <v>462</v>
      </c>
      <c r="AJ21" s="28"/>
      <c r="AK21" s="28"/>
      <c r="AL21" s="28" t="s">
        <v>561</v>
      </c>
      <c r="AM21" s="28" t="s">
        <v>738</v>
      </c>
      <c r="AN21" s="54">
        <v>42410.0</v>
      </c>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row>
    <row r="22" ht="25.5" customHeight="1">
      <c r="A22" s="28">
        <v>246.0</v>
      </c>
      <c r="B22" s="37" t="b">
        <v>1</v>
      </c>
      <c r="C22" s="38" t="s">
        <v>106</v>
      </c>
      <c r="D22" s="38">
        <v>80.0</v>
      </c>
      <c r="E22" s="13" t="b">
        <v>0</v>
      </c>
      <c r="F22" s="13" t="b">
        <v>1</v>
      </c>
      <c r="G22" s="38" t="s">
        <v>224</v>
      </c>
      <c r="H22" s="38"/>
      <c r="I22" s="38" t="s">
        <v>743</v>
      </c>
      <c r="J22" s="38" t="s">
        <v>744</v>
      </c>
      <c r="K22" s="38" t="s">
        <v>745</v>
      </c>
      <c r="L22" s="38">
        <v>205.0</v>
      </c>
      <c r="M22" s="38" t="s">
        <v>321</v>
      </c>
      <c r="N22" s="38">
        <v>7000.0</v>
      </c>
      <c r="O22" s="38" t="s">
        <v>746</v>
      </c>
      <c r="P22" s="40"/>
      <c r="Q22" s="38" t="s">
        <v>289</v>
      </c>
      <c r="R22" s="38">
        <v>40.0</v>
      </c>
      <c r="S22" s="38" t="s">
        <v>748</v>
      </c>
      <c r="T22" s="38" t="s">
        <v>750</v>
      </c>
      <c r="U22" s="38" t="s">
        <v>699</v>
      </c>
      <c r="V22" s="38">
        <v>2009.0</v>
      </c>
      <c r="W22" s="38" t="s">
        <v>753</v>
      </c>
      <c r="X22" s="38" t="s">
        <v>755</v>
      </c>
      <c r="Y22" s="38"/>
      <c r="Z22" s="38"/>
      <c r="AA22" s="38"/>
      <c r="AB22" s="38"/>
      <c r="AC22" s="38"/>
      <c r="AD22" s="38"/>
      <c r="AE22" s="38"/>
      <c r="AF22" s="38"/>
      <c r="AG22" s="28"/>
      <c r="AH22" s="28" t="s">
        <v>428</v>
      </c>
      <c r="AI22" s="28" t="s">
        <v>462</v>
      </c>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row>
    <row r="23" ht="25.5" customHeight="1">
      <c r="A23" s="28">
        <v>93.0</v>
      </c>
      <c r="B23" s="37" t="b">
        <v>1</v>
      </c>
      <c r="C23" s="38" t="s">
        <v>106</v>
      </c>
      <c r="D23" s="38">
        <v>80.0</v>
      </c>
      <c r="E23" s="13" t="b">
        <v>0</v>
      </c>
      <c r="F23" s="13" t="b">
        <v>1</v>
      </c>
      <c r="G23" s="38" t="s">
        <v>224</v>
      </c>
      <c r="H23" s="38"/>
      <c r="I23" s="38" t="s">
        <v>756</v>
      </c>
      <c r="J23" s="38" t="s">
        <v>757</v>
      </c>
      <c r="K23" s="38" t="s">
        <v>758</v>
      </c>
      <c r="L23" s="38" t="s">
        <v>759</v>
      </c>
      <c r="M23" s="38" t="s">
        <v>367</v>
      </c>
      <c r="N23" s="38">
        <v>11000.0</v>
      </c>
      <c r="O23" s="38" t="s">
        <v>538</v>
      </c>
      <c r="P23" s="40"/>
      <c r="Q23" s="38" t="s">
        <v>761</v>
      </c>
      <c r="R23" s="38">
        <v>43.0</v>
      </c>
      <c r="S23" s="38" t="s">
        <v>763</v>
      </c>
      <c r="T23" s="38" t="s">
        <v>764</v>
      </c>
      <c r="U23" s="38" t="s">
        <v>699</v>
      </c>
      <c r="V23" s="38">
        <v>2011.0</v>
      </c>
      <c r="W23" s="38" t="s">
        <v>765</v>
      </c>
      <c r="X23" s="38" t="s">
        <v>767</v>
      </c>
      <c r="Y23" s="38"/>
      <c r="Z23" s="38"/>
      <c r="AA23" s="38"/>
      <c r="AB23" s="38"/>
      <c r="AC23" s="38"/>
      <c r="AD23" s="38"/>
      <c r="AE23" s="38"/>
      <c r="AF23" s="38"/>
      <c r="AG23" s="28"/>
      <c r="AH23" s="28" t="s">
        <v>769</v>
      </c>
      <c r="AI23" s="28"/>
      <c r="AJ23" s="28"/>
      <c r="AK23" s="28"/>
      <c r="AL23" s="28"/>
      <c r="AM23" s="28"/>
      <c r="AN23" s="28"/>
      <c r="AO23" s="28"/>
      <c r="AP23" s="28"/>
      <c r="AQ23" s="28"/>
      <c r="AR23" s="28"/>
      <c r="AS23" s="28"/>
      <c r="AT23" s="28"/>
      <c r="AU23" s="28"/>
      <c r="AV23" s="28"/>
      <c r="AW23" s="28"/>
      <c r="AX23" s="28"/>
      <c r="AY23" s="28"/>
      <c r="AZ23" s="28"/>
      <c r="BA23" s="28" t="s">
        <v>771</v>
      </c>
      <c r="BB23" s="28"/>
      <c r="BC23" s="28"/>
      <c r="BD23" s="28"/>
      <c r="BE23" s="28"/>
      <c r="BF23" s="28"/>
      <c r="BG23" s="28"/>
      <c r="BH23" s="28"/>
      <c r="BI23" s="28"/>
      <c r="BJ23" s="28"/>
      <c r="BK23" s="28"/>
      <c r="BL23" s="28"/>
      <c r="BM23" s="28"/>
      <c r="BN23" s="28"/>
      <c r="BO23" s="28"/>
    </row>
    <row r="24" ht="25.5" customHeight="1">
      <c r="A24" s="28">
        <v>319.0</v>
      </c>
      <c r="B24" s="37" t="b">
        <v>1</v>
      </c>
      <c r="C24" s="38" t="s">
        <v>106</v>
      </c>
      <c r="D24" s="38">
        <v>80.0</v>
      </c>
      <c r="E24" s="13" t="b">
        <v>0</v>
      </c>
      <c r="F24" s="13" t="b">
        <v>1</v>
      </c>
      <c r="G24" s="38" t="s">
        <v>224</v>
      </c>
      <c r="H24" s="38"/>
      <c r="I24" s="38" t="s">
        <v>490</v>
      </c>
      <c r="J24" s="38">
        <v>6.0</v>
      </c>
      <c r="K24" s="38" t="s">
        <v>776</v>
      </c>
      <c r="L24" s="38">
        <v>602.0</v>
      </c>
      <c r="M24" s="38" t="s">
        <v>239</v>
      </c>
      <c r="N24" s="38">
        <v>4000.0</v>
      </c>
      <c r="O24" s="38" t="s">
        <v>605</v>
      </c>
      <c r="P24" s="40"/>
      <c r="Q24" s="38" t="s">
        <v>289</v>
      </c>
      <c r="R24" s="38">
        <v>40.0</v>
      </c>
      <c r="S24" s="38" t="s">
        <v>778</v>
      </c>
      <c r="T24" s="38" t="s">
        <v>780</v>
      </c>
      <c r="U24" s="38" t="s">
        <v>781</v>
      </c>
      <c r="V24" s="38">
        <v>1982.0</v>
      </c>
      <c r="W24" s="38" t="s">
        <v>787</v>
      </c>
      <c r="X24" s="38" t="s">
        <v>790</v>
      </c>
      <c r="Y24" s="38"/>
      <c r="Z24" s="38"/>
      <c r="AA24" s="38"/>
      <c r="AB24" s="38"/>
      <c r="AC24" s="38"/>
      <c r="AD24" s="38"/>
      <c r="AE24" s="38"/>
      <c r="AF24" s="38"/>
      <c r="AG24" s="28" t="s">
        <v>792</v>
      </c>
      <c r="AH24" s="28" t="s">
        <v>428</v>
      </c>
      <c r="AI24" s="28" t="s">
        <v>462</v>
      </c>
      <c r="AJ24" s="28"/>
      <c r="AK24" s="28" t="s">
        <v>663</v>
      </c>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row>
    <row r="25" ht="25.5" customHeight="1">
      <c r="A25" s="28">
        <v>338.0</v>
      </c>
      <c r="B25" s="37" t="b">
        <v>1</v>
      </c>
      <c r="C25" s="38" t="s">
        <v>106</v>
      </c>
      <c r="D25" s="38">
        <v>80.0</v>
      </c>
      <c r="E25" s="13" t="b">
        <v>0</v>
      </c>
      <c r="F25" s="13" t="b">
        <v>1</v>
      </c>
      <c r="G25" s="38" t="s">
        <v>224</v>
      </c>
      <c r="H25" s="38"/>
      <c r="I25" s="38" t="s">
        <v>490</v>
      </c>
      <c r="J25" s="38">
        <v>6.0</v>
      </c>
      <c r="K25" s="38" t="s">
        <v>491</v>
      </c>
      <c r="L25" s="38">
        <v>605.0</v>
      </c>
      <c r="M25" s="38" t="s">
        <v>388</v>
      </c>
      <c r="N25" s="38">
        <v>14000.0</v>
      </c>
      <c r="O25" s="38" t="s">
        <v>224</v>
      </c>
      <c r="P25" s="40"/>
      <c r="Q25" s="38" t="s">
        <v>289</v>
      </c>
      <c r="R25" s="38">
        <v>40.0</v>
      </c>
      <c r="S25" s="38" t="s">
        <v>802</v>
      </c>
      <c r="T25" s="38" t="s">
        <v>803</v>
      </c>
      <c r="U25" s="38" t="s">
        <v>804</v>
      </c>
      <c r="V25" s="38">
        <v>1991.0</v>
      </c>
      <c r="W25" s="38" t="s">
        <v>806</v>
      </c>
      <c r="X25" s="38" t="s">
        <v>807</v>
      </c>
      <c r="Y25" s="38"/>
      <c r="Z25" s="38"/>
      <c r="AA25" s="38"/>
      <c r="AB25" s="38"/>
      <c r="AC25" s="38"/>
      <c r="AD25" s="38"/>
      <c r="AE25" s="38"/>
      <c r="AF25" s="38"/>
      <c r="AG25" s="28" t="s">
        <v>810</v>
      </c>
      <c r="AH25" s="28" t="s">
        <v>812</v>
      </c>
      <c r="AI25" s="28" t="s">
        <v>462</v>
      </c>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row>
    <row r="26" ht="25.5" customHeight="1">
      <c r="A26" s="28">
        <v>447.0</v>
      </c>
      <c r="B26" s="37" t="b">
        <v>1</v>
      </c>
      <c r="C26" s="38" t="s">
        <v>106</v>
      </c>
      <c r="D26" s="38">
        <v>80.0</v>
      </c>
      <c r="E26" s="13" t="b">
        <v>0</v>
      </c>
      <c r="F26" s="13" t="b">
        <v>1</v>
      </c>
      <c r="G26" s="38" t="s">
        <v>224</v>
      </c>
      <c r="H26" s="38"/>
      <c r="I26" s="38" t="s">
        <v>387</v>
      </c>
      <c r="J26" s="38">
        <v>8.0</v>
      </c>
      <c r="K26" s="38" t="s">
        <v>822</v>
      </c>
      <c r="L26" s="62">
        <v>803.0</v>
      </c>
      <c r="M26" s="38" t="s">
        <v>388</v>
      </c>
      <c r="N26" s="38">
        <v>14000.0</v>
      </c>
      <c r="O26" s="38" t="s">
        <v>224</v>
      </c>
      <c r="P26" s="40"/>
      <c r="Q26" s="38" t="s">
        <v>289</v>
      </c>
      <c r="R26" s="38">
        <v>40.0</v>
      </c>
      <c r="S26" s="38" t="s">
        <v>831</v>
      </c>
      <c r="T26" s="38" t="s">
        <v>832</v>
      </c>
      <c r="U26" s="38" t="s">
        <v>833</v>
      </c>
      <c r="V26" s="38">
        <v>1994.0</v>
      </c>
      <c r="W26" s="38" t="s">
        <v>834</v>
      </c>
      <c r="X26" s="49" t="str">
        <f>HYPERLINK("http://ajph.aphapublications.org/doi/abs/10.2105/AJPH.84.1.43","http://ajph.aphapublications.org/doi/abs/10.2105/AJPH.84.1.43")</f>
        <v>http://ajph.aphapublications.org/doi/abs/10.2105/AJPH.84.1.43</v>
      </c>
      <c r="Y26" s="38"/>
      <c r="Z26" s="38"/>
      <c r="AA26" s="38"/>
      <c r="AB26" s="38"/>
      <c r="AC26" s="38"/>
      <c r="AD26" s="38"/>
      <c r="AE26" s="38"/>
      <c r="AF26" s="38"/>
      <c r="AG26" s="28" t="s">
        <v>841</v>
      </c>
      <c r="AH26" s="28" t="s">
        <v>842</v>
      </c>
      <c r="AI26" s="28" t="s">
        <v>462</v>
      </c>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row>
    <row r="27" ht="25.5" customHeight="1">
      <c r="A27" s="28">
        <v>257.0</v>
      </c>
      <c r="B27" s="37" t="b">
        <v>1</v>
      </c>
      <c r="C27" s="38" t="s">
        <v>106</v>
      </c>
      <c r="D27" s="38">
        <v>80.0</v>
      </c>
      <c r="E27" s="13" t="b">
        <v>1</v>
      </c>
      <c r="F27" s="13" t="b">
        <v>0</v>
      </c>
      <c r="G27" s="38" t="s">
        <v>224</v>
      </c>
      <c r="H27" s="38"/>
      <c r="I27" s="38" t="s">
        <v>421</v>
      </c>
      <c r="J27" s="38">
        <v>11.0</v>
      </c>
      <c r="K27" s="38" t="s">
        <v>224</v>
      </c>
      <c r="L27" s="38"/>
      <c r="M27" s="38" t="s">
        <v>35</v>
      </c>
      <c r="N27" s="38">
        <v>2000.0</v>
      </c>
      <c r="O27" s="38" t="s">
        <v>578</v>
      </c>
      <c r="P27" s="40"/>
      <c r="Q27" s="38" t="s">
        <v>289</v>
      </c>
      <c r="R27" s="38">
        <v>40.0</v>
      </c>
      <c r="S27" s="38" t="s">
        <v>849</v>
      </c>
      <c r="T27" s="38" t="s">
        <v>850</v>
      </c>
      <c r="U27" s="38" t="s">
        <v>851</v>
      </c>
      <c r="V27" s="38">
        <v>2009.0</v>
      </c>
      <c r="W27" s="38" t="s">
        <v>855</v>
      </c>
      <c r="X27" s="38"/>
      <c r="Y27" s="38"/>
      <c r="Z27" s="38"/>
      <c r="AA27" s="38"/>
      <c r="AB27" s="38"/>
      <c r="AC27" s="38"/>
      <c r="AD27" s="38"/>
      <c r="AE27" s="38"/>
      <c r="AF27" s="3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row>
    <row r="28" ht="25.5" customHeight="1">
      <c r="A28" s="28">
        <v>10300.0</v>
      </c>
      <c r="B28" s="37" t="b">
        <v>1</v>
      </c>
      <c r="C28" s="38" t="s">
        <v>238</v>
      </c>
      <c r="D28" s="38">
        <v>81.0</v>
      </c>
      <c r="E28" s="13" t="b">
        <v>0</v>
      </c>
      <c r="F28" s="13" t="b">
        <v>1</v>
      </c>
      <c r="G28" s="38" t="s">
        <v>224</v>
      </c>
      <c r="H28" s="38"/>
      <c r="I28" s="38" t="s">
        <v>490</v>
      </c>
      <c r="J28" s="38">
        <v>6.0</v>
      </c>
      <c r="K28" s="38"/>
      <c r="L28" s="38"/>
      <c r="M28" s="38" t="s">
        <v>388</v>
      </c>
      <c r="N28" s="38">
        <v>14000.0</v>
      </c>
      <c r="O28" s="38" t="s">
        <v>224</v>
      </c>
      <c r="P28" s="40"/>
      <c r="Q28" s="38" t="s">
        <v>289</v>
      </c>
      <c r="R28" s="38">
        <v>40.0</v>
      </c>
      <c r="S28" s="38" t="s">
        <v>860</v>
      </c>
      <c r="T28" s="38" t="s">
        <v>862</v>
      </c>
      <c r="U28" s="38" t="s">
        <v>851</v>
      </c>
      <c r="V28" s="55"/>
      <c r="W28" s="38" t="s">
        <v>863</v>
      </c>
      <c r="X28" s="49" t="str">
        <f>HYPERLINK("http://www.apa.org/pi/aids/resources/education/dissonance.aspx","http://www.apa.org/pi/aids/resources/education/dissonance.aspx")</f>
        <v>http://www.apa.org/pi/aids/resources/education/dissonance.aspx</v>
      </c>
      <c r="Y28" s="38"/>
      <c r="Z28" s="38"/>
      <c r="AA28" s="38"/>
      <c r="AB28" s="38"/>
      <c r="AC28" s="38"/>
      <c r="AD28" s="38"/>
      <c r="AE28" s="38"/>
      <c r="AF28" s="38"/>
      <c r="AG28" s="28"/>
      <c r="AH28" s="28" t="s">
        <v>462</v>
      </c>
      <c r="AI28" s="28" t="s">
        <v>462</v>
      </c>
      <c r="AJ28" s="28"/>
      <c r="AK28" s="28"/>
      <c r="AL28" s="28" t="s">
        <v>677</v>
      </c>
      <c r="AM28" s="28"/>
      <c r="AN28" s="54"/>
      <c r="AO28" s="54"/>
      <c r="AP28" s="28"/>
      <c r="AQ28" s="28"/>
      <c r="AR28" s="28"/>
      <c r="AS28" s="54"/>
      <c r="AT28" s="28"/>
      <c r="AU28" s="28"/>
      <c r="AV28" s="28"/>
      <c r="AW28" s="28"/>
      <c r="AX28" s="28"/>
      <c r="AY28" s="28"/>
      <c r="AZ28" s="28"/>
      <c r="BA28" s="28"/>
      <c r="BB28" s="28"/>
      <c r="BC28" s="28"/>
      <c r="BD28" s="28"/>
      <c r="BE28" s="28"/>
      <c r="BF28" s="28"/>
      <c r="BG28" s="28"/>
      <c r="BH28" s="28"/>
      <c r="BI28" s="28"/>
      <c r="BJ28" s="28"/>
      <c r="BK28" s="28"/>
      <c r="BL28" s="28"/>
      <c r="BM28" s="28"/>
      <c r="BN28" s="28"/>
      <c r="BO28" s="28"/>
    </row>
    <row r="29" ht="25.5" customHeight="1">
      <c r="A29" s="28">
        <v>54.0</v>
      </c>
      <c r="B29" s="37" t="b">
        <v>1</v>
      </c>
      <c r="C29" s="38" t="s">
        <v>106</v>
      </c>
      <c r="D29" s="38">
        <v>80.0</v>
      </c>
      <c r="E29" s="13" t="b">
        <v>0</v>
      </c>
      <c r="F29" s="13" t="b">
        <v>1</v>
      </c>
      <c r="G29" s="38" t="s">
        <v>224</v>
      </c>
      <c r="H29" s="38"/>
      <c r="I29" s="38" t="s">
        <v>867</v>
      </c>
      <c r="J29" s="38" t="s">
        <v>868</v>
      </c>
      <c r="K29" s="38" t="s">
        <v>869</v>
      </c>
      <c r="L29" s="38" t="s">
        <v>870</v>
      </c>
      <c r="M29" s="38" t="s">
        <v>388</v>
      </c>
      <c r="N29" s="38">
        <v>14000.0</v>
      </c>
      <c r="O29" s="38" t="s">
        <v>224</v>
      </c>
      <c r="P29" s="40"/>
      <c r="Q29" s="38" t="s">
        <v>289</v>
      </c>
      <c r="R29" s="38">
        <v>40.0</v>
      </c>
      <c r="S29" s="38" t="s">
        <v>871</v>
      </c>
      <c r="T29" s="38" t="s">
        <v>872</v>
      </c>
      <c r="U29" s="38" t="s">
        <v>873</v>
      </c>
      <c r="V29" s="38">
        <v>2002.0</v>
      </c>
      <c r="W29" s="38" t="s">
        <v>874</v>
      </c>
      <c r="X29" s="38" t="s">
        <v>875</v>
      </c>
      <c r="Y29" s="38"/>
      <c r="Z29" s="38"/>
      <c r="AA29" s="38"/>
      <c r="AB29" s="38"/>
      <c r="AC29" s="38"/>
      <c r="AD29" s="38"/>
      <c r="AE29" s="38"/>
      <c r="AF29" s="38"/>
      <c r="AG29" s="28" t="s">
        <v>876</v>
      </c>
      <c r="AH29" s="28" t="s">
        <v>877</v>
      </c>
      <c r="AI29" s="28" t="s">
        <v>878</v>
      </c>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row>
    <row r="30" ht="25.5" customHeight="1">
      <c r="A30" s="28">
        <v>15.0</v>
      </c>
      <c r="B30" s="37" t="b">
        <v>1</v>
      </c>
      <c r="C30" s="38" t="s">
        <v>106</v>
      </c>
      <c r="D30" s="38">
        <v>80.0</v>
      </c>
      <c r="E30" s="13" t="b">
        <v>0</v>
      </c>
      <c r="F30" s="13" t="b">
        <v>1</v>
      </c>
      <c r="G30" s="38" t="s">
        <v>224</v>
      </c>
      <c r="H30" s="38"/>
      <c r="I30" s="38" t="s">
        <v>574</v>
      </c>
      <c r="J30" s="38">
        <v>4.0</v>
      </c>
      <c r="K30" s="38" t="s">
        <v>879</v>
      </c>
      <c r="L30" s="38">
        <v>401.0</v>
      </c>
      <c r="M30" s="38" t="s">
        <v>408</v>
      </c>
      <c r="N30" s="38">
        <v>20000.0</v>
      </c>
      <c r="O30" s="38" t="s">
        <v>880</v>
      </c>
      <c r="P30" s="40"/>
      <c r="Q30" s="38" t="s">
        <v>111</v>
      </c>
      <c r="R30" s="38">
        <v>41.0</v>
      </c>
      <c r="S30" s="38" t="s">
        <v>881</v>
      </c>
      <c r="T30" s="38" t="s">
        <v>882</v>
      </c>
      <c r="U30" s="38" t="s">
        <v>883</v>
      </c>
      <c r="V30" s="38">
        <v>2011.0</v>
      </c>
      <c r="W30" s="38" t="s">
        <v>884</v>
      </c>
      <c r="X30" s="38" t="s">
        <v>885</v>
      </c>
      <c r="Y30" s="38"/>
      <c r="Z30" s="38"/>
      <c r="AA30" s="38"/>
      <c r="AB30" s="38"/>
      <c r="AC30" s="38"/>
      <c r="AD30" s="38"/>
      <c r="AE30" s="38"/>
      <c r="AF30" s="38"/>
      <c r="AG30" s="28" t="s">
        <v>886</v>
      </c>
      <c r="AH30" s="28" t="s">
        <v>428</v>
      </c>
      <c r="AI30" s="28" t="s">
        <v>462</v>
      </c>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row>
    <row r="31" ht="25.5" customHeight="1">
      <c r="A31" s="28">
        <v>85.0</v>
      </c>
      <c r="B31" s="37" t="b">
        <v>1</v>
      </c>
      <c r="C31" s="38" t="s">
        <v>106</v>
      </c>
      <c r="D31" s="38">
        <v>80.0</v>
      </c>
      <c r="E31" s="13" t="b">
        <v>0</v>
      </c>
      <c r="F31" s="13" t="b">
        <v>1</v>
      </c>
      <c r="G31" s="38" t="s">
        <v>224</v>
      </c>
      <c r="H31" s="38"/>
      <c r="I31" s="38" t="s">
        <v>887</v>
      </c>
      <c r="J31" s="38">
        <v>9.0</v>
      </c>
      <c r="K31" s="38" t="s">
        <v>224</v>
      </c>
      <c r="L31" s="38"/>
      <c r="M31" s="38" t="s">
        <v>388</v>
      </c>
      <c r="N31" s="38">
        <v>14000.0</v>
      </c>
      <c r="O31" s="38" t="s">
        <v>224</v>
      </c>
      <c r="P31" s="40"/>
      <c r="Q31" s="38" t="s">
        <v>298</v>
      </c>
      <c r="R31" s="38">
        <v>44.0</v>
      </c>
      <c r="S31" s="38" t="s">
        <v>888</v>
      </c>
      <c r="T31" s="38" t="s">
        <v>889</v>
      </c>
      <c r="U31" s="38" t="s">
        <v>890</v>
      </c>
      <c r="V31" s="38">
        <v>1996.0</v>
      </c>
      <c r="W31" s="38" t="s">
        <v>891</v>
      </c>
      <c r="X31" s="38"/>
      <c r="Y31" s="38"/>
      <c r="Z31" s="38"/>
      <c r="AA31" s="38"/>
      <c r="AB31" s="38"/>
      <c r="AC31" s="38"/>
      <c r="AD31" s="38"/>
      <c r="AE31" s="38"/>
      <c r="AF31" s="38"/>
      <c r="AG31" s="28"/>
      <c r="AH31" s="28" t="s">
        <v>462</v>
      </c>
      <c r="AI31" s="28" t="s">
        <v>462</v>
      </c>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row>
    <row r="32" ht="25.5" customHeight="1">
      <c r="A32" s="28">
        <v>227.0</v>
      </c>
      <c r="B32" s="37" t="b">
        <v>1</v>
      </c>
      <c r="C32" s="38" t="s">
        <v>106</v>
      </c>
      <c r="D32" s="38">
        <v>80.0</v>
      </c>
      <c r="E32" s="13" t="b">
        <v>0</v>
      </c>
      <c r="F32" s="13" t="b">
        <v>1</v>
      </c>
      <c r="G32" s="38" t="s">
        <v>224</v>
      </c>
      <c r="H32" s="38"/>
      <c r="I32" s="38" t="s">
        <v>376</v>
      </c>
      <c r="J32" s="38">
        <v>2.0</v>
      </c>
      <c r="K32" s="38" t="s">
        <v>892</v>
      </c>
      <c r="L32" s="38">
        <v>204.0</v>
      </c>
      <c r="M32" s="38" t="s">
        <v>107</v>
      </c>
      <c r="N32" s="38">
        <v>3000.0</v>
      </c>
      <c r="O32" s="38" t="s">
        <v>893</v>
      </c>
      <c r="P32" s="40"/>
      <c r="Q32" s="38" t="s">
        <v>289</v>
      </c>
      <c r="R32" s="38">
        <v>40.0</v>
      </c>
      <c r="S32" s="38" t="s">
        <v>894</v>
      </c>
      <c r="T32" s="38" t="s">
        <v>895</v>
      </c>
      <c r="U32" s="38" t="s">
        <v>896</v>
      </c>
      <c r="V32" s="38">
        <v>2004.0</v>
      </c>
      <c r="W32" s="38" t="s">
        <v>897</v>
      </c>
      <c r="X32" s="38" t="s">
        <v>898</v>
      </c>
      <c r="Y32" s="38"/>
      <c r="Z32" s="38"/>
      <c r="AA32" s="38"/>
      <c r="AB32" s="38"/>
      <c r="AC32" s="38"/>
      <c r="AD32" s="38"/>
      <c r="AE32" s="38"/>
      <c r="AF32" s="38"/>
      <c r="AG32" s="28"/>
      <c r="AH32" s="28" t="s">
        <v>462</v>
      </c>
      <c r="AI32" s="28" t="s">
        <v>462</v>
      </c>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row>
    <row r="33" ht="25.5" customHeight="1">
      <c r="A33" s="28">
        <v>347.0</v>
      </c>
      <c r="B33" s="37" t="b">
        <v>1</v>
      </c>
      <c r="C33" s="38" t="s">
        <v>106</v>
      </c>
      <c r="D33" s="38">
        <v>80.0</v>
      </c>
      <c r="E33" s="13" t="b">
        <v>1</v>
      </c>
      <c r="F33" s="13" t="b">
        <v>0</v>
      </c>
      <c r="G33" s="38" t="s">
        <v>224</v>
      </c>
      <c r="H33" s="38"/>
      <c r="I33" s="38" t="s">
        <v>490</v>
      </c>
      <c r="J33" s="38">
        <v>6.0</v>
      </c>
      <c r="K33" s="38" t="s">
        <v>491</v>
      </c>
      <c r="L33" s="38">
        <v>605.0</v>
      </c>
      <c r="M33" s="38" t="s">
        <v>35</v>
      </c>
      <c r="N33" s="38">
        <v>2000.0</v>
      </c>
      <c r="O33" s="38" t="s">
        <v>578</v>
      </c>
      <c r="P33" s="40"/>
      <c r="Q33" s="38" t="s">
        <v>289</v>
      </c>
      <c r="R33" s="38">
        <v>40.0</v>
      </c>
      <c r="S33" s="38" t="s">
        <v>899</v>
      </c>
      <c r="T33" s="38" t="s">
        <v>900</v>
      </c>
      <c r="U33" s="38" t="s">
        <v>901</v>
      </c>
      <c r="V33" s="38">
        <v>1984.0</v>
      </c>
      <c r="W33" s="38" t="s">
        <v>610</v>
      </c>
      <c r="X33" s="38"/>
      <c r="Y33" s="38"/>
      <c r="Z33" s="38"/>
      <c r="AA33" s="38"/>
      <c r="AB33" s="38"/>
      <c r="AC33" s="38"/>
      <c r="AD33" s="38"/>
      <c r="AE33" s="38"/>
      <c r="AF33" s="3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row>
    <row r="34" ht="25.5" customHeight="1">
      <c r="A34" s="28">
        <v>376.0</v>
      </c>
      <c r="B34" s="37" t="b">
        <v>1</v>
      </c>
      <c r="C34" s="38" t="s">
        <v>106</v>
      </c>
      <c r="D34" s="38">
        <v>80.0</v>
      </c>
      <c r="E34" s="13" t="b">
        <v>0</v>
      </c>
      <c r="F34" s="13" t="b">
        <v>1</v>
      </c>
      <c r="G34" s="38" t="s">
        <v>224</v>
      </c>
      <c r="H34" s="38"/>
      <c r="I34" s="38" t="s">
        <v>280</v>
      </c>
      <c r="J34" s="38">
        <v>10.0</v>
      </c>
      <c r="K34" s="65" t="s">
        <v>902</v>
      </c>
      <c r="L34" s="38" t="s">
        <v>903</v>
      </c>
      <c r="M34" s="38" t="s">
        <v>388</v>
      </c>
      <c r="N34" s="38">
        <v>14000.0</v>
      </c>
      <c r="O34" s="38" t="s">
        <v>224</v>
      </c>
      <c r="P34" s="40"/>
      <c r="Q34" s="38" t="s">
        <v>289</v>
      </c>
      <c r="R34" s="38">
        <v>40.0</v>
      </c>
      <c r="S34" s="38" t="s">
        <v>904</v>
      </c>
      <c r="T34" s="38" t="s">
        <v>905</v>
      </c>
      <c r="U34" s="38" t="s">
        <v>906</v>
      </c>
      <c r="V34" s="38">
        <v>2015.0</v>
      </c>
      <c r="W34" s="38" t="s">
        <v>907</v>
      </c>
      <c r="X34" s="38" t="s">
        <v>908</v>
      </c>
      <c r="Y34" s="38"/>
      <c r="Z34" s="38"/>
      <c r="AA34" s="38"/>
      <c r="AB34" s="38"/>
      <c r="AC34" s="38"/>
      <c r="AD34" s="38"/>
      <c r="AE34" s="38"/>
      <c r="AF34" s="38"/>
      <c r="AG34" s="28" t="s">
        <v>909</v>
      </c>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row>
    <row r="35" ht="25.5" customHeight="1">
      <c r="A35" s="28">
        <v>10365.0</v>
      </c>
      <c r="B35" s="37" t="b">
        <v>1</v>
      </c>
      <c r="C35" s="38" t="s">
        <v>238</v>
      </c>
      <c r="D35" s="38">
        <v>81.0</v>
      </c>
      <c r="E35" s="13" t="b">
        <v>0</v>
      </c>
      <c r="F35" s="13" t="b">
        <v>1</v>
      </c>
      <c r="G35" s="38" t="s">
        <v>224</v>
      </c>
      <c r="H35" s="38"/>
      <c r="I35" s="38" t="s">
        <v>280</v>
      </c>
      <c r="J35" s="38">
        <v>10.0</v>
      </c>
      <c r="K35" s="38"/>
      <c r="L35" s="38"/>
      <c r="M35" s="38" t="s">
        <v>388</v>
      </c>
      <c r="N35" s="38">
        <v>14000.0</v>
      </c>
      <c r="O35" s="38" t="s">
        <v>224</v>
      </c>
      <c r="P35" s="40"/>
      <c r="Q35" s="38" t="s">
        <v>289</v>
      </c>
      <c r="R35" s="38">
        <v>40.0</v>
      </c>
      <c r="S35" s="38" t="s">
        <v>910</v>
      </c>
      <c r="T35" s="38" t="s">
        <v>911</v>
      </c>
      <c r="U35" s="38" t="s">
        <v>912</v>
      </c>
      <c r="V35" s="55">
        <v>42248.0</v>
      </c>
      <c r="W35" s="38" t="s">
        <v>913</v>
      </c>
      <c r="X35" s="49" t="str">
        <f>HYPERLINK("https://dornsife.usc.edu/assets/sites/545/docs/Wendy_Wood_Research_Articles/wood.runger.2016.pdf","https://dornsife.usc.edu/assets/sites/545/docs/Wendy_Wood_Research_Articles/wood.runger.2016.pdf")</f>
        <v>https://dornsife.usc.edu/assets/sites/545/docs/Wendy_Wood_Research_Articles/wood.runger.2016.pdf</v>
      </c>
      <c r="Y35" s="38"/>
      <c r="Z35" s="38"/>
      <c r="AA35" s="38"/>
      <c r="AB35" s="38"/>
      <c r="AC35" s="38"/>
      <c r="AD35" s="38"/>
      <c r="AE35" s="38"/>
      <c r="AF35" s="38"/>
      <c r="AG35" s="28" t="s">
        <v>914</v>
      </c>
      <c r="AH35" s="28"/>
      <c r="AI35" s="28"/>
      <c r="AJ35" s="28"/>
      <c r="AK35" s="28" t="s">
        <v>915</v>
      </c>
      <c r="AL35" s="28"/>
      <c r="AM35" s="28"/>
      <c r="AN35" s="28"/>
      <c r="AO35" s="28"/>
      <c r="AP35" s="28"/>
      <c r="AQ35" s="28"/>
      <c r="AR35" s="28"/>
      <c r="AS35" s="28"/>
      <c r="AT35" s="28"/>
      <c r="AU35" s="28"/>
      <c r="AV35" s="28"/>
      <c r="AW35" s="28"/>
      <c r="AX35" s="28"/>
      <c r="AY35" s="28"/>
      <c r="AZ35" s="28" t="s">
        <v>916</v>
      </c>
      <c r="BA35" s="28"/>
      <c r="BB35" s="28"/>
      <c r="BC35" s="28"/>
      <c r="BD35" s="28"/>
      <c r="BE35" s="28"/>
      <c r="BF35" s="28"/>
      <c r="BG35" s="28"/>
      <c r="BH35" s="28"/>
      <c r="BI35" s="28"/>
      <c r="BJ35" s="28"/>
      <c r="BK35" s="28"/>
      <c r="BL35" s="28"/>
      <c r="BM35" s="28"/>
      <c r="BN35" s="28"/>
      <c r="BO35" s="28"/>
    </row>
    <row r="36" ht="25.5" customHeight="1">
      <c r="A36" s="28">
        <v>368.0</v>
      </c>
      <c r="B36" s="37" t="b">
        <v>1</v>
      </c>
      <c r="C36" s="38" t="s">
        <v>106</v>
      </c>
      <c r="D36" s="38">
        <v>80.0</v>
      </c>
      <c r="E36" s="13" t="b">
        <v>1</v>
      </c>
      <c r="F36" s="13" t="b">
        <v>0</v>
      </c>
      <c r="G36" s="38" t="s">
        <v>224</v>
      </c>
      <c r="H36" s="38"/>
      <c r="I36" s="38" t="s">
        <v>779</v>
      </c>
      <c r="J36" s="38">
        <v>5.0</v>
      </c>
      <c r="K36" s="38" t="s">
        <v>917</v>
      </c>
      <c r="L36" s="38">
        <v>506.0</v>
      </c>
      <c r="M36" s="38" t="s">
        <v>359</v>
      </c>
      <c r="N36" s="38">
        <v>10000.0</v>
      </c>
      <c r="O36" s="38" t="s">
        <v>918</v>
      </c>
      <c r="P36" s="40"/>
      <c r="Q36" s="38" t="s">
        <v>111</v>
      </c>
      <c r="R36" s="38">
        <v>41.0</v>
      </c>
      <c r="S36" s="38" t="s">
        <v>919</v>
      </c>
      <c r="T36" s="38" t="s">
        <v>920</v>
      </c>
      <c r="U36" s="38" t="s">
        <v>921</v>
      </c>
      <c r="V36" s="38">
        <v>2011.0</v>
      </c>
      <c r="W36" s="38" t="s">
        <v>922</v>
      </c>
      <c r="X36" s="49" t="str">
        <f>HYPERLINK("http://www.sciencedirect.com/science/article/pii/S0195666311004685","http://www.sciencedirect.com/science/article/pii/S0195666311004685")</f>
        <v>http://www.sciencedirect.com/science/article/pii/S0195666311004685</v>
      </c>
      <c r="Y36" s="38"/>
      <c r="Z36" s="38"/>
      <c r="AA36" s="38"/>
      <c r="AB36" s="38"/>
      <c r="AC36" s="38"/>
      <c r="AD36" s="38"/>
      <c r="AE36" s="38"/>
      <c r="AF36" s="38"/>
      <c r="AG36" s="28"/>
      <c r="AH36" s="28" t="s">
        <v>428</v>
      </c>
      <c r="AI36" s="28" t="s">
        <v>462</v>
      </c>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row>
    <row r="37" ht="25.5" customHeight="1">
      <c r="A37" s="28">
        <v>475.0</v>
      </c>
      <c r="B37" s="37" t="b">
        <v>1</v>
      </c>
      <c r="C37" s="38" t="s">
        <v>106</v>
      </c>
      <c r="D37" s="38">
        <v>80.0</v>
      </c>
      <c r="E37" s="13" t="b">
        <v>0</v>
      </c>
      <c r="F37" s="13" t="b">
        <v>1</v>
      </c>
      <c r="G37" s="38" t="s">
        <v>224</v>
      </c>
      <c r="H37" s="38"/>
      <c r="I37" s="38" t="s">
        <v>772</v>
      </c>
      <c r="J37" s="38">
        <v>5.0</v>
      </c>
      <c r="K37" s="38" t="s">
        <v>773</v>
      </c>
      <c r="L37" s="38">
        <v>500.0</v>
      </c>
      <c r="M37" s="38" t="s">
        <v>239</v>
      </c>
      <c r="N37" s="38">
        <v>4000.0</v>
      </c>
      <c r="O37" s="38" t="s">
        <v>605</v>
      </c>
      <c r="P37" s="40"/>
      <c r="Q37" s="38" t="s">
        <v>289</v>
      </c>
      <c r="R37" s="38">
        <v>40.0</v>
      </c>
      <c r="S37" s="38" t="s">
        <v>923</v>
      </c>
      <c r="T37" s="49" t="str">
        <f>HYPERLINK("http://www.sciencedirect.com/science/article/pii/S0003687011001499","Sussman, R., &amp; Gifford, R.")</f>
        <v>Sussman, R., &amp; Gifford, R.</v>
      </c>
      <c r="U37" s="49" t="str">
        <f>HYPERLINK("http://www.sciencedirect.com/science/journal/00036870","Applied Ergonomics")</f>
        <v>Applied Ergonomics</v>
      </c>
      <c r="V37" s="38">
        <v>2012.0</v>
      </c>
      <c r="W37" s="38" t="s">
        <v>924</v>
      </c>
      <c r="X37" s="38" t="s">
        <v>925</v>
      </c>
      <c r="Y37" s="38"/>
      <c r="Z37" s="38"/>
      <c r="AA37" s="38"/>
      <c r="AB37" s="38"/>
      <c r="AC37" s="38"/>
      <c r="AD37" s="38"/>
      <c r="AE37" s="38"/>
      <c r="AF37" s="38"/>
      <c r="AG37" s="28"/>
      <c r="AH37" s="28" t="s">
        <v>926</v>
      </c>
      <c r="AI37" s="28" t="s">
        <v>462</v>
      </c>
      <c r="AJ37" s="28"/>
      <c r="AK37" s="28"/>
      <c r="AL37" s="28"/>
      <c r="AM37" s="28"/>
      <c r="AN37" s="28"/>
      <c r="AO37" s="28"/>
      <c r="AP37" s="28"/>
      <c r="AQ37" s="28"/>
      <c r="AR37" s="28"/>
      <c r="AS37" s="28"/>
      <c r="AT37" s="28"/>
      <c r="AU37" s="28"/>
      <c r="AV37" s="28"/>
      <c r="AW37" s="28"/>
      <c r="AX37" s="28"/>
      <c r="AY37" s="28"/>
      <c r="AZ37" s="28"/>
      <c r="BA37" s="28" t="s">
        <v>927</v>
      </c>
      <c r="BB37" s="28"/>
      <c r="BC37" s="28"/>
      <c r="BD37" s="28"/>
      <c r="BE37" s="28"/>
      <c r="BF37" s="28"/>
      <c r="BG37" s="28"/>
      <c r="BH37" s="28"/>
      <c r="BI37" s="28"/>
      <c r="BJ37" s="28"/>
      <c r="BK37" s="28"/>
      <c r="BL37" s="28"/>
      <c r="BM37" s="28"/>
      <c r="BN37" s="28"/>
      <c r="BO37" s="28"/>
    </row>
    <row r="38" ht="25.5" customHeight="1">
      <c r="A38" s="28">
        <v>364.0</v>
      </c>
      <c r="B38" s="37" t="b">
        <v>1</v>
      </c>
      <c r="C38" s="38" t="s">
        <v>106</v>
      </c>
      <c r="D38" s="38">
        <v>80.0</v>
      </c>
      <c r="E38" s="13" t="b">
        <v>0</v>
      </c>
      <c r="F38" s="13" t="b">
        <v>1</v>
      </c>
      <c r="G38" s="38" t="s">
        <v>224</v>
      </c>
      <c r="H38" s="38"/>
      <c r="I38" s="38" t="s">
        <v>928</v>
      </c>
      <c r="J38" s="38" t="s">
        <v>929</v>
      </c>
      <c r="K38" s="38" t="s">
        <v>930</v>
      </c>
      <c r="L38" s="38" t="s">
        <v>931</v>
      </c>
      <c r="M38" s="38" t="s">
        <v>408</v>
      </c>
      <c r="N38" s="38">
        <v>20000.0</v>
      </c>
      <c r="O38" s="38" t="s">
        <v>169</v>
      </c>
      <c r="P38" s="40"/>
      <c r="Q38" s="38" t="s">
        <v>111</v>
      </c>
      <c r="R38" s="38">
        <v>41.0</v>
      </c>
      <c r="S38" s="38" t="s">
        <v>932</v>
      </c>
      <c r="T38" s="38" t="s">
        <v>933</v>
      </c>
      <c r="U38" s="38" t="s">
        <v>934</v>
      </c>
      <c r="V38" s="38">
        <v>2006.0</v>
      </c>
      <c r="W38" s="38" t="s">
        <v>935</v>
      </c>
      <c r="X38" s="38" t="s">
        <v>936</v>
      </c>
      <c r="Y38" s="38"/>
      <c r="Z38" s="38"/>
      <c r="AA38" s="38"/>
      <c r="AB38" s="38"/>
      <c r="AC38" s="38"/>
      <c r="AD38" s="38"/>
      <c r="AE38" s="38"/>
      <c r="AF38" s="38"/>
      <c r="AG38" s="28" t="s">
        <v>937</v>
      </c>
      <c r="AH38" s="28" t="s">
        <v>462</v>
      </c>
      <c r="AI38" s="28" t="s">
        <v>462</v>
      </c>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row>
    <row r="39" ht="25.5" customHeight="1">
      <c r="A39" s="28">
        <v>10013.0</v>
      </c>
      <c r="B39" s="37" t="b">
        <v>1</v>
      </c>
      <c r="C39" s="38" t="s">
        <v>238</v>
      </c>
      <c r="D39" s="38">
        <v>81.0</v>
      </c>
      <c r="E39" s="13" t="b">
        <v>1</v>
      </c>
      <c r="F39" s="13" t="b">
        <v>0</v>
      </c>
      <c r="G39" s="38" t="s">
        <v>224</v>
      </c>
      <c r="H39" s="38"/>
      <c r="I39" s="38" t="s">
        <v>265</v>
      </c>
      <c r="J39" s="38">
        <v>9.0</v>
      </c>
      <c r="K39" s="38"/>
      <c r="L39" s="38"/>
      <c r="M39" s="38" t="s">
        <v>388</v>
      </c>
      <c r="N39" s="38">
        <v>14000.0</v>
      </c>
      <c r="O39" s="38" t="s">
        <v>224</v>
      </c>
      <c r="P39" s="40"/>
      <c r="Q39" s="38" t="s">
        <v>289</v>
      </c>
      <c r="R39" s="38">
        <v>40.0</v>
      </c>
      <c r="S39" s="38" t="s">
        <v>938</v>
      </c>
      <c r="T39" s="38" t="s">
        <v>939</v>
      </c>
      <c r="U39" s="38" t="s">
        <v>940</v>
      </c>
      <c r="V39" s="55">
        <v>42061.0</v>
      </c>
      <c r="W39" s="38" t="s">
        <v>941</v>
      </c>
      <c r="X39" s="49" t="str">
        <f>HYPERLINK("https://appmothers.wordpress.com/2015/02/26/critical-thinking-first-remove-bias/","https://appmothers.wordpress.com/2015/02/26/critical-thinking-first-remove-bias/")</f>
        <v>https://appmothers.wordpress.com/2015/02/26/critical-thinking-first-remove-bias/</v>
      </c>
      <c r="Y39" s="38"/>
      <c r="Z39" s="38"/>
      <c r="AA39" s="38"/>
      <c r="AB39" s="38"/>
      <c r="AC39" s="38"/>
      <c r="AD39" s="38"/>
      <c r="AE39" s="38"/>
      <c r="AF39" s="38"/>
      <c r="AG39" s="28"/>
      <c r="AH39" s="28" t="s">
        <v>462</v>
      </c>
      <c r="AI39" s="28" t="s">
        <v>462</v>
      </c>
      <c r="AJ39" s="28"/>
      <c r="AK39" s="28"/>
      <c r="AL39" s="28" t="s">
        <v>769</v>
      </c>
      <c r="AM39" s="28"/>
      <c r="AN39" s="54">
        <v>42558.0</v>
      </c>
      <c r="AO39" s="54"/>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row>
    <row r="40" ht="25.5" customHeight="1">
      <c r="A40" s="28">
        <v>123.0</v>
      </c>
      <c r="B40" s="37" t="b">
        <v>1</v>
      </c>
      <c r="C40" s="38" t="s">
        <v>106</v>
      </c>
      <c r="D40" s="38">
        <v>80.0</v>
      </c>
      <c r="E40" s="13" t="b">
        <v>1</v>
      </c>
      <c r="F40" s="13" t="b">
        <v>0</v>
      </c>
      <c r="G40" s="38" t="s">
        <v>284</v>
      </c>
      <c r="H40" s="38">
        <v>53.0</v>
      </c>
      <c r="I40" s="38" t="s">
        <v>224</v>
      </c>
      <c r="J40" s="38"/>
      <c r="K40" s="38" t="s">
        <v>224</v>
      </c>
      <c r="L40" s="38"/>
      <c r="M40" s="38" t="s">
        <v>35</v>
      </c>
      <c r="N40" s="38">
        <v>2000.0</v>
      </c>
      <c r="O40" s="38" t="s">
        <v>942</v>
      </c>
      <c r="P40" s="40"/>
      <c r="Q40" s="38" t="s">
        <v>289</v>
      </c>
      <c r="R40" s="38">
        <v>40.0</v>
      </c>
      <c r="S40" s="38" t="s">
        <v>943</v>
      </c>
      <c r="T40" s="38" t="s">
        <v>944</v>
      </c>
      <c r="U40" s="38" t="s">
        <v>945</v>
      </c>
      <c r="V40" s="38">
        <v>2013.0</v>
      </c>
      <c r="W40" s="38" t="s">
        <v>946</v>
      </c>
      <c r="X40" s="49" t="str">
        <f>HYPERLINK("https://www.google.com/url?sa=t&amp;rct=j&amp;q=&amp;esrc=s&amp;source=web&amp;cd=1&amp;cad=rja&amp;uact=8&amp;ved=0ahUKEwj_xMLugu_OAhXGKyYKHcTcDVkQFgghMAA&amp;url=http%3A%2F%2Fciteseerx.ist.psu.edu%2Fviewdoc%2Fdownload%3Fdoi%3D10.1.1.659.3377%26rep%3Drep1%26type%3Dpdf&amp;usg=AFQjCNH8DMpfYStCNNaoK6_wmdX9Byva9A&amp;sig2=eYctN5wCYpk3PXCgdWn3aA","https://www.google.com/url?sa=t&amp;rct=j&amp;q=&amp;esrc=s&amp;source=web&amp;cd=1&amp;cad=rja&amp;uact=8&amp;ved=0ahUKEwj_xMLugu_OAhXGKyYKHcTcDVkQFgghMAA&amp;url=http%3A%2F%2Fciteseerx.ist.psu.edu%2Fviewdoc%2Fdownload%3Fdoi%3D10.1.1.659.3377%26rep%3Drep1%26type%3Dpdf&amp;usg=AFQjCNH8DMpfYStCNNaoK6_wmdX9Byva9A&amp;sig2=eYctN5wCYpk3PXCgdWn3aA")</f>
        <v>https://www.google.com/url?sa=t&amp;rct=j&amp;q=&amp;esrc=s&amp;source=web&amp;cd=1&amp;cad=rja&amp;uact=8&amp;ved=0ahUKEwj_xMLugu_OAhXGKyYKHcTcDVkQFgghMAA&amp;url=http%3A%2F%2Fciteseerx.ist.psu.edu%2Fviewdoc%2Fdownload%3Fdoi%3D10.1.1.659.3377%26rep%3Drep1%26type%3Dpdf&amp;usg=AFQjCNH8DMpfYStCNNaoK6_wmdX9Byva9A&amp;sig2=eYctN5wCYpk3PXCgdWn3aA</v>
      </c>
      <c r="Y40" s="38"/>
      <c r="Z40" s="38"/>
      <c r="AA40" s="38"/>
      <c r="AB40" s="38"/>
      <c r="AC40" s="38"/>
      <c r="AD40" s="38"/>
      <c r="AE40" s="38"/>
      <c r="AF40" s="3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row>
    <row r="41" ht="25.5" customHeight="1">
      <c r="A41" s="28">
        <v>10407.0</v>
      </c>
      <c r="B41" s="37" t="b">
        <v>1</v>
      </c>
      <c r="C41" s="38" t="s">
        <v>238</v>
      </c>
      <c r="D41" s="38">
        <v>81.0</v>
      </c>
      <c r="E41" s="13" t="b">
        <v>0</v>
      </c>
      <c r="F41" s="13" t="b">
        <v>1</v>
      </c>
      <c r="G41" s="38" t="s">
        <v>224</v>
      </c>
      <c r="H41" s="38"/>
      <c r="I41" s="38" t="s">
        <v>387</v>
      </c>
      <c r="J41" s="38">
        <v>8.0</v>
      </c>
      <c r="K41" s="38"/>
      <c r="L41" s="38"/>
      <c r="M41" s="38" t="s">
        <v>107</v>
      </c>
      <c r="N41" s="38">
        <v>3000.0</v>
      </c>
      <c r="O41" s="38" t="s">
        <v>116</v>
      </c>
      <c r="P41" s="40"/>
      <c r="Q41" s="38" t="s">
        <v>289</v>
      </c>
      <c r="R41" s="38">
        <v>40.0</v>
      </c>
      <c r="S41" s="38" t="s">
        <v>947</v>
      </c>
      <c r="T41" s="38" t="s">
        <v>948</v>
      </c>
      <c r="U41" s="38" t="s">
        <v>945</v>
      </c>
      <c r="V41" s="55">
        <v>42244.0</v>
      </c>
      <c r="W41" s="38" t="s">
        <v>949</v>
      </c>
      <c r="X41" s="38" t="s">
        <v>950</v>
      </c>
      <c r="Y41" s="38"/>
      <c r="Z41" s="38"/>
      <c r="AA41" s="38"/>
      <c r="AB41" s="38"/>
      <c r="AC41" s="38"/>
      <c r="AD41" s="38"/>
      <c r="AE41" s="38"/>
      <c r="AF41" s="38"/>
      <c r="AG41" s="28"/>
      <c r="AH41" s="28" t="s">
        <v>462</v>
      </c>
      <c r="AI41" s="28" t="s">
        <v>462</v>
      </c>
      <c r="AJ41" s="28"/>
      <c r="AK41" s="28" t="s">
        <v>676</v>
      </c>
      <c r="AL41" s="28" t="s">
        <v>769</v>
      </c>
      <c r="AM41" s="28" t="s">
        <v>951</v>
      </c>
      <c r="AN41" s="54">
        <v>42340.0</v>
      </c>
      <c r="AO41" s="54"/>
      <c r="AP41" s="28"/>
      <c r="AQ41" s="28" t="s">
        <v>769</v>
      </c>
      <c r="AR41" s="28"/>
      <c r="AS41" s="54">
        <v>42342.0</v>
      </c>
      <c r="AT41" s="28"/>
      <c r="AU41" s="28"/>
      <c r="AV41" s="28"/>
      <c r="AW41" s="28"/>
      <c r="AX41" s="28"/>
      <c r="AY41" s="28"/>
      <c r="AZ41" s="28"/>
      <c r="BA41" s="28"/>
      <c r="BB41" s="28"/>
      <c r="BC41" s="28"/>
      <c r="BD41" s="28"/>
      <c r="BE41" s="28"/>
      <c r="BF41" s="28"/>
      <c r="BG41" s="28"/>
      <c r="BH41" s="28"/>
      <c r="BI41" s="28"/>
      <c r="BJ41" s="28"/>
      <c r="BK41" s="28"/>
      <c r="BL41" s="28"/>
      <c r="BM41" s="28"/>
      <c r="BN41" s="28"/>
      <c r="BO41" s="28"/>
    </row>
    <row r="42" ht="25.5" customHeight="1">
      <c r="A42" s="28">
        <v>231.0</v>
      </c>
      <c r="B42" s="37" t="b">
        <v>1</v>
      </c>
      <c r="C42" s="38" t="s">
        <v>106</v>
      </c>
      <c r="D42" s="38">
        <v>80.0</v>
      </c>
      <c r="E42" s="13" t="b">
        <v>0</v>
      </c>
      <c r="F42" s="13" t="b">
        <v>1</v>
      </c>
      <c r="G42" s="38" t="s">
        <v>224</v>
      </c>
      <c r="H42" s="38"/>
      <c r="I42" s="38" t="s">
        <v>952</v>
      </c>
      <c r="J42" s="38" t="s">
        <v>953</v>
      </c>
      <c r="K42" s="38" t="s">
        <v>954</v>
      </c>
      <c r="L42" s="38"/>
      <c r="M42" s="38" t="s">
        <v>35</v>
      </c>
      <c r="N42" s="38">
        <v>2000.0</v>
      </c>
      <c r="O42" s="38" t="s">
        <v>578</v>
      </c>
      <c r="P42" s="40"/>
      <c r="Q42" s="38" t="s">
        <v>111</v>
      </c>
      <c r="R42" s="38">
        <v>41.0</v>
      </c>
      <c r="S42" s="38" t="s">
        <v>955</v>
      </c>
      <c r="T42" s="38" t="s">
        <v>956</v>
      </c>
      <c r="U42" s="38" t="s">
        <v>957</v>
      </c>
      <c r="V42" s="38">
        <v>2014.0</v>
      </c>
      <c r="W42" s="38" t="s">
        <v>958</v>
      </c>
      <c r="X42" s="38" t="s">
        <v>959</v>
      </c>
      <c r="Y42" s="38"/>
      <c r="Z42" s="38"/>
      <c r="AA42" s="38"/>
      <c r="AB42" s="38"/>
      <c r="AC42" s="38"/>
      <c r="AD42" s="38"/>
      <c r="AE42" s="38"/>
      <c r="AF42" s="38"/>
      <c r="AG42" s="28"/>
      <c r="AH42" s="28"/>
      <c r="AI42" s="28"/>
      <c r="AJ42" s="28"/>
      <c r="AK42" s="28"/>
      <c r="AL42" s="28"/>
      <c r="AM42" s="28"/>
      <c r="AN42" s="54"/>
      <c r="AO42" s="28"/>
      <c r="AP42" s="54"/>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row>
    <row r="43" ht="25.5" customHeight="1">
      <c r="A43" s="28">
        <v>70.0</v>
      </c>
      <c r="B43" s="37" t="b">
        <v>1</v>
      </c>
      <c r="C43" s="38" t="s">
        <v>106</v>
      </c>
      <c r="D43" s="38">
        <v>80.0</v>
      </c>
      <c r="E43" s="13" t="b">
        <v>0</v>
      </c>
      <c r="F43" s="13" t="b">
        <v>1</v>
      </c>
      <c r="G43" s="38" t="s">
        <v>224</v>
      </c>
      <c r="H43" s="38"/>
      <c r="I43" s="38" t="s">
        <v>887</v>
      </c>
      <c r="J43" s="38">
        <v>9.0</v>
      </c>
      <c r="K43" s="38" t="s">
        <v>960</v>
      </c>
      <c r="L43" s="38">
        <v>904.0</v>
      </c>
      <c r="M43" s="38" t="s">
        <v>239</v>
      </c>
      <c r="N43" s="38">
        <v>4000.0</v>
      </c>
      <c r="O43" s="38" t="s">
        <v>70</v>
      </c>
      <c r="P43" s="40"/>
      <c r="Q43" s="38" t="s">
        <v>298</v>
      </c>
      <c r="R43" s="38">
        <v>44.0</v>
      </c>
      <c r="S43" s="38" t="s">
        <v>961</v>
      </c>
      <c r="T43" s="38" t="s">
        <v>962</v>
      </c>
      <c r="U43" s="38" t="s">
        <v>963</v>
      </c>
      <c r="V43" s="38">
        <v>2012.0</v>
      </c>
      <c r="W43" s="38" t="s">
        <v>964</v>
      </c>
      <c r="X43" s="38"/>
      <c r="Y43" s="38"/>
      <c r="Z43" s="38"/>
      <c r="AA43" s="38"/>
      <c r="AB43" s="38"/>
      <c r="AC43" s="38"/>
      <c r="AD43" s="38"/>
      <c r="AE43" s="38"/>
      <c r="AF43" s="38"/>
      <c r="AG43" s="28"/>
      <c r="AH43" s="28" t="s">
        <v>39</v>
      </c>
      <c r="AI43" s="28" t="s">
        <v>462</v>
      </c>
      <c r="AJ43" s="28" t="s">
        <v>39</v>
      </c>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row>
    <row r="44" ht="25.5" customHeight="1">
      <c r="A44" s="28">
        <v>122.0</v>
      </c>
      <c r="B44" s="37" t="b">
        <v>1</v>
      </c>
      <c r="C44" s="38" t="s">
        <v>106</v>
      </c>
      <c r="D44" s="38">
        <v>80.0</v>
      </c>
      <c r="E44" s="13" t="b">
        <v>1</v>
      </c>
      <c r="F44" s="13" t="b">
        <v>0</v>
      </c>
      <c r="G44" s="38" t="s">
        <v>284</v>
      </c>
      <c r="H44" s="38">
        <v>53.0</v>
      </c>
      <c r="I44" s="38" t="s">
        <v>224</v>
      </c>
      <c r="J44" s="38"/>
      <c r="K44" s="38" t="s">
        <v>224</v>
      </c>
      <c r="L44" s="38"/>
      <c r="M44" s="38" t="s">
        <v>965</v>
      </c>
      <c r="N44" s="38" t="s">
        <v>966</v>
      </c>
      <c r="O44" s="38" t="s">
        <v>967</v>
      </c>
      <c r="P44" s="40"/>
      <c r="Q44" s="38" t="s">
        <v>289</v>
      </c>
      <c r="R44" s="38">
        <v>40.0</v>
      </c>
      <c r="S44" s="38" t="s">
        <v>968</v>
      </c>
      <c r="T44" s="38" t="s">
        <v>969</v>
      </c>
      <c r="U44" s="38" t="s">
        <v>970</v>
      </c>
      <c r="V44" s="38">
        <v>2012.0</v>
      </c>
      <c r="W44" s="38" t="s">
        <v>971</v>
      </c>
      <c r="X44" s="49" t="str">
        <f>HYPERLINK("https://www.researchgate.net/publication/267643657_Seven_Cognitive_Concepts_for_Successful_Sustainable_Design","https://www.researchgate.net/publication/267643657_Seven_Cognitive_Concepts_for_Successful_Sustainable_Design")</f>
        <v>https://www.researchgate.net/publication/267643657_Seven_Cognitive_Concepts_for_Successful_Sustainable_Design</v>
      </c>
      <c r="Y44" s="38"/>
      <c r="Z44" s="38"/>
      <c r="AA44" s="38"/>
      <c r="AB44" s="38"/>
      <c r="AC44" s="38"/>
      <c r="AD44" s="38"/>
      <c r="AE44" s="38"/>
      <c r="AF44" s="3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row>
    <row r="45" ht="25.5" customHeight="1">
      <c r="A45" s="28">
        <v>10009.0</v>
      </c>
      <c r="B45" s="37" t="b">
        <v>1</v>
      </c>
      <c r="C45" s="38" t="s">
        <v>238</v>
      </c>
      <c r="D45" s="38">
        <v>81.0</v>
      </c>
      <c r="E45" s="13" t="b">
        <v>1</v>
      </c>
      <c r="F45" s="13" t="b">
        <v>0</v>
      </c>
      <c r="G45" s="38" t="s">
        <v>224</v>
      </c>
      <c r="H45" s="38"/>
      <c r="I45" s="38" t="s">
        <v>972</v>
      </c>
      <c r="J45" s="38" t="s">
        <v>973</v>
      </c>
      <c r="K45" s="38"/>
      <c r="L45" s="38"/>
      <c r="M45" s="38" t="s">
        <v>388</v>
      </c>
      <c r="N45" s="38">
        <v>14000.0</v>
      </c>
      <c r="O45" s="38" t="s">
        <v>224</v>
      </c>
      <c r="P45" s="40"/>
      <c r="Q45" s="38" t="s">
        <v>289</v>
      </c>
      <c r="R45" s="38">
        <v>40.0</v>
      </c>
      <c r="S45" s="38" t="s">
        <v>974</v>
      </c>
      <c r="T45" s="38" t="s">
        <v>975</v>
      </c>
      <c r="U45" s="38" t="s">
        <v>976</v>
      </c>
      <c r="V45" s="55">
        <v>42047.0</v>
      </c>
      <c r="W45" s="38" t="s">
        <v>977</v>
      </c>
      <c r="X45" s="49" t="str">
        <f>HYPERLINK("http://www.psychologicalscience.org/index.php/news/releases/people-value-resources-more-consistently-when-they-are-scarce.html","http://www.psychologicalscience.org/index.php/news/releases/people-value-resources-more-consistently-when-they-are-scarce.html")</f>
        <v>http://www.psychologicalscience.org/index.php/news/releases/people-value-resources-more-consistently-when-they-are-scarce.html</v>
      </c>
      <c r="Y45" s="38"/>
      <c r="Z45" s="38"/>
      <c r="AA45" s="38"/>
      <c r="AB45" s="38"/>
      <c r="AC45" s="38"/>
      <c r="AD45" s="38"/>
      <c r="AE45" s="38"/>
      <c r="AF45" s="38"/>
      <c r="AG45" s="28"/>
      <c r="AH45" s="28" t="s">
        <v>462</v>
      </c>
      <c r="AI45" s="28" t="s">
        <v>462</v>
      </c>
      <c r="AJ45" s="28"/>
      <c r="AK45" s="28" t="s">
        <v>978</v>
      </c>
      <c r="AL45" s="28" t="s">
        <v>769</v>
      </c>
      <c r="AM45" s="28" t="s">
        <v>979</v>
      </c>
      <c r="AN45" s="54">
        <v>42124.0</v>
      </c>
      <c r="AO45" s="54"/>
      <c r="AP45" s="28"/>
      <c r="AQ45" s="28" t="s">
        <v>769</v>
      </c>
      <c r="AR45" s="28"/>
      <c r="AS45" s="54">
        <v>42538.0</v>
      </c>
      <c r="AT45" s="28"/>
      <c r="AU45" s="28"/>
      <c r="AV45" s="28"/>
      <c r="AW45" s="28"/>
      <c r="AX45" s="28"/>
      <c r="AY45" s="28" t="s">
        <v>428</v>
      </c>
      <c r="AZ45" s="28"/>
      <c r="BA45" s="28"/>
      <c r="BB45" s="28"/>
      <c r="BC45" s="28"/>
      <c r="BD45" s="28"/>
      <c r="BE45" s="28"/>
      <c r="BF45" s="28"/>
      <c r="BG45" s="28"/>
      <c r="BH45" s="28"/>
      <c r="BI45" s="28"/>
      <c r="BJ45" s="28"/>
      <c r="BK45" s="28"/>
      <c r="BL45" s="28"/>
      <c r="BM45" s="28"/>
      <c r="BN45" s="28"/>
      <c r="BO45" s="28"/>
    </row>
    <row r="46" ht="25.5" customHeight="1">
      <c r="A46" s="28">
        <v>283.0</v>
      </c>
      <c r="B46" s="37" t="b">
        <v>1</v>
      </c>
      <c r="C46" s="38" t="s">
        <v>106</v>
      </c>
      <c r="D46" s="38">
        <v>80.0</v>
      </c>
      <c r="E46" s="13" t="b">
        <v>0</v>
      </c>
      <c r="F46" s="13" t="b">
        <v>1</v>
      </c>
      <c r="G46" s="38" t="s">
        <v>224</v>
      </c>
      <c r="H46" s="38"/>
      <c r="I46" s="38" t="s">
        <v>536</v>
      </c>
      <c r="J46" s="38">
        <v>3.0</v>
      </c>
      <c r="K46" s="65" t="s">
        <v>980</v>
      </c>
      <c r="L46" s="38"/>
      <c r="M46" s="38" t="s">
        <v>411</v>
      </c>
      <c r="N46" s="38">
        <v>21000.0</v>
      </c>
      <c r="O46" s="38" t="s">
        <v>981</v>
      </c>
      <c r="P46" s="40"/>
      <c r="Q46" s="38" t="s">
        <v>298</v>
      </c>
      <c r="R46" s="38">
        <v>44.0</v>
      </c>
      <c r="S46" s="38" t="s">
        <v>982</v>
      </c>
      <c r="T46" s="38" t="s">
        <v>983</v>
      </c>
      <c r="U46" s="38" t="s">
        <v>984</v>
      </c>
      <c r="V46" s="38">
        <v>2008.0</v>
      </c>
      <c r="W46" s="38" t="s">
        <v>985</v>
      </c>
      <c r="X46" s="38" t="s">
        <v>986</v>
      </c>
      <c r="Y46" s="38"/>
      <c r="Z46" s="38"/>
      <c r="AA46" s="38"/>
      <c r="AB46" s="38"/>
      <c r="AC46" s="38"/>
      <c r="AD46" s="38"/>
      <c r="AE46" s="38"/>
      <c r="AF46" s="3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row>
    <row r="47" ht="25.5" customHeight="1">
      <c r="A47" s="28">
        <v>10370.0</v>
      </c>
      <c r="B47" s="37" t="b">
        <v>1</v>
      </c>
      <c r="C47" s="38" t="s">
        <v>238</v>
      </c>
      <c r="D47" s="38">
        <v>81.0</v>
      </c>
      <c r="E47" s="13" t="b">
        <v>0</v>
      </c>
      <c r="F47" s="13" t="b">
        <v>1</v>
      </c>
      <c r="G47" s="38" t="s">
        <v>224</v>
      </c>
      <c r="H47" s="38"/>
      <c r="I47" s="38" t="s">
        <v>712</v>
      </c>
      <c r="J47" s="38">
        <v>7.0</v>
      </c>
      <c r="K47" s="38"/>
      <c r="L47" s="38"/>
      <c r="M47" s="38" t="s">
        <v>107</v>
      </c>
      <c r="N47" s="38">
        <v>3000.0</v>
      </c>
      <c r="O47" s="38" t="s">
        <v>116</v>
      </c>
      <c r="P47" s="40"/>
      <c r="Q47" s="38" t="s">
        <v>289</v>
      </c>
      <c r="R47" s="38">
        <v>40.0</v>
      </c>
      <c r="S47" s="38" t="s">
        <v>987</v>
      </c>
      <c r="T47" s="38" t="s">
        <v>988</v>
      </c>
      <c r="U47" s="38" t="s">
        <v>989</v>
      </c>
      <c r="V47" s="55">
        <v>42024.0</v>
      </c>
      <c r="W47" s="38" t="s">
        <v>990</v>
      </c>
      <c r="X47" s="49" t="str">
        <f>HYPERLINK("https://medium.com/backchannel/conserving-water-with-software-and-shame-3a846c01b811","https://medium.com/backchannel/conserving-water-with-software-and-shame-3a846c01b811")</f>
        <v>https://medium.com/backchannel/conserving-water-with-software-and-shame-3a846c01b811</v>
      </c>
      <c r="Y47" s="38"/>
      <c r="Z47" s="38"/>
      <c r="AA47" s="38"/>
      <c r="AB47" s="38"/>
      <c r="AC47" s="38"/>
      <c r="AD47" s="38"/>
      <c r="AE47" s="38"/>
      <c r="AF47" s="38"/>
      <c r="AG47" s="28"/>
      <c r="AH47" s="28" t="s">
        <v>462</v>
      </c>
      <c r="AI47" s="28" t="s">
        <v>462</v>
      </c>
      <c r="AJ47" s="28"/>
      <c r="AK47" s="28"/>
      <c r="AL47" s="28" t="s">
        <v>769</v>
      </c>
      <c r="AM47" s="28"/>
      <c r="AN47" s="54"/>
      <c r="AO47" s="54"/>
      <c r="AP47" s="28"/>
      <c r="AQ47" s="28" t="s">
        <v>769</v>
      </c>
      <c r="AR47" s="28"/>
      <c r="AS47" s="54">
        <v>42265.0</v>
      </c>
      <c r="AT47" s="28"/>
      <c r="AU47" s="54"/>
      <c r="AV47" s="28"/>
      <c r="AW47" s="28"/>
      <c r="AX47" s="28"/>
      <c r="AY47" s="28"/>
      <c r="AZ47" s="28" t="s">
        <v>991</v>
      </c>
      <c r="BA47" s="28"/>
      <c r="BB47" s="28"/>
      <c r="BC47" s="28"/>
      <c r="BD47" s="28"/>
      <c r="BE47" s="28"/>
      <c r="BF47" s="28"/>
      <c r="BG47" s="28"/>
      <c r="BH47" s="28"/>
      <c r="BI47" s="28"/>
      <c r="BJ47" s="28"/>
      <c r="BK47" s="28"/>
      <c r="BL47" s="28"/>
      <c r="BM47" s="28"/>
      <c r="BN47" s="28"/>
      <c r="BO47" s="28"/>
    </row>
    <row r="48" ht="25.5" customHeight="1">
      <c r="A48" s="28">
        <v>10356.0</v>
      </c>
      <c r="B48" s="37" t="b">
        <v>1</v>
      </c>
      <c r="C48" s="38" t="s">
        <v>238</v>
      </c>
      <c r="D48" s="38">
        <v>81.0</v>
      </c>
      <c r="E48" s="13" t="b">
        <v>0</v>
      </c>
      <c r="F48" s="13" t="b">
        <v>1</v>
      </c>
      <c r="G48" s="38" t="s">
        <v>224</v>
      </c>
      <c r="H48" s="38"/>
      <c r="I48" s="38" t="s">
        <v>280</v>
      </c>
      <c r="J48" s="38">
        <v>10.0</v>
      </c>
      <c r="K48" s="38"/>
      <c r="L48" s="38"/>
      <c r="M48" s="38" t="s">
        <v>992</v>
      </c>
      <c r="N48" s="38" t="s">
        <v>993</v>
      </c>
      <c r="O48" s="38" t="s">
        <v>994</v>
      </c>
      <c r="P48" s="40"/>
      <c r="Q48" s="38" t="s">
        <v>289</v>
      </c>
      <c r="R48" s="38">
        <v>40.0</v>
      </c>
      <c r="S48" s="38" t="s">
        <v>995</v>
      </c>
      <c r="T48" s="38" t="s">
        <v>996</v>
      </c>
      <c r="U48" s="38" t="s">
        <v>997</v>
      </c>
      <c r="V48" s="42">
        <v>42374.0</v>
      </c>
      <c r="W48" s="38"/>
      <c r="X48" s="38" t="s">
        <v>830</v>
      </c>
      <c r="Y48" s="38"/>
      <c r="Z48" s="38"/>
      <c r="AA48" s="38"/>
      <c r="AB48" s="38"/>
      <c r="AC48" s="38"/>
      <c r="AD48" s="38"/>
      <c r="AE48" s="38"/>
      <c r="AF48" s="38"/>
      <c r="AG48" s="28"/>
      <c r="AH48" s="28"/>
      <c r="AI48" s="28"/>
      <c r="AJ48" s="28"/>
      <c r="AK48" s="28"/>
      <c r="AL48" s="28"/>
      <c r="AM48" s="28"/>
      <c r="AN48" s="28"/>
      <c r="AO48" s="28"/>
      <c r="AP48" s="28"/>
      <c r="AQ48" s="28"/>
      <c r="AR48" s="28"/>
      <c r="AS48" s="28"/>
      <c r="AT48" s="28"/>
      <c r="AU48" s="28"/>
      <c r="AV48" s="28"/>
      <c r="AW48" s="28"/>
      <c r="AX48" s="28"/>
      <c r="AY48" s="28"/>
      <c r="AZ48" s="28" t="s">
        <v>998</v>
      </c>
      <c r="BA48" s="28"/>
      <c r="BB48" s="28"/>
      <c r="BC48" s="28"/>
      <c r="BD48" s="28"/>
      <c r="BE48" s="28"/>
      <c r="BF48" s="28"/>
      <c r="BG48" s="28"/>
      <c r="BH48" s="28"/>
      <c r="BI48" s="28"/>
      <c r="BJ48" s="28"/>
      <c r="BK48" s="28"/>
      <c r="BL48" s="28"/>
      <c r="BM48" s="28"/>
      <c r="BN48" s="28"/>
      <c r="BO48" s="28"/>
    </row>
    <row r="49" ht="25.5" customHeight="1">
      <c r="A49" s="28">
        <v>156.0</v>
      </c>
      <c r="B49" s="37" t="b">
        <v>1</v>
      </c>
      <c r="C49" s="38" t="s">
        <v>106</v>
      </c>
      <c r="D49" s="38">
        <v>80.0</v>
      </c>
      <c r="E49" s="13" t="b">
        <v>1</v>
      </c>
      <c r="F49" s="13" t="b">
        <v>0</v>
      </c>
      <c r="G49" s="38" t="s">
        <v>999</v>
      </c>
      <c r="H49" s="38" t="s">
        <v>1000</v>
      </c>
      <c r="I49" s="38" t="s">
        <v>224</v>
      </c>
      <c r="J49" s="38"/>
      <c r="K49" s="38" t="s">
        <v>224</v>
      </c>
      <c r="L49" s="38"/>
      <c r="M49" s="38" t="s">
        <v>411</v>
      </c>
      <c r="N49" s="38">
        <v>21000.0</v>
      </c>
      <c r="O49" s="38" t="s">
        <v>1001</v>
      </c>
      <c r="P49" s="40"/>
      <c r="Q49" s="38" t="s">
        <v>289</v>
      </c>
      <c r="R49" s="38">
        <v>40.0</v>
      </c>
      <c r="S49" s="38" t="s">
        <v>1002</v>
      </c>
      <c r="T49" s="38" t="s">
        <v>1003</v>
      </c>
      <c r="U49" s="38" t="s">
        <v>1004</v>
      </c>
      <c r="V49" s="38">
        <v>2004.0</v>
      </c>
      <c r="W49" s="38" t="s">
        <v>1005</v>
      </c>
      <c r="X49" s="38"/>
      <c r="Y49" s="38"/>
      <c r="Z49" s="38"/>
      <c r="AA49" s="38"/>
      <c r="AB49" s="38"/>
      <c r="AC49" s="38"/>
      <c r="AD49" s="38"/>
      <c r="AE49" s="38"/>
      <c r="AF49" s="3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row>
    <row r="50" ht="25.5" customHeight="1">
      <c r="A50" s="28">
        <v>99.0</v>
      </c>
      <c r="B50" s="37" t="b">
        <v>1</v>
      </c>
      <c r="C50" s="38" t="s">
        <v>106</v>
      </c>
      <c r="D50" s="38">
        <v>80.0</v>
      </c>
      <c r="E50" s="13" t="b">
        <v>0</v>
      </c>
      <c r="F50" s="13" t="b">
        <v>1</v>
      </c>
      <c r="G50" s="38" t="s">
        <v>224</v>
      </c>
      <c r="H50" s="38"/>
      <c r="I50" s="38" t="s">
        <v>1006</v>
      </c>
      <c r="J50" s="38" t="s">
        <v>1007</v>
      </c>
      <c r="K50" s="38" t="s">
        <v>1008</v>
      </c>
      <c r="L50" s="38">
        <v>1003.0</v>
      </c>
      <c r="M50" s="38" t="s">
        <v>408</v>
      </c>
      <c r="N50" s="38">
        <v>20000.0</v>
      </c>
      <c r="O50" s="38" t="s">
        <v>169</v>
      </c>
      <c r="P50" s="40"/>
      <c r="Q50" s="38" t="s">
        <v>111</v>
      </c>
      <c r="R50" s="38">
        <v>41.0</v>
      </c>
      <c r="S50" s="38" t="s">
        <v>1009</v>
      </c>
      <c r="T50" s="38" t="s">
        <v>1010</v>
      </c>
      <c r="U50" s="38" t="s">
        <v>1004</v>
      </c>
      <c r="V50" s="38">
        <v>2003.0</v>
      </c>
      <c r="W50" s="38" t="s">
        <v>1011</v>
      </c>
      <c r="X50" s="38" t="s">
        <v>1012</v>
      </c>
      <c r="Y50" s="38"/>
      <c r="Z50" s="38"/>
      <c r="AA50" s="38"/>
      <c r="AB50" s="38"/>
      <c r="AC50" s="38"/>
      <c r="AD50" s="38"/>
      <c r="AE50" s="38"/>
      <c r="AF50" s="38"/>
      <c r="AG50" s="28" t="s">
        <v>1013</v>
      </c>
      <c r="AH50" s="28" t="s">
        <v>428</v>
      </c>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row>
    <row r="51" ht="25.5" customHeight="1">
      <c r="A51" s="28">
        <v>102.0</v>
      </c>
      <c r="B51" s="37" t="b">
        <v>1</v>
      </c>
      <c r="C51" s="38" t="s">
        <v>106</v>
      </c>
      <c r="D51" s="38">
        <v>80.0</v>
      </c>
      <c r="E51" s="13" t="b">
        <v>0</v>
      </c>
      <c r="F51" s="13" t="b">
        <v>1</v>
      </c>
      <c r="G51" s="38" t="s">
        <v>224</v>
      </c>
      <c r="H51" s="38"/>
      <c r="I51" s="38" t="s">
        <v>1014</v>
      </c>
      <c r="J51" s="38" t="s">
        <v>1015</v>
      </c>
      <c r="K51" s="38" t="s">
        <v>1016</v>
      </c>
      <c r="L51" s="38" t="s">
        <v>1017</v>
      </c>
      <c r="M51" s="38" t="s">
        <v>239</v>
      </c>
      <c r="N51" s="38">
        <v>4000.0</v>
      </c>
      <c r="O51" s="38" t="s">
        <v>605</v>
      </c>
      <c r="P51" s="40"/>
      <c r="Q51" s="38" t="s">
        <v>111</v>
      </c>
      <c r="R51" s="38">
        <v>41.0</v>
      </c>
      <c r="S51" s="38" t="s">
        <v>1018</v>
      </c>
      <c r="T51" s="38" t="s">
        <v>1019</v>
      </c>
      <c r="U51" s="38" t="s">
        <v>1020</v>
      </c>
      <c r="V51" s="38">
        <v>2015.0</v>
      </c>
      <c r="W51" s="38" t="s">
        <v>1021</v>
      </c>
      <c r="X51" s="38" t="s">
        <v>1022</v>
      </c>
      <c r="Y51" s="38"/>
      <c r="Z51" s="38"/>
      <c r="AA51" s="38"/>
      <c r="AB51" s="38"/>
      <c r="AC51" s="38"/>
      <c r="AD51" s="38"/>
      <c r="AE51" s="38"/>
      <c r="AF51" s="38"/>
      <c r="AG51" s="28"/>
      <c r="AH51" s="28" t="s">
        <v>462</v>
      </c>
      <c r="AI51" s="28" t="s">
        <v>428</v>
      </c>
      <c r="AJ51" s="28"/>
      <c r="AK51" s="28"/>
      <c r="AL51" s="28"/>
      <c r="AM51" s="28"/>
      <c r="AN51" s="28"/>
      <c r="AO51" s="28"/>
      <c r="AP51" s="28"/>
      <c r="AQ51" s="28"/>
      <c r="AR51" s="28"/>
      <c r="AS51" s="28"/>
      <c r="AT51" s="28"/>
      <c r="AU51" s="28"/>
      <c r="AV51" s="28"/>
      <c r="AW51" s="28"/>
      <c r="AX51" s="28"/>
      <c r="AY51" s="28"/>
      <c r="AZ51" s="28"/>
      <c r="BA51" s="28" t="s">
        <v>1023</v>
      </c>
      <c r="BB51" s="28"/>
      <c r="BC51" s="28"/>
      <c r="BD51" s="28"/>
      <c r="BE51" s="28"/>
      <c r="BF51" s="28"/>
      <c r="BG51" s="28"/>
      <c r="BH51" s="28"/>
      <c r="BI51" s="28"/>
      <c r="BJ51" s="28"/>
      <c r="BK51" s="28"/>
      <c r="BL51" s="28"/>
      <c r="BM51" s="28"/>
      <c r="BN51" s="28"/>
      <c r="BO51" s="28"/>
    </row>
    <row r="52" ht="25.5" customHeight="1">
      <c r="A52" s="28">
        <v>262.0</v>
      </c>
      <c r="B52" s="37" t="b">
        <v>1</v>
      </c>
      <c r="C52" s="38" t="s">
        <v>106</v>
      </c>
      <c r="D52" s="38">
        <v>80.0</v>
      </c>
      <c r="E52" s="13" t="b">
        <v>0</v>
      </c>
      <c r="F52" s="13" t="b">
        <v>1</v>
      </c>
      <c r="G52" s="38" t="s">
        <v>224</v>
      </c>
      <c r="H52" s="38"/>
      <c r="I52" s="38" t="s">
        <v>536</v>
      </c>
      <c r="J52" s="38">
        <v>3.0</v>
      </c>
      <c r="K52" s="38" t="s">
        <v>603</v>
      </c>
      <c r="L52" s="38">
        <v>304.0</v>
      </c>
      <c r="M52" s="38" t="s">
        <v>239</v>
      </c>
      <c r="N52" s="38">
        <v>4000.0</v>
      </c>
      <c r="O52" s="38" t="s">
        <v>70</v>
      </c>
      <c r="P52" s="40"/>
      <c r="Q52" s="38" t="s">
        <v>111</v>
      </c>
      <c r="R52" s="38">
        <v>41.0</v>
      </c>
      <c r="S52" s="38" t="s">
        <v>1024</v>
      </c>
      <c r="T52" s="38" t="s">
        <v>1025</v>
      </c>
      <c r="U52" s="38" t="s">
        <v>1026</v>
      </c>
      <c r="V52" s="38">
        <v>2014.0</v>
      </c>
      <c r="W52" s="38" t="s">
        <v>1027</v>
      </c>
      <c r="X52" s="38" t="s">
        <v>1028</v>
      </c>
      <c r="Y52" s="38"/>
      <c r="Z52" s="38"/>
      <c r="AA52" s="38"/>
      <c r="AB52" s="38"/>
      <c r="AC52" s="38"/>
      <c r="AD52" s="38"/>
      <c r="AE52" s="38"/>
      <c r="AF52" s="38"/>
      <c r="AG52" s="28" t="s">
        <v>1029</v>
      </c>
      <c r="AH52" s="28" t="s">
        <v>1030</v>
      </c>
      <c r="AI52" s="28" t="s">
        <v>1030</v>
      </c>
      <c r="AJ52" s="28"/>
      <c r="AK52" s="28"/>
      <c r="AL52" s="28" t="s">
        <v>561</v>
      </c>
      <c r="AM52" s="28" t="s">
        <v>1031</v>
      </c>
      <c r="AN52" s="54">
        <v>42451.0</v>
      </c>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row>
    <row r="53" ht="25.5" customHeight="1">
      <c r="A53" s="28">
        <v>265.0</v>
      </c>
      <c r="B53" s="37" t="b">
        <v>1</v>
      </c>
      <c r="C53" s="38" t="s">
        <v>106</v>
      </c>
      <c r="D53" s="38">
        <v>80.0</v>
      </c>
      <c r="E53" s="13" t="b">
        <v>0</v>
      </c>
      <c r="F53" s="13" t="b">
        <v>1</v>
      </c>
      <c r="G53" s="38" t="s">
        <v>224</v>
      </c>
      <c r="H53" s="38"/>
      <c r="I53" s="38" t="s">
        <v>536</v>
      </c>
      <c r="J53" s="38">
        <v>3.0</v>
      </c>
      <c r="K53" s="38" t="s">
        <v>603</v>
      </c>
      <c r="L53" s="38">
        <v>304.0</v>
      </c>
      <c r="M53" s="38" t="s">
        <v>239</v>
      </c>
      <c r="N53" s="38">
        <v>4000.0</v>
      </c>
      <c r="O53" s="38" t="s">
        <v>1032</v>
      </c>
      <c r="P53" s="40"/>
      <c r="Q53" s="38" t="s">
        <v>289</v>
      </c>
      <c r="R53" s="38">
        <v>40.0</v>
      </c>
      <c r="S53" s="38" t="s">
        <v>1033</v>
      </c>
      <c r="T53" s="38" t="s">
        <v>1034</v>
      </c>
      <c r="U53" s="38" t="s">
        <v>1035</v>
      </c>
      <c r="V53" s="38">
        <v>1980.0</v>
      </c>
      <c r="W53" s="38" t="s">
        <v>1036</v>
      </c>
      <c r="X53" s="49" t="str">
        <f>HYPERLINK("http://www.sciencedirect.com/science/article/pii/S0005789480800074","http://www.sciencedirect.com/science/article/pii/S0005789480800074")</f>
        <v>http://www.sciencedirect.com/science/article/pii/S0005789480800074</v>
      </c>
      <c r="Y53" s="38"/>
      <c r="Z53" s="38"/>
      <c r="AA53" s="38"/>
      <c r="AB53" s="38"/>
      <c r="AC53" s="38"/>
      <c r="AD53" s="38"/>
      <c r="AE53" s="38"/>
      <c r="AF53" s="38"/>
      <c r="AG53" s="28"/>
      <c r="AH53" s="28" t="s">
        <v>428</v>
      </c>
      <c r="AI53" s="28" t="s">
        <v>462</v>
      </c>
      <c r="AJ53" s="28"/>
      <c r="AK53" s="28"/>
      <c r="AL53" s="28"/>
      <c r="AM53" s="28"/>
      <c r="AN53" s="28"/>
      <c r="AO53" s="28"/>
      <c r="AP53" s="28"/>
      <c r="AQ53" s="28"/>
      <c r="AR53" s="28"/>
      <c r="AS53" s="28"/>
      <c r="AT53" s="28"/>
      <c r="AU53" s="28"/>
      <c r="AV53" s="28"/>
      <c r="AW53" s="28"/>
      <c r="AX53" s="28"/>
      <c r="AY53" s="28"/>
      <c r="AZ53" s="28"/>
      <c r="BA53" s="28" t="s">
        <v>1037</v>
      </c>
      <c r="BB53" s="28"/>
      <c r="BC53" s="28"/>
      <c r="BD53" s="28"/>
      <c r="BE53" s="28"/>
      <c r="BF53" s="28"/>
      <c r="BG53" s="28"/>
      <c r="BH53" s="28"/>
      <c r="BI53" s="28"/>
      <c r="BJ53" s="28"/>
      <c r="BK53" s="28"/>
      <c r="BL53" s="28"/>
      <c r="BM53" s="28"/>
      <c r="BN53" s="28"/>
      <c r="BO53" s="28"/>
    </row>
    <row r="54" ht="25.5" customHeight="1">
      <c r="A54" s="28">
        <v>186.0</v>
      </c>
      <c r="B54" s="37" t="b">
        <v>1</v>
      </c>
      <c r="C54" s="38" t="s">
        <v>106</v>
      </c>
      <c r="D54" s="38">
        <v>80.0</v>
      </c>
      <c r="E54" s="13" t="b">
        <v>0</v>
      </c>
      <c r="F54" s="13" t="b">
        <v>1</v>
      </c>
      <c r="G54" s="38" t="s">
        <v>224</v>
      </c>
      <c r="H54" s="38"/>
      <c r="I54" s="38" t="s">
        <v>429</v>
      </c>
      <c r="J54" s="38">
        <v>2.0</v>
      </c>
      <c r="K54" s="38" t="s">
        <v>524</v>
      </c>
      <c r="L54" s="38">
        <v>205.0</v>
      </c>
      <c r="M54" s="38" t="s">
        <v>388</v>
      </c>
      <c r="N54" s="38">
        <v>14000.0</v>
      </c>
      <c r="O54" s="38" t="s">
        <v>224</v>
      </c>
      <c r="P54" s="40"/>
      <c r="Q54" s="38" t="s">
        <v>289</v>
      </c>
      <c r="R54" s="38">
        <v>40.0</v>
      </c>
      <c r="S54" s="38" t="s">
        <v>1038</v>
      </c>
      <c r="T54" s="38" t="s">
        <v>1039</v>
      </c>
      <c r="U54" s="38" t="s">
        <v>1040</v>
      </c>
      <c r="V54" s="38">
        <v>2012.0</v>
      </c>
      <c r="W54" s="38" t="s">
        <v>1041</v>
      </c>
      <c r="X54" s="49" t="str">
        <f>HYPERLINK("http://papers.ssrn.com/sol3/papers.cfm?abstract_id=2173387","http://papers.ssrn.com/sol3/papers.cfm?abstract_id=2173387")</f>
        <v>http://papers.ssrn.com/sol3/papers.cfm?abstract_id=2173387</v>
      </c>
      <c r="Y54" s="38"/>
      <c r="Z54" s="38"/>
      <c r="AA54" s="38"/>
      <c r="AB54" s="38"/>
      <c r="AC54" s="38"/>
      <c r="AD54" s="38"/>
      <c r="AE54" s="38"/>
      <c r="AF54" s="38"/>
      <c r="AG54" s="28"/>
      <c r="AH54" s="28" t="s">
        <v>462</v>
      </c>
      <c r="AI54" s="28" t="s">
        <v>462</v>
      </c>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row>
    <row r="55" ht="25.5" customHeight="1">
      <c r="A55" s="28">
        <v>416.0</v>
      </c>
      <c r="B55" s="37" t="b">
        <v>1</v>
      </c>
      <c r="C55" s="38" t="s">
        <v>106</v>
      </c>
      <c r="D55" s="38">
        <v>80.0</v>
      </c>
      <c r="E55" s="13" t="b">
        <v>0</v>
      </c>
      <c r="F55" s="13" t="b">
        <v>1</v>
      </c>
      <c r="G55" s="38" t="s">
        <v>224</v>
      </c>
      <c r="H55" s="38"/>
      <c r="I55" s="38" t="s">
        <v>68</v>
      </c>
      <c r="J55" s="38">
        <v>7.0</v>
      </c>
      <c r="K55" s="38" t="s">
        <v>1042</v>
      </c>
      <c r="L55" s="38" t="s">
        <v>1043</v>
      </c>
      <c r="M55" s="47" t="s">
        <v>1044</v>
      </c>
      <c r="N55" s="38" t="s">
        <v>1045</v>
      </c>
      <c r="O55" s="38" t="s">
        <v>1046</v>
      </c>
      <c r="P55" s="40"/>
      <c r="Q55" s="38" t="s">
        <v>324</v>
      </c>
      <c r="R55" s="38" t="s">
        <v>325</v>
      </c>
      <c r="S55" s="38" t="s">
        <v>1047</v>
      </c>
      <c r="T55" s="38" t="s">
        <v>1048</v>
      </c>
      <c r="U55" s="38" t="s">
        <v>1049</v>
      </c>
      <c r="V55" s="38">
        <v>2015.0</v>
      </c>
      <c r="W55" s="38" t="s">
        <v>1050</v>
      </c>
      <c r="X55" s="38" t="s">
        <v>1051</v>
      </c>
      <c r="Y55" s="38"/>
      <c r="Z55" s="38"/>
      <c r="AA55" s="38"/>
      <c r="AB55" s="38"/>
      <c r="AC55" s="38"/>
      <c r="AD55" s="38"/>
      <c r="AE55" s="38"/>
      <c r="AF55" s="38"/>
      <c r="AG55" s="28"/>
      <c r="AH55" s="28" t="s">
        <v>428</v>
      </c>
      <c r="AI55" s="28" t="s">
        <v>462</v>
      </c>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row>
    <row r="56" ht="25.5" customHeight="1">
      <c r="A56" s="28">
        <v>403.0</v>
      </c>
      <c r="B56" s="37" t="b">
        <v>1</v>
      </c>
      <c r="C56" s="38" t="s">
        <v>106</v>
      </c>
      <c r="D56" s="38">
        <v>80.0</v>
      </c>
      <c r="E56" s="13" t="b">
        <v>0</v>
      </c>
      <c r="F56" s="13" t="b">
        <v>1</v>
      </c>
      <c r="G56" s="38" t="s">
        <v>224</v>
      </c>
      <c r="H56" s="38"/>
      <c r="I56" s="38" t="s">
        <v>712</v>
      </c>
      <c r="J56" s="38">
        <v>7.0</v>
      </c>
      <c r="K56" s="38" t="s">
        <v>731</v>
      </c>
      <c r="L56" s="38">
        <v>700.0</v>
      </c>
      <c r="M56" s="38" t="s">
        <v>411</v>
      </c>
      <c r="N56" s="38">
        <v>21000.0</v>
      </c>
      <c r="O56" s="38" t="s">
        <v>1052</v>
      </c>
      <c r="P56" s="40"/>
      <c r="Q56" s="38" t="s">
        <v>289</v>
      </c>
      <c r="R56" s="38">
        <v>40.0</v>
      </c>
      <c r="S56" s="38" t="s">
        <v>1053</v>
      </c>
      <c r="T56" s="38" t="s">
        <v>1054</v>
      </c>
      <c r="U56" s="38" t="s">
        <v>1055</v>
      </c>
      <c r="V56" s="38">
        <v>2006.0</v>
      </c>
      <c r="W56" s="38" t="s">
        <v>1056</v>
      </c>
      <c r="X56" s="38" t="s">
        <v>1057</v>
      </c>
      <c r="Y56" s="38"/>
      <c r="Z56" s="38"/>
      <c r="AA56" s="38"/>
      <c r="AB56" s="38"/>
      <c r="AC56" s="38"/>
      <c r="AD56" s="38"/>
      <c r="AE56" s="38"/>
      <c r="AF56" s="38"/>
      <c r="AG56" s="28"/>
      <c r="AH56" s="28" t="s">
        <v>428</v>
      </c>
      <c r="AI56" s="28" t="s">
        <v>462</v>
      </c>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row>
    <row r="57" ht="25.5" customHeight="1">
      <c r="A57" s="28">
        <v>10431.0</v>
      </c>
      <c r="B57" s="37" t="b">
        <v>1</v>
      </c>
      <c r="C57" s="38" t="s">
        <v>238</v>
      </c>
      <c r="D57" s="38">
        <v>81.0</v>
      </c>
      <c r="E57" s="13" t="b">
        <v>0</v>
      </c>
      <c r="F57" s="13" t="b">
        <v>1</v>
      </c>
      <c r="G57" s="38" t="s">
        <v>224</v>
      </c>
      <c r="H57" s="38"/>
      <c r="I57" s="38" t="s">
        <v>772</v>
      </c>
      <c r="J57" s="38">
        <v>5.0</v>
      </c>
      <c r="K57" s="38"/>
      <c r="L57" s="38"/>
      <c r="M57" s="38" t="s">
        <v>35</v>
      </c>
      <c r="N57" s="38">
        <v>2000.0</v>
      </c>
      <c r="O57" s="38" t="s">
        <v>578</v>
      </c>
      <c r="P57" s="40"/>
      <c r="Q57" s="38" t="s">
        <v>289</v>
      </c>
      <c r="R57" s="38">
        <v>40.0</v>
      </c>
      <c r="S57" s="61" t="s">
        <v>1058</v>
      </c>
      <c r="T57" s="38" t="s">
        <v>1059</v>
      </c>
      <c r="U57" s="38" t="s">
        <v>1060</v>
      </c>
      <c r="V57" s="55">
        <v>40584.0</v>
      </c>
      <c r="W57" s="38" t="s">
        <v>1061</v>
      </c>
      <c r="X57" s="49" t="str">
        <f>HYPERLINK("http://newsroom.haas.berkeley.edu/research-news/global-warming-science-or-sensation-feeling-warm-makes-people-more-likely-believe","http://newsroom.haas.berkeley.edu/research-news/global-warming-science-or-sensation-feeling-warm-makes-people-more-likely-believe")</f>
        <v>http://newsroom.haas.berkeley.edu/research-news/global-warming-science-or-sensation-feeling-warm-makes-people-more-likely-believe</v>
      </c>
      <c r="Y57" s="38"/>
      <c r="Z57" s="38"/>
      <c r="AA57" s="38"/>
      <c r="AB57" s="38"/>
      <c r="AC57" s="38"/>
      <c r="AD57" s="38"/>
      <c r="AE57" s="38"/>
      <c r="AF57" s="38"/>
      <c r="AG57" s="28"/>
      <c r="AH57" s="28" t="s">
        <v>428</v>
      </c>
      <c r="AI57" s="28"/>
      <c r="AJ57" s="28"/>
      <c r="AK57" s="28"/>
      <c r="AL57" s="28" t="s">
        <v>769</v>
      </c>
      <c r="AM57" s="28" t="s">
        <v>1062</v>
      </c>
      <c r="AN57" s="54">
        <v>42682.0</v>
      </c>
      <c r="AO57" s="54"/>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row>
    <row r="58" ht="25.5" customHeight="1">
      <c r="A58" s="28">
        <v>477.0</v>
      </c>
      <c r="B58" s="37" t="b">
        <v>1</v>
      </c>
      <c r="C58" s="38" t="s">
        <v>106</v>
      </c>
      <c r="D58" s="38">
        <v>80.0</v>
      </c>
      <c r="E58" s="13" t="b">
        <v>0</v>
      </c>
      <c r="F58" s="13" t="b">
        <v>1</v>
      </c>
      <c r="G58" s="38" t="s">
        <v>224</v>
      </c>
      <c r="H58" s="38"/>
      <c r="I58" s="38" t="s">
        <v>772</v>
      </c>
      <c r="J58" s="38">
        <v>5.0</v>
      </c>
      <c r="K58" s="38" t="s">
        <v>1063</v>
      </c>
      <c r="L58" s="38">
        <v>506.0</v>
      </c>
      <c r="M58" s="38" t="s">
        <v>1064</v>
      </c>
      <c r="N58" s="38" t="s">
        <v>1065</v>
      </c>
      <c r="O58" s="38" t="s">
        <v>1066</v>
      </c>
      <c r="P58" s="40"/>
      <c r="Q58" s="38" t="s">
        <v>289</v>
      </c>
      <c r="R58" s="38">
        <v>40.0</v>
      </c>
      <c r="S58" s="38" t="s">
        <v>1067</v>
      </c>
      <c r="T58" s="38" t="s">
        <v>1068</v>
      </c>
      <c r="U58" s="38" t="s">
        <v>1069</v>
      </c>
      <c r="V58" s="38">
        <v>2006.0</v>
      </c>
      <c r="W58" s="38" t="s">
        <v>1070</v>
      </c>
      <c r="X58" s="38" t="s">
        <v>1071</v>
      </c>
      <c r="Y58" s="38"/>
      <c r="Z58" s="38"/>
      <c r="AA58" s="38"/>
      <c r="AB58" s="38"/>
      <c r="AC58" s="38"/>
      <c r="AD58" s="38"/>
      <c r="AE58" s="38"/>
      <c r="AF58" s="3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row>
    <row r="59" ht="25.5" customHeight="1">
      <c r="A59" s="28">
        <v>504.0</v>
      </c>
      <c r="B59" s="37" t="b">
        <v>1</v>
      </c>
      <c r="C59" s="38" t="s">
        <v>106</v>
      </c>
      <c r="D59" s="38">
        <v>80.0</v>
      </c>
      <c r="E59" s="13" t="b">
        <v>0</v>
      </c>
      <c r="F59" s="13" t="b">
        <v>1</v>
      </c>
      <c r="G59" s="38" t="s">
        <v>224</v>
      </c>
      <c r="H59" s="38"/>
      <c r="I59" s="38" t="s">
        <v>1072</v>
      </c>
      <c r="J59" s="38" t="s">
        <v>1073</v>
      </c>
      <c r="K59" s="38" t="s">
        <v>1074</v>
      </c>
      <c r="L59" s="38" t="s">
        <v>1075</v>
      </c>
      <c r="M59" s="38" t="s">
        <v>35</v>
      </c>
      <c r="N59" s="38">
        <v>2000.0</v>
      </c>
      <c r="O59" s="38" t="s">
        <v>1076</v>
      </c>
      <c r="P59" s="40"/>
      <c r="Q59" s="38" t="s">
        <v>289</v>
      </c>
      <c r="R59" s="38">
        <v>40.0</v>
      </c>
      <c r="S59" s="38" t="s">
        <v>1077</v>
      </c>
      <c r="T59" s="38" t="s">
        <v>1078</v>
      </c>
      <c r="U59" s="38" t="s">
        <v>1079</v>
      </c>
      <c r="V59" s="38">
        <v>2016.0</v>
      </c>
      <c r="W59" s="38" t="s">
        <v>1080</v>
      </c>
      <c r="X59" s="38"/>
      <c r="Y59" s="38"/>
      <c r="Z59" s="38"/>
      <c r="AA59" s="38"/>
      <c r="AB59" s="38"/>
      <c r="AC59" s="38"/>
      <c r="AD59" s="38"/>
      <c r="AE59" s="38"/>
      <c r="AF59" s="38"/>
      <c r="AG59" s="28"/>
      <c r="AH59" s="28" t="s">
        <v>530</v>
      </c>
      <c r="AI59" s="28" t="s">
        <v>530</v>
      </c>
      <c r="AJ59" s="28" t="s">
        <v>1081</v>
      </c>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row>
    <row r="60" ht="25.5" customHeight="1">
      <c r="A60" s="28">
        <v>10224.0</v>
      </c>
      <c r="B60" s="37" t="b">
        <v>1</v>
      </c>
      <c r="C60" s="38" t="s">
        <v>238</v>
      </c>
      <c r="D60" s="38">
        <v>81.0</v>
      </c>
      <c r="E60" s="13" t="b">
        <v>0</v>
      </c>
      <c r="F60" s="13" t="b">
        <v>1</v>
      </c>
      <c r="G60" s="38" t="s">
        <v>224</v>
      </c>
      <c r="H60" s="38"/>
      <c r="I60" s="38" t="s">
        <v>1082</v>
      </c>
      <c r="J60" s="38" t="s">
        <v>1083</v>
      </c>
      <c r="K60" s="38"/>
      <c r="L60" s="38"/>
      <c r="M60" s="38" t="s">
        <v>35</v>
      </c>
      <c r="N60" s="38">
        <v>2000.0</v>
      </c>
      <c r="O60" s="38" t="s">
        <v>644</v>
      </c>
      <c r="P60" s="40"/>
      <c r="Q60" s="38" t="s">
        <v>289</v>
      </c>
      <c r="R60" s="38">
        <v>40.0</v>
      </c>
      <c r="S60" s="38" t="s">
        <v>1084</v>
      </c>
      <c r="T60" s="38" t="s">
        <v>1085</v>
      </c>
      <c r="U60" s="38" t="s">
        <v>1086</v>
      </c>
      <c r="V60" s="55">
        <v>42194.0</v>
      </c>
      <c r="W60" s="38" t="s">
        <v>1087</v>
      </c>
      <c r="X60" s="49" t="str">
        <f>HYPERLINK("http://blessedtomorrow.org/blog/multi-faith-survey-reveals-5-keys-communicating-climate-change?utm_content=buffer8728c&amp;utm_medium=social&amp;utm_source=twitter.com&amp;utm_campaign=buffer","http://blessedtomorrow.org/blog/multi-faith-survey-reveals-5-keys-communicating-climate-change?utm_content=buffer8728c&amp;utm_medium=social&amp;utm_source=twitter.com&amp;utm_campaign=buffer")</f>
        <v>http://blessedtomorrow.org/blog/multi-faith-survey-reveals-5-keys-communicating-climate-change?utm_content=buffer8728c&amp;utm_medium=social&amp;utm_source=twitter.com&amp;utm_campaign=buffer</v>
      </c>
      <c r="Y60" s="38"/>
      <c r="Z60" s="38"/>
      <c r="AA60" s="38"/>
      <c r="AB60" s="38"/>
      <c r="AC60" s="38"/>
      <c r="AD60" s="38"/>
      <c r="AE60" s="38"/>
      <c r="AF60" s="38"/>
      <c r="AG60" s="28"/>
      <c r="AH60" s="28" t="s">
        <v>462</v>
      </c>
      <c r="AI60" s="28" t="s">
        <v>462</v>
      </c>
      <c r="AJ60" s="28"/>
      <c r="AK60" s="28" t="s">
        <v>676</v>
      </c>
      <c r="AL60" s="28" t="s">
        <v>600</v>
      </c>
      <c r="AM60" s="28"/>
      <c r="AN60" s="54"/>
      <c r="AO60" s="54"/>
      <c r="AP60" s="66"/>
      <c r="AQ60" s="28"/>
      <c r="AR60" s="28"/>
      <c r="AS60" s="54"/>
      <c r="AT60" s="28" t="s">
        <v>1088</v>
      </c>
      <c r="AU60" s="28"/>
      <c r="AV60" s="28" t="s">
        <v>1089</v>
      </c>
      <c r="AW60" s="28"/>
      <c r="AX60" s="28"/>
      <c r="AY60" s="28"/>
      <c r="AZ60" s="28"/>
      <c r="BA60" s="28"/>
      <c r="BB60" s="28"/>
      <c r="BC60" s="28"/>
      <c r="BD60" s="28"/>
      <c r="BE60" s="28"/>
      <c r="BF60" s="28"/>
      <c r="BG60" s="28"/>
      <c r="BH60" s="28"/>
      <c r="BI60" s="28"/>
      <c r="BJ60" s="28"/>
      <c r="BK60" s="28"/>
      <c r="BL60" s="28"/>
      <c r="BM60" s="28"/>
      <c r="BN60" s="28"/>
      <c r="BO60" s="28"/>
    </row>
    <row r="61" ht="25.5" customHeight="1">
      <c r="A61" s="28">
        <v>10229.0</v>
      </c>
      <c r="B61" s="37" t="b">
        <v>1</v>
      </c>
      <c r="C61" s="38" t="s">
        <v>238</v>
      </c>
      <c r="D61" s="38">
        <v>81.0</v>
      </c>
      <c r="E61" s="13" t="b">
        <v>0</v>
      </c>
      <c r="F61" s="13" t="b">
        <v>1</v>
      </c>
      <c r="G61" s="38" t="s">
        <v>224</v>
      </c>
      <c r="H61" s="38"/>
      <c r="I61" s="38" t="s">
        <v>429</v>
      </c>
      <c r="J61" s="38">
        <v>2.0</v>
      </c>
      <c r="K61" s="38"/>
      <c r="L61" s="38"/>
      <c r="M61" s="38" t="s">
        <v>107</v>
      </c>
      <c r="N61" s="38">
        <v>3000.0</v>
      </c>
      <c r="O61" s="38" t="s">
        <v>470</v>
      </c>
      <c r="P61" s="40"/>
      <c r="Q61" s="38" t="s">
        <v>111</v>
      </c>
      <c r="R61" s="38">
        <v>41.0</v>
      </c>
      <c r="S61" s="38" t="s">
        <v>1090</v>
      </c>
      <c r="T61" s="38" t="s">
        <v>1091</v>
      </c>
      <c r="U61" s="38" t="s">
        <v>1092</v>
      </c>
      <c r="V61" s="55">
        <v>41880.0</v>
      </c>
      <c r="W61" s="38"/>
      <c r="X61" s="49" t="str">
        <f>HYPERLINK("http://www.bloomberg.com/news/2014-08-29/nudging-can-save-europe-billions-of-euros-on-energy-bills.html","http://www.bloomberg.com/news/2014-08-29/nudging-can-save-europe-billions-of-euros-on-energy-bills.html")</f>
        <v>http://www.bloomberg.com/news/2014-08-29/nudging-can-save-europe-billions-of-euros-on-energy-bills.html</v>
      </c>
      <c r="Y61" s="38"/>
      <c r="Z61" s="38"/>
      <c r="AA61" s="38"/>
      <c r="AB61" s="38"/>
      <c r="AC61" s="38"/>
      <c r="AD61" s="38"/>
      <c r="AE61" s="38"/>
      <c r="AF61" s="38"/>
      <c r="AG61" s="28"/>
      <c r="AH61" s="28" t="s">
        <v>462</v>
      </c>
      <c r="AI61" s="28" t="s">
        <v>462</v>
      </c>
      <c r="AJ61" s="28"/>
      <c r="AK61" s="28" t="s">
        <v>676</v>
      </c>
      <c r="AL61" s="28" t="s">
        <v>769</v>
      </c>
      <c r="AM61" s="28" t="s">
        <v>1093</v>
      </c>
      <c r="AN61" s="54">
        <v>41898.0</v>
      </c>
      <c r="AO61" s="54"/>
      <c r="AP61" s="28" t="s">
        <v>1094</v>
      </c>
      <c r="AQ61" s="28" t="s">
        <v>530</v>
      </c>
      <c r="AR61" s="28"/>
      <c r="AS61" s="54"/>
      <c r="AT61" s="28"/>
      <c r="AU61" s="28"/>
      <c r="AV61" s="28"/>
      <c r="AW61" s="28"/>
      <c r="AX61" s="28"/>
      <c r="AY61" s="28"/>
      <c r="AZ61" s="28" t="s">
        <v>678</v>
      </c>
      <c r="BA61" s="28"/>
      <c r="BB61" s="28"/>
      <c r="BC61" s="28"/>
      <c r="BD61" s="28"/>
      <c r="BE61" s="28"/>
      <c r="BF61" s="28"/>
      <c r="BG61" s="28"/>
      <c r="BH61" s="28"/>
      <c r="BI61" s="28"/>
      <c r="BJ61" s="28"/>
      <c r="BK61" s="28"/>
      <c r="BL61" s="28"/>
      <c r="BM61" s="28"/>
      <c r="BN61" s="28"/>
      <c r="BO61" s="28"/>
    </row>
    <row r="62" ht="25.5" customHeight="1">
      <c r="A62" s="28">
        <v>10233.0</v>
      </c>
      <c r="B62" s="37" t="b">
        <v>1</v>
      </c>
      <c r="C62" s="38" t="s">
        <v>238</v>
      </c>
      <c r="D62" s="38">
        <v>81.0</v>
      </c>
      <c r="E62" s="13" t="b">
        <v>0</v>
      </c>
      <c r="F62" s="13" t="b">
        <v>1</v>
      </c>
      <c r="G62" s="38" t="s">
        <v>224</v>
      </c>
      <c r="H62" s="38"/>
      <c r="I62" s="38" t="s">
        <v>429</v>
      </c>
      <c r="J62" s="38">
        <v>2.0</v>
      </c>
      <c r="K62" s="38"/>
      <c r="L62" s="38"/>
      <c r="M62" s="38" t="s">
        <v>239</v>
      </c>
      <c r="N62" s="38">
        <v>4000.0</v>
      </c>
      <c r="O62" s="38" t="s">
        <v>623</v>
      </c>
      <c r="P62" s="40"/>
      <c r="Q62" s="38" t="s">
        <v>289</v>
      </c>
      <c r="R62" s="38">
        <v>40.0</v>
      </c>
      <c r="S62" s="38" t="s">
        <v>1095</v>
      </c>
      <c r="T62" s="38" t="s">
        <v>1096</v>
      </c>
      <c r="U62" s="38" t="s">
        <v>1097</v>
      </c>
      <c r="V62" s="55">
        <v>41368.0</v>
      </c>
      <c r="W62" s="38" t="s">
        <v>1098</v>
      </c>
      <c r="X62" s="49" t="str">
        <f>HYPERLINK("http://www.bloomberg.com/bw/articles/2013-04-04/with-clean-energy-default-rules-its-easy-being-green","http://www.bloomberg.com/bw/articles/2013-04-04/with-clean-energy-default-rules-its-easy-being-green")</f>
        <v>http://www.bloomberg.com/bw/articles/2013-04-04/with-clean-energy-default-rules-its-easy-being-green</v>
      </c>
      <c r="Y62" s="38"/>
      <c r="Z62" s="38"/>
      <c r="AA62" s="38"/>
      <c r="AB62" s="38"/>
      <c r="AC62" s="38"/>
      <c r="AD62" s="38"/>
      <c r="AE62" s="38"/>
      <c r="AF62" s="38"/>
      <c r="AG62" s="28"/>
      <c r="AH62" s="28" t="s">
        <v>462</v>
      </c>
      <c r="AI62" s="28" t="s">
        <v>462</v>
      </c>
      <c r="AJ62" s="28"/>
      <c r="AK62" s="28" t="s">
        <v>1099</v>
      </c>
      <c r="AL62" s="28" t="s">
        <v>769</v>
      </c>
      <c r="AM62" s="28" t="s">
        <v>1100</v>
      </c>
      <c r="AN62" s="54">
        <v>42327.0</v>
      </c>
      <c r="AO62" s="54"/>
      <c r="AP62" s="54"/>
      <c r="AQ62" s="28" t="s">
        <v>561</v>
      </c>
      <c r="AR62" s="28"/>
      <c r="AS62" s="54">
        <v>42333.0</v>
      </c>
      <c r="AT62" s="28"/>
      <c r="AU62" s="28"/>
      <c r="AV62" s="28"/>
      <c r="AW62" s="28"/>
      <c r="AX62" s="28"/>
      <c r="AY62" s="28"/>
      <c r="AZ62" s="28" t="s">
        <v>1101</v>
      </c>
      <c r="BA62" s="28"/>
      <c r="BB62" s="28"/>
      <c r="BC62" s="28"/>
      <c r="BD62" s="28"/>
      <c r="BE62" s="28"/>
      <c r="BF62" s="28"/>
      <c r="BG62" s="28"/>
      <c r="BH62" s="28"/>
      <c r="BI62" s="28"/>
      <c r="BJ62" s="28"/>
      <c r="BK62" s="28"/>
      <c r="BL62" s="28"/>
      <c r="BM62" s="28"/>
      <c r="BN62" s="28"/>
      <c r="BO62" s="28"/>
    </row>
    <row r="63" ht="25.5" customHeight="1">
      <c r="A63" s="28">
        <v>10044.0</v>
      </c>
      <c r="B63" s="37" t="b">
        <v>1</v>
      </c>
      <c r="C63" s="38" t="s">
        <v>238</v>
      </c>
      <c r="D63" s="38">
        <v>81.0</v>
      </c>
      <c r="E63" s="13" t="b">
        <v>1</v>
      </c>
      <c r="F63" s="13" t="b">
        <v>0</v>
      </c>
      <c r="G63" s="38" t="s">
        <v>407</v>
      </c>
      <c r="H63" s="38">
        <v>67.0</v>
      </c>
      <c r="I63" s="38" t="s">
        <v>224</v>
      </c>
      <c r="J63" s="38"/>
      <c r="K63" s="38" t="s">
        <v>224</v>
      </c>
      <c r="L63" s="38"/>
      <c r="M63" s="38" t="s">
        <v>388</v>
      </c>
      <c r="N63" s="38">
        <v>14000.0</v>
      </c>
      <c r="O63" s="38" t="s">
        <v>224</v>
      </c>
      <c r="P63" s="40"/>
      <c r="Q63" s="38" t="s">
        <v>289</v>
      </c>
      <c r="R63" s="38">
        <v>40.0</v>
      </c>
      <c r="S63" s="38" t="s">
        <v>1102</v>
      </c>
      <c r="T63" s="38" t="s">
        <v>1096</v>
      </c>
      <c r="U63" s="38" t="s">
        <v>1103</v>
      </c>
      <c r="V63" s="55">
        <v>41925.0</v>
      </c>
      <c r="W63" s="38" t="s">
        <v>1104</v>
      </c>
      <c r="X63" s="49" t="str">
        <f>HYPERLINK("http://www.bloombergview.com/articles/2014-10-13/buyer-beware-of-cold-snaps","http://www.bloombergview.com/articles/2014-10-13/buyer-beware-of-cold-snaps")</f>
        <v>http://www.bloombergview.com/articles/2014-10-13/buyer-beware-of-cold-snaps</v>
      </c>
      <c r="Y63" s="38"/>
      <c r="Z63" s="38"/>
      <c r="AA63" s="38"/>
      <c r="AB63" s="38"/>
      <c r="AC63" s="38"/>
      <c r="AD63" s="38"/>
      <c r="AE63" s="38"/>
      <c r="AF63" s="38"/>
      <c r="AG63" s="28"/>
      <c r="AH63" s="28" t="s">
        <v>462</v>
      </c>
      <c r="AI63" s="28" t="s">
        <v>462</v>
      </c>
      <c r="AJ63" s="28"/>
      <c r="AK63" s="28" t="s">
        <v>676</v>
      </c>
      <c r="AL63" s="28" t="s">
        <v>677</v>
      </c>
      <c r="AM63" s="28" t="s">
        <v>1105</v>
      </c>
      <c r="AN63" s="54" t="s">
        <v>1105</v>
      </c>
      <c r="AO63" s="54"/>
      <c r="AP63" s="28"/>
      <c r="AQ63" s="28" t="s">
        <v>769</v>
      </c>
      <c r="AR63" s="28"/>
      <c r="AS63" s="54">
        <v>41935.0</v>
      </c>
      <c r="AT63" s="28"/>
      <c r="AU63" s="28"/>
      <c r="AV63" s="28"/>
      <c r="AW63" s="28"/>
      <c r="AX63" s="28"/>
      <c r="AY63" s="28"/>
      <c r="AZ63" s="28"/>
      <c r="BA63" s="28"/>
      <c r="BB63" s="28"/>
      <c r="BC63" s="28"/>
      <c r="BD63" s="28"/>
      <c r="BE63" s="28"/>
      <c r="BF63" s="28"/>
      <c r="BG63" s="28"/>
      <c r="BH63" s="28"/>
      <c r="BI63" s="28"/>
      <c r="BJ63" s="28"/>
      <c r="BK63" s="28"/>
      <c r="BL63" s="28"/>
      <c r="BM63" s="28"/>
      <c r="BN63" s="28"/>
      <c r="BO63" s="28"/>
    </row>
    <row r="64" ht="25.5" customHeight="1">
      <c r="A64" s="28">
        <v>183.0</v>
      </c>
      <c r="B64" s="37" t="b">
        <v>1</v>
      </c>
      <c r="C64" s="38" t="s">
        <v>106</v>
      </c>
      <c r="D64" s="38">
        <v>80.0</v>
      </c>
      <c r="E64" s="13" t="b">
        <v>0</v>
      </c>
      <c r="F64" s="13" t="b">
        <v>1</v>
      </c>
      <c r="G64" s="38" t="s">
        <v>224</v>
      </c>
      <c r="H64" s="38"/>
      <c r="I64" s="38" t="s">
        <v>429</v>
      </c>
      <c r="J64" s="38">
        <v>2.0</v>
      </c>
      <c r="K64" s="38" t="s">
        <v>524</v>
      </c>
      <c r="L64" s="38">
        <v>205.0</v>
      </c>
      <c r="M64" s="38" t="s">
        <v>388</v>
      </c>
      <c r="N64" s="38">
        <v>14000.0</v>
      </c>
      <c r="O64" s="38" t="s">
        <v>224</v>
      </c>
      <c r="P64" s="40"/>
      <c r="Q64" s="38" t="s">
        <v>1106</v>
      </c>
      <c r="R64" s="38" t="s">
        <v>1107</v>
      </c>
      <c r="S64" s="38" t="s">
        <v>1108</v>
      </c>
      <c r="T64" s="38" t="s">
        <v>1109</v>
      </c>
      <c r="U64" s="38" t="s">
        <v>1110</v>
      </c>
      <c r="V64" s="38">
        <v>2014.0</v>
      </c>
      <c r="W64" s="38" t="s">
        <v>1111</v>
      </c>
      <c r="X64" s="38" t="s">
        <v>1112</v>
      </c>
      <c r="Y64" s="38"/>
      <c r="Z64" s="38"/>
      <c r="AA64" s="38"/>
      <c r="AB64" s="38"/>
      <c r="AC64" s="38"/>
      <c r="AD64" s="38"/>
      <c r="AE64" s="38"/>
      <c r="AF64" s="38"/>
      <c r="AG64" s="28"/>
      <c r="AH64" s="28" t="s">
        <v>428</v>
      </c>
      <c r="AI64" s="28" t="s">
        <v>462</v>
      </c>
      <c r="AJ64" s="28"/>
      <c r="AK64" s="28"/>
      <c r="AL64" s="28"/>
      <c r="AM64" s="28"/>
      <c r="AN64" s="54"/>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row>
    <row r="65" ht="25.5" customHeight="1">
      <c r="A65" s="28">
        <v>506.0</v>
      </c>
      <c r="B65" s="37" t="b">
        <v>1</v>
      </c>
      <c r="C65" s="38" t="s">
        <v>106</v>
      </c>
      <c r="D65" s="38">
        <v>80.0</v>
      </c>
      <c r="E65" s="13" t="b">
        <v>0</v>
      </c>
      <c r="F65" s="13" t="b">
        <v>1</v>
      </c>
      <c r="G65" s="38" t="s">
        <v>224</v>
      </c>
      <c r="H65" s="38"/>
      <c r="I65" s="38" t="s">
        <v>387</v>
      </c>
      <c r="J65" s="38">
        <v>8.0</v>
      </c>
      <c r="K65" s="38" t="s">
        <v>1113</v>
      </c>
      <c r="L65" s="38">
        <v>800.0</v>
      </c>
      <c r="M65" s="38" t="s">
        <v>35</v>
      </c>
      <c r="N65" s="38">
        <v>2000.0</v>
      </c>
      <c r="O65" s="38" t="s">
        <v>1114</v>
      </c>
      <c r="P65" s="40"/>
      <c r="Q65" s="38" t="s">
        <v>289</v>
      </c>
      <c r="R65" s="38">
        <v>40.0</v>
      </c>
      <c r="S65" s="38" t="s">
        <v>1115</v>
      </c>
      <c r="T65" s="38" t="s">
        <v>1116</v>
      </c>
      <c r="U65" s="38" t="s">
        <v>1117</v>
      </c>
      <c r="V65" s="38">
        <v>2010.0</v>
      </c>
      <c r="W65" s="38" t="s">
        <v>1118</v>
      </c>
      <c r="X65" s="38"/>
      <c r="Y65" s="38"/>
      <c r="Z65" s="38"/>
      <c r="AA65" s="38"/>
      <c r="AB65" s="38"/>
      <c r="AC65" s="38"/>
      <c r="AD65" s="38"/>
      <c r="AE65" s="38"/>
      <c r="AF65" s="38"/>
      <c r="AG65" s="28"/>
      <c r="AH65" s="28" t="s">
        <v>39</v>
      </c>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row>
    <row r="66" ht="25.5" customHeight="1">
      <c r="A66" s="28">
        <v>258.0</v>
      </c>
      <c r="B66" s="37" t="b">
        <v>1</v>
      </c>
      <c r="C66" s="38" t="s">
        <v>106</v>
      </c>
      <c r="D66" s="38">
        <v>80.0</v>
      </c>
      <c r="E66" s="13" t="b">
        <v>0</v>
      </c>
      <c r="F66" s="13" t="b">
        <v>1</v>
      </c>
      <c r="G66" s="38" t="s">
        <v>224</v>
      </c>
      <c r="H66" s="38"/>
      <c r="I66" s="38" t="s">
        <v>1119</v>
      </c>
      <c r="J66" s="38" t="s">
        <v>1120</v>
      </c>
      <c r="K66" s="38" t="s">
        <v>224</v>
      </c>
      <c r="L66" s="38"/>
      <c r="M66" s="38" t="s">
        <v>388</v>
      </c>
      <c r="N66" s="38">
        <v>14000.0</v>
      </c>
      <c r="O66" s="38" t="s">
        <v>224</v>
      </c>
      <c r="P66" s="40"/>
      <c r="Q66" s="38" t="s">
        <v>111</v>
      </c>
      <c r="R66" s="38">
        <v>41.0</v>
      </c>
      <c r="S66" s="38" t="s">
        <v>1121</v>
      </c>
      <c r="T66" s="38" t="s">
        <v>1122</v>
      </c>
      <c r="U66" s="38" t="s">
        <v>1117</v>
      </c>
      <c r="V66" s="38">
        <v>2015.0</v>
      </c>
      <c r="W66" s="38" t="s">
        <v>1123</v>
      </c>
      <c r="X66" s="49" t="str">
        <f>HYPERLINK("http://www.biomedcentral.com/content/pdf/s12889-015-1691-8.pdf","http://www.biomedcentral.com/content/pdf/s12889-015-1691-8.pdf")</f>
        <v>http://www.biomedcentral.com/content/pdf/s12889-015-1691-8.pdf</v>
      </c>
      <c r="Y66" s="38"/>
      <c r="Z66" s="38"/>
      <c r="AA66" s="38"/>
      <c r="AB66" s="38"/>
      <c r="AC66" s="38"/>
      <c r="AD66" s="38"/>
      <c r="AE66" s="38"/>
      <c r="AF66" s="38"/>
      <c r="AG66" s="28" t="s">
        <v>1124</v>
      </c>
      <c r="AH66" s="28" t="s">
        <v>462</v>
      </c>
      <c r="AI66" s="28" t="s">
        <v>462</v>
      </c>
      <c r="AJ66" s="28"/>
      <c r="AK66" s="28" t="s">
        <v>1125</v>
      </c>
      <c r="AL66" s="28" t="s">
        <v>769</v>
      </c>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row>
    <row r="67" ht="25.5" customHeight="1">
      <c r="A67" s="32">
        <v>20073.0</v>
      </c>
      <c r="B67" s="37" t="b">
        <v>1</v>
      </c>
      <c r="C67" s="62" t="s">
        <v>274</v>
      </c>
      <c r="D67" s="62">
        <v>82.0</v>
      </c>
      <c r="E67" s="13" t="b">
        <v>0</v>
      </c>
      <c r="F67" s="13" t="b">
        <v>1</v>
      </c>
      <c r="G67" s="62" t="s">
        <v>224</v>
      </c>
      <c r="H67" s="62"/>
      <c r="I67" s="62" t="s">
        <v>772</v>
      </c>
      <c r="J67" s="67">
        <v>5.0</v>
      </c>
      <c r="K67" s="62" t="s">
        <v>820</v>
      </c>
      <c r="L67" s="62">
        <v>502.0</v>
      </c>
      <c r="M67" s="62" t="s">
        <v>321</v>
      </c>
      <c r="N67" s="38">
        <v>7000.0</v>
      </c>
      <c r="O67" s="62" t="s">
        <v>445</v>
      </c>
      <c r="P67" s="58"/>
      <c r="Q67" s="62" t="s">
        <v>117</v>
      </c>
      <c r="R67" s="67"/>
      <c r="S67" s="62" t="s">
        <v>827</v>
      </c>
      <c r="T67" s="62" t="s">
        <v>828</v>
      </c>
      <c r="U67" s="62" t="s">
        <v>829</v>
      </c>
      <c r="V67" s="68">
        <v>42374.0</v>
      </c>
      <c r="W67" s="62"/>
      <c r="X67" s="62" t="s">
        <v>830</v>
      </c>
      <c r="Y67" s="62" t="s">
        <v>825</v>
      </c>
      <c r="Z67" s="62" t="s">
        <v>826</v>
      </c>
      <c r="AA67" s="62"/>
      <c r="AB67" s="69"/>
      <c r="AC67" s="69"/>
      <c r="AD67" s="69"/>
      <c r="AE67" s="69"/>
      <c r="AF67" s="69"/>
      <c r="AG67" s="56"/>
      <c r="AH67" s="56"/>
      <c r="AI67" s="56"/>
      <c r="AJ67" s="56"/>
      <c r="AK67" s="56"/>
      <c r="AL67" s="56"/>
      <c r="AM67" s="56"/>
      <c r="AN67" s="56"/>
      <c r="AO67" s="56"/>
      <c r="AP67" s="56"/>
      <c r="AQ67" s="56"/>
      <c r="AR67" s="56"/>
      <c r="AS67" s="56"/>
      <c r="AT67" s="56"/>
      <c r="AU67" s="56"/>
      <c r="AV67" s="56"/>
      <c r="AW67" s="56"/>
      <c r="AX67" s="56"/>
      <c r="AY67" s="56"/>
      <c r="AZ67" s="56"/>
      <c r="BA67" s="56"/>
      <c r="BB67" s="32"/>
      <c r="BC67" s="32">
        <v>3.0</v>
      </c>
      <c r="BD67" s="32" t="s">
        <v>835</v>
      </c>
      <c r="BE67" s="32" t="s">
        <v>114</v>
      </c>
      <c r="BF67" s="32"/>
      <c r="BG67" s="32"/>
      <c r="BH67" s="32"/>
      <c r="BI67" s="32"/>
      <c r="BJ67" s="32"/>
      <c r="BK67" s="32"/>
      <c r="BL67" s="32"/>
      <c r="BM67" s="32"/>
      <c r="BN67" s="32"/>
      <c r="BO67" s="32"/>
    </row>
    <row r="68" ht="25.5" customHeight="1">
      <c r="A68" s="28">
        <v>90.0</v>
      </c>
      <c r="B68" s="37" t="b">
        <v>1</v>
      </c>
      <c r="C68" s="38" t="s">
        <v>106</v>
      </c>
      <c r="D68" s="38">
        <v>80.0</v>
      </c>
      <c r="E68" s="13" t="b">
        <v>1</v>
      </c>
      <c r="F68" s="13" t="b">
        <v>1</v>
      </c>
      <c r="G68" s="38" t="s">
        <v>224</v>
      </c>
      <c r="H68" s="38"/>
      <c r="I68" s="38" t="s">
        <v>196</v>
      </c>
      <c r="J68" s="38">
        <v>1.0</v>
      </c>
      <c r="K68" s="38" t="s">
        <v>1126</v>
      </c>
      <c r="L68" s="38">
        <v>105.0</v>
      </c>
      <c r="M68" s="38" t="s">
        <v>549</v>
      </c>
      <c r="N68" s="38">
        <v>6000.0</v>
      </c>
      <c r="O68" s="38" t="s">
        <v>552</v>
      </c>
      <c r="P68" s="40"/>
      <c r="Q68" s="38" t="s">
        <v>431</v>
      </c>
      <c r="R68" s="38">
        <v>40.0</v>
      </c>
      <c r="S68" s="38" t="s">
        <v>1127</v>
      </c>
      <c r="T68" s="38" t="s">
        <v>1128</v>
      </c>
      <c r="U68" s="38" t="s">
        <v>1129</v>
      </c>
      <c r="V68" s="38">
        <v>2012.0</v>
      </c>
      <c r="W68" s="38" t="s">
        <v>1130</v>
      </c>
      <c r="X68" s="38"/>
      <c r="Y68" s="38"/>
      <c r="Z68" s="38"/>
      <c r="AA68" s="38"/>
      <c r="AB68" s="38"/>
      <c r="AC68" s="38"/>
      <c r="AD68" s="38"/>
      <c r="AE68" s="38"/>
      <c r="AF68" s="38"/>
      <c r="AG68" s="28"/>
      <c r="AH68" s="28"/>
      <c r="AI68" s="28"/>
      <c r="AJ68" s="28" t="s">
        <v>39</v>
      </c>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row>
    <row r="69" ht="25.5" customHeight="1">
      <c r="A69" s="28">
        <v>10328.0</v>
      </c>
      <c r="B69" s="37" t="b">
        <v>1</v>
      </c>
      <c r="C69" s="38" t="s">
        <v>238</v>
      </c>
      <c r="D69" s="38">
        <v>81.0</v>
      </c>
      <c r="E69" s="13" t="b">
        <v>0</v>
      </c>
      <c r="F69" s="13" t="b">
        <v>1</v>
      </c>
      <c r="G69" s="38" t="s">
        <v>224</v>
      </c>
      <c r="H69" s="38"/>
      <c r="I69" s="38" t="s">
        <v>280</v>
      </c>
      <c r="J69" s="38">
        <v>10.0</v>
      </c>
      <c r="K69" s="38"/>
      <c r="L69" s="38"/>
      <c r="M69" s="38" t="s">
        <v>1131</v>
      </c>
      <c r="N69" s="38" t="s">
        <v>1132</v>
      </c>
      <c r="O69" s="38" t="s">
        <v>1133</v>
      </c>
      <c r="P69" s="40"/>
      <c r="Q69" s="38" t="s">
        <v>289</v>
      </c>
      <c r="R69" s="38">
        <v>40.0</v>
      </c>
      <c r="S69" s="38" t="s">
        <v>1134</v>
      </c>
      <c r="T69" s="38" t="s">
        <v>179</v>
      </c>
      <c r="U69" s="38" t="s">
        <v>1135</v>
      </c>
      <c r="V69" s="55">
        <v>41765.0</v>
      </c>
      <c r="W69" s="38" t="s">
        <v>1136</v>
      </c>
      <c r="X69" s="38" t="s">
        <v>181</v>
      </c>
      <c r="Y69" s="38"/>
      <c r="Z69" s="38"/>
      <c r="AA69" s="38"/>
      <c r="AB69" s="38"/>
      <c r="AC69" s="38"/>
      <c r="AD69" s="38"/>
      <c r="AE69" s="38"/>
      <c r="AF69" s="38"/>
      <c r="AG69" s="28"/>
      <c r="AH69" s="28"/>
      <c r="AI69" s="28"/>
      <c r="AJ69" s="28"/>
      <c r="AK69" s="28"/>
      <c r="AL69" s="28"/>
      <c r="AM69" s="28"/>
      <c r="AN69" s="28"/>
      <c r="AO69" s="28"/>
      <c r="AP69" s="28"/>
      <c r="AQ69" s="28"/>
      <c r="AR69" s="28"/>
      <c r="AS69" s="28"/>
      <c r="AT69" s="28"/>
      <c r="AU69" s="28"/>
      <c r="AV69" s="28"/>
      <c r="AW69" s="28"/>
      <c r="AX69" s="28"/>
      <c r="AY69" s="28"/>
      <c r="AZ69" s="28" t="s">
        <v>1137</v>
      </c>
      <c r="BA69" s="28"/>
      <c r="BB69" s="28"/>
      <c r="BC69" s="28"/>
      <c r="BD69" s="28"/>
      <c r="BE69" s="28"/>
      <c r="BF69" s="28"/>
      <c r="BG69" s="28"/>
      <c r="BH69" s="28"/>
      <c r="BI69" s="28"/>
      <c r="BJ69" s="28"/>
      <c r="BK69" s="28"/>
      <c r="BL69" s="28"/>
      <c r="BM69" s="28"/>
      <c r="BN69" s="28"/>
      <c r="BO69" s="28"/>
    </row>
    <row r="70" ht="25.5" customHeight="1">
      <c r="A70" s="28">
        <v>10240.0</v>
      </c>
      <c r="B70" s="37" t="b">
        <v>1</v>
      </c>
      <c r="C70" s="38" t="s">
        <v>238</v>
      </c>
      <c r="D70" s="38">
        <v>81.0</v>
      </c>
      <c r="E70" s="13" t="b">
        <v>0</v>
      </c>
      <c r="F70" s="13" t="b">
        <v>1</v>
      </c>
      <c r="G70" s="38" t="s">
        <v>224</v>
      </c>
      <c r="H70" s="38"/>
      <c r="I70" s="38" t="s">
        <v>429</v>
      </c>
      <c r="J70" s="38">
        <v>2.0</v>
      </c>
      <c r="K70" s="38"/>
      <c r="L70" s="38"/>
      <c r="M70" s="38" t="s">
        <v>408</v>
      </c>
      <c r="N70" s="38">
        <v>20000.0</v>
      </c>
      <c r="O70" s="38" t="s">
        <v>1138</v>
      </c>
      <c r="P70" s="40"/>
      <c r="Q70" s="38" t="s">
        <v>289</v>
      </c>
      <c r="R70" s="38">
        <v>40.0</v>
      </c>
      <c r="S70" s="38" t="s">
        <v>1139</v>
      </c>
      <c r="T70" s="38" t="s">
        <v>1140</v>
      </c>
      <c r="U70" s="38" t="s">
        <v>1141</v>
      </c>
      <c r="V70" s="55">
        <v>42170.0</v>
      </c>
      <c r="W70" s="38" t="s">
        <v>1142</v>
      </c>
      <c r="X70" s="49" t="str">
        <f>HYPERLINK("http://www.dailycamera.com/news/boulder/ci_28320818/right-sizing-debate-hits-boulder-council","http://www.dailycamera.com/news/boulder/ci_28320818/right-sizing-debate-hits-boulder-council")</f>
        <v>http://www.dailycamera.com/news/boulder/ci_28320818/right-sizing-debate-hits-boulder-council</v>
      </c>
      <c r="Y70" s="38"/>
      <c r="Z70" s="38"/>
      <c r="AA70" s="38"/>
      <c r="AB70" s="38"/>
      <c r="AC70" s="38"/>
      <c r="AD70" s="38"/>
      <c r="AE70" s="38"/>
      <c r="AF70" s="38"/>
      <c r="AG70" s="28"/>
      <c r="AH70" s="28" t="s">
        <v>428</v>
      </c>
      <c r="AI70" s="28" t="s">
        <v>462</v>
      </c>
      <c r="AJ70" s="28"/>
      <c r="AK70" s="28"/>
      <c r="AL70" s="28" t="s">
        <v>600</v>
      </c>
      <c r="AM70" s="28"/>
      <c r="AN70" s="28"/>
      <c r="AO70" s="28"/>
      <c r="AP70" s="28"/>
      <c r="AQ70" s="28" t="s">
        <v>769</v>
      </c>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row>
    <row r="71" ht="25.5" customHeight="1">
      <c r="A71" s="32">
        <v>20009.0</v>
      </c>
      <c r="B71" s="37" t="b">
        <v>1</v>
      </c>
      <c r="C71" s="62" t="s">
        <v>274</v>
      </c>
      <c r="D71" s="62">
        <v>82.0</v>
      </c>
      <c r="E71" s="13" t="b">
        <v>0</v>
      </c>
      <c r="F71" s="13" t="b">
        <v>1</v>
      </c>
      <c r="G71" s="62" t="s">
        <v>224</v>
      </c>
      <c r="H71" s="62"/>
      <c r="I71" s="62" t="s">
        <v>196</v>
      </c>
      <c r="J71" s="67">
        <v>1.0</v>
      </c>
      <c r="K71" s="62" t="s">
        <v>211</v>
      </c>
      <c r="L71" s="62">
        <v>104.0</v>
      </c>
      <c r="M71" s="67"/>
      <c r="N71" s="67"/>
      <c r="O71" s="67"/>
      <c r="P71" s="58"/>
      <c r="Q71" s="62" t="s">
        <v>152</v>
      </c>
      <c r="R71" s="67"/>
      <c r="S71" s="62" t="s">
        <v>213</v>
      </c>
      <c r="T71" s="62" t="s">
        <v>188</v>
      </c>
      <c r="U71" s="62" t="s">
        <v>214</v>
      </c>
      <c r="V71" s="62" t="s">
        <v>215</v>
      </c>
      <c r="W71" s="62"/>
      <c r="X71" s="62" t="s">
        <v>216</v>
      </c>
      <c r="Y71" s="62" t="s">
        <v>212</v>
      </c>
      <c r="Z71" s="62"/>
      <c r="AA71" s="62"/>
      <c r="AB71" s="62"/>
      <c r="AC71" s="62"/>
      <c r="AD71" s="62"/>
      <c r="AE71" s="62"/>
      <c r="AF71" s="62"/>
      <c r="AG71" s="32"/>
      <c r="AH71" s="32"/>
      <c r="AI71" s="32"/>
      <c r="AJ71" s="32"/>
      <c r="AK71" s="32"/>
      <c r="AL71" s="32"/>
      <c r="AM71" s="32"/>
      <c r="AN71" s="32"/>
      <c r="AO71" s="32"/>
      <c r="AP71" s="32"/>
      <c r="AQ71" s="32"/>
      <c r="AR71" s="32"/>
      <c r="AS71" s="32"/>
      <c r="AT71" s="32"/>
      <c r="AU71" s="32"/>
      <c r="AV71" s="32"/>
      <c r="AW71" s="32"/>
      <c r="AX71" s="32"/>
      <c r="AY71" s="32"/>
      <c r="AZ71" s="32"/>
      <c r="BA71" s="32"/>
      <c r="BB71" s="32" t="s">
        <v>217</v>
      </c>
      <c r="BC71" s="32">
        <v>3.0</v>
      </c>
      <c r="BD71" s="32" t="s">
        <v>218</v>
      </c>
      <c r="BE71" s="32" t="s">
        <v>140</v>
      </c>
      <c r="BF71" s="32"/>
      <c r="BG71" s="32"/>
      <c r="BH71" s="32"/>
      <c r="BI71" s="32"/>
      <c r="BJ71" s="32"/>
      <c r="BK71" s="32"/>
      <c r="BL71" s="32"/>
      <c r="BM71" s="32"/>
      <c r="BN71" s="32"/>
      <c r="BO71" s="32"/>
    </row>
    <row r="72" ht="25.5" customHeight="1">
      <c r="A72" s="28">
        <v>10209.0</v>
      </c>
      <c r="B72" s="37" t="b">
        <v>1</v>
      </c>
      <c r="C72" s="38" t="s">
        <v>238</v>
      </c>
      <c r="D72" s="38">
        <v>81.0</v>
      </c>
      <c r="E72" s="13" t="b">
        <v>0</v>
      </c>
      <c r="F72" s="13" t="b">
        <v>1</v>
      </c>
      <c r="G72" s="38" t="s">
        <v>224</v>
      </c>
      <c r="H72" s="38"/>
      <c r="I72" s="38" t="s">
        <v>196</v>
      </c>
      <c r="J72" s="38">
        <v>1.0</v>
      </c>
      <c r="K72" s="38"/>
      <c r="L72" s="38"/>
      <c r="M72" s="38" t="s">
        <v>395</v>
      </c>
      <c r="N72" s="38">
        <v>16000.0</v>
      </c>
      <c r="O72" s="38" t="s">
        <v>1143</v>
      </c>
      <c r="P72" s="40"/>
      <c r="Q72" s="38" t="s">
        <v>152</v>
      </c>
      <c r="R72" s="38">
        <v>42.0</v>
      </c>
      <c r="S72" s="38" t="s">
        <v>1144</v>
      </c>
      <c r="T72" s="38" t="s">
        <v>1145</v>
      </c>
      <c r="U72" s="38" t="s">
        <v>214</v>
      </c>
      <c r="V72" s="61">
        <v>2013.0</v>
      </c>
      <c r="W72" s="38"/>
      <c r="X72" s="38" t="s">
        <v>216</v>
      </c>
      <c r="Y72" s="38"/>
      <c r="Z72" s="38"/>
      <c r="AA72" s="38"/>
      <c r="AB72" s="38"/>
      <c r="AC72" s="38"/>
      <c r="AD72" s="38"/>
      <c r="AE72" s="38"/>
      <c r="AF72" s="38"/>
      <c r="AG72" s="28"/>
      <c r="AH72" s="28"/>
      <c r="AI72" s="28"/>
      <c r="AJ72" s="28"/>
      <c r="AK72" s="28"/>
      <c r="AL72" s="28"/>
      <c r="AM72" s="70"/>
      <c r="AN72" s="28"/>
      <c r="AO72" s="28"/>
      <c r="AP72" s="28"/>
      <c r="AQ72" s="28"/>
      <c r="AR72" s="28"/>
      <c r="AS72" s="28"/>
      <c r="AT72" s="28"/>
      <c r="AU72" s="28"/>
      <c r="AV72" s="28"/>
      <c r="AW72" s="28"/>
      <c r="AX72" s="28"/>
      <c r="AY72" s="28"/>
      <c r="AZ72" s="28" t="s">
        <v>1146</v>
      </c>
      <c r="BA72" s="28"/>
      <c r="BB72" s="28"/>
      <c r="BC72" s="28"/>
      <c r="BD72" s="28"/>
      <c r="BE72" s="28"/>
      <c r="BF72" s="28"/>
      <c r="BG72" s="28"/>
      <c r="BH72" s="28"/>
      <c r="BI72" s="28"/>
      <c r="BJ72" s="28"/>
      <c r="BK72" s="28"/>
      <c r="BL72" s="28"/>
      <c r="BM72" s="28"/>
      <c r="BN72" s="28"/>
      <c r="BO72" s="28"/>
    </row>
    <row r="73" ht="25.5" customHeight="1">
      <c r="A73" s="28">
        <v>10219.0</v>
      </c>
      <c r="B73" s="37" t="b">
        <v>1</v>
      </c>
      <c r="C73" s="38" t="s">
        <v>238</v>
      </c>
      <c r="D73" s="38">
        <v>81.0</v>
      </c>
      <c r="E73" s="13" t="b">
        <v>0</v>
      </c>
      <c r="F73" s="13" t="b">
        <v>1</v>
      </c>
      <c r="G73" s="38" t="s">
        <v>224</v>
      </c>
      <c r="H73" s="38"/>
      <c r="I73" s="38" t="s">
        <v>1147</v>
      </c>
      <c r="J73" s="38" t="s">
        <v>1083</v>
      </c>
      <c r="K73" s="38"/>
      <c r="L73" s="38"/>
      <c r="M73" s="38" t="s">
        <v>35</v>
      </c>
      <c r="N73" s="38">
        <v>2000.0</v>
      </c>
      <c r="O73" s="38" t="s">
        <v>837</v>
      </c>
      <c r="P73" s="40">
        <v>2001.0</v>
      </c>
      <c r="Q73" s="38" t="s">
        <v>324</v>
      </c>
      <c r="R73" s="38" t="s">
        <v>325</v>
      </c>
      <c r="S73" s="38" t="s">
        <v>1148</v>
      </c>
      <c r="T73" s="49" t="str">
        <f>HYPERLINK("http://www.bris.ac.uk/earthsciences/people/keri-a-mcnamara/index.html","Keri McNamara")</f>
        <v>Keri McNamara</v>
      </c>
      <c r="U73" s="38" t="s">
        <v>1149</v>
      </c>
      <c r="V73" s="55">
        <v>42166.0</v>
      </c>
      <c r="W73" s="38" t="s">
        <v>1150</v>
      </c>
      <c r="X73" s="49" t="str">
        <f>HYPERLINK("http://cabot-institute.blogspot.co.uk/2015/06/the-great-climate-communication-clash.html","http://cabot-institute.blogspot.co.uk/2015/06/the-great-climate-communication-clash.html")</f>
        <v>http://cabot-institute.blogspot.co.uk/2015/06/the-great-climate-communication-clash.html</v>
      </c>
      <c r="Y73" s="38"/>
      <c r="Z73" s="38"/>
      <c r="AA73" s="38"/>
      <c r="AB73" s="38"/>
      <c r="AC73" s="38"/>
      <c r="AD73" s="38"/>
      <c r="AE73" s="38"/>
      <c r="AF73" s="38"/>
      <c r="AG73" s="28"/>
      <c r="AH73" s="28" t="s">
        <v>462</v>
      </c>
      <c r="AI73" s="28" t="s">
        <v>462</v>
      </c>
      <c r="AJ73" s="28"/>
      <c r="AK73" s="28"/>
      <c r="AL73" s="28" t="s">
        <v>769</v>
      </c>
      <c r="AM73" s="28" t="s">
        <v>1151</v>
      </c>
      <c r="AN73" s="54">
        <v>42494.0</v>
      </c>
      <c r="AO73" s="54"/>
      <c r="AP73" s="28"/>
      <c r="AQ73" s="28" t="s">
        <v>769</v>
      </c>
      <c r="AR73" s="28"/>
      <c r="AS73" s="54">
        <v>42178.0</v>
      </c>
      <c r="AT73" s="28" t="s">
        <v>1152</v>
      </c>
      <c r="AU73" s="28"/>
      <c r="AV73" s="28"/>
      <c r="AW73" s="28"/>
      <c r="AX73" s="28"/>
      <c r="AY73" s="28"/>
      <c r="AZ73" s="28"/>
      <c r="BA73" s="28"/>
      <c r="BB73" s="28"/>
      <c r="BC73" s="28"/>
      <c r="BD73" s="28"/>
      <c r="BE73" s="28"/>
      <c r="BF73" s="28"/>
      <c r="BG73" s="28"/>
      <c r="BH73" s="28"/>
      <c r="BI73" s="28"/>
      <c r="BJ73" s="28"/>
      <c r="BK73" s="28"/>
      <c r="BL73" s="28"/>
      <c r="BM73" s="28"/>
      <c r="BN73" s="28"/>
      <c r="BO73" s="28"/>
    </row>
    <row r="74" ht="25.5" customHeight="1">
      <c r="A74" s="28">
        <v>500.0</v>
      </c>
      <c r="B74" s="37" t="b">
        <v>1</v>
      </c>
      <c r="C74" s="38" t="s">
        <v>106</v>
      </c>
      <c r="D74" s="38">
        <v>80.0</v>
      </c>
      <c r="E74" s="13" t="b">
        <v>0</v>
      </c>
      <c r="F74" s="13" t="b">
        <v>1</v>
      </c>
      <c r="G74" s="38" t="s">
        <v>224</v>
      </c>
      <c r="H74" s="38"/>
      <c r="I74" s="38" t="s">
        <v>1153</v>
      </c>
      <c r="J74" s="38">
        <v>6.0</v>
      </c>
      <c r="K74" s="38" t="s">
        <v>1154</v>
      </c>
      <c r="L74" s="38">
        <v>603.0</v>
      </c>
      <c r="M74" s="38" t="s">
        <v>359</v>
      </c>
      <c r="N74" s="38">
        <v>10000.0</v>
      </c>
      <c r="O74" s="38" t="s">
        <v>1155</v>
      </c>
      <c r="P74" s="40"/>
      <c r="Q74" s="38" t="s">
        <v>95</v>
      </c>
      <c r="R74" s="38">
        <v>41.0</v>
      </c>
      <c r="S74" s="38" t="s">
        <v>1156</v>
      </c>
      <c r="T74" s="38" t="s">
        <v>1157</v>
      </c>
      <c r="U74" s="38" t="s">
        <v>1158</v>
      </c>
      <c r="V74" s="38">
        <v>2002.0</v>
      </c>
      <c r="W74" s="38" t="s">
        <v>1159</v>
      </c>
      <c r="X74" s="38" t="s">
        <v>1160</v>
      </c>
      <c r="Y74" s="38"/>
      <c r="Z74" s="38"/>
      <c r="AA74" s="38"/>
      <c r="AB74" s="38"/>
      <c r="AC74" s="38"/>
      <c r="AD74" s="38"/>
      <c r="AE74" s="38"/>
      <c r="AF74" s="38"/>
      <c r="AG74" s="28"/>
      <c r="AH74" s="28" t="s">
        <v>462</v>
      </c>
      <c r="AI74" s="28" t="s">
        <v>462</v>
      </c>
      <c r="AJ74" s="28" t="s">
        <v>39</v>
      </c>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row>
    <row r="75" ht="25.5" customHeight="1">
      <c r="A75" s="28">
        <v>251.0</v>
      </c>
      <c r="B75" s="37" t="b">
        <v>1</v>
      </c>
      <c r="C75" s="38" t="s">
        <v>106</v>
      </c>
      <c r="D75" s="38">
        <v>80.0</v>
      </c>
      <c r="E75" s="13" t="b">
        <v>1</v>
      </c>
      <c r="F75" s="13" t="b">
        <v>0</v>
      </c>
      <c r="G75" s="38" t="s">
        <v>224</v>
      </c>
      <c r="H75" s="38"/>
      <c r="I75" s="38" t="s">
        <v>323</v>
      </c>
      <c r="J75" s="38">
        <v>11.0</v>
      </c>
      <c r="K75" s="38" t="s">
        <v>224</v>
      </c>
      <c r="L75" s="38"/>
      <c r="M75" s="38" t="s">
        <v>239</v>
      </c>
      <c r="N75" s="38">
        <v>4000.0</v>
      </c>
      <c r="O75" s="38" t="s">
        <v>605</v>
      </c>
      <c r="P75" s="40"/>
      <c r="Q75" s="38" t="s">
        <v>298</v>
      </c>
      <c r="R75" s="38">
        <v>44.0</v>
      </c>
      <c r="S75" s="38" t="s">
        <v>1161</v>
      </c>
      <c r="T75" s="38" t="s">
        <v>1162</v>
      </c>
      <c r="U75" s="38" t="s">
        <v>1163</v>
      </c>
      <c r="V75" s="61">
        <v>2011.0</v>
      </c>
      <c r="W75" s="38" t="s">
        <v>1164</v>
      </c>
      <c r="X75" s="38" t="s">
        <v>1165</v>
      </c>
      <c r="Y75" s="38"/>
      <c r="Z75" s="38"/>
      <c r="AA75" s="38"/>
      <c r="AB75" s="38"/>
      <c r="AC75" s="38"/>
      <c r="AD75" s="38"/>
      <c r="AE75" s="38"/>
      <c r="AF75" s="38"/>
      <c r="AG75" s="71"/>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row>
    <row r="76" ht="25.5" customHeight="1">
      <c r="A76" s="28">
        <v>261.0</v>
      </c>
      <c r="B76" s="37" t="b">
        <v>1</v>
      </c>
      <c r="C76" s="38" t="s">
        <v>106</v>
      </c>
      <c r="D76" s="38">
        <v>80.0</v>
      </c>
      <c r="E76" s="13" t="b">
        <v>0</v>
      </c>
      <c r="F76" s="13" t="b">
        <v>1</v>
      </c>
      <c r="G76" s="38" t="s">
        <v>224</v>
      </c>
      <c r="H76" s="38"/>
      <c r="I76" s="38" t="s">
        <v>536</v>
      </c>
      <c r="J76" s="38">
        <v>3.0</v>
      </c>
      <c r="K76" s="38" t="s">
        <v>603</v>
      </c>
      <c r="L76" s="38">
        <v>304.0</v>
      </c>
      <c r="M76" s="38" t="s">
        <v>107</v>
      </c>
      <c r="N76" s="38">
        <v>3000.0</v>
      </c>
      <c r="O76" s="38" t="s">
        <v>470</v>
      </c>
      <c r="P76" s="40"/>
      <c r="Q76" s="38" t="s">
        <v>111</v>
      </c>
      <c r="R76" s="38">
        <v>41.0</v>
      </c>
      <c r="S76" s="38" t="s">
        <v>1166</v>
      </c>
      <c r="T76" s="38" t="s">
        <v>1167</v>
      </c>
      <c r="U76" s="38" t="s">
        <v>1168</v>
      </c>
      <c r="V76" s="38">
        <v>2013.0</v>
      </c>
      <c r="W76" s="38" t="s">
        <v>1169</v>
      </c>
      <c r="X76" s="38"/>
      <c r="Y76" s="38"/>
      <c r="Z76" s="38"/>
      <c r="AA76" s="38"/>
      <c r="AB76" s="38"/>
      <c r="AC76" s="38"/>
      <c r="AD76" s="38"/>
      <c r="AE76" s="38"/>
      <c r="AF76" s="3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row>
    <row r="77" ht="25.5" customHeight="1">
      <c r="A77" s="28">
        <v>10012.0</v>
      </c>
      <c r="B77" s="37" t="b">
        <v>1</v>
      </c>
      <c r="C77" s="38" t="s">
        <v>238</v>
      </c>
      <c r="D77" s="38">
        <v>81.0</v>
      </c>
      <c r="E77" s="13" t="b">
        <v>1</v>
      </c>
      <c r="F77" s="13" t="b">
        <v>0</v>
      </c>
      <c r="G77" s="38" t="s">
        <v>224</v>
      </c>
      <c r="H77" s="38"/>
      <c r="I77" s="38" t="s">
        <v>887</v>
      </c>
      <c r="J77" s="38">
        <v>9.0</v>
      </c>
      <c r="K77" s="38"/>
      <c r="L77" s="38"/>
      <c r="M77" s="38" t="s">
        <v>388</v>
      </c>
      <c r="N77" s="38">
        <v>14000.0</v>
      </c>
      <c r="O77" s="38" t="s">
        <v>224</v>
      </c>
      <c r="P77" s="40"/>
      <c r="Q77" s="38" t="s">
        <v>324</v>
      </c>
      <c r="R77" s="38" t="s">
        <v>325</v>
      </c>
      <c r="S77" s="38" t="s">
        <v>1170</v>
      </c>
      <c r="T77" s="38" t="s">
        <v>1171</v>
      </c>
      <c r="U77" s="38" t="s">
        <v>1172</v>
      </c>
      <c r="V77" s="55">
        <v>42167.0</v>
      </c>
      <c r="W77" s="38" t="s">
        <v>1173</v>
      </c>
      <c r="X77" s="49" t="str">
        <f>HYPERLINK("http://www.businessinsider.com/subtle-grocery-store-psychological-biases-2015-6?r=UK","http://www.businessinsider.com/subtle-grocery-store-psychological-biases-2015-6?r=UK")</f>
        <v>http://www.businessinsider.com/subtle-grocery-store-psychological-biases-2015-6?r=UK</v>
      </c>
      <c r="Y77" s="38"/>
      <c r="Z77" s="38"/>
      <c r="AA77" s="38"/>
      <c r="AB77" s="38"/>
      <c r="AC77" s="38"/>
      <c r="AD77" s="38"/>
      <c r="AE77" s="38"/>
      <c r="AF77" s="38"/>
      <c r="AG77" s="28"/>
      <c r="AH77" s="28" t="s">
        <v>462</v>
      </c>
      <c r="AI77" s="28" t="s">
        <v>462</v>
      </c>
      <c r="AJ77" s="28"/>
      <c r="AK77" s="28" t="s">
        <v>676</v>
      </c>
      <c r="AL77" s="28" t="s">
        <v>769</v>
      </c>
      <c r="AM77" s="28"/>
      <c r="AN77" s="54">
        <v>45847.0</v>
      </c>
      <c r="AO77" s="54"/>
      <c r="AP77" s="28"/>
      <c r="AQ77" s="28" t="s">
        <v>769</v>
      </c>
      <c r="AR77" s="28"/>
      <c r="AS77" s="54">
        <v>42219.0</v>
      </c>
      <c r="AT77" s="28"/>
      <c r="AU77" s="28"/>
      <c r="AV77" s="28"/>
      <c r="AW77" s="28"/>
      <c r="AX77" s="28"/>
      <c r="AY77" s="28"/>
      <c r="AZ77" s="28"/>
      <c r="BA77" s="28"/>
      <c r="BB77" s="28"/>
      <c r="BC77" s="28"/>
      <c r="BD77" s="28"/>
      <c r="BE77" s="28"/>
      <c r="BF77" s="28"/>
      <c r="BG77" s="28"/>
      <c r="BH77" s="28"/>
      <c r="BI77" s="28"/>
      <c r="BJ77" s="28"/>
      <c r="BK77" s="28"/>
      <c r="BL77" s="28"/>
      <c r="BM77" s="28"/>
      <c r="BN77" s="28"/>
      <c r="BO77" s="28"/>
    </row>
    <row r="78" ht="25.5" customHeight="1">
      <c r="A78" s="28">
        <v>10030.0</v>
      </c>
      <c r="B78" s="37" t="b">
        <v>1</v>
      </c>
      <c r="C78" s="38" t="s">
        <v>238</v>
      </c>
      <c r="D78" s="38">
        <v>81.0</v>
      </c>
      <c r="E78" s="13" t="b">
        <v>1</v>
      </c>
      <c r="F78" s="13" t="b">
        <v>0</v>
      </c>
      <c r="G78" s="38" t="s">
        <v>323</v>
      </c>
      <c r="H78" s="38">
        <v>59.0</v>
      </c>
      <c r="I78" s="38" t="s">
        <v>224</v>
      </c>
      <c r="J78" s="38"/>
      <c r="K78" s="38" t="s">
        <v>224</v>
      </c>
      <c r="L78" s="38"/>
      <c r="M78" s="38" t="s">
        <v>388</v>
      </c>
      <c r="N78" s="38">
        <v>14000.0</v>
      </c>
      <c r="O78" s="38" t="s">
        <v>224</v>
      </c>
      <c r="P78" s="40"/>
      <c r="Q78" s="38" t="s">
        <v>289</v>
      </c>
      <c r="R78" s="38">
        <v>40.0</v>
      </c>
      <c r="S78" s="38" t="s">
        <v>1174</v>
      </c>
      <c r="T78" s="38" t="s">
        <v>1175</v>
      </c>
      <c r="U78" s="38" t="s">
        <v>1172</v>
      </c>
      <c r="V78" s="55">
        <v>41808.0</v>
      </c>
      <c r="W78" s="38" t="s">
        <v>1176</v>
      </c>
      <c r="X78" s="49" t="str">
        <f>HYPERLINK("http://www.businessinsider.com/cognitive-biases-2014-6?op=1","http://www.businessinsider.com/cognitive-biases-2014-6?op=1")</f>
        <v>http://www.businessinsider.com/cognitive-biases-2014-6?op=1</v>
      </c>
      <c r="Y78" s="38"/>
      <c r="Z78" s="38"/>
      <c r="AA78" s="38"/>
      <c r="AB78" s="38"/>
      <c r="AC78" s="38"/>
      <c r="AD78" s="38"/>
      <c r="AE78" s="38"/>
      <c r="AF78" s="38"/>
      <c r="AG78" s="28"/>
      <c r="AH78" s="28" t="s">
        <v>462</v>
      </c>
      <c r="AI78" s="28" t="s">
        <v>462</v>
      </c>
      <c r="AJ78" s="28"/>
      <c r="AK78" s="28" t="s">
        <v>676</v>
      </c>
      <c r="AL78" s="28" t="s">
        <v>677</v>
      </c>
      <c r="AM78" s="28" t="s">
        <v>1177</v>
      </c>
      <c r="AN78" s="54">
        <v>41879.0</v>
      </c>
      <c r="AO78" s="54"/>
      <c r="AP78" s="54">
        <v>42619.0</v>
      </c>
      <c r="AQ78" s="28" t="s">
        <v>769</v>
      </c>
      <c r="AR78" s="28"/>
      <c r="AS78" s="54">
        <v>41879.0</v>
      </c>
      <c r="AT78" s="28"/>
      <c r="AU78" s="28"/>
      <c r="AV78" s="28"/>
      <c r="AW78" s="28"/>
      <c r="AX78" s="28"/>
      <c r="AY78" s="28"/>
      <c r="AZ78" s="28"/>
      <c r="BA78" s="28"/>
      <c r="BB78" s="28"/>
      <c r="BC78" s="28"/>
      <c r="BD78" s="28"/>
      <c r="BE78" s="28"/>
      <c r="BF78" s="28"/>
      <c r="BG78" s="28"/>
      <c r="BH78" s="28"/>
      <c r="BI78" s="28"/>
      <c r="BJ78" s="28"/>
      <c r="BK78" s="28"/>
      <c r="BL78" s="28"/>
      <c r="BM78" s="28"/>
      <c r="BN78" s="28"/>
      <c r="BO78" s="28"/>
    </row>
    <row r="79" ht="25.5" customHeight="1">
      <c r="A79" s="28">
        <v>10190.0</v>
      </c>
      <c r="B79" s="37" t="b">
        <v>1</v>
      </c>
      <c r="C79" s="38" t="s">
        <v>238</v>
      </c>
      <c r="D79" s="38">
        <v>81.0</v>
      </c>
      <c r="E79" s="13" t="b">
        <v>0</v>
      </c>
      <c r="F79" s="13" t="b">
        <v>1</v>
      </c>
      <c r="G79" s="38" t="s">
        <v>224</v>
      </c>
      <c r="H79" s="38"/>
      <c r="I79" s="38" t="s">
        <v>1178</v>
      </c>
      <c r="J79" s="38" t="s">
        <v>1179</v>
      </c>
      <c r="K79" s="38"/>
      <c r="L79" s="38"/>
      <c r="M79" s="38" t="s">
        <v>388</v>
      </c>
      <c r="N79" s="38">
        <v>14000.0</v>
      </c>
      <c r="O79" s="38" t="s">
        <v>224</v>
      </c>
      <c r="P79" s="40"/>
      <c r="Q79" s="38" t="s">
        <v>324</v>
      </c>
      <c r="R79" s="38" t="s">
        <v>325</v>
      </c>
      <c r="S79" s="38" t="s">
        <v>1180</v>
      </c>
      <c r="T79" s="38" t="s">
        <v>1181</v>
      </c>
      <c r="U79" s="38" t="s">
        <v>1182</v>
      </c>
      <c r="V79" s="55">
        <v>42180.0</v>
      </c>
      <c r="W79" s="38" t="s">
        <v>1183</v>
      </c>
      <c r="X79" s="49" t="str">
        <f>HYPERLINK("http://www.businessinsider.com/how-to-make-better-decisions-2015-6","http://www.businessinsider.com/how-to-make-better-decisions-2015-6")</f>
        <v>http://www.businessinsider.com/how-to-make-better-decisions-2015-6</v>
      </c>
      <c r="Y79" s="38"/>
      <c r="Z79" s="38"/>
      <c r="AA79" s="38"/>
      <c r="AB79" s="38"/>
      <c r="AC79" s="38"/>
      <c r="AD79" s="38"/>
      <c r="AE79" s="38"/>
      <c r="AF79" s="38"/>
      <c r="AG79" s="28"/>
      <c r="AH79" s="28" t="s">
        <v>428</v>
      </c>
      <c r="AI79" s="28" t="s">
        <v>462</v>
      </c>
      <c r="AJ79" s="28"/>
      <c r="AK79" s="28"/>
      <c r="AL79" s="28" t="s">
        <v>677</v>
      </c>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row>
    <row r="80" ht="25.5" customHeight="1">
      <c r="A80" s="28">
        <v>280.0</v>
      </c>
      <c r="B80" s="37" t="b">
        <v>1</v>
      </c>
      <c r="C80" s="38" t="s">
        <v>106</v>
      </c>
      <c r="D80" s="38">
        <v>80.0</v>
      </c>
      <c r="E80" s="13" t="b">
        <v>0</v>
      </c>
      <c r="F80" s="13" t="b">
        <v>1</v>
      </c>
      <c r="G80" s="38" t="s">
        <v>224</v>
      </c>
      <c r="H80" s="38"/>
      <c r="I80" s="38" t="s">
        <v>536</v>
      </c>
      <c r="J80" s="38">
        <v>3.0</v>
      </c>
      <c r="K80" s="38" t="s">
        <v>603</v>
      </c>
      <c r="L80" s="38">
        <v>304.0</v>
      </c>
      <c r="M80" s="38" t="s">
        <v>107</v>
      </c>
      <c r="N80" s="38">
        <v>3000.0</v>
      </c>
      <c r="O80" s="38" t="s">
        <v>116</v>
      </c>
      <c r="P80" s="40"/>
      <c r="Q80" s="38" t="s">
        <v>289</v>
      </c>
      <c r="R80" s="38">
        <v>40.0</v>
      </c>
      <c r="S80" s="38" t="s">
        <v>1184</v>
      </c>
      <c r="T80" s="38" t="s">
        <v>1185</v>
      </c>
      <c r="U80" s="38" t="s">
        <v>1186</v>
      </c>
      <c r="V80" s="38">
        <v>2013.0</v>
      </c>
      <c r="W80" s="38" t="s">
        <v>1187</v>
      </c>
      <c r="X80" s="38" t="s">
        <v>1188</v>
      </c>
      <c r="Y80" s="38"/>
      <c r="Z80" s="38"/>
      <c r="AA80" s="38"/>
      <c r="AB80" s="38"/>
      <c r="AC80" s="38"/>
      <c r="AD80" s="38"/>
      <c r="AE80" s="38"/>
      <c r="AF80" s="38"/>
      <c r="AG80" s="28"/>
      <c r="AH80" s="28" t="s">
        <v>428</v>
      </c>
      <c r="AI80" s="28" t="s">
        <v>462</v>
      </c>
      <c r="AJ80" s="28"/>
      <c r="AK80" s="28"/>
      <c r="AL80" s="28"/>
      <c r="AM80" s="28"/>
      <c r="AN80" s="54"/>
      <c r="AO80" s="28"/>
      <c r="AP80" s="28"/>
      <c r="AQ80" s="28"/>
      <c r="AR80" s="28"/>
      <c r="AS80" s="54"/>
      <c r="AT80" s="28"/>
      <c r="AU80" s="28"/>
      <c r="AV80" s="28"/>
      <c r="AW80" s="28"/>
      <c r="AX80" s="28"/>
      <c r="AY80" s="28"/>
      <c r="AZ80" s="28"/>
      <c r="BA80" s="28"/>
      <c r="BB80" s="28"/>
      <c r="BC80" s="28"/>
      <c r="BD80" s="28"/>
      <c r="BE80" s="28"/>
      <c r="BF80" s="28"/>
      <c r="BG80" s="28"/>
      <c r="BH80" s="28"/>
      <c r="BI80" s="28"/>
      <c r="BJ80" s="28"/>
      <c r="BK80" s="28"/>
      <c r="BL80" s="28"/>
      <c r="BM80" s="28"/>
      <c r="BN80" s="28"/>
      <c r="BO80" s="28"/>
    </row>
    <row r="81" ht="25.5" customHeight="1">
      <c r="A81" s="28">
        <v>10244.0</v>
      </c>
      <c r="B81" s="37" t="b">
        <v>1</v>
      </c>
      <c r="C81" s="38" t="s">
        <v>238</v>
      </c>
      <c r="D81" s="38">
        <v>81.0</v>
      </c>
      <c r="E81" s="13" t="b">
        <v>0</v>
      </c>
      <c r="F81" s="13" t="b">
        <v>1</v>
      </c>
      <c r="G81" s="38" t="s">
        <v>224</v>
      </c>
      <c r="H81" s="38"/>
      <c r="I81" s="38" t="s">
        <v>429</v>
      </c>
      <c r="J81" s="38">
        <v>2.0</v>
      </c>
      <c r="K81" s="38"/>
      <c r="L81" s="38"/>
      <c r="M81" s="38" t="s">
        <v>411</v>
      </c>
      <c r="N81" s="38">
        <v>21000.0</v>
      </c>
      <c r="O81" s="38" t="s">
        <v>1189</v>
      </c>
      <c r="P81" s="40"/>
      <c r="Q81" s="38" t="s">
        <v>289</v>
      </c>
      <c r="R81" s="38">
        <v>40.0</v>
      </c>
      <c r="S81" s="38" t="s">
        <v>1190</v>
      </c>
      <c r="T81" s="38" t="s">
        <v>1191</v>
      </c>
      <c r="U81" s="38" t="s">
        <v>1192</v>
      </c>
      <c r="V81" s="55"/>
      <c r="W81" s="38" t="s">
        <v>1193</v>
      </c>
      <c r="X81" s="49" t="str">
        <f>HYPERLINK("http://www.call2recycle.org/curbside-recycling-will-convenience-increase-battery-collections/","http://www.call2recycle.org/curbside-recycling-will-convenience-increase-battery-collections/")</f>
        <v>http://www.call2recycle.org/curbside-recycling-will-convenience-increase-battery-collections/</v>
      </c>
      <c r="Y81" s="38"/>
      <c r="Z81" s="38"/>
      <c r="AA81" s="38"/>
      <c r="AB81" s="38"/>
      <c r="AC81" s="38"/>
      <c r="AD81" s="38"/>
      <c r="AE81" s="38"/>
      <c r="AF81" s="38"/>
      <c r="AG81" s="28"/>
      <c r="AH81" s="28" t="s">
        <v>428</v>
      </c>
      <c r="AI81" s="28" t="s">
        <v>462</v>
      </c>
      <c r="AJ81" s="28"/>
      <c r="AK81" s="28"/>
      <c r="AL81" s="28" t="s">
        <v>769</v>
      </c>
      <c r="AM81" s="28" t="s">
        <v>1194</v>
      </c>
      <c r="AN81" s="54">
        <v>42325.0</v>
      </c>
      <c r="AO81" s="54"/>
      <c r="AP81" s="54">
        <v>42523.0</v>
      </c>
      <c r="AQ81" s="28" t="s">
        <v>769</v>
      </c>
      <c r="AR81" s="28"/>
      <c r="AS81" s="54">
        <v>42496.0</v>
      </c>
      <c r="AT81" s="28"/>
      <c r="AU81" s="28"/>
      <c r="AV81" s="28"/>
      <c r="AW81" s="28"/>
      <c r="AX81" s="28"/>
      <c r="AY81" s="28"/>
      <c r="AZ81" s="28"/>
      <c r="BA81" s="28" t="s">
        <v>1195</v>
      </c>
      <c r="BB81" s="28"/>
      <c r="BC81" s="28"/>
      <c r="BD81" s="28"/>
      <c r="BE81" s="28"/>
      <c r="BF81" s="28"/>
      <c r="BG81" s="28"/>
      <c r="BH81" s="28"/>
      <c r="BI81" s="28"/>
      <c r="BJ81" s="28"/>
      <c r="BK81" s="28"/>
      <c r="BL81" s="28"/>
      <c r="BM81" s="28"/>
      <c r="BN81" s="28"/>
      <c r="BO81" s="28"/>
    </row>
    <row r="82" ht="25.5" customHeight="1">
      <c r="A82" s="28">
        <v>128.0</v>
      </c>
      <c r="B82" s="37" t="b">
        <v>1</v>
      </c>
      <c r="C82" s="38" t="s">
        <v>106</v>
      </c>
      <c r="D82" s="38">
        <v>80.0</v>
      </c>
      <c r="E82" s="13" t="b">
        <v>1</v>
      </c>
      <c r="F82" s="13" t="b">
        <v>0</v>
      </c>
      <c r="G82" s="38" t="s">
        <v>284</v>
      </c>
      <c r="H82" s="38">
        <v>53.0</v>
      </c>
      <c r="I82" s="38" t="s">
        <v>224</v>
      </c>
      <c r="J82" s="38"/>
      <c r="K82" s="38" t="s">
        <v>224</v>
      </c>
      <c r="L82" s="38"/>
      <c r="M82" s="38" t="s">
        <v>1196</v>
      </c>
      <c r="N82" s="38" t="s">
        <v>1197</v>
      </c>
      <c r="O82" s="38" t="s">
        <v>1198</v>
      </c>
      <c r="P82" s="40"/>
      <c r="Q82" s="38" t="s">
        <v>111</v>
      </c>
      <c r="R82" s="38">
        <v>41.0</v>
      </c>
      <c r="S82" s="38" t="s">
        <v>1199</v>
      </c>
      <c r="T82" s="38" t="s">
        <v>1200</v>
      </c>
      <c r="U82" s="38" t="s">
        <v>1201</v>
      </c>
      <c r="V82" s="38">
        <v>2012.0</v>
      </c>
      <c r="W82" s="38" t="s">
        <v>1202</v>
      </c>
      <c r="X82" s="49" t="str">
        <f>HYPERLINK("http://www.politics.ubc.ca/fileadmin/user_upload/webhome/users/364/Why_Do_Citizens_Discount_the_Future_published.pdf","http://www.politics.ubc.ca/fileadmin/user_upload/webhome/users/364/Why_Do_Citizens_Discount_the_Future_published.pdf")</f>
        <v>http://www.politics.ubc.ca/fileadmin/user_upload/webhome/users/364/Why_Do_Citizens_Discount_the_Future_published.pdf</v>
      </c>
      <c r="Y82" s="38"/>
      <c r="Z82" s="38"/>
      <c r="AA82" s="38"/>
      <c r="AB82" s="38"/>
      <c r="AC82" s="38"/>
      <c r="AD82" s="38"/>
      <c r="AE82" s="38"/>
      <c r="AF82" s="3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row>
    <row r="83" ht="25.5" customHeight="1">
      <c r="A83" s="28">
        <v>10361.0</v>
      </c>
      <c r="B83" s="37" t="b">
        <v>1</v>
      </c>
      <c r="C83" s="38" t="s">
        <v>238</v>
      </c>
      <c r="D83" s="38">
        <v>81.0</v>
      </c>
      <c r="E83" s="13" t="b">
        <v>0</v>
      </c>
      <c r="F83" s="13" t="b">
        <v>1</v>
      </c>
      <c r="G83" s="38" t="s">
        <v>224</v>
      </c>
      <c r="H83" s="38"/>
      <c r="I83" s="38" t="s">
        <v>280</v>
      </c>
      <c r="J83" s="38">
        <v>10.0</v>
      </c>
      <c r="K83" s="38"/>
      <c r="L83" s="38"/>
      <c r="M83" s="38" t="s">
        <v>411</v>
      </c>
      <c r="N83" s="38">
        <v>21000.0</v>
      </c>
      <c r="O83" s="38" t="s">
        <v>1203</v>
      </c>
      <c r="P83" s="40"/>
      <c r="Q83" s="38" t="s">
        <v>298</v>
      </c>
      <c r="R83" s="38">
        <v>44.0</v>
      </c>
      <c r="S83" s="38" t="s">
        <v>1204</v>
      </c>
      <c r="T83" s="38" t="s">
        <v>1205</v>
      </c>
      <c r="U83" s="38" t="s">
        <v>1206</v>
      </c>
      <c r="V83" s="55">
        <v>42052.0</v>
      </c>
      <c r="W83" s="38" t="s">
        <v>1207</v>
      </c>
      <c r="X83" s="38" t="s">
        <v>1208</v>
      </c>
      <c r="Y83" s="38"/>
      <c r="Z83" s="38"/>
      <c r="AA83" s="38"/>
      <c r="AB83" s="38"/>
      <c r="AC83" s="38"/>
      <c r="AD83" s="38"/>
      <c r="AE83" s="38"/>
      <c r="AF83" s="38"/>
      <c r="AG83" s="28"/>
      <c r="AH83" s="28"/>
      <c r="AI83" s="28"/>
      <c r="AJ83" s="28"/>
      <c r="AK83" s="28"/>
      <c r="AL83" s="28"/>
      <c r="AM83" s="28"/>
      <c r="AN83" s="28"/>
      <c r="AO83" s="28"/>
      <c r="AP83" s="28"/>
      <c r="AQ83" s="28"/>
      <c r="AR83" s="28"/>
      <c r="AS83" s="28"/>
      <c r="AT83" s="28"/>
      <c r="AU83" s="28"/>
      <c r="AV83" s="28"/>
      <c r="AW83" s="28"/>
      <c r="AX83" s="28"/>
      <c r="AY83" s="28"/>
      <c r="AZ83" s="28" t="s">
        <v>1137</v>
      </c>
      <c r="BA83" s="28"/>
      <c r="BB83" s="28"/>
      <c r="BC83" s="28"/>
      <c r="BD83" s="28"/>
      <c r="BE83" s="28"/>
      <c r="BF83" s="28"/>
      <c r="BG83" s="28"/>
      <c r="BH83" s="28"/>
      <c r="BI83" s="28"/>
      <c r="BJ83" s="28"/>
      <c r="BK83" s="28"/>
      <c r="BL83" s="28"/>
      <c r="BM83" s="28"/>
      <c r="BN83" s="28"/>
      <c r="BO83" s="28"/>
    </row>
    <row r="84" ht="25.5" customHeight="1">
      <c r="A84" s="28">
        <v>10329.0</v>
      </c>
      <c r="B84" s="37" t="b">
        <v>1</v>
      </c>
      <c r="C84" s="38" t="s">
        <v>238</v>
      </c>
      <c r="D84" s="38">
        <v>81.0</v>
      </c>
      <c r="E84" s="13" t="b">
        <v>0</v>
      </c>
      <c r="F84" s="13" t="b">
        <v>1</v>
      </c>
      <c r="G84" s="38" t="s">
        <v>224</v>
      </c>
      <c r="H84" s="38"/>
      <c r="I84" s="38" t="s">
        <v>280</v>
      </c>
      <c r="J84" s="38">
        <v>10.0</v>
      </c>
      <c r="K84" s="38"/>
      <c r="L84" s="38"/>
      <c r="M84" s="38" t="s">
        <v>1131</v>
      </c>
      <c r="N84" s="38" t="s">
        <v>1132</v>
      </c>
      <c r="O84" s="38" t="s">
        <v>1133</v>
      </c>
      <c r="P84" s="40"/>
      <c r="Q84" s="38" t="s">
        <v>289</v>
      </c>
      <c r="R84" s="38">
        <v>40.0</v>
      </c>
      <c r="S84" s="38" t="s">
        <v>178</v>
      </c>
      <c r="T84" s="38" t="s">
        <v>179</v>
      </c>
      <c r="U84" s="38" t="s">
        <v>1209</v>
      </c>
      <c r="V84" s="55">
        <v>42145.0</v>
      </c>
      <c r="W84" s="38" t="s">
        <v>1210</v>
      </c>
      <c r="X84" s="38" t="s">
        <v>181</v>
      </c>
      <c r="Y84" s="38"/>
      <c r="Z84" s="38"/>
      <c r="AA84" s="38"/>
      <c r="AB84" s="38"/>
      <c r="AC84" s="38"/>
      <c r="AD84" s="38"/>
      <c r="AE84" s="38"/>
      <c r="AF84" s="38"/>
      <c r="AG84" s="28" t="s">
        <v>1211</v>
      </c>
      <c r="AH84" s="28" t="s">
        <v>428</v>
      </c>
      <c r="AI84" s="28"/>
      <c r="AJ84" s="28"/>
      <c r="AK84" s="28" t="s">
        <v>915</v>
      </c>
      <c r="AL84" s="28"/>
      <c r="AM84" s="28"/>
      <c r="AN84" s="28"/>
      <c r="AO84" s="28"/>
      <c r="AP84" s="28"/>
      <c r="AQ84" s="28"/>
      <c r="AR84" s="28"/>
      <c r="AS84" s="28"/>
      <c r="AT84" s="28"/>
      <c r="AU84" s="28"/>
      <c r="AV84" s="28"/>
      <c r="AW84" s="28"/>
      <c r="AX84" s="28"/>
      <c r="AY84" s="28"/>
      <c r="AZ84" s="28" t="s">
        <v>1137</v>
      </c>
      <c r="BA84" s="28"/>
      <c r="BB84" s="28"/>
      <c r="BC84" s="28"/>
      <c r="BD84" s="28"/>
      <c r="BE84" s="28"/>
      <c r="BF84" s="28"/>
      <c r="BG84" s="28"/>
      <c r="BH84" s="28"/>
      <c r="BI84" s="28"/>
      <c r="BJ84" s="28"/>
      <c r="BK84" s="28"/>
      <c r="BL84" s="28"/>
      <c r="BM84" s="28"/>
      <c r="BN84" s="28"/>
      <c r="BO84" s="28"/>
    </row>
    <row r="85" ht="25.5" customHeight="1">
      <c r="A85" s="32">
        <v>20044.0</v>
      </c>
      <c r="B85" s="37" t="b">
        <v>1</v>
      </c>
      <c r="C85" s="62" t="s">
        <v>274</v>
      </c>
      <c r="D85" s="62">
        <v>82.0</v>
      </c>
      <c r="E85" s="13" t="b">
        <v>1</v>
      </c>
      <c r="F85" s="13" t="b">
        <v>0</v>
      </c>
      <c r="G85" s="62" t="s">
        <v>224</v>
      </c>
      <c r="H85" s="62"/>
      <c r="I85" s="62" t="s">
        <v>167</v>
      </c>
      <c r="J85" s="67">
        <v>10.0</v>
      </c>
      <c r="K85" s="62" t="s">
        <v>174</v>
      </c>
      <c r="L85" s="62">
        <v>1000.0</v>
      </c>
      <c r="M85" s="62" t="s">
        <v>107</v>
      </c>
      <c r="N85" s="38">
        <v>3000.0</v>
      </c>
      <c r="O85" s="62" t="s">
        <v>175</v>
      </c>
      <c r="P85" s="58"/>
      <c r="Q85" s="62" t="s">
        <v>117</v>
      </c>
      <c r="R85" s="67"/>
      <c r="S85" s="72" t="s">
        <v>178</v>
      </c>
      <c r="T85" s="72" t="s">
        <v>179</v>
      </c>
      <c r="U85" s="72" t="s">
        <v>180</v>
      </c>
      <c r="V85" s="74">
        <v>42145.0</v>
      </c>
      <c r="W85" s="62"/>
      <c r="X85" s="72" t="s">
        <v>181</v>
      </c>
      <c r="Y85" s="62" t="s">
        <v>176</v>
      </c>
      <c r="Z85" s="62" t="s">
        <v>177</v>
      </c>
      <c r="AA85" s="62"/>
      <c r="AB85" s="62"/>
      <c r="AC85" s="62"/>
      <c r="AD85" s="62"/>
      <c r="AE85" s="62"/>
      <c r="AF85" s="62"/>
      <c r="AG85" s="32"/>
      <c r="AH85" s="32"/>
      <c r="AI85" s="32"/>
      <c r="AJ85" s="32"/>
      <c r="AK85" s="32"/>
      <c r="AL85" s="32"/>
      <c r="AM85" s="32"/>
      <c r="AN85" s="32"/>
      <c r="AO85" s="32"/>
      <c r="AP85" s="32"/>
      <c r="AQ85" s="32"/>
      <c r="AR85" s="32"/>
      <c r="AS85" s="32"/>
      <c r="AT85" s="32"/>
      <c r="AU85" s="32"/>
      <c r="AV85" s="32"/>
      <c r="AW85" s="32"/>
      <c r="AX85" s="32"/>
      <c r="AY85" s="32"/>
      <c r="AZ85" s="32"/>
      <c r="BA85" s="32"/>
      <c r="BB85" s="32" t="s">
        <v>182</v>
      </c>
      <c r="BC85" s="32">
        <v>1.0</v>
      </c>
      <c r="BD85" s="32" t="s">
        <v>183</v>
      </c>
      <c r="BE85" s="32" t="s">
        <v>37</v>
      </c>
      <c r="BF85" s="32"/>
      <c r="BG85" s="32"/>
      <c r="BH85" s="32"/>
      <c r="BI85" s="32"/>
      <c r="BJ85" s="32"/>
      <c r="BK85" s="32"/>
      <c r="BL85" s="32"/>
      <c r="BM85" s="32"/>
      <c r="BN85" s="32"/>
      <c r="BO85" s="32"/>
    </row>
    <row r="86" ht="25.5" customHeight="1">
      <c r="A86" s="28">
        <v>10004.0</v>
      </c>
      <c r="B86" s="37" t="b">
        <v>1</v>
      </c>
      <c r="C86" s="38" t="s">
        <v>238</v>
      </c>
      <c r="D86" s="38">
        <v>81.0</v>
      </c>
      <c r="E86" s="13" t="b">
        <v>1</v>
      </c>
      <c r="F86" s="13" t="b">
        <v>0</v>
      </c>
      <c r="G86" s="38" t="s">
        <v>224</v>
      </c>
      <c r="H86" s="38"/>
      <c r="I86" s="38" t="s">
        <v>574</v>
      </c>
      <c r="J86" s="38">
        <v>4.0</v>
      </c>
      <c r="K86" s="38"/>
      <c r="L86" s="38"/>
      <c r="M86" s="38" t="s">
        <v>107</v>
      </c>
      <c r="N86" s="38">
        <v>3000.0</v>
      </c>
      <c r="O86" s="38" t="s">
        <v>1223</v>
      </c>
      <c r="P86" s="40"/>
      <c r="Q86" s="38" t="s">
        <v>289</v>
      </c>
      <c r="R86" s="38">
        <v>40.0</v>
      </c>
      <c r="S86" s="38" t="s">
        <v>1224</v>
      </c>
      <c r="T86" s="38" t="s">
        <v>1225</v>
      </c>
      <c r="U86" s="38" t="s">
        <v>1226</v>
      </c>
      <c r="V86" s="55">
        <v>41738.0</v>
      </c>
      <c r="W86" s="38" t="s">
        <v>1227</v>
      </c>
      <c r="X86" s="49" t="str">
        <f>HYPERLINK("http://environmentalpolicy.ucdavis.edu/blog/2014/04/336","http://environmentalpolicy.ucdavis.edu/blog/2014/04/336")</f>
        <v>http://environmentalpolicy.ucdavis.edu/blog/2014/04/336</v>
      </c>
      <c r="Y86" s="38"/>
      <c r="Z86" s="38"/>
      <c r="AA86" s="38"/>
      <c r="AB86" s="38"/>
      <c r="AC86" s="38"/>
      <c r="AD86" s="38"/>
      <c r="AE86" s="38"/>
      <c r="AF86" s="38"/>
      <c r="AG86" s="28"/>
      <c r="AH86" s="28" t="s">
        <v>428</v>
      </c>
      <c r="AI86" s="28" t="s">
        <v>462</v>
      </c>
      <c r="AJ86" s="28"/>
      <c r="AK86" s="28" t="s">
        <v>663</v>
      </c>
      <c r="AL86" s="28" t="s">
        <v>600</v>
      </c>
      <c r="AM86" s="28"/>
      <c r="AN86" s="54"/>
      <c r="AO86" s="54"/>
      <c r="AP86" s="28"/>
      <c r="AQ86" s="28"/>
      <c r="AR86" s="28"/>
      <c r="AS86" s="54"/>
      <c r="AT86" s="28"/>
      <c r="AU86" s="28"/>
      <c r="AV86" s="28"/>
      <c r="AW86" s="28"/>
      <c r="AX86" s="28"/>
      <c r="AY86" s="28" t="s">
        <v>428</v>
      </c>
      <c r="AZ86" s="28"/>
      <c r="BA86" s="28"/>
      <c r="BB86" s="28"/>
      <c r="BC86" s="28"/>
      <c r="BD86" s="28"/>
      <c r="BE86" s="28"/>
      <c r="BF86" s="28"/>
      <c r="BG86" s="28"/>
      <c r="BH86" s="28"/>
      <c r="BI86" s="28"/>
      <c r="BJ86" s="28"/>
      <c r="BK86" s="28"/>
      <c r="BL86" s="28"/>
      <c r="BM86" s="28"/>
      <c r="BN86" s="28"/>
      <c r="BO86" s="28"/>
    </row>
    <row r="87" ht="25.5" customHeight="1">
      <c r="A87" s="28">
        <v>10394.0</v>
      </c>
      <c r="B87" s="37" t="b">
        <v>1</v>
      </c>
      <c r="C87" s="38" t="s">
        <v>238</v>
      </c>
      <c r="D87" s="38">
        <v>81.0</v>
      </c>
      <c r="E87" s="13" t="b">
        <v>0</v>
      </c>
      <c r="F87" s="13" t="b">
        <v>1</v>
      </c>
      <c r="G87" s="38" t="s">
        <v>224</v>
      </c>
      <c r="H87" s="38"/>
      <c r="I87" s="38" t="s">
        <v>1229</v>
      </c>
      <c r="J87" s="38" t="s">
        <v>1231</v>
      </c>
      <c r="K87" s="38"/>
      <c r="L87" s="38"/>
      <c r="M87" s="38" t="s">
        <v>1232</v>
      </c>
      <c r="N87" s="38" t="s">
        <v>1233</v>
      </c>
      <c r="O87" s="38" t="s">
        <v>1234</v>
      </c>
      <c r="P87" s="40"/>
      <c r="Q87" s="38" t="s">
        <v>289</v>
      </c>
      <c r="R87" s="38">
        <v>40.0</v>
      </c>
      <c r="S87" s="38" t="s">
        <v>1235</v>
      </c>
      <c r="T87" s="49" t="str">
        <f>HYPERLINK("http://environmentalpolicy.ucdavis.edu/people/levy","Michael Levy ")</f>
        <v>Michael Levy </v>
      </c>
      <c r="U87" s="38" t="s">
        <v>1226</v>
      </c>
      <c r="V87" s="55">
        <v>41530.0</v>
      </c>
      <c r="W87" s="38" t="s">
        <v>1124</v>
      </c>
      <c r="X87" s="49" t="str">
        <f>HYPERLINK("http://environmentalpolicy.ucdavis.edu/node/291","http://environmentalpolicy.ucdavis.edu/node/291")</f>
        <v>http://environmentalpolicy.ucdavis.edu/node/291</v>
      </c>
      <c r="Y87" s="38"/>
      <c r="Z87" s="38"/>
      <c r="AA87" s="38"/>
      <c r="AB87" s="38"/>
      <c r="AC87" s="38"/>
      <c r="AD87" s="38"/>
      <c r="AE87" s="38"/>
      <c r="AF87" s="38"/>
      <c r="AG87" s="28"/>
      <c r="AH87" s="28" t="s">
        <v>462</v>
      </c>
      <c r="AI87" s="28" t="s">
        <v>462</v>
      </c>
      <c r="AJ87" s="28"/>
      <c r="AK87" s="28"/>
      <c r="AL87" s="28" t="s">
        <v>769</v>
      </c>
      <c r="AM87" s="28" t="s">
        <v>1239</v>
      </c>
      <c r="AN87" s="54">
        <v>42167.0</v>
      </c>
      <c r="AO87" s="54"/>
      <c r="AP87" s="28"/>
      <c r="AQ87" s="28" t="s">
        <v>769</v>
      </c>
      <c r="AR87" s="28"/>
      <c r="AS87" s="54">
        <v>42174.0</v>
      </c>
      <c r="AT87" s="28"/>
      <c r="AU87" s="28"/>
      <c r="AV87" s="28"/>
      <c r="AW87" s="28"/>
      <c r="AX87" s="28"/>
      <c r="AY87" s="28"/>
      <c r="AZ87" s="28" t="s">
        <v>1240</v>
      </c>
      <c r="BA87" s="28"/>
      <c r="BB87" s="28"/>
      <c r="BC87" s="28"/>
      <c r="BD87" s="28"/>
      <c r="BE87" s="28"/>
      <c r="BF87" s="28"/>
      <c r="BG87" s="28"/>
      <c r="BH87" s="28"/>
      <c r="BI87" s="28"/>
      <c r="BJ87" s="28"/>
      <c r="BK87" s="28"/>
      <c r="BL87" s="28"/>
      <c r="BM87" s="28"/>
      <c r="BN87" s="28"/>
      <c r="BO87" s="28"/>
    </row>
    <row r="88" ht="25.5" customHeight="1">
      <c r="A88" s="28">
        <v>139.0</v>
      </c>
      <c r="B88" s="37" t="b">
        <v>1</v>
      </c>
      <c r="C88" s="38" t="s">
        <v>106</v>
      </c>
      <c r="D88" s="38">
        <v>80.0</v>
      </c>
      <c r="E88" s="13" t="b">
        <v>1</v>
      </c>
      <c r="F88" s="13" t="b">
        <v>0</v>
      </c>
      <c r="G88" s="38" t="s">
        <v>284</v>
      </c>
      <c r="H88" s="38">
        <v>53.0</v>
      </c>
      <c r="I88" s="38" t="s">
        <v>224</v>
      </c>
      <c r="J88" s="38"/>
      <c r="K88" s="38" t="s">
        <v>224</v>
      </c>
      <c r="L88" s="38"/>
      <c r="M88" s="38" t="s">
        <v>35</v>
      </c>
      <c r="N88" s="38">
        <v>2000.0</v>
      </c>
      <c r="O88" s="38" t="s">
        <v>837</v>
      </c>
      <c r="P88" s="40">
        <v>2001.0</v>
      </c>
      <c r="Q88" s="38" t="s">
        <v>289</v>
      </c>
      <c r="R88" s="38">
        <v>40.0</v>
      </c>
      <c r="S88" s="38" t="s">
        <v>1243</v>
      </c>
      <c r="T88" s="38" t="s">
        <v>1244</v>
      </c>
      <c r="U88" s="38" t="s">
        <v>1246</v>
      </c>
      <c r="V88" s="38">
        <v>2007.0</v>
      </c>
      <c r="W88" s="38" t="s">
        <v>1247</v>
      </c>
      <c r="X88" s="49" t="str">
        <f>HYPERLINK("https://www.google.com/url?sa=t&amp;rct=j&amp;q=&amp;esrc=s&amp;source=web&amp;cd=1&amp;ved=0ahUKEwjmzsLw5_vOAhUEySYKHTYcA0IQFgghMAA&amp;url=http%3A%2F%2Fenvironment.msu.edu%2Fclimatechange%2Fpresentations%2FCCGL.MarxWeber.pdf&amp;usg=AFQjCNH44KyCnTuDth8MKKS-glguJ8Jrpg&amp;sig2=eOYY8iAcFPB2HyzUoqHcyg","https://www.google.com/url?sa=t&amp;rct=j&amp;q=&amp;esrc=s&amp;source=web&amp;cd=1&amp;ved=0ahUKEwjmzsLw5_vOAhUEySYKHTYcA0IQFgghMAA&amp;url=http%3A%2F%2Fenvironment.msu.edu%2Fclimatechange%2Fpresentations%2FCCGL.MarxWeber.pdf&amp;usg=AFQjCNH44KyCnTuDth8MKKS-glguJ8Jrpg&amp;sig2=eOYY8iAcFPB2HyzUoqHcyg")</f>
        <v>https://www.google.com/url?sa=t&amp;rct=j&amp;q=&amp;esrc=s&amp;source=web&amp;cd=1&amp;ved=0ahUKEwjmzsLw5_vOAhUEySYKHTYcA0IQFgghMAA&amp;url=http%3A%2F%2Fenvironment.msu.edu%2Fclimatechange%2Fpresentations%2FCCGL.MarxWeber.pdf&amp;usg=AFQjCNH44KyCnTuDth8MKKS-glguJ8Jrpg&amp;sig2=eOYY8iAcFPB2HyzUoqHcyg</v>
      </c>
      <c r="Y88" s="38"/>
      <c r="Z88" s="38"/>
      <c r="AA88" s="38"/>
      <c r="AB88" s="38"/>
      <c r="AC88" s="38"/>
      <c r="AD88" s="38"/>
      <c r="AE88" s="38"/>
      <c r="AF88" s="3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row>
    <row r="89" ht="25.5" customHeight="1">
      <c r="A89" s="28">
        <v>55.0</v>
      </c>
      <c r="B89" s="37" t="b">
        <v>1</v>
      </c>
      <c r="C89" s="38" t="s">
        <v>106</v>
      </c>
      <c r="D89" s="38">
        <v>80.0</v>
      </c>
      <c r="E89" s="13" t="b">
        <v>0</v>
      </c>
      <c r="F89" s="13" t="b">
        <v>1</v>
      </c>
      <c r="G89" s="38" t="s">
        <v>224</v>
      </c>
      <c r="H89" s="38"/>
      <c r="I89" s="38" t="s">
        <v>1248</v>
      </c>
      <c r="J89" s="38" t="s">
        <v>1249</v>
      </c>
      <c r="K89" s="38" t="s">
        <v>1250</v>
      </c>
      <c r="L89" s="38" t="s">
        <v>1251</v>
      </c>
      <c r="M89" s="38" t="s">
        <v>35</v>
      </c>
      <c r="N89" s="38">
        <v>2000.0</v>
      </c>
      <c r="O89" s="38" t="s">
        <v>644</v>
      </c>
      <c r="P89" s="40"/>
      <c r="Q89" s="38" t="s">
        <v>289</v>
      </c>
      <c r="R89" s="38">
        <v>40.0</v>
      </c>
      <c r="S89" s="38" t="s">
        <v>1253</v>
      </c>
      <c r="T89" s="38" t="s">
        <v>188</v>
      </c>
      <c r="U89" s="38" t="s">
        <v>1254</v>
      </c>
      <c r="V89" s="61">
        <v>2009.0</v>
      </c>
      <c r="W89" s="38" t="s">
        <v>610</v>
      </c>
      <c r="X89" s="49" t="str">
        <f>HYPERLINK("http://guide.cred.columbia.edu/pdfs/CREDguide_full-res.pdf","http://guide.cred.columbia.edu/pdfs/CREDguide_full-res.pdf")</f>
        <v>http://guide.cred.columbia.edu/pdfs/CREDguide_full-res.pdf</v>
      </c>
      <c r="Y89" s="38"/>
      <c r="Z89" s="38"/>
      <c r="AA89" s="38"/>
      <c r="AB89" s="38"/>
      <c r="AC89" s="38"/>
      <c r="AD89" s="38"/>
      <c r="AE89" s="38"/>
      <c r="AF89" s="3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row>
    <row r="90" ht="25.5" customHeight="1">
      <c r="A90" s="28">
        <v>366.0</v>
      </c>
      <c r="B90" s="37" t="b">
        <v>1</v>
      </c>
      <c r="C90" s="38" t="s">
        <v>106</v>
      </c>
      <c r="D90" s="38">
        <v>80.0</v>
      </c>
      <c r="E90" s="13" t="b">
        <v>0</v>
      </c>
      <c r="F90" s="13" t="b">
        <v>1</v>
      </c>
      <c r="G90" s="38" t="s">
        <v>224</v>
      </c>
      <c r="H90" s="38"/>
      <c r="I90" s="38" t="s">
        <v>928</v>
      </c>
      <c r="J90" s="38" t="s">
        <v>929</v>
      </c>
      <c r="K90" s="38" t="s">
        <v>1259</v>
      </c>
      <c r="L90" s="38">
        <v>700.0</v>
      </c>
      <c r="M90" s="38" t="s">
        <v>35</v>
      </c>
      <c r="N90" s="38">
        <v>2000.0</v>
      </c>
      <c r="O90" s="38" t="s">
        <v>1114</v>
      </c>
      <c r="P90" s="40"/>
      <c r="Q90" s="38" t="s">
        <v>111</v>
      </c>
      <c r="R90" s="38">
        <v>41.0</v>
      </c>
      <c r="S90" s="38" t="s">
        <v>1260</v>
      </c>
      <c r="T90" s="38" t="s">
        <v>188</v>
      </c>
      <c r="U90" s="38" t="s">
        <v>1261</v>
      </c>
      <c r="V90" s="61">
        <v>2011.0</v>
      </c>
      <c r="W90" s="38" t="s">
        <v>610</v>
      </c>
      <c r="X90" s="49" t="str">
        <f>HYPERLINK("http://webarchive.nationalarchives.gov.uk/20130123162956/http:/archive.defra.gov.uk/environment/economy/documents/sustainable-life-framework.pdf","http://webarchive.nationalarchives.gov.uk/20130123162956/http:/archive.defra.gov.uk/environment/economy/documents/sustainable-life-framework.pdf")</f>
        <v>http://webarchive.nationalarchives.gov.uk/20130123162956/http:/archive.defra.gov.uk/environment/economy/documents/sustainable-life-framework.pdf</v>
      </c>
      <c r="Y90" s="38"/>
      <c r="Z90" s="38"/>
      <c r="AA90" s="38"/>
      <c r="AB90" s="38"/>
      <c r="AC90" s="38"/>
      <c r="AD90" s="38"/>
      <c r="AE90" s="38"/>
      <c r="AF90" s="3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row>
    <row r="91" ht="25.5" customHeight="1">
      <c r="A91" s="28">
        <v>243.0</v>
      </c>
      <c r="B91" s="37" t="b">
        <v>1</v>
      </c>
      <c r="C91" s="38" t="s">
        <v>106</v>
      </c>
      <c r="D91" s="38">
        <v>80.0</v>
      </c>
      <c r="E91" s="13" t="b">
        <v>0</v>
      </c>
      <c r="F91" s="13" t="b">
        <v>1</v>
      </c>
      <c r="G91" s="38" t="s">
        <v>224</v>
      </c>
      <c r="H91" s="38"/>
      <c r="I91" s="38" t="s">
        <v>1270</v>
      </c>
      <c r="J91" s="38" t="s">
        <v>1271</v>
      </c>
      <c r="K91" s="38" t="s">
        <v>1272</v>
      </c>
      <c r="L91" s="38" t="s">
        <v>1273</v>
      </c>
      <c r="M91" s="38" t="s">
        <v>107</v>
      </c>
      <c r="N91" s="38">
        <v>3000.0</v>
      </c>
      <c r="O91" s="38" t="s">
        <v>470</v>
      </c>
      <c r="P91" s="40"/>
      <c r="Q91" s="38" t="s">
        <v>324</v>
      </c>
      <c r="R91" s="38" t="s">
        <v>325</v>
      </c>
      <c r="S91" s="61" t="s">
        <v>1274</v>
      </c>
      <c r="T91" s="38" t="s">
        <v>1275</v>
      </c>
      <c r="U91" s="61" t="s">
        <v>1276</v>
      </c>
      <c r="V91" s="38">
        <v>2015.0</v>
      </c>
      <c r="W91" s="38" t="s">
        <v>1283</v>
      </c>
      <c r="X91" s="49" t="str">
        <f>HYPERLINK("http://changelabs.stanford.edu/sites/default/files/NEF_7_Principles_Behavior_Econ.pdf","http://changelabs.stanford.edu/sites/default/files/NEF_7_Principles_Behavior_Econ.pdf")</f>
        <v>http://changelabs.stanford.edu/sites/default/files/NEF_7_Principles_Behavior_Econ.pdf</v>
      </c>
      <c r="Y91" s="38"/>
      <c r="Z91" s="38"/>
      <c r="AA91" s="38"/>
      <c r="AB91" s="38"/>
      <c r="AC91" s="38"/>
      <c r="AD91" s="38"/>
      <c r="AE91" s="38"/>
      <c r="AF91" s="38"/>
      <c r="AG91" s="28" t="s">
        <v>1289</v>
      </c>
      <c r="AH91" s="28"/>
      <c r="AI91" s="28"/>
      <c r="AJ91" s="28"/>
      <c r="AK91" s="28" t="s">
        <v>769</v>
      </c>
      <c r="AL91" s="28" t="s">
        <v>1290</v>
      </c>
      <c r="AM91" s="54">
        <v>42640.0</v>
      </c>
      <c r="AN91" s="28"/>
      <c r="AO91" s="54"/>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row>
    <row r="92" ht="25.5" customHeight="1">
      <c r="A92" s="28">
        <v>362.0</v>
      </c>
      <c r="B92" s="37" t="b">
        <v>1</v>
      </c>
      <c r="C92" s="38" t="s">
        <v>106</v>
      </c>
      <c r="D92" s="38">
        <v>80.0</v>
      </c>
      <c r="E92" s="13" t="b">
        <v>0</v>
      </c>
      <c r="F92" s="13" t="b">
        <v>1</v>
      </c>
      <c r="G92" s="38" t="s">
        <v>224</v>
      </c>
      <c r="H92" s="38"/>
      <c r="I92" s="38" t="s">
        <v>1292</v>
      </c>
      <c r="J92" s="38" t="s">
        <v>1293</v>
      </c>
      <c r="K92" s="65" t="s">
        <v>1294</v>
      </c>
      <c r="L92" s="38" t="s">
        <v>1296</v>
      </c>
      <c r="M92" s="38" t="s">
        <v>359</v>
      </c>
      <c r="N92" s="38">
        <v>10000.0</v>
      </c>
      <c r="O92" s="38" t="s">
        <v>1155</v>
      </c>
      <c r="P92" s="40"/>
      <c r="Q92" s="38" t="s">
        <v>289</v>
      </c>
      <c r="R92" s="38">
        <v>40.0</v>
      </c>
      <c r="S92" s="38" t="s">
        <v>1302</v>
      </c>
      <c r="T92" s="38" t="s">
        <v>1304</v>
      </c>
      <c r="U92" s="38" t="s">
        <v>1276</v>
      </c>
      <c r="V92" s="38">
        <v>2011.0</v>
      </c>
      <c r="W92" s="38" t="s">
        <v>1307</v>
      </c>
      <c r="X92" s="49" t="str">
        <f>HYPERLINK("http://changelabs.stanford.edu/sites/default/files/HabitsRoutinesSustainableLifestylesEVO502FinalSummaryReportNov20112.pdf","http://changelabs.stanford.edu/sites/default/files/HabitsRoutinesSustainableLifestylesEVO502FinalSummaryReportNov20112.pdf")</f>
        <v>http://changelabs.stanford.edu/sites/default/files/HabitsRoutinesSustainableLifestylesEVO502FinalSummaryReportNov20112.pdf</v>
      </c>
      <c r="Y92" s="38"/>
      <c r="Z92" s="38"/>
      <c r="AA92" s="38"/>
      <c r="AB92" s="38"/>
      <c r="AC92" s="38"/>
      <c r="AD92" s="38"/>
      <c r="AE92" s="38"/>
      <c r="AF92" s="38"/>
      <c r="AG92" s="28" t="s">
        <v>1319</v>
      </c>
      <c r="AH92" s="28"/>
      <c r="AI92" s="28"/>
      <c r="AJ92" s="28"/>
      <c r="AK92" s="28" t="s">
        <v>677</v>
      </c>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row>
    <row r="93" ht="25.5" customHeight="1">
      <c r="A93" s="28">
        <v>10309.0</v>
      </c>
      <c r="B93" s="37" t="b">
        <v>1</v>
      </c>
      <c r="C93" s="38" t="s">
        <v>238</v>
      </c>
      <c r="D93" s="38">
        <v>81.0</v>
      </c>
      <c r="E93" s="13" t="b">
        <v>0</v>
      </c>
      <c r="F93" s="13" t="b">
        <v>1</v>
      </c>
      <c r="G93" s="38" t="s">
        <v>224</v>
      </c>
      <c r="H93" s="38"/>
      <c r="I93" s="38" t="s">
        <v>490</v>
      </c>
      <c r="J93" s="38">
        <v>6.0</v>
      </c>
      <c r="K93" s="38"/>
      <c r="L93" s="38"/>
      <c r="M93" s="38" t="s">
        <v>388</v>
      </c>
      <c r="N93" s="38">
        <v>14000.0</v>
      </c>
      <c r="O93" s="38" t="s">
        <v>224</v>
      </c>
      <c r="P93" s="40"/>
      <c r="Q93" s="38" t="s">
        <v>289</v>
      </c>
      <c r="R93" s="38">
        <v>40.0</v>
      </c>
      <c r="S93" s="38" t="s">
        <v>1327</v>
      </c>
      <c r="T93" s="38" t="s">
        <v>215</v>
      </c>
      <c r="U93" s="38" t="s">
        <v>1328</v>
      </c>
      <c r="V93" s="55"/>
      <c r="W93" s="38" t="s">
        <v>1330</v>
      </c>
      <c r="X93" s="49" t="str">
        <f>HYPERLINK("http://changingminds.org/techniques/general/sequential/fitd.htm","http://changingminds.org/techniques/general/sequential/fitd.htm")</f>
        <v>http://changingminds.org/techniques/general/sequential/fitd.htm</v>
      </c>
      <c r="Y93" s="38"/>
      <c r="Z93" s="38"/>
      <c r="AA93" s="38"/>
      <c r="AB93" s="38"/>
      <c r="AC93" s="38"/>
      <c r="AD93" s="38"/>
      <c r="AE93" s="38"/>
      <c r="AF93" s="38"/>
      <c r="AG93" s="28"/>
      <c r="AH93" s="28" t="s">
        <v>462</v>
      </c>
      <c r="AI93" s="28" t="s">
        <v>462</v>
      </c>
      <c r="AJ93" s="28"/>
      <c r="AK93" s="28"/>
      <c r="AL93" s="28" t="s">
        <v>769</v>
      </c>
      <c r="AM93" s="28" t="s">
        <v>1334</v>
      </c>
      <c r="AN93" s="54">
        <v>42338.0</v>
      </c>
      <c r="AO93" s="54"/>
      <c r="AP93" s="28"/>
      <c r="AQ93" s="28"/>
      <c r="AR93" s="28"/>
      <c r="AS93" s="54"/>
      <c r="AT93" s="28"/>
      <c r="AU93" s="54"/>
      <c r="AV93" s="28"/>
      <c r="AW93" s="28"/>
      <c r="AX93" s="28"/>
      <c r="AY93" s="28"/>
      <c r="AZ93" s="28"/>
      <c r="BA93" s="28"/>
      <c r="BB93" s="28"/>
      <c r="BC93" s="28"/>
      <c r="BD93" s="28"/>
      <c r="BE93" s="28"/>
      <c r="BF93" s="28"/>
      <c r="BG93" s="28"/>
      <c r="BH93" s="28"/>
      <c r="BI93" s="28"/>
      <c r="BJ93" s="28"/>
      <c r="BK93" s="28"/>
      <c r="BL93" s="28"/>
      <c r="BM93" s="28"/>
      <c r="BN93" s="28"/>
      <c r="BO93" s="28"/>
    </row>
    <row r="94" ht="25.5" customHeight="1">
      <c r="A94" s="28">
        <v>301.0</v>
      </c>
      <c r="B94" s="37" t="b">
        <v>1</v>
      </c>
      <c r="C94" s="38" t="s">
        <v>106</v>
      </c>
      <c r="D94" s="38">
        <v>80.0</v>
      </c>
      <c r="E94" s="13" t="b">
        <v>0</v>
      </c>
      <c r="F94" s="13" t="b">
        <v>1</v>
      </c>
      <c r="G94" s="38" t="s">
        <v>224</v>
      </c>
      <c r="H94" s="38"/>
      <c r="I94" s="38" t="s">
        <v>1339</v>
      </c>
      <c r="J94" s="38" t="s">
        <v>511</v>
      </c>
      <c r="K94" s="38" t="s">
        <v>1340</v>
      </c>
      <c r="L94" s="38" t="s">
        <v>1342</v>
      </c>
      <c r="M94" s="38" t="s">
        <v>107</v>
      </c>
      <c r="N94" s="38">
        <v>3000.0</v>
      </c>
      <c r="O94" s="38" t="s">
        <v>116</v>
      </c>
      <c r="P94" s="40"/>
      <c r="Q94" s="38" t="s">
        <v>111</v>
      </c>
      <c r="R94" s="38">
        <v>41.0</v>
      </c>
      <c r="S94" s="38" t="s">
        <v>1346</v>
      </c>
      <c r="T94" s="38" t="s">
        <v>1347</v>
      </c>
      <c r="U94" s="38" t="s">
        <v>1348</v>
      </c>
      <c r="V94" s="38">
        <v>2011.0</v>
      </c>
      <c r="W94" s="38" t="s">
        <v>1350</v>
      </c>
      <c r="X94" s="49" t="str">
        <f>HYPERLINK("http://dl.acm.org/citation.cfm?id=1979659","http://dl.acm.org/citation.cfm?id=1979659")</f>
        <v>http://dl.acm.org/citation.cfm?id=1979659</v>
      </c>
      <c r="Y94" s="38"/>
      <c r="Z94" s="38"/>
      <c r="AA94" s="38"/>
      <c r="AB94" s="38"/>
      <c r="AC94" s="38"/>
      <c r="AD94" s="38"/>
      <c r="AE94" s="38"/>
      <c r="AF94" s="38"/>
      <c r="AG94" s="28" t="s">
        <v>1359</v>
      </c>
      <c r="AH94" s="28" t="s">
        <v>428</v>
      </c>
      <c r="AI94" s="28"/>
      <c r="AJ94" s="28"/>
      <c r="AK94" s="28" t="s">
        <v>1360</v>
      </c>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row>
    <row r="95" ht="25.5" customHeight="1">
      <c r="A95" s="28">
        <v>168.0</v>
      </c>
      <c r="B95" s="37" t="b">
        <v>1</v>
      </c>
      <c r="C95" s="38" t="s">
        <v>106</v>
      </c>
      <c r="D95" s="38">
        <v>80.0</v>
      </c>
      <c r="E95" s="13" t="b">
        <v>0</v>
      </c>
      <c r="F95" s="13" t="b">
        <v>1</v>
      </c>
      <c r="G95" s="38" t="s">
        <v>224</v>
      </c>
      <c r="H95" s="38"/>
      <c r="I95" s="38" t="s">
        <v>429</v>
      </c>
      <c r="J95" s="38">
        <v>2.0</v>
      </c>
      <c r="K95" s="38" t="s">
        <v>1365</v>
      </c>
      <c r="L95" s="38" t="s">
        <v>1366</v>
      </c>
      <c r="M95" s="38" t="s">
        <v>359</v>
      </c>
      <c r="N95" s="38">
        <v>10000.0</v>
      </c>
      <c r="O95" s="38" t="s">
        <v>918</v>
      </c>
      <c r="P95" s="40"/>
      <c r="Q95" s="38" t="s">
        <v>289</v>
      </c>
      <c r="R95" s="38">
        <v>40.0</v>
      </c>
      <c r="S95" s="38" t="s">
        <v>1367</v>
      </c>
      <c r="T95" s="38" t="s">
        <v>1368</v>
      </c>
      <c r="U95" s="38" t="s">
        <v>1369</v>
      </c>
      <c r="V95" s="38">
        <v>2012.0</v>
      </c>
      <c r="W95" s="38" t="s">
        <v>610</v>
      </c>
      <c r="X95" s="49" t="str">
        <f>HYPERLINK("http://smarterlunchrooms.org/SoftChalk_Lessons/NC_Module03/85225017-Smarter-Lunchrooms-Choices-2010.pdf","http://smarterlunchrooms.org/SoftChalk_Lessons/NC_Module03/85225017-Smarter-Lunchrooms-Choices-2010.pdf")</f>
        <v>http://smarterlunchrooms.org/SoftChalk_Lessons/NC_Module03/85225017-Smarter-Lunchrooms-Choices-2010.pdf</v>
      </c>
      <c r="Y95" s="38"/>
      <c r="Z95" s="38"/>
      <c r="AA95" s="38"/>
      <c r="AB95" s="38"/>
      <c r="AC95" s="38"/>
      <c r="AD95" s="38"/>
      <c r="AE95" s="38"/>
      <c r="AF95" s="38"/>
      <c r="AG95" s="28"/>
      <c r="AH95" s="28" t="s">
        <v>462</v>
      </c>
      <c r="AI95" s="28" t="s">
        <v>462</v>
      </c>
      <c r="AJ95" s="28"/>
      <c r="AK95" s="28"/>
      <c r="AL95" s="28"/>
      <c r="AM95" s="28"/>
      <c r="AN95" s="28"/>
      <c r="AO95" s="28"/>
      <c r="AP95" s="28"/>
      <c r="AQ95" s="28"/>
      <c r="AR95" s="28"/>
      <c r="AS95" s="28"/>
      <c r="AT95" s="28"/>
      <c r="AU95" s="28"/>
      <c r="AV95" s="28"/>
      <c r="AW95" s="28"/>
      <c r="AX95" s="28"/>
      <c r="AY95" s="28"/>
      <c r="AZ95" s="28"/>
      <c r="BA95" s="28" t="s">
        <v>1382</v>
      </c>
      <c r="BB95" s="28"/>
      <c r="BC95" s="28"/>
      <c r="BD95" s="28"/>
      <c r="BE95" s="28"/>
      <c r="BF95" s="28"/>
      <c r="BG95" s="28"/>
      <c r="BH95" s="28"/>
      <c r="BI95" s="28"/>
      <c r="BJ95" s="28"/>
      <c r="BK95" s="28"/>
      <c r="BL95" s="28"/>
      <c r="BM95" s="28"/>
      <c r="BN95" s="28"/>
      <c r="BO95" s="28"/>
    </row>
    <row r="96" ht="25.5" customHeight="1">
      <c r="A96" s="28">
        <v>10428.0</v>
      </c>
      <c r="B96" s="37" t="b">
        <v>1</v>
      </c>
      <c r="C96" s="38" t="s">
        <v>238</v>
      </c>
      <c r="D96" s="38">
        <v>81.0</v>
      </c>
      <c r="E96" s="13" t="b">
        <v>0</v>
      </c>
      <c r="F96" s="13" t="b">
        <v>1</v>
      </c>
      <c r="G96" s="38" t="s">
        <v>224</v>
      </c>
      <c r="H96" s="38"/>
      <c r="I96" s="38" t="s">
        <v>772</v>
      </c>
      <c r="J96" s="38">
        <v>5.0</v>
      </c>
      <c r="K96" s="38"/>
      <c r="L96" s="38"/>
      <c r="M96" s="38" t="s">
        <v>1387</v>
      </c>
      <c r="N96" s="38" t="s">
        <v>1388</v>
      </c>
      <c r="O96" s="38" t="s">
        <v>1389</v>
      </c>
      <c r="P96" s="40"/>
      <c r="Q96" s="38" t="s">
        <v>289</v>
      </c>
      <c r="R96" s="38">
        <v>40.0</v>
      </c>
      <c r="S96" s="38" t="s">
        <v>1391</v>
      </c>
      <c r="T96" s="38" t="s">
        <v>1392</v>
      </c>
      <c r="U96" s="38" t="s">
        <v>1394</v>
      </c>
      <c r="V96" s="55">
        <v>2009.0</v>
      </c>
      <c r="W96" s="38" t="s">
        <v>1396</v>
      </c>
      <c r="X96" s="49" t="str">
        <f>HYPERLINK("http://www.chrisjordan.com/gallery/rtn2/#bees","http://www.chrisjordan.com/gallery/rtn2/#bees")</f>
        <v>http://www.chrisjordan.com/gallery/rtn2/#bees</v>
      </c>
      <c r="Y96" s="38"/>
      <c r="Z96" s="38"/>
      <c r="AA96" s="38"/>
      <c r="AB96" s="38"/>
      <c r="AC96" s="38"/>
      <c r="AD96" s="38"/>
      <c r="AE96" s="38"/>
      <c r="AF96" s="38"/>
      <c r="AG96" s="28"/>
      <c r="AH96" s="28" t="s">
        <v>462</v>
      </c>
      <c r="AI96" s="28" t="s">
        <v>462</v>
      </c>
      <c r="AJ96" s="28"/>
      <c r="AK96" s="28"/>
      <c r="AL96" s="28" t="s">
        <v>600</v>
      </c>
      <c r="AM96" s="28"/>
      <c r="AN96" s="54"/>
      <c r="AO96" s="54"/>
      <c r="AP96" s="28"/>
      <c r="AQ96" s="28"/>
      <c r="AR96" s="28"/>
      <c r="AS96" s="54"/>
      <c r="AT96" s="28"/>
      <c r="AU96" s="28"/>
      <c r="AV96" s="28"/>
      <c r="AW96" s="28"/>
      <c r="AX96" s="28"/>
      <c r="AY96" s="28"/>
      <c r="AZ96" s="28"/>
      <c r="BA96" s="28"/>
      <c r="BB96" s="28"/>
      <c r="BC96" s="28"/>
      <c r="BD96" s="28"/>
      <c r="BE96" s="28"/>
      <c r="BF96" s="28"/>
      <c r="BG96" s="28"/>
      <c r="BH96" s="28"/>
      <c r="BI96" s="28"/>
      <c r="BJ96" s="28"/>
      <c r="BK96" s="28"/>
      <c r="BL96" s="28"/>
      <c r="BM96" s="28"/>
      <c r="BN96" s="28"/>
      <c r="BO96" s="28"/>
    </row>
    <row r="97" ht="25.5" customHeight="1">
      <c r="A97" s="28">
        <v>369.0</v>
      </c>
      <c r="B97" s="37" t="b">
        <v>1</v>
      </c>
      <c r="C97" s="38" t="s">
        <v>106</v>
      </c>
      <c r="D97" s="38">
        <v>80.0</v>
      </c>
      <c r="E97" s="13" t="b">
        <v>0</v>
      </c>
      <c r="F97" s="13" t="b">
        <v>1</v>
      </c>
      <c r="G97" s="38" t="s">
        <v>224</v>
      </c>
      <c r="H97" s="38"/>
      <c r="I97" s="38" t="s">
        <v>280</v>
      </c>
      <c r="J97" s="38">
        <v>10.0</v>
      </c>
      <c r="K97" s="38" t="s">
        <v>1404</v>
      </c>
      <c r="L97" s="38">
        <v>1000.0</v>
      </c>
      <c r="M97" s="38" t="s">
        <v>408</v>
      </c>
      <c r="N97" s="38">
        <v>20000.0</v>
      </c>
      <c r="O97" s="38" t="s">
        <v>169</v>
      </c>
      <c r="P97" s="40"/>
      <c r="Q97" s="38" t="s">
        <v>111</v>
      </c>
      <c r="R97" s="38">
        <v>41.0</v>
      </c>
      <c r="S97" s="38" t="s">
        <v>1405</v>
      </c>
      <c r="T97" s="38" t="s">
        <v>1407</v>
      </c>
      <c r="U97" s="38" t="s">
        <v>1408</v>
      </c>
      <c r="V97" s="38">
        <v>2005.0</v>
      </c>
      <c r="W97" s="38" t="s">
        <v>1410</v>
      </c>
      <c r="X97" s="49" t="str">
        <f>HYPERLINK("http://brage.bibsys.no/xmlui/handle/11250/191992","http://citeseerx.ist.psu.edu/viewdoc/download?doi=10.1.1.545.4039&amp;rep=rep1&amp;type=pdf")</f>
        <v>http://citeseerx.ist.psu.edu/viewdoc/download?doi=10.1.1.545.4039&amp;rep=rep1&amp;type=pdf</v>
      </c>
      <c r="Y97" s="38"/>
      <c r="Z97" s="38"/>
      <c r="AA97" s="38"/>
      <c r="AB97" s="38"/>
      <c r="AC97" s="38"/>
      <c r="AD97" s="38"/>
      <c r="AE97" s="38"/>
      <c r="AF97" s="38"/>
      <c r="AG97" s="28" t="s">
        <v>1414</v>
      </c>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row>
    <row r="98" ht="25.5" customHeight="1">
      <c r="A98" s="28">
        <v>10335.0</v>
      </c>
      <c r="B98" s="37" t="b">
        <v>1</v>
      </c>
      <c r="C98" s="38" t="s">
        <v>238</v>
      </c>
      <c r="D98" s="38">
        <v>81.0</v>
      </c>
      <c r="E98" s="13" t="b">
        <v>0</v>
      </c>
      <c r="F98" s="13" t="b">
        <v>1</v>
      </c>
      <c r="G98" s="38" t="s">
        <v>224</v>
      </c>
      <c r="H98" s="38"/>
      <c r="I98" s="38" t="s">
        <v>280</v>
      </c>
      <c r="J98" s="38">
        <v>10.0</v>
      </c>
      <c r="K98" s="38"/>
      <c r="L98" s="38"/>
      <c r="M98" s="38" t="s">
        <v>408</v>
      </c>
      <c r="N98" s="38">
        <v>20000.0</v>
      </c>
      <c r="O98" s="38" t="s">
        <v>1138</v>
      </c>
      <c r="P98" s="40"/>
      <c r="Q98" s="38" t="s">
        <v>111</v>
      </c>
      <c r="R98" s="38">
        <v>41.0</v>
      </c>
      <c r="S98" s="38" t="s">
        <v>1417</v>
      </c>
      <c r="T98" s="38" t="s">
        <v>1419</v>
      </c>
      <c r="U98" s="38" t="s">
        <v>1420</v>
      </c>
      <c r="V98" s="42">
        <v>42248.0</v>
      </c>
      <c r="W98" s="38"/>
      <c r="X98" s="49" t="str">
        <f>HYPERLINK("http://www.citylab.com/commute/2015/09/why-cyclists-form-stronger-commuting-habits-than-drivers/403069/","http://www.citylab.com/commute/2015/09/why-cyclists-form-stronger-commuting-habits-than-drivers/403069/")</f>
        <v>http://www.citylab.com/commute/2015/09/why-cyclists-form-stronger-commuting-habits-than-drivers/403069/</v>
      </c>
      <c r="Y98" s="38"/>
      <c r="Z98" s="38"/>
      <c r="AA98" s="38"/>
      <c r="AB98" s="38"/>
      <c r="AC98" s="38"/>
      <c r="AD98" s="38"/>
      <c r="AE98" s="38"/>
      <c r="AF98" s="38"/>
      <c r="AG98" s="28" t="s">
        <v>1425</v>
      </c>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row>
    <row r="99" ht="25.5" customHeight="1">
      <c r="A99" s="28">
        <v>10386.0</v>
      </c>
      <c r="B99" s="37" t="b">
        <v>1</v>
      </c>
      <c r="C99" s="38" t="s">
        <v>238</v>
      </c>
      <c r="D99" s="38">
        <v>81.0</v>
      </c>
      <c r="E99" s="13" t="b">
        <v>0</v>
      </c>
      <c r="F99" s="13" t="b">
        <v>1</v>
      </c>
      <c r="G99" s="38" t="s">
        <v>224</v>
      </c>
      <c r="H99" s="38"/>
      <c r="I99" s="38" t="s">
        <v>68</v>
      </c>
      <c r="J99" s="38">
        <v>7.0</v>
      </c>
      <c r="K99" s="38"/>
      <c r="L99" s="38"/>
      <c r="M99" s="38" t="s">
        <v>408</v>
      </c>
      <c r="N99" s="38">
        <v>20000.0</v>
      </c>
      <c r="O99" s="38" t="s">
        <v>526</v>
      </c>
      <c r="P99" s="40"/>
      <c r="Q99" s="38" t="s">
        <v>289</v>
      </c>
      <c r="R99" s="38">
        <v>40.0</v>
      </c>
      <c r="S99" s="38" t="s">
        <v>1427</v>
      </c>
      <c r="T99" s="38" t="s">
        <v>1419</v>
      </c>
      <c r="U99" s="38" t="s">
        <v>1420</v>
      </c>
      <c r="V99" s="55">
        <v>42121.0</v>
      </c>
      <c r="W99" s="38" t="s">
        <v>1431</v>
      </c>
      <c r="X99" s="49" t="str">
        <f>HYPERLINK("http://www.citylab.com/commute/2015/04/an-underrated-approach-to-cutting-car-commutes-peer-pressure/391514/?utm_source=SFTwitter","http://www.citylab.com/commute/2015/04/an-underrated-approach-to-cutting-car-commutes-peer-pressure/391514/?utm_source=SFTwitter")</f>
        <v>http://www.citylab.com/commute/2015/04/an-underrated-approach-to-cutting-car-commutes-peer-pressure/391514/?utm_source=SFTwitter</v>
      </c>
      <c r="Y99" s="38"/>
      <c r="Z99" s="38"/>
      <c r="AA99" s="38"/>
      <c r="AB99" s="38"/>
      <c r="AC99" s="38"/>
      <c r="AD99" s="38"/>
      <c r="AE99" s="38"/>
      <c r="AF99" s="38"/>
      <c r="AG99" s="28"/>
      <c r="AH99" s="28" t="s">
        <v>462</v>
      </c>
      <c r="AI99" s="28" t="s">
        <v>462</v>
      </c>
      <c r="AJ99" s="28"/>
      <c r="AK99" s="28"/>
      <c r="AL99" s="28" t="s">
        <v>769</v>
      </c>
      <c r="AM99" s="28"/>
      <c r="AN99" s="54">
        <v>42123.0</v>
      </c>
      <c r="AO99" s="54"/>
      <c r="AP99" s="54"/>
      <c r="AQ99" s="28" t="s">
        <v>769</v>
      </c>
      <c r="AR99" s="28"/>
      <c r="AS99" s="54">
        <v>42139.0</v>
      </c>
      <c r="AT99" s="28"/>
      <c r="AU99" s="28"/>
      <c r="AV99" s="28"/>
      <c r="AW99" s="28"/>
      <c r="AX99" s="28"/>
      <c r="AY99" s="28"/>
      <c r="AZ99" s="28" t="s">
        <v>991</v>
      </c>
      <c r="BA99" s="28"/>
      <c r="BB99" s="28"/>
      <c r="BC99" s="28"/>
      <c r="BD99" s="28"/>
      <c r="BE99" s="28"/>
      <c r="BF99" s="28"/>
      <c r="BG99" s="28"/>
      <c r="BH99" s="28"/>
      <c r="BI99" s="28"/>
      <c r="BJ99" s="28"/>
      <c r="BK99" s="28"/>
      <c r="BL99" s="28"/>
      <c r="BM99" s="28"/>
      <c r="BN99" s="28"/>
      <c r="BO99" s="28"/>
    </row>
    <row r="100" ht="25.5" customHeight="1">
      <c r="A100" s="28">
        <v>10081.0</v>
      </c>
      <c r="B100" s="37" t="b">
        <v>1</v>
      </c>
      <c r="C100" s="38" t="s">
        <v>238</v>
      </c>
      <c r="D100" s="38">
        <v>81.0</v>
      </c>
      <c r="E100" s="13" t="b">
        <v>0</v>
      </c>
      <c r="F100" s="13" t="b">
        <v>1</v>
      </c>
      <c r="G100" s="38" t="s">
        <v>224</v>
      </c>
      <c r="H100" s="38"/>
      <c r="I100" s="38" t="s">
        <v>574</v>
      </c>
      <c r="J100" s="38">
        <v>4.0</v>
      </c>
      <c r="K100" s="38"/>
      <c r="L100" s="38"/>
      <c r="M100" s="38" t="s">
        <v>35</v>
      </c>
      <c r="N100" s="38">
        <v>2000.0</v>
      </c>
      <c r="O100" s="38" t="s">
        <v>644</v>
      </c>
      <c r="P100" s="40"/>
      <c r="Q100" s="38" t="s">
        <v>289</v>
      </c>
      <c r="R100" s="38">
        <v>40.0</v>
      </c>
      <c r="S100" s="38" t="s">
        <v>1439</v>
      </c>
      <c r="T100" s="38" t="s">
        <v>1440</v>
      </c>
      <c r="U100" s="38" t="s">
        <v>1441</v>
      </c>
      <c r="V100" s="55">
        <v>42173.0</v>
      </c>
      <c r="W100" s="38"/>
      <c r="X100" s="49" t="str">
        <f>HYPERLINK("http://www.climateaccess.org/blog/next-steps-towards-new-kind-climate-movement","http://www.climateaccess.org/blog/next-steps-towards-new-kind-climate-movement")</f>
        <v>http://www.climateaccess.org/blog/next-steps-towards-new-kind-climate-movement</v>
      </c>
      <c r="Y100" s="38"/>
      <c r="Z100" s="38"/>
      <c r="AA100" s="38"/>
      <c r="AB100" s="38"/>
      <c r="AC100" s="38"/>
      <c r="AD100" s="38"/>
      <c r="AE100" s="38"/>
      <c r="AF100" s="38"/>
      <c r="AG100" s="28"/>
      <c r="AH100" s="28" t="s">
        <v>462</v>
      </c>
      <c r="AI100" s="28" t="s">
        <v>462</v>
      </c>
      <c r="AJ100" s="28"/>
      <c r="AK100" s="28"/>
      <c r="AL100" s="28" t="s">
        <v>769</v>
      </c>
      <c r="AM100" s="28" t="s">
        <v>1451</v>
      </c>
      <c r="AN100" s="54">
        <v>42215.0</v>
      </c>
      <c r="AO100" s="54"/>
      <c r="AP100" s="28"/>
      <c r="AQ100" s="28"/>
      <c r="AR100" s="28"/>
      <c r="AS100" s="54"/>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row>
    <row r="101" ht="25.5" customHeight="1">
      <c r="A101" s="28">
        <v>10125.0</v>
      </c>
      <c r="B101" s="37" t="b">
        <v>1</v>
      </c>
      <c r="C101" s="38" t="s">
        <v>238</v>
      </c>
      <c r="D101" s="38">
        <v>81.0</v>
      </c>
      <c r="E101" s="13" t="b">
        <v>0</v>
      </c>
      <c r="F101" s="13" t="b">
        <v>1</v>
      </c>
      <c r="G101" s="38" t="s">
        <v>224</v>
      </c>
      <c r="H101" s="38"/>
      <c r="I101" s="38" t="s">
        <v>1455</v>
      </c>
      <c r="J101" s="38" t="s">
        <v>1456</v>
      </c>
      <c r="K101" s="38"/>
      <c r="L101" s="38"/>
      <c r="M101" s="38" t="s">
        <v>35</v>
      </c>
      <c r="N101" s="38">
        <v>2000.0</v>
      </c>
      <c r="O101" s="38" t="s">
        <v>1114</v>
      </c>
      <c r="P101" s="40"/>
      <c r="Q101" s="38" t="s">
        <v>324</v>
      </c>
      <c r="R101" s="38" t="s">
        <v>325</v>
      </c>
      <c r="S101" s="61" t="s">
        <v>1461</v>
      </c>
      <c r="T101" s="38" t="s">
        <v>1462</v>
      </c>
      <c r="U101" s="38" t="s">
        <v>1441</v>
      </c>
      <c r="V101" s="55">
        <v>42398.0</v>
      </c>
      <c r="W101" s="38" t="s">
        <v>1465</v>
      </c>
      <c r="X101" s="49" t="str">
        <f>HYPERLINK("http://www.climateaccess.org/blog/using-new-economic-frames-drive-climate-action","http://www.climateaccess.org/blog/using-new-economic-frames-drive-climate-action")</f>
        <v>http://www.climateaccess.org/blog/using-new-economic-frames-drive-climate-action</v>
      </c>
      <c r="Y101" s="38"/>
      <c r="Z101" s="38"/>
      <c r="AA101" s="38"/>
      <c r="AB101" s="38"/>
      <c r="AC101" s="38"/>
      <c r="AD101" s="38"/>
      <c r="AE101" s="38"/>
      <c r="AF101" s="38"/>
      <c r="AG101" s="28"/>
      <c r="AH101" s="28"/>
      <c r="AI101" s="28"/>
      <c r="AJ101" s="28"/>
      <c r="AK101" s="28"/>
      <c r="AL101" s="28" t="s">
        <v>769</v>
      </c>
      <c r="AM101" s="28" t="s">
        <v>1470</v>
      </c>
      <c r="AN101" s="54">
        <v>42712.0</v>
      </c>
      <c r="AO101" s="54"/>
      <c r="AP101" s="28"/>
      <c r="AQ101" s="28"/>
      <c r="AR101" s="28"/>
      <c r="AS101" s="28"/>
      <c r="AT101" s="28"/>
      <c r="AU101" s="28"/>
      <c r="AV101" s="28"/>
      <c r="AW101" s="28"/>
      <c r="AX101" s="28"/>
      <c r="AY101" s="28" t="s">
        <v>428</v>
      </c>
      <c r="AZ101" s="28"/>
      <c r="BA101" s="28"/>
      <c r="BB101" s="28"/>
      <c r="BC101" s="28"/>
      <c r="BD101" s="28"/>
      <c r="BE101" s="28"/>
      <c r="BF101" s="28"/>
      <c r="BG101" s="28"/>
      <c r="BH101" s="28"/>
      <c r="BI101" s="28"/>
      <c r="BJ101" s="28"/>
      <c r="BK101" s="28"/>
      <c r="BL101" s="28"/>
      <c r="BM101" s="28"/>
      <c r="BN101" s="28"/>
      <c r="BO101" s="28"/>
    </row>
    <row r="102" ht="25.5" customHeight="1">
      <c r="A102" s="28">
        <v>10129.0</v>
      </c>
      <c r="B102" s="37" t="b">
        <v>1</v>
      </c>
      <c r="C102" s="38" t="s">
        <v>238</v>
      </c>
      <c r="D102" s="38">
        <v>81.0</v>
      </c>
      <c r="E102" s="13" t="b">
        <v>0</v>
      </c>
      <c r="F102" s="13" t="b">
        <v>1</v>
      </c>
      <c r="G102" s="38" t="s">
        <v>224</v>
      </c>
      <c r="H102" s="38"/>
      <c r="I102" s="38" t="s">
        <v>1476</v>
      </c>
      <c r="J102" s="38" t="s">
        <v>1477</v>
      </c>
      <c r="K102" s="47"/>
      <c r="L102" s="38"/>
      <c r="M102" s="38" t="s">
        <v>35</v>
      </c>
      <c r="N102" s="38">
        <v>2000.0</v>
      </c>
      <c r="O102" s="38" t="s">
        <v>644</v>
      </c>
      <c r="P102" s="40"/>
      <c r="Q102" s="38" t="s">
        <v>289</v>
      </c>
      <c r="R102" s="38">
        <v>40.0</v>
      </c>
      <c r="S102" s="61" t="s">
        <v>1478</v>
      </c>
      <c r="T102" s="38" t="s">
        <v>1462</v>
      </c>
      <c r="U102" s="38" t="s">
        <v>1441</v>
      </c>
      <c r="V102" s="55">
        <v>42429.0</v>
      </c>
      <c r="W102" s="38" t="s">
        <v>1481</v>
      </c>
      <c r="X102" s="49" t="str">
        <f>HYPERLINK("http://www.climateaccess.org/blog/what-you-need-know-about-changing-climate-conversation","http://www.climateaccess.org/blog/what-you-need-know-about-changing-climate-conversation")</f>
        <v>http://www.climateaccess.org/blog/what-you-need-know-about-changing-climate-conversation</v>
      </c>
      <c r="Y102" s="38"/>
      <c r="Z102" s="38"/>
      <c r="AA102" s="38"/>
      <c r="AB102" s="38"/>
      <c r="AC102" s="38"/>
      <c r="AD102" s="38"/>
      <c r="AE102" s="38"/>
      <c r="AF102" s="38"/>
      <c r="AG102" s="28"/>
      <c r="AH102" s="28"/>
      <c r="AI102" s="28"/>
      <c r="AJ102" s="28"/>
      <c r="AK102" s="28"/>
      <c r="AL102" s="28" t="s">
        <v>769</v>
      </c>
      <c r="AM102" s="28" t="s">
        <v>1486</v>
      </c>
      <c r="AN102" s="54">
        <v>42662.0</v>
      </c>
      <c r="AO102" s="54"/>
      <c r="AP102" s="28"/>
      <c r="AQ102" s="28"/>
      <c r="AR102" s="28"/>
      <c r="AS102" s="28"/>
      <c r="AT102" s="28"/>
      <c r="AU102" s="28"/>
      <c r="AV102" s="28"/>
      <c r="AW102" s="28"/>
      <c r="AX102" s="28"/>
      <c r="AY102" s="28" t="s">
        <v>428</v>
      </c>
      <c r="AZ102" s="28"/>
      <c r="BA102" s="28"/>
      <c r="BB102" s="28"/>
      <c r="BC102" s="28"/>
      <c r="BD102" s="28"/>
      <c r="BE102" s="28"/>
      <c r="BF102" s="28"/>
      <c r="BG102" s="28"/>
      <c r="BH102" s="28"/>
      <c r="BI102" s="28"/>
      <c r="BJ102" s="28"/>
      <c r="BK102" s="28"/>
      <c r="BL102" s="28"/>
      <c r="BM102" s="28"/>
      <c r="BN102" s="28"/>
      <c r="BO102" s="28"/>
    </row>
    <row r="103" ht="25.5" customHeight="1">
      <c r="A103" s="28">
        <v>10138.0</v>
      </c>
      <c r="B103" s="37" t="b">
        <v>1</v>
      </c>
      <c r="C103" s="38" t="s">
        <v>238</v>
      </c>
      <c r="D103" s="38">
        <v>81.0</v>
      </c>
      <c r="E103" s="13" t="b">
        <v>0</v>
      </c>
      <c r="F103" s="13" t="b">
        <v>1</v>
      </c>
      <c r="G103" s="38" t="s">
        <v>224</v>
      </c>
      <c r="H103" s="38"/>
      <c r="I103" s="38" t="s">
        <v>1331</v>
      </c>
      <c r="J103" s="38" t="s">
        <v>1371</v>
      </c>
      <c r="K103" s="38"/>
      <c r="L103" s="38"/>
      <c r="M103" s="38" t="s">
        <v>35</v>
      </c>
      <c r="N103" s="38">
        <v>2000.0</v>
      </c>
      <c r="O103" s="38" t="s">
        <v>644</v>
      </c>
      <c r="P103" s="40"/>
      <c r="Q103" s="38" t="s">
        <v>111</v>
      </c>
      <c r="R103" s="38">
        <v>41.0</v>
      </c>
      <c r="S103" s="38" t="s">
        <v>1494</v>
      </c>
      <c r="T103" s="38" t="s">
        <v>1495</v>
      </c>
      <c r="U103" s="38" t="s">
        <v>1441</v>
      </c>
      <c r="V103" s="55">
        <v>42185.0</v>
      </c>
      <c r="W103" s="38" t="s">
        <v>1498</v>
      </c>
      <c r="X103" s="49" t="str">
        <f>HYPERLINK("http://www.climateaccess.org/blog/communicating-through-shared-values","http://www.climateaccess.org/blog/communicating-through-shared-values")</f>
        <v>http://www.climateaccess.org/blog/communicating-through-shared-values</v>
      </c>
      <c r="Y103" s="38"/>
      <c r="Z103" s="38"/>
      <c r="AA103" s="38"/>
      <c r="AB103" s="38"/>
      <c r="AC103" s="38"/>
      <c r="AD103" s="38"/>
      <c r="AE103" s="38"/>
      <c r="AF103" s="38"/>
      <c r="AG103" s="28"/>
      <c r="AH103" s="28" t="s">
        <v>462</v>
      </c>
      <c r="AI103" s="28" t="s">
        <v>462</v>
      </c>
      <c r="AJ103" s="28"/>
      <c r="AK103" s="28" t="s">
        <v>676</v>
      </c>
      <c r="AL103" s="28" t="s">
        <v>769</v>
      </c>
      <c r="AM103" s="28" t="s">
        <v>1503</v>
      </c>
      <c r="AN103" s="54">
        <v>42214.0</v>
      </c>
      <c r="AO103" s="54"/>
      <c r="AP103" s="54">
        <v>42523.0</v>
      </c>
      <c r="AQ103" s="28" t="s">
        <v>769</v>
      </c>
      <c r="AR103" s="28"/>
      <c r="AS103" s="54">
        <v>42468.0</v>
      </c>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row>
    <row r="104" ht="25.5" customHeight="1">
      <c r="A104" s="28">
        <v>10139.0</v>
      </c>
      <c r="B104" s="37" t="b">
        <v>1</v>
      </c>
      <c r="C104" s="38" t="s">
        <v>238</v>
      </c>
      <c r="D104" s="38">
        <v>81.0</v>
      </c>
      <c r="E104" s="13" t="b">
        <v>0</v>
      </c>
      <c r="F104" s="13" t="b">
        <v>1</v>
      </c>
      <c r="G104" s="38" t="s">
        <v>224</v>
      </c>
      <c r="H104" s="38"/>
      <c r="I104" s="38" t="s">
        <v>1331</v>
      </c>
      <c r="J104" s="38" t="s">
        <v>1371</v>
      </c>
      <c r="K104" s="38"/>
      <c r="L104" s="38"/>
      <c r="M104" s="38" t="s">
        <v>35</v>
      </c>
      <c r="N104" s="38">
        <v>2000.0</v>
      </c>
      <c r="O104" s="38" t="s">
        <v>1508</v>
      </c>
      <c r="P104" s="40"/>
      <c r="Q104" s="38" t="s">
        <v>289</v>
      </c>
      <c r="R104" s="38">
        <v>40.0</v>
      </c>
      <c r="S104" s="38" t="s">
        <v>1509</v>
      </c>
      <c r="T104" s="38" t="s">
        <v>1462</v>
      </c>
      <c r="U104" s="38" t="s">
        <v>1441</v>
      </c>
      <c r="V104" s="55">
        <v>42179.0</v>
      </c>
      <c r="W104" s="38" t="s">
        <v>1510</v>
      </c>
      <c r="X104" s="49" t="str">
        <f>HYPERLINK("http://www.climateaccess.org/blog/connecting-climate-health-and-opportunity","http://www.climateaccess.org/blog/connecting-climate-health-and-opportunity")</f>
        <v>http://www.climateaccess.org/blog/connecting-climate-health-and-opportunity</v>
      </c>
      <c r="Y104" s="38"/>
      <c r="Z104" s="38"/>
      <c r="AA104" s="38"/>
      <c r="AB104" s="38"/>
      <c r="AC104" s="38"/>
      <c r="AD104" s="38"/>
      <c r="AE104" s="38"/>
      <c r="AF104" s="38"/>
      <c r="AG104" s="28"/>
      <c r="AH104" s="28" t="s">
        <v>462</v>
      </c>
      <c r="AI104" s="28" t="s">
        <v>462</v>
      </c>
      <c r="AJ104" s="28"/>
      <c r="AK104" s="28" t="s">
        <v>676</v>
      </c>
      <c r="AL104" s="28" t="s">
        <v>769</v>
      </c>
      <c r="AM104" s="28" t="s">
        <v>1518</v>
      </c>
      <c r="AN104" s="54">
        <v>42215.0</v>
      </c>
      <c r="AO104" s="54"/>
      <c r="AP104" s="54">
        <v>42527.0</v>
      </c>
      <c r="AQ104" s="28"/>
      <c r="AR104" s="28"/>
      <c r="AS104" s="54"/>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row>
    <row r="105" ht="25.5" customHeight="1">
      <c r="A105" s="28">
        <v>10215.0</v>
      </c>
      <c r="B105" s="37" t="b">
        <v>1</v>
      </c>
      <c r="C105" s="38" t="s">
        <v>238</v>
      </c>
      <c r="D105" s="38">
        <v>81.0</v>
      </c>
      <c r="E105" s="13" t="b">
        <v>0</v>
      </c>
      <c r="F105" s="13" t="b">
        <v>1</v>
      </c>
      <c r="G105" s="38" t="s">
        <v>224</v>
      </c>
      <c r="H105" s="38"/>
      <c r="I105" s="38" t="s">
        <v>1527</v>
      </c>
      <c r="J105" s="38" t="s">
        <v>1528</v>
      </c>
      <c r="K105" s="38"/>
      <c r="L105" s="38"/>
      <c r="M105" s="38" t="s">
        <v>35</v>
      </c>
      <c r="N105" s="38">
        <v>2000.0</v>
      </c>
      <c r="O105" s="38" t="s">
        <v>644</v>
      </c>
      <c r="P105" s="40"/>
      <c r="Q105" s="38" t="s">
        <v>289</v>
      </c>
      <c r="R105" s="38">
        <v>40.0</v>
      </c>
      <c r="S105" s="61" t="s">
        <v>1530</v>
      </c>
      <c r="T105" s="38" t="s">
        <v>1531</v>
      </c>
      <c r="U105" s="38" t="s">
        <v>1441</v>
      </c>
      <c r="V105" s="55">
        <v>42384.0</v>
      </c>
      <c r="W105" s="38" t="s">
        <v>1532</v>
      </c>
      <c r="X105" s="49" t="str">
        <f>HYPERLINK("http://www.climateaccess.org/blog/highlights-hub","http://www.climateaccess.org/blog/highlights-hub")</f>
        <v>http://www.climateaccess.org/blog/highlights-hub</v>
      </c>
      <c r="Y105" s="38"/>
      <c r="Z105" s="38"/>
      <c r="AA105" s="38"/>
      <c r="AB105" s="38"/>
      <c r="AC105" s="38"/>
      <c r="AD105" s="38"/>
      <c r="AE105" s="38"/>
      <c r="AF105" s="38"/>
      <c r="AG105" s="28"/>
      <c r="AH105" s="28"/>
      <c r="AI105" s="28"/>
      <c r="AJ105" s="28"/>
      <c r="AK105" s="28"/>
      <c r="AL105" s="28" t="s">
        <v>428</v>
      </c>
      <c r="AM105" s="95" t="str">
        <f>HYPERLINK("https://hootsuite.com/dashboard","To communicate about #climatechange effectively, use local impacts, real people, &amp; success stories in examples")</f>
        <v>To communicate about #climatechange effectively, use local impacts, real people, &amp; success stories in examples</v>
      </c>
      <c r="AN105" s="54">
        <v>42635.0</v>
      </c>
      <c r="AO105" s="54"/>
      <c r="AP105" s="28"/>
      <c r="AQ105" s="28"/>
      <c r="AR105" s="28"/>
      <c r="AS105" s="28"/>
      <c r="AT105" s="28"/>
      <c r="AU105" s="28"/>
      <c r="AV105" s="28"/>
      <c r="AW105" s="28"/>
      <c r="AX105" s="28"/>
      <c r="AY105" s="28" t="s">
        <v>428</v>
      </c>
      <c r="AZ105" s="28"/>
      <c r="BA105" s="28"/>
      <c r="BB105" s="28"/>
      <c r="BC105" s="28"/>
      <c r="BD105" s="28"/>
      <c r="BE105" s="28"/>
      <c r="BF105" s="28"/>
      <c r="BG105" s="28"/>
      <c r="BH105" s="28"/>
      <c r="BI105" s="28"/>
      <c r="BJ105" s="28"/>
      <c r="BK105" s="28"/>
      <c r="BL105" s="28"/>
      <c r="BM105" s="28"/>
      <c r="BN105" s="28"/>
      <c r="BO105" s="28"/>
    </row>
    <row r="106" ht="25.5" customHeight="1">
      <c r="A106" s="28">
        <v>10225.0</v>
      </c>
      <c r="B106" s="37" t="b">
        <v>1</v>
      </c>
      <c r="C106" s="38" t="s">
        <v>238</v>
      </c>
      <c r="D106" s="38">
        <v>81.0</v>
      </c>
      <c r="E106" s="13" t="b">
        <v>0</v>
      </c>
      <c r="F106" s="13" t="b">
        <v>1</v>
      </c>
      <c r="G106" s="38" t="s">
        <v>224</v>
      </c>
      <c r="H106" s="38"/>
      <c r="I106" s="38" t="s">
        <v>1559</v>
      </c>
      <c r="J106" s="38" t="s">
        <v>1560</v>
      </c>
      <c r="K106" s="38"/>
      <c r="L106" s="38"/>
      <c r="M106" s="38" t="s">
        <v>35</v>
      </c>
      <c r="N106" s="38">
        <v>2000.0</v>
      </c>
      <c r="O106" s="38" t="s">
        <v>1114</v>
      </c>
      <c r="P106" s="40"/>
      <c r="Q106" s="38" t="s">
        <v>289</v>
      </c>
      <c r="R106" s="38">
        <v>40.0</v>
      </c>
      <c r="S106" s="38" t="s">
        <v>1562</v>
      </c>
      <c r="T106" s="38" t="s">
        <v>1565</v>
      </c>
      <c r="U106" s="38" t="s">
        <v>1441</v>
      </c>
      <c r="V106" s="55">
        <v>42212.0</v>
      </c>
      <c r="W106" s="38" t="s">
        <v>1567</v>
      </c>
      <c r="X106" s="49" t="str">
        <f>HYPERLINK("http://www.climateaccess.org/blog/inspire-action-through-smart-imagery","http://www.climateaccess.org/blog/inspire-action-through-smart-imagery")</f>
        <v>http://www.climateaccess.org/blog/inspire-action-through-smart-imagery</v>
      </c>
      <c r="Y106" s="38"/>
      <c r="Z106" s="38"/>
      <c r="AA106" s="38"/>
      <c r="AB106" s="38"/>
      <c r="AC106" s="38"/>
      <c r="AD106" s="38"/>
      <c r="AE106" s="38"/>
      <c r="AF106" s="38"/>
      <c r="AG106" s="28" t="s">
        <v>1573</v>
      </c>
      <c r="AH106" s="28" t="s">
        <v>462</v>
      </c>
      <c r="AI106" s="28" t="s">
        <v>462</v>
      </c>
      <c r="AJ106" s="28"/>
      <c r="AK106" s="28" t="s">
        <v>676</v>
      </c>
      <c r="AL106" s="28" t="s">
        <v>600</v>
      </c>
      <c r="AM106" s="28"/>
      <c r="AN106" s="54"/>
      <c r="AO106" s="54"/>
      <c r="AP106" s="66"/>
      <c r="AQ106" s="28"/>
      <c r="AR106" s="28"/>
      <c r="AS106" s="54"/>
      <c r="AT106" s="28" t="s">
        <v>1088</v>
      </c>
      <c r="AU106" s="28"/>
      <c r="AV106" s="28" t="s">
        <v>1089</v>
      </c>
      <c r="AW106" s="28"/>
      <c r="AX106" s="28"/>
      <c r="AY106" s="28"/>
      <c r="AZ106" s="28"/>
      <c r="BA106" s="28"/>
      <c r="BB106" s="28"/>
      <c r="BC106" s="28"/>
      <c r="BD106" s="28"/>
      <c r="BE106" s="28"/>
      <c r="BF106" s="28"/>
      <c r="BG106" s="28"/>
      <c r="BH106" s="28"/>
      <c r="BI106" s="28"/>
      <c r="BJ106" s="28"/>
      <c r="BK106" s="28"/>
      <c r="BL106" s="28"/>
      <c r="BM106" s="28"/>
      <c r="BN106" s="28"/>
      <c r="BO106" s="28"/>
    </row>
    <row r="107" ht="25.5" customHeight="1">
      <c r="A107" s="28">
        <v>10290.0</v>
      </c>
      <c r="B107" s="37" t="b">
        <v>1</v>
      </c>
      <c r="C107" s="38" t="s">
        <v>238</v>
      </c>
      <c r="D107" s="38">
        <v>81.0</v>
      </c>
      <c r="E107" s="13" t="b">
        <v>0</v>
      </c>
      <c r="F107" s="13" t="b">
        <v>1</v>
      </c>
      <c r="G107" s="38" t="s">
        <v>224</v>
      </c>
      <c r="H107" s="38"/>
      <c r="I107" s="38" t="s">
        <v>536</v>
      </c>
      <c r="J107" s="38">
        <v>3.0</v>
      </c>
      <c r="K107" s="38"/>
      <c r="L107" s="38"/>
      <c r="M107" s="38" t="s">
        <v>35</v>
      </c>
      <c r="N107" s="38">
        <v>2000.0</v>
      </c>
      <c r="O107" s="38" t="s">
        <v>644</v>
      </c>
      <c r="P107" s="40"/>
      <c r="Q107" s="38" t="s">
        <v>289</v>
      </c>
      <c r="R107" s="38">
        <v>40.0</v>
      </c>
      <c r="S107" s="38" t="s">
        <v>1583</v>
      </c>
      <c r="T107" s="38" t="s">
        <v>1584</v>
      </c>
      <c r="U107" s="38" t="s">
        <v>1441</v>
      </c>
      <c r="V107" s="55">
        <v>41684.0</v>
      </c>
      <c r="W107" s="38" t="s">
        <v>1585</v>
      </c>
      <c r="X107" s="49" t="str">
        <f>HYPERLINK("http://www.climateaccess.org/blog/using-humor-effectively-communicate-climate-change","http://www.climateaccess.org/blog/using-humor-effectively-communicate-climate-change")</f>
        <v>http://www.climateaccess.org/blog/using-humor-effectively-communicate-climate-change</v>
      </c>
      <c r="Y107" s="38"/>
      <c r="Z107" s="38"/>
      <c r="AA107" s="38"/>
      <c r="AB107" s="38"/>
      <c r="AC107" s="38"/>
      <c r="AD107" s="38"/>
      <c r="AE107" s="38"/>
      <c r="AF107" s="38"/>
      <c r="AG107" s="28"/>
      <c r="AH107" s="28" t="s">
        <v>1594</v>
      </c>
      <c r="AI107" s="28" t="s">
        <v>530</v>
      </c>
      <c r="AJ107" s="28"/>
      <c r="AK107" s="28"/>
      <c r="AL107" s="28" t="s">
        <v>600</v>
      </c>
      <c r="AM107" s="28" t="s">
        <v>1598</v>
      </c>
      <c r="AN107" s="54">
        <v>42319.0</v>
      </c>
      <c r="AO107" s="54"/>
      <c r="AP107" s="54"/>
      <c r="AQ107" s="28"/>
      <c r="AR107" s="28"/>
      <c r="AS107" s="54"/>
      <c r="AT107" s="28"/>
      <c r="AU107" s="54"/>
      <c r="AV107" s="28"/>
      <c r="AW107" s="28"/>
      <c r="AX107" s="28"/>
      <c r="AY107" s="28"/>
      <c r="AZ107" s="28"/>
      <c r="BA107" s="28"/>
      <c r="BB107" s="28"/>
      <c r="BC107" s="28"/>
      <c r="BD107" s="28"/>
      <c r="BE107" s="28"/>
      <c r="BF107" s="28"/>
      <c r="BG107" s="28"/>
      <c r="BH107" s="28"/>
      <c r="BI107" s="28"/>
      <c r="BJ107" s="28"/>
      <c r="BK107" s="28"/>
      <c r="BL107" s="28"/>
      <c r="BM107" s="28"/>
      <c r="BN107" s="28"/>
      <c r="BO107" s="28"/>
    </row>
    <row r="108" ht="25.5" customHeight="1">
      <c r="A108" s="28">
        <v>10396.0</v>
      </c>
      <c r="B108" s="37" t="b">
        <v>1</v>
      </c>
      <c r="C108" s="38" t="s">
        <v>238</v>
      </c>
      <c r="D108" s="38">
        <v>81.0</v>
      </c>
      <c r="E108" s="13" t="b">
        <v>0</v>
      </c>
      <c r="F108" s="13" t="b">
        <v>1</v>
      </c>
      <c r="G108" s="38" t="s">
        <v>224</v>
      </c>
      <c r="H108" s="38"/>
      <c r="I108" s="38" t="s">
        <v>387</v>
      </c>
      <c r="J108" s="38">
        <v>8.0</v>
      </c>
      <c r="K108" s="38"/>
      <c r="L108" s="38"/>
      <c r="M108" s="38" t="s">
        <v>35</v>
      </c>
      <c r="N108" s="38">
        <v>2000.0</v>
      </c>
      <c r="O108" s="38" t="s">
        <v>644</v>
      </c>
      <c r="P108" s="40"/>
      <c r="Q108" s="38" t="s">
        <v>289</v>
      </c>
      <c r="R108" s="38">
        <v>40.0</v>
      </c>
      <c r="S108" s="61" t="s">
        <v>1607</v>
      </c>
      <c r="T108" s="38" t="s">
        <v>1495</v>
      </c>
      <c r="U108" s="38" t="s">
        <v>1441</v>
      </c>
      <c r="V108" s="55">
        <v>42212.0</v>
      </c>
      <c r="W108" s="38" t="s">
        <v>1608</v>
      </c>
      <c r="X108" s="49" t="str">
        <f>HYPERLINK("http://www.climateaccess.org/blog/human-conversations-about-climate-change","http://www.climateaccess.org/blog/human-conversations-about-climate-change")</f>
        <v>http://www.climateaccess.org/blog/human-conversations-about-climate-change</v>
      </c>
      <c r="Y108" s="38"/>
      <c r="Z108" s="38"/>
      <c r="AA108" s="38"/>
      <c r="AB108" s="38"/>
      <c r="AC108" s="38"/>
      <c r="AD108" s="38"/>
      <c r="AE108" s="38"/>
      <c r="AF108" s="38"/>
      <c r="AG108" s="28"/>
      <c r="AH108" s="28"/>
      <c r="AI108" s="28"/>
      <c r="AJ108" s="28"/>
      <c r="AK108" s="28"/>
      <c r="AL108" s="28" t="s">
        <v>428</v>
      </c>
      <c r="AM108" s="28" t="s">
        <v>1614</v>
      </c>
      <c r="AN108" s="54">
        <v>42635.0</v>
      </c>
      <c r="AO108" s="54"/>
      <c r="AP108" s="28"/>
      <c r="AQ108" s="28"/>
      <c r="AR108" s="28"/>
      <c r="AS108" s="28"/>
      <c r="AT108" s="28"/>
      <c r="AU108" s="28"/>
      <c r="AV108" s="28"/>
      <c r="AW108" s="28"/>
      <c r="AX108" s="28"/>
      <c r="AY108" s="28" t="s">
        <v>428</v>
      </c>
      <c r="AZ108" s="28"/>
      <c r="BA108" s="28"/>
      <c r="BB108" s="28"/>
      <c r="BC108" s="28"/>
      <c r="BD108" s="28"/>
      <c r="BE108" s="28"/>
      <c r="BF108" s="28"/>
      <c r="BG108" s="28"/>
      <c r="BH108" s="28"/>
      <c r="BI108" s="28"/>
      <c r="BJ108" s="28"/>
      <c r="BK108" s="28"/>
      <c r="BL108" s="28"/>
      <c r="BM108" s="28"/>
      <c r="BN108" s="28"/>
      <c r="BO108" s="28"/>
    </row>
    <row r="109" ht="25.5" customHeight="1">
      <c r="A109" s="28">
        <v>10397.0</v>
      </c>
      <c r="B109" s="37" t="b">
        <v>1</v>
      </c>
      <c r="C109" s="38" t="s">
        <v>238</v>
      </c>
      <c r="D109" s="38">
        <v>81.0</v>
      </c>
      <c r="E109" s="13" t="b">
        <v>0</v>
      </c>
      <c r="F109" s="13" t="b">
        <v>1</v>
      </c>
      <c r="G109" s="38" t="s">
        <v>224</v>
      </c>
      <c r="H109" s="38"/>
      <c r="I109" s="38" t="s">
        <v>387</v>
      </c>
      <c r="J109" s="38">
        <v>8.0</v>
      </c>
      <c r="K109" s="38"/>
      <c r="L109" s="38"/>
      <c r="M109" s="38" t="s">
        <v>1196</v>
      </c>
      <c r="N109" s="38" t="s">
        <v>1197</v>
      </c>
      <c r="O109" s="38" t="s">
        <v>1621</v>
      </c>
      <c r="P109" s="40"/>
      <c r="Q109" s="38" t="s">
        <v>289</v>
      </c>
      <c r="R109" s="38">
        <v>40.0</v>
      </c>
      <c r="S109" s="61" t="s">
        <v>1622</v>
      </c>
      <c r="T109" s="38" t="s">
        <v>1623</v>
      </c>
      <c r="U109" s="38" t="s">
        <v>1441</v>
      </c>
      <c r="V109" s="55">
        <v>42207.0</v>
      </c>
      <c r="W109" s="38" t="s">
        <v>1624</v>
      </c>
      <c r="X109" s="49" t="str">
        <f>HYPERLINK("http://www.climateaccess.org/blog/building-local-support-carbon-rules","http://www.climateaccess.org/blog/building-local-support-carbon-rules")</f>
        <v>http://www.climateaccess.org/blog/building-local-support-carbon-rules</v>
      </c>
      <c r="Y109" s="38"/>
      <c r="Z109" s="38"/>
      <c r="AA109" s="38"/>
      <c r="AB109" s="38"/>
      <c r="AC109" s="38"/>
      <c r="AD109" s="38"/>
      <c r="AE109" s="38"/>
      <c r="AF109" s="38"/>
      <c r="AG109" s="28"/>
      <c r="AH109" s="28"/>
      <c r="AI109" s="28"/>
      <c r="AJ109" s="28"/>
      <c r="AK109" s="28"/>
      <c r="AL109" s="28" t="s">
        <v>769</v>
      </c>
      <c r="AM109" s="28" t="s">
        <v>1632</v>
      </c>
      <c r="AN109" s="54">
        <v>42661.0</v>
      </c>
      <c r="AO109" s="54"/>
      <c r="AP109" s="28"/>
      <c r="AQ109" s="28"/>
      <c r="AR109" s="28"/>
      <c r="AS109" s="28"/>
      <c r="AT109" s="28"/>
      <c r="AU109" s="28"/>
      <c r="AV109" s="28"/>
      <c r="AW109" s="28"/>
      <c r="AX109" s="28"/>
      <c r="AY109" s="28" t="s">
        <v>428</v>
      </c>
      <c r="AZ109" s="28"/>
      <c r="BA109" s="28"/>
      <c r="BB109" s="28"/>
      <c r="BC109" s="28"/>
      <c r="BD109" s="28"/>
      <c r="BE109" s="28"/>
      <c r="BF109" s="28"/>
      <c r="BG109" s="28"/>
      <c r="BH109" s="28"/>
      <c r="BI109" s="28"/>
      <c r="BJ109" s="28"/>
      <c r="BK109" s="28"/>
      <c r="BL109" s="28"/>
      <c r="BM109" s="28"/>
      <c r="BN109" s="28"/>
      <c r="BO109" s="28"/>
    </row>
    <row r="110" ht="25.5" customHeight="1">
      <c r="A110" s="28">
        <v>10167.0</v>
      </c>
      <c r="B110" s="37" t="b">
        <v>1</v>
      </c>
      <c r="C110" s="38" t="s">
        <v>238</v>
      </c>
      <c r="D110" s="38">
        <v>81.0</v>
      </c>
      <c r="E110" s="13" t="b">
        <v>0</v>
      </c>
      <c r="F110" s="13" t="b">
        <v>1</v>
      </c>
      <c r="G110" s="38" t="s">
        <v>224</v>
      </c>
      <c r="H110" s="38"/>
      <c r="I110" s="38" t="s">
        <v>1361</v>
      </c>
      <c r="J110" s="38" t="s">
        <v>1383</v>
      </c>
      <c r="K110" s="38"/>
      <c r="L110" s="38"/>
      <c r="M110" s="38" t="s">
        <v>1641</v>
      </c>
      <c r="N110" s="38" t="s">
        <v>1642</v>
      </c>
      <c r="O110" s="38" t="s">
        <v>1643</v>
      </c>
      <c r="P110" s="40"/>
      <c r="Q110" s="38" t="s">
        <v>289</v>
      </c>
      <c r="R110" s="38">
        <v>40.0</v>
      </c>
      <c r="S110" s="61" t="s">
        <v>1644</v>
      </c>
      <c r="T110" s="38" t="s">
        <v>1623</v>
      </c>
      <c r="U110" s="38" t="s">
        <v>1441</v>
      </c>
      <c r="V110" s="55">
        <v>42391.0</v>
      </c>
      <c r="W110" s="38" t="s">
        <v>1645</v>
      </c>
      <c r="X110" s="49" t="str">
        <f>HYPERLINK("http://www.climateaccess.org/blog/case-study-visuals-and-conversation-help-deepen-engagement-climate-impacts","http://www.climateaccess.org/blog/case-study-visuals-and-conversation-help-deepen-engagement-climate-impacts")</f>
        <v>http://www.climateaccess.org/blog/case-study-visuals-and-conversation-help-deepen-engagement-climate-impacts</v>
      </c>
      <c r="Y110" s="38"/>
      <c r="Z110" s="38"/>
      <c r="AA110" s="38"/>
      <c r="AB110" s="38"/>
      <c r="AC110" s="38"/>
      <c r="AD110" s="38"/>
      <c r="AE110" s="38"/>
      <c r="AF110" s="38"/>
      <c r="AG110" s="28"/>
      <c r="AH110" s="28"/>
      <c r="AI110" s="28"/>
      <c r="AJ110" s="28"/>
      <c r="AK110" s="28"/>
      <c r="AL110" s="28" t="s">
        <v>769</v>
      </c>
      <c r="AM110" s="28" t="s">
        <v>1657</v>
      </c>
      <c r="AN110" s="54">
        <v>42713.0</v>
      </c>
      <c r="AO110" s="54"/>
      <c r="AP110" s="28"/>
      <c r="AQ110" s="28"/>
      <c r="AR110" s="28"/>
      <c r="AS110" s="28"/>
      <c r="AT110" s="28"/>
      <c r="AU110" s="28"/>
      <c r="AV110" s="28"/>
      <c r="AW110" s="28"/>
      <c r="AX110" s="28"/>
      <c r="AY110" s="28" t="s">
        <v>428</v>
      </c>
      <c r="AZ110" s="28"/>
      <c r="BA110" s="28"/>
      <c r="BB110" s="28"/>
      <c r="BC110" s="28"/>
      <c r="BD110" s="28"/>
      <c r="BE110" s="28"/>
      <c r="BF110" s="28"/>
      <c r="BG110" s="28"/>
      <c r="BH110" s="28"/>
      <c r="BI110" s="28"/>
      <c r="BJ110" s="28"/>
      <c r="BK110" s="28"/>
      <c r="BL110" s="28"/>
      <c r="BM110" s="28"/>
      <c r="BN110" s="28"/>
      <c r="BO110" s="28"/>
    </row>
    <row r="111" ht="25.5" customHeight="1">
      <c r="A111" s="28">
        <v>10133.0</v>
      </c>
      <c r="B111" s="37" t="b">
        <v>1</v>
      </c>
      <c r="C111" s="38" t="s">
        <v>238</v>
      </c>
      <c r="D111" s="38">
        <v>81.0</v>
      </c>
      <c r="E111" s="13" t="b">
        <v>0</v>
      </c>
      <c r="F111" s="13" t="b">
        <v>1</v>
      </c>
      <c r="G111" s="38" t="s">
        <v>224</v>
      </c>
      <c r="H111" s="38"/>
      <c r="I111" s="38" t="s">
        <v>1666</v>
      </c>
      <c r="J111" s="38" t="s">
        <v>1667</v>
      </c>
      <c r="K111" s="38"/>
      <c r="L111" s="38"/>
      <c r="M111" s="38" t="s">
        <v>35</v>
      </c>
      <c r="N111" s="38">
        <v>2000.0</v>
      </c>
      <c r="O111" s="38" t="s">
        <v>1114</v>
      </c>
      <c r="P111" s="40"/>
      <c r="Q111" s="38" t="s">
        <v>289</v>
      </c>
      <c r="R111" s="38">
        <v>40.0</v>
      </c>
      <c r="S111" s="61" t="s">
        <v>1669</v>
      </c>
      <c r="T111" s="38" t="s">
        <v>1670</v>
      </c>
      <c r="U111" s="38" t="s">
        <v>1627</v>
      </c>
      <c r="V111" s="55"/>
      <c r="W111" s="38" t="s">
        <v>1671</v>
      </c>
      <c r="X111" s="49" t="str">
        <f>HYPERLINK("http://www.climateaccess.org/sites/default/files/TEA_Climate_Engagement_Principles.pdf","http://www.climateaccess.org/sites/default/files/TEA_Climate_Engagement_Principles.pdf")</f>
        <v>http://www.climateaccess.org/sites/default/files/TEA_Climate_Engagement_Principles.pdf</v>
      </c>
      <c r="Y111" s="38"/>
      <c r="Z111" s="38"/>
      <c r="AA111" s="38"/>
      <c r="AB111" s="38"/>
      <c r="AC111" s="38"/>
      <c r="AD111" s="38"/>
      <c r="AE111" s="38"/>
      <c r="AF111" s="38"/>
      <c r="AG111" s="28"/>
      <c r="AH111" s="28"/>
      <c r="AI111" s="28"/>
      <c r="AJ111" s="28"/>
      <c r="AK111" s="28"/>
      <c r="AL111" s="28" t="s">
        <v>769</v>
      </c>
      <c r="AM111" s="28" t="s">
        <v>1679</v>
      </c>
      <c r="AN111" s="28"/>
      <c r="AO111" s="28"/>
      <c r="AP111" s="28"/>
      <c r="AQ111" s="28"/>
      <c r="AR111" s="28"/>
      <c r="AS111" s="28"/>
      <c r="AT111" s="28"/>
      <c r="AU111" s="28"/>
      <c r="AV111" s="28"/>
      <c r="AW111" s="28"/>
      <c r="AX111" s="28"/>
      <c r="AY111" s="28" t="s">
        <v>428</v>
      </c>
      <c r="AZ111" s="28" t="s">
        <v>1680</v>
      </c>
      <c r="BA111" s="28"/>
      <c r="BB111" s="28"/>
      <c r="BC111" s="28"/>
      <c r="BD111" s="28"/>
      <c r="BE111" s="28"/>
      <c r="BF111" s="28"/>
      <c r="BG111" s="28"/>
      <c r="BH111" s="28"/>
      <c r="BI111" s="28"/>
      <c r="BJ111" s="28"/>
      <c r="BK111" s="28"/>
      <c r="BL111" s="28"/>
      <c r="BM111" s="28"/>
      <c r="BN111" s="28"/>
      <c r="BO111" s="28"/>
    </row>
    <row r="112" ht="25.5" customHeight="1">
      <c r="A112" s="28">
        <v>10068.0</v>
      </c>
      <c r="B112" s="37" t="b">
        <v>1</v>
      </c>
      <c r="C112" s="38" t="s">
        <v>238</v>
      </c>
      <c r="D112" s="38">
        <v>81.0</v>
      </c>
      <c r="E112" s="13" t="b">
        <v>0</v>
      </c>
      <c r="F112" s="13" t="b">
        <v>1</v>
      </c>
      <c r="G112" s="38" t="s">
        <v>224</v>
      </c>
      <c r="H112" s="38"/>
      <c r="I112" s="38" t="s">
        <v>574</v>
      </c>
      <c r="J112" s="38">
        <v>4.0</v>
      </c>
      <c r="K112" s="38"/>
      <c r="L112" s="38"/>
      <c r="M112" s="38" t="s">
        <v>35</v>
      </c>
      <c r="N112" s="38">
        <v>2000.0</v>
      </c>
      <c r="O112" s="38" t="s">
        <v>837</v>
      </c>
      <c r="P112" s="40">
        <v>2001.0</v>
      </c>
      <c r="Q112" s="38" t="s">
        <v>111</v>
      </c>
      <c r="R112" s="38">
        <v>41.0</v>
      </c>
      <c r="S112" s="61" t="s">
        <v>1684</v>
      </c>
      <c r="T112" s="38" t="s">
        <v>1286</v>
      </c>
      <c r="U112" s="38" t="s">
        <v>1685</v>
      </c>
      <c r="V112" s="55">
        <v>42453.0</v>
      </c>
      <c r="W112" s="38" t="s">
        <v>1686</v>
      </c>
      <c r="X112" s="49" t="str">
        <f>HYPERLINK("http://www.climatechangenews.com/2016/03/24/framing-climate-risk-we-need-more-than-a-few-magic-words/","http://www.climatechangenews.com/2016/03/24/framing-climate-risk-we-need-more-than-a-few-magic-words/")</f>
        <v>http://www.climatechangenews.com/2016/03/24/framing-climate-risk-we-need-more-than-a-few-magic-words/</v>
      </c>
      <c r="Y112" s="38"/>
      <c r="Z112" s="38"/>
      <c r="AA112" s="38"/>
      <c r="AB112" s="38"/>
      <c r="AC112" s="38"/>
      <c r="AD112" s="38"/>
      <c r="AE112" s="38"/>
      <c r="AF112" s="38"/>
      <c r="AG112" s="28"/>
      <c r="AH112" s="28"/>
      <c r="AI112" s="28"/>
      <c r="AJ112" s="28"/>
      <c r="AK112" s="28"/>
      <c r="AL112" s="28" t="s">
        <v>769</v>
      </c>
      <c r="AM112" s="28" t="s">
        <v>1692</v>
      </c>
      <c r="AN112" s="54">
        <v>42725.0</v>
      </c>
      <c r="AO112" s="54"/>
      <c r="AP112" s="28"/>
      <c r="AQ112" s="28" t="s">
        <v>769</v>
      </c>
      <c r="AR112" s="28" t="s">
        <v>1693</v>
      </c>
      <c r="AS112" s="54">
        <v>42646.0</v>
      </c>
      <c r="AT112" s="28"/>
      <c r="AU112" s="28"/>
      <c r="AV112" s="28"/>
      <c r="AW112" s="28"/>
      <c r="AX112" s="28"/>
      <c r="AY112" s="28" t="s">
        <v>428</v>
      </c>
      <c r="AZ112" s="28"/>
      <c r="BA112" s="28"/>
      <c r="BB112" s="28"/>
      <c r="BC112" s="28"/>
      <c r="BD112" s="28"/>
      <c r="BE112" s="28"/>
      <c r="BF112" s="28"/>
      <c r="BG112" s="28"/>
      <c r="BH112" s="28"/>
      <c r="BI112" s="28"/>
      <c r="BJ112" s="28"/>
      <c r="BK112" s="28"/>
      <c r="BL112" s="28"/>
      <c r="BM112" s="28"/>
      <c r="BN112" s="28"/>
      <c r="BO112" s="28"/>
    </row>
    <row r="113" ht="25.5" customHeight="1">
      <c r="A113" s="28">
        <v>10155.0</v>
      </c>
      <c r="B113" s="37" t="b">
        <v>1</v>
      </c>
      <c r="C113" s="38" t="s">
        <v>238</v>
      </c>
      <c r="D113" s="38">
        <v>81.0</v>
      </c>
      <c r="E113" s="13" t="b">
        <v>0</v>
      </c>
      <c r="F113" s="13" t="b">
        <v>1</v>
      </c>
      <c r="G113" s="38" t="s">
        <v>224</v>
      </c>
      <c r="H113" s="38"/>
      <c r="I113" s="38" t="s">
        <v>1331</v>
      </c>
      <c r="J113" s="38" t="s">
        <v>1371</v>
      </c>
      <c r="K113" s="38"/>
      <c r="L113" s="38"/>
      <c r="M113" s="38" t="s">
        <v>35</v>
      </c>
      <c r="N113" s="38">
        <v>2000.0</v>
      </c>
      <c r="O113" s="38" t="s">
        <v>644</v>
      </c>
      <c r="P113" s="40"/>
      <c r="Q113" s="38" t="s">
        <v>111</v>
      </c>
      <c r="R113" s="38">
        <v>41.0</v>
      </c>
      <c r="S113" s="61" t="s">
        <v>1698</v>
      </c>
      <c r="T113" s="38" t="s">
        <v>1700</v>
      </c>
      <c r="U113" s="38" t="s">
        <v>1685</v>
      </c>
      <c r="V113" s="55">
        <v>42254.0</v>
      </c>
      <c r="W113" s="38" t="s">
        <v>1701</v>
      </c>
      <c r="X113" s="49" t="str">
        <f>HYPERLINK("http://www.climatechangenews.com/2015/07/09/how-to-talk-about-uncertainty-in-climate-science/","http://www.climatechangenews.com/2015/07/09/how-to-talk-about-uncertainty-in-climate-science/")</f>
        <v>http://www.climatechangenews.com/2015/07/09/how-to-talk-about-uncertainty-in-climate-science/</v>
      </c>
      <c r="Y113" s="38"/>
      <c r="Z113" s="38"/>
      <c r="AA113" s="38"/>
      <c r="AB113" s="38"/>
      <c r="AC113" s="38"/>
      <c r="AD113" s="38"/>
      <c r="AE113" s="38"/>
      <c r="AF113" s="38"/>
      <c r="AG113" s="28" t="s">
        <v>1709</v>
      </c>
      <c r="AH113" s="28"/>
      <c r="AI113" s="28"/>
      <c r="AJ113" s="28"/>
      <c r="AK113" s="28"/>
      <c r="AL113" s="28"/>
      <c r="AM113" s="28" t="s">
        <v>1711</v>
      </c>
      <c r="AN113" s="54">
        <v>42636.0</v>
      </c>
      <c r="AO113" s="54"/>
      <c r="AP113" s="28"/>
      <c r="AQ113" s="28" t="s">
        <v>769</v>
      </c>
      <c r="AR113" s="28"/>
      <c r="AS113" s="54">
        <v>42648.0</v>
      </c>
      <c r="AT113" s="28"/>
      <c r="AU113" s="28"/>
      <c r="AV113" s="28"/>
      <c r="AW113" s="28"/>
      <c r="AX113" s="28"/>
      <c r="AY113" s="28" t="s">
        <v>428</v>
      </c>
      <c r="AZ113" s="28"/>
      <c r="BA113" s="28"/>
      <c r="BB113" s="28"/>
      <c r="BC113" s="28"/>
      <c r="BD113" s="28"/>
      <c r="BE113" s="28"/>
      <c r="BF113" s="28"/>
      <c r="BG113" s="28"/>
      <c r="BH113" s="28"/>
      <c r="BI113" s="28"/>
      <c r="BJ113" s="28"/>
      <c r="BK113" s="28"/>
      <c r="BL113" s="28"/>
      <c r="BM113" s="28"/>
      <c r="BN113" s="28"/>
      <c r="BO113" s="28"/>
    </row>
    <row r="114" ht="25.5" customHeight="1">
      <c r="A114" s="28">
        <v>10422.0</v>
      </c>
      <c r="B114" s="37" t="b">
        <v>1</v>
      </c>
      <c r="C114" s="38" t="s">
        <v>238</v>
      </c>
      <c r="D114" s="38">
        <v>81.0</v>
      </c>
      <c r="E114" s="13" t="b">
        <v>0</v>
      </c>
      <c r="F114" s="13" t="b">
        <v>1</v>
      </c>
      <c r="G114" s="38" t="s">
        <v>224</v>
      </c>
      <c r="H114" s="38"/>
      <c r="I114" s="99" t="s">
        <v>1715</v>
      </c>
      <c r="J114" s="99" t="s">
        <v>1724</v>
      </c>
      <c r="K114" s="99"/>
      <c r="L114" s="99"/>
      <c r="M114" s="38" t="s">
        <v>35</v>
      </c>
      <c r="N114" s="38">
        <v>2000.0</v>
      </c>
      <c r="O114" s="38" t="s">
        <v>644</v>
      </c>
      <c r="P114" s="40"/>
      <c r="Q114" s="38" t="s">
        <v>324</v>
      </c>
      <c r="R114" s="38" t="s">
        <v>325</v>
      </c>
      <c r="S114" s="61" t="s">
        <v>1727</v>
      </c>
      <c r="T114" s="38" t="s">
        <v>1728</v>
      </c>
      <c r="U114" s="38" t="s">
        <v>1685</v>
      </c>
      <c r="V114" s="55">
        <v>42383.0</v>
      </c>
      <c r="W114" s="38" t="s">
        <v>1731</v>
      </c>
      <c r="X114" s="49" t="str">
        <f>HYPERLINK("http://www.climatechangenews.com/2016/01/14/28197/","http://www.climatechangenews.com/2016/01/14/28197/")</f>
        <v>http://www.climatechangenews.com/2016/01/14/28197/</v>
      </c>
      <c r="Y114" s="38"/>
      <c r="Z114" s="38"/>
      <c r="AA114" s="38"/>
      <c r="AB114" s="38"/>
      <c r="AC114" s="38"/>
      <c r="AD114" s="38"/>
      <c r="AE114" s="38"/>
      <c r="AF114" s="38"/>
      <c r="AG114" s="28"/>
      <c r="AH114" s="28"/>
      <c r="AI114" s="28"/>
      <c r="AJ114" s="28"/>
      <c r="AK114" s="28"/>
      <c r="AL114" s="28" t="s">
        <v>600</v>
      </c>
      <c r="AM114" s="28"/>
      <c r="AN114" s="28"/>
      <c r="AO114" s="28"/>
      <c r="AP114" s="28"/>
      <c r="AQ114" s="28"/>
      <c r="AR114" s="28"/>
      <c r="AS114" s="28"/>
      <c r="AT114" s="28"/>
      <c r="AU114" s="28"/>
      <c r="AV114" s="28"/>
      <c r="AW114" s="28"/>
      <c r="AX114" s="28"/>
      <c r="AY114" s="28" t="s">
        <v>428</v>
      </c>
      <c r="AZ114" s="54"/>
      <c r="BA114" s="28"/>
      <c r="BB114" s="28"/>
      <c r="BC114" s="28"/>
      <c r="BD114" s="28"/>
      <c r="BE114" s="28"/>
      <c r="BF114" s="28"/>
      <c r="BG114" s="28"/>
      <c r="BH114" s="28"/>
      <c r="BI114" s="28"/>
      <c r="BJ114" s="28"/>
      <c r="BK114" s="28"/>
      <c r="BL114" s="28"/>
      <c r="BM114" s="28"/>
      <c r="BN114" s="28"/>
      <c r="BO114" s="28"/>
    </row>
    <row r="115" ht="25.5" customHeight="1">
      <c r="A115" s="28">
        <v>26.0</v>
      </c>
      <c r="B115" s="37" t="b">
        <v>1</v>
      </c>
      <c r="C115" s="38" t="s">
        <v>106</v>
      </c>
      <c r="D115" s="38">
        <v>80.0</v>
      </c>
      <c r="E115" s="13" t="b">
        <v>0</v>
      </c>
      <c r="F115" s="13" t="b">
        <v>1</v>
      </c>
      <c r="G115" s="38" t="s">
        <v>224</v>
      </c>
      <c r="H115" s="38"/>
      <c r="I115" s="38" t="s">
        <v>574</v>
      </c>
      <c r="J115" s="38">
        <v>4.0</v>
      </c>
      <c r="K115" s="38" t="s">
        <v>1744</v>
      </c>
      <c r="L115" s="38">
        <v>404.0</v>
      </c>
      <c r="M115" s="38" t="s">
        <v>35</v>
      </c>
      <c r="N115" s="38">
        <v>2000.0</v>
      </c>
      <c r="O115" s="38" t="s">
        <v>644</v>
      </c>
      <c r="P115" s="40"/>
      <c r="Q115" s="38" t="s">
        <v>324</v>
      </c>
      <c r="R115" s="38" t="s">
        <v>325</v>
      </c>
      <c r="S115" s="38" t="s">
        <v>1748</v>
      </c>
      <c r="T115" s="38" t="s">
        <v>1749</v>
      </c>
      <c r="U115" s="38" t="s">
        <v>1750</v>
      </c>
      <c r="V115" s="61">
        <v>2015.0</v>
      </c>
      <c r="W115" s="38" t="s">
        <v>753</v>
      </c>
      <c r="X115" s="38"/>
      <c r="Y115" s="38"/>
      <c r="Z115" s="38"/>
      <c r="AA115" s="38"/>
      <c r="AB115" s="38"/>
      <c r="AC115" s="38"/>
      <c r="AD115" s="38"/>
      <c r="AE115" s="38"/>
      <c r="AF115" s="38"/>
      <c r="AG115" s="28"/>
      <c r="AH115" s="28"/>
      <c r="AI115" s="28"/>
      <c r="AJ115" s="28"/>
      <c r="AK115" s="28"/>
      <c r="AL115" s="54"/>
      <c r="AM115" s="28"/>
      <c r="AN115" s="28"/>
      <c r="AO115" s="54"/>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row>
    <row r="116" ht="25.5" customHeight="1">
      <c r="A116" s="28">
        <v>10149.0</v>
      </c>
      <c r="B116" s="37" t="b">
        <v>1</v>
      </c>
      <c r="C116" s="38" t="s">
        <v>238</v>
      </c>
      <c r="D116" s="38">
        <v>81.0</v>
      </c>
      <c r="E116" s="13" t="b">
        <v>0</v>
      </c>
      <c r="F116" s="13" t="b">
        <v>1</v>
      </c>
      <c r="G116" s="38" t="s">
        <v>224</v>
      </c>
      <c r="H116" s="38"/>
      <c r="I116" s="38" t="s">
        <v>1331</v>
      </c>
      <c r="J116" s="38" t="s">
        <v>1371</v>
      </c>
      <c r="K116" s="38"/>
      <c r="L116" s="38"/>
      <c r="M116" s="38" t="s">
        <v>35</v>
      </c>
      <c r="N116" s="38">
        <v>2000.0</v>
      </c>
      <c r="O116" s="38" t="s">
        <v>837</v>
      </c>
      <c r="P116" s="40">
        <v>2001.0</v>
      </c>
      <c r="Q116" s="38" t="s">
        <v>111</v>
      </c>
      <c r="R116" s="38">
        <v>41.0</v>
      </c>
      <c r="S116" s="61" t="s">
        <v>1755</v>
      </c>
      <c r="T116" s="38" t="s">
        <v>1654</v>
      </c>
      <c r="U116" s="38" t="s">
        <v>1287</v>
      </c>
      <c r="V116" s="55">
        <v>42416.0</v>
      </c>
      <c r="W116" s="38" t="s">
        <v>1760</v>
      </c>
      <c r="X116" s="49" t="str">
        <f>HYPERLINK("http://climateoutreach.org/climate-faith/","http://climateoutreach.org/climate-faith/")</f>
        <v>http://climateoutreach.org/climate-faith/</v>
      </c>
      <c r="Y116" s="38"/>
      <c r="Z116" s="38"/>
      <c r="AA116" s="38"/>
      <c r="AB116" s="38"/>
      <c r="AC116" s="38"/>
      <c r="AD116" s="38"/>
      <c r="AE116" s="38"/>
      <c r="AF116" s="38"/>
      <c r="AG116" s="28"/>
      <c r="AH116" s="28"/>
      <c r="AI116" s="28"/>
      <c r="AJ116" s="28"/>
      <c r="AK116" s="28"/>
      <c r="AL116" s="28"/>
      <c r="AM116" s="28"/>
      <c r="AN116" s="28"/>
      <c r="AO116" s="28"/>
      <c r="AP116" s="28"/>
      <c r="AQ116" s="28"/>
      <c r="AR116" s="28"/>
      <c r="AS116" s="28"/>
      <c r="AT116" s="28"/>
      <c r="AU116" s="28"/>
      <c r="AV116" s="28"/>
      <c r="AW116" s="28"/>
      <c r="AX116" s="28"/>
      <c r="AY116" s="28" t="s">
        <v>428</v>
      </c>
      <c r="AZ116" s="28"/>
      <c r="BA116" s="28"/>
      <c r="BB116" s="28"/>
      <c r="BC116" s="28"/>
      <c r="BD116" s="28"/>
      <c r="BE116" s="28"/>
      <c r="BF116" s="28"/>
      <c r="BG116" s="28"/>
      <c r="BH116" s="28"/>
      <c r="BI116" s="28"/>
      <c r="BJ116" s="28"/>
      <c r="BK116" s="28"/>
      <c r="BL116" s="28"/>
      <c r="BM116" s="28"/>
      <c r="BN116" s="28"/>
      <c r="BO116" s="28"/>
    </row>
    <row r="117" ht="25.5" customHeight="1">
      <c r="A117" s="28">
        <v>10160.0</v>
      </c>
      <c r="B117" s="37" t="b">
        <v>1</v>
      </c>
      <c r="C117" s="38" t="s">
        <v>238</v>
      </c>
      <c r="D117" s="38">
        <v>81.0</v>
      </c>
      <c r="E117" s="13" t="b">
        <v>0</v>
      </c>
      <c r="F117" s="13" t="b">
        <v>1</v>
      </c>
      <c r="G117" s="38" t="s">
        <v>224</v>
      </c>
      <c r="H117" s="38"/>
      <c r="I117" s="38" t="s">
        <v>1767</v>
      </c>
      <c r="J117" s="38" t="s">
        <v>1768</v>
      </c>
      <c r="K117" s="47"/>
      <c r="L117" s="38"/>
      <c r="M117" s="38" t="s">
        <v>35</v>
      </c>
      <c r="N117" s="38">
        <v>2000.0</v>
      </c>
      <c r="O117" s="38" t="s">
        <v>644</v>
      </c>
      <c r="P117" s="40"/>
      <c r="Q117" s="38" t="s">
        <v>324</v>
      </c>
      <c r="R117" s="38" t="s">
        <v>325</v>
      </c>
      <c r="S117" s="61" t="s">
        <v>1769</v>
      </c>
      <c r="T117" s="38" t="s">
        <v>1286</v>
      </c>
      <c r="U117" s="38" t="s">
        <v>1287</v>
      </c>
      <c r="V117" s="55">
        <v>42383.0</v>
      </c>
      <c r="W117" s="38" t="s">
        <v>1770</v>
      </c>
      <c r="X117" s="49" t="str">
        <f>HYPERLINK("http://climateoutreach.org/introducing-climate-visuals-an-innovative-new-resource-for-visual-climate-change-communication/","http://climateoutreach.org/introducing-climate-visuals-an-innovative-new-resource-for-visual-climate-change-communication/")</f>
        <v>http://climateoutreach.org/introducing-climate-visuals-an-innovative-new-resource-for-visual-climate-change-communication/</v>
      </c>
      <c r="Y117" s="38"/>
      <c r="Z117" s="38"/>
      <c r="AA117" s="38"/>
      <c r="AB117" s="38"/>
      <c r="AC117" s="38"/>
      <c r="AD117" s="38"/>
      <c r="AE117" s="38"/>
      <c r="AF117" s="38"/>
      <c r="AG117" s="28"/>
      <c r="AH117" s="28"/>
      <c r="AI117" s="28"/>
      <c r="AJ117" s="28"/>
      <c r="AK117" s="28"/>
      <c r="AL117" s="28"/>
      <c r="AM117" s="28"/>
      <c r="AN117" s="28"/>
      <c r="AO117" s="28"/>
      <c r="AP117" s="28"/>
      <c r="AQ117" s="28"/>
      <c r="AR117" s="28"/>
      <c r="AS117" s="28"/>
      <c r="AT117" s="28"/>
      <c r="AU117" s="28"/>
      <c r="AV117" s="28"/>
      <c r="AW117" s="28"/>
      <c r="AX117" s="28"/>
      <c r="AY117" s="28" t="s">
        <v>428</v>
      </c>
      <c r="AZ117" s="28"/>
      <c r="BA117" s="28"/>
      <c r="BB117" s="28"/>
      <c r="BC117" s="28"/>
      <c r="BD117" s="28"/>
      <c r="BE117" s="28"/>
      <c r="BF117" s="28"/>
      <c r="BG117" s="28"/>
      <c r="BH117" s="28"/>
      <c r="BI117" s="28"/>
      <c r="BJ117" s="28"/>
      <c r="BK117" s="28"/>
      <c r="BL117" s="28"/>
      <c r="BM117" s="28"/>
      <c r="BN117" s="28"/>
      <c r="BO117" s="28"/>
    </row>
    <row r="118" ht="25.5" customHeight="1">
      <c r="A118" s="28">
        <v>454.0</v>
      </c>
      <c r="B118" s="37" t="b">
        <v>1</v>
      </c>
      <c r="C118" s="38" t="s">
        <v>106</v>
      </c>
      <c r="D118" s="38">
        <v>80.0</v>
      </c>
      <c r="E118" s="13" t="b">
        <v>0</v>
      </c>
      <c r="F118" s="13" t="b">
        <v>1</v>
      </c>
      <c r="G118" s="38" t="s">
        <v>224</v>
      </c>
      <c r="H118" s="38"/>
      <c r="I118" s="38" t="s">
        <v>387</v>
      </c>
      <c r="J118" s="38">
        <v>8.0</v>
      </c>
      <c r="K118" s="38" t="s">
        <v>1779</v>
      </c>
      <c r="L118" s="38" t="s">
        <v>1780</v>
      </c>
      <c r="M118" s="38" t="s">
        <v>1781</v>
      </c>
      <c r="N118" s="38" t="s">
        <v>1782</v>
      </c>
      <c r="O118" s="38" t="s">
        <v>1783</v>
      </c>
      <c r="P118" s="40"/>
      <c r="Q118" s="38" t="s">
        <v>111</v>
      </c>
      <c r="R118" s="38">
        <v>41.0</v>
      </c>
      <c r="S118" s="38" t="s">
        <v>1784</v>
      </c>
      <c r="T118" s="38" t="s">
        <v>1785</v>
      </c>
      <c r="U118" s="38" t="s">
        <v>1787</v>
      </c>
      <c r="V118" s="38">
        <v>2016.0</v>
      </c>
      <c r="W118" s="38" t="s">
        <v>610</v>
      </c>
      <c r="X118" s="49" t="str">
        <f>HYPERLINK("http://climateoutreach.org/resources/centre-right-renewable-energy/","http://climateoutreach.org/resources/centre-right-renewable-energy/")</f>
        <v>http://climateoutreach.org/resources/centre-right-renewable-energy/</v>
      </c>
      <c r="Y118" s="38"/>
      <c r="Z118" s="38"/>
      <c r="AA118" s="38"/>
      <c r="AB118" s="38"/>
      <c r="AC118" s="38"/>
      <c r="AD118" s="38"/>
      <c r="AE118" s="38"/>
      <c r="AF118" s="3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row>
    <row r="119" ht="25.5" customHeight="1">
      <c r="A119" s="28">
        <v>394.0</v>
      </c>
      <c r="B119" s="37" t="b">
        <v>1</v>
      </c>
      <c r="C119" s="38" t="s">
        <v>106</v>
      </c>
      <c r="D119" s="38">
        <v>80.0</v>
      </c>
      <c r="E119" s="13" t="b">
        <v>0</v>
      </c>
      <c r="F119" s="13" t="b">
        <v>1</v>
      </c>
      <c r="G119" s="38" t="s">
        <v>224</v>
      </c>
      <c r="H119" s="38"/>
      <c r="I119" s="38" t="s">
        <v>712</v>
      </c>
      <c r="J119" s="38">
        <v>7.0</v>
      </c>
      <c r="K119" s="38" t="s">
        <v>1800</v>
      </c>
      <c r="L119" s="38" t="s">
        <v>1802</v>
      </c>
      <c r="M119" s="38" t="s">
        <v>107</v>
      </c>
      <c r="N119" s="38">
        <v>3000.0</v>
      </c>
      <c r="O119" s="38" t="s">
        <v>470</v>
      </c>
      <c r="P119" s="40"/>
      <c r="Q119" s="38" t="s">
        <v>289</v>
      </c>
      <c r="R119" s="38">
        <v>40.0</v>
      </c>
      <c r="S119" s="38" t="s">
        <v>1807</v>
      </c>
      <c r="T119" s="38" t="s">
        <v>188</v>
      </c>
      <c r="U119" s="38" t="s">
        <v>1787</v>
      </c>
      <c r="V119" s="61">
        <v>2013.0</v>
      </c>
      <c r="W119" s="38" t="s">
        <v>753</v>
      </c>
      <c r="X119" s="38" t="s">
        <v>1808</v>
      </c>
      <c r="Y119" s="38"/>
      <c r="Z119" s="38"/>
      <c r="AA119" s="38"/>
      <c r="AB119" s="38"/>
      <c r="AC119" s="38"/>
      <c r="AD119" s="38"/>
      <c r="AE119" s="38"/>
      <c r="AF119" s="3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row>
    <row r="120" ht="25.5" customHeight="1">
      <c r="A120" s="28">
        <v>10135.0</v>
      </c>
      <c r="B120" s="37" t="b">
        <v>1</v>
      </c>
      <c r="C120" s="38" t="s">
        <v>238</v>
      </c>
      <c r="D120" s="38">
        <v>81.0</v>
      </c>
      <c r="E120" s="13" t="b">
        <v>0</v>
      </c>
      <c r="F120" s="13" t="b">
        <v>1</v>
      </c>
      <c r="G120" s="38" t="s">
        <v>224</v>
      </c>
      <c r="H120" s="38"/>
      <c r="I120" s="38" t="s">
        <v>1331</v>
      </c>
      <c r="J120" s="38" t="s">
        <v>1371</v>
      </c>
      <c r="K120" s="38"/>
      <c r="L120" s="38"/>
      <c r="M120" s="38" t="s">
        <v>35</v>
      </c>
      <c r="N120" s="38">
        <v>2000.0</v>
      </c>
      <c r="O120" s="38" t="s">
        <v>644</v>
      </c>
      <c r="P120" s="40"/>
      <c r="Q120" s="38" t="s">
        <v>111</v>
      </c>
      <c r="R120" s="38">
        <v>41.0</v>
      </c>
      <c r="S120" s="38" t="s">
        <v>1815</v>
      </c>
      <c r="T120" s="38" t="s">
        <v>1286</v>
      </c>
      <c r="U120" s="38" t="s">
        <v>1787</v>
      </c>
      <c r="V120" s="55">
        <v>42081.0</v>
      </c>
      <c r="W120" s="38"/>
      <c r="X120" s="49" t="str">
        <f>HYPERLINK("http://www.climateoutreach.org.uk/engaging-the-public-on-drought-risks-stories-about-security/","http://www.climateoutreach.org.uk/engaging-the-public-on-drought-risks-stories-about-security/")</f>
        <v>http://www.climateoutreach.org.uk/engaging-the-public-on-drought-risks-stories-about-security/</v>
      </c>
      <c r="Y120" s="38"/>
      <c r="Z120" s="38"/>
      <c r="AA120" s="38"/>
      <c r="AB120" s="38"/>
      <c r="AC120" s="38"/>
      <c r="AD120" s="38"/>
      <c r="AE120" s="38"/>
      <c r="AF120" s="38"/>
      <c r="AG120" s="28"/>
      <c r="AH120" s="28" t="s">
        <v>462</v>
      </c>
      <c r="AI120" s="28" t="s">
        <v>462</v>
      </c>
      <c r="AJ120" s="28"/>
      <c r="AK120" s="28" t="s">
        <v>978</v>
      </c>
      <c r="AL120" s="28" t="s">
        <v>769</v>
      </c>
      <c r="AM120" s="28"/>
      <c r="AN120" s="54">
        <v>42180.0</v>
      </c>
      <c r="AO120" s="54"/>
      <c r="AP120" s="28"/>
      <c r="AQ120" s="28"/>
      <c r="AR120" s="28"/>
      <c r="AS120" s="54"/>
      <c r="AT120" s="28"/>
      <c r="AU120" s="28"/>
      <c r="AV120" s="28"/>
      <c r="AW120" s="28"/>
      <c r="AX120" s="28"/>
      <c r="AY120" s="28" t="s">
        <v>428</v>
      </c>
      <c r="AZ120" s="28"/>
      <c r="BA120" s="28"/>
      <c r="BB120" s="28"/>
      <c r="BC120" s="28"/>
      <c r="BD120" s="28"/>
      <c r="BE120" s="28"/>
      <c r="BF120" s="28"/>
      <c r="BG120" s="28"/>
      <c r="BH120" s="28"/>
      <c r="BI120" s="28"/>
      <c r="BJ120" s="28"/>
      <c r="BK120" s="28"/>
      <c r="BL120" s="28"/>
      <c r="BM120" s="28"/>
      <c r="BN120" s="28"/>
      <c r="BO120" s="28"/>
    </row>
    <row r="121" ht="25.5" customHeight="1">
      <c r="A121" s="28">
        <v>10136.0</v>
      </c>
      <c r="B121" s="37" t="b">
        <v>1</v>
      </c>
      <c r="C121" s="38" t="s">
        <v>238</v>
      </c>
      <c r="D121" s="38">
        <v>81.0</v>
      </c>
      <c r="E121" s="13" t="b">
        <v>0</v>
      </c>
      <c r="F121" s="13" t="b">
        <v>1</v>
      </c>
      <c r="G121" s="38" t="s">
        <v>224</v>
      </c>
      <c r="H121" s="38"/>
      <c r="I121" s="38" t="s">
        <v>1331</v>
      </c>
      <c r="J121" s="38" t="s">
        <v>1371</v>
      </c>
      <c r="K121" s="38"/>
      <c r="L121" s="38"/>
      <c r="M121" s="38" t="s">
        <v>35</v>
      </c>
      <c r="N121" s="38">
        <v>2000.0</v>
      </c>
      <c r="O121" s="38" t="s">
        <v>644</v>
      </c>
      <c r="P121" s="40"/>
      <c r="Q121" s="38" t="s">
        <v>111</v>
      </c>
      <c r="R121" s="38">
        <v>41.0</v>
      </c>
      <c r="S121" s="61" t="s">
        <v>1833</v>
      </c>
      <c r="T121" s="38" t="s">
        <v>1286</v>
      </c>
      <c r="U121" s="38" t="s">
        <v>1787</v>
      </c>
      <c r="V121" s="55">
        <v>42453.0</v>
      </c>
      <c r="W121" s="38" t="s">
        <v>1835</v>
      </c>
      <c r="X121" s="38" t="s">
        <v>1837</v>
      </c>
      <c r="Y121" s="38"/>
      <c r="Z121" s="38"/>
      <c r="AA121" s="38"/>
      <c r="AB121" s="38"/>
      <c r="AC121" s="38"/>
      <c r="AD121" s="38"/>
      <c r="AE121" s="38"/>
      <c r="AF121" s="38"/>
      <c r="AG121" s="28"/>
      <c r="AH121" s="28"/>
      <c r="AI121" s="28"/>
      <c r="AJ121" s="28"/>
      <c r="AK121" s="28"/>
      <c r="AL121" s="28" t="s">
        <v>769</v>
      </c>
      <c r="AM121" s="28" t="s">
        <v>1838</v>
      </c>
      <c r="AN121" s="54">
        <v>42689.0</v>
      </c>
      <c r="AO121" s="54"/>
      <c r="AP121" s="28"/>
      <c r="AQ121" s="28"/>
      <c r="AR121" s="28"/>
      <c r="AS121" s="28"/>
      <c r="AT121" s="28"/>
      <c r="AU121" s="28"/>
      <c r="AV121" s="28"/>
      <c r="AW121" s="28"/>
      <c r="AX121" s="28"/>
      <c r="AY121" s="28" t="s">
        <v>428</v>
      </c>
      <c r="AZ121" s="28"/>
      <c r="BA121" s="28"/>
      <c r="BB121" s="28"/>
      <c r="BC121" s="28"/>
      <c r="BD121" s="28"/>
      <c r="BE121" s="28"/>
      <c r="BF121" s="28"/>
      <c r="BG121" s="28"/>
      <c r="BH121" s="28"/>
      <c r="BI121" s="28"/>
      <c r="BJ121" s="28"/>
      <c r="BK121" s="28"/>
      <c r="BL121" s="28"/>
      <c r="BM121" s="28"/>
      <c r="BN121" s="28"/>
      <c r="BO121" s="28"/>
    </row>
    <row r="122" ht="25.5" customHeight="1">
      <c r="A122" s="28">
        <v>10150.0</v>
      </c>
      <c r="B122" s="37" t="b">
        <v>1</v>
      </c>
      <c r="C122" s="38" t="s">
        <v>238</v>
      </c>
      <c r="D122" s="38">
        <v>81.0</v>
      </c>
      <c r="E122" s="13" t="b">
        <v>0</v>
      </c>
      <c r="F122" s="13" t="b">
        <v>1</v>
      </c>
      <c r="G122" s="38" t="s">
        <v>224</v>
      </c>
      <c r="H122" s="38"/>
      <c r="I122" s="38" t="s">
        <v>1331</v>
      </c>
      <c r="J122" s="38" t="s">
        <v>1371</v>
      </c>
      <c r="K122" s="38"/>
      <c r="L122" s="38"/>
      <c r="M122" s="38" t="s">
        <v>35</v>
      </c>
      <c r="N122" s="38">
        <v>2000.0</v>
      </c>
      <c r="O122" s="38" t="s">
        <v>644</v>
      </c>
      <c r="P122" s="40"/>
      <c r="Q122" s="38" t="s">
        <v>111</v>
      </c>
      <c r="R122" s="38">
        <v>41.0</v>
      </c>
      <c r="S122" s="61" t="s">
        <v>1849</v>
      </c>
      <c r="T122" s="38" t="s">
        <v>1654</v>
      </c>
      <c r="U122" s="38" t="s">
        <v>1787</v>
      </c>
      <c r="V122" s="55">
        <v>42360.0</v>
      </c>
      <c r="W122" s="38" t="s">
        <v>1851</v>
      </c>
      <c r="X122" s="49" t="str">
        <f>HYPERLINK("http://climateoutreach.org/finding-the-right-words-shaping-an-effective-climate-change-narrative/","http://climateoutreach.org/finding-the-right-words-shaping-an-effective-climate-change-narrative/")</f>
        <v>http://climateoutreach.org/finding-the-right-words-shaping-an-effective-climate-change-narrative/</v>
      </c>
      <c r="Y122" s="38"/>
      <c r="Z122" s="38"/>
      <c r="AA122" s="38"/>
      <c r="AB122" s="38"/>
      <c r="AC122" s="38"/>
      <c r="AD122" s="38"/>
      <c r="AE122" s="38"/>
      <c r="AF122" s="38"/>
      <c r="AG122" s="28"/>
      <c r="AH122" s="28"/>
      <c r="AI122" s="28"/>
      <c r="AJ122" s="28"/>
      <c r="AK122" s="28"/>
      <c r="AL122" s="28" t="s">
        <v>769</v>
      </c>
      <c r="AM122" s="28" t="s">
        <v>1856</v>
      </c>
      <c r="AN122" s="54">
        <v>42689.0</v>
      </c>
      <c r="AO122" s="54"/>
      <c r="AP122" s="28"/>
      <c r="AQ122" s="28"/>
      <c r="AR122" s="28"/>
      <c r="AS122" s="28"/>
      <c r="AT122" s="28"/>
      <c r="AU122" s="28"/>
      <c r="AV122" s="28"/>
      <c r="AW122" s="28"/>
      <c r="AX122" s="28"/>
      <c r="AY122" s="28" t="s">
        <v>428</v>
      </c>
      <c r="AZ122" s="28"/>
      <c r="BA122" s="28"/>
      <c r="BB122" s="28"/>
      <c r="BC122" s="28"/>
      <c r="BD122" s="28"/>
      <c r="BE122" s="28"/>
      <c r="BF122" s="28"/>
      <c r="BG122" s="28"/>
      <c r="BH122" s="28"/>
      <c r="BI122" s="28"/>
      <c r="BJ122" s="28"/>
      <c r="BK122" s="28"/>
      <c r="BL122" s="28"/>
      <c r="BM122" s="28"/>
      <c r="BN122" s="28"/>
      <c r="BO122" s="28"/>
    </row>
    <row r="123" ht="25.5" customHeight="1">
      <c r="A123" s="28">
        <v>10151.0</v>
      </c>
      <c r="B123" s="37" t="b">
        <v>1</v>
      </c>
      <c r="C123" s="38" t="s">
        <v>238</v>
      </c>
      <c r="D123" s="38">
        <v>81.0</v>
      </c>
      <c r="E123" s="13" t="b">
        <v>0</v>
      </c>
      <c r="F123" s="13" t="b">
        <v>1</v>
      </c>
      <c r="G123" s="38" t="s">
        <v>224</v>
      </c>
      <c r="H123" s="38"/>
      <c r="I123" s="38" t="s">
        <v>1331</v>
      </c>
      <c r="J123" s="38" t="s">
        <v>1371</v>
      </c>
      <c r="K123" s="38"/>
      <c r="L123" s="38"/>
      <c r="M123" s="38" t="s">
        <v>35</v>
      </c>
      <c r="N123" s="38">
        <v>2000.0</v>
      </c>
      <c r="O123" s="38" t="s">
        <v>1863</v>
      </c>
      <c r="P123" s="40"/>
      <c r="Q123" s="38" t="s">
        <v>324</v>
      </c>
      <c r="R123" s="38" t="s">
        <v>325</v>
      </c>
      <c r="S123" s="61" t="s">
        <v>1865</v>
      </c>
      <c r="T123" s="38" t="s">
        <v>1654</v>
      </c>
      <c r="U123" s="38" t="s">
        <v>1787</v>
      </c>
      <c r="V123" s="55">
        <v>42327.0</v>
      </c>
      <c r="W123" s="38" t="s">
        <v>1866</v>
      </c>
      <c r="X123" s="49" t="str">
        <f>HYPERLINK("http://climateoutreach.org/here-and-now-not-there-and-then/","http://climateoutreach.org/here-and-now-not-there-and-then/")</f>
        <v>http://climateoutreach.org/here-and-now-not-there-and-then/</v>
      </c>
      <c r="Y123" s="38"/>
      <c r="Z123" s="38"/>
      <c r="AA123" s="38"/>
      <c r="AB123" s="38"/>
      <c r="AC123" s="38"/>
      <c r="AD123" s="38"/>
      <c r="AE123" s="38"/>
      <c r="AF123" s="38"/>
      <c r="AG123" s="28"/>
      <c r="AH123" s="28"/>
      <c r="AI123" s="28"/>
      <c r="AJ123" s="28"/>
      <c r="AK123" s="28"/>
      <c r="AL123" s="28" t="s">
        <v>428</v>
      </c>
      <c r="AM123" s="28" t="s">
        <v>1879</v>
      </c>
      <c r="AN123" s="54">
        <v>42639.0</v>
      </c>
      <c r="AO123" s="54"/>
      <c r="AP123" s="28"/>
      <c r="AQ123" s="28"/>
      <c r="AR123" s="28"/>
      <c r="AS123" s="28"/>
      <c r="AT123" s="28"/>
      <c r="AU123" s="28"/>
      <c r="AV123" s="28"/>
      <c r="AW123" s="28"/>
      <c r="AX123" s="28"/>
      <c r="AY123" s="28" t="s">
        <v>428</v>
      </c>
      <c r="AZ123" s="28"/>
      <c r="BA123" s="28"/>
      <c r="BB123" s="28"/>
      <c r="BC123" s="28"/>
      <c r="BD123" s="28"/>
      <c r="BE123" s="28"/>
      <c r="BF123" s="28"/>
      <c r="BG123" s="28"/>
      <c r="BH123" s="28"/>
      <c r="BI123" s="28"/>
      <c r="BJ123" s="28"/>
      <c r="BK123" s="28"/>
      <c r="BL123" s="28"/>
      <c r="BM123" s="28"/>
      <c r="BN123" s="28"/>
      <c r="BO123" s="28"/>
    </row>
    <row r="124" ht="25.5" customHeight="1">
      <c r="A124" s="28">
        <v>10070.0</v>
      </c>
      <c r="B124" s="37" t="b">
        <v>1</v>
      </c>
      <c r="C124" s="38" t="s">
        <v>238</v>
      </c>
      <c r="D124" s="38">
        <v>81.0</v>
      </c>
      <c r="E124" s="13" t="b">
        <v>0</v>
      </c>
      <c r="F124" s="13" t="b">
        <v>1</v>
      </c>
      <c r="G124" s="38" t="s">
        <v>224</v>
      </c>
      <c r="H124" s="38"/>
      <c r="I124" s="38" t="s">
        <v>574</v>
      </c>
      <c r="J124" s="38">
        <v>4.0</v>
      </c>
      <c r="K124" s="38"/>
      <c r="L124" s="38"/>
      <c r="M124" s="38" t="s">
        <v>392</v>
      </c>
      <c r="N124" s="38">
        <v>15000.0</v>
      </c>
      <c r="O124" s="38" t="s">
        <v>1882</v>
      </c>
      <c r="P124" s="40"/>
      <c r="Q124" s="38" t="s">
        <v>111</v>
      </c>
      <c r="R124" s="38">
        <v>41.0</v>
      </c>
      <c r="S124" s="61" t="s">
        <v>1885</v>
      </c>
      <c r="T124" s="38" t="s">
        <v>1286</v>
      </c>
      <c r="U124" s="38" t="s">
        <v>1787</v>
      </c>
      <c r="V124" s="55">
        <v>42500.0</v>
      </c>
      <c r="W124" s="38" t="s">
        <v>1888</v>
      </c>
      <c r="X124" s="49" t="str">
        <f>HYPERLINK("http://climateoutreach.org/ocean-acidification/","http://climateoutreach.org/ocean-acidification/")</f>
        <v>http://climateoutreach.org/ocean-acidification/</v>
      </c>
      <c r="Y124" s="38"/>
      <c r="Z124" s="38"/>
      <c r="AA124" s="38"/>
      <c r="AB124" s="38"/>
      <c r="AC124" s="38"/>
      <c r="AD124" s="38"/>
      <c r="AE124" s="38"/>
      <c r="AF124" s="38"/>
      <c r="AG124" s="28"/>
      <c r="AH124" s="28"/>
      <c r="AI124" s="28"/>
      <c r="AJ124" s="28"/>
      <c r="AK124" s="28"/>
      <c r="AL124" s="28" t="s">
        <v>600</v>
      </c>
      <c r="AM124" s="28" t="s">
        <v>1892</v>
      </c>
      <c r="AN124" s="28"/>
      <c r="AO124" s="28"/>
      <c r="AP124" s="28"/>
      <c r="AQ124" s="28" t="s">
        <v>462</v>
      </c>
      <c r="AR124" s="28" t="s">
        <v>1895</v>
      </c>
      <c r="AS124" s="28"/>
      <c r="AT124" s="28"/>
      <c r="AU124" s="28"/>
      <c r="AV124" s="28"/>
      <c r="AW124" s="28"/>
      <c r="AX124" s="28"/>
      <c r="AY124" s="28" t="s">
        <v>428</v>
      </c>
      <c r="AZ124" s="28"/>
      <c r="BA124" s="28"/>
      <c r="BB124" s="28"/>
      <c r="BC124" s="28"/>
      <c r="BD124" s="28"/>
      <c r="BE124" s="28"/>
      <c r="BF124" s="28"/>
      <c r="BG124" s="28"/>
      <c r="BH124" s="28"/>
      <c r="BI124" s="28"/>
      <c r="BJ124" s="28"/>
      <c r="BK124" s="28"/>
      <c r="BL124" s="28"/>
      <c r="BM124" s="28"/>
      <c r="BN124" s="28"/>
      <c r="BO124" s="28"/>
    </row>
    <row r="125" ht="25.5" customHeight="1">
      <c r="A125" s="28">
        <v>30.0</v>
      </c>
      <c r="B125" s="37" t="b">
        <v>1</v>
      </c>
      <c r="C125" s="38" t="s">
        <v>106</v>
      </c>
      <c r="D125" s="38">
        <v>80.0</v>
      </c>
      <c r="E125" s="13" t="b">
        <v>0</v>
      </c>
      <c r="F125" s="13" t="b">
        <v>1</v>
      </c>
      <c r="G125" s="38" t="s">
        <v>224</v>
      </c>
      <c r="H125" s="38"/>
      <c r="I125" s="38" t="s">
        <v>574</v>
      </c>
      <c r="J125" s="38">
        <v>4.0</v>
      </c>
      <c r="K125" s="38" t="s">
        <v>1896</v>
      </c>
      <c r="L125" s="38">
        <v>402.0</v>
      </c>
      <c r="M125" s="38" t="s">
        <v>35</v>
      </c>
      <c r="N125" s="38">
        <v>2000.0</v>
      </c>
      <c r="O125" s="38" t="s">
        <v>1114</v>
      </c>
      <c r="P125" s="40"/>
      <c r="Q125" s="38" t="s">
        <v>111</v>
      </c>
      <c r="R125" s="38">
        <v>41.0</v>
      </c>
      <c r="S125" s="38" t="s">
        <v>1897</v>
      </c>
      <c r="T125" s="38" t="s">
        <v>188</v>
      </c>
      <c r="U125" s="38" t="s">
        <v>1898</v>
      </c>
      <c r="V125" s="61">
        <v>2013.0</v>
      </c>
      <c r="W125" s="38" t="s">
        <v>753</v>
      </c>
      <c r="X125" s="38" t="s">
        <v>1899</v>
      </c>
      <c r="Y125" s="38"/>
      <c r="Z125" s="38"/>
      <c r="AA125" s="38"/>
      <c r="AB125" s="38"/>
      <c r="AC125" s="38"/>
      <c r="AD125" s="38"/>
      <c r="AE125" s="38"/>
      <c r="AF125" s="38"/>
      <c r="AG125" s="28"/>
      <c r="AH125" s="28"/>
      <c r="AI125" s="28"/>
      <c r="AJ125" s="28" t="s">
        <v>1900</v>
      </c>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row>
    <row r="126" ht="25.5" customHeight="1">
      <c r="A126" s="28">
        <v>46.0</v>
      </c>
      <c r="B126" s="37" t="b">
        <v>1</v>
      </c>
      <c r="C126" s="38" t="s">
        <v>106</v>
      </c>
      <c r="D126" s="38">
        <v>80.0</v>
      </c>
      <c r="E126" s="13" t="b">
        <v>0</v>
      </c>
      <c r="F126" s="13" t="b">
        <v>1</v>
      </c>
      <c r="G126" s="38" t="s">
        <v>224</v>
      </c>
      <c r="H126" s="38"/>
      <c r="I126" s="38" t="s">
        <v>1901</v>
      </c>
      <c r="J126" s="38" t="s">
        <v>1902</v>
      </c>
      <c r="K126" s="38" t="s">
        <v>224</v>
      </c>
      <c r="L126" s="38"/>
      <c r="M126" s="38" t="s">
        <v>35</v>
      </c>
      <c r="N126" s="38">
        <v>2000.0</v>
      </c>
      <c r="O126" s="38" t="s">
        <v>644</v>
      </c>
      <c r="P126" s="40"/>
      <c r="Q126" s="38" t="s">
        <v>111</v>
      </c>
      <c r="R126" s="38">
        <v>41.0</v>
      </c>
      <c r="S126" s="49" t="str">
        <f>HYPERLINK("http://www.climateoutreach.org.uk/download/3803/","How do young people engage with climate change? Towards more effective communication with 18-25 year olds.")</f>
        <v>How do young people engage with climate change? Towards more effective communication with 18-25 year olds.</v>
      </c>
      <c r="T126" s="38" t="s">
        <v>1906</v>
      </c>
      <c r="U126" s="38" t="s">
        <v>1898</v>
      </c>
      <c r="V126" s="38">
        <v>2015.0</v>
      </c>
      <c r="W126" s="38" t="s">
        <v>610</v>
      </c>
      <c r="X126" s="38" t="s">
        <v>1907</v>
      </c>
      <c r="Y126" s="38"/>
      <c r="Z126" s="38"/>
      <c r="AA126" s="38"/>
      <c r="AB126" s="38"/>
      <c r="AC126" s="38"/>
      <c r="AD126" s="38"/>
      <c r="AE126" s="38"/>
      <c r="AF126" s="38"/>
      <c r="AG126" s="28"/>
      <c r="AH126" s="28" t="s">
        <v>428</v>
      </c>
      <c r="AI126" s="28" t="s">
        <v>462</v>
      </c>
      <c r="AJ126" s="28" t="s">
        <v>1911</v>
      </c>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row>
    <row r="127" ht="25.5" customHeight="1">
      <c r="A127" s="28">
        <v>57.0</v>
      </c>
      <c r="B127" s="37" t="b">
        <v>1</v>
      </c>
      <c r="C127" s="38" t="s">
        <v>106</v>
      </c>
      <c r="D127" s="38">
        <v>80.0</v>
      </c>
      <c r="E127" s="13" t="b">
        <v>0</v>
      </c>
      <c r="F127" s="13" t="b">
        <v>1</v>
      </c>
      <c r="G127" s="38" t="s">
        <v>224</v>
      </c>
      <c r="H127" s="38"/>
      <c r="I127" s="38" t="s">
        <v>1331</v>
      </c>
      <c r="J127" s="38" t="s">
        <v>1371</v>
      </c>
      <c r="K127" s="38" t="s">
        <v>1916</v>
      </c>
      <c r="L127" s="38" t="s">
        <v>1917</v>
      </c>
      <c r="M127" s="38" t="s">
        <v>35</v>
      </c>
      <c r="N127" s="38">
        <v>2000.0</v>
      </c>
      <c r="O127" s="38" t="s">
        <v>644</v>
      </c>
      <c r="P127" s="40"/>
      <c r="Q127" s="38" t="s">
        <v>111</v>
      </c>
      <c r="R127" s="38">
        <v>41.0</v>
      </c>
      <c r="S127" s="38" t="s">
        <v>1919</v>
      </c>
      <c r="T127" s="38" t="s">
        <v>1920</v>
      </c>
      <c r="U127" s="38" t="s">
        <v>1898</v>
      </c>
      <c r="V127" s="38">
        <v>2014.0</v>
      </c>
      <c r="W127" s="38" t="s">
        <v>1930</v>
      </c>
      <c r="X127" s="38" t="s">
        <v>1931</v>
      </c>
      <c r="Y127" s="38"/>
      <c r="Z127" s="38"/>
      <c r="AA127" s="38"/>
      <c r="AB127" s="38"/>
      <c r="AC127" s="38"/>
      <c r="AD127" s="38"/>
      <c r="AE127" s="38"/>
      <c r="AF127" s="38"/>
      <c r="AG127" s="28" t="s">
        <v>1534</v>
      </c>
      <c r="AH127" s="28" t="s">
        <v>462</v>
      </c>
      <c r="AI127" s="28" t="s">
        <v>428</v>
      </c>
      <c r="AJ127" s="28"/>
      <c r="AK127" s="28"/>
      <c r="AL127" s="54"/>
      <c r="AM127" s="28"/>
      <c r="AN127" s="28"/>
      <c r="AO127" s="54"/>
      <c r="AP127" s="54"/>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row>
    <row r="128" ht="25.5" customHeight="1">
      <c r="A128" s="28">
        <v>440.0</v>
      </c>
      <c r="B128" s="37" t="b">
        <v>1</v>
      </c>
      <c r="C128" s="38" t="s">
        <v>106</v>
      </c>
      <c r="D128" s="38">
        <v>80.0</v>
      </c>
      <c r="E128" s="13" t="b">
        <v>0</v>
      </c>
      <c r="F128" s="13" t="b">
        <v>1</v>
      </c>
      <c r="G128" s="38" t="s">
        <v>224</v>
      </c>
      <c r="H128" s="38"/>
      <c r="I128" s="38" t="s">
        <v>387</v>
      </c>
      <c r="J128" s="38">
        <v>8.0</v>
      </c>
      <c r="K128" s="38" t="s">
        <v>1113</v>
      </c>
      <c r="L128" s="38">
        <v>800.0</v>
      </c>
      <c r="M128" s="38" t="s">
        <v>1064</v>
      </c>
      <c r="N128" s="38" t="s">
        <v>1065</v>
      </c>
      <c r="O128" s="38" t="s">
        <v>1066</v>
      </c>
      <c r="P128" s="40"/>
      <c r="Q128" s="38" t="s">
        <v>1939</v>
      </c>
      <c r="R128" s="38" t="s">
        <v>1940</v>
      </c>
      <c r="S128" s="38" t="s">
        <v>1941</v>
      </c>
      <c r="T128" s="38" t="s">
        <v>1942</v>
      </c>
      <c r="U128" s="38" t="s">
        <v>1943</v>
      </c>
      <c r="V128" s="38">
        <v>1998.0</v>
      </c>
      <c r="W128" s="38" t="s">
        <v>1947</v>
      </c>
      <c r="X128" s="38"/>
      <c r="Y128" s="38"/>
      <c r="Z128" s="38"/>
      <c r="AA128" s="38"/>
      <c r="AB128" s="38"/>
      <c r="AC128" s="38"/>
      <c r="AD128" s="38"/>
      <c r="AE128" s="38"/>
      <c r="AF128" s="3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row>
    <row r="129" ht="25.5" customHeight="1">
      <c r="A129" s="28">
        <v>10111.0</v>
      </c>
      <c r="B129" s="37" t="b">
        <v>1</v>
      </c>
      <c r="C129" s="38" t="s">
        <v>238</v>
      </c>
      <c r="D129" s="38">
        <v>81.0</v>
      </c>
      <c r="E129" s="13" t="b">
        <v>0</v>
      </c>
      <c r="F129" s="13" t="b">
        <v>1</v>
      </c>
      <c r="G129" s="38" t="s">
        <v>224</v>
      </c>
      <c r="H129" s="38"/>
      <c r="I129" s="38" t="s">
        <v>1956</v>
      </c>
      <c r="J129" s="38" t="s">
        <v>1957</v>
      </c>
      <c r="K129" s="38"/>
      <c r="L129" s="38"/>
      <c r="M129" s="38" t="s">
        <v>35</v>
      </c>
      <c r="N129" s="38">
        <v>2000.0</v>
      </c>
      <c r="O129" s="38" t="s">
        <v>644</v>
      </c>
      <c r="P129" s="40"/>
      <c r="Q129" s="38" t="s">
        <v>289</v>
      </c>
      <c r="R129" s="38">
        <v>40.0</v>
      </c>
      <c r="S129" s="38" t="s">
        <v>1958</v>
      </c>
      <c r="T129" s="38" t="s">
        <v>1462</v>
      </c>
      <c r="U129" s="38" t="s">
        <v>1959</v>
      </c>
      <c r="V129" s="55">
        <v>42086.0</v>
      </c>
      <c r="W129" s="38" t="s">
        <v>1510</v>
      </c>
      <c r="X129" s="49" t="str">
        <f>HYPERLINK("http://www.climateaccess.org/blog/7-ways-talk-about-climate-impacts-just-about-anyone-yes-even-republicans","http://www.climateaccess.org/blog/7-ways-talk-about-climate-impacts-just-about-anyone-yes-even-republicans")</f>
        <v>http://www.climateaccess.org/blog/7-ways-talk-about-climate-impacts-just-about-anyone-yes-even-republicans</v>
      </c>
      <c r="Y129" s="38"/>
      <c r="Z129" s="38"/>
      <c r="AA129" s="38"/>
      <c r="AB129" s="38"/>
      <c r="AC129" s="38"/>
      <c r="AD129" s="38"/>
      <c r="AE129" s="38"/>
      <c r="AF129" s="38"/>
      <c r="AG129" s="28"/>
      <c r="AH129" s="28" t="s">
        <v>462</v>
      </c>
      <c r="AI129" s="28" t="s">
        <v>462</v>
      </c>
      <c r="AJ129" s="28"/>
      <c r="AK129" s="28"/>
      <c r="AL129" s="28" t="s">
        <v>769</v>
      </c>
      <c r="AM129" s="28" t="s">
        <v>1967</v>
      </c>
      <c r="AN129" s="54">
        <v>42137.0</v>
      </c>
      <c r="AO129" s="54"/>
      <c r="AP129" s="54">
        <v>42501.0</v>
      </c>
      <c r="AQ129" s="28" t="s">
        <v>769</v>
      </c>
      <c r="AR129" s="28"/>
      <c r="AS129" s="54">
        <v>42164.0</v>
      </c>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row>
    <row r="130" ht="25.5" customHeight="1">
      <c r="A130" s="28">
        <v>10142.0</v>
      </c>
      <c r="B130" s="37" t="b">
        <v>1</v>
      </c>
      <c r="C130" s="38" t="s">
        <v>238</v>
      </c>
      <c r="D130" s="38">
        <v>81.0</v>
      </c>
      <c r="E130" s="13" t="b">
        <v>0</v>
      </c>
      <c r="F130" s="13" t="b">
        <v>1</v>
      </c>
      <c r="G130" s="38" t="s">
        <v>224</v>
      </c>
      <c r="H130" s="38"/>
      <c r="I130" s="38" t="s">
        <v>1331</v>
      </c>
      <c r="J130" s="38" t="s">
        <v>1371</v>
      </c>
      <c r="K130" s="38"/>
      <c r="L130" s="38"/>
      <c r="M130" s="38" t="s">
        <v>35</v>
      </c>
      <c r="N130" s="38">
        <v>2000.0</v>
      </c>
      <c r="O130" s="38" t="s">
        <v>644</v>
      </c>
      <c r="P130" s="40"/>
      <c r="Q130" s="38" t="s">
        <v>289</v>
      </c>
      <c r="R130" s="38">
        <v>40.0</v>
      </c>
      <c r="S130" s="38" t="s">
        <v>1971</v>
      </c>
      <c r="T130" s="38" t="s">
        <v>1623</v>
      </c>
      <c r="U130" s="38" t="s">
        <v>1959</v>
      </c>
      <c r="V130" s="55">
        <v>42132.0</v>
      </c>
      <c r="W130" s="38" t="s">
        <v>108</v>
      </c>
      <c r="X130" s="49" t="str">
        <f>HYPERLINK("http://www.climateaccess.org/blog/know-thy-audience","http://www.climateaccess.org/blog/know-thy-audience")</f>
        <v>http://www.climateaccess.org/blog/know-thy-audience</v>
      </c>
      <c r="Y130" s="38"/>
      <c r="Z130" s="38"/>
      <c r="AA130" s="38"/>
      <c r="AB130" s="38"/>
      <c r="AC130" s="38"/>
      <c r="AD130" s="38"/>
      <c r="AE130" s="38"/>
      <c r="AF130" s="38"/>
      <c r="AG130" s="28"/>
      <c r="AH130" s="28" t="s">
        <v>462</v>
      </c>
      <c r="AI130" s="28" t="s">
        <v>462</v>
      </c>
      <c r="AJ130" s="28"/>
      <c r="AK130" s="28" t="s">
        <v>676</v>
      </c>
      <c r="AL130" s="28" t="s">
        <v>769</v>
      </c>
      <c r="AM130" s="28" t="s">
        <v>1979</v>
      </c>
      <c r="AN130" s="54">
        <v>42159.0</v>
      </c>
      <c r="AO130" s="54"/>
      <c r="AP130" s="54">
        <v>42577.0</v>
      </c>
      <c r="AQ130" s="28" t="s">
        <v>769</v>
      </c>
      <c r="AR130" s="28"/>
      <c r="AS130" s="54">
        <v>42520.0</v>
      </c>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row>
    <row r="131" ht="25.5" customHeight="1">
      <c r="A131" s="28">
        <v>10450.0</v>
      </c>
      <c r="B131" s="37" t="b">
        <v>1</v>
      </c>
      <c r="C131" s="38" t="s">
        <v>238</v>
      </c>
      <c r="D131" s="38">
        <v>81.0</v>
      </c>
      <c r="E131" s="13" t="b">
        <v>0</v>
      </c>
      <c r="F131" s="13" t="b">
        <v>1</v>
      </c>
      <c r="G131" s="38" t="s">
        <v>224</v>
      </c>
      <c r="H131" s="38"/>
      <c r="I131" s="38" t="s">
        <v>779</v>
      </c>
      <c r="J131" s="38">
        <v>5.0</v>
      </c>
      <c r="K131" s="38"/>
      <c r="L131" s="38"/>
      <c r="M131" s="38" t="s">
        <v>35</v>
      </c>
      <c r="N131" s="38">
        <v>2000.0</v>
      </c>
      <c r="O131" s="38" t="s">
        <v>1114</v>
      </c>
      <c r="P131" s="40"/>
      <c r="Q131" s="38" t="s">
        <v>289</v>
      </c>
      <c r="R131" s="38">
        <v>40.0</v>
      </c>
      <c r="S131" s="38" t="s">
        <v>1986</v>
      </c>
      <c r="T131" s="38" t="s">
        <v>1987</v>
      </c>
      <c r="U131" s="38" t="s">
        <v>1959</v>
      </c>
      <c r="V131" s="55">
        <v>42118.0</v>
      </c>
      <c r="W131" s="38" t="s">
        <v>108</v>
      </c>
      <c r="X131" s="49" t="str">
        <f>HYPERLINK("http://www.climateaccess.org/blog/why-groups-need-be-ready-climate-crisis-events-deepwater-spill","http://www.climateaccess.org/blog/why-groups-need-be-ready-climate-crisis-events-deepwater-spill")</f>
        <v>http://www.climateaccess.org/blog/why-groups-need-be-ready-climate-crisis-events-deepwater-spill</v>
      </c>
      <c r="Y131" s="38"/>
      <c r="Z131" s="38"/>
      <c r="AA131" s="38"/>
      <c r="AB131" s="38"/>
      <c r="AC131" s="38"/>
      <c r="AD131" s="38"/>
      <c r="AE131" s="38"/>
      <c r="AF131" s="38"/>
      <c r="AG131" s="28"/>
      <c r="AH131" s="28" t="s">
        <v>462</v>
      </c>
      <c r="AI131" s="28" t="s">
        <v>462</v>
      </c>
      <c r="AJ131" s="28"/>
      <c r="AK131" s="28">
        <v>1.0</v>
      </c>
      <c r="AL131" s="28" t="s">
        <v>769</v>
      </c>
      <c r="AM131" s="28" t="s">
        <v>2003</v>
      </c>
      <c r="AN131" s="54">
        <v>42178.0</v>
      </c>
      <c r="AO131" s="54"/>
      <c r="AP131" s="28"/>
      <c r="AQ131" s="28"/>
      <c r="AR131" s="28"/>
      <c r="AS131" s="54"/>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row>
    <row r="132" ht="25.5" customHeight="1">
      <c r="A132" s="28">
        <v>10402.0</v>
      </c>
      <c r="B132" s="37" t="b">
        <v>1</v>
      </c>
      <c r="C132" s="38" t="s">
        <v>238</v>
      </c>
      <c r="D132" s="38">
        <v>81.0</v>
      </c>
      <c r="E132" s="13" t="b">
        <v>0</v>
      </c>
      <c r="F132" s="13" t="b">
        <v>1</v>
      </c>
      <c r="G132" s="38" t="s">
        <v>224</v>
      </c>
      <c r="H132" s="38"/>
      <c r="I132" s="38" t="s">
        <v>387</v>
      </c>
      <c r="J132" s="38">
        <v>8.0</v>
      </c>
      <c r="K132" s="38"/>
      <c r="L132" s="38"/>
      <c r="M132" s="38" t="s">
        <v>35</v>
      </c>
      <c r="N132" s="38">
        <v>2000.0</v>
      </c>
      <c r="O132" s="38" t="s">
        <v>644</v>
      </c>
      <c r="P132" s="40"/>
      <c r="Q132" s="38" t="s">
        <v>289</v>
      </c>
      <c r="R132" s="38">
        <v>40.0</v>
      </c>
      <c r="S132" s="61" t="s">
        <v>2006</v>
      </c>
      <c r="T132" s="38" t="s">
        <v>2008</v>
      </c>
      <c r="U132" s="38" t="s">
        <v>2010</v>
      </c>
      <c r="V132" s="55">
        <v>42457.0</v>
      </c>
      <c r="W132" s="38" t="s">
        <v>2011</v>
      </c>
      <c r="X132" s="49" t="str">
        <f>HYPERLINK("http://www.scientificamerican.com/article/how-to-talk-global-warming-in-plain-english/","http://www.scientificamerican.com/article/how-to-talk-global-warming-in-plain-english/")</f>
        <v>http://www.scientificamerican.com/article/how-to-talk-global-warming-in-plain-english/</v>
      </c>
      <c r="Y132" s="38"/>
      <c r="Z132" s="38"/>
      <c r="AA132" s="38"/>
      <c r="AB132" s="38"/>
      <c r="AC132" s="38"/>
      <c r="AD132" s="38"/>
      <c r="AE132" s="38"/>
      <c r="AF132" s="38"/>
      <c r="AG132" s="28"/>
      <c r="AH132" s="28"/>
      <c r="AI132" s="28"/>
      <c r="AJ132" s="28"/>
      <c r="AK132" s="28"/>
      <c r="AL132" s="28" t="s">
        <v>769</v>
      </c>
      <c r="AM132" s="28" t="s">
        <v>2016</v>
      </c>
      <c r="AN132" s="54">
        <v>42669.0</v>
      </c>
      <c r="AO132" s="54"/>
      <c r="AP132" s="28"/>
      <c r="AQ132" s="28"/>
      <c r="AR132" s="28"/>
      <c r="AS132" s="28"/>
      <c r="AT132" s="28"/>
      <c r="AU132" s="28"/>
      <c r="AV132" s="28"/>
      <c r="AW132" s="28"/>
      <c r="AX132" s="28"/>
      <c r="AY132" s="28" t="s">
        <v>428</v>
      </c>
      <c r="AZ132" s="28"/>
      <c r="BA132" s="28"/>
      <c r="BB132" s="28"/>
      <c r="BC132" s="28"/>
      <c r="BD132" s="28"/>
      <c r="BE132" s="28"/>
      <c r="BF132" s="28"/>
      <c r="BG132" s="28"/>
      <c r="BH132" s="28"/>
      <c r="BI132" s="28"/>
      <c r="BJ132" s="28"/>
      <c r="BK132" s="28"/>
      <c r="BL132" s="28"/>
      <c r="BM132" s="28"/>
      <c r="BN132" s="28"/>
      <c r="BO132" s="28"/>
    </row>
    <row r="133" ht="25.5" customHeight="1">
      <c r="A133" s="28">
        <v>10417.0</v>
      </c>
      <c r="B133" s="37" t="b">
        <v>1</v>
      </c>
      <c r="C133" s="38" t="s">
        <v>238</v>
      </c>
      <c r="D133" s="38">
        <v>81.0</v>
      </c>
      <c r="E133" s="13" t="b">
        <v>0</v>
      </c>
      <c r="F133" s="13" t="b">
        <v>1</v>
      </c>
      <c r="G133" s="38" t="s">
        <v>224</v>
      </c>
      <c r="H133" s="38"/>
      <c r="I133" s="38" t="s">
        <v>1480</v>
      </c>
      <c r="J133" s="38">
        <v>8.0</v>
      </c>
      <c r="K133" s="38"/>
      <c r="L133" s="38"/>
      <c r="M133" s="38" t="s">
        <v>2023</v>
      </c>
      <c r="N133" s="38" t="s">
        <v>2024</v>
      </c>
      <c r="O133" s="38" t="s">
        <v>2025</v>
      </c>
      <c r="P133" s="40"/>
      <c r="Q133" s="38" t="s">
        <v>289</v>
      </c>
      <c r="R133" s="38">
        <v>40.0</v>
      </c>
      <c r="S133" s="38" t="s">
        <v>2026</v>
      </c>
      <c r="T133" s="38" t="s">
        <v>591</v>
      </c>
      <c r="U133" s="38" t="s">
        <v>2010</v>
      </c>
      <c r="V133" s="55">
        <v>42041.0</v>
      </c>
      <c r="W133" s="38" t="s">
        <v>2032</v>
      </c>
      <c r="X133" s="49" t="str">
        <f>HYPERLINK("http://www.eenews.net/climatewire/2015/02/06/stories/1060013001","http://www.eenews.net/climatewire/2015/02/06/stories/1060013001")</f>
        <v>http://www.eenews.net/climatewire/2015/02/06/stories/1060013001</v>
      </c>
      <c r="Y133" s="38"/>
      <c r="Z133" s="38"/>
      <c r="AA133" s="38"/>
      <c r="AB133" s="38"/>
      <c r="AC133" s="38"/>
      <c r="AD133" s="38"/>
      <c r="AE133" s="38"/>
      <c r="AF133" s="38"/>
      <c r="AG133" s="28"/>
      <c r="AH133" s="28" t="s">
        <v>462</v>
      </c>
      <c r="AI133" s="28" t="s">
        <v>462</v>
      </c>
      <c r="AJ133" s="28"/>
      <c r="AK133" s="28"/>
      <c r="AL133" s="28" t="s">
        <v>769</v>
      </c>
      <c r="AM133" s="28" t="s">
        <v>2036</v>
      </c>
      <c r="AN133" s="54">
        <v>42061.0</v>
      </c>
      <c r="AO133" s="54"/>
      <c r="AP133" s="103" t="str">
        <f>HYPERLINK("http://t.co/6DlzfY3VHl","6/16/2016")</f>
        <v>6/16/2016</v>
      </c>
      <c r="AQ133" s="28" t="s">
        <v>769</v>
      </c>
      <c r="AR133" s="28"/>
      <c r="AS133" s="54">
        <v>42471.0</v>
      </c>
      <c r="AT133" s="28" t="s">
        <v>2045</v>
      </c>
      <c r="AU133" s="28"/>
      <c r="AV133" s="28"/>
      <c r="AW133" s="28"/>
      <c r="AX133" s="28" t="s">
        <v>428</v>
      </c>
      <c r="AY133" s="28"/>
      <c r="AZ133" s="28"/>
      <c r="BA133" s="28"/>
      <c r="BB133" s="28"/>
      <c r="BC133" s="28"/>
      <c r="BD133" s="28"/>
      <c r="BE133" s="28"/>
      <c r="BF133" s="28"/>
      <c r="BG133" s="28"/>
      <c r="BH133" s="28"/>
      <c r="BI133" s="28"/>
      <c r="BJ133" s="28"/>
      <c r="BK133" s="28"/>
      <c r="BL133" s="28"/>
      <c r="BM133" s="28"/>
      <c r="BN133" s="28"/>
      <c r="BO133" s="28"/>
    </row>
    <row r="134" ht="25.5" customHeight="1">
      <c r="A134" s="28">
        <v>420.0</v>
      </c>
      <c r="B134" s="37" t="b">
        <v>1</v>
      </c>
      <c r="C134" s="38" t="s">
        <v>106</v>
      </c>
      <c r="D134" s="38">
        <v>80.0</v>
      </c>
      <c r="E134" s="13" t="b">
        <v>1</v>
      </c>
      <c r="F134" s="13" t="b">
        <v>0</v>
      </c>
      <c r="G134" s="38" t="s">
        <v>224</v>
      </c>
      <c r="H134" s="38"/>
      <c r="I134" s="38" t="s">
        <v>387</v>
      </c>
      <c r="J134" s="38">
        <v>8.0</v>
      </c>
      <c r="K134" s="47" t="s">
        <v>389</v>
      </c>
      <c r="L134" s="38">
        <v>802.0</v>
      </c>
      <c r="M134" s="38" t="s">
        <v>35</v>
      </c>
      <c r="N134" s="38">
        <v>2000.0</v>
      </c>
      <c r="O134" s="38" t="s">
        <v>578</v>
      </c>
      <c r="P134" s="40"/>
      <c r="Q134" s="38" t="s">
        <v>289</v>
      </c>
      <c r="R134" s="38">
        <v>40.0</v>
      </c>
      <c r="S134" s="38" t="s">
        <v>2048</v>
      </c>
      <c r="T134" s="38" t="s">
        <v>2050</v>
      </c>
      <c r="U134" s="38" t="s">
        <v>2052</v>
      </c>
      <c r="V134" s="38">
        <v>2006.0</v>
      </c>
      <c r="W134" s="38" t="s">
        <v>2053</v>
      </c>
      <c r="X134" s="38"/>
      <c r="Y134" s="38"/>
      <c r="Z134" s="38"/>
      <c r="AA134" s="38"/>
      <c r="AB134" s="38"/>
      <c r="AC134" s="38"/>
      <c r="AD134" s="38"/>
      <c r="AE134" s="38"/>
      <c r="AF134" s="3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row>
    <row r="135" ht="25.5" customHeight="1">
      <c r="A135" s="28">
        <v>44.0</v>
      </c>
      <c r="B135" s="37" t="b">
        <v>1</v>
      </c>
      <c r="C135" s="38" t="s">
        <v>106</v>
      </c>
      <c r="D135" s="38">
        <v>80.0</v>
      </c>
      <c r="E135" s="13" t="b">
        <v>0</v>
      </c>
      <c r="F135" s="13" t="b">
        <v>1</v>
      </c>
      <c r="G135" s="38" t="s">
        <v>224</v>
      </c>
      <c r="H135" s="38"/>
      <c r="I135" s="38" t="s">
        <v>2057</v>
      </c>
      <c r="J135" s="38" t="s">
        <v>973</v>
      </c>
      <c r="K135" s="65" t="s">
        <v>2058</v>
      </c>
      <c r="L135" s="38"/>
      <c r="M135" s="38" t="s">
        <v>35</v>
      </c>
      <c r="N135" s="38">
        <v>2000.0</v>
      </c>
      <c r="O135" s="38" t="s">
        <v>2059</v>
      </c>
      <c r="P135" s="40"/>
      <c r="Q135" s="38" t="s">
        <v>289</v>
      </c>
      <c r="R135" s="38">
        <v>40.0</v>
      </c>
      <c r="S135" s="38" t="s">
        <v>2062</v>
      </c>
      <c r="T135" s="38" t="s">
        <v>2064</v>
      </c>
      <c r="U135" s="38" t="s">
        <v>2052</v>
      </c>
      <c r="V135" s="38">
        <v>2011.0</v>
      </c>
      <c r="W135" s="38" t="s">
        <v>2070</v>
      </c>
      <c r="X135" s="38"/>
      <c r="Y135" s="38"/>
      <c r="Z135" s="38"/>
      <c r="AA135" s="38"/>
      <c r="AB135" s="38"/>
      <c r="AC135" s="38"/>
      <c r="AD135" s="38"/>
      <c r="AE135" s="38"/>
      <c r="AF135" s="38"/>
      <c r="AG135" s="28"/>
      <c r="AH135" s="28"/>
      <c r="AI135" s="28"/>
      <c r="AJ135" s="28" t="s">
        <v>39</v>
      </c>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row>
    <row r="136" ht="25.5" customHeight="1">
      <c r="A136" s="28">
        <v>433.0</v>
      </c>
      <c r="B136" s="37" t="b">
        <v>1</v>
      </c>
      <c r="C136" s="38" t="s">
        <v>106</v>
      </c>
      <c r="D136" s="38">
        <v>80.0</v>
      </c>
      <c r="E136" s="13" t="b">
        <v>0</v>
      </c>
      <c r="F136" s="13" t="b">
        <v>1</v>
      </c>
      <c r="G136" s="38" t="s">
        <v>224</v>
      </c>
      <c r="H136" s="38"/>
      <c r="I136" s="38" t="s">
        <v>387</v>
      </c>
      <c r="J136" s="38">
        <v>8.0</v>
      </c>
      <c r="K136" s="38" t="s">
        <v>2072</v>
      </c>
      <c r="L136" s="38">
        <v>801.0</v>
      </c>
      <c r="M136" s="38" t="s">
        <v>35</v>
      </c>
      <c r="N136" s="38">
        <v>2000.0</v>
      </c>
      <c r="O136" s="38" t="s">
        <v>1332</v>
      </c>
      <c r="P136" s="40"/>
      <c r="Q136" s="38" t="s">
        <v>289</v>
      </c>
      <c r="R136" s="38">
        <v>40.0</v>
      </c>
      <c r="S136" s="38" t="s">
        <v>2075</v>
      </c>
      <c r="T136" s="38" t="s">
        <v>2077</v>
      </c>
      <c r="U136" s="38" t="s">
        <v>2052</v>
      </c>
      <c r="V136" s="38">
        <v>2006.0</v>
      </c>
      <c r="W136" s="38" t="s">
        <v>2082</v>
      </c>
      <c r="X136" s="49" t="str">
        <f>HYPERLINK("http://link.springer.com/article/10.1007/s10584-006-9060-3","http://link.springer.com/article/10.1007/s10584-006-9060-3")</f>
        <v>http://link.springer.com/article/10.1007/s10584-006-9060-3</v>
      </c>
      <c r="Y136" s="38"/>
      <c r="Z136" s="38"/>
      <c r="AA136" s="38"/>
      <c r="AB136" s="38"/>
      <c r="AC136" s="38"/>
      <c r="AD136" s="38"/>
      <c r="AE136" s="38"/>
      <c r="AF136" s="38"/>
      <c r="AG136" s="28"/>
      <c r="AH136" s="28" t="s">
        <v>462</v>
      </c>
      <c r="AI136" s="28" t="s">
        <v>462</v>
      </c>
      <c r="AJ136" s="28"/>
      <c r="AK136" s="28"/>
      <c r="AL136" s="28" t="s">
        <v>561</v>
      </c>
      <c r="AM136" s="28" t="s">
        <v>2090</v>
      </c>
      <c r="AN136" s="54">
        <v>42438.0</v>
      </c>
      <c r="AO136" s="28"/>
      <c r="AP136" s="54">
        <v>42599.0</v>
      </c>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row>
    <row r="137" ht="25.5" customHeight="1">
      <c r="A137" s="28">
        <v>507.0</v>
      </c>
      <c r="B137" s="37" t="b">
        <v>1</v>
      </c>
      <c r="C137" s="38" t="s">
        <v>106</v>
      </c>
      <c r="D137" s="38">
        <v>80.0</v>
      </c>
      <c r="E137" s="13" t="b">
        <v>0</v>
      </c>
      <c r="F137" s="13" t="b">
        <v>1</v>
      </c>
      <c r="G137" s="38" t="s">
        <v>224</v>
      </c>
      <c r="H137" s="38"/>
      <c r="I137" s="38" t="s">
        <v>387</v>
      </c>
      <c r="J137" s="38">
        <v>8.0</v>
      </c>
      <c r="K137" s="38" t="s">
        <v>1113</v>
      </c>
      <c r="L137" s="38">
        <v>800.0</v>
      </c>
      <c r="M137" s="38" t="s">
        <v>35</v>
      </c>
      <c r="N137" s="38">
        <v>2000.0</v>
      </c>
      <c r="O137" s="38" t="s">
        <v>1114</v>
      </c>
      <c r="P137" s="40"/>
      <c r="Q137" s="38" t="s">
        <v>289</v>
      </c>
      <c r="R137" s="38">
        <v>40.0</v>
      </c>
      <c r="S137" s="38" t="s">
        <v>2093</v>
      </c>
      <c r="T137" s="38" t="s">
        <v>2094</v>
      </c>
      <c r="U137" s="38" t="s">
        <v>2052</v>
      </c>
      <c r="V137" s="38">
        <v>2012.0</v>
      </c>
      <c r="W137" s="38" t="s">
        <v>2101</v>
      </c>
      <c r="X137" s="38"/>
      <c r="Y137" s="38"/>
      <c r="Z137" s="38"/>
      <c r="AA137" s="38"/>
      <c r="AB137" s="38"/>
      <c r="AC137" s="38"/>
      <c r="AD137" s="38"/>
      <c r="AE137" s="38"/>
      <c r="AF137" s="38"/>
      <c r="AG137" s="28"/>
      <c r="AH137" s="28" t="s">
        <v>39</v>
      </c>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row>
    <row r="138" ht="25.5" customHeight="1">
      <c r="A138" s="28">
        <v>455.0</v>
      </c>
      <c r="B138" s="37" t="b">
        <v>1</v>
      </c>
      <c r="C138" s="38" t="s">
        <v>106</v>
      </c>
      <c r="D138" s="38">
        <v>80.0</v>
      </c>
      <c r="E138" s="13" t="b">
        <v>0</v>
      </c>
      <c r="F138" s="13" t="b">
        <v>1</v>
      </c>
      <c r="G138" s="38" t="s">
        <v>224</v>
      </c>
      <c r="H138" s="38"/>
      <c r="I138" s="38" t="s">
        <v>1715</v>
      </c>
      <c r="J138" s="38" t="s">
        <v>1724</v>
      </c>
      <c r="K138" s="38" t="s">
        <v>2104</v>
      </c>
      <c r="L138" s="38" t="s">
        <v>2106</v>
      </c>
      <c r="M138" s="38" t="s">
        <v>35</v>
      </c>
      <c r="N138" s="38">
        <v>2000.0</v>
      </c>
      <c r="O138" s="38" t="s">
        <v>837</v>
      </c>
      <c r="P138" s="40">
        <v>2001.0</v>
      </c>
      <c r="Q138" s="38" t="s">
        <v>289</v>
      </c>
      <c r="R138" s="38">
        <v>40.0</v>
      </c>
      <c r="S138" s="38" t="s">
        <v>2110</v>
      </c>
      <c r="T138" s="38" t="s">
        <v>2111</v>
      </c>
      <c r="U138" s="38" t="s">
        <v>2052</v>
      </c>
      <c r="V138" s="38">
        <v>2013.0</v>
      </c>
      <c r="W138" s="38" t="s">
        <v>2117</v>
      </c>
      <c r="X138" s="38" t="s">
        <v>2118</v>
      </c>
      <c r="Y138" s="38"/>
      <c r="Z138" s="38"/>
      <c r="AA138" s="38"/>
      <c r="AB138" s="38"/>
      <c r="AC138" s="38"/>
      <c r="AD138" s="38"/>
      <c r="AE138" s="38"/>
      <c r="AF138" s="38"/>
      <c r="AG138" s="28"/>
      <c r="AH138" s="28" t="s">
        <v>462</v>
      </c>
      <c r="AI138" s="28" t="s">
        <v>462</v>
      </c>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row>
    <row r="139" ht="25.5" customHeight="1">
      <c r="A139" s="28">
        <v>10434.0</v>
      </c>
      <c r="B139" s="37" t="b">
        <v>1</v>
      </c>
      <c r="C139" s="38" t="s">
        <v>238</v>
      </c>
      <c r="D139" s="38">
        <v>81.0</v>
      </c>
      <c r="E139" s="13" t="b">
        <v>0</v>
      </c>
      <c r="F139" s="13" t="b">
        <v>1</v>
      </c>
      <c r="G139" s="38" t="s">
        <v>224</v>
      </c>
      <c r="H139" s="38"/>
      <c r="I139" s="38" t="s">
        <v>772</v>
      </c>
      <c r="J139" s="38">
        <v>5.0</v>
      </c>
      <c r="K139" s="38"/>
      <c r="L139" s="38"/>
      <c r="M139" s="38" t="s">
        <v>35</v>
      </c>
      <c r="N139" s="38">
        <v>2000.0</v>
      </c>
      <c r="O139" s="38" t="s">
        <v>1114</v>
      </c>
      <c r="P139" s="40"/>
      <c r="Q139" s="38" t="s">
        <v>111</v>
      </c>
      <c r="R139" s="38">
        <v>41.0</v>
      </c>
      <c r="S139" s="38" t="s">
        <v>2123</v>
      </c>
      <c r="T139" s="38" t="s">
        <v>2124</v>
      </c>
      <c r="U139" s="38" t="s">
        <v>2126</v>
      </c>
      <c r="V139" s="55">
        <v>40954.0</v>
      </c>
      <c r="W139" s="38" t="s">
        <v>2127</v>
      </c>
      <c r="X139" s="49" t="str">
        <f>HYPERLINK("http://edition.cnn.com/2012/02/08/tech/innovation/green-nudge-environment-persuasion/index.html?hpt=hp_c3","http://edition.cnn.com/2012/02/08/tech/innovation/green-nudge-environment-persuasion/index.html?hpt=hp_c3")</f>
        <v>http://edition.cnn.com/2012/02/08/tech/innovation/green-nudge-environment-persuasion/index.html?hpt=hp_c3</v>
      </c>
      <c r="Y139" s="38"/>
      <c r="Z139" s="38"/>
      <c r="AA139" s="38"/>
      <c r="AB139" s="38"/>
      <c r="AC139" s="38"/>
      <c r="AD139" s="38"/>
      <c r="AE139" s="38"/>
      <c r="AF139" s="38"/>
      <c r="AG139" s="28"/>
      <c r="AH139" s="28" t="s">
        <v>428</v>
      </c>
      <c r="AI139" s="28" t="s">
        <v>462</v>
      </c>
      <c r="AJ139" s="28"/>
      <c r="AK139" s="28"/>
      <c r="AL139" s="28" t="s">
        <v>600</v>
      </c>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row>
    <row r="140" ht="25.5" customHeight="1">
      <c r="A140" s="28">
        <v>77.0</v>
      </c>
      <c r="B140" s="37" t="b">
        <v>1</v>
      </c>
      <c r="C140" s="38" t="s">
        <v>106</v>
      </c>
      <c r="D140" s="38">
        <v>80.0</v>
      </c>
      <c r="E140" s="13" t="b">
        <v>0</v>
      </c>
      <c r="F140" s="13" t="b">
        <v>1</v>
      </c>
      <c r="G140" s="38" t="s">
        <v>224</v>
      </c>
      <c r="H140" s="38"/>
      <c r="I140" s="38" t="s">
        <v>887</v>
      </c>
      <c r="J140" s="38">
        <v>9.0</v>
      </c>
      <c r="K140" s="38" t="s">
        <v>2137</v>
      </c>
      <c r="L140" s="38">
        <v>902.0</v>
      </c>
      <c r="M140" s="38" t="s">
        <v>388</v>
      </c>
      <c r="N140" s="38">
        <v>14000.0</v>
      </c>
      <c r="O140" s="38" t="s">
        <v>224</v>
      </c>
      <c r="P140" s="40"/>
      <c r="Q140" s="38" t="s">
        <v>289</v>
      </c>
      <c r="R140" s="38">
        <v>40.0</v>
      </c>
      <c r="S140" s="38" t="s">
        <v>2142</v>
      </c>
      <c r="T140" s="38" t="s">
        <v>2143</v>
      </c>
      <c r="U140" s="38" t="s">
        <v>2144</v>
      </c>
      <c r="V140" s="38">
        <v>2007.0</v>
      </c>
      <c r="W140" s="38" t="s">
        <v>2150</v>
      </c>
      <c r="X140" s="38"/>
      <c r="Y140" s="38"/>
      <c r="Z140" s="38"/>
      <c r="AA140" s="38"/>
      <c r="AB140" s="38"/>
      <c r="AC140" s="38"/>
      <c r="AD140" s="38"/>
      <c r="AE140" s="38"/>
      <c r="AF140" s="38"/>
      <c r="AG140" s="28"/>
      <c r="AH140" s="28" t="s">
        <v>428</v>
      </c>
      <c r="AI140" s="28" t="s">
        <v>462</v>
      </c>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row>
    <row r="141" ht="25.5" customHeight="1">
      <c r="A141" s="28">
        <v>461.0</v>
      </c>
      <c r="B141" s="37" t="b">
        <v>1</v>
      </c>
      <c r="C141" s="38" t="s">
        <v>106</v>
      </c>
      <c r="D141" s="38">
        <v>80.0</v>
      </c>
      <c r="E141" s="13" t="b">
        <v>0</v>
      </c>
      <c r="F141" s="13" t="b">
        <v>1</v>
      </c>
      <c r="G141" s="38" t="s">
        <v>224</v>
      </c>
      <c r="H141" s="38"/>
      <c r="I141" s="38" t="s">
        <v>772</v>
      </c>
      <c r="J141" s="38">
        <v>5.0</v>
      </c>
      <c r="K141" s="38" t="s">
        <v>2156</v>
      </c>
      <c r="L141" s="38">
        <v>503.0</v>
      </c>
      <c r="M141" s="38" t="s">
        <v>35</v>
      </c>
      <c r="N141" s="38">
        <v>2000.0</v>
      </c>
      <c r="O141" s="38" t="s">
        <v>578</v>
      </c>
      <c r="P141" s="40"/>
      <c r="Q141" s="38" t="s">
        <v>289</v>
      </c>
      <c r="R141" s="38">
        <v>40.0</v>
      </c>
      <c r="S141" s="38" t="s">
        <v>2160</v>
      </c>
      <c r="T141" s="38" t="s">
        <v>2162</v>
      </c>
      <c r="U141" s="38" t="s">
        <v>2164</v>
      </c>
      <c r="V141" s="38">
        <v>2006.0</v>
      </c>
      <c r="W141" s="38" t="s">
        <v>2167</v>
      </c>
      <c r="X141" s="38"/>
      <c r="Y141" s="38"/>
      <c r="Z141" s="38"/>
      <c r="AA141" s="38"/>
      <c r="AB141" s="38"/>
      <c r="AC141" s="38"/>
      <c r="AD141" s="38"/>
      <c r="AE141" s="38"/>
      <c r="AF141" s="38"/>
      <c r="AG141" s="28" t="s">
        <v>2169</v>
      </c>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row>
    <row r="142" ht="25.5" customHeight="1">
      <c r="A142" s="28">
        <v>10006.0</v>
      </c>
      <c r="B142" s="37" t="b">
        <v>1</v>
      </c>
      <c r="C142" s="38" t="s">
        <v>238</v>
      </c>
      <c r="D142" s="38">
        <v>81.0</v>
      </c>
      <c r="E142" s="13" t="b">
        <v>1</v>
      </c>
      <c r="F142" s="13" t="b">
        <v>0</v>
      </c>
      <c r="G142" s="38" t="s">
        <v>224</v>
      </c>
      <c r="H142" s="38"/>
      <c r="I142" s="38" t="s">
        <v>574</v>
      </c>
      <c r="J142" s="38">
        <v>4.0</v>
      </c>
      <c r="K142" s="38"/>
      <c r="L142" s="38"/>
      <c r="M142" s="38" t="s">
        <v>549</v>
      </c>
      <c r="N142" s="38">
        <v>6000.0</v>
      </c>
      <c r="O142" s="38" t="s">
        <v>290</v>
      </c>
      <c r="P142" s="40"/>
      <c r="Q142" s="38" t="s">
        <v>111</v>
      </c>
      <c r="R142" s="38">
        <v>41.0</v>
      </c>
      <c r="S142" s="38" t="s">
        <v>1306</v>
      </c>
      <c r="T142" s="38" t="s">
        <v>1308</v>
      </c>
      <c r="U142" s="38" t="s">
        <v>1309</v>
      </c>
      <c r="V142" s="55">
        <v>42012.0</v>
      </c>
      <c r="W142" s="38" t="s">
        <v>1310</v>
      </c>
      <c r="X142" s="49" t="str">
        <f>HYPERLINK("http://valuesandframes.org/some-psychological-consequences-of-putting-a-price-on-nature/","http://valuesandframes.org/some-psychological-consequences-of-putting-a-price-on-nature/")</f>
        <v>http://valuesandframes.org/some-psychological-consequences-of-putting-a-price-on-nature/</v>
      </c>
      <c r="Y142" s="38"/>
      <c r="Z142" s="38"/>
      <c r="AA142" s="38"/>
      <c r="AB142" s="38"/>
      <c r="AC142" s="38"/>
      <c r="AD142" s="38"/>
      <c r="AE142" s="38"/>
      <c r="AF142" s="38"/>
      <c r="AG142" s="28"/>
      <c r="AH142" s="28" t="s">
        <v>1316</v>
      </c>
      <c r="AI142" s="28" t="s">
        <v>1317</v>
      </c>
      <c r="AJ142" s="28"/>
      <c r="AK142" s="28" t="s">
        <v>676</v>
      </c>
      <c r="AL142" s="28" t="s">
        <v>769</v>
      </c>
      <c r="AM142" s="28" t="s">
        <v>1320</v>
      </c>
      <c r="AN142" s="54">
        <v>42348.0</v>
      </c>
      <c r="AO142" s="54"/>
      <c r="AP142" s="54">
        <v>42544.0</v>
      </c>
      <c r="AQ142" s="28"/>
      <c r="AR142" s="28"/>
      <c r="AS142" s="54"/>
      <c r="AT142" s="28" t="s">
        <v>1321</v>
      </c>
      <c r="AU142" s="28"/>
      <c r="AV142" s="28"/>
      <c r="AW142" s="28"/>
      <c r="AX142" s="28" t="s">
        <v>428</v>
      </c>
      <c r="AY142" s="28"/>
      <c r="AZ142" s="28"/>
      <c r="BA142" s="28"/>
      <c r="BB142" s="28"/>
      <c r="BC142" s="28"/>
      <c r="BD142" s="28"/>
      <c r="BE142" s="28"/>
      <c r="BF142" s="28"/>
      <c r="BG142" s="28"/>
      <c r="BH142" s="28"/>
      <c r="BI142" s="28"/>
      <c r="BJ142" s="28"/>
      <c r="BK142" s="28"/>
      <c r="BL142" s="28"/>
      <c r="BM142" s="28"/>
      <c r="BN142" s="28"/>
      <c r="BO142" s="28"/>
    </row>
    <row r="143" ht="25.5" customHeight="1">
      <c r="A143" s="28">
        <v>10093.0</v>
      </c>
      <c r="B143" s="37" t="b">
        <v>1</v>
      </c>
      <c r="C143" s="38" t="s">
        <v>238</v>
      </c>
      <c r="D143" s="38">
        <v>81.0</v>
      </c>
      <c r="E143" s="13" t="b">
        <v>0</v>
      </c>
      <c r="F143" s="13" t="b">
        <v>1</v>
      </c>
      <c r="G143" s="38" t="s">
        <v>224</v>
      </c>
      <c r="H143" s="38"/>
      <c r="I143" s="38" t="s">
        <v>574</v>
      </c>
      <c r="J143" s="38">
        <v>4.0</v>
      </c>
      <c r="K143" s="38"/>
      <c r="L143" s="38"/>
      <c r="M143" s="38" t="s">
        <v>35</v>
      </c>
      <c r="N143" s="38">
        <v>2000.0</v>
      </c>
      <c r="O143" s="38" t="s">
        <v>578</v>
      </c>
      <c r="P143" s="40"/>
      <c r="Q143" s="38" t="s">
        <v>111</v>
      </c>
      <c r="R143" s="38">
        <v>41.0</v>
      </c>
      <c r="S143" s="38" t="s">
        <v>2186</v>
      </c>
      <c r="T143" s="38" t="s">
        <v>1308</v>
      </c>
      <c r="U143" s="38" t="s">
        <v>1309</v>
      </c>
      <c r="V143" s="55">
        <v>41989.0</v>
      </c>
      <c r="W143" s="38" t="s">
        <v>2187</v>
      </c>
      <c r="X143" s="49" t="str">
        <f>HYPERLINK("http://valuesandframes.org/no-cause-is-an-island/","http://valuesandframes.org/no-cause-is-an-island/")</f>
        <v>http://valuesandframes.org/no-cause-is-an-island/</v>
      </c>
      <c r="Y143" s="38"/>
      <c r="Z143" s="38"/>
      <c r="AA143" s="38"/>
      <c r="AB143" s="38"/>
      <c r="AC143" s="38"/>
      <c r="AD143" s="38"/>
      <c r="AE143" s="38"/>
      <c r="AF143" s="38"/>
      <c r="AG143" s="28"/>
      <c r="AH143" s="28" t="s">
        <v>2195</v>
      </c>
      <c r="AI143" s="28" t="s">
        <v>2196</v>
      </c>
      <c r="AJ143" s="28"/>
      <c r="AK143" s="28" t="s">
        <v>1474</v>
      </c>
      <c r="AL143" s="28" t="s">
        <v>677</v>
      </c>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row>
    <row r="144" ht="25.5" customHeight="1">
      <c r="A144" s="28">
        <v>152.0</v>
      </c>
      <c r="B144" s="37" t="b">
        <v>1</v>
      </c>
      <c r="C144" s="38" t="s">
        <v>106</v>
      </c>
      <c r="D144" s="38">
        <v>80.0</v>
      </c>
      <c r="E144" s="13" t="b">
        <v>1</v>
      </c>
      <c r="F144" s="13" t="b">
        <v>0</v>
      </c>
      <c r="G144" s="38" t="s">
        <v>355</v>
      </c>
      <c r="H144" s="38">
        <v>57.0</v>
      </c>
      <c r="I144" s="38" t="s">
        <v>224</v>
      </c>
      <c r="J144" s="38"/>
      <c r="K144" s="38" t="s">
        <v>224</v>
      </c>
      <c r="L144" s="38"/>
      <c r="M144" s="38" t="s">
        <v>35</v>
      </c>
      <c r="N144" s="38">
        <v>2000.0</v>
      </c>
      <c r="O144" s="38" t="s">
        <v>578</v>
      </c>
      <c r="P144" s="40"/>
      <c r="Q144" s="38" t="s">
        <v>289</v>
      </c>
      <c r="R144" s="38">
        <v>40.0</v>
      </c>
      <c r="S144" s="38" t="s">
        <v>2203</v>
      </c>
      <c r="T144" s="38" t="s">
        <v>2204</v>
      </c>
      <c r="U144" s="38" t="s">
        <v>2206</v>
      </c>
      <c r="V144" s="38">
        <v>2011.0</v>
      </c>
      <c r="W144" s="38" t="s">
        <v>2209</v>
      </c>
      <c r="X144" s="38"/>
      <c r="Y144" s="38"/>
      <c r="Z144" s="38"/>
      <c r="AA144" s="38"/>
      <c r="AB144" s="38"/>
      <c r="AC144" s="38"/>
      <c r="AD144" s="38"/>
      <c r="AE144" s="38"/>
      <c r="AF144" s="3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row>
    <row r="145" ht="25.5" customHeight="1">
      <c r="A145" s="28">
        <v>266.0</v>
      </c>
      <c r="B145" s="37" t="b">
        <v>1</v>
      </c>
      <c r="C145" s="38" t="s">
        <v>106</v>
      </c>
      <c r="D145" s="38">
        <v>80.0</v>
      </c>
      <c r="E145" s="13" t="b">
        <v>0</v>
      </c>
      <c r="F145" s="13" t="b">
        <v>1</v>
      </c>
      <c r="G145" s="38" t="s">
        <v>224</v>
      </c>
      <c r="H145" s="38"/>
      <c r="I145" s="38" t="s">
        <v>536</v>
      </c>
      <c r="J145" s="38">
        <v>3.0</v>
      </c>
      <c r="K145" s="38" t="s">
        <v>603</v>
      </c>
      <c r="L145" s="38">
        <v>304.0</v>
      </c>
      <c r="M145" s="38" t="s">
        <v>107</v>
      </c>
      <c r="N145" s="38">
        <v>3000.0</v>
      </c>
      <c r="O145" s="38" t="s">
        <v>116</v>
      </c>
      <c r="P145" s="40"/>
      <c r="Q145" s="38" t="s">
        <v>289</v>
      </c>
      <c r="R145" s="38">
        <v>40.0</v>
      </c>
      <c r="S145" s="38" t="s">
        <v>2215</v>
      </c>
      <c r="T145" s="38" t="s">
        <v>2216</v>
      </c>
      <c r="U145" s="38" t="s">
        <v>2218</v>
      </c>
      <c r="V145" s="38">
        <v>2012.0</v>
      </c>
      <c r="W145" s="38" t="s">
        <v>2222</v>
      </c>
      <c r="X145" s="38" t="s">
        <v>2223</v>
      </c>
      <c r="Y145" s="38"/>
      <c r="Z145" s="38"/>
      <c r="AA145" s="38"/>
      <c r="AB145" s="38"/>
      <c r="AC145" s="38"/>
      <c r="AD145" s="38"/>
      <c r="AE145" s="38"/>
      <c r="AF145" s="38"/>
      <c r="AG145" s="28"/>
      <c r="AH145" s="28" t="s">
        <v>428</v>
      </c>
      <c r="AI145" s="28" t="s">
        <v>462</v>
      </c>
      <c r="AJ145" s="28"/>
      <c r="AK145" s="28"/>
      <c r="AL145" s="28"/>
      <c r="AM145" s="28"/>
      <c r="AN145" s="28"/>
      <c r="AO145" s="28"/>
      <c r="AP145" s="28"/>
      <c r="AQ145" s="28"/>
      <c r="AR145" s="28"/>
      <c r="AS145" s="28"/>
      <c r="AT145" s="28"/>
      <c r="AU145" s="28"/>
      <c r="AV145" s="28"/>
      <c r="AW145" s="28"/>
      <c r="AX145" s="28"/>
      <c r="AY145" s="28"/>
      <c r="AZ145" s="28"/>
      <c r="BA145" s="28" t="s">
        <v>2224</v>
      </c>
      <c r="BB145" s="28"/>
      <c r="BC145" s="28"/>
      <c r="BD145" s="28"/>
      <c r="BE145" s="28"/>
      <c r="BF145" s="28"/>
      <c r="BG145" s="28"/>
      <c r="BH145" s="28"/>
      <c r="BI145" s="28"/>
      <c r="BJ145" s="28"/>
      <c r="BK145" s="28"/>
      <c r="BL145" s="28"/>
      <c r="BM145" s="28"/>
      <c r="BN145" s="28"/>
      <c r="BO145" s="28"/>
    </row>
    <row r="146" ht="25.5" customHeight="1">
      <c r="A146" s="28">
        <v>462.0</v>
      </c>
      <c r="B146" s="37" t="b">
        <v>1</v>
      </c>
      <c r="C146" s="38" t="s">
        <v>106</v>
      </c>
      <c r="D146" s="38">
        <v>80.0</v>
      </c>
      <c r="E146" s="13" t="b">
        <v>0</v>
      </c>
      <c r="F146" s="13" t="b">
        <v>1</v>
      </c>
      <c r="G146" s="38" t="s">
        <v>224</v>
      </c>
      <c r="H146" s="38"/>
      <c r="I146" s="38" t="s">
        <v>772</v>
      </c>
      <c r="J146" s="38">
        <v>5.0</v>
      </c>
      <c r="K146" s="38" t="s">
        <v>2232</v>
      </c>
      <c r="L146" s="38">
        <v>502.0</v>
      </c>
      <c r="M146" s="38" t="s">
        <v>2233</v>
      </c>
      <c r="N146" s="38" t="s">
        <v>2234</v>
      </c>
      <c r="O146" s="38" t="s">
        <v>2235</v>
      </c>
      <c r="P146" s="40"/>
      <c r="Q146" s="38" t="s">
        <v>289</v>
      </c>
      <c r="R146" s="38">
        <v>40.0</v>
      </c>
      <c r="S146" s="38" t="s">
        <v>2236</v>
      </c>
      <c r="T146" s="38" t="s">
        <v>2237</v>
      </c>
      <c r="U146" s="38" t="s">
        <v>2239</v>
      </c>
      <c r="V146" s="38">
        <v>2014.0</v>
      </c>
      <c r="W146" s="38" t="s">
        <v>2247</v>
      </c>
      <c r="X146" s="38" t="s">
        <v>2250</v>
      </c>
      <c r="Y146" s="38"/>
      <c r="Z146" s="38"/>
      <c r="AA146" s="38"/>
      <c r="AB146" s="38"/>
      <c r="AC146" s="38"/>
      <c r="AD146" s="38"/>
      <c r="AE146" s="38"/>
      <c r="AF146" s="38"/>
      <c r="AG146" s="28"/>
      <c r="AH146" s="28" t="s">
        <v>926</v>
      </c>
      <c r="AI146" s="28" t="s">
        <v>462</v>
      </c>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row>
    <row r="147" ht="25.5" customHeight="1">
      <c r="A147" s="28">
        <v>91.0</v>
      </c>
      <c r="B147" s="37" t="b">
        <v>1</v>
      </c>
      <c r="C147" s="38" t="s">
        <v>106</v>
      </c>
      <c r="D147" s="38">
        <v>80.0</v>
      </c>
      <c r="E147" s="13" t="b">
        <v>0</v>
      </c>
      <c r="F147" s="13" t="b">
        <v>1</v>
      </c>
      <c r="G147" s="38" t="s">
        <v>224</v>
      </c>
      <c r="H147" s="38"/>
      <c r="I147" s="38" t="s">
        <v>196</v>
      </c>
      <c r="J147" s="38">
        <v>1.0</v>
      </c>
      <c r="K147" s="38" t="s">
        <v>224</v>
      </c>
      <c r="L147" s="38"/>
      <c r="M147" s="38" t="s">
        <v>367</v>
      </c>
      <c r="N147" s="38">
        <v>11000.0</v>
      </c>
      <c r="O147" s="38" t="s">
        <v>2251</v>
      </c>
      <c r="P147" s="40"/>
      <c r="Q147" s="38" t="s">
        <v>2253</v>
      </c>
      <c r="R147" s="38" t="s">
        <v>2254</v>
      </c>
      <c r="S147" s="38" t="s">
        <v>2258</v>
      </c>
      <c r="T147" s="38" t="s">
        <v>2260</v>
      </c>
      <c r="U147" s="38" t="s">
        <v>2261</v>
      </c>
      <c r="V147" s="38">
        <v>2009.0</v>
      </c>
      <c r="W147" s="38" t="s">
        <v>2262</v>
      </c>
      <c r="X147" s="38"/>
      <c r="Y147" s="38"/>
      <c r="Z147" s="38"/>
      <c r="AA147" s="38"/>
      <c r="AB147" s="38"/>
      <c r="AC147" s="38"/>
      <c r="AD147" s="38"/>
      <c r="AE147" s="38"/>
      <c r="AF147" s="3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row>
    <row r="148" ht="25.5" customHeight="1">
      <c r="A148" s="28">
        <v>496.0</v>
      </c>
      <c r="B148" s="37" t="b">
        <v>1</v>
      </c>
      <c r="C148" s="38" t="s">
        <v>106</v>
      </c>
      <c r="D148" s="38">
        <v>80.0</v>
      </c>
      <c r="E148" s="13" t="b">
        <v>0</v>
      </c>
      <c r="F148" s="13" t="b">
        <v>1</v>
      </c>
      <c r="G148" s="38" t="s">
        <v>224</v>
      </c>
      <c r="H148" s="38"/>
      <c r="I148" s="38" t="s">
        <v>421</v>
      </c>
      <c r="J148" s="38">
        <v>11.0</v>
      </c>
      <c r="K148" s="38"/>
      <c r="L148" s="38"/>
      <c r="M148" s="38" t="s">
        <v>323</v>
      </c>
      <c r="N148" s="38">
        <v>24000.0</v>
      </c>
      <c r="O148" s="38" t="s">
        <v>421</v>
      </c>
      <c r="P148" s="40"/>
      <c r="Q148" s="38" t="s">
        <v>289</v>
      </c>
      <c r="R148" s="38">
        <v>40.0</v>
      </c>
      <c r="S148" s="38" t="s">
        <v>2269</v>
      </c>
      <c r="T148" s="38" t="s">
        <v>2270</v>
      </c>
      <c r="U148" s="38" t="s">
        <v>2271</v>
      </c>
      <c r="V148" s="38">
        <v>2016.0</v>
      </c>
      <c r="W148" s="38" t="s">
        <v>2277</v>
      </c>
      <c r="X148" s="38"/>
      <c r="Y148" s="38"/>
      <c r="Z148" s="38"/>
      <c r="AA148" s="38"/>
      <c r="AB148" s="38"/>
      <c r="AC148" s="38"/>
      <c r="AD148" s="38"/>
      <c r="AE148" s="38"/>
      <c r="AF148" s="38"/>
      <c r="AG148" s="28"/>
      <c r="AH148" s="28" t="s">
        <v>462</v>
      </c>
      <c r="AI148" s="28" t="s">
        <v>462</v>
      </c>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row>
    <row r="149" ht="25.5" customHeight="1">
      <c r="A149" s="28">
        <v>84.0</v>
      </c>
      <c r="B149" s="37" t="b">
        <v>1</v>
      </c>
      <c r="C149" s="38" t="s">
        <v>106</v>
      </c>
      <c r="D149" s="38">
        <v>80.0</v>
      </c>
      <c r="E149" s="13" t="b">
        <v>0</v>
      </c>
      <c r="F149" s="13" t="b">
        <v>1</v>
      </c>
      <c r="G149" s="38" t="s">
        <v>224</v>
      </c>
      <c r="H149" s="38"/>
      <c r="I149" s="38" t="s">
        <v>887</v>
      </c>
      <c r="J149" s="38">
        <v>9.0</v>
      </c>
      <c r="K149" s="38" t="s">
        <v>224</v>
      </c>
      <c r="L149" s="38"/>
      <c r="M149" s="38" t="s">
        <v>107</v>
      </c>
      <c r="N149" s="38">
        <v>3000.0</v>
      </c>
      <c r="O149" s="38" t="s">
        <v>2282</v>
      </c>
      <c r="P149" s="40"/>
      <c r="Q149" s="38" t="s">
        <v>117</v>
      </c>
      <c r="R149" s="38">
        <v>40.0</v>
      </c>
      <c r="S149" s="38" t="s">
        <v>2284</v>
      </c>
      <c r="T149" s="38" t="s">
        <v>2286</v>
      </c>
      <c r="U149" s="38" t="s">
        <v>2288</v>
      </c>
      <c r="V149" s="38">
        <v>2014.0</v>
      </c>
      <c r="W149" s="38" t="s">
        <v>2291</v>
      </c>
      <c r="X149" s="38"/>
      <c r="Y149" s="38"/>
      <c r="Z149" s="38"/>
      <c r="AA149" s="38"/>
      <c r="AB149" s="38"/>
      <c r="AC149" s="38"/>
      <c r="AD149" s="38"/>
      <c r="AE149" s="38"/>
      <c r="AF149" s="38"/>
      <c r="AG149" s="28"/>
      <c r="AH149" s="28" t="s">
        <v>462</v>
      </c>
      <c r="AI149" s="28" t="s">
        <v>462</v>
      </c>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row>
    <row r="150" ht="25.5" customHeight="1">
      <c r="A150" s="28">
        <v>308.0</v>
      </c>
      <c r="B150" s="37" t="b">
        <v>1</v>
      </c>
      <c r="C150" s="38" t="s">
        <v>106</v>
      </c>
      <c r="D150" s="38">
        <v>80.0</v>
      </c>
      <c r="E150" s="13" t="b">
        <v>0</v>
      </c>
      <c r="F150" s="13" t="b">
        <v>1</v>
      </c>
      <c r="G150" s="38" t="s">
        <v>224</v>
      </c>
      <c r="H150" s="38"/>
      <c r="I150" s="38" t="s">
        <v>2299</v>
      </c>
      <c r="J150" s="38" t="s">
        <v>2300</v>
      </c>
      <c r="K150" s="38" t="s">
        <v>2301</v>
      </c>
      <c r="L150" s="38" t="s">
        <v>2302</v>
      </c>
      <c r="M150" s="38" t="s">
        <v>107</v>
      </c>
      <c r="N150" s="38">
        <v>3000.0</v>
      </c>
      <c r="O150" s="38" t="s">
        <v>470</v>
      </c>
      <c r="P150" s="40"/>
      <c r="Q150" s="38" t="s">
        <v>289</v>
      </c>
      <c r="R150" s="38">
        <v>40.0</v>
      </c>
      <c r="S150" s="38" t="s">
        <v>2303</v>
      </c>
      <c r="T150" s="38" t="s">
        <v>2304</v>
      </c>
      <c r="U150" s="38" t="s">
        <v>2288</v>
      </c>
      <c r="V150" s="38">
        <v>2015.0</v>
      </c>
      <c r="W150" s="38" t="s">
        <v>2313</v>
      </c>
      <c r="X150" s="38" t="s">
        <v>2314</v>
      </c>
      <c r="Y150" s="38"/>
      <c r="Z150" s="38"/>
      <c r="AA150" s="38"/>
      <c r="AB150" s="38"/>
      <c r="AC150" s="38"/>
      <c r="AD150" s="38"/>
      <c r="AE150" s="38"/>
      <c r="AF150" s="38"/>
      <c r="AG150" s="28"/>
      <c r="AH150" s="28" t="s">
        <v>428</v>
      </c>
      <c r="AI150" s="28" t="s">
        <v>462</v>
      </c>
      <c r="AJ150" s="28"/>
      <c r="AK150" s="28"/>
      <c r="AL150" s="28" t="s">
        <v>561</v>
      </c>
      <c r="AM150" s="28" t="s">
        <v>2315</v>
      </c>
      <c r="AN150" s="54">
        <v>42415.0</v>
      </c>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row>
    <row r="151" ht="25.5" customHeight="1">
      <c r="A151" s="28">
        <v>289.0</v>
      </c>
      <c r="B151" s="37" t="b">
        <v>1</v>
      </c>
      <c r="C151" s="38" t="s">
        <v>106</v>
      </c>
      <c r="D151" s="38">
        <v>80.0</v>
      </c>
      <c r="E151" s="13" t="b">
        <v>0</v>
      </c>
      <c r="F151" s="13" t="b">
        <v>1</v>
      </c>
      <c r="G151" s="38" t="s">
        <v>224</v>
      </c>
      <c r="H151" s="38"/>
      <c r="I151" s="38" t="s">
        <v>536</v>
      </c>
      <c r="J151" s="38">
        <v>3.0</v>
      </c>
      <c r="K151" s="38" t="s">
        <v>224</v>
      </c>
      <c r="L151" s="38"/>
      <c r="M151" s="38" t="s">
        <v>367</v>
      </c>
      <c r="N151" s="38">
        <v>11000.0</v>
      </c>
      <c r="O151" s="38" t="s">
        <v>538</v>
      </c>
      <c r="P151" s="40"/>
      <c r="Q151" s="38" t="s">
        <v>298</v>
      </c>
      <c r="R151" s="38">
        <v>44.0</v>
      </c>
      <c r="S151" s="38" t="s">
        <v>2323</v>
      </c>
      <c r="T151" s="38" t="s">
        <v>2324</v>
      </c>
      <c r="U151" s="38" t="s">
        <v>2325</v>
      </c>
      <c r="V151" s="38">
        <v>2011.0</v>
      </c>
      <c r="W151" s="38" t="s">
        <v>2330</v>
      </c>
      <c r="X151" s="49" t="str">
        <f>HYPERLINK("http://bob-mccown.com/wp-content/uploads/2011/10/124_HochmanEtAl2000FARMSCAPEexperience.pdf","http://bob-mccown.com/wp-content/uploads/2011/10/124_HochmanEtAl2000FARMSCAPEexperience.pdf")</f>
        <v>http://bob-mccown.com/wp-content/uploads/2011/10/124_HochmanEtAl2000FARMSCAPEexperience.pdf</v>
      </c>
      <c r="Y151" s="38"/>
      <c r="Z151" s="38"/>
      <c r="AA151" s="38"/>
      <c r="AB151" s="38"/>
      <c r="AC151" s="38"/>
      <c r="AD151" s="38"/>
      <c r="AE151" s="38"/>
      <c r="AF151" s="38"/>
      <c r="AG151" s="28"/>
      <c r="AH151" s="28" t="s">
        <v>428</v>
      </c>
      <c r="AI151" s="28" t="s">
        <v>462</v>
      </c>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row>
    <row r="152" ht="25.5" customHeight="1">
      <c r="A152" s="28">
        <v>396.0</v>
      </c>
      <c r="B152" s="37" t="b">
        <v>1</v>
      </c>
      <c r="C152" s="38" t="s">
        <v>106</v>
      </c>
      <c r="D152" s="38">
        <v>80.0</v>
      </c>
      <c r="E152" s="13" t="b">
        <v>0</v>
      </c>
      <c r="F152" s="13" t="b">
        <v>1</v>
      </c>
      <c r="G152" s="38" t="s">
        <v>224</v>
      </c>
      <c r="H152" s="38"/>
      <c r="I152" s="38" t="s">
        <v>712</v>
      </c>
      <c r="J152" s="38">
        <v>7.0</v>
      </c>
      <c r="K152" s="38" t="s">
        <v>2342</v>
      </c>
      <c r="L152" s="38">
        <v>703.0</v>
      </c>
      <c r="M152" s="38" t="s">
        <v>2343</v>
      </c>
      <c r="N152" s="38" t="s">
        <v>2344</v>
      </c>
      <c r="O152" s="38" t="s">
        <v>2345</v>
      </c>
      <c r="P152" s="40"/>
      <c r="Q152" s="38" t="s">
        <v>289</v>
      </c>
      <c r="R152" s="38">
        <v>40.0</v>
      </c>
      <c r="S152" s="38" t="s">
        <v>2346</v>
      </c>
      <c r="T152" s="38" t="s">
        <v>2347</v>
      </c>
      <c r="U152" s="38" t="s">
        <v>2348</v>
      </c>
      <c r="V152" s="38">
        <v>2003.0</v>
      </c>
      <c r="W152" s="38" t="s">
        <v>2351</v>
      </c>
      <c r="X152" s="38" t="s">
        <v>2353</v>
      </c>
      <c r="Y152" s="38"/>
      <c r="Z152" s="38"/>
      <c r="AA152" s="38"/>
      <c r="AB152" s="38"/>
      <c r="AC152" s="38"/>
      <c r="AD152" s="38"/>
      <c r="AE152" s="38"/>
      <c r="AF152" s="38"/>
      <c r="AG152" s="28"/>
      <c r="AH152" s="28" t="s">
        <v>2354</v>
      </c>
      <c r="AI152" s="28" t="s">
        <v>462</v>
      </c>
      <c r="AJ152" s="28"/>
      <c r="AK152" s="28"/>
      <c r="AL152" s="28" t="s">
        <v>561</v>
      </c>
      <c r="AM152" s="28" t="s">
        <v>2355</v>
      </c>
      <c r="AN152" s="54">
        <v>42508.0</v>
      </c>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row>
    <row r="153" ht="25.5" customHeight="1">
      <c r="A153" s="28">
        <v>503.0</v>
      </c>
      <c r="B153" s="37" t="b">
        <v>1</v>
      </c>
      <c r="C153" s="38" t="s">
        <v>106</v>
      </c>
      <c r="D153" s="38">
        <v>80.0</v>
      </c>
      <c r="G153" s="38" t="s">
        <v>224</v>
      </c>
      <c r="H153" s="38"/>
      <c r="I153" s="38" t="s">
        <v>167</v>
      </c>
      <c r="J153" s="38">
        <v>10.0</v>
      </c>
      <c r="K153" s="38"/>
      <c r="L153" s="38"/>
      <c r="M153" s="38" t="s">
        <v>239</v>
      </c>
      <c r="N153" s="38">
        <v>4000.0</v>
      </c>
      <c r="O153" s="38" t="s">
        <v>651</v>
      </c>
      <c r="P153" s="40"/>
      <c r="Q153" s="38" t="s">
        <v>289</v>
      </c>
      <c r="R153" s="38">
        <v>40.0</v>
      </c>
      <c r="S153" s="38" t="s">
        <v>2359</v>
      </c>
      <c r="T153" s="38" t="s">
        <v>2360</v>
      </c>
      <c r="U153" s="38" t="s">
        <v>2361</v>
      </c>
      <c r="V153" s="38">
        <v>2013.0</v>
      </c>
      <c r="W153" s="38" t="s">
        <v>2364</v>
      </c>
      <c r="X153" s="38"/>
      <c r="Y153" s="38"/>
      <c r="Z153" s="38"/>
      <c r="AA153" s="38"/>
      <c r="AB153" s="38"/>
      <c r="AC153" s="38"/>
      <c r="AD153" s="38"/>
      <c r="AE153" s="38"/>
      <c r="AF153" s="38"/>
      <c r="AG153" s="28"/>
      <c r="AH153" s="28" t="s">
        <v>462</v>
      </c>
      <c r="AI153" s="28" t="s">
        <v>462</v>
      </c>
      <c r="AJ153" s="28" t="s">
        <v>39</v>
      </c>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row>
    <row r="154" ht="25.5" customHeight="1">
      <c r="A154" s="28">
        <v>318.0</v>
      </c>
      <c r="B154" s="37" t="b">
        <v>1</v>
      </c>
      <c r="C154" s="38" t="s">
        <v>106</v>
      </c>
      <c r="D154" s="38">
        <v>80.0</v>
      </c>
      <c r="E154" s="13" t="b">
        <v>0</v>
      </c>
      <c r="F154" s="13" t="b">
        <v>1</v>
      </c>
      <c r="G154" s="38" t="s">
        <v>224</v>
      </c>
      <c r="H154" s="38"/>
      <c r="I154" s="38" t="s">
        <v>490</v>
      </c>
      <c r="J154" s="38">
        <v>6.0</v>
      </c>
      <c r="K154" s="38" t="s">
        <v>2371</v>
      </c>
      <c r="L154" s="38">
        <v>601.0</v>
      </c>
      <c r="M154" s="38" t="s">
        <v>35</v>
      </c>
      <c r="N154" s="38">
        <v>2000.0</v>
      </c>
      <c r="O154" s="38" t="s">
        <v>2373</v>
      </c>
      <c r="P154" s="40">
        <v>2001.0</v>
      </c>
      <c r="Q154" s="38" t="s">
        <v>289</v>
      </c>
      <c r="R154" s="38">
        <v>40.0</v>
      </c>
      <c r="S154" s="38" t="s">
        <v>2374</v>
      </c>
      <c r="T154" s="38" t="s">
        <v>2375</v>
      </c>
      <c r="U154" s="38" t="s">
        <v>2376</v>
      </c>
      <c r="V154" s="38">
        <v>2016.0</v>
      </c>
      <c r="W154" s="38" t="s">
        <v>2382</v>
      </c>
      <c r="X154" s="38" t="s">
        <v>2386</v>
      </c>
      <c r="Y154" s="38"/>
      <c r="Z154" s="38"/>
      <c r="AA154" s="38"/>
      <c r="AB154" s="38"/>
      <c r="AC154" s="38"/>
      <c r="AD154" s="38"/>
      <c r="AE154" s="38"/>
      <c r="AF154" s="38"/>
      <c r="AG154" s="28"/>
      <c r="AH154" s="28" t="s">
        <v>428</v>
      </c>
      <c r="AI154" s="28" t="s">
        <v>462</v>
      </c>
      <c r="AJ154" s="28"/>
      <c r="AK154" s="28"/>
      <c r="AL154" s="28"/>
      <c r="AM154" s="28"/>
      <c r="AN154" s="54"/>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row>
    <row r="155" ht="25.5" customHeight="1">
      <c r="A155" s="28">
        <v>226.0</v>
      </c>
      <c r="B155" s="37" t="b">
        <v>1</v>
      </c>
      <c r="C155" s="38" t="s">
        <v>106</v>
      </c>
      <c r="D155" s="38">
        <v>80.0</v>
      </c>
      <c r="E155" s="13" t="b">
        <v>0</v>
      </c>
      <c r="F155" s="13" t="b">
        <v>1</v>
      </c>
      <c r="G155" s="38" t="s">
        <v>224</v>
      </c>
      <c r="H155" s="38"/>
      <c r="I155" s="38" t="s">
        <v>376</v>
      </c>
      <c r="J155" s="38">
        <v>2.0</v>
      </c>
      <c r="K155" s="38" t="s">
        <v>378</v>
      </c>
      <c r="L155" s="38">
        <v>200.0</v>
      </c>
      <c r="M155" s="38" t="s">
        <v>411</v>
      </c>
      <c r="N155" s="38">
        <v>21000.0</v>
      </c>
      <c r="O155" s="38" t="s">
        <v>1052</v>
      </c>
      <c r="P155" s="40"/>
      <c r="Q155" s="38" t="s">
        <v>289</v>
      </c>
      <c r="R155" s="38">
        <v>40.0</v>
      </c>
      <c r="S155" s="38" t="s">
        <v>2391</v>
      </c>
      <c r="T155" s="38" t="s">
        <v>2393</v>
      </c>
      <c r="U155" s="38" t="s">
        <v>2394</v>
      </c>
      <c r="V155" s="38">
        <v>2014.0</v>
      </c>
      <c r="W155" s="38" t="s">
        <v>2402</v>
      </c>
      <c r="X155" s="38" t="s">
        <v>2403</v>
      </c>
      <c r="Y155" s="38"/>
      <c r="Z155" s="38"/>
      <c r="AA155" s="38"/>
      <c r="AB155" s="38"/>
      <c r="AC155" s="38"/>
      <c r="AD155" s="38"/>
      <c r="AE155" s="38"/>
      <c r="AF155" s="38"/>
      <c r="AG155" s="28" t="s">
        <v>2404</v>
      </c>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row>
    <row r="156" ht="25.5" customHeight="1">
      <c r="A156" s="28">
        <v>315.0</v>
      </c>
      <c r="B156" s="37" t="b">
        <v>1</v>
      </c>
      <c r="C156" s="38" t="s">
        <v>106</v>
      </c>
      <c r="D156" s="38">
        <v>80.0</v>
      </c>
      <c r="E156" s="13" t="b">
        <v>0</v>
      </c>
      <c r="F156" s="13" t="b">
        <v>1</v>
      </c>
      <c r="G156" s="38" t="s">
        <v>224</v>
      </c>
      <c r="H156" s="38"/>
      <c r="I156" s="38" t="s">
        <v>536</v>
      </c>
      <c r="J156" s="38">
        <v>3.0</v>
      </c>
      <c r="K156" s="38" t="s">
        <v>603</v>
      </c>
      <c r="L156" s="38">
        <v>304.0</v>
      </c>
      <c r="M156" s="38" t="s">
        <v>239</v>
      </c>
      <c r="N156" s="38">
        <v>4000.0</v>
      </c>
      <c r="O156" s="38" t="s">
        <v>605</v>
      </c>
      <c r="P156" s="40"/>
      <c r="Q156" s="38" t="s">
        <v>2012</v>
      </c>
      <c r="R156" s="38" t="s">
        <v>2013</v>
      </c>
      <c r="S156" s="38" t="s">
        <v>2407</v>
      </c>
      <c r="T156" s="38" t="s">
        <v>2408</v>
      </c>
      <c r="U156" s="38" t="s">
        <v>2409</v>
      </c>
      <c r="V156" s="38">
        <v>2012.0</v>
      </c>
      <c r="W156" s="38" t="s">
        <v>2412</v>
      </c>
      <c r="X156" s="38"/>
      <c r="Y156" s="38"/>
      <c r="Z156" s="38"/>
      <c r="AA156" s="38"/>
      <c r="AB156" s="38"/>
      <c r="AC156" s="38"/>
      <c r="AD156" s="38"/>
      <c r="AE156" s="38"/>
      <c r="AF156" s="38"/>
      <c r="AG156" s="28"/>
      <c r="AH156" s="28" t="s">
        <v>613</v>
      </c>
      <c r="AI156" s="28" t="s">
        <v>613</v>
      </c>
      <c r="AJ156" s="28"/>
      <c r="AK156" s="28"/>
      <c r="AL156" s="28"/>
      <c r="AM156" s="28"/>
      <c r="AN156" s="28"/>
      <c r="AO156" s="28"/>
      <c r="AP156" s="28"/>
      <c r="AQ156" s="28"/>
      <c r="AR156" s="28"/>
      <c r="AS156" s="28"/>
      <c r="AT156" s="28"/>
      <c r="AU156" s="28"/>
      <c r="AV156" s="28"/>
      <c r="AW156" s="28"/>
      <c r="AX156" s="28"/>
      <c r="AY156" s="28"/>
      <c r="AZ156" s="28"/>
      <c r="BA156" s="28" t="s">
        <v>615</v>
      </c>
      <c r="BB156" s="28"/>
      <c r="BC156" s="28"/>
      <c r="BD156" s="28"/>
      <c r="BE156" s="28"/>
      <c r="BF156" s="28"/>
      <c r="BG156" s="28"/>
      <c r="BH156" s="28"/>
      <c r="BI156" s="28"/>
      <c r="BJ156" s="28"/>
      <c r="BK156" s="28"/>
      <c r="BL156" s="28"/>
      <c r="BM156" s="28"/>
      <c r="BN156" s="28"/>
      <c r="BO156" s="28"/>
    </row>
    <row r="157" ht="25.5" customHeight="1">
      <c r="A157" s="28">
        <v>10040.0</v>
      </c>
      <c r="B157" s="37" t="b">
        <v>1</v>
      </c>
      <c r="C157" s="38" t="s">
        <v>238</v>
      </c>
      <c r="D157" s="38">
        <v>81.0</v>
      </c>
      <c r="E157" s="13" t="b">
        <v>1</v>
      </c>
      <c r="F157" s="13" t="b">
        <v>0</v>
      </c>
      <c r="G157" s="38" t="s">
        <v>397</v>
      </c>
      <c r="H157" s="38">
        <v>64.0</v>
      </c>
      <c r="I157" s="38" t="s">
        <v>224</v>
      </c>
      <c r="J157" s="38"/>
      <c r="K157" s="38" t="s">
        <v>224</v>
      </c>
      <c r="L157" s="38"/>
      <c r="M157" s="38" t="s">
        <v>388</v>
      </c>
      <c r="N157" s="38">
        <v>14000.0</v>
      </c>
      <c r="O157" s="38" t="s">
        <v>224</v>
      </c>
      <c r="P157" s="40"/>
      <c r="Q157" s="38" t="s">
        <v>289</v>
      </c>
      <c r="R157" s="38">
        <v>40.0</v>
      </c>
      <c r="S157" s="38" t="s">
        <v>1729</v>
      </c>
      <c r="T157" s="38" t="s">
        <v>1374</v>
      </c>
      <c r="U157" s="38" t="s">
        <v>1730</v>
      </c>
      <c r="V157" s="55">
        <v>40668.0</v>
      </c>
      <c r="W157" s="38"/>
      <c r="X157" s="49" t="str">
        <f>HYPERLINK("http://blogs.discovermagazine.com/intersection/2011/05/05/what-is-motivated-reasoning-how-does-it-work-dan-kahan-answers/#.VwQ4ofkrLIV","http://blogs.discovermagazine.com/intersection/2011/05/05/what-is-motivated-reasoning-how-does-it-work-dan-kahan-answers/#.VwQ4ofkrLIV")</f>
        <v>http://blogs.discovermagazine.com/intersection/2011/05/05/what-is-motivated-reasoning-how-does-it-work-dan-kahan-answers/#.VwQ4ofkrLIV</v>
      </c>
      <c r="Y157" s="38"/>
      <c r="Z157" s="38"/>
      <c r="AA157" s="38"/>
      <c r="AB157" s="38"/>
      <c r="AC157" s="38"/>
      <c r="AD157" s="38"/>
      <c r="AE157" s="38"/>
      <c r="AF157" s="38"/>
      <c r="AG157" s="28"/>
      <c r="AH157" s="28" t="s">
        <v>462</v>
      </c>
      <c r="AI157" s="28" t="s">
        <v>462</v>
      </c>
      <c r="AJ157" s="28"/>
      <c r="AK157" s="28"/>
      <c r="AL157" s="28" t="s">
        <v>677</v>
      </c>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row>
    <row r="158" ht="25.5" customHeight="1">
      <c r="A158" s="28">
        <v>10301.0</v>
      </c>
      <c r="B158" s="37" t="b">
        <v>1</v>
      </c>
      <c r="C158" s="38" t="s">
        <v>238</v>
      </c>
      <c r="D158" s="38">
        <v>81.0</v>
      </c>
      <c r="E158" s="13" t="b">
        <v>0</v>
      </c>
      <c r="F158" s="13" t="b">
        <v>1</v>
      </c>
      <c r="G158" s="38" t="s">
        <v>224</v>
      </c>
      <c r="H158" s="38"/>
      <c r="I158" s="38" t="s">
        <v>490</v>
      </c>
      <c r="J158" s="38">
        <v>6.0</v>
      </c>
      <c r="K158" s="38"/>
      <c r="L158" s="38"/>
      <c r="M158" s="38" t="s">
        <v>388</v>
      </c>
      <c r="N158" s="38">
        <v>14000.0</v>
      </c>
      <c r="O158" s="38" t="s">
        <v>224</v>
      </c>
      <c r="P158" s="40"/>
      <c r="Q158" s="38" t="s">
        <v>289</v>
      </c>
      <c r="R158" s="38">
        <v>40.0</v>
      </c>
      <c r="S158" s="38" t="s">
        <v>2426</v>
      </c>
      <c r="T158" s="38" t="s">
        <v>2427</v>
      </c>
      <c r="U158" s="38" t="s">
        <v>1730</v>
      </c>
      <c r="V158" s="55">
        <v>40470.0</v>
      </c>
      <c r="W158" s="38" t="s">
        <v>2432</v>
      </c>
      <c r="X158" s="49" t="str">
        <f>HYPERLINK("http://blogs.discovermagazine.com/notrocketscience/2010/10/19/when-in-doubt-shout-%E2%80%93-why-shaking-someone%E2%80%99s-beliefs-turns-them-into-stronger-advocates/#.VXm7rPlVhBc","http://blogs.discovermagazine.com/notrocketscience/2010/10/19/when-in-doubt-shout-%E2%80%93-why-shaking-someone%E2%80%99s-beliefs-turns-them-into-stronger-advocates/#.VXm7rPlVhBc")</f>
        <v>http://blogs.discovermagazine.com/notrocketscience/2010/10/19/when-in-doubt-shout-%E2%80%93-why-shaking-someone%E2%80%99s-beliefs-turns-them-into-stronger-advocates/#.VXm7rPlVhBc</v>
      </c>
      <c r="Y158" s="38"/>
      <c r="Z158" s="38"/>
      <c r="AA158" s="38"/>
      <c r="AB158" s="38"/>
      <c r="AC158" s="38"/>
      <c r="AD158" s="38"/>
      <c r="AE158" s="38"/>
      <c r="AF158" s="38"/>
      <c r="AG158" s="28"/>
      <c r="AH158" s="28" t="s">
        <v>462</v>
      </c>
      <c r="AI158" s="28" t="s">
        <v>462</v>
      </c>
      <c r="AJ158" s="28"/>
      <c r="AK158" s="28"/>
      <c r="AL158" s="28" t="s">
        <v>769</v>
      </c>
      <c r="AM158" s="28" t="s">
        <v>2449</v>
      </c>
      <c r="AN158" s="54">
        <v>42334.0</v>
      </c>
      <c r="AO158" s="54"/>
      <c r="AP158" s="54">
        <v>42487.0</v>
      </c>
      <c r="AQ158" s="28"/>
      <c r="AR158" s="28"/>
      <c r="AS158" s="54"/>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row>
    <row r="159" ht="25.5" customHeight="1">
      <c r="A159" s="28">
        <v>10433.0</v>
      </c>
      <c r="B159" s="37" t="b">
        <v>1</v>
      </c>
      <c r="C159" s="38" t="s">
        <v>238</v>
      </c>
      <c r="D159" s="38">
        <v>81.0</v>
      </c>
      <c r="E159" s="13" t="b">
        <v>0</v>
      </c>
      <c r="F159" s="13" t="b">
        <v>1</v>
      </c>
      <c r="G159" s="38" t="s">
        <v>224</v>
      </c>
      <c r="H159" s="38"/>
      <c r="I159" s="38" t="s">
        <v>772</v>
      </c>
      <c r="J159" s="38">
        <v>5.0</v>
      </c>
      <c r="K159" s="38"/>
      <c r="L159" s="38"/>
      <c r="M159" s="38" t="s">
        <v>395</v>
      </c>
      <c r="N159" s="38">
        <v>16000.0</v>
      </c>
      <c r="O159" s="38" t="s">
        <v>2451</v>
      </c>
      <c r="P159" s="40"/>
      <c r="Q159" s="38" t="s">
        <v>289</v>
      </c>
      <c r="R159" s="38">
        <v>40.0</v>
      </c>
      <c r="S159" s="38" t="s">
        <v>2454</v>
      </c>
      <c r="T159" s="38" t="s">
        <v>2455</v>
      </c>
      <c r="U159" s="38" t="s">
        <v>2457</v>
      </c>
      <c r="V159" s="55">
        <v>41788.0</v>
      </c>
      <c r="W159" s="38" t="s">
        <v>108</v>
      </c>
      <c r="X159" s="49" t="str">
        <f>HYPERLINK("http://distractify.com/old-school/2014/05/29/powerful-social-advertisements-1197697406","http://distractify.com/old-school/2014/05/29/powerful-social-advertisements-1197697406")</f>
        <v>http://distractify.com/old-school/2014/05/29/powerful-social-advertisements-1197697406</v>
      </c>
      <c r="Y159" s="38"/>
      <c r="Z159" s="38"/>
      <c r="AA159" s="38"/>
      <c r="AB159" s="38"/>
      <c r="AC159" s="38"/>
      <c r="AD159" s="38"/>
      <c r="AE159" s="38"/>
      <c r="AF159" s="38"/>
      <c r="AG159" s="28" t="s">
        <v>2465</v>
      </c>
      <c r="AH159" s="28" t="s">
        <v>462</v>
      </c>
      <c r="AI159" s="28" t="s">
        <v>462</v>
      </c>
      <c r="AJ159" s="28"/>
      <c r="AK159" s="28" t="s">
        <v>2466</v>
      </c>
      <c r="AL159" s="28" t="s">
        <v>600</v>
      </c>
      <c r="AM159" s="28"/>
      <c r="AN159" s="54"/>
      <c r="AO159" s="54"/>
      <c r="AP159" s="28"/>
      <c r="AQ159" s="28"/>
      <c r="AR159" s="28"/>
      <c r="AS159" s="54"/>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row>
    <row r="160" ht="25.5" customHeight="1">
      <c r="A160" s="32">
        <v>20060.0</v>
      </c>
      <c r="B160" s="37" t="b">
        <v>1</v>
      </c>
      <c r="C160" s="62" t="s">
        <v>274</v>
      </c>
      <c r="D160" s="62">
        <v>82.0</v>
      </c>
      <c r="E160" s="13" t="b">
        <v>0</v>
      </c>
      <c r="F160" s="13" t="b">
        <v>1</v>
      </c>
      <c r="G160" s="62" t="s">
        <v>224</v>
      </c>
      <c r="H160" s="62"/>
      <c r="I160" s="62" t="s">
        <v>387</v>
      </c>
      <c r="J160" s="67">
        <v>8.0</v>
      </c>
      <c r="K160" s="62" t="s">
        <v>389</v>
      </c>
      <c r="L160" s="38">
        <v>802.0</v>
      </c>
      <c r="M160" s="45" t="s">
        <v>411</v>
      </c>
      <c r="N160" s="45">
        <v>21000.0</v>
      </c>
      <c r="O160" s="62" t="s">
        <v>634</v>
      </c>
      <c r="P160" s="58"/>
      <c r="Q160" s="62" t="s">
        <v>117</v>
      </c>
      <c r="R160" s="67"/>
      <c r="S160" s="62" t="s">
        <v>188</v>
      </c>
      <c r="T160" s="62" t="s">
        <v>188</v>
      </c>
      <c r="U160" s="62" t="s">
        <v>639</v>
      </c>
      <c r="V160" s="62" t="s">
        <v>188</v>
      </c>
      <c r="W160" s="62"/>
      <c r="X160" s="62" t="s">
        <v>640</v>
      </c>
      <c r="Y160" s="62" t="s">
        <v>637</v>
      </c>
      <c r="Z160" s="62" t="s">
        <v>638</v>
      </c>
      <c r="AA160" s="62"/>
      <c r="AB160" s="62"/>
      <c r="AC160" s="62"/>
      <c r="AD160" s="62"/>
      <c r="AE160" s="62"/>
      <c r="AF160" s="6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v>3.0</v>
      </c>
      <c r="BD160" s="32" t="s">
        <v>641</v>
      </c>
      <c r="BE160" s="32" t="s">
        <v>114</v>
      </c>
      <c r="BF160" s="32"/>
      <c r="BG160" s="32"/>
      <c r="BH160" s="32"/>
      <c r="BI160" s="32"/>
      <c r="BJ160" s="32"/>
      <c r="BK160" s="32"/>
      <c r="BL160" s="32"/>
      <c r="BM160" s="32"/>
      <c r="BN160" s="32"/>
      <c r="BO160" s="32"/>
    </row>
    <row r="161" ht="25.5" customHeight="1">
      <c r="A161" s="28">
        <v>131.0</v>
      </c>
      <c r="B161" s="37" t="b">
        <v>1</v>
      </c>
      <c r="C161" s="38" t="s">
        <v>106</v>
      </c>
      <c r="D161" s="38">
        <v>80.0</v>
      </c>
      <c r="E161" s="13" t="b">
        <v>1</v>
      </c>
      <c r="F161" s="13" t="b">
        <v>0</v>
      </c>
      <c r="G161" s="38" t="s">
        <v>284</v>
      </c>
      <c r="H161" s="38">
        <v>53.0</v>
      </c>
      <c r="I161" s="38" t="s">
        <v>224</v>
      </c>
      <c r="J161" s="38"/>
      <c r="K161" s="38" t="s">
        <v>224</v>
      </c>
      <c r="L161" s="38"/>
      <c r="M161" s="38" t="s">
        <v>35</v>
      </c>
      <c r="N161" s="38">
        <v>2000.0</v>
      </c>
      <c r="O161" s="38" t="s">
        <v>1076</v>
      </c>
      <c r="P161" s="40"/>
      <c r="Q161" s="38" t="s">
        <v>289</v>
      </c>
      <c r="R161" s="38">
        <v>40.0</v>
      </c>
      <c r="S161" s="38" t="s">
        <v>2498</v>
      </c>
      <c r="T161" s="38" t="s">
        <v>2499</v>
      </c>
      <c r="U161" s="38" t="s">
        <v>2501</v>
      </c>
      <c r="V161" s="38">
        <v>1997.0</v>
      </c>
      <c r="W161" s="38" t="s">
        <v>753</v>
      </c>
      <c r="X161" s="38"/>
      <c r="Y161" s="38"/>
      <c r="Z161" s="38"/>
      <c r="AA161" s="38"/>
      <c r="AB161" s="38"/>
      <c r="AC161" s="38"/>
      <c r="AD161" s="38"/>
      <c r="AE161" s="38"/>
      <c r="AF161" s="3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row>
    <row r="162" ht="25.5" customHeight="1">
      <c r="A162" s="28">
        <v>10179.0</v>
      </c>
      <c r="B162" s="37" t="b">
        <v>1</v>
      </c>
      <c r="C162" s="38" t="s">
        <v>238</v>
      </c>
      <c r="D162" s="38">
        <v>81.0</v>
      </c>
      <c r="E162" s="13" t="b">
        <v>0</v>
      </c>
      <c r="F162" s="13" t="b">
        <v>1</v>
      </c>
      <c r="G162" s="38" t="s">
        <v>224</v>
      </c>
      <c r="H162" s="38"/>
      <c r="I162" s="38" t="s">
        <v>265</v>
      </c>
      <c r="J162" s="38">
        <v>9.0</v>
      </c>
      <c r="K162" s="38"/>
      <c r="L162" s="38"/>
      <c r="M162" s="38" t="s">
        <v>35</v>
      </c>
      <c r="N162" s="38">
        <v>2000.0</v>
      </c>
      <c r="O162" s="38" t="s">
        <v>2511</v>
      </c>
      <c r="P162" s="40"/>
      <c r="Q162" s="38" t="s">
        <v>289</v>
      </c>
      <c r="R162" s="38">
        <v>40.0</v>
      </c>
      <c r="S162" s="61" t="s">
        <v>2513</v>
      </c>
      <c r="T162" s="38" t="s">
        <v>2514</v>
      </c>
      <c r="U162" s="38" t="s">
        <v>2515</v>
      </c>
      <c r="V162" s="55">
        <v>42643.0</v>
      </c>
      <c r="W162" s="38" t="s">
        <v>2518</v>
      </c>
      <c r="X162" s="38" t="s">
        <v>2519</v>
      </c>
      <c r="Y162" s="38"/>
      <c r="Z162" s="38"/>
      <c r="AA162" s="38"/>
      <c r="AB162" s="38"/>
      <c r="AC162" s="38"/>
      <c r="AD162" s="38"/>
      <c r="AE162" s="38"/>
      <c r="AF162" s="38"/>
      <c r="AG162" s="28"/>
      <c r="AH162" s="28"/>
      <c r="AI162" s="28"/>
      <c r="AJ162" s="28"/>
      <c r="AK162" s="28" t="s">
        <v>2523</v>
      </c>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row>
    <row r="163" ht="25.5" customHeight="1">
      <c r="A163" s="28">
        <v>88.0</v>
      </c>
      <c r="B163" s="37" t="b">
        <v>1</v>
      </c>
      <c r="C163" s="38" t="s">
        <v>106</v>
      </c>
      <c r="D163" s="38">
        <v>80.0</v>
      </c>
      <c r="E163" s="13" t="b">
        <v>0</v>
      </c>
      <c r="F163" s="13" t="b">
        <v>1</v>
      </c>
      <c r="G163" s="38" t="s">
        <v>224</v>
      </c>
      <c r="H163" s="38"/>
      <c r="I163" s="38" t="s">
        <v>1857</v>
      </c>
      <c r="J163" s="38">
        <v>1.0</v>
      </c>
      <c r="K163" s="47" t="s">
        <v>2526</v>
      </c>
      <c r="L163" s="38">
        <v>103.0</v>
      </c>
      <c r="M163" s="38" t="s">
        <v>239</v>
      </c>
      <c r="N163" s="38">
        <v>4000.0</v>
      </c>
      <c r="O163" s="38" t="s">
        <v>605</v>
      </c>
      <c r="P163" s="40"/>
      <c r="Q163" s="38" t="s">
        <v>272</v>
      </c>
      <c r="R163" s="38">
        <v>42.0</v>
      </c>
      <c r="S163" s="38" t="s">
        <v>2528</v>
      </c>
      <c r="T163" s="38" t="s">
        <v>2529</v>
      </c>
      <c r="U163" s="38" t="s">
        <v>2530</v>
      </c>
      <c r="V163" s="38">
        <v>2015.0</v>
      </c>
      <c r="W163" s="38" t="s">
        <v>2536</v>
      </c>
      <c r="X163" s="38" t="s">
        <v>2538</v>
      </c>
      <c r="Y163" s="38"/>
      <c r="Z163" s="38"/>
      <c r="AA163" s="38"/>
      <c r="AB163" s="38"/>
      <c r="AC163" s="38"/>
      <c r="AD163" s="38"/>
      <c r="AE163" s="38"/>
      <c r="AF163" s="38"/>
      <c r="AG163" s="28"/>
      <c r="AH163" s="28" t="s">
        <v>462</v>
      </c>
      <c r="AI163" s="28" t="s">
        <v>428</v>
      </c>
      <c r="AJ163" s="28"/>
      <c r="AK163" s="28"/>
      <c r="AL163" s="28"/>
      <c r="AM163" s="28"/>
      <c r="AN163" s="28"/>
      <c r="AO163" s="28"/>
      <c r="AP163" s="28"/>
      <c r="AQ163" s="28"/>
      <c r="AR163" s="28"/>
      <c r="AS163" s="28"/>
      <c r="AT163" s="28"/>
      <c r="AU163" s="28"/>
      <c r="AV163" s="28"/>
      <c r="AW163" s="28"/>
      <c r="AX163" s="28"/>
      <c r="AY163" s="28"/>
      <c r="AZ163" s="28"/>
      <c r="BA163" s="28" t="s">
        <v>1023</v>
      </c>
      <c r="BB163" s="28"/>
      <c r="BC163" s="28"/>
      <c r="BD163" s="28"/>
      <c r="BE163" s="28"/>
      <c r="BF163" s="28"/>
      <c r="BG163" s="28"/>
      <c r="BH163" s="28"/>
      <c r="BI163" s="28"/>
      <c r="BJ163" s="28"/>
      <c r="BK163" s="28"/>
      <c r="BL163" s="28"/>
      <c r="BM163" s="28"/>
      <c r="BN163" s="28"/>
      <c r="BO163" s="28"/>
    </row>
    <row r="164" ht="25.5" customHeight="1">
      <c r="A164" s="28">
        <v>10008.0</v>
      </c>
      <c r="B164" s="37" t="b">
        <v>1</v>
      </c>
      <c r="C164" s="38" t="s">
        <v>238</v>
      </c>
      <c r="D164" s="38">
        <v>81.0</v>
      </c>
      <c r="E164" s="13" t="b">
        <v>1</v>
      </c>
      <c r="F164" s="13" t="b">
        <v>0</v>
      </c>
      <c r="G164" s="38" t="s">
        <v>224</v>
      </c>
      <c r="H164" s="38"/>
      <c r="I164" s="38" t="s">
        <v>1322</v>
      </c>
      <c r="J164" s="38">
        <v>4.0</v>
      </c>
      <c r="K164" s="38"/>
      <c r="L164" s="38"/>
      <c r="M164" s="38" t="s">
        <v>2546</v>
      </c>
      <c r="N164" s="38">
        <v>13000.0</v>
      </c>
      <c r="O164" s="38" t="s">
        <v>1338</v>
      </c>
      <c r="P164" s="40"/>
      <c r="Q164" s="38" t="s">
        <v>289</v>
      </c>
      <c r="R164" s="38">
        <v>40.0</v>
      </c>
      <c r="S164" s="38" t="s">
        <v>1341</v>
      </c>
      <c r="T164" s="38" t="s">
        <v>1343</v>
      </c>
      <c r="U164" s="38" t="s">
        <v>1344</v>
      </c>
      <c r="V164" s="55">
        <v>42086.0</v>
      </c>
      <c r="W164" s="38" t="s">
        <v>1345</v>
      </c>
      <c r="X164" s="49" t="str">
        <f>HYPERLINK("http://www.earthmagazine.org/article/comment-our-flawed-perceptions-risk","http://www.earthmagazine.org/article/comment-our-flawed-perceptions-risk")</f>
        <v>http://www.earthmagazine.org/article/comment-our-flawed-perceptions-risk</v>
      </c>
      <c r="Y164" s="38"/>
      <c r="Z164" s="38"/>
      <c r="AA164" s="38"/>
      <c r="AB164" s="38"/>
      <c r="AC164" s="38"/>
      <c r="AD164" s="38"/>
      <c r="AE164" s="38"/>
      <c r="AF164" s="38"/>
      <c r="AG164" s="28"/>
      <c r="AH164" s="28" t="s">
        <v>462</v>
      </c>
      <c r="AI164" s="28" t="s">
        <v>462</v>
      </c>
      <c r="AJ164" s="28"/>
      <c r="AK164" s="28" t="s">
        <v>1355</v>
      </c>
      <c r="AL164" s="28" t="s">
        <v>769</v>
      </c>
      <c r="AM164" s="28" t="s">
        <v>1356</v>
      </c>
      <c r="AN164" s="54">
        <v>42115.0</v>
      </c>
      <c r="AO164" s="54"/>
      <c r="AP164" s="28"/>
      <c r="AQ164" s="28" t="s">
        <v>769</v>
      </c>
      <c r="AR164" s="28"/>
      <c r="AS164" s="54">
        <v>42143.0</v>
      </c>
      <c r="AT164" s="28"/>
      <c r="AU164" s="28"/>
      <c r="AV164" s="28"/>
      <c r="AW164" s="28"/>
      <c r="AX164" s="28"/>
      <c r="AY164" s="28"/>
      <c r="AZ164" s="28" t="s">
        <v>1357</v>
      </c>
      <c r="BA164" s="28"/>
      <c r="BB164" s="28"/>
      <c r="BC164" s="28"/>
      <c r="BD164" s="28"/>
      <c r="BE164" s="28"/>
      <c r="BF164" s="28"/>
      <c r="BG164" s="28"/>
      <c r="BH164" s="28"/>
      <c r="BI164" s="28"/>
      <c r="BJ164" s="28"/>
      <c r="BK164" s="28"/>
      <c r="BL164" s="28"/>
      <c r="BM164" s="28"/>
      <c r="BN164" s="28"/>
      <c r="BO164" s="28"/>
    </row>
    <row r="165" ht="25.5" customHeight="1">
      <c r="A165" s="28">
        <v>10036.0</v>
      </c>
      <c r="B165" s="37" t="b">
        <v>1</v>
      </c>
      <c r="C165" s="38" t="s">
        <v>238</v>
      </c>
      <c r="D165" s="38">
        <v>81.0</v>
      </c>
      <c r="E165" s="13" t="b">
        <v>1</v>
      </c>
      <c r="F165" s="13" t="b">
        <v>0</v>
      </c>
      <c r="G165" s="38" t="s">
        <v>2566</v>
      </c>
      <c r="H165" s="38">
        <v>63.0</v>
      </c>
      <c r="I165" s="38" t="s">
        <v>224</v>
      </c>
      <c r="J165" s="38"/>
      <c r="K165" s="38" t="s">
        <v>224</v>
      </c>
      <c r="L165" s="38"/>
      <c r="M165" s="38" t="s">
        <v>35</v>
      </c>
      <c r="N165" s="38">
        <v>2000.0</v>
      </c>
      <c r="O165" s="38" t="s">
        <v>1114</v>
      </c>
      <c r="P165" s="40"/>
      <c r="Q165" s="38" t="s">
        <v>289</v>
      </c>
      <c r="R165" s="38">
        <v>40.0</v>
      </c>
      <c r="S165" s="38" t="s">
        <v>1691</v>
      </c>
      <c r="T165" s="38" t="s">
        <v>1548</v>
      </c>
      <c r="U165" s="38" t="s">
        <v>1550</v>
      </c>
      <c r="V165" s="55">
        <v>42087.0</v>
      </c>
      <c r="W165" s="38"/>
      <c r="X165" s="49" t="str">
        <f>HYPERLINK("http://ecoaffect.org/2015/03/24/why-one-climate-friendly-action-doesnt-always-lead-to-another-and-what-to-do-about-it/","http://ecoaffect.org/2015/03/24/why-one-climate-friendly-action-doesnt-always-lead-to-another-and-what-to-do-about-it/")</f>
        <v>http://ecoaffect.org/2015/03/24/why-one-climate-friendly-action-doesnt-always-lead-to-another-and-what-to-do-about-it/</v>
      </c>
      <c r="Y165" s="38"/>
      <c r="Z165" s="38"/>
      <c r="AA165" s="38"/>
      <c r="AB165" s="38"/>
      <c r="AC165" s="38"/>
      <c r="AD165" s="38"/>
      <c r="AE165" s="38"/>
      <c r="AF165" s="38"/>
      <c r="AG165" s="28"/>
      <c r="AH165" s="28" t="s">
        <v>462</v>
      </c>
      <c r="AI165" s="28" t="s">
        <v>462</v>
      </c>
      <c r="AJ165" s="28"/>
      <c r="AK165" s="28"/>
      <c r="AL165" s="28" t="s">
        <v>769</v>
      </c>
      <c r="AM165" s="28" t="s">
        <v>1702</v>
      </c>
      <c r="AN165" s="54">
        <v>42465.0</v>
      </c>
      <c r="AO165" s="54"/>
      <c r="AP165" s="54"/>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row>
    <row r="166" ht="25.5" customHeight="1">
      <c r="A166" s="28">
        <v>10077.0</v>
      </c>
      <c r="B166" s="37" t="b">
        <v>1</v>
      </c>
      <c r="C166" s="38" t="s">
        <v>238</v>
      </c>
      <c r="D166" s="38">
        <v>81.0</v>
      </c>
      <c r="E166" s="13" t="b">
        <v>0</v>
      </c>
      <c r="F166" s="13" t="b">
        <v>1</v>
      </c>
      <c r="G166" s="38" t="s">
        <v>224</v>
      </c>
      <c r="H166" s="38"/>
      <c r="I166" s="38" t="s">
        <v>574</v>
      </c>
      <c r="J166" s="38">
        <v>4.0</v>
      </c>
      <c r="K166" s="38"/>
      <c r="L166" s="38"/>
      <c r="M166" s="38" t="s">
        <v>35</v>
      </c>
      <c r="N166" s="38">
        <v>2000.0</v>
      </c>
      <c r="O166" s="38" t="s">
        <v>1863</v>
      </c>
      <c r="P166" s="40"/>
      <c r="Q166" s="38" t="s">
        <v>289</v>
      </c>
      <c r="R166" s="38">
        <v>40.0</v>
      </c>
      <c r="S166" s="61" t="s">
        <v>2130</v>
      </c>
      <c r="T166" s="38" t="s">
        <v>2132</v>
      </c>
      <c r="U166" s="38" t="s">
        <v>1550</v>
      </c>
      <c r="V166" s="55">
        <v>42506.0</v>
      </c>
      <c r="W166" s="38" t="s">
        <v>2133</v>
      </c>
      <c r="X166" s="49" t="str">
        <f>HYPERLINK("http://ecoaffect.org/2016/05/16/cause-effect-and-the-power-of-we-motivating-people-to-act-on-climate/","http://ecoaffect.org/2016/05/16/cause-effect-and-the-power-of-we-motivating-people-to-act-on-climate/")</f>
        <v>http://ecoaffect.org/2016/05/16/cause-effect-and-the-power-of-we-motivating-people-to-act-on-climate/</v>
      </c>
      <c r="Y166" s="38"/>
      <c r="Z166" s="38"/>
      <c r="AA166" s="38"/>
      <c r="AB166" s="38"/>
      <c r="AC166" s="38"/>
      <c r="AD166" s="38"/>
      <c r="AE166" s="38"/>
      <c r="AF166" s="38"/>
      <c r="AG166" s="28"/>
      <c r="AH166" s="28"/>
      <c r="AI166" s="28"/>
      <c r="AJ166" s="28"/>
      <c r="AK166" s="28"/>
      <c r="AL166" s="28" t="s">
        <v>769</v>
      </c>
      <c r="AM166" s="28" t="s">
        <v>2134</v>
      </c>
      <c r="AN166" s="54">
        <v>42675.0</v>
      </c>
      <c r="AO166" s="54"/>
      <c r="AP166" s="28"/>
      <c r="AQ166" s="28"/>
      <c r="AR166" s="28"/>
      <c r="AS166" s="28"/>
      <c r="AT166" s="28"/>
      <c r="AU166" s="28"/>
      <c r="AV166" s="28"/>
      <c r="AW166" s="28"/>
      <c r="AX166" s="28"/>
      <c r="AY166" s="28" t="s">
        <v>428</v>
      </c>
      <c r="AZ166" s="28"/>
      <c r="BA166" s="28"/>
      <c r="BB166" s="28"/>
      <c r="BC166" s="28"/>
      <c r="BD166" s="28"/>
      <c r="BE166" s="28"/>
      <c r="BF166" s="28"/>
      <c r="BG166" s="28"/>
      <c r="BH166" s="28"/>
      <c r="BI166" s="28"/>
      <c r="BJ166" s="28"/>
      <c r="BK166" s="28"/>
      <c r="BL166" s="28"/>
      <c r="BM166" s="28"/>
      <c r="BN166" s="28"/>
      <c r="BO166" s="28"/>
    </row>
    <row r="167" ht="25.5" customHeight="1">
      <c r="A167" s="28">
        <v>10114.0</v>
      </c>
      <c r="B167" s="37" t="b">
        <v>1</v>
      </c>
      <c r="C167" s="38" t="s">
        <v>238</v>
      </c>
      <c r="D167" s="38">
        <v>81.0</v>
      </c>
      <c r="E167" s="13" t="b">
        <v>0</v>
      </c>
      <c r="F167" s="13" t="b">
        <v>1</v>
      </c>
      <c r="G167" s="38" t="s">
        <v>224</v>
      </c>
      <c r="H167" s="38"/>
      <c r="I167" s="38" t="s">
        <v>2594</v>
      </c>
      <c r="J167" s="38" t="s">
        <v>2595</v>
      </c>
      <c r="K167" s="38"/>
      <c r="L167" s="38"/>
      <c r="M167" s="38" t="s">
        <v>35</v>
      </c>
      <c r="N167" s="38">
        <v>2000.0</v>
      </c>
      <c r="O167" s="38" t="s">
        <v>644</v>
      </c>
      <c r="P167" s="40"/>
      <c r="Q167" s="38" t="s">
        <v>289</v>
      </c>
      <c r="R167" s="38">
        <v>40.0</v>
      </c>
      <c r="S167" s="61" t="s">
        <v>2596</v>
      </c>
      <c r="T167" s="38" t="s">
        <v>2132</v>
      </c>
      <c r="U167" s="38" t="s">
        <v>1550</v>
      </c>
      <c r="V167" s="55">
        <v>42445.0</v>
      </c>
      <c r="W167" s="38" t="s">
        <v>2597</v>
      </c>
      <c r="X167" s="38" t="s">
        <v>2598</v>
      </c>
      <c r="Y167" s="38"/>
      <c r="Z167" s="38"/>
      <c r="AA167" s="38"/>
      <c r="AB167" s="38"/>
      <c r="AC167" s="38"/>
      <c r="AD167" s="38"/>
      <c r="AE167" s="38"/>
      <c r="AF167" s="38"/>
      <c r="AG167" s="28"/>
      <c r="AH167" s="28"/>
      <c r="AI167" s="28"/>
      <c r="AJ167" s="28"/>
      <c r="AK167" s="28"/>
      <c r="AL167" s="28" t="s">
        <v>428</v>
      </c>
      <c r="AM167" s="28" t="s">
        <v>2599</v>
      </c>
      <c r="AN167" s="54">
        <v>42669.0</v>
      </c>
      <c r="AO167" s="54"/>
      <c r="AP167" s="28"/>
      <c r="AQ167" s="28"/>
      <c r="AR167" s="28"/>
      <c r="AS167" s="28"/>
      <c r="AT167" s="28"/>
      <c r="AU167" s="28"/>
      <c r="AV167" s="28"/>
      <c r="AW167" s="28"/>
      <c r="AX167" s="28"/>
      <c r="AY167" s="28" t="s">
        <v>428</v>
      </c>
      <c r="AZ167" s="28"/>
      <c r="BA167" s="28"/>
      <c r="BB167" s="28"/>
      <c r="BC167" s="28"/>
      <c r="BD167" s="28"/>
      <c r="BE167" s="28"/>
      <c r="BF167" s="28"/>
      <c r="BG167" s="28"/>
      <c r="BH167" s="28"/>
      <c r="BI167" s="28"/>
      <c r="BJ167" s="28"/>
      <c r="BK167" s="28"/>
      <c r="BL167" s="28"/>
      <c r="BM167" s="28"/>
      <c r="BN167" s="28"/>
      <c r="BO167" s="28"/>
    </row>
    <row r="168" ht="25.5" customHeight="1">
      <c r="A168" s="28">
        <v>10143.0</v>
      </c>
      <c r="B168" s="37" t="b">
        <v>1</v>
      </c>
      <c r="C168" s="38" t="s">
        <v>238</v>
      </c>
      <c r="D168" s="38">
        <v>81.0</v>
      </c>
      <c r="E168" s="13" t="b">
        <v>0</v>
      </c>
      <c r="F168" s="13" t="b">
        <v>1</v>
      </c>
      <c r="G168" s="38" t="s">
        <v>224</v>
      </c>
      <c r="H168" s="38"/>
      <c r="I168" s="38" t="s">
        <v>1331</v>
      </c>
      <c r="J168" s="38" t="s">
        <v>1371</v>
      </c>
      <c r="K168" s="38"/>
      <c r="L168" s="38"/>
      <c r="M168" s="38" t="s">
        <v>35</v>
      </c>
      <c r="N168" s="38">
        <v>2000.0</v>
      </c>
      <c r="O168" s="38" t="s">
        <v>578</v>
      </c>
      <c r="P168" s="40"/>
      <c r="Q168" s="38" t="s">
        <v>289</v>
      </c>
      <c r="R168" s="38">
        <v>40.0</v>
      </c>
      <c r="S168" s="38" t="s">
        <v>2607</v>
      </c>
      <c r="T168" s="38" t="s">
        <v>1548</v>
      </c>
      <c r="U168" s="38" t="s">
        <v>1550</v>
      </c>
      <c r="V168" s="55">
        <v>42074.0</v>
      </c>
      <c r="W168" s="38" t="s">
        <v>2608</v>
      </c>
      <c r="X168" s="49" t="str">
        <f>HYPERLINK("http://ecoaffect.org/2015/03/11/increasing-moral-engagement-on-climate-change/","http://ecoaffect.org/2015/03/11/increasing-moral-engagement-on-climate-change/")</f>
        <v>http://ecoaffect.org/2015/03/11/increasing-moral-engagement-on-climate-change/</v>
      </c>
      <c r="Y168" s="38"/>
      <c r="Z168" s="38"/>
      <c r="AA168" s="38"/>
      <c r="AB168" s="38"/>
      <c r="AC168" s="38"/>
      <c r="AD168" s="38"/>
      <c r="AE168" s="38"/>
      <c r="AF168" s="38"/>
      <c r="AG168" s="28"/>
      <c r="AH168" s="28" t="s">
        <v>1316</v>
      </c>
      <c r="AI168" s="28" t="s">
        <v>1317</v>
      </c>
      <c r="AJ168" s="28"/>
      <c r="AK168" s="28" t="s">
        <v>1099</v>
      </c>
      <c r="AL168" s="28" t="s">
        <v>769</v>
      </c>
      <c r="AM168" s="28" t="s">
        <v>2618</v>
      </c>
      <c r="AN168" s="54">
        <v>42095.0</v>
      </c>
      <c r="AO168" s="54"/>
      <c r="AP168" s="28"/>
      <c r="AQ168" s="28" t="s">
        <v>2619</v>
      </c>
      <c r="AR168" s="28"/>
      <c r="AS168" s="54"/>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row>
    <row r="169" ht="25.5" customHeight="1">
      <c r="A169" s="28">
        <v>10146.0</v>
      </c>
      <c r="B169" s="37" t="b">
        <v>1</v>
      </c>
      <c r="C169" s="38" t="s">
        <v>238</v>
      </c>
      <c r="D169" s="38">
        <v>81.0</v>
      </c>
      <c r="E169" s="13" t="b">
        <v>0</v>
      </c>
      <c r="F169" s="13" t="b">
        <v>1</v>
      </c>
      <c r="G169" s="38" t="s">
        <v>224</v>
      </c>
      <c r="H169" s="38"/>
      <c r="I169" s="38" t="s">
        <v>1331</v>
      </c>
      <c r="J169" s="38" t="s">
        <v>1371</v>
      </c>
      <c r="K169" s="38"/>
      <c r="L169" s="38"/>
      <c r="M169" s="38" t="s">
        <v>35</v>
      </c>
      <c r="N169" s="38">
        <v>2000.0</v>
      </c>
      <c r="O169" s="38" t="s">
        <v>837</v>
      </c>
      <c r="P169" s="40">
        <v>2001.0</v>
      </c>
      <c r="Q169" s="38" t="s">
        <v>289</v>
      </c>
      <c r="R169" s="38">
        <v>40.0</v>
      </c>
      <c r="S169" s="61" t="s">
        <v>2624</v>
      </c>
      <c r="T169" s="38" t="s">
        <v>2132</v>
      </c>
      <c r="U169" s="38" t="s">
        <v>1550</v>
      </c>
      <c r="V169" s="55">
        <v>42319.0</v>
      </c>
      <c r="W169" s="38" t="s">
        <v>2625</v>
      </c>
      <c r="X169" s="49" t="str">
        <f>HYPERLINK("http://ecoaffect.org/2015/11/11/4-factors-that-affect-how-people-feel-about-climate-change/","http://ecoaffect.org/2015/11/11/4-factors-that-affect-how-people-feel-about-climate-change/")</f>
        <v>http://ecoaffect.org/2015/11/11/4-factors-that-affect-how-people-feel-about-climate-change/</v>
      </c>
      <c r="Y169" s="38"/>
      <c r="Z169" s="38"/>
      <c r="AA169" s="38"/>
      <c r="AB169" s="38"/>
      <c r="AC169" s="38"/>
      <c r="AD169" s="38"/>
      <c r="AE169" s="38"/>
      <c r="AF169" s="38"/>
      <c r="AG169" s="28"/>
      <c r="AH169" s="28"/>
      <c r="AI169" s="28"/>
      <c r="AJ169" s="28"/>
      <c r="AK169" s="28"/>
      <c r="AL169" s="28" t="s">
        <v>428</v>
      </c>
      <c r="AM169" s="28" t="s">
        <v>2630</v>
      </c>
      <c r="AN169" s="54">
        <v>42653.0</v>
      </c>
      <c r="AO169" s="54"/>
      <c r="AP169" s="28"/>
      <c r="AQ169" s="28"/>
      <c r="AR169" s="28"/>
      <c r="AS169" s="28"/>
      <c r="AT169" s="28"/>
      <c r="AU169" s="28"/>
      <c r="AV169" s="28"/>
      <c r="AW169" s="28"/>
      <c r="AX169" s="28"/>
      <c r="AY169" s="28" t="s">
        <v>428</v>
      </c>
      <c r="AZ169" s="28"/>
      <c r="BA169" s="28"/>
      <c r="BB169" s="28"/>
      <c r="BC169" s="28"/>
      <c r="BD169" s="28"/>
      <c r="BE169" s="28"/>
      <c r="BF169" s="28"/>
      <c r="BG169" s="28"/>
      <c r="BH169" s="28"/>
      <c r="BI169" s="28"/>
      <c r="BJ169" s="28"/>
      <c r="BK169" s="28"/>
      <c r="BL169" s="28"/>
      <c r="BM169" s="28"/>
      <c r="BN169" s="28"/>
      <c r="BO169" s="28"/>
    </row>
    <row r="170" ht="25.5" customHeight="1">
      <c r="A170" s="28">
        <v>10154.0</v>
      </c>
      <c r="B170" s="37" t="b">
        <v>1</v>
      </c>
      <c r="C170" s="38" t="s">
        <v>238</v>
      </c>
      <c r="D170" s="38">
        <v>81.0</v>
      </c>
      <c r="E170" s="13" t="b">
        <v>0</v>
      </c>
      <c r="F170" s="13" t="b">
        <v>1</v>
      </c>
      <c r="G170" s="38" t="s">
        <v>224</v>
      </c>
      <c r="H170" s="38"/>
      <c r="I170" s="38" t="s">
        <v>1331</v>
      </c>
      <c r="J170" s="38" t="s">
        <v>1371</v>
      </c>
      <c r="K170" s="38"/>
      <c r="L170" s="38"/>
      <c r="M170" s="38" t="s">
        <v>35</v>
      </c>
      <c r="N170" s="38">
        <v>2000.0</v>
      </c>
      <c r="O170" s="38" t="s">
        <v>644</v>
      </c>
      <c r="P170" s="40"/>
      <c r="Q170" s="38" t="s">
        <v>289</v>
      </c>
      <c r="R170" s="38">
        <v>40.0</v>
      </c>
      <c r="S170" s="61" t="s">
        <v>2634</v>
      </c>
      <c r="T170" s="38" t="s">
        <v>2504</v>
      </c>
      <c r="U170" s="38" t="s">
        <v>1550</v>
      </c>
      <c r="V170" s="55">
        <v>42481.0</v>
      </c>
      <c r="W170" s="38" t="s">
        <v>2635</v>
      </c>
      <c r="X170" s="49" t="str">
        <f>HYPERLINK("http://ecoaffect.org/2016/04/21/to-give-life-to-the-paris-climate-agreement-connect-on-personal-values/","http://ecoaffect.org/2016/04/21/to-give-life-to-the-paris-climate-agreement-connect-on-personal-values/")</f>
        <v>http://ecoaffect.org/2016/04/21/to-give-life-to-the-paris-climate-agreement-connect-on-personal-values/</v>
      </c>
      <c r="Y170" s="38"/>
      <c r="Z170" s="38"/>
      <c r="AA170" s="38"/>
      <c r="AB170" s="38"/>
      <c r="AC170" s="38"/>
      <c r="AD170" s="38"/>
      <c r="AE170" s="38"/>
      <c r="AF170" s="38"/>
      <c r="AG170" s="28"/>
      <c r="AH170" s="28"/>
      <c r="AI170" s="28"/>
      <c r="AJ170" s="28"/>
      <c r="AK170" s="28"/>
      <c r="AL170" s="28" t="s">
        <v>530</v>
      </c>
      <c r="AM170" s="28"/>
      <c r="AN170" s="28"/>
      <c r="AO170" s="28"/>
      <c r="AP170" s="28"/>
      <c r="AQ170" s="28"/>
      <c r="AR170" s="28"/>
      <c r="AS170" s="28"/>
      <c r="AT170" s="28"/>
      <c r="AU170" s="28"/>
      <c r="AV170" s="28"/>
      <c r="AW170" s="28"/>
      <c r="AX170" s="28"/>
      <c r="AY170" s="28" t="s">
        <v>428</v>
      </c>
      <c r="AZ170" s="28"/>
      <c r="BA170" s="28"/>
      <c r="BB170" s="28"/>
      <c r="BC170" s="28"/>
      <c r="BD170" s="28"/>
      <c r="BE170" s="28"/>
      <c r="BF170" s="28"/>
      <c r="BG170" s="28"/>
      <c r="BH170" s="28"/>
      <c r="BI170" s="28"/>
      <c r="BJ170" s="28"/>
      <c r="BK170" s="28"/>
      <c r="BL170" s="28"/>
      <c r="BM170" s="28"/>
      <c r="BN170" s="28"/>
      <c r="BO170" s="28"/>
    </row>
    <row r="171" ht="25.5" customHeight="1">
      <c r="A171" s="28">
        <v>10168.0</v>
      </c>
      <c r="B171" s="37" t="b">
        <v>1</v>
      </c>
      <c r="C171" s="38" t="s">
        <v>238</v>
      </c>
      <c r="D171" s="38">
        <v>81.0</v>
      </c>
      <c r="E171" s="13" t="b">
        <v>0</v>
      </c>
      <c r="F171" s="13" t="b">
        <v>1</v>
      </c>
      <c r="G171" s="38" t="s">
        <v>224</v>
      </c>
      <c r="H171" s="38"/>
      <c r="I171" s="38" t="s">
        <v>1361</v>
      </c>
      <c r="J171" s="38" t="s">
        <v>1383</v>
      </c>
      <c r="K171" s="38"/>
      <c r="L171" s="38"/>
      <c r="M171" s="38" t="s">
        <v>35</v>
      </c>
      <c r="N171" s="38">
        <v>2000.0</v>
      </c>
      <c r="O171" s="38" t="s">
        <v>837</v>
      </c>
      <c r="P171" s="40">
        <v>2001.0</v>
      </c>
      <c r="Q171" s="38" t="s">
        <v>289</v>
      </c>
      <c r="R171" s="38">
        <v>40.0</v>
      </c>
      <c r="S171" s="38" t="s">
        <v>2646</v>
      </c>
      <c r="T171" s="38" t="s">
        <v>1548</v>
      </c>
      <c r="U171" s="38" t="s">
        <v>1550</v>
      </c>
      <c r="V171" s="55">
        <v>42107.0</v>
      </c>
      <c r="W171" s="38" t="s">
        <v>1510</v>
      </c>
      <c r="X171" s="49" t="str">
        <f>HYPERLINK("http://ecoaffect.org/2015/04/13/why-clear-simple-messages-are-the-key-to-better-climate-understanding/","http://ecoaffect.org/2015/04/13/why-clear-simple-messages-are-the-key-to-better-climate-understanding/")</f>
        <v>http://ecoaffect.org/2015/04/13/why-clear-simple-messages-are-the-key-to-better-climate-understanding/</v>
      </c>
      <c r="Y171" s="38"/>
      <c r="Z171" s="38"/>
      <c r="AA171" s="38"/>
      <c r="AB171" s="38"/>
      <c r="AC171" s="38"/>
      <c r="AD171" s="38"/>
      <c r="AE171" s="38"/>
      <c r="AF171" s="38"/>
      <c r="AG171" s="28"/>
      <c r="AH171" s="28" t="s">
        <v>462</v>
      </c>
      <c r="AI171" s="28" t="s">
        <v>462</v>
      </c>
      <c r="AJ171" s="28"/>
      <c r="AK171" s="28" t="s">
        <v>676</v>
      </c>
      <c r="AL171" s="28" t="s">
        <v>769</v>
      </c>
      <c r="AM171" s="28" t="s">
        <v>2661</v>
      </c>
      <c r="AN171" s="54">
        <v>42138.0</v>
      </c>
      <c r="AO171" s="54"/>
      <c r="AP171" s="54">
        <v>42583.0</v>
      </c>
      <c r="AQ171" s="28" t="s">
        <v>769</v>
      </c>
      <c r="AR171" s="28"/>
      <c r="AS171" s="54">
        <v>42160.0</v>
      </c>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row>
    <row r="172" ht="25.5" customHeight="1">
      <c r="A172" s="28">
        <v>10272.0</v>
      </c>
      <c r="B172" s="37" t="b">
        <v>1</v>
      </c>
      <c r="C172" s="38" t="s">
        <v>238</v>
      </c>
      <c r="D172" s="38">
        <v>81.0</v>
      </c>
      <c r="E172" s="13" t="b">
        <v>0</v>
      </c>
      <c r="F172" s="13" t="b">
        <v>1</v>
      </c>
      <c r="G172" s="38" t="s">
        <v>224</v>
      </c>
      <c r="H172" s="38"/>
      <c r="I172" s="38" t="s">
        <v>2664</v>
      </c>
      <c r="J172" s="38" t="s">
        <v>2666</v>
      </c>
      <c r="K172" s="38"/>
      <c r="L172" s="38"/>
      <c r="M172" s="38" t="s">
        <v>35</v>
      </c>
      <c r="N172" s="38">
        <v>2000.0</v>
      </c>
      <c r="O172" s="38" t="s">
        <v>644</v>
      </c>
      <c r="P172" s="40"/>
      <c r="Q172" s="38" t="s">
        <v>289</v>
      </c>
      <c r="R172" s="38">
        <v>40.0</v>
      </c>
      <c r="S172" s="61" t="s">
        <v>2669</v>
      </c>
      <c r="T172" s="38" t="s">
        <v>1548</v>
      </c>
      <c r="U172" s="38" t="s">
        <v>1550</v>
      </c>
      <c r="V172" s="55">
        <v>42312.0</v>
      </c>
      <c r="W172" s="38" t="s">
        <v>2671</v>
      </c>
      <c r="X172" s="49" t="str">
        <f>HYPERLINK("http://ecoaffect.org/2015/11/04/looking-back-on-50-years-of-climate-communications-where-are-we-now/","http://ecoaffect.org/2015/11/04/looking-back-on-50-years-of-climate-communications-where-are-we-now/")</f>
        <v>http://ecoaffect.org/2015/11/04/looking-back-on-50-years-of-climate-communications-where-are-we-now/</v>
      </c>
      <c r="Y172" s="38"/>
      <c r="Z172" s="38"/>
      <c r="AA172" s="38"/>
      <c r="AB172" s="38"/>
      <c r="AC172" s="38"/>
      <c r="AD172" s="38"/>
      <c r="AE172" s="38"/>
      <c r="AF172" s="38"/>
      <c r="AG172" s="28"/>
      <c r="AH172" s="28"/>
      <c r="AI172" s="28"/>
      <c r="AJ172" s="28"/>
      <c r="AK172" s="28"/>
      <c r="AL172" s="28" t="s">
        <v>428</v>
      </c>
      <c r="AM172" s="28" t="s">
        <v>2678</v>
      </c>
      <c r="AN172" s="54">
        <v>42650.0</v>
      </c>
      <c r="AO172" s="54"/>
      <c r="AP172" s="28"/>
      <c r="AQ172" s="28"/>
      <c r="AR172" s="28"/>
      <c r="AS172" s="28"/>
      <c r="AT172" s="28"/>
      <c r="AU172" s="28"/>
      <c r="AV172" s="28"/>
      <c r="AW172" s="28"/>
      <c r="AX172" s="28"/>
      <c r="AY172" s="28" t="s">
        <v>428</v>
      </c>
      <c r="AZ172" s="28" t="s">
        <v>2670</v>
      </c>
      <c r="BA172" s="28"/>
      <c r="BB172" s="28"/>
      <c r="BC172" s="28"/>
      <c r="BD172" s="28"/>
      <c r="BE172" s="28"/>
      <c r="BF172" s="28"/>
      <c r="BG172" s="28"/>
      <c r="BH172" s="28"/>
      <c r="BI172" s="28"/>
      <c r="BJ172" s="28"/>
      <c r="BK172" s="28"/>
      <c r="BL172" s="28"/>
      <c r="BM172" s="28"/>
      <c r="BN172" s="28"/>
      <c r="BO172" s="28"/>
    </row>
    <row r="173" ht="25.5" customHeight="1">
      <c r="A173" s="28">
        <v>10289.0</v>
      </c>
      <c r="B173" s="37" t="b">
        <v>1</v>
      </c>
      <c r="C173" s="38" t="s">
        <v>238</v>
      </c>
      <c r="D173" s="38">
        <v>81.0</v>
      </c>
      <c r="E173" s="13" t="b">
        <v>0</v>
      </c>
      <c r="F173" s="13" t="b">
        <v>1</v>
      </c>
      <c r="G173" s="38" t="s">
        <v>224</v>
      </c>
      <c r="H173" s="38"/>
      <c r="I173" s="38" t="s">
        <v>536</v>
      </c>
      <c r="J173" s="38">
        <v>3.0</v>
      </c>
      <c r="K173" s="38"/>
      <c r="L173" s="38"/>
      <c r="M173" s="38" t="s">
        <v>35</v>
      </c>
      <c r="N173" s="38">
        <v>2000.0</v>
      </c>
      <c r="O173" s="38" t="s">
        <v>1114</v>
      </c>
      <c r="P173" s="40"/>
      <c r="Q173" s="38" t="s">
        <v>289</v>
      </c>
      <c r="R173" s="38">
        <v>40.0</v>
      </c>
      <c r="S173" s="61" t="s">
        <v>2682</v>
      </c>
      <c r="T173" s="38" t="s">
        <v>2683</v>
      </c>
      <c r="U173" s="38" t="s">
        <v>1550</v>
      </c>
      <c r="V173" s="55">
        <v>42516.0</v>
      </c>
      <c r="W173" s="38" t="s">
        <v>2685</v>
      </c>
      <c r="X173" s="49" t="str">
        <f>HYPERLINK("http://ecoaffect.org/2016/05/26/overcoming-the-psychological-barriers-for-climate-action/","http://ecoaffect.org/2016/05/26/overcoming-the-psychological-barriers-for-climate-action/")</f>
        <v>http://ecoaffect.org/2016/05/26/overcoming-the-psychological-barriers-for-climate-action/</v>
      </c>
      <c r="Y173" s="38"/>
      <c r="Z173" s="38"/>
      <c r="AA173" s="38"/>
      <c r="AB173" s="38"/>
      <c r="AC173" s="38"/>
      <c r="AD173" s="38"/>
      <c r="AE173" s="38"/>
      <c r="AF173" s="38"/>
      <c r="AG173" s="28"/>
      <c r="AH173" s="28"/>
      <c r="AI173" s="28"/>
      <c r="AJ173" s="28"/>
      <c r="AK173" s="28"/>
      <c r="AL173" s="28" t="s">
        <v>769</v>
      </c>
      <c r="AM173" s="28" t="s">
        <v>2692</v>
      </c>
      <c r="AN173" s="54">
        <v>42696.0</v>
      </c>
      <c r="AO173" s="54"/>
      <c r="AP173" s="28"/>
      <c r="AQ173" s="28"/>
      <c r="AR173" s="28"/>
      <c r="AS173" s="28"/>
      <c r="AT173" s="28"/>
      <c r="AU173" s="28"/>
      <c r="AV173" s="28"/>
      <c r="AW173" s="28"/>
      <c r="AX173" s="28"/>
      <c r="AY173" s="28" t="s">
        <v>428</v>
      </c>
      <c r="AZ173" s="28"/>
      <c r="BA173" s="28"/>
      <c r="BB173" s="28"/>
      <c r="BC173" s="28"/>
      <c r="BD173" s="28"/>
      <c r="BE173" s="28"/>
      <c r="BF173" s="28"/>
      <c r="BG173" s="28"/>
      <c r="BH173" s="28"/>
      <c r="BI173" s="28"/>
      <c r="BJ173" s="28"/>
      <c r="BK173" s="28"/>
      <c r="BL173" s="28"/>
      <c r="BM173" s="28"/>
      <c r="BN173" s="28"/>
      <c r="BO173" s="28"/>
    </row>
    <row r="174" ht="25.5" customHeight="1">
      <c r="A174" s="28">
        <v>10298.0</v>
      </c>
      <c r="B174" s="37" t="b">
        <v>1</v>
      </c>
      <c r="C174" s="38" t="s">
        <v>238</v>
      </c>
      <c r="D174" s="38">
        <v>81.0</v>
      </c>
      <c r="E174" s="13" t="b">
        <v>0</v>
      </c>
      <c r="F174" s="13" t="b">
        <v>1</v>
      </c>
      <c r="G174" s="38" t="s">
        <v>224</v>
      </c>
      <c r="H174" s="38"/>
      <c r="I174" s="38" t="s">
        <v>2696</v>
      </c>
      <c r="J174" s="38" t="s">
        <v>2698</v>
      </c>
      <c r="K174" s="38"/>
      <c r="L174" s="38"/>
      <c r="M174" s="38" t="s">
        <v>35</v>
      </c>
      <c r="N174" s="38">
        <v>2000.0</v>
      </c>
      <c r="O174" s="38" t="s">
        <v>644</v>
      </c>
      <c r="P174" s="40"/>
      <c r="Q174" s="38" t="s">
        <v>289</v>
      </c>
      <c r="R174" s="38">
        <v>40.0</v>
      </c>
      <c r="S174" s="61" t="s">
        <v>2702</v>
      </c>
      <c r="T174" s="38" t="s">
        <v>2132</v>
      </c>
      <c r="U174" s="38" t="s">
        <v>1550</v>
      </c>
      <c r="V174" s="55">
        <v>42332.0</v>
      </c>
      <c r="W174" s="38" t="s">
        <v>2703</v>
      </c>
      <c r="X174" s="49" t="str">
        <f>HYPERLINK("http://ecoaffect.org/2015/11/24/new-research-4-top-messages-for-strengthening-support-for-climate-solutions/","http://ecoaffect.org/2015/11/24/new-research-4-top-messages-for-strengthening-support-for-climate-solutions/")</f>
        <v>http://ecoaffect.org/2015/11/24/new-research-4-top-messages-for-strengthening-support-for-climate-solutions/</v>
      </c>
      <c r="Y174" s="38"/>
      <c r="Z174" s="38"/>
      <c r="AA174" s="38"/>
      <c r="AB174" s="38"/>
      <c r="AC174" s="38"/>
      <c r="AD174" s="38"/>
      <c r="AE174" s="38"/>
      <c r="AF174" s="38"/>
      <c r="AG174" s="28"/>
      <c r="AH174" s="28"/>
      <c r="AI174" s="28"/>
      <c r="AJ174" s="28"/>
      <c r="AK174" s="28"/>
      <c r="AL174" s="28" t="s">
        <v>428</v>
      </c>
      <c r="AM174" s="28" t="s">
        <v>2707</v>
      </c>
      <c r="AN174" s="54">
        <v>42710.0</v>
      </c>
      <c r="AO174" s="54"/>
      <c r="AP174" s="28"/>
      <c r="AQ174" s="28"/>
      <c r="AR174" s="28"/>
      <c r="AS174" s="28"/>
      <c r="AT174" s="28"/>
      <c r="AU174" s="28"/>
      <c r="AV174" s="28"/>
      <c r="AW174" s="28"/>
      <c r="AX174" s="28"/>
      <c r="AY174" s="28" t="s">
        <v>428</v>
      </c>
      <c r="AZ174" s="28"/>
      <c r="BA174" s="28"/>
      <c r="BB174" s="28"/>
      <c r="BC174" s="28"/>
      <c r="BD174" s="28"/>
      <c r="BE174" s="28"/>
      <c r="BF174" s="28"/>
      <c r="BG174" s="28"/>
      <c r="BH174" s="28"/>
      <c r="BI174" s="28"/>
      <c r="BJ174" s="28"/>
      <c r="BK174" s="28"/>
      <c r="BL174" s="28"/>
      <c r="BM174" s="28"/>
      <c r="BN174" s="28"/>
      <c r="BO174" s="28"/>
    </row>
    <row r="175" ht="25.5" customHeight="1">
      <c r="A175" s="28">
        <v>10373.0</v>
      </c>
      <c r="B175" s="37" t="b">
        <v>1</v>
      </c>
      <c r="C175" s="38" t="s">
        <v>238</v>
      </c>
      <c r="D175" s="38">
        <v>81.0</v>
      </c>
      <c r="E175" s="13" t="b">
        <v>0</v>
      </c>
      <c r="F175" s="13" t="b">
        <v>1</v>
      </c>
      <c r="G175" s="38" t="s">
        <v>224</v>
      </c>
      <c r="H175" s="38"/>
      <c r="I175" s="38" t="s">
        <v>712</v>
      </c>
      <c r="J175" s="38">
        <v>7.0</v>
      </c>
      <c r="K175" s="38"/>
      <c r="L175" s="38"/>
      <c r="M175" s="38" t="s">
        <v>35</v>
      </c>
      <c r="N175" s="38">
        <v>2000.0</v>
      </c>
      <c r="O175" s="38" t="s">
        <v>1114</v>
      </c>
      <c r="P175" s="40"/>
      <c r="Q175" s="38" t="s">
        <v>289</v>
      </c>
      <c r="R175" s="38">
        <v>40.0</v>
      </c>
      <c r="S175" s="61" t="s">
        <v>2714</v>
      </c>
      <c r="T175" s="38" t="s">
        <v>1548</v>
      </c>
      <c r="U175" s="38" t="s">
        <v>1550</v>
      </c>
      <c r="V175" s="55">
        <v>42376.0</v>
      </c>
      <c r="W175" s="38" t="s">
        <v>2716</v>
      </c>
      <c r="X175" s="49" t="str">
        <f>HYPERLINK("http://ecoaffect.org/2016/01/07/sustainability-on-ice-how-the-nhl-is-addressing-climate-concerns/","http://ecoaffect.org/2016/01/07/sustainability-on-ice-how-the-nhl-is-addressing-climate-concerns/")</f>
        <v>http://ecoaffect.org/2016/01/07/sustainability-on-ice-how-the-nhl-is-addressing-climate-concerns/</v>
      </c>
      <c r="Y175" s="38"/>
      <c r="Z175" s="38"/>
      <c r="AA175" s="38"/>
      <c r="AB175" s="38"/>
      <c r="AC175" s="38"/>
      <c r="AD175" s="38"/>
      <c r="AE175" s="38"/>
      <c r="AF175" s="38"/>
      <c r="AG175" s="28"/>
      <c r="AH175" s="28"/>
      <c r="AI175" s="28"/>
      <c r="AJ175" s="28"/>
      <c r="AK175" s="28"/>
      <c r="AL175" s="28" t="s">
        <v>428</v>
      </c>
      <c r="AM175" s="28" t="s">
        <v>2721</v>
      </c>
      <c r="AN175" s="54">
        <v>42655.0</v>
      </c>
      <c r="AO175" s="54"/>
      <c r="AP175" s="28"/>
      <c r="AQ175" s="28"/>
      <c r="AR175" s="28"/>
      <c r="AS175" s="28"/>
      <c r="AT175" s="28"/>
      <c r="AU175" s="28"/>
      <c r="AV175" s="28"/>
      <c r="AW175" s="28"/>
      <c r="AX175" s="28"/>
      <c r="AY175" s="28" t="s">
        <v>428</v>
      </c>
      <c r="AZ175" s="28" t="s">
        <v>1680</v>
      </c>
      <c r="BA175" s="28"/>
      <c r="BB175" s="28"/>
      <c r="BC175" s="28"/>
      <c r="BD175" s="28"/>
      <c r="BE175" s="28"/>
      <c r="BF175" s="28"/>
      <c r="BG175" s="28"/>
      <c r="BH175" s="28"/>
      <c r="BI175" s="28"/>
      <c r="BJ175" s="28"/>
      <c r="BK175" s="28"/>
      <c r="BL175" s="28"/>
      <c r="BM175" s="28"/>
      <c r="BN175" s="28"/>
      <c r="BO175" s="28"/>
    </row>
    <row r="176" ht="25.5" customHeight="1">
      <c r="A176" s="28">
        <v>10388.0</v>
      </c>
      <c r="B176" s="37" t="b">
        <v>1</v>
      </c>
      <c r="C176" s="38" t="s">
        <v>238</v>
      </c>
      <c r="D176" s="38">
        <v>81.0</v>
      </c>
      <c r="E176" s="13" t="b">
        <v>0</v>
      </c>
      <c r="F176" s="13" t="b">
        <v>1</v>
      </c>
      <c r="G176" s="38" t="s">
        <v>224</v>
      </c>
      <c r="H176" s="38"/>
      <c r="I176" s="38" t="s">
        <v>2726</v>
      </c>
      <c r="J176" s="38" t="s">
        <v>2727</v>
      </c>
      <c r="K176" s="38"/>
      <c r="L176" s="38"/>
      <c r="M176" s="38" t="s">
        <v>35</v>
      </c>
      <c r="N176" s="38">
        <v>2000.0</v>
      </c>
      <c r="O176" s="38" t="s">
        <v>578</v>
      </c>
      <c r="P176" s="40"/>
      <c r="Q176" s="38" t="s">
        <v>289</v>
      </c>
      <c r="R176" s="38">
        <v>40.0</v>
      </c>
      <c r="S176" s="61" t="s">
        <v>2729</v>
      </c>
      <c r="T176" s="38" t="s">
        <v>2132</v>
      </c>
      <c r="U176" s="38" t="s">
        <v>1550</v>
      </c>
      <c r="V176" s="55">
        <v>42523.0</v>
      </c>
      <c r="W176" s="38" t="s">
        <v>2730</v>
      </c>
      <c r="X176" s="49" t="str">
        <f>HYPERLINK("http://ecoaffect.org/2016/06/02/personally-speaking-why-effective-climate-messaging-starts-with-people/","http://ecoaffect.org/2016/06/02/personally-speaking-why-effective-climate-messaging-starts-with-people/")</f>
        <v>http://ecoaffect.org/2016/06/02/personally-speaking-why-effective-climate-messaging-starts-with-people/</v>
      </c>
      <c r="Y176" s="38"/>
      <c r="Z176" s="38"/>
      <c r="AA176" s="38"/>
      <c r="AB176" s="38"/>
      <c r="AC176" s="38"/>
      <c r="AD176" s="38"/>
      <c r="AE176" s="38"/>
      <c r="AF176" s="38"/>
      <c r="AG176" s="28"/>
      <c r="AH176" s="28"/>
      <c r="AI176" s="28"/>
      <c r="AJ176" s="28"/>
      <c r="AK176" s="28"/>
      <c r="AL176" s="28" t="s">
        <v>769</v>
      </c>
      <c r="AM176" s="28" t="s">
        <v>2733</v>
      </c>
      <c r="AN176" s="54">
        <v>42671.0</v>
      </c>
      <c r="AO176" s="54"/>
      <c r="AP176" s="28"/>
      <c r="AQ176" s="28"/>
      <c r="AR176" s="28"/>
      <c r="AS176" s="28"/>
      <c r="AT176" s="28"/>
      <c r="AU176" s="28"/>
      <c r="AV176" s="28"/>
      <c r="AW176" s="28"/>
      <c r="AX176" s="28"/>
      <c r="AY176" s="28" t="s">
        <v>428</v>
      </c>
      <c r="AZ176" s="28" t="s">
        <v>731</v>
      </c>
      <c r="BA176" s="28"/>
      <c r="BB176" s="28"/>
      <c r="BC176" s="28"/>
      <c r="BD176" s="28"/>
      <c r="BE176" s="28"/>
      <c r="BF176" s="28"/>
      <c r="BG176" s="28"/>
      <c r="BH176" s="28"/>
      <c r="BI176" s="28"/>
      <c r="BJ176" s="28"/>
      <c r="BK176" s="28"/>
      <c r="BL176" s="28"/>
      <c r="BM176" s="28"/>
      <c r="BN176" s="28"/>
      <c r="BO176" s="28"/>
    </row>
    <row r="177" ht="25.5" customHeight="1">
      <c r="A177" s="28">
        <v>10398.0</v>
      </c>
      <c r="B177" s="37" t="b">
        <v>1</v>
      </c>
      <c r="C177" s="38" t="s">
        <v>238</v>
      </c>
      <c r="D177" s="38">
        <v>81.0</v>
      </c>
      <c r="E177" s="13" t="b">
        <v>0</v>
      </c>
      <c r="F177" s="13" t="b">
        <v>1</v>
      </c>
      <c r="G177" s="38" t="s">
        <v>224</v>
      </c>
      <c r="H177" s="38"/>
      <c r="I177" s="38" t="s">
        <v>387</v>
      </c>
      <c r="J177" s="38">
        <v>8.0</v>
      </c>
      <c r="K177" s="38"/>
      <c r="L177" s="38"/>
      <c r="M177" s="38" t="s">
        <v>35</v>
      </c>
      <c r="N177" s="38">
        <v>2000.0</v>
      </c>
      <c r="O177" s="38" t="s">
        <v>644</v>
      </c>
      <c r="P177" s="40"/>
      <c r="Q177" s="38" t="s">
        <v>111</v>
      </c>
      <c r="R177" s="38">
        <v>41.0</v>
      </c>
      <c r="S177" s="38" t="s">
        <v>2737</v>
      </c>
      <c r="T177" s="38" t="s">
        <v>1548</v>
      </c>
      <c r="U177" s="38" t="s">
        <v>1550</v>
      </c>
      <c r="V177" s="55">
        <v>42202.0</v>
      </c>
      <c r="W177" s="38" t="s">
        <v>2739</v>
      </c>
      <c r="X177" s="49" t="str">
        <f>HYPERLINK("http://ecoaffect.org/2015/07/17/3-ways-to-improve-your-climate-conversations/","http://ecoaffect.org/2015/07/17/3-ways-to-improve-your-climate-conversations/")</f>
        <v>http://ecoaffect.org/2015/07/17/3-ways-to-improve-your-climate-conversations/</v>
      </c>
      <c r="Y177" s="38"/>
      <c r="Z177" s="38"/>
      <c r="AA177" s="38"/>
      <c r="AB177" s="38"/>
      <c r="AC177" s="38"/>
      <c r="AD177" s="38"/>
      <c r="AE177" s="38"/>
      <c r="AF177" s="38"/>
      <c r="AG177" s="28"/>
      <c r="AH177" s="28" t="s">
        <v>462</v>
      </c>
      <c r="AI177" s="28" t="s">
        <v>462</v>
      </c>
      <c r="AJ177" s="28"/>
      <c r="AK177" s="28" t="s">
        <v>1836</v>
      </c>
      <c r="AL177" s="28" t="s">
        <v>600</v>
      </c>
      <c r="AM177" s="28"/>
      <c r="AN177" s="54"/>
      <c r="AO177" s="54"/>
      <c r="AP177" s="66"/>
      <c r="AQ177" s="28"/>
      <c r="AR177" s="28"/>
      <c r="AS177" s="54"/>
      <c r="AT177" s="28" t="s">
        <v>1088</v>
      </c>
      <c r="AU177" s="28"/>
      <c r="AV177" s="28"/>
      <c r="AW177" s="28"/>
      <c r="AX177" s="28"/>
      <c r="AY177" s="28"/>
      <c r="AZ177" s="28"/>
      <c r="BA177" s="28"/>
      <c r="BB177" s="28"/>
      <c r="BC177" s="28"/>
      <c r="BD177" s="28"/>
      <c r="BE177" s="28"/>
      <c r="BF177" s="28"/>
      <c r="BG177" s="28"/>
      <c r="BH177" s="28"/>
      <c r="BI177" s="28"/>
      <c r="BJ177" s="28"/>
      <c r="BK177" s="28"/>
      <c r="BL177" s="28"/>
      <c r="BM177" s="28"/>
      <c r="BN177" s="28"/>
      <c r="BO177" s="28"/>
    </row>
    <row r="178" ht="25.5" customHeight="1">
      <c r="A178" s="28">
        <v>10399.0</v>
      </c>
      <c r="B178" s="37" t="b">
        <v>1</v>
      </c>
      <c r="C178" s="38" t="s">
        <v>238</v>
      </c>
      <c r="D178" s="38">
        <v>81.0</v>
      </c>
      <c r="E178" s="13" t="b">
        <v>0</v>
      </c>
      <c r="F178" s="13" t="b">
        <v>1</v>
      </c>
      <c r="G178" s="38" t="s">
        <v>224</v>
      </c>
      <c r="H178" s="38"/>
      <c r="I178" s="38" t="s">
        <v>387</v>
      </c>
      <c r="J178" s="38">
        <v>8.0</v>
      </c>
      <c r="K178" s="38"/>
      <c r="L178" s="38"/>
      <c r="M178" s="38" t="s">
        <v>35</v>
      </c>
      <c r="N178" s="38">
        <v>2000.0</v>
      </c>
      <c r="O178" s="38" t="s">
        <v>644</v>
      </c>
      <c r="P178" s="40"/>
      <c r="Q178" s="38" t="s">
        <v>111</v>
      </c>
      <c r="R178" s="38">
        <v>41.0</v>
      </c>
      <c r="S178" s="61" t="s">
        <v>2748</v>
      </c>
      <c r="T178" s="38" t="s">
        <v>1548</v>
      </c>
      <c r="U178" s="38" t="s">
        <v>1550</v>
      </c>
      <c r="V178" s="55">
        <v>42314.0</v>
      </c>
      <c r="W178" s="38" t="s">
        <v>2749</v>
      </c>
      <c r="X178" s="49" t="str">
        <f>HYPERLINK("http://ecoaffect.org/2015/11/06/9-best-practices-for-engaging-the-public-on-climate-related-flood-risks/","http://ecoaffect.org/2015/11/06/9-best-practices-for-engaging-the-public-on-climate-related-flood-risks/")</f>
        <v>http://ecoaffect.org/2015/11/06/9-best-practices-for-engaging-the-public-on-climate-related-flood-risks/</v>
      </c>
      <c r="Y178" s="38"/>
      <c r="Z178" s="38"/>
      <c r="AA178" s="38"/>
      <c r="AB178" s="38"/>
      <c r="AC178" s="38"/>
      <c r="AD178" s="38"/>
      <c r="AE178" s="38"/>
      <c r="AF178" s="38"/>
      <c r="AG178" s="28"/>
      <c r="AH178" s="28"/>
      <c r="AI178" s="28"/>
      <c r="AJ178" s="28"/>
      <c r="AK178" s="28"/>
      <c r="AL178" s="28" t="s">
        <v>769</v>
      </c>
      <c r="AM178" s="28" t="s">
        <v>2751</v>
      </c>
      <c r="AN178" s="28"/>
      <c r="AO178" s="28"/>
      <c r="AP178" s="28"/>
      <c r="AQ178" s="28"/>
      <c r="AR178" s="28"/>
      <c r="AS178" s="28"/>
      <c r="AT178" s="28"/>
      <c r="AU178" s="28"/>
      <c r="AV178" s="28"/>
      <c r="AW178" s="28"/>
      <c r="AX178" s="28"/>
      <c r="AY178" s="28" t="s">
        <v>428</v>
      </c>
      <c r="AZ178" s="28"/>
      <c r="BA178" s="28"/>
      <c r="BB178" s="28"/>
      <c r="BC178" s="28"/>
      <c r="BD178" s="28"/>
      <c r="BE178" s="28"/>
      <c r="BF178" s="28"/>
      <c r="BG178" s="28"/>
      <c r="BH178" s="28"/>
      <c r="BI178" s="28"/>
      <c r="BJ178" s="28"/>
      <c r="BK178" s="28"/>
      <c r="BL178" s="28"/>
      <c r="BM178" s="28"/>
      <c r="BN178" s="28"/>
      <c r="BO178" s="28"/>
    </row>
    <row r="179" ht="25.5" customHeight="1">
      <c r="A179" s="28">
        <v>10401.0</v>
      </c>
      <c r="B179" s="37" t="b">
        <v>1</v>
      </c>
      <c r="C179" s="38" t="s">
        <v>238</v>
      </c>
      <c r="D179" s="38">
        <v>81.0</v>
      </c>
      <c r="E179" s="13" t="b">
        <v>0</v>
      </c>
      <c r="F179" s="13" t="b">
        <v>1</v>
      </c>
      <c r="G179" s="38" t="s">
        <v>224</v>
      </c>
      <c r="H179" s="38"/>
      <c r="I179" s="38" t="s">
        <v>387</v>
      </c>
      <c r="J179" s="38">
        <v>8.0</v>
      </c>
      <c r="K179" s="38"/>
      <c r="L179" s="38"/>
      <c r="M179" s="38" t="s">
        <v>35</v>
      </c>
      <c r="N179" s="38">
        <v>2000.0</v>
      </c>
      <c r="O179" s="38" t="s">
        <v>644</v>
      </c>
      <c r="P179" s="40"/>
      <c r="Q179" s="38" t="s">
        <v>289</v>
      </c>
      <c r="R179" s="38">
        <v>40.0</v>
      </c>
      <c r="S179" s="61" t="s">
        <v>2752</v>
      </c>
      <c r="T179" s="38" t="s">
        <v>2132</v>
      </c>
      <c r="U179" s="38" t="s">
        <v>1550</v>
      </c>
      <c r="V179" s="55">
        <v>42464.0</v>
      </c>
      <c r="W179" s="38" t="s">
        <v>2755</v>
      </c>
      <c r="X179" s="49" t="str">
        <f>HYPERLINK("http://ecoaffect.org/2016/04/04/climate-messaging-lessons-from-the-marriage-equality-movement/","http://ecoaffect.org/2016/04/04/climate-messaging-lessons-from-the-marriage-equality-movement/")</f>
        <v>http://ecoaffect.org/2016/04/04/climate-messaging-lessons-from-the-marriage-equality-movement/</v>
      </c>
      <c r="Y179" s="38"/>
      <c r="Z179" s="38"/>
      <c r="AA179" s="38"/>
      <c r="AB179" s="38"/>
      <c r="AC179" s="38"/>
      <c r="AD179" s="38"/>
      <c r="AE179" s="38"/>
      <c r="AF179" s="38"/>
      <c r="AG179" s="28"/>
      <c r="AH179" s="28"/>
      <c r="AI179" s="28"/>
      <c r="AJ179" s="28"/>
      <c r="AK179" s="28"/>
      <c r="AL179" s="28" t="s">
        <v>769</v>
      </c>
      <c r="AM179" s="28" t="s">
        <v>2758</v>
      </c>
      <c r="AN179" s="54">
        <v>42670.0</v>
      </c>
      <c r="AO179" s="54"/>
      <c r="AP179" s="28"/>
      <c r="AQ179" s="28"/>
      <c r="AR179" s="28"/>
      <c r="AS179" s="28"/>
      <c r="AT179" s="28"/>
      <c r="AU179" s="28"/>
      <c r="AV179" s="28"/>
      <c r="AW179" s="28"/>
      <c r="AX179" s="28"/>
      <c r="AY179" s="28" t="s">
        <v>428</v>
      </c>
      <c r="AZ179" s="28"/>
      <c r="BA179" s="28"/>
      <c r="BB179" s="28"/>
      <c r="BC179" s="28"/>
      <c r="BD179" s="28"/>
      <c r="BE179" s="28"/>
      <c r="BF179" s="28"/>
      <c r="BG179" s="28"/>
      <c r="BH179" s="28"/>
      <c r="BI179" s="28"/>
      <c r="BJ179" s="28"/>
      <c r="BK179" s="28"/>
      <c r="BL179" s="28"/>
      <c r="BM179" s="28"/>
      <c r="BN179" s="28"/>
      <c r="BO179" s="28"/>
    </row>
    <row r="180" ht="25.5" customHeight="1">
      <c r="A180" s="28">
        <v>10411.0</v>
      </c>
      <c r="B180" s="37" t="b">
        <v>1</v>
      </c>
      <c r="C180" s="38" t="s">
        <v>238</v>
      </c>
      <c r="D180" s="38">
        <v>81.0</v>
      </c>
      <c r="E180" s="13" t="b">
        <v>0</v>
      </c>
      <c r="F180" s="13" t="b">
        <v>1</v>
      </c>
      <c r="G180" s="38" t="s">
        <v>224</v>
      </c>
      <c r="H180" s="38"/>
      <c r="I180" s="38" t="s">
        <v>387</v>
      </c>
      <c r="J180" s="38">
        <v>8.0</v>
      </c>
      <c r="K180" s="38"/>
      <c r="L180" s="38"/>
      <c r="M180" s="38" t="s">
        <v>35</v>
      </c>
      <c r="N180" s="38">
        <v>2000.0</v>
      </c>
      <c r="O180" s="38" t="s">
        <v>578</v>
      </c>
      <c r="P180" s="40"/>
      <c r="Q180" s="38" t="s">
        <v>324</v>
      </c>
      <c r="R180" s="38" t="s">
        <v>325</v>
      </c>
      <c r="S180" s="61" t="s">
        <v>2760</v>
      </c>
      <c r="T180" s="38" t="s">
        <v>2761</v>
      </c>
      <c r="U180" s="38" t="s">
        <v>1550</v>
      </c>
      <c r="V180" s="55">
        <v>42349.0</v>
      </c>
      <c r="W180" s="38" t="s">
        <v>2762</v>
      </c>
      <c r="X180" s="49" t="str">
        <f>HYPERLINK("http://ecoaffect.org/2015/12/11/13612/","http://ecoaffect.org/2015/12/11/13612/")</f>
        <v>http://ecoaffect.org/2015/12/11/13612/</v>
      </c>
      <c r="Y180" s="38"/>
      <c r="Z180" s="38"/>
      <c r="AA180" s="38"/>
      <c r="AB180" s="38"/>
      <c r="AC180" s="38"/>
      <c r="AD180" s="38"/>
      <c r="AE180" s="38"/>
      <c r="AF180" s="38"/>
      <c r="AG180" s="28"/>
      <c r="AH180" s="28"/>
      <c r="AI180" s="28"/>
      <c r="AJ180" s="28"/>
      <c r="AK180" s="28"/>
      <c r="AL180" s="28" t="s">
        <v>769</v>
      </c>
      <c r="AM180" s="28" t="s">
        <v>2769</v>
      </c>
      <c r="AN180" s="54">
        <v>42696.0</v>
      </c>
      <c r="AO180" s="54"/>
      <c r="AP180" s="28"/>
      <c r="AQ180" s="28"/>
      <c r="AR180" s="28"/>
      <c r="AS180" s="28"/>
      <c r="AT180" s="28"/>
      <c r="AU180" s="28"/>
      <c r="AV180" s="28"/>
      <c r="AW180" s="28"/>
      <c r="AX180" s="28"/>
      <c r="AY180" s="28" t="s">
        <v>428</v>
      </c>
      <c r="AZ180" s="28"/>
      <c r="BA180" s="28"/>
      <c r="BB180" s="28"/>
      <c r="BC180" s="28"/>
      <c r="BD180" s="28"/>
      <c r="BE180" s="28"/>
      <c r="BF180" s="28"/>
      <c r="BG180" s="28"/>
      <c r="BH180" s="28"/>
      <c r="BI180" s="28"/>
      <c r="BJ180" s="28"/>
      <c r="BK180" s="28"/>
      <c r="BL180" s="28"/>
      <c r="BM180" s="28"/>
      <c r="BN180" s="28"/>
      <c r="BO180" s="28"/>
    </row>
    <row r="181" ht="25.5" customHeight="1">
      <c r="A181" s="28">
        <v>10412.0</v>
      </c>
      <c r="B181" s="37" t="b">
        <v>1</v>
      </c>
      <c r="C181" s="38" t="s">
        <v>238</v>
      </c>
      <c r="D181" s="38">
        <v>81.0</v>
      </c>
      <c r="E181" s="13" t="b">
        <v>0</v>
      </c>
      <c r="F181" s="13" t="b">
        <v>1</v>
      </c>
      <c r="G181" s="38" t="s">
        <v>224</v>
      </c>
      <c r="H181" s="38"/>
      <c r="I181" s="38" t="s">
        <v>387</v>
      </c>
      <c r="J181" s="38">
        <v>8.0</v>
      </c>
      <c r="K181" s="38"/>
      <c r="L181" s="38"/>
      <c r="M181" s="38" t="s">
        <v>35</v>
      </c>
      <c r="N181" s="38">
        <v>2000.0</v>
      </c>
      <c r="O181" s="38" t="s">
        <v>644</v>
      </c>
      <c r="P181" s="40"/>
      <c r="Q181" s="38" t="s">
        <v>289</v>
      </c>
      <c r="R181" s="38">
        <v>40.0</v>
      </c>
      <c r="S181" s="61" t="s">
        <v>2770</v>
      </c>
      <c r="T181" s="38" t="s">
        <v>2771</v>
      </c>
      <c r="U181" s="38" t="s">
        <v>1550</v>
      </c>
      <c r="V181" s="55">
        <v>42356.0</v>
      </c>
      <c r="W181" s="38" t="s">
        <v>2772</v>
      </c>
      <c r="X181" s="49" t="str">
        <f>HYPERLINK("http://ecoaffect.org/2015/12/18/putting-people-first-3-ways-to-approach-climate-communications-2/","http://ecoaffect.org/2015/12/18/putting-people-first-3-ways-to-approach-climate-communications-2/")</f>
        <v>http://ecoaffect.org/2015/12/18/putting-people-first-3-ways-to-approach-climate-communications-2/</v>
      </c>
      <c r="Y181" s="38"/>
      <c r="Z181" s="38"/>
      <c r="AA181" s="38"/>
      <c r="AB181" s="38"/>
      <c r="AC181" s="38"/>
      <c r="AD181" s="38"/>
      <c r="AE181" s="38"/>
      <c r="AF181" s="38"/>
      <c r="AG181" s="28"/>
      <c r="AH181" s="28"/>
      <c r="AI181" s="28"/>
      <c r="AJ181" s="28"/>
      <c r="AK181" s="28"/>
      <c r="AL181" s="28" t="s">
        <v>769</v>
      </c>
      <c r="AM181" s="28" t="s">
        <v>2776</v>
      </c>
      <c r="AN181" s="54">
        <v>42688.0</v>
      </c>
      <c r="AO181" s="54"/>
      <c r="AP181" s="28"/>
      <c r="AQ181" s="28"/>
      <c r="AR181" s="28"/>
      <c r="AS181" s="28"/>
      <c r="AT181" s="28"/>
      <c r="AU181" s="28"/>
      <c r="AV181" s="28"/>
      <c r="AW181" s="28"/>
      <c r="AX181" s="28"/>
      <c r="AY181" s="28" t="s">
        <v>428</v>
      </c>
      <c r="AZ181" s="28"/>
      <c r="BA181" s="28"/>
      <c r="BB181" s="28"/>
      <c r="BC181" s="28"/>
      <c r="BD181" s="28"/>
      <c r="BE181" s="28"/>
      <c r="BF181" s="28"/>
      <c r="BG181" s="28"/>
      <c r="BH181" s="28"/>
      <c r="BI181" s="28"/>
      <c r="BJ181" s="28"/>
      <c r="BK181" s="28"/>
      <c r="BL181" s="28"/>
      <c r="BM181" s="28"/>
      <c r="BN181" s="28"/>
      <c r="BO181" s="28"/>
    </row>
    <row r="182" ht="25.5" customHeight="1">
      <c r="A182" s="28">
        <v>10415.0</v>
      </c>
      <c r="B182" s="37" t="b">
        <v>1</v>
      </c>
      <c r="C182" s="38" t="s">
        <v>238</v>
      </c>
      <c r="D182" s="38">
        <v>81.0</v>
      </c>
      <c r="E182" s="13" t="b">
        <v>0</v>
      </c>
      <c r="F182" s="13" t="b">
        <v>1</v>
      </c>
      <c r="G182" s="38" t="s">
        <v>224</v>
      </c>
      <c r="H182" s="38"/>
      <c r="I182" s="38" t="s">
        <v>1480</v>
      </c>
      <c r="J182" s="38">
        <v>8.0</v>
      </c>
      <c r="K182" s="38"/>
      <c r="L182" s="38"/>
      <c r="M182" s="38" t="s">
        <v>35</v>
      </c>
      <c r="N182" s="38">
        <v>2000.0</v>
      </c>
      <c r="O182" s="38" t="s">
        <v>1114</v>
      </c>
      <c r="P182" s="40"/>
      <c r="Q182" s="38" t="s">
        <v>289</v>
      </c>
      <c r="R182" s="38">
        <v>40.0</v>
      </c>
      <c r="S182" s="38" t="s">
        <v>2778</v>
      </c>
      <c r="T182" s="38" t="s">
        <v>1548</v>
      </c>
      <c r="U182" s="38" t="s">
        <v>1550</v>
      </c>
      <c r="V182" s="55">
        <v>42111.0</v>
      </c>
      <c r="W182" s="38" t="s">
        <v>2780</v>
      </c>
      <c r="X182" s="49" t="str">
        <f>HYPERLINK("http://ecoaffect.org/2015/04/17/why-do-you-care-about-climate-change-how-making-it-personal-can-drive-people-to-action/","http://ecoaffect.org/2015/04/17/why-do-you-care-about-climate-change-how-making-it-personal-can-drive-people-to-action/")</f>
        <v>http://ecoaffect.org/2015/04/17/why-do-you-care-about-climate-change-how-making-it-personal-can-drive-people-to-action/</v>
      </c>
      <c r="Y182" s="38"/>
      <c r="Z182" s="38"/>
      <c r="AA182" s="38"/>
      <c r="AB182" s="38"/>
      <c r="AC182" s="38"/>
      <c r="AD182" s="38"/>
      <c r="AE182" s="38"/>
      <c r="AF182" s="38"/>
      <c r="AG182" s="28"/>
      <c r="AH182" s="28" t="s">
        <v>462</v>
      </c>
      <c r="AI182" s="28" t="s">
        <v>462</v>
      </c>
      <c r="AJ182" s="28"/>
      <c r="AK182" s="28"/>
      <c r="AL182" s="28" t="s">
        <v>769</v>
      </c>
      <c r="AM182" s="28" t="s">
        <v>2781</v>
      </c>
      <c r="AN182" s="54">
        <v>42132.0</v>
      </c>
      <c r="AO182" s="54"/>
      <c r="AP182" s="54">
        <v>42584.0</v>
      </c>
      <c r="AQ182" s="28"/>
      <c r="AR182" s="28"/>
      <c r="AS182" s="54"/>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row>
    <row r="183" ht="25.5" customHeight="1">
      <c r="A183" s="28">
        <v>10074.0</v>
      </c>
      <c r="B183" s="37" t="b">
        <v>1</v>
      </c>
      <c r="C183" s="38" t="s">
        <v>238</v>
      </c>
      <c r="D183" s="38">
        <v>81.0</v>
      </c>
      <c r="E183" s="13" t="b">
        <v>0</v>
      </c>
      <c r="F183" s="13" t="b">
        <v>1</v>
      </c>
      <c r="G183" s="38" t="s">
        <v>224</v>
      </c>
      <c r="H183" s="38"/>
      <c r="I183" s="38" t="s">
        <v>574</v>
      </c>
      <c r="J183" s="38">
        <v>4.0</v>
      </c>
      <c r="K183" s="38"/>
      <c r="L183" s="38"/>
      <c r="M183" s="38" t="s">
        <v>1044</v>
      </c>
      <c r="N183" s="38" t="s">
        <v>1045</v>
      </c>
      <c r="O183" s="38" t="s">
        <v>2095</v>
      </c>
      <c r="P183" s="40"/>
      <c r="Q183" s="38" t="s">
        <v>289</v>
      </c>
      <c r="R183" s="38">
        <v>40.0</v>
      </c>
      <c r="S183" s="61" t="s">
        <v>2096</v>
      </c>
      <c r="T183" s="38" t="s">
        <v>1548</v>
      </c>
      <c r="U183" s="38" t="s">
        <v>1550</v>
      </c>
      <c r="V183" s="55">
        <v>42263.0</v>
      </c>
      <c r="W183" s="38" t="s">
        <v>2099</v>
      </c>
      <c r="X183" s="49" t="str">
        <f>HYPERLINK("http://ecoaffect.org/2015/09/16/3-lessons-for-communicating-the-value-of-energy-efficiency/","http://ecoaffect.org/2015/09/16/3-lessons-for-communicating-the-value-of-energy-efficiency/")</f>
        <v>http://ecoaffect.org/2015/09/16/3-lessons-for-communicating-the-value-of-energy-efficiency/</v>
      </c>
      <c r="Y183" s="38"/>
      <c r="Z183" s="38"/>
      <c r="AA183" s="38"/>
      <c r="AB183" s="38"/>
      <c r="AC183" s="38"/>
      <c r="AD183" s="38"/>
      <c r="AE183" s="38"/>
      <c r="AF183" s="38"/>
      <c r="AG183" s="28"/>
      <c r="AH183" s="28"/>
      <c r="AI183" s="28"/>
      <c r="AJ183" s="28"/>
      <c r="AK183" s="28"/>
      <c r="AL183" s="28" t="s">
        <v>769</v>
      </c>
      <c r="AM183" s="28" t="s">
        <v>2102</v>
      </c>
      <c r="AN183" s="54">
        <v>42713.0</v>
      </c>
      <c r="AO183" s="54"/>
      <c r="AP183" s="28"/>
      <c r="AQ183" s="28"/>
      <c r="AR183" s="28"/>
      <c r="AS183" s="28"/>
      <c r="AT183" s="28"/>
      <c r="AU183" s="28"/>
      <c r="AV183" s="28"/>
      <c r="AW183" s="28"/>
      <c r="AX183" s="28"/>
      <c r="AY183" s="28" t="s">
        <v>428</v>
      </c>
      <c r="AZ183" s="28"/>
      <c r="BA183" s="28"/>
      <c r="BB183" s="28"/>
      <c r="BC183" s="28"/>
      <c r="BD183" s="28"/>
      <c r="BE183" s="28"/>
      <c r="BF183" s="28"/>
      <c r="BG183" s="28"/>
      <c r="BH183" s="28"/>
      <c r="BI183" s="28"/>
      <c r="BJ183" s="28"/>
      <c r="BK183" s="28"/>
      <c r="BL183" s="28"/>
      <c r="BM183" s="28"/>
      <c r="BN183" s="28"/>
      <c r="BO183" s="28"/>
    </row>
    <row r="184" ht="25.5" customHeight="1">
      <c r="A184" s="28">
        <v>10147.0</v>
      </c>
      <c r="B184" s="37" t="b">
        <v>1</v>
      </c>
      <c r="C184" s="38" t="s">
        <v>238</v>
      </c>
      <c r="D184" s="38">
        <v>81.0</v>
      </c>
      <c r="E184" s="13" t="b">
        <v>0</v>
      </c>
      <c r="F184" s="13" t="b">
        <v>1</v>
      </c>
      <c r="G184" s="38" t="s">
        <v>224</v>
      </c>
      <c r="H184" s="38"/>
      <c r="I184" s="38" t="s">
        <v>1331</v>
      </c>
      <c r="J184" s="38" t="s">
        <v>1371</v>
      </c>
      <c r="K184" s="38"/>
      <c r="L184" s="38"/>
      <c r="M184" s="38" t="s">
        <v>2789</v>
      </c>
      <c r="N184" s="38" t="s">
        <v>2790</v>
      </c>
      <c r="O184" s="38" t="s">
        <v>2791</v>
      </c>
      <c r="P184" s="40"/>
      <c r="Q184" s="38" t="s">
        <v>289</v>
      </c>
      <c r="R184" s="38">
        <v>40.0</v>
      </c>
      <c r="S184" s="61" t="s">
        <v>2794</v>
      </c>
      <c r="T184" s="38" t="s">
        <v>2132</v>
      </c>
      <c r="U184" s="38" t="s">
        <v>1550</v>
      </c>
      <c r="V184" s="55">
        <v>42515.0</v>
      </c>
      <c r="W184" s="38" t="s">
        <v>2796</v>
      </c>
      <c r="X184" s="49" t="str">
        <f>HYPERLINK("http://ecoaffect.org/2016/05/25/want-to-make-climate-impacts-more-relatable-start-with-water/","http://ecoaffect.org/2016/05/25/want-to-make-climate-impacts-more-relatable-start-with-water/")</f>
        <v>http://ecoaffect.org/2016/05/25/want-to-make-climate-impacts-more-relatable-start-with-water/</v>
      </c>
      <c r="Y184" s="38"/>
      <c r="Z184" s="38"/>
      <c r="AA184" s="38"/>
      <c r="AB184" s="38"/>
      <c r="AC184" s="38"/>
      <c r="AD184" s="38"/>
      <c r="AE184" s="38"/>
      <c r="AF184" s="38"/>
      <c r="AG184" s="28"/>
      <c r="AH184" s="28"/>
      <c r="AI184" s="28"/>
      <c r="AJ184" s="28"/>
      <c r="AK184" s="28"/>
      <c r="AL184" s="28" t="s">
        <v>769</v>
      </c>
      <c r="AM184" s="28" t="s">
        <v>2799</v>
      </c>
      <c r="AN184" s="54">
        <v>42674.0</v>
      </c>
      <c r="AO184" s="54"/>
      <c r="AP184" s="28"/>
      <c r="AQ184" s="28"/>
      <c r="AR184" s="28"/>
      <c r="AS184" s="28"/>
      <c r="AT184" s="28"/>
      <c r="AU184" s="28"/>
      <c r="AV184" s="28"/>
      <c r="AW184" s="28"/>
      <c r="AX184" s="28"/>
      <c r="AY184" s="28" t="s">
        <v>428</v>
      </c>
      <c r="AZ184" s="28"/>
      <c r="BA184" s="28"/>
      <c r="BB184" s="28"/>
      <c r="BC184" s="28"/>
      <c r="BD184" s="28"/>
      <c r="BE184" s="28"/>
      <c r="BF184" s="28"/>
      <c r="BG184" s="28"/>
      <c r="BH184" s="28"/>
      <c r="BI184" s="28"/>
      <c r="BJ184" s="28"/>
      <c r="BK184" s="28"/>
      <c r="BL184" s="28"/>
      <c r="BM184" s="28"/>
      <c r="BN184" s="28"/>
      <c r="BO184" s="28"/>
    </row>
    <row r="185" ht="25.5" customHeight="1">
      <c r="A185" s="28">
        <v>1.0</v>
      </c>
      <c r="B185" s="37" t="b">
        <v>1</v>
      </c>
      <c r="C185" s="38" t="s">
        <v>106</v>
      </c>
      <c r="D185" s="38">
        <v>80.0</v>
      </c>
      <c r="E185" s="13" t="b">
        <v>0</v>
      </c>
      <c r="F185" s="13" t="b">
        <v>1</v>
      </c>
      <c r="G185" s="38" t="s">
        <v>224</v>
      </c>
      <c r="H185" s="38"/>
      <c r="I185" s="38" t="s">
        <v>2805</v>
      </c>
      <c r="J185" s="38" t="s">
        <v>2806</v>
      </c>
      <c r="K185" s="65" t="s">
        <v>2807</v>
      </c>
      <c r="L185" s="38" t="s">
        <v>2808</v>
      </c>
      <c r="M185" s="38" t="s">
        <v>35</v>
      </c>
      <c r="N185" s="38">
        <v>2000.0</v>
      </c>
      <c r="O185" s="38" t="s">
        <v>644</v>
      </c>
      <c r="P185" s="40"/>
      <c r="Q185" s="38" t="s">
        <v>289</v>
      </c>
      <c r="R185" s="38">
        <v>40.0</v>
      </c>
      <c r="S185" s="38" t="s">
        <v>2809</v>
      </c>
      <c r="T185" s="38" t="s">
        <v>2810</v>
      </c>
      <c r="U185" s="38" t="s">
        <v>2811</v>
      </c>
      <c r="V185" s="61">
        <v>2014.0</v>
      </c>
      <c r="W185" s="38" t="s">
        <v>2813</v>
      </c>
      <c r="X185" s="49" t="str">
        <f>HYPERLINK("http://ecoamerica.org/wp-content/uploads/2014/03/eA_2012_CampaignsII_Report.pdf","http://ecoamerica.org/wp-content/uploads/2014/03/eA_2012_CampaignsII_Report.pdf")</f>
        <v>http://ecoamerica.org/wp-content/uploads/2014/03/eA_2012_CampaignsII_Report.pdf</v>
      </c>
      <c r="Y185" s="38"/>
      <c r="Z185" s="38"/>
      <c r="AA185" s="38"/>
      <c r="AB185" s="38"/>
      <c r="AC185" s="38"/>
      <c r="AD185" s="38"/>
      <c r="AE185" s="38"/>
      <c r="AF185" s="3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row>
    <row r="186" ht="25.5" customHeight="1">
      <c r="A186" s="28">
        <v>42.0</v>
      </c>
      <c r="B186" s="37" t="b">
        <v>1</v>
      </c>
      <c r="C186" s="38" t="s">
        <v>106</v>
      </c>
      <c r="D186" s="38">
        <v>80.0</v>
      </c>
      <c r="E186" s="13" t="b">
        <v>0</v>
      </c>
      <c r="F186" s="13" t="b">
        <v>1</v>
      </c>
      <c r="G186" s="38" t="s">
        <v>224</v>
      </c>
      <c r="H186" s="38"/>
      <c r="I186" s="38" t="s">
        <v>1956</v>
      </c>
      <c r="J186" s="38" t="s">
        <v>1957</v>
      </c>
      <c r="K186" s="38" t="s">
        <v>224</v>
      </c>
      <c r="L186" s="38"/>
      <c r="M186" s="38" t="s">
        <v>35</v>
      </c>
      <c r="N186" s="38">
        <v>2000.0</v>
      </c>
      <c r="O186" s="38" t="s">
        <v>644</v>
      </c>
      <c r="P186" s="40"/>
      <c r="Q186" s="38" t="s">
        <v>289</v>
      </c>
      <c r="R186" s="38">
        <v>40.0</v>
      </c>
      <c r="S186" s="38" t="s">
        <v>2818</v>
      </c>
      <c r="T186" s="38" t="s">
        <v>188</v>
      </c>
      <c r="U186" s="38" t="s">
        <v>2811</v>
      </c>
      <c r="V186" s="61">
        <v>2016.0</v>
      </c>
      <c r="W186" s="38" t="s">
        <v>753</v>
      </c>
      <c r="X186" s="49" t="str">
        <f>HYPERLINK("http://ecoamerica.org/wp-content/uploads/2016/06/ecoAmerica-15-Steps-To-Create-Effective-Climate-Communications.pdf","http://ecoamerica.org/wp-content/uploads/2016/06/ecoAmerica-15-Steps-To-Create-Effective-Climate-Communications.pdf")</f>
        <v>http://ecoamerica.org/wp-content/uploads/2016/06/ecoAmerica-15-Steps-To-Create-Effective-Climate-Communications.pdf</v>
      </c>
      <c r="Y186" s="38"/>
      <c r="Z186" s="38"/>
      <c r="AA186" s="38"/>
      <c r="AB186" s="38"/>
      <c r="AC186" s="38"/>
      <c r="AD186" s="38"/>
      <c r="AE186" s="38"/>
      <c r="AF186" s="38"/>
      <c r="AG186" s="28"/>
      <c r="AH186" s="28"/>
      <c r="AI186" s="28"/>
      <c r="AJ186" s="28"/>
      <c r="AK186" s="28"/>
      <c r="AL186" s="28"/>
      <c r="AM186" s="28"/>
      <c r="AN186" s="54"/>
      <c r="AO186" s="28"/>
      <c r="AP186" s="54"/>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row>
    <row r="187" ht="25.5" customHeight="1">
      <c r="A187" s="28">
        <v>43.0</v>
      </c>
      <c r="B187" s="37" t="b">
        <v>1</v>
      </c>
      <c r="C187" s="38" t="s">
        <v>106</v>
      </c>
      <c r="D187" s="38">
        <v>80.0</v>
      </c>
      <c r="E187" s="13" t="b">
        <v>0</v>
      </c>
      <c r="F187" s="13" t="b">
        <v>1</v>
      </c>
      <c r="G187" s="38" t="s">
        <v>224</v>
      </c>
      <c r="H187" s="38"/>
      <c r="I187" s="38" t="s">
        <v>1956</v>
      </c>
      <c r="J187" s="38" t="s">
        <v>1957</v>
      </c>
      <c r="K187" s="38" t="s">
        <v>224</v>
      </c>
      <c r="L187" s="38"/>
      <c r="M187" s="38" t="s">
        <v>35</v>
      </c>
      <c r="N187" s="38">
        <v>2000.0</v>
      </c>
      <c r="O187" s="38" t="s">
        <v>644</v>
      </c>
      <c r="P187" s="40"/>
      <c r="Q187" s="38" t="s">
        <v>289</v>
      </c>
      <c r="R187" s="38">
        <v>40.0</v>
      </c>
      <c r="S187" s="38" t="s">
        <v>2825</v>
      </c>
      <c r="T187" s="38" t="s">
        <v>188</v>
      </c>
      <c r="U187" s="38" t="s">
        <v>2811</v>
      </c>
      <c r="V187" s="61">
        <v>2015.0</v>
      </c>
      <c r="W187" s="38" t="s">
        <v>753</v>
      </c>
      <c r="X187" s="49" t="str">
        <f>HYPERLINK("http://ecoamerica.org/wp-content/uploads/2015/11/eA-lets-talk-climate.pdf","http://ecoamerica.org/wp-content/uploads/2015/11/eA-lets-talk-climate.pdf")</f>
        <v>http://ecoamerica.org/wp-content/uploads/2015/11/eA-lets-talk-climate.pdf</v>
      </c>
      <c r="Y187" s="38"/>
      <c r="Z187" s="38"/>
      <c r="AA187" s="38"/>
      <c r="AB187" s="38"/>
      <c r="AC187" s="38"/>
      <c r="AD187" s="38"/>
      <c r="AE187" s="38"/>
      <c r="AF187" s="38"/>
      <c r="AG187" s="28"/>
      <c r="AH187" s="28"/>
      <c r="AI187" s="28"/>
      <c r="AJ187" s="28"/>
      <c r="AK187" s="28"/>
      <c r="AL187" s="28"/>
      <c r="AM187" s="28"/>
      <c r="AN187" s="54"/>
      <c r="AO187" s="28"/>
      <c r="AP187" s="54"/>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row>
    <row r="188" ht="25.5" customHeight="1">
      <c r="A188" s="28">
        <v>59.0</v>
      </c>
      <c r="B188" s="37" t="b">
        <v>1</v>
      </c>
      <c r="C188" s="38" t="s">
        <v>106</v>
      </c>
      <c r="D188" s="38">
        <v>80.0</v>
      </c>
      <c r="E188" s="13" t="b">
        <v>0</v>
      </c>
      <c r="F188" s="13" t="b">
        <v>1</v>
      </c>
      <c r="G188" s="38" t="s">
        <v>224</v>
      </c>
      <c r="H188" s="38"/>
      <c r="I188" s="38" t="s">
        <v>1331</v>
      </c>
      <c r="J188" s="38" t="s">
        <v>1371</v>
      </c>
      <c r="K188" s="47" t="s">
        <v>2832</v>
      </c>
      <c r="L188" s="38" t="s">
        <v>2833</v>
      </c>
      <c r="M188" s="38" t="s">
        <v>35</v>
      </c>
      <c r="N188" s="38">
        <v>2000.0</v>
      </c>
      <c r="O188" s="38" t="s">
        <v>644</v>
      </c>
      <c r="P188" s="40"/>
      <c r="Q188" s="38" t="s">
        <v>289</v>
      </c>
      <c r="R188" s="38">
        <v>40.0</v>
      </c>
      <c r="S188" s="38" t="s">
        <v>2834</v>
      </c>
      <c r="T188" s="38" t="s">
        <v>2835</v>
      </c>
      <c r="U188" s="38" t="s">
        <v>2811</v>
      </c>
      <c r="V188" s="61">
        <v>2015.0</v>
      </c>
      <c r="W188" s="38" t="s">
        <v>2836</v>
      </c>
      <c r="X188" s="49" t="str">
        <f>HYPERLINK("http://ecoamerica.org/wp-content/uploads/2015/05/ecoAmerica-ACV-Faith-2015.pdf","http://ecoamerica.org/wp-content/uploads/2015/05/ecoAmerica-ACV-Faith-2015.pdf")</f>
        <v>http://ecoamerica.org/wp-content/uploads/2015/05/ecoAmerica-ACV-Faith-2015.pdf</v>
      </c>
      <c r="Y188" s="38"/>
      <c r="Z188" s="38"/>
      <c r="AA188" s="38"/>
      <c r="AB188" s="38"/>
      <c r="AC188" s="38"/>
      <c r="AD188" s="38"/>
      <c r="AE188" s="38"/>
      <c r="AF188" s="38"/>
      <c r="AG188" s="28"/>
      <c r="AH188" s="28"/>
      <c r="AI188" s="28"/>
      <c r="AJ188" s="28" t="s">
        <v>2842</v>
      </c>
      <c r="AK188" s="28"/>
      <c r="AL188" s="28"/>
      <c r="AM188" s="28"/>
      <c r="AN188" s="54"/>
      <c r="AO188" s="54"/>
      <c r="AP188" s="54"/>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row>
    <row r="189" ht="25.5" customHeight="1">
      <c r="A189" s="28">
        <v>103.0</v>
      </c>
      <c r="B189" s="37" t="b">
        <v>1</v>
      </c>
      <c r="C189" s="38" t="s">
        <v>106</v>
      </c>
      <c r="D189" s="38">
        <v>80.0</v>
      </c>
      <c r="E189" s="13" t="b">
        <v>0</v>
      </c>
      <c r="F189" s="13" t="b">
        <v>1</v>
      </c>
      <c r="G189" s="38" t="s">
        <v>224</v>
      </c>
      <c r="H189" s="38"/>
      <c r="I189" s="38" t="s">
        <v>2843</v>
      </c>
      <c r="J189" s="38" t="s">
        <v>1083</v>
      </c>
      <c r="K189" s="38" t="s">
        <v>2848</v>
      </c>
      <c r="L189" s="38" t="s">
        <v>2849</v>
      </c>
      <c r="M189" s="38" t="s">
        <v>35</v>
      </c>
      <c r="N189" s="38">
        <v>2000.0</v>
      </c>
      <c r="O189" s="38" t="s">
        <v>644</v>
      </c>
      <c r="P189" s="40"/>
      <c r="Q189" s="38" t="s">
        <v>289</v>
      </c>
      <c r="R189" s="38">
        <v>40.0</v>
      </c>
      <c r="S189" s="38" t="s">
        <v>2853</v>
      </c>
      <c r="T189" s="38" t="s">
        <v>2854</v>
      </c>
      <c r="U189" s="38" t="s">
        <v>2811</v>
      </c>
      <c r="V189" s="61">
        <v>2015.0</v>
      </c>
      <c r="W189" s="38" t="s">
        <v>2855</v>
      </c>
      <c r="X189" s="49" t="str">
        <f>HYPERLINK("http://ecoamerica.org/wp-content/uploads/2015/09/ecoAmerica-ACV-supplement.pdf","http://ecoamerica.org/wp-content/uploads/2015/09/ecoAmerica-ACV-supplement.pdf")</f>
        <v>http://ecoamerica.org/wp-content/uploads/2015/09/ecoAmerica-ACV-supplement.pdf</v>
      </c>
      <c r="Y189" s="38"/>
      <c r="Z189" s="38"/>
      <c r="AA189" s="38"/>
      <c r="AB189" s="38"/>
      <c r="AC189" s="38"/>
      <c r="AD189" s="38"/>
      <c r="AE189" s="38"/>
      <c r="AF189" s="38"/>
      <c r="AG189" s="28"/>
      <c r="AH189" s="28"/>
      <c r="AI189" s="28"/>
      <c r="AJ189" s="28"/>
      <c r="AK189" s="28"/>
      <c r="AL189" s="28"/>
      <c r="AM189" s="28"/>
      <c r="AN189" s="54"/>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row>
    <row r="190" ht="25.5" customHeight="1">
      <c r="A190" s="28">
        <v>104.0</v>
      </c>
      <c r="B190" s="37" t="b">
        <v>1</v>
      </c>
      <c r="C190" s="38" t="s">
        <v>106</v>
      </c>
      <c r="D190" s="38">
        <v>80.0</v>
      </c>
      <c r="E190" s="13" t="b">
        <v>0</v>
      </c>
      <c r="F190" s="13" t="b">
        <v>1</v>
      </c>
      <c r="G190" s="38" t="s">
        <v>224</v>
      </c>
      <c r="H190" s="38"/>
      <c r="I190" s="38" t="s">
        <v>1559</v>
      </c>
      <c r="J190" s="38" t="s">
        <v>1560</v>
      </c>
      <c r="K190" s="38" t="s">
        <v>224</v>
      </c>
      <c r="L190" s="38"/>
      <c r="M190" s="38" t="s">
        <v>35</v>
      </c>
      <c r="N190" s="38">
        <v>2000.0</v>
      </c>
      <c r="O190" s="38" t="s">
        <v>644</v>
      </c>
      <c r="P190" s="40"/>
      <c r="Q190" s="38" t="s">
        <v>289</v>
      </c>
      <c r="R190" s="38">
        <v>40.0</v>
      </c>
      <c r="S190" s="38" t="s">
        <v>2865</v>
      </c>
      <c r="T190" s="38" t="s">
        <v>188</v>
      </c>
      <c r="U190" s="38" t="s">
        <v>2811</v>
      </c>
      <c r="V190" s="61">
        <v>2014.0</v>
      </c>
      <c r="W190" s="38" t="s">
        <v>2866</v>
      </c>
      <c r="X190" s="49" t="str">
        <f>HYPERLINK("http://ecoamerica.org/wp-content/uploads/2014/06/eA_Beyond_Storms_and_Droughts_Psych_Impacts_of_Climate_Change.pdf","http://ecoamerica.org/wp-content/uploads/2014/06/eA_Beyond_Storms_and_Droughts_Psych_Impacts_of_Climate_Change.pdf")</f>
        <v>http://ecoamerica.org/wp-content/uploads/2014/06/eA_Beyond_Storms_and_Droughts_Psych_Impacts_of_Climate_Change.pdf</v>
      </c>
      <c r="Y190" s="38"/>
      <c r="Z190" s="38"/>
      <c r="AA190" s="38"/>
      <c r="AB190" s="38"/>
      <c r="AC190" s="38"/>
      <c r="AD190" s="38"/>
      <c r="AE190" s="38"/>
      <c r="AF190" s="3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row>
    <row r="191" ht="25.5" customHeight="1">
      <c r="A191" s="28">
        <v>253.0</v>
      </c>
      <c r="B191" s="37" t="b">
        <v>1</v>
      </c>
      <c r="C191" s="38" t="s">
        <v>106</v>
      </c>
      <c r="D191" s="38">
        <v>80.0</v>
      </c>
      <c r="E191" s="13" t="b">
        <v>0</v>
      </c>
      <c r="F191" s="13" t="b">
        <v>1</v>
      </c>
      <c r="G191" s="38" t="s">
        <v>224</v>
      </c>
      <c r="H191" s="38"/>
      <c r="I191" s="38" t="s">
        <v>421</v>
      </c>
      <c r="J191" s="38">
        <v>11.0</v>
      </c>
      <c r="K191" s="38" t="s">
        <v>224</v>
      </c>
      <c r="L191" s="38"/>
      <c r="M191" s="38" t="s">
        <v>35</v>
      </c>
      <c r="N191" s="47">
        <v>2000.0</v>
      </c>
      <c r="O191" s="38" t="s">
        <v>644</v>
      </c>
      <c r="P191" s="40"/>
      <c r="Q191" s="38" t="s">
        <v>289</v>
      </c>
      <c r="R191" s="38">
        <v>40.0</v>
      </c>
      <c r="S191" s="38" t="s">
        <v>2876</v>
      </c>
      <c r="T191" s="38" t="s">
        <v>188</v>
      </c>
      <c r="U191" s="38" t="s">
        <v>2811</v>
      </c>
      <c r="V191" s="61">
        <v>2015.0</v>
      </c>
      <c r="W191" s="38" t="s">
        <v>2877</v>
      </c>
      <c r="X191" s="49" t="str">
        <f>HYPERLINK("http://ecoamerica.org/wp-content/uploads/2015/11/CRED_final.pdf","http://ecoamerica.org/wp-content/uploads/2015/11/CRED_final.pdf")</f>
        <v>http://ecoamerica.org/wp-content/uploads/2015/11/CRED_final.pdf</v>
      </c>
      <c r="Y191" s="38"/>
      <c r="Z191" s="38"/>
      <c r="AA191" s="38"/>
      <c r="AB191" s="38"/>
      <c r="AC191" s="38"/>
      <c r="AD191" s="38"/>
      <c r="AE191" s="38"/>
      <c r="AF191" s="3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row>
    <row r="192" ht="25.5" customHeight="1">
      <c r="A192" s="28">
        <v>310.0</v>
      </c>
      <c r="B192" s="37" t="b">
        <v>1</v>
      </c>
      <c r="C192" s="38" t="s">
        <v>106</v>
      </c>
      <c r="D192" s="38">
        <v>80.0</v>
      </c>
      <c r="E192" s="13" t="b">
        <v>0</v>
      </c>
      <c r="F192" s="13" t="b">
        <v>1</v>
      </c>
      <c r="G192" s="38" t="s">
        <v>224</v>
      </c>
      <c r="H192" s="38"/>
      <c r="I192" s="38" t="s">
        <v>2696</v>
      </c>
      <c r="J192" s="38" t="s">
        <v>2698</v>
      </c>
      <c r="K192" s="38" t="s">
        <v>224</v>
      </c>
      <c r="L192" s="38"/>
      <c r="M192" s="38" t="s">
        <v>35</v>
      </c>
      <c r="N192" s="38">
        <v>2000.0</v>
      </c>
      <c r="O192" s="38" t="s">
        <v>644</v>
      </c>
      <c r="P192" s="40"/>
      <c r="Q192" s="38" t="s">
        <v>289</v>
      </c>
      <c r="R192" s="38">
        <v>40.0</v>
      </c>
      <c r="S192" s="38" t="s">
        <v>2882</v>
      </c>
      <c r="T192" s="38" t="s">
        <v>188</v>
      </c>
      <c r="U192" s="38" t="s">
        <v>2811</v>
      </c>
      <c r="V192" s="61">
        <v>2013.0</v>
      </c>
      <c r="W192" s="38" t="s">
        <v>2883</v>
      </c>
      <c r="X192" s="49" t="str">
        <f>HYPERLINK("http://ecoamerica.org/wp-content/uploads/2013/11/Communicating-on-Climate-13-steps_ecoAmerica.pdf","http://ecoamerica.org/wp-content/uploads/2013/11/Communicating-on-Climate-13-steps_ecoAmerica.pdf")</f>
        <v>http://ecoamerica.org/wp-content/uploads/2013/11/Communicating-on-Climate-13-steps_ecoAmerica.pdf</v>
      </c>
      <c r="Y192" s="38"/>
      <c r="Z192" s="38"/>
      <c r="AA192" s="38"/>
      <c r="AB192" s="38"/>
      <c r="AC192" s="38"/>
      <c r="AD192" s="38"/>
      <c r="AE192" s="38"/>
      <c r="AF192" s="38"/>
      <c r="AG192" s="71"/>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row>
    <row r="193" ht="25.5" customHeight="1">
      <c r="A193" s="28">
        <v>419.0</v>
      </c>
      <c r="B193" s="37" t="b">
        <v>1</v>
      </c>
      <c r="C193" s="38" t="s">
        <v>106</v>
      </c>
      <c r="D193" s="38">
        <v>80.0</v>
      </c>
      <c r="E193" s="13" t="b">
        <v>0</v>
      </c>
      <c r="F193" s="13" t="b">
        <v>1</v>
      </c>
      <c r="G193" s="38" t="s">
        <v>224</v>
      </c>
      <c r="H193" s="38"/>
      <c r="I193" s="38" t="s">
        <v>387</v>
      </c>
      <c r="J193" s="38">
        <v>8.0</v>
      </c>
      <c r="K193" s="38" t="s">
        <v>224</v>
      </c>
      <c r="L193" s="38"/>
      <c r="M193" s="38" t="s">
        <v>35</v>
      </c>
      <c r="N193" s="38">
        <v>2000.0</v>
      </c>
      <c r="O193" s="38" t="s">
        <v>644</v>
      </c>
      <c r="P193" s="40"/>
      <c r="Q193" s="38" t="s">
        <v>289</v>
      </c>
      <c r="R193" s="38">
        <v>40.0</v>
      </c>
      <c r="S193" s="38" t="s">
        <v>2884</v>
      </c>
      <c r="T193" s="38" t="s">
        <v>188</v>
      </c>
      <c r="U193" s="38" t="s">
        <v>2811</v>
      </c>
      <c r="V193" s="61">
        <v>2014.0</v>
      </c>
      <c r="W193" s="38" t="s">
        <v>2888</v>
      </c>
      <c r="X193" s="49" t="str">
        <f>HYPERLINK("http://ecoamerica.org/wp-content/uploads/2014/09/ACV14-Racial-Ethnic-Report-Summary.pdf","http://ecoamerica.org/wp-content/uploads/2014/09/ACV14-Racial-Ethnic-Report-Summary.pdf")</f>
        <v>http://ecoamerica.org/wp-content/uploads/2014/09/ACV14-Racial-Ethnic-Report-Summary.pdf</v>
      </c>
      <c r="Y193" s="38"/>
      <c r="Z193" s="38"/>
      <c r="AA193" s="38"/>
      <c r="AB193" s="38"/>
      <c r="AC193" s="38"/>
      <c r="AD193" s="38"/>
      <c r="AE193" s="38"/>
      <c r="AF193" s="3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row>
    <row r="194" ht="25.5" customHeight="1">
      <c r="A194" s="28">
        <v>64.0</v>
      </c>
      <c r="B194" s="37" t="b">
        <v>1</v>
      </c>
      <c r="C194" s="38" t="s">
        <v>106</v>
      </c>
      <c r="D194" s="38">
        <v>80.0</v>
      </c>
      <c r="E194" s="13" t="b">
        <v>0</v>
      </c>
      <c r="F194" s="13" t="b">
        <v>1</v>
      </c>
      <c r="G194" s="38" t="s">
        <v>224</v>
      </c>
      <c r="H194" s="38"/>
      <c r="I194" s="38" t="s">
        <v>2893</v>
      </c>
      <c r="J194" s="38" t="s">
        <v>1371</v>
      </c>
      <c r="K194" s="38" t="s">
        <v>2894</v>
      </c>
      <c r="L194" s="38" t="s">
        <v>2895</v>
      </c>
      <c r="M194" s="38" t="s">
        <v>35</v>
      </c>
      <c r="N194" s="38">
        <v>2000.0</v>
      </c>
      <c r="O194" s="38" t="s">
        <v>1114</v>
      </c>
      <c r="P194" s="40"/>
      <c r="Q194" s="38" t="s">
        <v>289</v>
      </c>
      <c r="R194" s="38">
        <v>40.0</v>
      </c>
      <c r="S194" s="38" t="s">
        <v>2896</v>
      </c>
      <c r="T194" s="38" t="s">
        <v>188</v>
      </c>
      <c r="U194" s="38" t="s">
        <v>2897</v>
      </c>
      <c r="V194" s="61">
        <v>2012.0</v>
      </c>
      <c r="W194" s="38" t="s">
        <v>2898</v>
      </c>
      <c r="X194" s="49" t="str">
        <f>HYPERLINK("http://ecoamerica.org/wp-content/uploads/2012/12/ecoAmericaClimateImpactsReportAug2012a.pdf","http://ecoamerica.org/wp-content/uploads/2012/12/ecoAmericaClimateImpactsReportAug2012a.pdf")</f>
        <v>http://ecoamerica.org/wp-content/uploads/2012/12/ecoAmericaClimateImpactsReportAug2012a.pdf</v>
      </c>
      <c r="Y194" s="38"/>
      <c r="Z194" s="38"/>
      <c r="AA194" s="38"/>
      <c r="AB194" s="38"/>
      <c r="AC194" s="38"/>
      <c r="AD194" s="38"/>
      <c r="AE194" s="38"/>
      <c r="AF194" s="3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row>
    <row r="195" ht="25.5" customHeight="1">
      <c r="A195" s="28">
        <v>255.0</v>
      </c>
      <c r="B195" s="37" t="b">
        <v>1</v>
      </c>
      <c r="C195" s="38" t="s">
        <v>106</v>
      </c>
      <c r="D195" s="38">
        <v>80.0</v>
      </c>
      <c r="E195" s="13" t="b">
        <v>1</v>
      </c>
      <c r="F195" s="13" t="b">
        <v>0</v>
      </c>
      <c r="G195" s="38" t="s">
        <v>224</v>
      </c>
      <c r="H195" s="38"/>
      <c r="I195" s="38" t="s">
        <v>421</v>
      </c>
      <c r="J195" s="38">
        <v>11.0</v>
      </c>
      <c r="K195" s="38" t="s">
        <v>224</v>
      </c>
      <c r="L195" s="38"/>
      <c r="M195" s="38" t="s">
        <v>549</v>
      </c>
      <c r="N195" s="38">
        <v>6000.0</v>
      </c>
      <c r="O195" s="38" t="s">
        <v>552</v>
      </c>
      <c r="P195" s="40"/>
      <c r="Q195" s="38" t="s">
        <v>289</v>
      </c>
      <c r="R195" s="38">
        <v>40.0</v>
      </c>
      <c r="S195" s="38" t="s">
        <v>2899</v>
      </c>
      <c r="T195" s="38" t="s">
        <v>2900</v>
      </c>
      <c r="U195" s="38" t="s">
        <v>2901</v>
      </c>
      <c r="V195" s="38">
        <v>2008.0</v>
      </c>
      <c r="W195" s="38" t="s">
        <v>2902</v>
      </c>
      <c r="X195" s="38"/>
      <c r="Y195" s="38"/>
      <c r="Z195" s="38"/>
      <c r="AA195" s="38"/>
      <c r="AB195" s="38"/>
      <c r="AC195" s="38"/>
      <c r="AD195" s="38"/>
      <c r="AE195" s="38"/>
      <c r="AF195" s="38"/>
      <c r="AG195" s="28"/>
      <c r="AH195" s="28"/>
      <c r="AI195" s="28"/>
      <c r="AJ195" s="28"/>
      <c r="AK195" s="28"/>
      <c r="AL195" s="28"/>
      <c r="AM195" s="28"/>
      <c r="AN195" s="28"/>
      <c r="AO195" s="28"/>
      <c r="AP195" s="54"/>
      <c r="AQ195" s="28"/>
      <c r="AR195" s="28"/>
      <c r="AS195" s="28"/>
      <c r="AT195" s="28"/>
      <c r="AU195" s="54"/>
      <c r="AV195" s="28"/>
      <c r="AW195" s="28"/>
      <c r="AX195" s="28"/>
      <c r="AY195" s="28"/>
      <c r="AZ195" s="28"/>
      <c r="BA195" s="28"/>
      <c r="BB195" s="28"/>
      <c r="BC195" s="28"/>
      <c r="BD195" s="28"/>
      <c r="BE195" s="28"/>
      <c r="BF195" s="28"/>
      <c r="BG195" s="28"/>
      <c r="BH195" s="28"/>
      <c r="BI195" s="28"/>
      <c r="BJ195" s="28"/>
      <c r="BK195" s="28"/>
      <c r="BL195" s="28"/>
      <c r="BM195" s="28"/>
      <c r="BN195" s="28"/>
      <c r="BO195" s="28"/>
    </row>
    <row r="196" ht="25.5" customHeight="1">
      <c r="A196" s="28">
        <v>371.0</v>
      </c>
      <c r="B196" s="37" t="b">
        <v>1</v>
      </c>
      <c r="C196" s="38" t="s">
        <v>106</v>
      </c>
      <c r="D196" s="38">
        <v>80.0</v>
      </c>
      <c r="E196" s="13" t="b">
        <v>0</v>
      </c>
      <c r="F196" s="13" t="b">
        <v>1</v>
      </c>
      <c r="G196" s="38" t="s">
        <v>224</v>
      </c>
      <c r="H196" s="38"/>
      <c r="I196" s="38" t="s">
        <v>280</v>
      </c>
      <c r="J196" s="38">
        <v>10.0</v>
      </c>
      <c r="K196" s="38" t="s">
        <v>2903</v>
      </c>
      <c r="L196" s="38">
        <v>1002.0</v>
      </c>
      <c r="M196" s="38" t="s">
        <v>2904</v>
      </c>
      <c r="N196" s="38" t="s">
        <v>2905</v>
      </c>
      <c r="O196" s="38" t="s">
        <v>2906</v>
      </c>
      <c r="P196" s="40"/>
      <c r="Q196" s="38" t="s">
        <v>111</v>
      </c>
      <c r="R196" s="38">
        <v>41.0</v>
      </c>
      <c r="S196" s="38" t="s">
        <v>2907</v>
      </c>
      <c r="T196" s="38" t="s">
        <v>2908</v>
      </c>
      <c r="U196" s="38" t="s">
        <v>2901</v>
      </c>
      <c r="V196" s="61">
        <v>2005.0</v>
      </c>
      <c r="W196" s="38" t="s">
        <v>2909</v>
      </c>
      <c r="X196" s="49" t="str">
        <f>HYPERLINK("https://www.researchgate.net/profile/Andrew_Gilg/publication/222001460_Behavioural_attitudes_towards_water_saving_Evidence_from_a_study_of_environmental_actions/links/0c96052a0485e8d938000000.pdf","https://www.researchgate.net/profile/Andrew_Gilg/publication/222001460_Behavioural_attitudes_towards_water_saving_Evidence_from_a_study_of_environmental_actions/links/0c96052a0485e8d938000000.pdf")</f>
        <v>https://www.researchgate.net/profile/Andrew_Gilg/publication/222001460_Behavioural_attitudes_towards_water_saving_Evidence_from_a_study_of_environmental_actions/links/0c96052a0485e8d938000000.pdf</v>
      </c>
      <c r="Y196" s="38"/>
      <c r="Z196" s="38"/>
      <c r="AA196" s="38"/>
      <c r="AB196" s="38"/>
      <c r="AC196" s="38"/>
      <c r="AD196" s="38"/>
      <c r="AE196" s="38"/>
      <c r="AF196" s="38"/>
      <c r="AG196" s="28" t="s">
        <v>2914</v>
      </c>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row>
    <row r="197" ht="25.5" customHeight="1">
      <c r="A197" s="28">
        <v>442.0</v>
      </c>
      <c r="B197" s="37" t="b">
        <v>1</v>
      </c>
      <c r="C197" s="38" t="s">
        <v>106</v>
      </c>
      <c r="D197" s="38">
        <v>80.0</v>
      </c>
      <c r="E197" s="13" t="b">
        <v>0</v>
      </c>
      <c r="F197" s="13" t="b">
        <v>1</v>
      </c>
      <c r="G197" s="38" t="s">
        <v>224</v>
      </c>
      <c r="H197" s="38"/>
      <c r="I197" s="38" t="s">
        <v>387</v>
      </c>
      <c r="J197" s="38">
        <v>8.0</v>
      </c>
      <c r="K197" s="38" t="s">
        <v>1113</v>
      </c>
      <c r="L197" s="38">
        <v>800.0</v>
      </c>
      <c r="M197" s="38" t="s">
        <v>2915</v>
      </c>
      <c r="N197" s="38" t="s">
        <v>2916</v>
      </c>
      <c r="O197" s="38" t="s">
        <v>2917</v>
      </c>
      <c r="P197" s="40"/>
      <c r="Q197" s="38" t="s">
        <v>111</v>
      </c>
      <c r="R197" s="38">
        <v>41.0</v>
      </c>
      <c r="S197" s="38" t="s">
        <v>2918</v>
      </c>
      <c r="T197" s="38" t="s">
        <v>2919</v>
      </c>
      <c r="U197" s="38" t="s">
        <v>2901</v>
      </c>
      <c r="V197" s="38">
        <v>2006.0</v>
      </c>
      <c r="W197" s="38" t="s">
        <v>2920</v>
      </c>
      <c r="X197" s="38"/>
      <c r="Y197" s="38"/>
      <c r="Z197" s="38"/>
      <c r="AA197" s="38"/>
      <c r="AB197" s="38"/>
      <c r="AC197" s="38"/>
      <c r="AD197" s="38"/>
      <c r="AE197" s="38"/>
      <c r="AF197" s="3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row>
    <row r="198" ht="25.5" customHeight="1">
      <c r="A198" s="28">
        <v>81.0</v>
      </c>
      <c r="B198" s="37" t="b">
        <v>1</v>
      </c>
      <c r="C198" s="38" t="s">
        <v>106</v>
      </c>
      <c r="D198" s="38">
        <v>80.0</v>
      </c>
      <c r="E198" s="13" t="b">
        <v>0</v>
      </c>
      <c r="F198" s="13" t="b">
        <v>1</v>
      </c>
      <c r="G198" s="38" t="s">
        <v>224</v>
      </c>
      <c r="H198" s="38"/>
      <c r="I198" s="38" t="s">
        <v>887</v>
      </c>
      <c r="J198" s="38">
        <v>9.0</v>
      </c>
      <c r="K198" s="38" t="s">
        <v>224</v>
      </c>
      <c r="L198" s="38"/>
      <c r="M198" s="38" t="s">
        <v>398</v>
      </c>
      <c r="N198" s="38">
        <v>17000.0</v>
      </c>
      <c r="O198" s="38" t="s">
        <v>2921</v>
      </c>
      <c r="P198" s="40"/>
      <c r="Q198" s="38" t="s">
        <v>289</v>
      </c>
      <c r="R198" s="38">
        <v>40.0</v>
      </c>
      <c r="S198" s="38" t="s">
        <v>2922</v>
      </c>
      <c r="T198" s="38" t="s">
        <v>2923</v>
      </c>
      <c r="U198" s="38" t="s">
        <v>2901</v>
      </c>
      <c r="V198" s="38">
        <v>2014.0</v>
      </c>
      <c r="W198" s="38" t="s">
        <v>2924</v>
      </c>
      <c r="X198" s="49" t="str">
        <f>HYPERLINK("http://www.sciencedirect.com/science/article/pii/S0921800914001165","http://www.sciencedirect.com/science/article/pii/S0921800914001165")</f>
        <v>http://www.sciencedirect.com/science/article/pii/S0921800914001165</v>
      </c>
      <c r="Y198" s="38"/>
      <c r="Z198" s="38"/>
      <c r="AA198" s="38"/>
      <c r="AB198" s="38"/>
      <c r="AC198" s="38"/>
      <c r="AD198" s="38"/>
      <c r="AE198" s="38"/>
      <c r="AF198" s="38"/>
      <c r="AG198" s="28" t="s">
        <v>2925</v>
      </c>
      <c r="AH198" s="28" t="s">
        <v>462</v>
      </c>
      <c r="AI198" s="28" t="s">
        <v>769</v>
      </c>
      <c r="AJ198" s="28"/>
      <c r="AK198" s="28"/>
      <c r="AL198" s="28" t="s">
        <v>561</v>
      </c>
      <c r="AM198" s="28" t="s">
        <v>2926</v>
      </c>
      <c r="AN198" s="54">
        <v>42472.0</v>
      </c>
      <c r="AO198" s="28"/>
      <c r="AP198" s="28"/>
      <c r="AQ198" s="28" t="s">
        <v>561</v>
      </c>
      <c r="AR198" s="28"/>
      <c r="AS198" s="54">
        <v>42482.0</v>
      </c>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row>
    <row r="199" ht="25.5" customHeight="1">
      <c r="A199" s="28">
        <v>464.0</v>
      </c>
      <c r="B199" s="37" t="b">
        <v>1</v>
      </c>
      <c r="C199" s="38" t="s">
        <v>106</v>
      </c>
      <c r="D199" s="38">
        <v>80.0</v>
      </c>
      <c r="E199" s="13" t="b">
        <v>0</v>
      </c>
      <c r="F199" s="13" t="b">
        <v>1</v>
      </c>
      <c r="G199" s="38" t="s">
        <v>224</v>
      </c>
      <c r="H199" s="38"/>
      <c r="I199" s="38" t="s">
        <v>772</v>
      </c>
      <c r="J199" s="38">
        <v>5.0</v>
      </c>
      <c r="K199" s="62" t="s">
        <v>2927</v>
      </c>
      <c r="L199" s="38">
        <v>506.0</v>
      </c>
      <c r="M199" s="38" t="s">
        <v>35</v>
      </c>
      <c r="N199" s="38">
        <v>2000.0</v>
      </c>
      <c r="O199" s="38" t="s">
        <v>578</v>
      </c>
      <c r="P199" s="40"/>
      <c r="Q199" s="38" t="s">
        <v>289</v>
      </c>
      <c r="R199" s="38">
        <v>40.0</v>
      </c>
      <c r="S199" s="38" t="s">
        <v>2928</v>
      </c>
      <c r="T199" s="38" t="s">
        <v>2929</v>
      </c>
      <c r="U199" s="38" t="s">
        <v>2930</v>
      </c>
      <c r="V199" s="38">
        <v>2009.0</v>
      </c>
      <c r="W199" s="38" t="s">
        <v>2931</v>
      </c>
      <c r="X199" s="38"/>
      <c r="Y199" s="38"/>
      <c r="Z199" s="38"/>
      <c r="AA199" s="38"/>
      <c r="AB199" s="38"/>
      <c r="AC199" s="38"/>
      <c r="AD199" s="38"/>
      <c r="AE199" s="38"/>
      <c r="AF199" s="3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row>
    <row r="200" ht="25.5" customHeight="1">
      <c r="A200" s="28">
        <v>460.0</v>
      </c>
      <c r="B200" s="37" t="b">
        <v>1</v>
      </c>
      <c r="C200" s="38" t="s">
        <v>106</v>
      </c>
      <c r="D200" s="38">
        <v>80.0</v>
      </c>
      <c r="E200" s="13" t="b">
        <v>0</v>
      </c>
      <c r="F200" s="13" t="b">
        <v>1</v>
      </c>
      <c r="G200" s="38" t="s">
        <v>224</v>
      </c>
      <c r="H200" s="38"/>
      <c r="I200" s="38" t="s">
        <v>772</v>
      </c>
      <c r="J200" s="38">
        <v>5.0</v>
      </c>
      <c r="K200" s="47" t="s">
        <v>2156</v>
      </c>
      <c r="L200" s="38">
        <v>503.0</v>
      </c>
      <c r="M200" s="38" t="s">
        <v>549</v>
      </c>
      <c r="N200" s="38">
        <v>6000.0</v>
      </c>
      <c r="O200" s="38" t="s">
        <v>552</v>
      </c>
      <c r="P200" s="40"/>
      <c r="Q200" s="38" t="s">
        <v>289</v>
      </c>
      <c r="R200" s="38">
        <v>40.0</v>
      </c>
      <c r="S200" s="38" t="s">
        <v>2934</v>
      </c>
      <c r="T200" s="38" t="s">
        <v>2935</v>
      </c>
      <c r="U200" s="38" t="s">
        <v>2936</v>
      </c>
      <c r="V200" s="38">
        <v>2009.0</v>
      </c>
      <c r="W200" s="38" t="s">
        <v>2937</v>
      </c>
      <c r="X200" s="38"/>
      <c r="Y200" s="38"/>
      <c r="Z200" s="38"/>
      <c r="AA200" s="38"/>
      <c r="AB200" s="38"/>
      <c r="AC200" s="38"/>
      <c r="AD200" s="38"/>
      <c r="AE200" s="38"/>
      <c r="AF200" s="3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row>
    <row r="201" ht="25.5" customHeight="1">
      <c r="A201" s="28">
        <v>10045.0</v>
      </c>
      <c r="B201" s="37" t="b">
        <v>1</v>
      </c>
      <c r="C201" s="38" t="s">
        <v>238</v>
      </c>
      <c r="D201" s="38">
        <v>81.0</v>
      </c>
      <c r="E201" s="13" t="b">
        <v>1</v>
      </c>
      <c r="F201" s="13" t="b">
        <v>0</v>
      </c>
      <c r="G201" s="38" t="s">
        <v>224</v>
      </c>
      <c r="H201" s="38"/>
      <c r="I201" s="38" t="s">
        <v>376</v>
      </c>
      <c r="J201" s="38">
        <v>2.0</v>
      </c>
      <c r="K201" s="38"/>
      <c r="L201" s="38"/>
      <c r="M201" s="38" t="s">
        <v>388</v>
      </c>
      <c r="N201" s="38">
        <v>14000.0</v>
      </c>
      <c r="O201" s="38" t="s">
        <v>224</v>
      </c>
      <c r="P201" s="40"/>
      <c r="Q201" s="38" t="s">
        <v>289</v>
      </c>
      <c r="R201" s="38">
        <v>40.0</v>
      </c>
      <c r="S201" s="38" t="s">
        <v>1786</v>
      </c>
      <c r="T201" s="38" t="s">
        <v>1788</v>
      </c>
      <c r="U201" s="38" t="s">
        <v>1789</v>
      </c>
      <c r="V201" s="55">
        <v>42170.0</v>
      </c>
      <c r="W201" s="38" t="s">
        <v>1790</v>
      </c>
      <c r="X201" s="49" t="str">
        <f>HYPERLINK("http://www.econlife.com/how-rating-at-whole-foods-simplify-decision-making/","http://www.econlife.com/how-rating-at-whole-foods-simplify-decision-making/")</f>
        <v>http://www.econlife.com/how-rating-at-whole-foods-simplify-decision-making/</v>
      </c>
      <c r="Y201" s="38"/>
      <c r="Z201" s="38"/>
      <c r="AA201" s="38"/>
      <c r="AB201" s="38"/>
      <c r="AC201" s="38"/>
      <c r="AD201" s="38"/>
      <c r="AE201" s="38"/>
      <c r="AF201" s="38"/>
      <c r="AG201" s="28"/>
      <c r="AH201" s="28" t="s">
        <v>462</v>
      </c>
      <c r="AI201" s="28" t="s">
        <v>462</v>
      </c>
      <c r="AJ201" s="28"/>
      <c r="AK201" s="28" t="s">
        <v>676</v>
      </c>
      <c r="AL201" s="28" t="s">
        <v>769</v>
      </c>
      <c r="AM201" s="28" t="s">
        <v>1797</v>
      </c>
      <c r="AN201" s="54">
        <v>42199.0</v>
      </c>
      <c r="AO201" s="54"/>
      <c r="AP201" s="28"/>
      <c r="AQ201" s="28"/>
      <c r="AR201" s="28"/>
      <c r="AS201" s="54"/>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row>
    <row r="202" ht="25.5" customHeight="1">
      <c r="A202" s="28">
        <v>169.0</v>
      </c>
      <c r="B202" s="37" t="b">
        <v>1</v>
      </c>
      <c r="C202" s="38" t="s">
        <v>106</v>
      </c>
      <c r="D202" s="38">
        <v>80.0</v>
      </c>
      <c r="E202" s="13" t="b">
        <v>0</v>
      </c>
      <c r="F202" s="13" t="b">
        <v>1</v>
      </c>
      <c r="G202" s="38" t="s">
        <v>224</v>
      </c>
      <c r="H202" s="38"/>
      <c r="I202" s="38" t="s">
        <v>429</v>
      </c>
      <c r="J202" s="38">
        <v>2.0</v>
      </c>
      <c r="K202" s="38" t="s">
        <v>2943</v>
      </c>
      <c r="L202" s="38" t="s">
        <v>2944</v>
      </c>
      <c r="M202" s="38" t="s">
        <v>321</v>
      </c>
      <c r="N202" s="38">
        <v>7000.0</v>
      </c>
      <c r="O202" s="38" t="s">
        <v>445</v>
      </c>
      <c r="P202" s="40"/>
      <c r="Q202" s="38" t="s">
        <v>111</v>
      </c>
      <c r="R202" s="38">
        <v>41.0</v>
      </c>
      <c r="S202" s="38" t="s">
        <v>2945</v>
      </c>
      <c r="T202" s="38" t="s">
        <v>2946</v>
      </c>
      <c r="U202" s="38" t="s">
        <v>2947</v>
      </c>
      <c r="V202" s="38">
        <v>2013.0</v>
      </c>
      <c r="W202" s="38" t="s">
        <v>2948</v>
      </c>
      <c r="X202" s="38" t="s">
        <v>2949</v>
      </c>
      <c r="Y202" s="38"/>
      <c r="Z202" s="38"/>
      <c r="AA202" s="38"/>
      <c r="AB202" s="38"/>
      <c r="AC202" s="38"/>
      <c r="AD202" s="38"/>
      <c r="AE202" s="38"/>
      <c r="AF202" s="38"/>
      <c r="AG202" s="28"/>
      <c r="AH202" s="28" t="s">
        <v>1594</v>
      </c>
      <c r="AI202" s="28" t="s">
        <v>530</v>
      </c>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row>
    <row r="203" ht="25.5" customHeight="1">
      <c r="A203" s="28">
        <v>13.0</v>
      </c>
      <c r="B203" s="37" t="b">
        <v>1</v>
      </c>
      <c r="C203" s="38" t="s">
        <v>106</v>
      </c>
      <c r="D203" s="38">
        <v>80.0</v>
      </c>
      <c r="E203" s="13" t="b">
        <v>0</v>
      </c>
      <c r="F203" s="13" t="b">
        <v>1</v>
      </c>
      <c r="G203" s="38" t="s">
        <v>224</v>
      </c>
      <c r="H203" s="38"/>
      <c r="I203" s="38" t="s">
        <v>574</v>
      </c>
      <c r="J203" s="38">
        <v>4.0</v>
      </c>
      <c r="K203" s="38" t="s">
        <v>879</v>
      </c>
      <c r="L203" s="38">
        <v>401.0</v>
      </c>
      <c r="M203" s="38" t="s">
        <v>1044</v>
      </c>
      <c r="N203" s="38" t="s">
        <v>1045</v>
      </c>
      <c r="O203" s="38" t="s">
        <v>2095</v>
      </c>
      <c r="P203" s="40"/>
      <c r="Q203" s="38" t="s">
        <v>289</v>
      </c>
      <c r="R203" s="38">
        <v>40.0</v>
      </c>
      <c r="S203" s="38" t="s">
        <v>2950</v>
      </c>
      <c r="T203" s="38" t="s">
        <v>2951</v>
      </c>
      <c r="U203" s="38" t="s">
        <v>2952</v>
      </c>
      <c r="V203" s="38">
        <v>2011.0</v>
      </c>
      <c r="W203" s="38" t="s">
        <v>2953</v>
      </c>
      <c r="X203" s="38" t="s">
        <v>2954</v>
      </c>
      <c r="Y203" s="38"/>
      <c r="Z203" s="38"/>
      <c r="AA203" s="38"/>
      <c r="AB203" s="38"/>
      <c r="AC203" s="38"/>
      <c r="AD203" s="38"/>
      <c r="AE203" s="38"/>
      <c r="AF203" s="38"/>
      <c r="AG203" s="28"/>
      <c r="AH203" s="28" t="s">
        <v>428</v>
      </c>
      <c r="AI203" s="28" t="s">
        <v>462</v>
      </c>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row>
    <row r="204" ht="25.5" customHeight="1">
      <c r="A204" s="28">
        <v>76.0</v>
      </c>
      <c r="B204" s="37" t="b">
        <v>1</v>
      </c>
      <c r="C204" s="38" t="s">
        <v>106</v>
      </c>
      <c r="D204" s="38">
        <v>80.0</v>
      </c>
      <c r="E204" s="13" t="b">
        <v>0</v>
      </c>
      <c r="F204" s="13" t="b">
        <v>1</v>
      </c>
      <c r="G204" s="38" t="s">
        <v>224</v>
      </c>
      <c r="H204" s="38"/>
      <c r="I204" s="38" t="s">
        <v>887</v>
      </c>
      <c r="J204" s="38">
        <v>9.0</v>
      </c>
      <c r="K204" s="38" t="s">
        <v>2137</v>
      </c>
      <c r="L204" s="38">
        <v>902.0</v>
      </c>
      <c r="M204" s="38" t="s">
        <v>107</v>
      </c>
      <c r="N204" s="38">
        <v>3000.0</v>
      </c>
      <c r="O204" s="38" t="s">
        <v>1223</v>
      </c>
      <c r="P204" s="40"/>
      <c r="Q204" s="38" t="s">
        <v>117</v>
      </c>
      <c r="R204" s="38">
        <v>40.0</v>
      </c>
      <c r="S204" s="38" t="s">
        <v>2955</v>
      </c>
      <c r="T204" s="38" t="s">
        <v>2956</v>
      </c>
      <c r="U204" s="38" t="s">
        <v>2952</v>
      </c>
      <c r="V204" s="38">
        <v>2009.0</v>
      </c>
      <c r="W204" s="38" t="s">
        <v>2959</v>
      </c>
      <c r="X204" s="38"/>
      <c r="Y204" s="38"/>
      <c r="Z204" s="38"/>
      <c r="AA204" s="38"/>
      <c r="AB204" s="38"/>
      <c r="AC204" s="38"/>
      <c r="AD204" s="38"/>
      <c r="AE204" s="38"/>
      <c r="AF204" s="3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row>
    <row r="205" ht="25.5" customHeight="1">
      <c r="A205" s="28">
        <v>10199.0</v>
      </c>
      <c r="B205" s="37" t="b">
        <v>1</v>
      </c>
      <c r="C205" s="38" t="s">
        <v>238</v>
      </c>
      <c r="D205" s="38">
        <v>81.0</v>
      </c>
      <c r="E205" s="13" t="b">
        <v>0</v>
      </c>
      <c r="F205" s="13" t="b">
        <v>1</v>
      </c>
      <c r="G205" s="38" t="s">
        <v>224</v>
      </c>
      <c r="H205" s="38"/>
      <c r="I205" s="38" t="s">
        <v>1857</v>
      </c>
      <c r="J205" s="38">
        <v>1.0</v>
      </c>
      <c r="K205" s="38"/>
      <c r="L205" s="38"/>
      <c r="M205" s="38" t="s">
        <v>411</v>
      </c>
      <c r="N205" s="38">
        <v>21000.0</v>
      </c>
      <c r="O205" s="38" t="s">
        <v>1203</v>
      </c>
      <c r="P205" s="40"/>
      <c r="Q205" s="38" t="s">
        <v>272</v>
      </c>
      <c r="R205" s="38">
        <v>42.0</v>
      </c>
      <c r="S205" s="38" t="s">
        <v>2961</v>
      </c>
      <c r="T205" s="38" t="s">
        <v>2962</v>
      </c>
      <c r="U205" s="38" t="s">
        <v>2963</v>
      </c>
      <c r="V205" s="55">
        <v>41491.0</v>
      </c>
      <c r="W205" s="38" t="s">
        <v>2964</v>
      </c>
      <c r="X205" s="49" t="str">
        <f>HYPERLINK("http://ecowatch.com/2013/08/05/plastic-recycling-transit-fares-china/","http://ecowatch.com/2013/08/05/plastic-recycling-transit-fares-china/")</f>
        <v>http://ecowatch.com/2013/08/05/plastic-recycling-transit-fares-china/</v>
      </c>
      <c r="Y205" s="38"/>
      <c r="Z205" s="38"/>
      <c r="AA205" s="38"/>
      <c r="AB205" s="38"/>
      <c r="AC205" s="38"/>
      <c r="AD205" s="38"/>
      <c r="AE205" s="38"/>
      <c r="AF205" s="38"/>
      <c r="AG205" s="28"/>
      <c r="AH205" s="28" t="s">
        <v>462</v>
      </c>
      <c r="AI205" s="28" t="s">
        <v>462</v>
      </c>
      <c r="AJ205" s="28"/>
      <c r="AK205" s="28" t="s">
        <v>676</v>
      </c>
      <c r="AL205" s="28" t="s">
        <v>600</v>
      </c>
      <c r="AM205" s="28" t="s">
        <v>1105</v>
      </c>
      <c r="AN205" s="54" t="s">
        <v>1105</v>
      </c>
      <c r="AO205" s="54"/>
      <c r="AP205" s="28"/>
      <c r="AQ205" s="28" t="s">
        <v>769</v>
      </c>
      <c r="AR205" s="28"/>
      <c r="AS205" s="54">
        <v>41927.0</v>
      </c>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row>
    <row r="206" ht="25.5" customHeight="1">
      <c r="A206" s="28">
        <v>10282.0</v>
      </c>
      <c r="B206" s="37" t="b">
        <v>1</v>
      </c>
      <c r="C206" s="38" t="s">
        <v>238</v>
      </c>
      <c r="D206" s="38">
        <v>81.0</v>
      </c>
      <c r="E206" s="13" t="b">
        <v>0</v>
      </c>
      <c r="F206" s="13" t="b">
        <v>1</v>
      </c>
      <c r="G206" s="38" t="s">
        <v>224</v>
      </c>
      <c r="H206" s="38"/>
      <c r="I206" s="38" t="s">
        <v>743</v>
      </c>
      <c r="J206" s="38" t="s">
        <v>744</v>
      </c>
      <c r="K206" s="38"/>
      <c r="L206" s="38"/>
      <c r="M206" s="38" t="s">
        <v>411</v>
      </c>
      <c r="N206" s="38">
        <v>21000.0</v>
      </c>
      <c r="O206" s="38" t="s">
        <v>1203</v>
      </c>
      <c r="P206" s="40"/>
      <c r="Q206" s="38" t="s">
        <v>111</v>
      </c>
      <c r="R206" s="38">
        <v>41.0</v>
      </c>
      <c r="S206" s="38" t="s">
        <v>2970</v>
      </c>
      <c r="T206" s="38" t="s">
        <v>577</v>
      </c>
      <c r="U206" s="38" t="s">
        <v>2971</v>
      </c>
      <c r="V206" s="55">
        <v>42009.0</v>
      </c>
      <c r="W206" s="38" t="s">
        <v>2972</v>
      </c>
      <c r="X206" s="49" t="str">
        <f>HYPERLINK("http://www.edinburghnews.scotsman.com/news/edinburgh-recycling-rates-soar-85-per-cent-1-3650917","http://www.edinburghnews.scotsman.com/news/edinburgh-recycling-rates-soar-85-per-cent-1-3650917")</f>
        <v>http://www.edinburghnews.scotsman.com/news/edinburgh-recycling-rates-soar-85-per-cent-1-3650917</v>
      </c>
      <c r="Y206" s="38"/>
      <c r="Z206" s="38"/>
      <c r="AA206" s="38"/>
      <c r="AB206" s="38"/>
      <c r="AC206" s="38"/>
      <c r="AD206" s="38"/>
      <c r="AE206" s="38"/>
      <c r="AF206" s="38"/>
      <c r="AG206" s="28"/>
      <c r="AH206" s="28" t="s">
        <v>2977</v>
      </c>
      <c r="AI206" s="28" t="s">
        <v>2978</v>
      </c>
      <c r="AJ206" s="28"/>
      <c r="AK206" s="28"/>
      <c r="AL206" s="28" t="s">
        <v>600</v>
      </c>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row>
    <row r="207" ht="25.5" customHeight="1">
      <c r="A207" s="28">
        <v>272.0</v>
      </c>
      <c r="B207" s="37" t="b">
        <v>1</v>
      </c>
      <c r="C207" s="38" t="s">
        <v>106</v>
      </c>
      <c r="D207" s="38">
        <v>80.0</v>
      </c>
      <c r="E207" s="13" t="b">
        <v>0</v>
      </c>
      <c r="F207" s="13" t="b">
        <v>1</v>
      </c>
      <c r="G207" s="38" t="s">
        <v>224</v>
      </c>
      <c r="H207" s="38"/>
      <c r="I207" s="38" t="s">
        <v>536</v>
      </c>
      <c r="J207" s="38">
        <v>3.0</v>
      </c>
      <c r="K207" s="38" t="s">
        <v>603</v>
      </c>
      <c r="L207" s="38">
        <v>304.0</v>
      </c>
      <c r="M207" s="38" t="s">
        <v>239</v>
      </c>
      <c r="N207" s="38">
        <v>4000.0</v>
      </c>
      <c r="O207" s="38" t="s">
        <v>605</v>
      </c>
      <c r="P207" s="40"/>
      <c r="Q207" s="38" t="s">
        <v>289</v>
      </c>
      <c r="R207" s="38">
        <v>40.0</v>
      </c>
      <c r="S207" s="38" t="s">
        <v>2980</v>
      </c>
      <c r="T207" s="38" t="s">
        <v>2981</v>
      </c>
      <c r="U207" s="38" t="s">
        <v>2982</v>
      </c>
      <c r="V207" s="38">
        <v>2009.0</v>
      </c>
      <c r="W207" s="38" t="s">
        <v>2986</v>
      </c>
      <c r="X207" s="49" t="str">
        <f>HYPERLINK("http://www.epri.com/abstracts/Pages/ProductAbstract.aspx?ProductId=000000000001019319","http://www.epri.com/abstracts/Pages/ProductAbstract.aspx?ProductId=000000000001019319")</f>
        <v>http://www.epri.com/abstracts/Pages/ProductAbstract.aspx?ProductId=000000000001019319</v>
      </c>
      <c r="Y207" s="38"/>
      <c r="Z207" s="38"/>
      <c r="AA207" s="38"/>
      <c r="AB207" s="38"/>
      <c r="AC207" s="38"/>
      <c r="AD207" s="38"/>
      <c r="AE207" s="38"/>
      <c r="AF207" s="38"/>
      <c r="AG207" s="28"/>
      <c r="AH207" s="28" t="s">
        <v>428</v>
      </c>
      <c r="AI207" s="28" t="s">
        <v>462</v>
      </c>
      <c r="AJ207" s="28"/>
      <c r="AK207" s="28"/>
      <c r="AL207" s="28"/>
      <c r="AM207" s="28"/>
      <c r="AN207" s="28"/>
      <c r="AO207" s="28"/>
      <c r="AP207" s="28"/>
      <c r="AQ207" s="28"/>
      <c r="AR207" s="28"/>
      <c r="AS207" s="28"/>
      <c r="AT207" s="28"/>
      <c r="AU207" s="28"/>
      <c r="AV207" s="28"/>
      <c r="AW207" s="28"/>
      <c r="AX207" s="28"/>
      <c r="AY207" s="28"/>
      <c r="AZ207" s="28"/>
      <c r="BA207" s="28" t="s">
        <v>2987</v>
      </c>
      <c r="BB207" s="28"/>
      <c r="BC207" s="28"/>
      <c r="BD207" s="28"/>
      <c r="BE207" s="28"/>
      <c r="BF207" s="28"/>
      <c r="BG207" s="28"/>
      <c r="BH207" s="28"/>
      <c r="BI207" s="28"/>
      <c r="BJ207" s="28"/>
      <c r="BK207" s="28"/>
      <c r="BL207" s="28"/>
      <c r="BM207" s="28"/>
      <c r="BN207" s="28"/>
      <c r="BO207" s="28"/>
    </row>
    <row r="208" ht="25.5" customHeight="1">
      <c r="A208" s="28">
        <v>10259.0</v>
      </c>
      <c r="B208" s="37" t="b">
        <v>1</v>
      </c>
      <c r="C208" s="38" t="s">
        <v>238</v>
      </c>
      <c r="D208" s="38">
        <v>81.0</v>
      </c>
      <c r="E208" s="13" t="b">
        <v>0</v>
      </c>
      <c r="F208" s="13" t="b">
        <v>1</v>
      </c>
      <c r="G208" s="38" t="s">
        <v>224</v>
      </c>
      <c r="H208" s="38"/>
      <c r="I208" s="38" t="s">
        <v>376</v>
      </c>
      <c r="J208" s="38">
        <v>2.0</v>
      </c>
      <c r="K208" s="38"/>
      <c r="L208" s="38"/>
      <c r="M208" s="38" t="s">
        <v>321</v>
      </c>
      <c r="N208" s="38">
        <v>7000.0</v>
      </c>
      <c r="O208" s="38" t="s">
        <v>2989</v>
      </c>
      <c r="P208" s="40"/>
      <c r="Q208" s="38" t="s">
        <v>117</v>
      </c>
      <c r="R208" s="38">
        <v>40.0</v>
      </c>
      <c r="S208" s="38" t="s">
        <v>2990</v>
      </c>
      <c r="T208" s="38" t="s">
        <v>2991</v>
      </c>
      <c r="U208" s="38" t="s">
        <v>2992</v>
      </c>
      <c r="V208" s="55">
        <v>39630.0</v>
      </c>
      <c r="W208" s="38" t="s">
        <v>2993</v>
      </c>
      <c r="X208" s="38" t="s">
        <v>2994</v>
      </c>
      <c r="Y208" s="38"/>
      <c r="Z208" s="38"/>
      <c r="AA208" s="38"/>
      <c r="AB208" s="38"/>
      <c r="AC208" s="38"/>
      <c r="AD208" s="38"/>
      <c r="AE208" s="38"/>
      <c r="AF208" s="38"/>
      <c r="AG208" s="28"/>
      <c r="AH208" s="28" t="s">
        <v>39</v>
      </c>
      <c r="AI208" s="28" t="s">
        <v>462</v>
      </c>
      <c r="AJ208" s="28"/>
      <c r="AK208" s="28"/>
      <c r="AL208" s="28"/>
      <c r="AM208" s="28"/>
      <c r="AN208" s="28"/>
      <c r="AO208" s="28"/>
      <c r="AP208" s="28"/>
      <c r="AQ208" s="28"/>
      <c r="AR208" s="28"/>
      <c r="AS208" s="28"/>
      <c r="AT208" s="28"/>
      <c r="AU208" s="28"/>
      <c r="AV208" s="28"/>
      <c r="AW208" s="28"/>
      <c r="AX208" s="28"/>
      <c r="AY208" s="28"/>
      <c r="AZ208" s="28" t="s">
        <v>2995</v>
      </c>
      <c r="BA208" s="28"/>
      <c r="BB208" s="28"/>
      <c r="BC208" s="28"/>
      <c r="BD208" s="28"/>
      <c r="BE208" s="28"/>
      <c r="BF208" s="28"/>
      <c r="BG208" s="28"/>
      <c r="BH208" s="28"/>
      <c r="BI208" s="28"/>
      <c r="BJ208" s="28"/>
      <c r="BK208" s="28"/>
      <c r="BL208" s="28"/>
      <c r="BM208" s="28"/>
      <c r="BN208" s="28"/>
      <c r="BO208" s="28"/>
    </row>
    <row r="209" ht="25.5" customHeight="1">
      <c r="A209" s="28">
        <v>334.0</v>
      </c>
      <c r="B209" s="37" t="b">
        <v>1</v>
      </c>
      <c r="C209" s="38" t="s">
        <v>106</v>
      </c>
      <c r="D209" s="38">
        <v>80.0</v>
      </c>
      <c r="E209" s="13" t="b">
        <v>1</v>
      </c>
      <c r="F209" s="13" t="b">
        <v>1</v>
      </c>
      <c r="G209" s="38" t="s">
        <v>224</v>
      </c>
      <c r="H209" s="38"/>
      <c r="I209" s="38" t="s">
        <v>490</v>
      </c>
      <c r="J209" s="38">
        <v>6.0</v>
      </c>
      <c r="K209" s="38" t="s">
        <v>2996</v>
      </c>
      <c r="L209" s="38" t="s">
        <v>2997</v>
      </c>
      <c r="M209" s="38" t="s">
        <v>408</v>
      </c>
      <c r="N209" s="38">
        <v>20000.0</v>
      </c>
      <c r="O209" s="38" t="s">
        <v>526</v>
      </c>
      <c r="P209" s="40"/>
      <c r="Q209" s="38" t="s">
        <v>111</v>
      </c>
      <c r="R209" s="38">
        <v>41.0</v>
      </c>
      <c r="S209" s="38" t="s">
        <v>2998</v>
      </c>
      <c r="T209" s="38" t="s">
        <v>2999</v>
      </c>
      <c r="U209" s="38" t="s">
        <v>3000</v>
      </c>
      <c r="V209" s="38">
        <v>1998.0</v>
      </c>
      <c r="W209" s="38" t="s">
        <v>3001</v>
      </c>
      <c r="X209" s="38" t="s">
        <v>3002</v>
      </c>
      <c r="Y209" s="38"/>
      <c r="Z209" s="38"/>
      <c r="AA209" s="38"/>
      <c r="AB209" s="38"/>
      <c r="AC209" s="38"/>
      <c r="AD209" s="38"/>
      <c r="AE209" s="38"/>
      <c r="AF209" s="38"/>
      <c r="AG209" s="28"/>
      <c r="AH209" s="28" t="s">
        <v>428</v>
      </c>
      <c r="AI209" s="28" t="s">
        <v>462</v>
      </c>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row>
    <row r="210" ht="25.5" customHeight="1">
      <c r="A210" s="28">
        <v>78.0</v>
      </c>
      <c r="B210" s="37" t="b">
        <v>1</v>
      </c>
      <c r="C210" s="38" t="s">
        <v>106</v>
      </c>
      <c r="D210" s="38">
        <v>80.0</v>
      </c>
      <c r="E210" s="13" t="b">
        <v>0</v>
      </c>
      <c r="F210" s="13" t="b">
        <v>1</v>
      </c>
      <c r="G210" s="38" t="s">
        <v>224</v>
      </c>
      <c r="H210" s="38"/>
      <c r="I210" s="38" t="s">
        <v>887</v>
      </c>
      <c r="J210" s="38">
        <v>9.0</v>
      </c>
      <c r="K210" s="38" t="s">
        <v>3007</v>
      </c>
      <c r="L210" s="38">
        <v>905.0</v>
      </c>
      <c r="M210" s="38" t="s">
        <v>388</v>
      </c>
      <c r="N210" s="38">
        <v>14000.0</v>
      </c>
      <c r="O210" s="38" t="s">
        <v>224</v>
      </c>
      <c r="P210" s="40"/>
      <c r="Q210" s="38" t="s">
        <v>289</v>
      </c>
      <c r="R210" s="38">
        <v>40.0</v>
      </c>
      <c r="S210" s="38" t="s">
        <v>3008</v>
      </c>
      <c r="T210" s="38" t="s">
        <v>3009</v>
      </c>
      <c r="U210" s="38" t="s">
        <v>3010</v>
      </c>
      <c r="V210" s="38">
        <v>2016.0</v>
      </c>
      <c r="W210" s="38" t="s">
        <v>3012</v>
      </c>
      <c r="X210" s="38"/>
      <c r="Y210" s="38"/>
      <c r="Z210" s="38"/>
      <c r="AA210" s="38"/>
      <c r="AB210" s="38"/>
      <c r="AC210" s="38"/>
      <c r="AD210" s="38"/>
      <c r="AE210" s="38"/>
      <c r="AF210" s="38"/>
      <c r="AG210" s="28"/>
      <c r="AH210" s="28" t="s">
        <v>462</v>
      </c>
      <c r="AI210" s="28" t="s">
        <v>462</v>
      </c>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row>
    <row r="211" ht="25.5" customHeight="1">
      <c r="A211" s="28">
        <v>10265.0</v>
      </c>
      <c r="B211" s="37" t="b">
        <v>1</v>
      </c>
      <c r="C211" s="38" t="s">
        <v>238</v>
      </c>
      <c r="D211" s="38">
        <v>81.0</v>
      </c>
      <c r="E211" s="13" t="b">
        <v>0</v>
      </c>
      <c r="F211" s="13" t="b">
        <v>1</v>
      </c>
      <c r="G211" s="38" t="s">
        <v>224</v>
      </c>
      <c r="H211" s="38"/>
      <c r="I211" s="38" t="s">
        <v>3013</v>
      </c>
      <c r="J211" s="38" t="s">
        <v>3014</v>
      </c>
      <c r="K211" s="38"/>
      <c r="L211" s="38"/>
      <c r="M211" s="38" t="s">
        <v>107</v>
      </c>
      <c r="N211" s="38">
        <v>3000.0</v>
      </c>
      <c r="O211" s="38" t="s">
        <v>470</v>
      </c>
      <c r="P211" s="40"/>
      <c r="Q211" s="38" t="s">
        <v>111</v>
      </c>
      <c r="R211" s="38">
        <v>41.0</v>
      </c>
      <c r="S211" s="38" t="s">
        <v>3015</v>
      </c>
      <c r="T211" s="38" t="s">
        <v>3016</v>
      </c>
      <c r="U211" s="38" t="s">
        <v>3017</v>
      </c>
      <c r="V211" s="55">
        <v>42143.0</v>
      </c>
      <c r="W211" s="38" t="s">
        <v>3018</v>
      </c>
      <c r="X211" s="49" t="str">
        <f>HYPERLINK("http://energistarakentamista.com/2015/05/19/granlund-host-finlands-first-ever-behaviour-change-hackathon-5-tips-to-reduce-building-user-energy-consumption/","http://energistarakentamista.com/2015/05/19/granlund-host-finlands-first-ever-behaviour-change-hackathon-5-tips-to-reduce-building-user-energy-consumption/")</f>
        <v>http://energistarakentamista.com/2015/05/19/granlund-host-finlands-first-ever-behaviour-change-hackathon-5-tips-to-reduce-building-user-energy-consumption/</v>
      </c>
      <c r="Y211" s="38"/>
      <c r="Z211" s="38"/>
      <c r="AA211" s="38"/>
      <c r="AB211" s="38"/>
      <c r="AC211" s="38"/>
      <c r="AD211" s="38"/>
      <c r="AE211" s="38"/>
      <c r="AF211" s="38"/>
      <c r="AG211" s="28"/>
      <c r="AH211" s="28" t="s">
        <v>462</v>
      </c>
      <c r="AI211" s="28" t="s">
        <v>462</v>
      </c>
      <c r="AJ211" s="28"/>
      <c r="AK211" s="28" t="s">
        <v>676</v>
      </c>
      <c r="AL211" s="28" t="s">
        <v>769</v>
      </c>
      <c r="AM211" s="28" t="s">
        <v>3023</v>
      </c>
      <c r="AN211" s="54">
        <v>42144.0</v>
      </c>
      <c r="AO211" s="54"/>
      <c r="AP211" s="54">
        <v>42549.0</v>
      </c>
      <c r="AQ211" s="28"/>
      <c r="AR211" s="28"/>
      <c r="AS211" s="54"/>
      <c r="AT211" s="28"/>
      <c r="AU211" s="28"/>
      <c r="AV211" s="28"/>
      <c r="AW211" s="28"/>
      <c r="AX211" s="28"/>
      <c r="AY211" s="28"/>
      <c r="AZ211" s="28" t="s">
        <v>678</v>
      </c>
      <c r="BA211" s="28"/>
      <c r="BB211" s="28"/>
      <c r="BC211" s="28"/>
      <c r="BD211" s="28"/>
      <c r="BE211" s="28"/>
      <c r="BF211" s="28"/>
      <c r="BG211" s="28"/>
      <c r="BH211" s="28"/>
      <c r="BI211" s="28"/>
      <c r="BJ211" s="28"/>
      <c r="BK211" s="28"/>
      <c r="BL211" s="28"/>
      <c r="BM211" s="28"/>
      <c r="BN211" s="28"/>
      <c r="BO211" s="28"/>
    </row>
    <row r="212" ht="25.5" customHeight="1">
      <c r="A212" s="28">
        <v>387.0</v>
      </c>
      <c r="B212" s="37" t="b">
        <v>1</v>
      </c>
      <c r="C212" s="38" t="s">
        <v>106</v>
      </c>
      <c r="D212" s="38">
        <v>80.0</v>
      </c>
      <c r="E212" s="13" t="b">
        <v>0</v>
      </c>
      <c r="F212" s="13" t="b">
        <v>1</v>
      </c>
      <c r="G212" s="38" t="s">
        <v>224</v>
      </c>
      <c r="H212" s="38"/>
      <c r="I212" s="38" t="s">
        <v>712</v>
      </c>
      <c r="J212" s="38">
        <v>7.0</v>
      </c>
      <c r="K212" s="38" t="s">
        <v>224</v>
      </c>
      <c r="L212" s="38"/>
      <c r="M212" s="38" t="s">
        <v>107</v>
      </c>
      <c r="N212" s="38">
        <v>3000.0</v>
      </c>
      <c r="O212" s="38" t="s">
        <v>470</v>
      </c>
      <c r="P212" s="40"/>
      <c r="Q212" s="38" t="s">
        <v>289</v>
      </c>
      <c r="R212" s="38">
        <v>40.0</v>
      </c>
      <c r="S212" s="38" t="s">
        <v>3027</v>
      </c>
      <c r="T212" s="38" t="s">
        <v>3029</v>
      </c>
      <c r="U212" s="38" t="s">
        <v>239</v>
      </c>
      <c r="V212" s="38">
        <v>1980.0</v>
      </c>
      <c r="W212" s="38" t="s">
        <v>3032</v>
      </c>
      <c r="X212" s="38"/>
      <c r="Y212" s="38"/>
      <c r="Z212" s="38"/>
      <c r="AA212" s="38"/>
      <c r="AB212" s="38"/>
      <c r="AC212" s="38"/>
      <c r="AD212" s="38"/>
      <c r="AE212" s="38"/>
      <c r="AF212" s="3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row>
    <row r="213" ht="25.5" customHeight="1">
      <c r="A213" s="28">
        <v>264.0</v>
      </c>
      <c r="B213" s="37" t="b">
        <v>1</v>
      </c>
      <c r="C213" s="38" t="s">
        <v>106</v>
      </c>
      <c r="D213" s="38">
        <v>80.0</v>
      </c>
      <c r="E213" s="13" t="b">
        <v>0</v>
      </c>
      <c r="F213" s="13" t="b">
        <v>1</v>
      </c>
      <c r="G213" s="38" t="s">
        <v>224</v>
      </c>
      <c r="H213" s="38"/>
      <c r="I213" s="38" t="s">
        <v>536</v>
      </c>
      <c r="J213" s="38">
        <v>3.0</v>
      </c>
      <c r="K213" s="47" t="s">
        <v>603</v>
      </c>
      <c r="L213" s="38">
        <v>304.0</v>
      </c>
      <c r="M213" s="38" t="s">
        <v>107</v>
      </c>
      <c r="N213" s="38">
        <v>3000.0</v>
      </c>
      <c r="O213" s="38" t="s">
        <v>116</v>
      </c>
      <c r="P213" s="40"/>
      <c r="Q213" s="38" t="s">
        <v>289</v>
      </c>
      <c r="R213" s="38">
        <v>40.0</v>
      </c>
      <c r="S213" s="38" t="s">
        <v>3033</v>
      </c>
      <c r="T213" s="38" t="s">
        <v>3034</v>
      </c>
      <c r="U213" s="38" t="s">
        <v>3035</v>
      </c>
      <c r="V213" s="38">
        <v>2014.0</v>
      </c>
      <c r="W213" s="38" t="s">
        <v>3038</v>
      </c>
      <c r="X213" s="38" t="s">
        <v>3039</v>
      </c>
      <c r="Y213" s="38"/>
      <c r="Z213" s="38"/>
      <c r="AA213" s="38"/>
      <c r="AB213" s="38"/>
      <c r="AC213" s="38"/>
      <c r="AD213" s="38"/>
      <c r="AE213" s="38"/>
      <c r="AF213" s="38"/>
      <c r="AG213" s="28"/>
      <c r="AH213" s="28" t="s">
        <v>428</v>
      </c>
      <c r="AI213" s="28" t="s">
        <v>462</v>
      </c>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row>
    <row r="214" ht="25.5" customHeight="1">
      <c r="A214" s="28">
        <v>269.0</v>
      </c>
      <c r="B214" s="37" t="b">
        <v>1</v>
      </c>
      <c r="C214" s="38" t="s">
        <v>106</v>
      </c>
      <c r="D214" s="38">
        <v>80.0</v>
      </c>
      <c r="E214" s="13" t="b">
        <v>0</v>
      </c>
      <c r="F214" s="13" t="b">
        <v>1</v>
      </c>
      <c r="G214" s="38" t="s">
        <v>224</v>
      </c>
      <c r="H214" s="38"/>
      <c r="I214" s="38" t="s">
        <v>536</v>
      </c>
      <c r="J214" s="38">
        <v>3.0</v>
      </c>
      <c r="K214" s="38" t="s">
        <v>603</v>
      </c>
      <c r="L214" s="38">
        <v>304.0</v>
      </c>
      <c r="M214" s="38" t="s">
        <v>107</v>
      </c>
      <c r="N214" s="38">
        <v>3000.0</v>
      </c>
      <c r="O214" s="38" t="s">
        <v>470</v>
      </c>
      <c r="P214" s="40"/>
      <c r="Q214" s="38" t="s">
        <v>111</v>
      </c>
      <c r="R214" s="38">
        <v>41.0</v>
      </c>
      <c r="S214" s="38" t="s">
        <v>3043</v>
      </c>
      <c r="T214" s="38" t="s">
        <v>3044</v>
      </c>
      <c r="U214" s="38" t="s">
        <v>3035</v>
      </c>
      <c r="V214" s="38">
        <v>1995.0</v>
      </c>
      <c r="W214" s="38" t="s">
        <v>3046</v>
      </c>
      <c r="X214" s="38"/>
      <c r="Y214" s="38"/>
      <c r="Z214" s="38"/>
      <c r="AA214" s="38"/>
      <c r="AB214" s="38"/>
      <c r="AC214" s="38"/>
      <c r="AD214" s="38"/>
      <c r="AE214" s="38"/>
      <c r="AF214" s="38"/>
      <c r="AG214" s="28"/>
      <c r="AH214" s="28"/>
      <c r="AI214" s="28"/>
      <c r="AJ214" s="28"/>
      <c r="AK214" s="28"/>
      <c r="AL214" s="28"/>
      <c r="AM214" s="28"/>
      <c r="AN214" s="54"/>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row>
    <row r="215" ht="25.5" customHeight="1">
      <c r="A215" s="28">
        <v>278.0</v>
      </c>
      <c r="B215" s="37" t="b">
        <v>1</v>
      </c>
      <c r="C215" s="38" t="s">
        <v>106</v>
      </c>
      <c r="D215" s="38">
        <v>80.0</v>
      </c>
      <c r="E215" s="13" t="b">
        <v>0</v>
      </c>
      <c r="F215" s="13" t="b">
        <v>1</v>
      </c>
      <c r="G215" s="38" t="s">
        <v>224</v>
      </c>
      <c r="H215" s="38"/>
      <c r="I215" s="38" t="s">
        <v>536</v>
      </c>
      <c r="J215" s="38">
        <v>3.0</v>
      </c>
      <c r="K215" s="38" t="s">
        <v>603</v>
      </c>
      <c r="L215" s="38">
        <v>304.0</v>
      </c>
      <c r="M215" s="38" t="s">
        <v>107</v>
      </c>
      <c r="N215" s="38">
        <v>3000.0</v>
      </c>
      <c r="O215" s="38" t="s">
        <v>470</v>
      </c>
      <c r="P215" s="40"/>
      <c r="Q215" s="38" t="s">
        <v>111</v>
      </c>
      <c r="R215" s="38">
        <v>41.0</v>
      </c>
      <c r="S215" s="38" t="s">
        <v>3051</v>
      </c>
      <c r="T215" s="38" t="s">
        <v>3052</v>
      </c>
      <c r="U215" s="38" t="s">
        <v>3035</v>
      </c>
      <c r="V215" s="38">
        <v>2003.0</v>
      </c>
      <c r="W215" s="38" t="s">
        <v>3053</v>
      </c>
      <c r="X215" s="38" t="s">
        <v>3054</v>
      </c>
      <c r="Y215" s="38"/>
      <c r="Z215" s="38"/>
      <c r="AA215" s="38"/>
      <c r="AB215" s="38"/>
      <c r="AC215" s="38"/>
      <c r="AD215" s="38"/>
      <c r="AE215" s="38"/>
      <c r="AF215" s="38"/>
      <c r="AG215" s="28"/>
      <c r="AH215" s="28" t="s">
        <v>428</v>
      </c>
      <c r="AI215" s="28" t="s">
        <v>462</v>
      </c>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row>
    <row r="216" ht="25.5" customHeight="1">
      <c r="A216" s="28">
        <v>279.0</v>
      </c>
      <c r="B216" s="37" t="b">
        <v>1</v>
      </c>
      <c r="C216" s="38" t="s">
        <v>106</v>
      </c>
      <c r="D216" s="38">
        <v>80.0</v>
      </c>
      <c r="E216" s="13" t="b">
        <v>0</v>
      </c>
      <c r="F216" s="13" t="b">
        <v>1</v>
      </c>
      <c r="G216" s="38" t="s">
        <v>224</v>
      </c>
      <c r="H216" s="38"/>
      <c r="I216" s="38" t="s">
        <v>536</v>
      </c>
      <c r="J216" s="38">
        <v>3.0</v>
      </c>
      <c r="K216" s="38" t="s">
        <v>603</v>
      </c>
      <c r="L216" s="38">
        <v>304.0</v>
      </c>
      <c r="M216" s="38" t="s">
        <v>239</v>
      </c>
      <c r="N216" s="38">
        <v>4000.0</v>
      </c>
      <c r="O216" s="38" t="s">
        <v>605</v>
      </c>
      <c r="P216" s="40"/>
      <c r="Q216" s="38" t="s">
        <v>289</v>
      </c>
      <c r="R216" s="38">
        <v>40.0</v>
      </c>
      <c r="S216" s="38" t="s">
        <v>3058</v>
      </c>
      <c r="T216" s="38" t="s">
        <v>3060</v>
      </c>
      <c r="U216" s="38" t="s">
        <v>3035</v>
      </c>
      <c r="V216" s="38">
        <v>1987.0</v>
      </c>
      <c r="W216" s="38" t="s">
        <v>3061</v>
      </c>
      <c r="X216" s="49" t="str">
        <f>HYPERLINK("http://www.sciencedirect.com/science/article/pii/0378778878900129","http://www.sciencedirect.com/science/article/pii/0378778878900129")</f>
        <v>http://www.sciencedirect.com/science/article/pii/0378778878900129</v>
      </c>
      <c r="Y216" s="38"/>
      <c r="Z216" s="38"/>
      <c r="AA216" s="38"/>
      <c r="AB216" s="38"/>
      <c r="AC216" s="38"/>
      <c r="AD216" s="38"/>
      <c r="AE216" s="38"/>
      <c r="AF216" s="38"/>
      <c r="AG216" s="28"/>
      <c r="AH216" s="28" t="s">
        <v>428</v>
      </c>
      <c r="AI216" s="28" t="s">
        <v>462</v>
      </c>
      <c r="AJ216" s="28"/>
      <c r="AK216" s="28"/>
      <c r="AL216" s="28"/>
      <c r="AM216" s="28"/>
      <c r="AN216" s="28"/>
      <c r="AO216" s="28"/>
      <c r="AP216" s="28"/>
      <c r="AQ216" s="28"/>
      <c r="AR216" s="28"/>
      <c r="AS216" s="28"/>
      <c r="AT216" s="28"/>
      <c r="AU216" s="28"/>
      <c r="AV216" s="28"/>
      <c r="AW216" s="28"/>
      <c r="AX216" s="28"/>
      <c r="AY216" s="28"/>
      <c r="AZ216" s="28"/>
      <c r="BA216" s="28" t="s">
        <v>3063</v>
      </c>
      <c r="BB216" s="28"/>
      <c r="BC216" s="28"/>
      <c r="BD216" s="28"/>
      <c r="BE216" s="28"/>
      <c r="BF216" s="28"/>
      <c r="BG216" s="28"/>
      <c r="BH216" s="28"/>
      <c r="BI216" s="28"/>
      <c r="BJ216" s="28"/>
      <c r="BK216" s="28"/>
      <c r="BL216" s="28"/>
      <c r="BM216" s="28"/>
      <c r="BN216" s="28"/>
      <c r="BO216" s="28"/>
    </row>
    <row r="217" ht="25.5" customHeight="1">
      <c r="A217" s="28">
        <v>312.0</v>
      </c>
      <c r="B217" s="37" t="b">
        <v>1</v>
      </c>
      <c r="C217" s="38" t="s">
        <v>106</v>
      </c>
      <c r="D217" s="38">
        <v>80.0</v>
      </c>
      <c r="E217" s="13" t="b">
        <v>0</v>
      </c>
      <c r="F217" s="13" t="b">
        <v>1</v>
      </c>
      <c r="G217" s="38" t="s">
        <v>224</v>
      </c>
      <c r="H217" s="38"/>
      <c r="I217" s="38" t="s">
        <v>226</v>
      </c>
      <c r="J217" s="38" t="s">
        <v>228</v>
      </c>
      <c r="K217" s="38" t="s">
        <v>3064</v>
      </c>
      <c r="L217" s="38" t="s">
        <v>3065</v>
      </c>
      <c r="M217" s="38" t="s">
        <v>239</v>
      </c>
      <c r="N217" s="38">
        <v>4000.0</v>
      </c>
      <c r="O217" s="38" t="s">
        <v>605</v>
      </c>
      <c r="P217" s="40"/>
      <c r="Q217" s="38" t="s">
        <v>289</v>
      </c>
      <c r="R217" s="38">
        <v>40.0</v>
      </c>
      <c r="S217" s="38" t="s">
        <v>3066</v>
      </c>
      <c r="T217" s="38" t="s">
        <v>3067</v>
      </c>
      <c r="U217" s="38" t="s">
        <v>3035</v>
      </c>
      <c r="V217" s="38">
        <v>2014.0</v>
      </c>
      <c r="W217" s="38" t="s">
        <v>3068</v>
      </c>
      <c r="X217" s="38" t="s">
        <v>3069</v>
      </c>
      <c r="Y217" s="38"/>
      <c r="Z217" s="38"/>
      <c r="AA217" s="38"/>
      <c r="AB217" s="38"/>
      <c r="AC217" s="38"/>
      <c r="AD217" s="38"/>
      <c r="AE217" s="38"/>
      <c r="AF217" s="38"/>
      <c r="AG217" s="28"/>
      <c r="AH217" s="28" t="s">
        <v>613</v>
      </c>
      <c r="AI217" s="28" t="s">
        <v>3070</v>
      </c>
      <c r="AJ217" s="28"/>
      <c r="AK217" s="28"/>
      <c r="AL217" s="28" t="s">
        <v>561</v>
      </c>
      <c r="AM217" s="28" t="s">
        <v>3071</v>
      </c>
      <c r="AN217" s="54">
        <v>42422.0</v>
      </c>
      <c r="AO217" s="28"/>
      <c r="AP217" s="54">
        <v>42592.0</v>
      </c>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row>
    <row r="218" ht="25.5" customHeight="1">
      <c r="A218" s="28">
        <v>197.0</v>
      </c>
      <c r="B218" s="37" t="b">
        <v>1</v>
      </c>
      <c r="C218" s="38" t="s">
        <v>106</v>
      </c>
      <c r="D218" s="38">
        <v>80.0</v>
      </c>
      <c r="E218" s="13" t="b">
        <v>0</v>
      </c>
      <c r="F218" s="13" t="b">
        <v>1</v>
      </c>
      <c r="G218" s="38" t="s">
        <v>224</v>
      </c>
      <c r="H218" s="38"/>
      <c r="I218" s="38" t="s">
        <v>429</v>
      </c>
      <c r="J218" s="38">
        <v>2.0</v>
      </c>
      <c r="K218" s="38" t="s">
        <v>524</v>
      </c>
      <c r="L218" s="62">
        <v>205.0</v>
      </c>
      <c r="M218" s="38" t="s">
        <v>3072</v>
      </c>
      <c r="N218" s="38" t="s">
        <v>3073</v>
      </c>
      <c r="O218" s="38" t="s">
        <v>127</v>
      </c>
      <c r="P218" s="40"/>
      <c r="Q218" s="38" t="s">
        <v>111</v>
      </c>
      <c r="R218" s="38">
        <v>41.0</v>
      </c>
      <c r="S218" s="38" t="s">
        <v>3074</v>
      </c>
      <c r="T218" s="38" t="s">
        <v>3075</v>
      </c>
      <c r="U218" s="38" t="s">
        <v>3076</v>
      </c>
      <c r="V218" s="38">
        <v>2013.0</v>
      </c>
      <c r="W218" s="38" t="s">
        <v>3077</v>
      </c>
      <c r="X218" s="38" t="s">
        <v>3078</v>
      </c>
      <c r="Y218" s="38"/>
      <c r="Z218" s="38"/>
      <c r="AA218" s="38"/>
      <c r="AB218" s="38"/>
      <c r="AC218" s="38"/>
      <c r="AD218" s="38"/>
      <c r="AE218" s="38"/>
      <c r="AF218" s="38"/>
      <c r="AG218" s="28"/>
      <c r="AH218" s="28" t="s">
        <v>428</v>
      </c>
      <c r="AI218" s="28" t="s">
        <v>428</v>
      </c>
      <c r="AJ218" s="28"/>
      <c r="AK218" s="28"/>
      <c r="AL218" s="28"/>
      <c r="AM218" s="28"/>
      <c r="AN218" s="28"/>
      <c r="AO218" s="28"/>
      <c r="AP218" s="28"/>
      <c r="AQ218" s="28"/>
      <c r="AR218" s="28"/>
      <c r="AS218" s="28"/>
      <c r="AT218" s="28"/>
      <c r="AU218" s="28"/>
      <c r="AV218" s="28"/>
      <c r="AW218" s="28"/>
      <c r="AX218" s="28"/>
      <c r="AY218" s="28"/>
      <c r="AZ218" s="28"/>
      <c r="BA218" s="28" t="s">
        <v>3079</v>
      </c>
      <c r="BB218" s="28"/>
      <c r="BC218" s="28"/>
      <c r="BD218" s="28"/>
      <c r="BE218" s="28"/>
      <c r="BF218" s="28"/>
      <c r="BG218" s="28"/>
      <c r="BH218" s="28"/>
      <c r="BI218" s="28"/>
      <c r="BJ218" s="28"/>
      <c r="BK218" s="28"/>
      <c r="BL218" s="28"/>
      <c r="BM218" s="28"/>
      <c r="BN218" s="28"/>
      <c r="BO218" s="28"/>
    </row>
    <row r="219" ht="25.5" customHeight="1">
      <c r="A219" s="28">
        <v>268.0</v>
      </c>
      <c r="B219" s="37" t="b">
        <v>1</v>
      </c>
      <c r="C219" s="38" t="s">
        <v>106</v>
      </c>
      <c r="D219" s="38">
        <v>80.0</v>
      </c>
      <c r="E219" s="13" t="b">
        <v>0</v>
      </c>
      <c r="F219" s="13" t="b">
        <v>1</v>
      </c>
      <c r="G219" s="38" t="s">
        <v>224</v>
      </c>
      <c r="H219" s="38"/>
      <c r="I219" s="38" t="s">
        <v>536</v>
      </c>
      <c r="J219" s="38">
        <v>3.0</v>
      </c>
      <c r="K219" s="38" t="s">
        <v>603</v>
      </c>
      <c r="L219" s="38">
        <v>304.0</v>
      </c>
      <c r="M219" s="38" t="s">
        <v>239</v>
      </c>
      <c r="N219" s="38">
        <v>4000.0</v>
      </c>
      <c r="O219" s="38" t="s">
        <v>623</v>
      </c>
      <c r="P219" s="40"/>
      <c r="Q219" s="38" t="s">
        <v>111</v>
      </c>
      <c r="R219" s="38">
        <v>41.0</v>
      </c>
      <c r="S219" s="38" t="s">
        <v>3082</v>
      </c>
      <c r="T219" s="38" t="s">
        <v>3083</v>
      </c>
      <c r="U219" s="38" t="s">
        <v>3084</v>
      </c>
      <c r="V219" s="38">
        <v>2008.0</v>
      </c>
      <c r="W219" s="38" t="s">
        <v>3085</v>
      </c>
      <c r="X219" s="38" t="s">
        <v>3086</v>
      </c>
      <c r="Y219" s="38"/>
      <c r="Z219" s="38"/>
      <c r="AA219" s="38"/>
      <c r="AB219" s="38"/>
      <c r="AC219" s="38"/>
      <c r="AD219" s="38"/>
      <c r="AE219" s="38"/>
      <c r="AF219" s="38"/>
      <c r="AG219" s="28"/>
      <c r="AH219" s="28" t="s">
        <v>428</v>
      </c>
      <c r="AI219" s="28" t="s">
        <v>462</v>
      </c>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row>
    <row r="220" ht="25.5" customHeight="1">
      <c r="A220" s="28">
        <v>10266.0</v>
      </c>
      <c r="B220" s="37" t="b">
        <v>1</v>
      </c>
      <c r="C220" s="38" t="s">
        <v>238</v>
      </c>
      <c r="D220" s="38">
        <v>81.0</v>
      </c>
      <c r="E220" s="13" t="b">
        <v>0</v>
      </c>
      <c r="F220" s="13" t="b">
        <v>1</v>
      </c>
      <c r="G220" s="38" t="s">
        <v>224</v>
      </c>
      <c r="H220" s="38"/>
      <c r="I220" s="38" t="s">
        <v>3013</v>
      </c>
      <c r="J220" s="38" t="s">
        <v>3014</v>
      </c>
      <c r="K220" s="38"/>
      <c r="L220" s="38"/>
      <c r="M220" s="38" t="s">
        <v>107</v>
      </c>
      <c r="N220" s="38">
        <v>3000.0</v>
      </c>
      <c r="O220" s="38" t="s">
        <v>470</v>
      </c>
      <c r="P220" s="40"/>
      <c r="Q220" s="38" t="s">
        <v>289</v>
      </c>
      <c r="R220" s="38">
        <v>40.0</v>
      </c>
      <c r="S220" s="38" t="s">
        <v>3087</v>
      </c>
      <c r="T220" s="38" t="s">
        <v>3088</v>
      </c>
      <c r="U220" s="38" t="s">
        <v>3089</v>
      </c>
      <c r="V220" s="55">
        <v>42063.0</v>
      </c>
      <c r="W220" s="38" t="s">
        <v>3090</v>
      </c>
      <c r="X220" s="49" t="str">
        <f>HYPERLINK("http://energyefficiencymarkets.com/people-power-pilot-yields-10-energy-savings-changing-behavior/","http://energyefficiencymarkets.com/people-power-pilot-yields-10-energy-savings-changing-behavior/")</f>
        <v>http://energyefficiencymarkets.com/people-power-pilot-yields-10-energy-savings-changing-behavior/</v>
      </c>
      <c r="Y220" s="38"/>
      <c r="Z220" s="38"/>
      <c r="AA220" s="38"/>
      <c r="AB220" s="38"/>
      <c r="AC220" s="38"/>
      <c r="AD220" s="38"/>
      <c r="AE220" s="38"/>
      <c r="AF220" s="38"/>
      <c r="AG220" s="28" t="s">
        <v>3097</v>
      </c>
      <c r="AH220" s="28" t="s">
        <v>3098</v>
      </c>
      <c r="AI220" s="28" t="s">
        <v>3099</v>
      </c>
      <c r="AJ220" s="28"/>
      <c r="AK220" s="28"/>
      <c r="AL220" s="28" t="s">
        <v>600</v>
      </c>
      <c r="AM220" s="28" t="s">
        <v>3100</v>
      </c>
      <c r="AN220" s="54">
        <v>42069.0</v>
      </c>
      <c r="AO220" s="54"/>
      <c r="AP220" s="95" t="str">
        <f>HYPERLINK("http://t.co/CWeAgqLXbX","http://bit.ly/1F2hONV ")</f>
        <v>http://bit.ly/1F2hONV </v>
      </c>
      <c r="AQ220" s="28" t="s">
        <v>769</v>
      </c>
      <c r="AR220" s="28"/>
      <c r="AS220" s="54">
        <v>42104.0</v>
      </c>
      <c r="AT220" s="28" t="s">
        <v>2035</v>
      </c>
      <c r="AU220" s="28"/>
      <c r="AV220" s="28"/>
      <c r="AW220" s="28"/>
      <c r="AX220" s="28" t="s">
        <v>428</v>
      </c>
      <c r="AY220" s="28"/>
      <c r="AZ220" s="28" t="s">
        <v>678</v>
      </c>
      <c r="BA220" s="28"/>
      <c r="BB220" s="28"/>
      <c r="BC220" s="28"/>
      <c r="BD220" s="28"/>
      <c r="BE220" s="28"/>
      <c r="BF220" s="28"/>
      <c r="BG220" s="28"/>
      <c r="BH220" s="28"/>
      <c r="BI220" s="28"/>
      <c r="BJ220" s="28"/>
      <c r="BK220" s="28"/>
      <c r="BL220" s="28"/>
      <c r="BM220" s="28"/>
      <c r="BN220" s="28"/>
      <c r="BO220" s="28"/>
    </row>
    <row r="221" ht="25.5" customHeight="1">
      <c r="A221" s="28">
        <v>10227.0</v>
      </c>
      <c r="B221" s="37" t="b">
        <v>1</v>
      </c>
      <c r="C221" s="38" t="s">
        <v>238</v>
      </c>
      <c r="D221" s="38">
        <v>81.0</v>
      </c>
      <c r="E221" s="13" t="b">
        <v>0</v>
      </c>
      <c r="F221" s="13" t="b">
        <v>1</v>
      </c>
      <c r="G221" s="38" t="s">
        <v>224</v>
      </c>
      <c r="H221" s="38"/>
      <c r="I221" s="38" t="s">
        <v>3104</v>
      </c>
      <c r="J221" s="38" t="s">
        <v>3105</v>
      </c>
      <c r="K221" s="38"/>
      <c r="L221" s="38"/>
      <c r="M221" s="38" t="s">
        <v>107</v>
      </c>
      <c r="N221" s="38">
        <v>3000.0</v>
      </c>
      <c r="O221" s="38" t="s">
        <v>3107</v>
      </c>
      <c r="P221" s="40"/>
      <c r="Q221" s="38" t="s">
        <v>289</v>
      </c>
      <c r="R221" s="38">
        <v>40.0</v>
      </c>
      <c r="S221" s="38" t="s">
        <v>3108</v>
      </c>
      <c r="T221" s="38" t="s">
        <v>3110</v>
      </c>
      <c r="U221" s="38" t="s">
        <v>3111</v>
      </c>
      <c r="V221" s="55">
        <v>42100.0</v>
      </c>
      <c r="W221" s="38" t="s">
        <v>3112</v>
      </c>
      <c r="X221" s="49" t="str">
        <f>HYPERLINK("https://energyathaas.wordpress.com/2015/04/06/for-energy-and-water-conservation-moral-suasion-is-no-substitute-for-getting-the-prices-right/?utm_campaign=blog%20re%2042&amp;utm_content=13753048&amp;utm_medium=social&amp;utm_source=twitter","https://energyathaas.wordpress.com/2015/04/06/for-energy-and-water-conservation-moral-suasion-is-no-substitute-for-getting-the-prices-right/?utm_campaign=blog%20re%2042&amp;utm_content=13753048&amp;utm_medium=social&amp;utm_source=twitter")</f>
        <v>https://energyathaas.wordpress.com/2015/04/06/for-energy-and-water-conservation-moral-suasion-is-no-substitute-for-getting-the-prices-right/?utm_campaign=blog%20re%2042&amp;utm_content=13753048&amp;utm_medium=social&amp;utm_source=twitter</v>
      </c>
      <c r="Y221" s="38"/>
      <c r="Z221" s="38"/>
      <c r="AA221" s="38"/>
      <c r="AB221" s="38"/>
      <c r="AC221" s="38"/>
      <c r="AD221" s="38"/>
      <c r="AE221" s="38"/>
      <c r="AF221" s="38"/>
      <c r="AG221" s="28"/>
      <c r="AH221" s="28" t="s">
        <v>462</v>
      </c>
      <c r="AI221" s="28" t="s">
        <v>3116</v>
      </c>
      <c r="AJ221" s="28"/>
      <c r="AK221" s="28" t="s">
        <v>1099</v>
      </c>
      <c r="AL221" s="28" t="s">
        <v>769</v>
      </c>
      <c r="AM221" s="28" t="s">
        <v>3117</v>
      </c>
      <c r="AN221" s="54">
        <v>42186.0</v>
      </c>
      <c r="AO221" s="54"/>
      <c r="AP221" s="54">
        <v>42543.0</v>
      </c>
      <c r="AQ221" s="28" t="s">
        <v>769</v>
      </c>
      <c r="AR221" s="28"/>
      <c r="AS221" s="54">
        <v>42499.0</v>
      </c>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row>
    <row r="222" ht="25.5" customHeight="1">
      <c r="A222" s="28">
        <v>146.0</v>
      </c>
      <c r="B222" s="37" t="b">
        <v>1</v>
      </c>
      <c r="C222" s="38" t="s">
        <v>106</v>
      </c>
      <c r="D222" s="38">
        <v>80.0</v>
      </c>
      <c r="E222" s="13" t="b">
        <v>1</v>
      </c>
      <c r="F222" s="13" t="b">
        <v>0</v>
      </c>
      <c r="G222" s="38" t="s">
        <v>284</v>
      </c>
      <c r="H222" s="38">
        <v>53.0</v>
      </c>
      <c r="I222" s="38" t="s">
        <v>224</v>
      </c>
      <c r="J222" s="38"/>
      <c r="K222" s="38" t="s">
        <v>224</v>
      </c>
      <c r="L222" s="38"/>
      <c r="M222" s="38" t="s">
        <v>1044</v>
      </c>
      <c r="N222" s="38" t="s">
        <v>1045</v>
      </c>
      <c r="O222" s="38" t="s">
        <v>3120</v>
      </c>
      <c r="P222" s="40"/>
      <c r="Q222" s="38" t="s">
        <v>111</v>
      </c>
      <c r="R222" s="38">
        <v>41.0</v>
      </c>
      <c r="S222" s="38" t="s">
        <v>3121</v>
      </c>
      <c r="T222" s="38" t="s">
        <v>3122</v>
      </c>
      <c r="U222" s="38" t="s">
        <v>3123</v>
      </c>
      <c r="V222" s="38">
        <v>2011.0</v>
      </c>
      <c r="W222" s="38" t="s">
        <v>3124</v>
      </c>
      <c r="X222" s="49" t="str">
        <f>HYPERLINK("https://www.researchgate.net/publication/227415617_Conditional_inevitability_Expert_perceptions_of_carbon_capture_and_storage_uncertainties_in_the_UK_context","https://www.researchgate.net/publication/227415617_Conditional_inevitability_Expert_perceptions_of_carbon_capture_and_storage_uncertainties_in_the_UK_context")</f>
        <v>https://www.researchgate.net/publication/227415617_Conditional_inevitability_Expert_perceptions_of_carbon_capture_and_storage_uncertainties_in_the_UK_context</v>
      </c>
      <c r="Y222" s="38"/>
      <c r="Z222" s="38"/>
      <c r="AA222" s="38"/>
      <c r="AB222" s="38"/>
      <c r="AC222" s="38"/>
      <c r="AD222" s="38"/>
      <c r="AE222" s="38"/>
      <c r="AF222" s="3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row>
    <row r="223" ht="25.5" customHeight="1">
      <c r="A223" s="28">
        <v>120.0</v>
      </c>
      <c r="B223" s="37" t="b">
        <v>1</v>
      </c>
      <c r="C223" s="38" t="s">
        <v>106</v>
      </c>
      <c r="D223" s="38">
        <v>80.0</v>
      </c>
      <c r="E223" s="13" t="b">
        <v>1</v>
      </c>
      <c r="F223" s="13" t="b">
        <v>0</v>
      </c>
      <c r="G223" s="38" t="s">
        <v>284</v>
      </c>
      <c r="H223" s="38">
        <v>53.0</v>
      </c>
      <c r="I223" s="38" t="s">
        <v>224</v>
      </c>
      <c r="J223" s="38"/>
      <c r="K223" s="38" t="s">
        <v>224</v>
      </c>
      <c r="L223" s="38"/>
      <c r="M223" s="38" t="s">
        <v>3126</v>
      </c>
      <c r="N223" s="38" t="s">
        <v>3127</v>
      </c>
      <c r="O223" s="38" t="s">
        <v>3131</v>
      </c>
      <c r="P223" s="40"/>
      <c r="Q223" s="38" t="s">
        <v>111</v>
      </c>
      <c r="R223" s="38">
        <v>41.0</v>
      </c>
      <c r="S223" s="38" t="s">
        <v>3132</v>
      </c>
      <c r="T223" s="38" t="s">
        <v>3133</v>
      </c>
      <c r="U223" s="38" t="s">
        <v>3123</v>
      </c>
      <c r="V223" s="38">
        <v>2008.0</v>
      </c>
      <c r="W223" s="38" t="s">
        <v>3134</v>
      </c>
      <c r="X223" s="49" t="str">
        <f>HYPERLINK("https://www.researchgate.net/publication/23648560_Energy_sustainable_communities_Environmental_psychological_investigations","https://www.researchgate.net/publication/23648560_Energy_sustainable_communities_Environmental_psychological_investigations")</f>
        <v>https://www.researchgate.net/publication/23648560_Energy_sustainable_communities_Environmental_psychological_investigations</v>
      </c>
      <c r="Y223" s="38"/>
      <c r="Z223" s="38"/>
      <c r="AA223" s="38"/>
      <c r="AB223" s="38"/>
      <c r="AC223" s="38"/>
      <c r="AD223" s="38"/>
      <c r="AE223" s="38"/>
      <c r="AF223" s="3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row>
    <row r="224" ht="25.5" customHeight="1">
      <c r="A224" s="28">
        <v>119.0</v>
      </c>
      <c r="B224" s="37" t="b">
        <v>1</v>
      </c>
      <c r="C224" s="38" t="s">
        <v>106</v>
      </c>
      <c r="D224" s="38">
        <v>80.0</v>
      </c>
      <c r="E224" s="13" t="b">
        <v>1</v>
      </c>
      <c r="F224" s="13" t="b">
        <v>0</v>
      </c>
      <c r="G224" s="38" t="s">
        <v>284</v>
      </c>
      <c r="H224" s="38">
        <v>53.0</v>
      </c>
      <c r="I224" s="38" t="s">
        <v>224</v>
      </c>
      <c r="J224" s="38"/>
      <c r="K224" s="38" t="s">
        <v>224</v>
      </c>
      <c r="L224" s="38"/>
      <c r="M224" s="38" t="s">
        <v>107</v>
      </c>
      <c r="N224" s="38">
        <v>3000.0</v>
      </c>
      <c r="O224" s="38" t="s">
        <v>470</v>
      </c>
      <c r="P224" s="40"/>
      <c r="Q224" s="38" t="s">
        <v>111</v>
      </c>
      <c r="R224" s="38">
        <v>41.0</v>
      </c>
      <c r="S224" s="38" t="s">
        <v>3140</v>
      </c>
      <c r="T224" s="38" t="s">
        <v>3141</v>
      </c>
      <c r="U224" s="38" t="s">
        <v>3123</v>
      </c>
      <c r="V224" s="38">
        <v>2013.0</v>
      </c>
      <c r="W224" s="38" t="s">
        <v>3142</v>
      </c>
      <c r="X224" s="49" t="str">
        <f>HYPERLINK("http://www.sciencedirect.com/science/article/pii/S0301421513006174","http://www.sciencedirect.com/science/article/pii/S0301421513006174")</f>
        <v>http://www.sciencedirect.com/science/article/pii/S0301421513006174</v>
      </c>
      <c r="Y224" s="38"/>
      <c r="Z224" s="38"/>
      <c r="AA224" s="38"/>
      <c r="AB224" s="38"/>
      <c r="AC224" s="38"/>
      <c r="AD224" s="38"/>
      <c r="AE224" s="38"/>
      <c r="AF224" s="3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row>
    <row r="225" ht="25.5" customHeight="1">
      <c r="A225" s="28">
        <v>158.0</v>
      </c>
      <c r="B225" s="37" t="b">
        <v>1</v>
      </c>
      <c r="C225" s="38" t="s">
        <v>106</v>
      </c>
      <c r="D225" s="38">
        <v>80.0</v>
      </c>
      <c r="E225" s="13" t="b">
        <v>1</v>
      </c>
      <c r="F225" s="13" t="b">
        <v>0</v>
      </c>
      <c r="G225" s="38" t="s">
        <v>394</v>
      </c>
      <c r="H225" s="38">
        <v>63.0</v>
      </c>
      <c r="I225" s="38" t="s">
        <v>224</v>
      </c>
      <c r="J225" s="38"/>
      <c r="K225" s="38" t="s">
        <v>224</v>
      </c>
      <c r="L225" s="38"/>
      <c r="M225" s="38" t="s">
        <v>107</v>
      </c>
      <c r="N225" s="38">
        <v>3000.0</v>
      </c>
      <c r="O225" s="38" t="s">
        <v>3148</v>
      </c>
      <c r="P225" s="40"/>
      <c r="Q225" s="38" t="s">
        <v>289</v>
      </c>
      <c r="R225" s="38">
        <v>40.0</v>
      </c>
      <c r="S225" s="38" t="s">
        <v>3149</v>
      </c>
      <c r="T225" s="38" t="s">
        <v>3150</v>
      </c>
      <c r="U225" s="38" t="s">
        <v>3123</v>
      </c>
      <c r="V225" s="38">
        <v>2013.0</v>
      </c>
      <c r="W225" s="38" t="s">
        <v>3152</v>
      </c>
      <c r="X225" s="49" t="str">
        <f>HYPERLINK("http://www.sciencedirect.com/science/article/pii/S0301421513000281%C2%A0%E2%80%A6","http://www.sciencedirect.com/science/article/pii/S0301421513000281 …")</f>
        <v>http://www.sciencedirect.com/science/article/pii/S0301421513000281 …</v>
      </c>
      <c r="Y225" s="38"/>
      <c r="Z225" s="38"/>
      <c r="AA225" s="38"/>
      <c r="AB225" s="38"/>
      <c r="AC225" s="38"/>
      <c r="AD225" s="38"/>
      <c r="AE225" s="38"/>
      <c r="AF225" s="38"/>
      <c r="AG225" s="28"/>
      <c r="AH225" s="28" t="s">
        <v>462</v>
      </c>
      <c r="AI225" s="28" t="s">
        <v>462</v>
      </c>
      <c r="AJ225" s="28"/>
      <c r="AK225" s="28" t="s">
        <v>3156</v>
      </c>
      <c r="AL225" s="28" t="s">
        <v>428</v>
      </c>
      <c r="AM225" s="28" t="s">
        <v>3157</v>
      </c>
      <c r="AN225" s="54">
        <v>41983.0</v>
      </c>
      <c r="AO225" s="54"/>
      <c r="AP225" s="54">
        <v>42542.0</v>
      </c>
      <c r="AQ225" s="54" t="s">
        <v>769</v>
      </c>
      <c r="AR225" s="54"/>
      <c r="AS225" s="54">
        <v>42473.0</v>
      </c>
      <c r="AT225" s="28"/>
      <c r="AU225" s="54"/>
      <c r="AV225" s="28"/>
      <c r="AW225" s="28"/>
      <c r="AX225" s="28"/>
      <c r="AY225" s="28"/>
      <c r="AZ225" s="28"/>
      <c r="BA225" s="28"/>
      <c r="BB225" s="28"/>
      <c r="BC225" s="28"/>
      <c r="BD225" s="28"/>
      <c r="BE225" s="28"/>
      <c r="BF225" s="28"/>
      <c r="BG225" s="28"/>
      <c r="BH225" s="28"/>
      <c r="BI225" s="28"/>
      <c r="BJ225" s="28"/>
      <c r="BK225" s="28"/>
      <c r="BL225" s="28"/>
      <c r="BM225" s="28"/>
      <c r="BN225" s="28"/>
      <c r="BO225" s="28"/>
    </row>
    <row r="226" ht="25.5" customHeight="1">
      <c r="A226" s="28">
        <v>6.0</v>
      </c>
      <c r="B226" s="37" t="b">
        <v>1</v>
      </c>
      <c r="C226" s="38" t="s">
        <v>106</v>
      </c>
      <c r="D226" s="38">
        <v>80.0</v>
      </c>
      <c r="E226" s="13" t="b">
        <v>0</v>
      </c>
      <c r="F226" s="13" t="b">
        <v>1</v>
      </c>
      <c r="G226" s="38" t="s">
        <v>224</v>
      </c>
      <c r="H226" s="38"/>
      <c r="I226" s="38" t="s">
        <v>574</v>
      </c>
      <c r="J226" s="38">
        <v>4.0</v>
      </c>
      <c r="K226" s="38" t="s">
        <v>3159</v>
      </c>
      <c r="L226" s="38">
        <v>403.0</v>
      </c>
      <c r="M226" s="38" t="s">
        <v>107</v>
      </c>
      <c r="N226" s="38">
        <v>3000.0</v>
      </c>
      <c r="O226" s="38" t="s">
        <v>1223</v>
      </c>
      <c r="P226" s="40"/>
      <c r="Q226" s="38" t="s">
        <v>111</v>
      </c>
      <c r="R226" s="38">
        <v>41.0</v>
      </c>
      <c r="S226" s="38" t="s">
        <v>3160</v>
      </c>
      <c r="T226" s="38" t="s">
        <v>3162</v>
      </c>
      <c r="U226" s="38" t="s">
        <v>3123</v>
      </c>
      <c r="V226" s="38">
        <v>2012.0</v>
      </c>
      <c r="W226" s="38" t="s">
        <v>3165</v>
      </c>
      <c r="X226" s="38"/>
      <c r="Y226" s="38"/>
      <c r="Z226" s="38"/>
      <c r="AA226" s="38"/>
      <c r="AB226" s="38"/>
      <c r="AC226" s="38"/>
      <c r="AD226" s="38"/>
      <c r="AE226" s="38"/>
      <c r="AF226" s="38"/>
      <c r="AG226" s="28"/>
      <c r="AH226" s="28"/>
      <c r="AI226" s="28"/>
      <c r="AJ226" s="28"/>
      <c r="AK226" s="28"/>
      <c r="AL226" s="54"/>
      <c r="AM226" s="28"/>
      <c r="AN226" s="28"/>
      <c r="AO226" s="54"/>
      <c r="AP226" s="28"/>
      <c r="AQ226" s="28"/>
      <c r="AR226" s="28"/>
      <c r="AS226" s="28"/>
      <c r="AT226" s="28"/>
      <c r="AU226" s="28"/>
      <c r="AV226" s="28"/>
      <c r="AW226" s="28"/>
      <c r="AX226" s="28"/>
      <c r="AY226" s="28"/>
      <c r="AZ226" s="28"/>
      <c r="BA226" s="28" t="s">
        <v>3166</v>
      </c>
      <c r="BB226" s="28"/>
      <c r="BC226" s="28"/>
      <c r="BD226" s="28"/>
      <c r="BE226" s="28"/>
      <c r="BF226" s="28"/>
      <c r="BG226" s="28"/>
      <c r="BH226" s="28"/>
      <c r="BI226" s="28"/>
      <c r="BJ226" s="28"/>
      <c r="BK226" s="28"/>
      <c r="BL226" s="28"/>
      <c r="BM226" s="28"/>
      <c r="BN226" s="28"/>
      <c r="BO226" s="28"/>
    </row>
    <row r="227" ht="25.5" customHeight="1">
      <c r="A227" s="28">
        <v>50.0</v>
      </c>
      <c r="B227" s="37" t="b">
        <v>1</v>
      </c>
      <c r="C227" s="38" t="s">
        <v>106</v>
      </c>
      <c r="D227" s="38">
        <v>80.0</v>
      </c>
      <c r="E227" s="13" t="b">
        <v>0</v>
      </c>
      <c r="F227" s="13" t="b">
        <v>1</v>
      </c>
      <c r="G227" s="38" t="s">
        <v>224</v>
      </c>
      <c r="H227" s="38"/>
      <c r="I227" s="38" t="s">
        <v>3169</v>
      </c>
      <c r="J227" s="38" t="s">
        <v>2695</v>
      </c>
      <c r="K227" s="65" t="s">
        <v>3170</v>
      </c>
      <c r="L227" s="38">
        <v>401.0</v>
      </c>
      <c r="M227" s="38" t="s">
        <v>107</v>
      </c>
      <c r="N227" s="38">
        <v>3000.0</v>
      </c>
      <c r="O227" s="38" t="s">
        <v>470</v>
      </c>
      <c r="P227" s="40"/>
      <c r="Q227" s="38" t="s">
        <v>111</v>
      </c>
      <c r="R227" s="38">
        <v>41.0</v>
      </c>
      <c r="S227" s="38" t="s">
        <v>3171</v>
      </c>
      <c r="T227" s="38" t="s">
        <v>3172</v>
      </c>
      <c r="U227" s="61" t="s">
        <v>3123</v>
      </c>
      <c r="V227" s="38">
        <v>2010.0</v>
      </c>
      <c r="W227" s="38" t="s">
        <v>3173</v>
      </c>
      <c r="X227" s="38"/>
      <c r="Y227" s="38"/>
      <c r="Z227" s="38"/>
      <c r="AA227" s="38"/>
      <c r="AB227" s="38"/>
      <c r="AC227" s="38"/>
      <c r="AD227" s="38"/>
      <c r="AE227" s="38"/>
      <c r="AF227" s="3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row>
    <row r="228" ht="25.5" customHeight="1">
      <c r="A228" s="28">
        <v>207.0</v>
      </c>
      <c r="B228" s="37" t="b">
        <v>1</v>
      </c>
      <c r="C228" s="38" t="s">
        <v>106</v>
      </c>
      <c r="D228" s="38">
        <v>80.0</v>
      </c>
      <c r="E228" s="13" t="b">
        <v>0</v>
      </c>
      <c r="F228" s="13" t="b">
        <v>1</v>
      </c>
      <c r="G228" s="38" t="s">
        <v>224</v>
      </c>
      <c r="H228" s="38"/>
      <c r="I228" s="38" t="s">
        <v>429</v>
      </c>
      <c r="J228" s="38">
        <v>2.0</v>
      </c>
      <c r="K228" s="38" t="s">
        <v>3176</v>
      </c>
      <c r="L228" s="38"/>
      <c r="M228" s="38" t="s">
        <v>107</v>
      </c>
      <c r="N228" s="38">
        <v>3000.0</v>
      </c>
      <c r="O228" s="38" t="s">
        <v>470</v>
      </c>
      <c r="P228" s="40"/>
      <c r="Q228" s="38" t="s">
        <v>111</v>
      </c>
      <c r="R228" s="38">
        <v>41.0</v>
      </c>
      <c r="S228" s="38" t="s">
        <v>3177</v>
      </c>
      <c r="T228" s="38" t="s">
        <v>3178</v>
      </c>
      <c r="U228" s="38" t="s">
        <v>3123</v>
      </c>
      <c r="V228" s="38">
        <v>2007.0</v>
      </c>
      <c r="W228" s="38" t="s">
        <v>3179</v>
      </c>
      <c r="X228" s="38"/>
      <c r="Y228" s="38"/>
      <c r="Z228" s="38"/>
      <c r="AA228" s="38"/>
      <c r="AB228" s="38"/>
      <c r="AC228" s="38"/>
      <c r="AD228" s="38"/>
      <c r="AE228" s="38"/>
      <c r="AF228" s="3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row>
    <row r="229" ht="25.5" customHeight="1">
      <c r="A229" s="28">
        <v>209.0</v>
      </c>
      <c r="B229" s="37" t="b">
        <v>1</v>
      </c>
      <c r="C229" s="38" t="s">
        <v>106</v>
      </c>
      <c r="D229" s="38">
        <v>80.0</v>
      </c>
      <c r="E229" s="13" t="b">
        <v>0</v>
      </c>
      <c r="F229" s="13" t="b">
        <v>1</v>
      </c>
      <c r="G229" s="38" t="s">
        <v>224</v>
      </c>
      <c r="H229" s="38"/>
      <c r="I229" s="38" t="s">
        <v>429</v>
      </c>
      <c r="J229" s="38">
        <v>2.0</v>
      </c>
      <c r="K229" s="38" t="s">
        <v>3181</v>
      </c>
      <c r="L229" s="38"/>
      <c r="M229" s="38" t="s">
        <v>107</v>
      </c>
      <c r="N229" s="38">
        <v>3000.0</v>
      </c>
      <c r="O229" s="38" t="s">
        <v>470</v>
      </c>
      <c r="P229" s="40"/>
      <c r="Q229" s="38" t="s">
        <v>2012</v>
      </c>
      <c r="R229" s="38" t="s">
        <v>2013</v>
      </c>
      <c r="S229" s="38" t="s">
        <v>3182</v>
      </c>
      <c r="T229" s="38" t="s">
        <v>3183</v>
      </c>
      <c r="U229" s="38" t="s">
        <v>3123</v>
      </c>
      <c r="V229" s="38">
        <v>2004.0</v>
      </c>
      <c r="W229" s="38" t="s">
        <v>3188</v>
      </c>
      <c r="X229" s="38"/>
      <c r="Y229" s="38"/>
      <c r="Z229" s="38"/>
      <c r="AA229" s="38"/>
      <c r="AB229" s="38"/>
      <c r="AC229" s="38"/>
      <c r="AD229" s="38"/>
      <c r="AE229" s="38"/>
      <c r="AF229" s="3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row>
    <row r="230" ht="25.5" customHeight="1">
      <c r="A230" s="28">
        <v>215.0</v>
      </c>
      <c r="B230" s="37" t="b">
        <v>1</v>
      </c>
      <c r="C230" s="38" t="s">
        <v>106</v>
      </c>
      <c r="D230" s="38">
        <v>80.0</v>
      </c>
      <c r="E230" s="13" t="b">
        <v>0</v>
      </c>
      <c r="F230" s="13" t="b">
        <v>1</v>
      </c>
      <c r="G230" s="38" t="s">
        <v>224</v>
      </c>
      <c r="H230" s="38"/>
      <c r="I230" s="38" t="s">
        <v>323</v>
      </c>
      <c r="J230" s="38">
        <v>11.0</v>
      </c>
      <c r="K230" s="38" t="s">
        <v>3193</v>
      </c>
      <c r="L230" s="38"/>
      <c r="M230" s="38" t="s">
        <v>107</v>
      </c>
      <c r="N230" s="38">
        <v>3000.0</v>
      </c>
      <c r="O230" s="38" t="s">
        <v>470</v>
      </c>
      <c r="P230" s="40"/>
      <c r="Q230" s="38" t="s">
        <v>111</v>
      </c>
      <c r="R230" s="38">
        <v>41.0</v>
      </c>
      <c r="S230" s="38" t="s">
        <v>3194</v>
      </c>
      <c r="T230" s="38" t="s">
        <v>3195</v>
      </c>
      <c r="U230" s="38" t="s">
        <v>3123</v>
      </c>
      <c r="V230" s="38">
        <v>1997.0</v>
      </c>
      <c r="W230" s="38" t="s">
        <v>3199</v>
      </c>
      <c r="X230" s="38"/>
      <c r="Y230" s="38"/>
      <c r="Z230" s="38"/>
      <c r="AA230" s="38"/>
      <c r="AB230" s="38"/>
      <c r="AC230" s="38"/>
      <c r="AD230" s="38"/>
      <c r="AE230" s="38"/>
      <c r="AF230" s="3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row>
    <row r="231" ht="25.5" customHeight="1">
      <c r="A231" s="28">
        <v>291.0</v>
      </c>
      <c r="B231" s="37" t="b">
        <v>1</v>
      </c>
      <c r="C231" s="38" t="s">
        <v>106</v>
      </c>
      <c r="D231" s="38">
        <v>80.0</v>
      </c>
      <c r="E231" s="13" t="b">
        <v>0</v>
      </c>
      <c r="F231" s="13" t="b">
        <v>1</v>
      </c>
      <c r="G231" s="38" t="s">
        <v>224</v>
      </c>
      <c r="H231" s="38"/>
      <c r="I231" s="38" t="s">
        <v>3200</v>
      </c>
      <c r="J231" s="38">
        <v>3.0</v>
      </c>
      <c r="K231" s="38" t="s">
        <v>603</v>
      </c>
      <c r="L231" s="38">
        <v>304.0</v>
      </c>
      <c r="M231" s="38" t="s">
        <v>107</v>
      </c>
      <c r="N231" s="38">
        <v>3000.0</v>
      </c>
      <c r="O231" s="38" t="s">
        <v>470</v>
      </c>
      <c r="P231" s="40"/>
      <c r="Q231" s="38" t="s">
        <v>111</v>
      </c>
      <c r="R231" s="38">
        <v>41.0</v>
      </c>
      <c r="S231" s="38" t="s">
        <v>3201</v>
      </c>
      <c r="T231" s="38" t="s">
        <v>3202</v>
      </c>
      <c r="U231" s="38" t="s">
        <v>3123</v>
      </c>
      <c r="V231" s="38">
        <v>2014.0</v>
      </c>
      <c r="W231" s="38" t="s">
        <v>3204</v>
      </c>
      <c r="X231" s="38"/>
      <c r="Y231" s="38"/>
      <c r="Z231" s="38"/>
      <c r="AA231" s="38"/>
      <c r="AB231" s="38"/>
      <c r="AC231" s="38"/>
      <c r="AD231" s="38"/>
      <c r="AE231" s="38"/>
      <c r="AF231" s="3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row>
    <row r="232" ht="25.5" customHeight="1">
      <c r="A232" s="28">
        <v>178.0</v>
      </c>
      <c r="B232" s="37" t="b">
        <v>1</v>
      </c>
      <c r="C232" s="38" t="s">
        <v>106</v>
      </c>
      <c r="D232" s="38">
        <v>80.0</v>
      </c>
      <c r="E232" s="13" t="b">
        <v>0</v>
      </c>
      <c r="F232" s="13" t="b">
        <v>1</v>
      </c>
      <c r="G232" s="38" t="s">
        <v>224</v>
      </c>
      <c r="H232" s="38"/>
      <c r="I232" s="38" t="s">
        <v>429</v>
      </c>
      <c r="J232" s="38">
        <v>2.0</v>
      </c>
      <c r="K232" s="47" t="s">
        <v>524</v>
      </c>
      <c r="L232" s="38">
        <v>205.0</v>
      </c>
      <c r="M232" s="38" t="s">
        <v>239</v>
      </c>
      <c r="N232" s="38">
        <v>4000.0</v>
      </c>
      <c r="O232" s="38" t="s">
        <v>605</v>
      </c>
      <c r="P232" s="40"/>
      <c r="Q232" s="38" t="s">
        <v>111</v>
      </c>
      <c r="R232" s="38">
        <v>41.0</v>
      </c>
      <c r="S232" s="38" t="s">
        <v>3205</v>
      </c>
      <c r="T232" s="38" t="s">
        <v>3206</v>
      </c>
      <c r="U232" s="38" t="s">
        <v>3123</v>
      </c>
      <c r="V232" s="38">
        <v>2013.0</v>
      </c>
      <c r="W232" s="38" t="s">
        <v>3210</v>
      </c>
      <c r="X232" s="38" t="s">
        <v>3211</v>
      </c>
      <c r="Y232" s="38"/>
      <c r="Z232" s="38"/>
      <c r="AA232" s="38"/>
      <c r="AB232" s="38"/>
      <c r="AC232" s="38"/>
      <c r="AD232" s="38"/>
      <c r="AE232" s="38"/>
      <c r="AF232" s="38"/>
      <c r="AG232" s="28"/>
      <c r="AH232" s="28" t="s">
        <v>428</v>
      </c>
      <c r="AI232" s="28" t="s">
        <v>462</v>
      </c>
      <c r="AJ232" s="28"/>
      <c r="AK232" s="28"/>
      <c r="AL232" s="28"/>
      <c r="AM232" s="28"/>
      <c r="AN232" s="28"/>
      <c r="AO232" s="28"/>
      <c r="AP232" s="28"/>
      <c r="AQ232" s="28"/>
      <c r="AR232" s="28"/>
      <c r="AS232" s="28"/>
      <c r="AT232" s="28"/>
      <c r="AU232" s="28"/>
      <c r="AV232" s="28"/>
      <c r="AW232" s="28"/>
      <c r="AX232" s="28"/>
      <c r="AY232" s="28"/>
      <c r="AZ232" s="28"/>
      <c r="BA232" s="28" t="s">
        <v>1023</v>
      </c>
      <c r="BB232" s="28"/>
      <c r="BC232" s="28"/>
      <c r="BD232" s="28"/>
      <c r="BE232" s="28"/>
      <c r="BF232" s="28"/>
      <c r="BG232" s="28"/>
      <c r="BH232" s="28"/>
      <c r="BI232" s="28"/>
      <c r="BJ232" s="28"/>
      <c r="BK232" s="28"/>
      <c r="BL232" s="28"/>
      <c r="BM232" s="28"/>
      <c r="BN232" s="28"/>
      <c r="BO232" s="28"/>
    </row>
    <row r="233" ht="25.5" customHeight="1">
      <c r="A233" s="28">
        <v>271.0</v>
      </c>
      <c r="B233" s="37" t="b">
        <v>1</v>
      </c>
      <c r="C233" s="38" t="s">
        <v>106</v>
      </c>
      <c r="D233" s="38">
        <v>80.0</v>
      </c>
      <c r="E233" s="13" t="b">
        <v>0</v>
      </c>
      <c r="F233" s="13" t="b">
        <v>1</v>
      </c>
      <c r="G233" s="38" t="s">
        <v>224</v>
      </c>
      <c r="H233" s="38"/>
      <c r="I233" s="38" t="s">
        <v>536</v>
      </c>
      <c r="J233" s="38">
        <v>3.0</v>
      </c>
      <c r="K233" s="38" t="s">
        <v>603</v>
      </c>
      <c r="L233" s="38">
        <v>304.0</v>
      </c>
      <c r="M233" s="38" t="s">
        <v>239</v>
      </c>
      <c r="N233" s="38">
        <v>4000.0</v>
      </c>
      <c r="O233" s="38" t="s">
        <v>70</v>
      </c>
      <c r="P233" s="40"/>
      <c r="Q233" s="38" t="s">
        <v>111</v>
      </c>
      <c r="R233" s="38">
        <v>41.0</v>
      </c>
      <c r="S233" s="38" t="s">
        <v>3215</v>
      </c>
      <c r="T233" s="38" t="s">
        <v>3216</v>
      </c>
      <c r="U233" s="38" t="s">
        <v>3123</v>
      </c>
      <c r="V233" s="38">
        <v>2006.0</v>
      </c>
      <c r="W233" s="38" t="s">
        <v>3217</v>
      </c>
      <c r="X233" s="49" t="str">
        <f>HYPERLINK("http://www.sciencedirect.com/science/article/pii/S0301421505002077","http://www.sciencedirect.com/science/article/pii/S0301421505002077")</f>
        <v>http://www.sciencedirect.com/science/article/pii/S0301421505002077</v>
      </c>
      <c r="Y233" s="38"/>
      <c r="Z233" s="38"/>
      <c r="AA233" s="38"/>
      <c r="AB233" s="38"/>
      <c r="AC233" s="38"/>
      <c r="AD233" s="38"/>
      <c r="AE233" s="38"/>
      <c r="AF233" s="38"/>
      <c r="AG233" s="28"/>
      <c r="AH233" s="28" t="s">
        <v>428</v>
      </c>
      <c r="AI233" s="28" t="s">
        <v>462</v>
      </c>
      <c r="AJ233" s="28"/>
      <c r="AK233" s="28"/>
      <c r="AL233" s="28"/>
      <c r="AM233" s="28"/>
      <c r="AN233" s="28"/>
      <c r="AO233" s="28"/>
      <c r="AP233" s="28"/>
      <c r="AQ233" s="28"/>
      <c r="AR233" s="28"/>
      <c r="AS233" s="28"/>
      <c r="AT233" s="28"/>
      <c r="AU233" s="28"/>
      <c r="AV233" s="28"/>
      <c r="AW233" s="28"/>
      <c r="AX233" s="28"/>
      <c r="AY233" s="28"/>
      <c r="AZ233" s="28"/>
      <c r="BA233" s="28" t="s">
        <v>3224</v>
      </c>
      <c r="BB233" s="28"/>
      <c r="BC233" s="28"/>
      <c r="BD233" s="28"/>
      <c r="BE233" s="28"/>
      <c r="BF233" s="28"/>
      <c r="BG233" s="28"/>
      <c r="BH233" s="28"/>
      <c r="BI233" s="28"/>
      <c r="BJ233" s="28"/>
      <c r="BK233" s="28"/>
      <c r="BL233" s="28"/>
      <c r="BM233" s="28"/>
      <c r="BN233" s="28"/>
      <c r="BO233" s="28"/>
    </row>
    <row r="234" ht="25.5" customHeight="1">
      <c r="A234" s="28">
        <v>492.0</v>
      </c>
      <c r="B234" s="37" t="b">
        <v>1</v>
      </c>
      <c r="C234" s="38" t="s">
        <v>106</v>
      </c>
      <c r="D234" s="38">
        <v>80.0</v>
      </c>
      <c r="G234" s="38" t="s">
        <v>224</v>
      </c>
      <c r="H234" s="38"/>
      <c r="I234" s="38" t="s">
        <v>196</v>
      </c>
      <c r="J234" s="38">
        <v>1.0</v>
      </c>
      <c r="K234" s="38"/>
      <c r="L234" s="38"/>
      <c r="M234" s="38" t="s">
        <v>239</v>
      </c>
      <c r="N234" s="38">
        <v>4000.0</v>
      </c>
      <c r="O234" s="38" t="s">
        <v>651</v>
      </c>
      <c r="P234" s="40"/>
      <c r="Q234" s="38" t="s">
        <v>95</v>
      </c>
      <c r="R234" s="38">
        <v>41.0</v>
      </c>
      <c r="S234" s="38" t="s">
        <v>3226</v>
      </c>
      <c r="T234" s="38" t="s">
        <v>3227</v>
      </c>
      <c r="U234" s="38" t="s">
        <v>3123</v>
      </c>
      <c r="V234" s="38">
        <v>2016.0</v>
      </c>
      <c r="W234" s="38" t="s">
        <v>3229</v>
      </c>
      <c r="X234" s="38"/>
      <c r="Y234" s="38"/>
      <c r="Z234" s="38"/>
      <c r="AA234" s="38"/>
      <c r="AB234" s="38"/>
      <c r="AC234" s="38"/>
      <c r="AD234" s="38"/>
      <c r="AE234" s="38"/>
      <c r="AF234" s="38"/>
      <c r="AG234" s="28"/>
      <c r="AH234" s="28" t="s">
        <v>462</v>
      </c>
      <c r="AI234" s="28" t="s">
        <v>462</v>
      </c>
      <c r="AJ234" s="28" t="s">
        <v>3233</v>
      </c>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row>
    <row r="235" ht="25.5" customHeight="1">
      <c r="A235" s="28">
        <v>143.0</v>
      </c>
      <c r="B235" s="37" t="b">
        <v>1</v>
      </c>
      <c r="C235" s="38" t="s">
        <v>106</v>
      </c>
      <c r="D235" s="38">
        <v>80.0</v>
      </c>
      <c r="E235" s="13" t="b">
        <v>1</v>
      </c>
      <c r="F235" s="13" t="b">
        <v>0</v>
      </c>
      <c r="G235" s="38" t="s">
        <v>284</v>
      </c>
      <c r="H235" s="38">
        <v>53.0</v>
      </c>
      <c r="I235" s="38" t="s">
        <v>224</v>
      </c>
      <c r="J235" s="38"/>
      <c r="K235" s="38" t="s">
        <v>224</v>
      </c>
      <c r="L235" s="38"/>
      <c r="M235" s="38" t="s">
        <v>107</v>
      </c>
      <c r="N235" s="38">
        <v>3000.0</v>
      </c>
      <c r="O235" s="38" t="s">
        <v>470</v>
      </c>
      <c r="P235" s="40"/>
      <c r="Q235" s="38" t="s">
        <v>289</v>
      </c>
      <c r="R235" s="38">
        <v>40.0</v>
      </c>
      <c r="S235" s="38" t="s">
        <v>3236</v>
      </c>
      <c r="T235" s="38" t="s">
        <v>3237</v>
      </c>
      <c r="U235" s="38" t="s">
        <v>3238</v>
      </c>
      <c r="V235" s="38">
        <v>2014.0</v>
      </c>
      <c r="W235" s="38" t="s">
        <v>3244</v>
      </c>
      <c r="X235" s="49" t="str">
        <f>HYPERLINK("https://www.researchgate.net/publication/262879224_Individual_and_household_interactions_with_energy_systems_Toward_integrated_understanding","https://www.researchgate.net/publication/262879224_Individual_and_household_interactions_with_energy_systems_Toward_integrated_understanding")</f>
        <v>https://www.researchgate.net/publication/262879224_Individual_and_household_interactions_with_energy_systems_Toward_integrated_understanding</v>
      </c>
      <c r="Y235" s="38"/>
      <c r="Z235" s="38"/>
      <c r="AA235" s="38"/>
      <c r="AB235" s="38"/>
      <c r="AC235" s="38"/>
      <c r="AD235" s="38"/>
      <c r="AE235" s="38"/>
      <c r="AF235" s="3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row>
    <row r="236" ht="25.5" customHeight="1">
      <c r="A236" s="28">
        <v>10226.0</v>
      </c>
      <c r="B236" s="37" t="b">
        <v>1</v>
      </c>
      <c r="C236" s="38" t="s">
        <v>238</v>
      </c>
      <c r="D236" s="38">
        <v>81.0</v>
      </c>
      <c r="E236" s="13" t="b">
        <v>0</v>
      </c>
      <c r="F236" s="13" t="b">
        <v>1</v>
      </c>
      <c r="G236" s="38" t="s">
        <v>224</v>
      </c>
      <c r="H236" s="38"/>
      <c r="I236" s="38" t="s">
        <v>1559</v>
      </c>
      <c r="J236" s="38" t="s">
        <v>1560</v>
      </c>
      <c r="K236" s="38"/>
      <c r="L236" s="38"/>
      <c r="M236" s="38" t="s">
        <v>107</v>
      </c>
      <c r="N236" s="38">
        <v>3000.0</v>
      </c>
      <c r="O236" s="38" t="s">
        <v>470</v>
      </c>
      <c r="P236" s="40"/>
      <c r="Q236" s="38" t="s">
        <v>289</v>
      </c>
      <c r="R236" s="38">
        <v>40.0</v>
      </c>
      <c r="S236" s="61" t="s">
        <v>3252</v>
      </c>
      <c r="T236" s="38" t="s">
        <v>3253</v>
      </c>
      <c r="U236" s="38" t="s">
        <v>3254</v>
      </c>
      <c r="V236" s="55">
        <v>42223.0</v>
      </c>
      <c r="W236" s="38" t="s">
        <v>3256</v>
      </c>
      <c r="X236" s="49" t="str">
        <f>HYPERLINK("http://www.eenews.net/stories/1060022688","http://www.eenews.net/stories/1060022688")</f>
        <v>http://www.eenews.net/stories/1060022688</v>
      </c>
      <c r="Y236" s="38"/>
      <c r="Z236" s="38"/>
      <c r="AA236" s="38"/>
      <c r="AB236" s="38"/>
      <c r="AC236" s="38"/>
      <c r="AD236" s="38"/>
      <c r="AE236" s="38"/>
      <c r="AF236" s="38"/>
      <c r="AG236" s="28"/>
      <c r="AH236" s="28"/>
      <c r="AI236" s="28"/>
      <c r="AJ236" s="28"/>
      <c r="AK236" s="28"/>
      <c r="AL236" s="28" t="s">
        <v>428</v>
      </c>
      <c r="AM236" s="28" t="s">
        <v>3257</v>
      </c>
      <c r="AN236" s="54">
        <v>42642.0</v>
      </c>
      <c r="AO236" s="54"/>
      <c r="AP236" s="28"/>
      <c r="AQ236" s="28"/>
      <c r="AR236" s="28"/>
      <c r="AS236" s="28"/>
      <c r="AT236" s="28"/>
      <c r="AU236" s="28"/>
      <c r="AV236" s="28"/>
      <c r="AW236" s="28"/>
      <c r="AX236" s="28"/>
      <c r="AY236" s="28" t="s">
        <v>428</v>
      </c>
      <c r="AZ236" s="28"/>
      <c r="BA236" s="28"/>
      <c r="BB236" s="28"/>
      <c r="BC236" s="28"/>
      <c r="BD236" s="28"/>
      <c r="BE236" s="28"/>
      <c r="BF236" s="28"/>
      <c r="BG236" s="28"/>
      <c r="BH236" s="28"/>
      <c r="BI236" s="28"/>
      <c r="BJ236" s="28"/>
      <c r="BK236" s="28"/>
      <c r="BL236" s="28"/>
      <c r="BM236" s="28"/>
      <c r="BN236" s="28"/>
      <c r="BO236" s="28"/>
    </row>
    <row r="237" ht="25.5" customHeight="1">
      <c r="A237" s="28">
        <v>39.0</v>
      </c>
      <c r="B237" s="37" t="b">
        <v>1</v>
      </c>
      <c r="C237" s="38" t="s">
        <v>106</v>
      </c>
      <c r="D237" s="38">
        <v>80.0</v>
      </c>
      <c r="E237" s="13" t="b">
        <v>1</v>
      </c>
      <c r="F237" s="13" t="b">
        <v>0</v>
      </c>
      <c r="G237" s="38" t="s">
        <v>224</v>
      </c>
      <c r="H237" s="38"/>
      <c r="I237" s="38" t="s">
        <v>2516</v>
      </c>
      <c r="J237" s="38" t="s">
        <v>2517</v>
      </c>
      <c r="K237" s="38" t="s">
        <v>224</v>
      </c>
      <c r="L237" s="38"/>
      <c r="M237" s="38" t="s">
        <v>35</v>
      </c>
      <c r="N237" s="38">
        <v>2000.0</v>
      </c>
      <c r="O237" s="38" t="s">
        <v>3259</v>
      </c>
      <c r="P237" s="40"/>
      <c r="Q237" s="38" t="s">
        <v>289</v>
      </c>
      <c r="R237" s="38">
        <v>40.0</v>
      </c>
      <c r="S237" s="38" t="s">
        <v>3261</v>
      </c>
      <c r="T237" s="38" t="s">
        <v>3262</v>
      </c>
      <c r="U237" s="38" t="s">
        <v>3263</v>
      </c>
      <c r="V237" s="61">
        <v>2016.0</v>
      </c>
      <c r="W237" s="38" t="s">
        <v>3265</v>
      </c>
      <c r="X237" s="38"/>
      <c r="Y237" s="38"/>
      <c r="Z237" s="38"/>
      <c r="AA237" s="38"/>
      <c r="AB237" s="38"/>
      <c r="AC237" s="38"/>
      <c r="AD237" s="38"/>
      <c r="AE237" s="38"/>
      <c r="AF237" s="38"/>
      <c r="AG237" s="28"/>
      <c r="AH237" s="28" t="s">
        <v>462</v>
      </c>
      <c r="AI237" s="28" t="s">
        <v>462</v>
      </c>
      <c r="AJ237" s="28" t="s">
        <v>39</v>
      </c>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row>
    <row r="238" ht="25.5" customHeight="1">
      <c r="A238" s="28">
        <v>378.0</v>
      </c>
      <c r="B238" s="37" t="b">
        <v>1</v>
      </c>
      <c r="C238" s="38" t="s">
        <v>106</v>
      </c>
      <c r="D238" s="38">
        <v>80.0</v>
      </c>
      <c r="E238" s="13" t="b">
        <v>1</v>
      </c>
      <c r="F238" s="13" t="b">
        <v>0</v>
      </c>
      <c r="G238" s="38" t="s">
        <v>224</v>
      </c>
      <c r="H238" s="38"/>
      <c r="I238" s="38" t="s">
        <v>280</v>
      </c>
      <c r="J238" s="38">
        <v>10.0</v>
      </c>
      <c r="K238" s="38" t="s">
        <v>3266</v>
      </c>
      <c r="L238" s="38">
        <v>1004.0</v>
      </c>
      <c r="M238" s="38" t="s">
        <v>35</v>
      </c>
      <c r="N238" s="38">
        <v>2000.0</v>
      </c>
      <c r="O238" s="38" t="s">
        <v>1114</v>
      </c>
      <c r="P238" s="40"/>
      <c r="Q238" s="38" t="s">
        <v>289</v>
      </c>
      <c r="R238" s="38">
        <v>40.0</v>
      </c>
      <c r="S238" s="38" t="s">
        <v>3267</v>
      </c>
      <c r="T238" s="38" t="s">
        <v>3268</v>
      </c>
      <c r="U238" s="38" t="s">
        <v>3263</v>
      </c>
      <c r="V238" s="61">
        <v>1993.0</v>
      </c>
      <c r="W238" s="38" t="s">
        <v>610</v>
      </c>
      <c r="X238" s="38" t="s">
        <v>3269</v>
      </c>
      <c r="Y238" s="38"/>
      <c r="Z238" s="38"/>
      <c r="AA238" s="38"/>
      <c r="AB238" s="38"/>
      <c r="AC238" s="38"/>
      <c r="AD238" s="38"/>
      <c r="AE238" s="38"/>
      <c r="AF238" s="38"/>
      <c r="AG238" s="28" t="s">
        <v>3270</v>
      </c>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row>
    <row r="239" ht="25.5" customHeight="1">
      <c r="A239" s="28">
        <v>385.0</v>
      </c>
      <c r="B239" s="37" t="b">
        <v>1</v>
      </c>
      <c r="C239" s="38" t="s">
        <v>106</v>
      </c>
      <c r="D239" s="38">
        <v>80.0</v>
      </c>
      <c r="E239" s="13" t="b">
        <v>1</v>
      </c>
      <c r="F239" s="13" t="b">
        <v>0</v>
      </c>
      <c r="G239" s="38" t="s">
        <v>224</v>
      </c>
      <c r="H239" s="38"/>
      <c r="I239" s="38" t="s">
        <v>3276</v>
      </c>
      <c r="J239" s="38" t="s">
        <v>3277</v>
      </c>
      <c r="K239" s="38" t="s">
        <v>224</v>
      </c>
      <c r="L239" s="38"/>
      <c r="M239" s="38" t="s">
        <v>408</v>
      </c>
      <c r="N239" s="38">
        <v>20000.0</v>
      </c>
      <c r="O239" s="38" t="s">
        <v>169</v>
      </c>
      <c r="P239" s="40"/>
      <c r="Q239" s="38" t="s">
        <v>111</v>
      </c>
      <c r="R239" s="38">
        <v>41.0</v>
      </c>
      <c r="S239" s="38" t="s">
        <v>3278</v>
      </c>
      <c r="T239" s="38" t="s">
        <v>3279</v>
      </c>
      <c r="U239" s="38" t="s">
        <v>3263</v>
      </c>
      <c r="V239" s="38">
        <v>2002.0</v>
      </c>
      <c r="W239" s="38" t="s">
        <v>3280</v>
      </c>
      <c r="X239" s="49" t="str">
        <f>HYPERLINK("http://eab.sagepub.com/content/34/2/163.short","http://eab.sagepub.com/content/34/2/163.short")</f>
        <v>http://eab.sagepub.com/content/34/2/163.short</v>
      </c>
      <c r="Y239" s="38"/>
      <c r="Z239" s="38"/>
      <c r="AA239" s="38"/>
      <c r="AB239" s="38"/>
      <c r="AC239" s="38"/>
      <c r="AD239" s="38"/>
      <c r="AE239" s="38"/>
      <c r="AF239" s="38"/>
      <c r="AG239" s="28" t="s">
        <v>3288</v>
      </c>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row>
    <row r="240" ht="25.5" customHeight="1">
      <c r="A240" s="28">
        <v>48.0</v>
      </c>
      <c r="B240" s="37" t="b">
        <v>1</v>
      </c>
      <c r="C240" s="38" t="s">
        <v>106</v>
      </c>
      <c r="D240" s="38">
        <v>80.0</v>
      </c>
      <c r="E240" s="13" t="b">
        <v>0</v>
      </c>
      <c r="F240" s="13" t="b">
        <v>1</v>
      </c>
      <c r="G240" s="38" t="s">
        <v>224</v>
      </c>
      <c r="H240" s="38"/>
      <c r="I240" s="38" t="s">
        <v>3289</v>
      </c>
      <c r="J240" s="38" t="s">
        <v>3290</v>
      </c>
      <c r="K240" s="38" t="s">
        <v>3291</v>
      </c>
      <c r="L240" s="38" t="s">
        <v>3292</v>
      </c>
      <c r="M240" s="38" t="s">
        <v>35</v>
      </c>
      <c r="N240" s="38">
        <v>2000.0</v>
      </c>
      <c r="O240" s="38" t="s">
        <v>644</v>
      </c>
      <c r="P240" s="40"/>
      <c r="Q240" s="38" t="s">
        <v>324</v>
      </c>
      <c r="R240" s="38" t="s">
        <v>325</v>
      </c>
      <c r="S240" s="38" t="s">
        <v>3294</v>
      </c>
      <c r="T240" s="38" t="s">
        <v>3296</v>
      </c>
      <c r="U240" s="38" t="s">
        <v>3263</v>
      </c>
      <c r="V240" s="38">
        <v>2011.0</v>
      </c>
      <c r="W240" s="38" t="s">
        <v>3298</v>
      </c>
      <c r="X240" s="38" t="s">
        <v>3299</v>
      </c>
      <c r="Y240" s="38"/>
      <c r="Z240" s="38"/>
      <c r="AA240" s="38"/>
      <c r="AB240" s="38"/>
      <c r="AC240" s="38"/>
      <c r="AD240" s="38"/>
      <c r="AE240" s="38"/>
      <c r="AF240" s="38"/>
      <c r="AG240" s="28"/>
      <c r="AH240" s="28" t="s">
        <v>462</v>
      </c>
      <c r="AI240" s="28" t="s">
        <v>462</v>
      </c>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row>
    <row r="241" ht="25.5" customHeight="1">
      <c r="A241" s="28">
        <v>426.0</v>
      </c>
      <c r="B241" s="37" t="b">
        <v>1</v>
      </c>
      <c r="C241" s="38" t="s">
        <v>106</v>
      </c>
      <c r="D241" s="38">
        <v>80.0</v>
      </c>
      <c r="E241" s="13" t="b">
        <v>0</v>
      </c>
      <c r="F241" s="13" t="b">
        <v>1</v>
      </c>
      <c r="G241" s="38" t="s">
        <v>224</v>
      </c>
      <c r="H241" s="38"/>
      <c r="I241" s="38" t="s">
        <v>387</v>
      </c>
      <c r="J241" s="38">
        <v>8.0</v>
      </c>
      <c r="K241" s="38" t="s">
        <v>3297</v>
      </c>
      <c r="L241" s="38">
        <v>805.0</v>
      </c>
      <c r="M241" s="38" t="s">
        <v>35</v>
      </c>
      <c r="N241" s="38">
        <v>2000.0</v>
      </c>
      <c r="O241" s="38" t="s">
        <v>2373</v>
      </c>
      <c r="P241" s="40">
        <v>2001.0</v>
      </c>
      <c r="Q241" s="38" t="s">
        <v>111</v>
      </c>
      <c r="R241" s="38">
        <v>41.0</v>
      </c>
      <c r="S241" s="38" t="s">
        <v>3302</v>
      </c>
      <c r="T241" s="38" t="s">
        <v>3303</v>
      </c>
      <c r="U241" s="38" t="s">
        <v>3263</v>
      </c>
      <c r="V241" s="38">
        <v>2015.0</v>
      </c>
      <c r="W241" s="38" t="s">
        <v>3304</v>
      </c>
      <c r="X241" s="38" t="s">
        <v>3305</v>
      </c>
      <c r="Y241" s="38"/>
      <c r="Z241" s="38"/>
      <c r="AA241" s="38"/>
      <c r="AB241" s="38"/>
      <c r="AC241" s="38"/>
      <c r="AD241" s="38"/>
      <c r="AE241" s="38"/>
      <c r="AF241" s="38"/>
      <c r="AG241" s="28"/>
      <c r="AH241" s="28" t="s">
        <v>428</v>
      </c>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row>
    <row r="242" ht="25.5" customHeight="1">
      <c r="A242" s="28">
        <v>431.0</v>
      </c>
      <c r="B242" s="37" t="b">
        <v>1</v>
      </c>
      <c r="C242" s="38" t="s">
        <v>106</v>
      </c>
      <c r="D242" s="38">
        <v>80.0</v>
      </c>
      <c r="E242" s="13" t="b">
        <v>0</v>
      </c>
      <c r="F242" s="13" t="b">
        <v>1</v>
      </c>
      <c r="G242" s="38" t="s">
        <v>224</v>
      </c>
      <c r="H242" s="38"/>
      <c r="I242" s="38" t="s">
        <v>387</v>
      </c>
      <c r="J242" s="38">
        <v>8.0</v>
      </c>
      <c r="K242" s="38" t="s">
        <v>2072</v>
      </c>
      <c r="L242" s="38">
        <v>801.0</v>
      </c>
      <c r="M242" s="38" t="s">
        <v>35</v>
      </c>
      <c r="N242" s="38">
        <v>2000.0</v>
      </c>
      <c r="O242" s="38" t="s">
        <v>942</v>
      </c>
      <c r="P242" s="40"/>
      <c r="Q242" s="38" t="s">
        <v>289</v>
      </c>
      <c r="R242" s="38">
        <v>40.0</v>
      </c>
      <c r="S242" s="38" t="s">
        <v>3308</v>
      </c>
      <c r="T242" s="38" t="s">
        <v>3309</v>
      </c>
      <c r="U242" s="38" t="s">
        <v>3263</v>
      </c>
      <c r="V242" s="38">
        <v>1992.0</v>
      </c>
      <c r="W242" s="38" t="s">
        <v>3311</v>
      </c>
      <c r="X242" s="49" t="str">
        <f>HYPERLINK("http://eab.sagepub.com/content/24/5/602","http://eab.sagepub.com/content/24/5/602")</f>
        <v>http://eab.sagepub.com/content/24/5/602</v>
      </c>
      <c r="Y242" s="38"/>
      <c r="Z242" s="38"/>
      <c r="AA242" s="38"/>
      <c r="AB242" s="38"/>
      <c r="AC242" s="38"/>
      <c r="AD242" s="38"/>
      <c r="AE242" s="38"/>
      <c r="AF242" s="38"/>
      <c r="AG242" s="28" t="s">
        <v>3313</v>
      </c>
      <c r="AH242" s="28" t="s">
        <v>842</v>
      </c>
      <c r="AI242" s="28" t="s">
        <v>462</v>
      </c>
      <c r="AJ242" s="28"/>
      <c r="AK242" s="28"/>
      <c r="AL242" s="28" t="s">
        <v>561</v>
      </c>
      <c r="AM242" s="28" t="s">
        <v>3314</v>
      </c>
      <c r="AN242" s="54">
        <v>42430.0</v>
      </c>
      <c r="AO242" s="28"/>
      <c r="AP242" s="54">
        <v>42597.0</v>
      </c>
      <c r="AQ242" s="28"/>
      <c r="AR242" s="28"/>
      <c r="AS242" s="28"/>
      <c r="AT242" s="28"/>
      <c r="AU242" s="28"/>
      <c r="AV242" s="28"/>
      <c r="AW242" s="28"/>
      <c r="AX242" s="28"/>
      <c r="AY242" s="28"/>
      <c r="AZ242" s="28"/>
      <c r="BA242" s="28" t="s">
        <v>3315</v>
      </c>
      <c r="BB242" s="28"/>
      <c r="BC242" s="28"/>
      <c r="BD242" s="28"/>
      <c r="BE242" s="28"/>
      <c r="BF242" s="28"/>
      <c r="BG242" s="28"/>
      <c r="BH242" s="28"/>
      <c r="BI242" s="28"/>
      <c r="BJ242" s="28"/>
      <c r="BK242" s="28"/>
      <c r="BL242" s="28"/>
      <c r="BM242" s="28"/>
      <c r="BN242" s="28"/>
      <c r="BO242" s="28"/>
    </row>
    <row r="243" ht="25.5" customHeight="1">
      <c r="A243" s="28">
        <v>370.0</v>
      </c>
      <c r="B243" s="37" t="b">
        <v>1</v>
      </c>
      <c r="C243" s="38" t="s">
        <v>106</v>
      </c>
      <c r="D243" s="38">
        <v>80.0</v>
      </c>
      <c r="E243" s="13" t="b">
        <v>0</v>
      </c>
      <c r="F243" s="13" t="b">
        <v>1</v>
      </c>
      <c r="G243" s="38" t="s">
        <v>224</v>
      </c>
      <c r="H243" s="38"/>
      <c r="I243" s="38" t="s">
        <v>280</v>
      </c>
      <c r="J243" s="38">
        <v>10.0</v>
      </c>
      <c r="K243" s="38" t="s">
        <v>2903</v>
      </c>
      <c r="L243" s="38">
        <v>1002.0</v>
      </c>
      <c r="M243" s="38" t="s">
        <v>107</v>
      </c>
      <c r="N243" s="38">
        <v>3000.0</v>
      </c>
      <c r="O243" s="38" t="s">
        <v>470</v>
      </c>
      <c r="P243" s="40"/>
      <c r="Q243" s="38" t="s">
        <v>111</v>
      </c>
      <c r="R243" s="38">
        <v>41.0</v>
      </c>
      <c r="S243" s="38" t="s">
        <v>3323</v>
      </c>
      <c r="T243" s="38" t="s">
        <v>3324</v>
      </c>
      <c r="U243" s="38" t="s">
        <v>3263</v>
      </c>
      <c r="V243" s="38">
        <v>2015.0</v>
      </c>
      <c r="W243" s="38" t="s">
        <v>3325</v>
      </c>
      <c r="X243" s="49" t="str">
        <f>HYPERLINK("http://eab.sagepub.com/content/43/5/612.short","http://eab.sagepub.com/content/43/5/612.short")</f>
        <v>http://eab.sagepub.com/content/43/5/612.short</v>
      </c>
      <c r="Y243" s="38"/>
      <c r="Z243" s="38"/>
      <c r="AA243" s="38"/>
      <c r="AB243" s="38"/>
      <c r="AC243" s="38"/>
      <c r="AD243" s="38"/>
      <c r="AE243" s="38"/>
      <c r="AF243" s="38"/>
      <c r="AG243" s="28" t="s">
        <v>3330</v>
      </c>
      <c r="AH243" s="28"/>
      <c r="AI243" s="28"/>
      <c r="AJ243" s="28" t="s">
        <v>3233</v>
      </c>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row>
    <row r="244" ht="25.5" customHeight="1">
      <c r="A244" s="28">
        <v>407.0</v>
      </c>
      <c r="B244" s="37" t="b">
        <v>1</v>
      </c>
      <c r="C244" s="38" t="s">
        <v>106</v>
      </c>
      <c r="D244" s="38">
        <v>80.0</v>
      </c>
      <c r="E244" s="13" t="b">
        <v>0</v>
      </c>
      <c r="F244" s="13" t="b">
        <v>1</v>
      </c>
      <c r="G244" s="38" t="s">
        <v>224</v>
      </c>
      <c r="H244" s="38"/>
      <c r="I244" s="38" t="s">
        <v>712</v>
      </c>
      <c r="J244" s="38">
        <v>7.0</v>
      </c>
      <c r="K244" s="38" t="s">
        <v>3333</v>
      </c>
      <c r="L244" s="38">
        <v>700.0</v>
      </c>
      <c r="M244" s="38" t="s">
        <v>107</v>
      </c>
      <c r="N244" s="38">
        <v>3000.0</v>
      </c>
      <c r="O244" s="38" t="s">
        <v>3334</v>
      </c>
      <c r="P244" s="40"/>
      <c r="Q244" s="38" t="s">
        <v>111</v>
      </c>
      <c r="R244" s="38">
        <v>41.0</v>
      </c>
      <c r="S244" s="38" t="s">
        <v>3336</v>
      </c>
      <c r="T244" s="38" t="s">
        <v>3337</v>
      </c>
      <c r="U244" s="38" t="s">
        <v>3263</v>
      </c>
      <c r="V244" s="38">
        <v>2013.0</v>
      </c>
      <c r="W244" s="38" t="s">
        <v>3338</v>
      </c>
      <c r="X244" s="38"/>
      <c r="Y244" s="38"/>
      <c r="Z244" s="38"/>
      <c r="AA244" s="38"/>
      <c r="AB244" s="38"/>
      <c r="AC244" s="38"/>
      <c r="AD244" s="38"/>
      <c r="AE244" s="38"/>
      <c r="AF244" s="38"/>
      <c r="AG244" s="28"/>
      <c r="AH244" s="28"/>
      <c r="AI244" s="28"/>
      <c r="AJ244" s="28" t="s">
        <v>3233</v>
      </c>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row>
    <row r="245" ht="25.5" customHeight="1">
      <c r="A245" s="28">
        <v>473.0</v>
      </c>
      <c r="B245" s="37" t="b">
        <v>1</v>
      </c>
      <c r="C245" s="38" t="s">
        <v>106</v>
      </c>
      <c r="D245" s="38">
        <v>80.0</v>
      </c>
      <c r="E245" s="13" t="b">
        <v>0</v>
      </c>
      <c r="F245" s="13" t="b">
        <v>1</v>
      </c>
      <c r="G245" s="38" t="s">
        <v>224</v>
      </c>
      <c r="H245" s="38"/>
      <c r="I245" s="38" t="s">
        <v>772</v>
      </c>
      <c r="J245" s="38">
        <v>5.0</v>
      </c>
      <c r="K245" s="38" t="s">
        <v>773</v>
      </c>
      <c r="L245" s="38">
        <v>500.0</v>
      </c>
      <c r="M245" s="38" t="s">
        <v>107</v>
      </c>
      <c r="N245" s="38">
        <v>3000.0</v>
      </c>
      <c r="O245" s="38" t="s">
        <v>116</v>
      </c>
      <c r="P245" s="40"/>
      <c r="Q245" s="38" t="s">
        <v>289</v>
      </c>
      <c r="R245" s="38">
        <v>40.0</v>
      </c>
      <c r="S245" s="38" t="s">
        <v>3340</v>
      </c>
      <c r="T245" s="38" t="s">
        <v>3341</v>
      </c>
      <c r="U245" s="38" t="s">
        <v>3263</v>
      </c>
      <c r="V245" s="38">
        <v>2015.0</v>
      </c>
      <c r="W245" s="38" t="s">
        <v>3342</v>
      </c>
      <c r="X245" s="38" t="s">
        <v>3343</v>
      </c>
      <c r="Y245" s="38"/>
      <c r="Z245" s="38"/>
      <c r="AA245" s="38"/>
      <c r="AB245" s="38"/>
      <c r="AC245" s="38"/>
      <c r="AD245" s="38"/>
      <c r="AE245" s="38"/>
      <c r="AF245" s="38"/>
      <c r="AG245" s="28"/>
      <c r="AH245" s="28" t="s">
        <v>926</v>
      </c>
      <c r="AI245" s="28" t="s">
        <v>462</v>
      </c>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row>
    <row r="246" ht="25.5" customHeight="1">
      <c r="A246" s="28">
        <v>237.0</v>
      </c>
      <c r="B246" s="37" t="b">
        <v>1</v>
      </c>
      <c r="C246" s="38" t="s">
        <v>106</v>
      </c>
      <c r="D246" s="38">
        <v>80.0</v>
      </c>
      <c r="E246" s="13" t="b">
        <v>0</v>
      </c>
      <c r="F246" s="13" t="b">
        <v>1</v>
      </c>
      <c r="G246" s="38" t="s">
        <v>224</v>
      </c>
      <c r="H246" s="38"/>
      <c r="I246" s="38" t="s">
        <v>3345</v>
      </c>
      <c r="J246" s="38" t="s">
        <v>3347</v>
      </c>
      <c r="K246" s="38" t="s">
        <v>224</v>
      </c>
      <c r="L246" s="38"/>
      <c r="M246" s="38" t="s">
        <v>965</v>
      </c>
      <c r="N246" s="38" t="s">
        <v>966</v>
      </c>
      <c r="O246" s="38" t="s">
        <v>3349</v>
      </c>
      <c r="P246" s="40"/>
      <c r="Q246" s="38" t="s">
        <v>289</v>
      </c>
      <c r="R246" s="38">
        <v>40.0</v>
      </c>
      <c r="S246" s="38" t="s">
        <v>3350</v>
      </c>
      <c r="T246" s="38" t="s">
        <v>3351</v>
      </c>
      <c r="U246" s="38" t="s">
        <v>3263</v>
      </c>
      <c r="V246" s="38">
        <v>2011.0</v>
      </c>
      <c r="W246" s="38" t="s">
        <v>3352</v>
      </c>
      <c r="X246" s="38"/>
      <c r="Y246" s="38"/>
      <c r="Z246" s="38"/>
      <c r="AA246" s="38"/>
      <c r="AB246" s="38"/>
      <c r="AC246" s="38"/>
      <c r="AD246" s="38"/>
      <c r="AE246" s="38"/>
      <c r="AF246" s="3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row>
    <row r="247" ht="25.5" customHeight="1">
      <c r="A247" s="28">
        <v>185.0</v>
      </c>
      <c r="B247" s="37" t="b">
        <v>1</v>
      </c>
      <c r="C247" s="38" t="s">
        <v>106</v>
      </c>
      <c r="D247" s="38">
        <v>80.0</v>
      </c>
      <c r="E247" s="13" t="b">
        <v>0</v>
      </c>
      <c r="F247" s="13" t="b">
        <v>1</v>
      </c>
      <c r="G247" s="38" t="s">
        <v>224</v>
      </c>
      <c r="H247" s="38"/>
      <c r="I247" s="38" t="s">
        <v>429</v>
      </c>
      <c r="J247" s="38">
        <v>2.0</v>
      </c>
      <c r="K247" s="38" t="s">
        <v>524</v>
      </c>
      <c r="L247" s="38">
        <v>205.0</v>
      </c>
      <c r="M247" s="38" t="s">
        <v>321</v>
      </c>
      <c r="N247" s="38">
        <v>7000.0</v>
      </c>
      <c r="O247" s="38" t="s">
        <v>3355</v>
      </c>
      <c r="P247" s="40"/>
      <c r="Q247" s="38" t="s">
        <v>289</v>
      </c>
      <c r="R247" s="38">
        <v>40.0</v>
      </c>
      <c r="S247" s="38" t="s">
        <v>3358</v>
      </c>
      <c r="T247" s="38" t="s">
        <v>3359</v>
      </c>
      <c r="U247" s="38" t="s">
        <v>3263</v>
      </c>
      <c r="V247" s="38">
        <v>2014.0</v>
      </c>
      <c r="W247" s="38" t="s">
        <v>3361</v>
      </c>
      <c r="X247" s="38" t="s">
        <v>3362</v>
      </c>
      <c r="Y247" s="38"/>
      <c r="Z247" s="38"/>
      <c r="AA247" s="38"/>
      <c r="AB247" s="38"/>
      <c r="AC247" s="38"/>
      <c r="AD247" s="38"/>
      <c r="AE247" s="38"/>
      <c r="AF247" s="38"/>
      <c r="AG247" s="28"/>
      <c r="AH247" s="28" t="s">
        <v>462</v>
      </c>
      <c r="AI247" s="28" t="s">
        <v>428</v>
      </c>
      <c r="AJ247" s="28"/>
      <c r="AK247" s="28"/>
      <c r="AL247" s="28"/>
      <c r="AM247" s="28"/>
      <c r="AN247" s="28"/>
      <c r="AO247" s="28"/>
      <c r="AP247" s="28"/>
      <c r="AQ247" s="28"/>
      <c r="AR247" s="28"/>
      <c r="AS247" s="28"/>
      <c r="AT247" s="28"/>
      <c r="AU247" s="28"/>
      <c r="AV247" s="28"/>
      <c r="AW247" s="28"/>
      <c r="AX247" s="28"/>
      <c r="AY247" s="28"/>
      <c r="AZ247" s="28"/>
      <c r="BA247" s="28" t="s">
        <v>3364</v>
      </c>
      <c r="BB247" s="28"/>
      <c r="BC247" s="28"/>
      <c r="BD247" s="28"/>
      <c r="BE247" s="28"/>
      <c r="BF247" s="28"/>
      <c r="BG247" s="28"/>
      <c r="BH247" s="28"/>
      <c r="BI247" s="28"/>
      <c r="BJ247" s="28"/>
      <c r="BK247" s="28"/>
      <c r="BL247" s="28"/>
      <c r="BM247" s="28"/>
      <c r="BN247" s="28"/>
      <c r="BO247" s="28"/>
    </row>
    <row r="248" ht="25.5" customHeight="1">
      <c r="A248" s="28">
        <v>498.0</v>
      </c>
      <c r="B248" s="37" t="b">
        <v>1</v>
      </c>
      <c r="C248" s="38" t="s">
        <v>106</v>
      </c>
      <c r="D248" s="38">
        <v>80.0</v>
      </c>
      <c r="E248" s="13" t="b">
        <v>0</v>
      </c>
      <c r="F248" s="13" t="b">
        <v>1</v>
      </c>
      <c r="G248" s="38" t="s">
        <v>224</v>
      </c>
      <c r="H248" s="38"/>
      <c r="I248" s="38" t="s">
        <v>1153</v>
      </c>
      <c r="J248" s="38">
        <v>6.0</v>
      </c>
      <c r="K248" s="38"/>
      <c r="L248" s="38"/>
      <c r="M248" s="38" t="s">
        <v>323</v>
      </c>
      <c r="N248" s="38">
        <v>24000.0</v>
      </c>
      <c r="O248" s="38" t="s">
        <v>421</v>
      </c>
      <c r="P248" s="40"/>
      <c r="Q248" s="38" t="s">
        <v>289</v>
      </c>
      <c r="R248" s="38">
        <v>40.0</v>
      </c>
      <c r="S248" s="38" t="s">
        <v>3368</v>
      </c>
      <c r="T248" s="38" t="s">
        <v>3369</v>
      </c>
      <c r="U248" s="38" t="s">
        <v>3263</v>
      </c>
      <c r="V248" s="38">
        <v>1995.0</v>
      </c>
      <c r="W248" s="38" t="s">
        <v>3371</v>
      </c>
      <c r="X248" s="38"/>
      <c r="Y248" s="38"/>
      <c r="Z248" s="38"/>
      <c r="AA248" s="38"/>
      <c r="AB248" s="38"/>
      <c r="AC248" s="38"/>
      <c r="AD248" s="38"/>
      <c r="AE248" s="38"/>
      <c r="AF248" s="38"/>
      <c r="AG248" s="28"/>
      <c r="AH248" s="28" t="s">
        <v>462</v>
      </c>
      <c r="AI248" s="28" t="s">
        <v>462</v>
      </c>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row>
    <row r="249" ht="25.5" customHeight="1">
      <c r="A249" s="28">
        <v>509.0</v>
      </c>
      <c r="B249" s="37" t="b">
        <v>1</v>
      </c>
      <c r="C249" s="38" t="s">
        <v>106</v>
      </c>
      <c r="D249" s="38">
        <v>80.0</v>
      </c>
      <c r="E249" s="13" t="b">
        <v>0</v>
      </c>
      <c r="F249" s="13" t="b">
        <v>1</v>
      </c>
      <c r="G249" s="38" t="s">
        <v>224</v>
      </c>
      <c r="H249" s="38"/>
      <c r="I249" s="38" t="s">
        <v>387</v>
      </c>
      <c r="J249" s="38">
        <v>8.0</v>
      </c>
      <c r="K249" s="38" t="s">
        <v>3297</v>
      </c>
      <c r="L249" s="38">
        <v>805.0</v>
      </c>
      <c r="M249" s="38" t="s">
        <v>323</v>
      </c>
      <c r="N249" s="38">
        <v>24000.0</v>
      </c>
      <c r="O249" s="38" t="s">
        <v>421</v>
      </c>
      <c r="P249" s="40"/>
      <c r="Q249" s="38" t="s">
        <v>111</v>
      </c>
      <c r="R249" s="38">
        <v>41.0</v>
      </c>
      <c r="S249" s="38" t="s">
        <v>3373</v>
      </c>
      <c r="T249" s="38" t="s">
        <v>3374</v>
      </c>
      <c r="U249" s="38" t="s">
        <v>3263</v>
      </c>
      <c r="V249" s="38">
        <v>2015.0</v>
      </c>
      <c r="W249" s="38" t="s">
        <v>3377</v>
      </c>
      <c r="X249" s="38"/>
      <c r="Y249" s="38"/>
      <c r="Z249" s="38"/>
      <c r="AA249" s="38"/>
      <c r="AB249" s="38"/>
      <c r="AC249" s="38"/>
      <c r="AD249" s="38"/>
      <c r="AE249" s="38"/>
      <c r="AF249" s="38"/>
      <c r="AG249" s="28"/>
      <c r="AH249" s="28" t="s">
        <v>39</v>
      </c>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row>
    <row r="250" ht="25.5" customHeight="1">
      <c r="A250" s="28">
        <v>510.0</v>
      </c>
      <c r="B250" s="37" t="b">
        <v>1</v>
      </c>
      <c r="C250" s="38" t="s">
        <v>106</v>
      </c>
      <c r="D250" s="38">
        <v>80.0</v>
      </c>
      <c r="E250" s="13" t="b">
        <v>0</v>
      </c>
      <c r="F250" s="13" t="b">
        <v>1</v>
      </c>
      <c r="G250" s="38" t="s">
        <v>224</v>
      </c>
      <c r="H250" s="38"/>
      <c r="I250" s="38" t="s">
        <v>387</v>
      </c>
      <c r="J250" s="38">
        <v>8.0</v>
      </c>
      <c r="K250" s="38" t="s">
        <v>3297</v>
      </c>
      <c r="L250" s="38">
        <v>805.0</v>
      </c>
      <c r="M250" s="38" t="s">
        <v>323</v>
      </c>
      <c r="N250" s="38">
        <v>24000.0</v>
      </c>
      <c r="O250" s="38" t="s">
        <v>421</v>
      </c>
      <c r="P250" s="40"/>
      <c r="Q250" s="38" t="s">
        <v>111</v>
      </c>
      <c r="R250" s="38">
        <v>41.0</v>
      </c>
      <c r="S250" s="38" t="s">
        <v>3378</v>
      </c>
      <c r="T250" s="38" t="s">
        <v>3379</v>
      </c>
      <c r="U250" s="38" t="s">
        <v>3263</v>
      </c>
      <c r="V250" s="38">
        <v>2008.0</v>
      </c>
      <c r="W250" s="38" t="s">
        <v>3380</v>
      </c>
      <c r="X250" s="38"/>
      <c r="Y250" s="38"/>
      <c r="Z250" s="38"/>
      <c r="AA250" s="38"/>
      <c r="AB250" s="38"/>
      <c r="AC250" s="38"/>
      <c r="AD250" s="38"/>
      <c r="AE250" s="38"/>
      <c r="AF250" s="38"/>
      <c r="AG250" s="28"/>
      <c r="AH250" s="28" t="s">
        <v>39</v>
      </c>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row>
    <row r="251" ht="25.5" customHeight="1">
      <c r="A251" s="28">
        <v>511.0</v>
      </c>
      <c r="B251" s="37" t="b">
        <v>1</v>
      </c>
      <c r="C251" s="38" t="s">
        <v>106</v>
      </c>
      <c r="D251" s="38">
        <v>80.0</v>
      </c>
      <c r="E251" s="13" t="b">
        <v>0</v>
      </c>
      <c r="F251" s="13" t="b">
        <v>1</v>
      </c>
      <c r="G251" s="38" t="s">
        <v>224</v>
      </c>
      <c r="H251" s="38"/>
      <c r="I251" s="38" t="s">
        <v>387</v>
      </c>
      <c r="J251" s="38">
        <v>8.0</v>
      </c>
      <c r="K251" s="38" t="s">
        <v>3297</v>
      </c>
      <c r="L251" s="38">
        <v>805.0</v>
      </c>
      <c r="M251" s="38" t="s">
        <v>323</v>
      </c>
      <c r="N251" s="38">
        <v>24000.0</v>
      </c>
      <c r="O251" s="38" t="s">
        <v>421</v>
      </c>
      <c r="P251" s="40"/>
      <c r="Q251" s="38" t="s">
        <v>95</v>
      </c>
      <c r="R251" s="38">
        <v>41.0</v>
      </c>
      <c r="S251" s="38" t="s">
        <v>3382</v>
      </c>
      <c r="T251" s="38" t="s">
        <v>3379</v>
      </c>
      <c r="U251" s="38" t="s">
        <v>3263</v>
      </c>
      <c r="V251" s="38">
        <v>2007.0</v>
      </c>
      <c r="W251" s="38" t="s">
        <v>3383</v>
      </c>
      <c r="X251" s="38"/>
      <c r="Y251" s="38"/>
      <c r="Z251" s="38"/>
      <c r="AA251" s="38"/>
      <c r="AB251" s="38"/>
      <c r="AC251" s="38"/>
      <c r="AD251" s="38"/>
      <c r="AE251" s="38"/>
      <c r="AF251" s="38"/>
      <c r="AG251" s="28"/>
      <c r="AH251" s="28" t="s">
        <v>39</v>
      </c>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row>
    <row r="252" ht="25.5" customHeight="1">
      <c r="A252" s="28">
        <v>490.0</v>
      </c>
      <c r="B252" s="37" t="b">
        <v>1</v>
      </c>
      <c r="C252" s="38" t="s">
        <v>106</v>
      </c>
      <c r="D252" s="38">
        <v>80.0</v>
      </c>
      <c r="E252" s="13" t="b">
        <v>0</v>
      </c>
      <c r="F252" s="13" t="b">
        <v>1</v>
      </c>
      <c r="G252" s="38" t="s">
        <v>224</v>
      </c>
      <c r="H252" s="38"/>
      <c r="I252" s="38" t="s">
        <v>887</v>
      </c>
      <c r="J252" s="38">
        <v>9.0</v>
      </c>
      <c r="K252" s="38" t="s">
        <v>3385</v>
      </c>
      <c r="L252" s="38">
        <v>906.0</v>
      </c>
      <c r="M252" s="38" t="s">
        <v>359</v>
      </c>
      <c r="N252" s="38">
        <v>10000.0</v>
      </c>
      <c r="O252" s="38" t="s">
        <v>3386</v>
      </c>
      <c r="P252" s="40"/>
      <c r="Q252" s="38" t="s">
        <v>289</v>
      </c>
      <c r="R252" s="38">
        <v>40.0</v>
      </c>
      <c r="S252" s="38" t="s">
        <v>3388</v>
      </c>
      <c r="T252" s="38" t="s">
        <v>3389</v>
      </c>
      <c r="U252" s="38" t="s">
        <v>3263</v>
      </c>
      <c r="V252" s="38">
        <v>2001.0</v>
      </c>
      <c r="W252" s="38" t="s">
        <v>3391</v>
      </c>
      <c r="X252" s="38"/>
      <c r="Y252" s="38"/>
      <c r="Z252" s="38"/>
      <c r="AA252" s="38"/>
      <c r="AB252" s="38"/>
      <c r="AC252" s="38"/>
      <c r="AD252" s="38"/>
      <c r="AE252" s="38"/>
      <c r="AF252" s="38"/>
      <c r="AG252" s="28"/>
      <c r="AH252" s="28" t="s">
        <v>462</v>
      </c>
      <c r="AI252" s="28" t="s">
        <v>462</v>
      </c>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row>
    <row r="253" ht="25.5" customHeight="1">
      <c r="A253" s="28">
        <v>383.0</v>
      </c>
      <c r="B253" s="37" t="b">
        <v>1</v>
      </c>
      <c r="C253" s="38" t="s">
        <v>106</v>
      </c>
      <c r="D253" s="38">
        <v>80.0</v>
      </c>
      <c r="E253" s="13" t="b">
        <v>0</v>
      </c>
      <c r="F253" s="13" t="b">
        <v>1</v>
      </c>
      <c r="G253" s="38" t="s">
        <v>224</v>
      </c>
      <c r="H253" s="38"/>
      <c r="I253" s="38" t="s">
        <v>280</v>
      </c>
      <c r="J253" s="38">
        <v>10.0</v>
      </c>
      <c r="K253" s="38" t="s">
        <v>3392</v>
      </c>
      <c r="L253" s="38">
        <v>1003.0</v>
      </c>
      <c r="M253" s="38" t="s">
        <v>408</v>
      </c>
      <c r="N253" s="38">
        <v>20000.0</v>
      </c>
      <c r="O253" s="38" t="s">
        <v>169</v>
      </c>
      <c r="P253" s="40"/>
      <c r="Q253" s="38" t="s">
        <v>111</v>
      </c>
      <c r="R253" s="38">
        <v>41.0</v>
      </c>
      <c r="S253" s="38" t="s">
        <v>3394</v>
      </c>
      <c r="T253" s="38" t="s">
        <v>3395</v>
      </c>
      <c r="U253" s="38" t="s">
        <v>3263</v>
      </c>
      <c r="V253" s="38">
        <v>2014.0</v>
      </c>
      <c r="W253" s="38" t="s">
        <v>3396</v>
      </c>
      <c r="X253" s="49" t="str">
        <f>HYPERLINK("http://eab.sagepub.com/content/38/6/820.short","http://eab.sagepub.com/content/38/6/820.short")</f>
        <v>http://eab.sagepub.com/content/38/6/820.short</v>
      </c>
      <c r="Y253" s="38"/>
      <c r="Z253" s="38"/>
      <c r="AA253" s="38"/>
      <c r="AB253" s="38"/>
      <c r="AC253" s="38"/>
      <c r="AD253" s="38"/>
      <c r="AE253" s="38"/>
      <c r="AF253" s="38"/>
      <c r="AG253" s="28" t="s">
        <v>3402</v>
      </c>
      <c r="AH253" s="28"/>
      <c r="AI253" s="28"/>
      <c r="AJ253" s="28" t="s">
        <v>3403</v>
      </c>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row>
    <row r="254" ht="25.5" customHeight="1">
      <c r="A254" s="28">
        <v>489.0</v>
      </c>
      <c r="B254" s="37" t="b">
        <v>1</v>
      </c>
      <c r="C254" s="38" t="s">
        <v>106</v>
      </c>
      <c r="D254" s="38">
        <v>80.0</v>
      </c>
      <c r="E254" s="13" t="b">
        <v>0</v>
      </c>
      <c r="F254" s="13" t="b">
        <v>1</v>
      </c>
      <c r="G254" s="38" t="s">
        <v>224</v>
      </c>
      <c r="H254" s="38"/>
      <c r="I254" s="38" t="s">
        <v>3405</v>
      </c>
      <c r="J254" s="38" t="s">
        <v>3406</v>
      </c>
      <c r="K254" s="38"/>
      <c r="L254" s="38"/>
      <c r="M254" s="38" t="s">
        <v>411</v>
      </c>
      <c r="N254" s="38">
        <v>21000.0</v>
      </c>
      <c r="O254" s="38" t="s">
        <v>1052</v>
      </c>
      <c r="P254" s="40"/>
      <c r="Q254" s="38" t="s">
        <v>111</v>
      </c>
      <c r="R254" s="38">
        <v>41.0</v>
      </c>
      <c r="S254" s="38" t="s">
        <v>3408</v>
      </c>
      <c r="T254" s="38" t="s">
        <v>3409</v>
      </c>
      <c r="U254" s="38" t="s">
        <v>3410</v>
      </c>
      <c r="V254" s="38">
        <v>2007.0</v>
      </c>
      <c r="W254" s="38" t="s">
        <v>3411</v>
      </c>
      <c r="X254" s="38"/>
      <c r="Y254" s="38"/>
      <c r="Z254" s="38"/>
      <c r="AA254" s="38"/>
      <c r="AB254" s="38"/>
      <c r="AC254" s="38"/>
      <c r="AD254" s="38"/>
      <c r="AE254" s="38"/>
      <c r="AF254" s="38"/>
      <c r="AG254" s="28"/>
      <c r="AH254" s="28" t="s">
        <v>462</v>
      </c>
      <c r="AI254" s="28" t="s">
        <v>462</v>
      </c>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row>
    <row r="255" ht="25.5" customHeight="1">
      <c r="A255" s="28">
        <v>206.0</v>
      </c>
      <c r="B255" s="37" t="b">
        <v>1</v>
      </c>
      <c r="C255" s="38" t="s">
        <v>106</v>
      </c>
      <c r="D255" s="38">
        <v>80.0</v>
      </c>
      <c r="E255" s="13" t="b">
        <v>0</v>
      </c>
      <c r="F255" s="13" t="b">
        <v>1</v>
      </c>
      <c r="G255" s="38" t="s">
        <v>224</v>
      </c>
      <c r="H255" s="38"/>
      <c r="I255" s="38" t="s">
        <v>429</v>
      </c>
      <c r="J255" s="38">
        <v>2.0</v>
      </c>
      <c r="K255" s="38" t="s">
        <v>3415</v>
      </c>
      <c r="L255" s="38">
        <v>203.0</v>
      </c>
      <c r="M255" s="38" t="s">
        <v>411</v>
      </c>
      <c r="N255" s="38">
        <v>21000.0</v>
      </c>
      <c r="O255" s="38" t="s">
        <v>1052</v>
      </c>
      <c r="P255" s="40"/>
      <c r="Q255" s="38" t="s">
        <v>289</v>
      </c>
      <c r="R255" s="38">
        <v>40.0</v>
      </c>
      <c r="S255" s="38" t="s">
        <v>3416</v>
      </c>
      <c r="T255" s="38" t="s">
        <v>3417</v>
      </c>
      <c r="U255" s="38" t="s">
        <v>3263</v>
      </c>
      <c r="V255" s="38">
        <v>2009.0</v>
      </c>
      <c r="W255" s="38" t="s">
        <v>3418</v>
      </c>
      <c r="X255" s="38" t="s">
        <v>3419</v>
      </c>
      <c r="Y255" s="38"/>
      <c r="Z255" s="38"/>
      <c r="AA255" s="38"/>
      <c r="AB255" s="38"/>
      <c r="AC255" s="38"/>
      <c r="AD255" s="38"/>
      <c r="AE255" s="38"/>
      <c r="AF255" s="38"/>
      <c r="AG255" s="28"/>
      <c r="AH255" s="28" t="s">
        <v>926</v>
      </c>
      <c r="AI255" s="28" t="s">
        <v>462</v>
      </c>
      <c r="AJ255" s="28"/>
      <c r="AK255" s="28"/>
      <c r="AL255" s="28" t="s">
        <v>561</v>
      </c>
      <c r="AM255" s="28" t="s">
        <v>3420</v>
      </c>
      <c r="AN255" s="54">
        <v>42495.0</v>
      </c>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row>
    <row r="256" ht="25.5" customHeight="1">
      <c r="A256" s="28">
        <v>294.0</v>
      </c>
      <c r="B256" s="37" t="b">
        <v>1</v>
      </c>
      <c r="C256" s="38" t="s">
        <v>106</v>
      </c>
      <c r="D256" s="38">
        <v>80.0</v>
      </c>
      <c r="E256" s="13" t="b">
        <v>0</v>
      </c>
      <c r="F256" s="13" t="b">
        <v>1</v>
      </c>
      <c r="G256" s="38" t="s">
        <v>224</v>
      </c>
      <c r="H256" s="38"/>
      <c r="I256" s="38" t="s">
        <v>510</v>
      </c>
      <c r="J256" s="38" t="s">
        <v>511</v>
      </c>
      <c r="K256" s="38" t="s">
        <v>1340</v>
      </c>
      <c r="L256" s="38" t="s">
        <v>1342</v>
      </c>
      <c r="M256" s="38" t="s">
        <v>411</v>
      </c>
      <c r="N256" s="38">
        <v>21000.0</v>
      </c>
      <c r="O256" s="38" t="s">
        <v>1052</v>
      </c>
      <c r="P256" s="40"/>
      <c r="Q256" s="38" t="s">
        <v>289</v>
      </c>
      <c r="R256" s="38">
        <v>40.0</v>
      </c>
      <c r="S256" s="38" t="s">
        <v>3424</v>
      </c>
      <c r="T256" s="38" t="s">
        <v>3426</v>
      </c>
      <c r="U256" s="38" t="s">
        <v>3263</v>
      </c>
      <c r="V256" s="38">
        <v>1995.0</v>
      </c>
      <c r="W256" s="38" t="s">
        <v>3427</v>
      </c>
      <c r="X256" s="38" t="s">
        <v>3428</v>
      </c>
      <c r="Y256" s="38"/>
      <c r="Z256" s="38"/>
      <c r="AA256" s="38"/>
      <c r="AB256" s="38"/>
      <c r="AC256" s="38"/>
      <c r="AD256" s="38"/>
      <c r="AE256" s="38"/>
      <c r="AF256" s="38"/>
      <c r="AG256" s="28" t="s">
        <v>3429</v>
      </c>
      <c r="AH256" s="28" t="s">
        <v>3430</v>
      </c>
      <c r="AI256" s="28" t="s">
        <v>877</v>
      </c>
      <c r="AJ256" s="28"/>
      <c r="AK256" s="28" t="s">
        <v>663</v>
      </c>
      <c r="AL256" s="28" t="s">
        <v>561</v>
      </c>
      <c r="AM256" s="28" t="s">
        <v>3431</v>
      </c>
      <c r="AN256" s="54">
        <v>42453.0</v>
      </c>
      <c r="AO256" s="28"/>
      <c r="AP256" s="54">
        <v>42604.0</v>
      </c>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row>
    <row r="257" ht="25.5" customHeight="1">
      <c r="A257" s="28">
        <v>501.0</v>
      </c>
      <c r="B257" s="37" t="b">
        <v>1</v>
      </c>
      <c r="C257" s="38" t="s">
        <v>106</v>
      </c>
      <c r="D257" s="38">
        <v>80.0</v>
      </c>
      <c r="E257" s="13" t="b">
        <v>0</v>
      </c>
      <c r="F257" s="13" t="b">
        <v>1</v>
      </c>
      <c r="G257" s="38" t="s">
        <v>224</v>
      </c>
      <c r="H257" s="38"/>
      <c r="I257" s="38" t="s">
        <v>1153</v>
      </c>
      <c r="J257" s="38">
        <v>6.0</v>
      </c>
      <c r="K257" s="38"/>
      <c r="L257" s="38"/>
      <c r="M257" s="38" t="s">
        <v>411</v>
      </c>
      <c r="N257" s="38">
        <v>21000.0</v>
      </c>
      <c r="O257" s="38" t="s">
        <v>1052</v>
      </c>
      <c r="P257" s="40"/>
      <c r="Q257" s="38" t="s">
        <v>289</v>
      </c>
      <c r="R257" s="38">
        <v>40.0</v>
      </c>
      <c r="S257" s="38" t="s">
        <v>3433</v>
      </c>
      <c r="T257" s="38" t="s">
        <v>3434</v>
      </c>
      <c r="U257" s="38" t="s">
        <v>3263</v>
      </c>
      <c r="V257" s="38">
        <v>2006.0</v>
      </c>
      <c r="W257" s="38" t="s">
        <v>3437</v>
      </c>
      <c r="X257" s="38"/>
      <c r="Y257" s="38"/>
      <c r="Z257" s="38"/>
      <c r="AA257" s="38"/>
      <c r="AB257" s="38"/>
      <c r="AC257" s="38"/>
      <c r="AD257" s="38"/>
      <c r="AE257" s="38"/>
      <c r="AF257" s="38"/>
      <c r="AG257" s="28"/>
      <c r="AH257" s="28" t="s">
        <v>462</v>
      </c>
      <c r="AI257" s="28" t="s">
        <v>462</v>
      </c>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row>
    <row r="258" ht="25.5" customHeight="1">
      <c r="A258" s="28">
        <v>400.0</v>
      </c>
      <c r="B258" s="37" t="b">
        <v>1</v>
      </c>
      <c r="C258" s="38" t="s">
        <v>106</v>
      </c>
      <c r="D258" s="38">
        <v>80.0</v>
      </c>
      <c r="E258" s="13" t="b">
        <v>0</v>
      </c>
      <c r="F258" s="13" t="b">
        <v>1</v>
      </c>
      <c r="G258" s="38" t="s">
        <v>224</v>
      </c>
      <c r="H258" s="38"/>
      <c r="I258" s="38" t="s">
        <v>712</v>
      </c>
      <c r="J258" s="38">
        <v>7.0</v>
      </c>
      <c r="K258" s="38" t="s">
        <v>731</v>
      </c>
      <c r="L258" s="38">
        <v>700.0</v>
      </c>
      <c r="M258" s="38" t="s">
        <v>411</v>
      </c>
      <c r="N258" s="38">
        <v>21000.0</v>
      </c>
      <c r="O258" s="38" t="s">
        <v>3440</v>
      </c>
      <c r="P258" s="40"/>
      <c r="Q258" s="38" t="s">
        <v>289</v>
      </c>
      <c r="R258" s="38">
        <v>40.0</v>
      </c>
      <c r="S258" s="38" t="s">
        <v>3441</v>
      </c>
      <c r="T258" s="38" t="s">
        <v>3442</v>
      </c>
      <c r="U258" s="38" t="s">
        <v>3263</v>
      </c>
      <c r="V258" s="38">
        <v>2013.0</v>
      </c>
      <c r="W258" s="38" t="s">
        <v>3443</v>
      </c>
      <c r="X258" s="38" t="s">
        <v>3444</v>
      </c>
      <c r="Y258" s="38"/>
      <c r="Z258" s="38"/>
      <c r="AA258" s="38"/>
      <c r="AB258" s="38"/>
      <c r="AC258" s="38"/>
      <c r="AD258" s="38"/>
      <c r="AE258" s="38"/>
      <c r="AF258" s="38"/>
      <c r="AG258" s="28"/>
      <c r="AH258" s="28" t="s">
        <v>428</v>
      </c>
      <c r="AI258" s="28" t="s">
        <v>462</v>
      </c>
      <c r="AJ258" s="28"/>
      <c r="AK258" s="28"/>
      <c r="AL258" s="28" t="s">
        <v>561</v>
      </c>
      <c r="AM258" s="28" t="s">
        <v>3446</v>
      </c>
      <c r="AN258" s="54">
        <v>42506.0</v>
      </c>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row>
    <row r="259" ht="25.5" customHeight="1">
      <c r="A259" s="28">
        <v>418.0</v>
      </c>
      <c r="B259" s="37" t="b">
        <v>1</v>
      </c>
      <c r="C259" s="38" t="s">
        <v>106</v>
      </c>
      <c r="D259" s="38">
        <v>80.0</v>
      </c>
      <c r="E259" s="13" t="b">
        <v>0</v>
      </c>
      <c r="F259" s="13" t="b">
        <v>1</v>
      </c>
      <c r="G259" s="38" t="s">
        <v>224</v>
      </c>
      <c r="H259" s="38"/>
      <c r="I259" s="38" t="s">
        <v>3447</v>
      </c>
      <c r="J259" s="38" t="s">
        <v>3448</v>
      </c>
      <c r="K259" s="38" t="s">
        <v>3449</v>
      </c>
      <c r="L259" s="38" t="s">
        <v>3450</v>
      </c>
      <c r="M259" s="38" t="s">
        <v>411</v>
      </c>
      <c r="N259" s="38">
        <v>21000.0</v>
      </c>
      <c r="O259" s="38" t="s">
        <v>3451</v>
      </c>
      <c r="P259" s="40"/>
      <c r="Q259" s="38" t="s">
        <v>289</v>
      </c>
      <c r="R259" s="38">
        <v>40.0</v>
      </c>
      <c r="S259" s="38" t="s">
        <v>3452</v>
      </c>
      <c r="T259" s="38" t="s">
        <v>3453</v>
      </c>
      <c r="U259" s="38" t="s">
        <v>3263</v>
      </c>
      <c r="V259" s="38">
        <v>1991.0</v>
      </c>
      <c r="W259" s="38" t="s">
        <v>3454</v>
      </c>
      <c r="X259" s="38" t="s">
        <v>3455</v>
      </c>
      <c r="Y259" s="38"/>
      <c r="Z259" s="38"/>
      <c r="AA259" s="38"/>
      <c r="AB259" s="38"/>
      <c r="AC259" s="38"/>
      <c r="AD259" s="38"/>
      <c r="AE259" s="38"/>
      <c r="AF259" s="38"/>
      <c r="AG259" s="28"/>
      <c r="AH259" s="28" t="s">
        <v>3456</v>
      </c>
      <c r="AI259" s="28" t="s">
        <v>3457</v>
      </c>
      <c r="AJ259" s="28"/>
      <c r="AK259" s="28"/>
      <c r="AL259" s="28" t="s">
        <v>561</v>
      </c>
      <c r="AM259" s="28" t="s">
        <v>3458</v>
      </c>
      <c r="AN259" s="54">
        <v>42409.0</v>
      </c>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row>
    <row r="260" ht="25.5" customHeight="1">
      <c r="A260" s="28">
        <v>321.0</v>
      </c>
      <c r="B260" s="37" t="b">
        <v>1</v>
      </c>
      <c r="C260" s="38" t="s">
        <v>106</v>
      </c>
      <c r="D260" s="38">
        <v>80.0</v>
      </c>
      <c r="E260" s="13" t="b">
        <v>0</v>
      </c>
      <c r="F260" s="13" t="b">
        <v>1</v>
      </c>
      <c r="G260" s="38" t="s">
        <v>224</v>
      </c>
      <c r="H260" s="38"/>
      <c r="I260" s="38" t="s">
        <v>490</v>
      </c>
      <c r="J260" s="38">
        <v>6.0</v>
      </c>
      <c r="K260" s="38" t="s">
        <v>776</v>
      </c>
      <c r="L260" s="38">
        <v>602.0</v>
      </c>
      <c r="M260" s="38" t="s">
        <v>3462</v>
      </c>
      <c r="N260" s="38" t="s">
        <v>3463</v>
      </c>
      <c r="O260" s="38" t="s">
        <v>3464</v>
      </c>
      <c r="P260" s="40"/>
      <c r="Q260" s="38" t="s">
        <v>111</v>
      </c>
      <c r="R260" s="38">
        <v>41.0</v>
      </c>
      <c r="S260" s="38" t="s">
        <v>3465</v>
      </c>
      <c r="T260" s="38" t="s">
        <v>3466</v>
      </c>
      <c r="U260" s="38" t="s">
        <v>3263</v>
      </c>
      <c r="V260" s="38">
        <v>2011.0</v>
      </c>
      <c r="W260" s="38" t="s">
        <v>3467</v>
      </c>
      <c r="X260" s="38" t="s">
        <v>3468</v>
      </c>
      <c r="Y260" s="38"/>
      <c r="Z260" s="38"/>
      <c r="AA260" s="38"/>
      <c r="AB260" s="38"/>
      <c r="AC260" s="38"/>
      <c r="AD260" s="38"/>
      <c r="AE260" s="38"/>
      <c r="AF260" s="3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row>
    <row r="261" ht="25.5" customHeight="1">
      <c r="A261" s="28">
        <v>367.0</v>
      </c>
      <c r="B261" s="37" t="b">
        <v>1</v>
      </c>
      <c r="C261" s="38" t="s">
        <v>106</v>
      </c>
      <c r="D261" s="38">
        <v>80.0</v>
      </c>
      <c r="E261" s="13" t="b">
        <v>0</v>
      </c>
      <c r="F261" s="13" t="b">
        <v>1</v>
      </c>
      <c r="G261" s="38" t="s">
        <v>224</v>
      </c>
      <c r="H261" s="38"/>
      <c r="I261" s="38" t="s">
        <v>3469</v>
      </c>
      <c r="J261" s="38" t="s">
        <v>3470</v>
      </c>
      <c r="K261" s="38" t="s">
        <v>3471</v>
      </c>
      <c r="L261" s="38" t="s">
        <v>3472</v>
      </c>
      <c r="M261" s="38" t="s">
        <v>3473</v>
      </c>
      <c r="N261" s="38" t="s">
        <v>3474</v>
      </c>
      <c r="O261" s="38" t="s">
        <v>3475</v>
      </c>
      <c r="P261" s="40"/>
      <c r="Q261" s="38" t="s">
        <v>289</v>
      </c>
      <c r="R261" s="38">
        <v>40.0</v>
      </c>
      <c r="S261" s="38" t="s">
        <v>3477</v>
      </c>
      <c r="T261" s="38" t="s">
        <v>3478</v>
      </c>
      <c r="U261" s="38" t="s">
        <v>3263</v>
      </c>
      <c r="V261" s="38">
        <v>1987.0</v>
      </c>
      <c r="W261" s="38" t="s">
        <v>3481</v>
      </c>
      <c r="X261" s="38"/>
      <c r="Y261" s="38"/>
      <c r="Z261" s="38"/>
      <c r="AA261" s="38"/>
      <c r="AB261" s="38"/>
      <c r="AC261" s="38"/>
      <c r="AD261" s="38"/>
      <c r="AE261" s="38"/>
      <c r="AF261" s="38"/>
      <c r="AG261" s="28"/>
      <c r="AH261" s="28"/>
      <c r="AI261" s="28"/>
      <c r="AJ261" s="28" t="s">
        <v>3233</v>
      </c>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row>
    <row r="262" ht="25.5" customHeight="1">
      <c r="A262" s="28">
        <v>62.0</v>
      </c>
      <c r="B262" s="37" t="b">
        <v>1</v>
      </c>
      <c r="C262" s="38" t="s">
        <v>106</v>
      </c>
      <c r="D262" s="38">
        <v>80.0</v>
      </c>
      <c r="E262" s="13" t="b">
        <v>0</v>
      </c>
      <c r="F262" s="13" t="b">
        <v>1</v>
      </c>
      <c r="G262" s="38" t="s">
        <v>224</v>
      </c>
      <c r="H262" s="38"/>
      <c r="I262" s="38" t="s">
        <v>387</v>
      </c>
      <c r="J262" s="38">
        <v>8.0</v>
      </c>
      <c r="K262" s="38" t="s">
        <v>3482</v>
      </c>
      <c r="L262" s="38">
        <v>801.0</v>
      </c>
      <c r="M262" s="38" t="s">
        <v>35</v>
      </c>
      <c r="N262" s="38">
        <v>2000.0</v>
      </c>
      <c r="O262" s="38" t="s">
        <v>837</v>
      </c>
      <c r="P262" s="40">
        <v>2001.0</v>
      </c>
      <c r="Q262" s="38" t="s">
        <v>289</v>
      </c>
      <c r="R262" s="38">
        <v>40.0</v>
      </c>
      <c r="S262" s="38" t="s">
        <v>3483</v>
      </c>
      <c r="T262" s="38" t="s">
        <v>3484</v>
      </c>
      <c r="U262" s="38" t="s">
        <v>3485</v>
      </c>
      <c r="V262" s="38">
        <v>2013.0</v>
      </c>
      <c r="W262" s="38" t="s">
        <v>3488</v>
      </c>
      <c r="X262" s="38" t="s">
        <v>3489</v>
      </c>
      <c r="Y262" s="38"/>
      <c r="Z262" s="38"/>
      <c r="AA262" s="38"/>
      <c r="AB262" s="38"/>
      <c r="AC262" s="38"/>
      <c r="AD262" s="38"/>
      <c r="AE262" s="38"/>
      <c r="AF262" s="38"/>
      <c r="AG262" s="28"/>
      <c r="AH262" s="28" t="s">
        <v>3492</v>
      </c>
      <c r="AI262" s="28" t="s">
        <v>3493</v>
      </c>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row>
    <row r="263" ht="25.5" customHeight="1">
      <c r="A263" s="28">
        <v>425.0</v>
      </c>
      <c r="B263" s="37" t="b">
        <v>1</v>
      </c>
      <c r="C263" s="38" t="s">
        <v>106</v>
      </c>
      <c r="D263" s="38">
        <v>80.0</v>
      </c>
      <c r="E263" s="13" t="b">
        <v>0</v>
      </c>
      <c r="F263" s="13" t="b">
        <v>1</v>
      </c>
      <c r="G263" s="38" t="s">
        <v>224</v>
      </c>
      <c r="H263" s="38"/>
      <c r="I263" s="38" t="s">
        <v>387</v>
      </c>
      <c r="J263" s="38">
        <v>8.0</v>
      </c>
      <c r="K263" s="38" t="s">
        <v>3297</v>
      </c>
      <c r="L263" s="38">
        <v>805.0</v>
      </c>
      <c r="M263" s="38" t="s">
        <v>3494</v>
      </c>
      <c r="N263" s="38">
        <v>22000.0</v>
      </c>
      <c r="O263" s="38" t="s">
        <v>3495</v>
      </c>
      <c r="P263" s="40"/>
      <c r="Q263" s="38" t="s">
        <v>117</v>
      </c>
      <c r="R263" s="38">
        <v>40.0</v>
      </c>
      <c r="S263" s="38" t="s">
        <v>3496</v>
      </c>
      <c r="T263" s="38" t="s">
        <v>3379</v>
      </c>
      <c r="U263" s="38" t="s">
        <v>3497</v>
      </c>
      <c r="V263" s="38">
        <v>2007.0</v>
      </c>
      <c r="W263" s="38" t="s">
        <v>3383</v>
      </c>
      <c r="X263" s="38"/>
      <c r="Y263" s="38"/>
      <c r="Z263" s="38"/>
      <c r="AA263" s="38"/>
      <c r="AB263" s="38"/>
      <c r="AC263" s="38"/>
      <c r="AD263" s="38"/>
      <c r="AE263" s="38"/>
      <c r="AF263" s="38"/>
      <c r="AG263" s="28"/>
      <c r="AH263" s="28" t="s">
        <v>462</v>
      </c>
      <c r="AI263" s="28" t="s">
        <v>462</v>
      </c>
      <c r="AJ263" s="28" t="s">
        <v>39</v>
      </c>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row>
    <row r="264" ht="25.5" customHeight="1">
      <c r="A264" s="28">
        <v>468.0</v>
      </c>
      <c r="B264" s="37" t="b">
        <v>1</v>
      </c>
      <c r="C264" s="38" t="s">
        <v>106</v>
      </c>
      <c r="D264" s="38">
        <v>80.0</v>
      </c>
      <c r="E264" s="13" t="b">
        <v>0</v>
      </c>
      <c r="F264" s="13" t="b">
        <v>1</v>
      </c>
      <c r="G264" s="38" t="s">
        <v>224</v>
      </c>
      <c r="H264" s="38"/>
      <c r="I264" s="38" t="s">
        <v>772</v>
      </c>
      <c r="J264" s="38">
        <v>5.0</v>
      </c>
      <c r="K264" s="38" t="s">
        <v>3504</v>
      </c>
      <c r="L264" s="38">
        <v>505.0</v>
      </c>
      <c r="M264" s="38" t="s">
        <v>35</v>
      </c>
      <c r="N264" s="38">
        <v>2000.0</v>
      </c>
      <c r="O264" s="38" t="s">
        <v>578</v>
      </c>
      <c r="P264" s="40"/>
      <c r="Q264" s="38" t="s">
        <v>289</v>
      </c>
      <c r="R264" s="38">
        <v>40.0</v>
      </c>
      <c r="S264" s="38" t="s">
        <v>3506</v>
      </c>
      <c r="T264" s="38" t="s">
        <v>3507</v>
      </c>
      <c r="U264" s="38" t="s">
        <v>3509</v>
      </c>
      <c r="V264" s="38">
        <v>2008.0</v>
      </c>
      <c r="W264" s="38" t="s">
        <v>753</v>
      </c>
      <c r="X264" s="38"/>
      <c r="Y264" s="38"/>
      <c r="Z264" s="38"/>
      <c r="AA264" s="38"/>
      <c r="AB264" s="38"/>
      <c r="AC264" s="38"/>
      <c r="AD264" s="38"/>
      <c r="AE264" s="38"/>
      <c r="AF264" s="3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row>
    <row r="265" ht="25.5" customHeight="1">
      <c r="A265" s="28">
        <v>37.0</v>
      </c>
      <c r="B265" s="37" t="b">
        <v>1</v>
      </c>
      <c r="C265" s="38" t="s">
        <v>106</v>
      </c>
      <c r="D265" s="38">
        <v>80.0</v>
      </c>
      <c r="E265" s="13" t="b">
        <v>0</v>
      </c>
      <c r="F265" s="13" t="b">
        <v>1</v>
      </c>
      <c r="G265" s="38" t="s">
        <v>224</v>
      </c>
      <c r="H265" s="38"/>
      <c r="I265" s="38" t="s">
        <v>574</v>
      </c>
      <c r="J265" s="38">
        <v>4.0</v>
      </c>
      <c r="K265" s="38" t="s">
        <v>224</v>
      </c>
      <c r="L265" s="38"/>
      <c r="M265" s="38" t="s">
        <v>549</v>
      </c>
      <c r="N265" s="38">
        <v>5000.0</v>
      </c>
      <c r="O265" s="38" t="s">
        <v>3511</v>
      </c>
      <c r="P265" s="40"/>
      <c r="Q265" s="38" t="s">
        <v>324</v>
      </c>
      <c r="R265" s="38" t="s">
        <v>325</v>
      </c>
      <c r="S265" s="38" t="s">
        <v>3512</v>
      </c>
      <c r="T265" s="38" t="s">
        <v>3513</v>
      </c>
      <c r="U265" s="38" t="s">
        <v>3509</v>
      </c>
      <c r="V265" s="38">
        <v>2009.0</v>
      </c>
      <c r="W265" s="38" t="s">
        <v>753</v>
      </c>
      <c r="X265" s="38"/>
      <c r="Y265" s="38"/>
      <c r="Z265" s="38"/>
      <c r="AA265" s="38"/>
      <c r="AB265" s="38"/>
      <c r="AC265" s="38"/>
      <c r="AD265" s="38"/>
      <c r="AE265" s="38"/>
      <c r="AF265" s="38"/>
      <c r="AG265" s="28" t="s">
        <v>3514</v>
      </c>
      <c r="AH265" s="28" t="s">
        <v>462</v>
      </c>
      <c r="AI265" s="28" t="s">
        <v>428</v>
      </c>
      <c r="AJ265" s="28" t="s">
        <v>3515</v>
      </c>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row>
    <row r="266" ht="25.5" customHeight="1">
      <c r="A266" s="28">
        <v>180.0</v>
      </c>
      <c r="B266" s="37" t="b">
        <v>1</v>
      </c>
      <c r="C266" s="38" t="s">
        <v>106</v>
      </c>
      <c r="D266" s="38">
        <v>80.0</v>
      </c>
      <c r="E266" s="13" t="b">
        <v>0</v>
      </c>
      <c r="F266" s="13" t="b">
        <v>1</v>
      </c>
      <c r="G266" s="38" t="s">
        <v>224</v>
      </c>
      <c r="H266" s="38"/>
      <c r="I266" s="38" t="s">
        <v>429</v>
      </c>
      <c r="J266" s="38">
        <v>2.0</v>
      </c>
      <c r="K266" s="47" t="s">
        <v>524</v>
      </c>
      <c r="L266" s="38">
        <v>205.0</v>
      </c>
      <c r="M266" s="38" t="s">
        <v>1044</v>
      </c>
      <c r="N266" s="38" t="s">
        <v>1045</v>
      </c>
      <c r="O266" s="38" t="s">
        <v>3120</v>
      </c>
      <c r="P266" s="40"/>
      <c r="Q266" s="38" t="s">
        <v>111</v>
      </c>
      <c r="R266" s="38">
        <v>41.0</v>
      </c>
      <c r="S266" s="38" t="s">
        <v>3516</v>
      </c>
      <c r="T266" s="38" t="s">
        <v>3517</v>
      </c>
      <c r="U266" s="38" t="s">
        <v>3518</v>
      </c>
      <c r="V266" s="38">
        <v>2013.0</v>
      </c>
      <c r="W266" s="38" t="s">
        <v>3519</v>
      </c>
      <c r="X266" s="38" t="s">
        <v>3520</v>
      </c>
      <c r="Y266" s="38"/>
      <c r="Z266" s="38"/>
      <c r="AA266" s="38"/>
      <c r="AB266" s="38"/>
      <c r="AC266" s="38"/>
      <c r="AD266" s="38"/>
      <c r="AE266" s="38"/>
      <c r="AF266" s="38"/>
      <c r="AG266" s="28"/>
      <c r="AH266" s="28" t="s">
        <v>428</v>
      </c>
      <c r="AI266" s="28" t="s">
        <v>462</v>
      </c>
      <c r="AJ266" s="28"/>
      <c r="AK266" s="28"/>
      <c r="AL266" s="28"/>
      <c r="AM266" s="28"/>
      <c r="AN266" s="28"/>
      <c r="AO266" s="28"/>
      <c r="AP266" s="28"/>
      <c r="AQ266" s="28"/>
      <c r="AR266" s="28"/>
      <c r="AS266" s="28"/>
      <c r="AT266" s="28"/>
      <c r="AU266" s="28"/>
      <c r="AV266" s="28"/>
      <c r="AW266" s="28"/>
      <c r="AX266" s="28"/>
      <c r="AY266" s="28"/>
      <c r="AZ266" s="28"/>
      <c r="BA266" s="28" t="s">
        <v>3521</v>
      </c>
      <c r="BB266" s="28"/>
      <c r="BC266" s="28"/>
      <c r="BD266" s="28"/>
      <c r="BE266" s="28"/>
      <c r="BF266" s="28"/>
      <c r="BG266" s="28"/>
      <c r="BH266" s="28"/>
      <c r="BI266" s="28"/>
      <c r="BJ266" s="28"/>
      <c r="BK266" s="28"/>
      <c r="BL266" s="28"/>
      <c r="BM266" s="28"/>
      <c r="BN266" s="28"/>
      <c r="BO266" s="28"/>
    </row>
    <row r="267" ht="25.5" customHeight="1">
      <c r="A267" s="28">
        <v>149.0</v>
      </c>
      <c r="B267" s="37" t="b">
        <v>1</v>
      </c>
      <c r="C267" s="38" t="s">
        <v>106</v>
      </c>
      <c r="D267" s="38">
        <v>80.0</v>
      </c>
      <c r="E267" s="13" t="b">
        <v>1</v>
      </c>
      <c r="F267" s="13" t="b">
        <v>0</v>
      </c>
      <c r="G267" s="38" t="s">
        <v>284</v>
      </c>
      <c r="H267" s="38">
        <v>53.0</v>
      </c>
      <c r="I267" s="38" t="s">
        <v>224</v>
      </c>
      <c r="J267" s="38"/>
      <c r="K267" s="47" t="s">
        <v>224</v>
      </c>
      <c r="L267" s="38"/>
      <c r="M267" s="38" t="s">
        <v>395</v>
      </c>
      <c r="N267" s="38">
        <v>16000.0</v>
      </c>
      <c r="O267" s="38" t="s">
        <v>3522</v>
      </c>
      <c r="P267" s="40"/>
      <c r="Q267" s="38" t="s">
        <v>289</v>
      </c>
      <c r="R267" s="38">
        <v>40.0</v>
      </c>
      <c r="S267" s="38" t="s">
        <v>3523</v>
      </c>
      <c r="T267" s="38" t="s">
        <v>3524</v>
      </c>
      <c r="U267" s="38" t="s">
        <v>3525</v>
      </c>
      <c r="V267" s="38">
        <v>2011.0</v>
      </c>
      <c r="W267" s="38" t="s">
        <v>3526</v>
      </c>
      <c r="X267" s="49" t="str">
        <f>HYPERLINK("http://papers.ssrn.com/sol3/papers.cfm?abstract_id=1319881","http://papers.ssrn.com/sol3/papers.cfm?abstract_id=1319881")</f>
        <v>http://papers.ssrn.com/sol3/papers.cfm?abstract_id=1319881</v>
      </c>
      <c r="Y267" s="38"/>
      <c r="Z267" s="38"/>
      <c r="AA267" s="38"/>
      <c r="AB267" s="38"/>
      <c r="AC267" s="38"/>
      <c r="AD267" s="38"/>
      <c r="AE267" s="38"/>
      <c r="AF267" s="3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row>
    <row r="268" ht="25.5" customHeight="1">
      <c r="A268" s="28">
        <v>273.0</v>
      </c>
      <c r="B268" s="37" t="b">
        <v>1</v>
      </c>
      <c r="C268" s="38" t="s">
        <v>106</v>
      </c>
      <c r="D268" s="38">
        <v>80.0</v>
      </c>
      <c r="E268" s="13" t="b">
        <v>0</v>
      </c>
      <c r="F268" s="13" t="b">
        <v>1</v>
      </c>
      <c r="G268" s="38" t="s">
        <v>224</v>
      </c>
      <c r="H268" s="38"/>
      <c r="I268" s="38" t="s">
        <v>536</v>
      </c>
      <c r="J268" s="38">
        <v>3.0</v>
      </c>
      <c r="K268" s="38" t="s">
        <v>603</v>
      </c>
      <c r="L268" s="38">
        <v>304.0</v>
      </c>
      <c r="M268" s="38" t="s">
        <v>239</v>
      </c>
      <c r="N268" s="38">
        <v>4000.0</v>
      </c>
      <c r="O268" s="38" t="s">
        <v>623</v>
      </c>
      <c r="P268" s="40"/>
      <c r="Q268" s="38" t="s">
        <v>111</v>
      </c>
      <c r="R268" s="38">
        <v>41.0</v>
      </c>
      <c r="S268" s="38" t="s">
        <v>3531</v>
      </c>
      <c r="T268" s="38" t="s">
        <v>3533</v>
      </c>
      <c r="U268" s="38" t="s">
        <v>3535</v>
      </c>
      <c r="V268" s="38">
        <v>2006.0</v>
      </c>
      <c r="W268" s="38" t="s">
        <v>3537</v>
      </c>
      <c r="X268" s="38" t="s">
        <v>3538</v>
      </c>
      <c r="Y268" s="38"/>
      <c r="Z268" s="38"/>
      <c r="AA268" s="38"/>
      <c r="AB268" s="38"/>
      <c r="AC268" s="38"/>
      <c r="AD268" s="38"/>
      <c r="AE268" s="38"/>
      <c r="AF268" s="38"/>
      <c r="AG268" s="28"/>
      <c r="AH268" s="28" t="s">
        <v>428</v>
      </c>
      <c r="AI268" s="28" t="s">
        <v>462</v>
      </c>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row>
    <row r="269" ht="25.5" customHeight="1">
      <c r="A269" s="28">
        <v>486.0</v>
      </c>
      <c r="B269" s="37" t="b">
        <v>1</v>
      </c>
      <c r="C269" s="38" t="s">
        <v>106</v>
      </c>
      <c r="D269" s="38">
        <v>80.0</v>
      </c>
      <c r="E269" s="13" t="b">
        <v>0</v>
      </c>
      <c r="F269" s="13" t="b">
        <v>1</v>
      </c>
      <c r="G269" s="38" t="s">
        <v>224</v>
      </c>
      <c r="H269" s="38"/>
      <c r="I269" s="38" t="s">
        <v>1322</v>
      </c>
      <c r="J269" s="38">
        <v>4.0</v>
      </c>
      <c r="K269" s="47"/>
      <c r="L269" s="38"/>
      <c r="M269" s="38" t="s">
        <v>35</v>
      </c>
      <c r="N269" s="38">
        <v>2000.0</v>
      </c>
      <c r="O269" s="38" t="s">
        <v>3540</v>
      </c>
      <c r="P269" s="40"/>
      <c r="Q269" s="38" t="s">
        <v>117</v>
      </c>
      <c r="R269" s="38">
        <v>40.0</v>
      </c>
      <c r="S269" s="38" t="s">
        <v>3541</v>
      </c>
      <c r="T269" s="38" t="s">
        <v>1599</v>
      </c>
      <c r="U269" s="38" t="s">
        <v>3542</v>
      </c>
      <c r="V269" s="38">
        <v>2010.0</v>
      </c>
      <c r="W269" s="38"/>
      <c r="X269" s="38"/>
      <c r="Y269" s="38"/>
      <c r="Z269" s="38"/>
      <c r="AA269" s="38"/>
      <c r="AB269" s="38"/>
      <c r="AC269" s="38"/>
      <c r="AD269" s="38"/>
      <c r="AE269" s="38"/>
      <c r="AF269" s="38"/>
      <c r="AG269" s="28"/>
      <c r="AH269" s="28"/>
      <c r="AI269" s="28"/>
      <c r="AJ269" s="28" t="s">
        <v>1594</v>
      </c>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row>
    <row r="270" ht="25.5" customHeight="1">
      <c r="A270" s="28">
        <v>290.0</v>
      </c>
      <c r="B270" s="37" t="b">
        <v>1</v>
      </c>
      <c r="C270" s="38" t="s">
        <v>106</v>
      </c>
      <c r="D270" s="38">
        <v>80.0</v>
      </c>
      <c r="E270" s="13" t="b">
        <v>0</v>
      </c>
      <c r="F270" s="13" t="b">
        <v>1</v>
      </c>
      <c r="G270" s="38" t="s">
        <v>224</v>
      </c>
      <c r="H270" s="38"/>
      <c r="I270" s="38" t="s">
        <v>3200</v>
      </c>
      <c r="J270" s="38">
        <v>3.0</v>
      </c>
      <c r="K270" s="47" t="s">
        <v>3543</v>
      </c>
      <c r="L270" s="38">
        <v>305.0</v>
      </c>
      <c r="M270" s="38" t="s">
        <v>3544</v>
      </c>
      <c r="N270" s="38" t="s">
        <v>3545</v>
      </c>
      <c r="O270" s="38" t="s">
        <v>3546</v>
      </c>
      <c r="P270" s="40"/>
      <c r="Q270" s="38" t="s">
        <v>289</v>
      </c>
      <c r="R270" s="38">
        <v>40.0</v>
      </c>
      <c r="S270" s="38" t="s">
        <v>3549</v>
      </c>
      <c r="T270" s="38" t="s">
        <v>3550</v>
      </c>
      <c r="U270" s="38" t="s">
        <v>3542</v>
      </c>
      <c r="V270" s="38">
        <v>2012.0</v>
      </c>
      <c r="W270" s="38" t="s">
        <v>3552</v>
      </c>
      <c r="X270" s="38"/>
      <c r="Y270" s="38"/>
      <c r="Z270" s="38"/>
      <c r="AA270" s="38"/>
      <c r="AB270" s="38"/>
      <c r="AC270" s="38"/>
      <c r="AD270" s="38"/>
      <c r="AE270" s="38"/>
      <c r="AF270" s="3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row>
    <row r="271" ht="25.5" customHeight="1">
      <c r="A271" s="28">
        <v>36.0</v>
      </c>
      <c r="B271" s="37" t="b">
        <v>1</v>
      </c>
      <c r="C271" s="38" t="s">
        <v>106</v>
      </c>
      <c r="D271" s="38">
        <v>80.0</v>
      </c>
      <c r="E271" s="13" t="b">
        <v>0</v>
      </c>
      <c r="F271" s="13" t="b">
        <v>1</v>
      </c>
      <c r="G271" s="38" t="s">
        <v>224</v>
      </c>
      <c r="H271" s="38"/>
      <c r="I271" s="38" t="s">
        <v>574</v>
      </c>
      <c r="J271" s="38">
        <v>4.0</v>
      </c>
      <c r="K271" s="38" t="s">
        <v>224</v>
      </c>
      <c r="L271" s="38"/>
      <c r="M271" s="38" t="s">
        <v>35</v>
      </c>
      <c r="N271" s="38">
        <v>2000.0</v>
      </c>
      <c r="O271" s="38" t="s">
        <v>644</v>
      </c>
      <c r="P271" s="40"/>
      <c r="Q271" s="38" t="s">
        <v>289</v>
      </c>
      <c r="R271" s="38">
        <v>40.0</v>
      </c>
      <c r="S271" s="38" t="s">
        <v>3554</v>
      </c>
      <c r="T271" s="38" t="s">
        <v>1599</v>
      </c>
      <c r="U271" s="38" t="s">
        <v>3555</v>
      </c>
      <c r="V271" s="38">
        <v>2010.0</v>
      </c>
      <c r="W271" s="38" t="s">
        <v>753</v>
      </c>
      <c r="X271" s="38" t="s">
        <v>3556</v>
      </c>
      <c r="Y271" s="38"/>
      <c r="Z271" s="38"/>
      <c r="AA271" s="38"/>
      <c r="AB271" s="38"/>
      <c r="AC271" s="38"/>
      <c r="AD271" s="38"/>
      <c r="AE271" s="38"/>
      <c r="AF271" s="38"/>
      <c r="AG271" s="28"/>
      <c r="AH271" s="28"/>
      <c r="AI271" s="28"/>
      <c r="AJ271" s="28" t="s">
        <v>3557</v>
      </c>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row>
    <row r="272" ht="25.5" customHeight="1">
      <c r="A272" s="28">
        <v>204.0</v>
      </c>
      <c r="B272" s="37" t="b">
        <v>1</v>
      </c>
      <c r="C272" s="38" t="s">
        <v>106</v>
      </c>
      <c r="D272" s="38">
        <v>80.0</v>
      </c>
      <c r="E272" s="13" t="b">
        <v>0</v>
      </c>
      <c r="F272" s="13" t="b">
        <v>1</v>
      </c>
      <c r="G272" s="38" t="s">
        <v>224</v>
      </c>
      <c r="H272" s="38"/>
      <c r="I272" s="38" t="s">
        <v>429</v>
      </c>
      <c r="J272" s="38">
        <v>2.0</v>
      </c>
      <c r="K272" s="38" t="s">
        <v>3415</v>
      </c>
      <c r="L272" s="38">
        <v>203.0</v>
      </c>
      <c r="M272" s="38" t="s">
        <v>3558</v>
      </c>
      <c r="N272" s="38" t="s">
        <v>3559</v>
      </c>
      <c r="O272" s="38" t="s">
        <v>3560</v>
      </c>
      <c r="P272" s="40"/>
      <c r="Q272" s="38" t="s">
        <v>111</v>
      </c>
      <c r="R272" s="38">
        <v>41.0</v>
      </c>
      <c r="S272" s="38" t="s">
        <v>3561</v>
      </c>
      <c r="T272" s="38" t="s">
        <v>3562</v>
      </c>
      <c r="U272" s="38" t="s">
        <v>3563</v>
      </c>
      <c r="V272" s="38">
        <v>2011.0</v>
      </c>
      <c r="W272" s="38" t="s">
        <v>3564</v>
      </c>
      <c r="X272" s="38"/>
      <c r="Y272" s="38"/>
      <c r="Z272" s="38"/>
      <c r="AA272" s="38"/>
      <c r="AB272" s="38"/>
      <c r="AC272" s="38"/>
      <c r="AD272" s="38"/>
      <c r="AE272" s="38"/>
      <c r="AF272" s="3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row>
    <row r="273" ht="25.5" customHeight="1">
      <c r="A273" s="28">
        <v>493.0</v>
      </c>
      <c r="B273" s="37" t="b">
        <v>1</v>
      </c>
      <c r="C273" s="38" t="s">
        <v>106</v>
      </c>
      <c r="D273" s="38">
        <v>80.0</v>
      </c>
      <c r="E273" s="13" t="b">
        <v>0</v>
      </c>
      <c r="F273" s="13" t="b">
        <v>1</v>
      </c>
      <c r="G273" s="38" t="s">
        <v>224</v>
      </c>
      <c r="H273" s="38"/>
      <c r="I273" s="38" t="s">
        <v>196</v>
      </c>
      <c r="J273" s="38">
        <v>1.0</v>
      </c>
      <c r="K273" s="47"/>
      <c r="L273" s="38"/>
      <c r="M273" s="38" t="s">
        <v>323</v>
      </c>
      <c r="N273" s="38">
        <v>24000.0</v>
      </c>
      <c r="O273" s="38" t="s">
        <v>421</v>
      </c>
      <c r="P273" s="40"/>
      <c r="Q273" s="38" t="s">
        <v>289</v>
      </c>
      <c r="R273" s="38">
        <v>40.0</v>
      </c>
      <c r="S273" s="38" t="s">
        <v>3569</v>
      </c>
      <c r="T273" s="38" t="s">
        <v>3570</v>
      </c>
      <c r="U273" s="38" t="s">
        <v>3571</v>
      </c>
      <c r="V273" s="38">
        <v>2012.0</v>
      </c>
      <c r="W273" s="38"/>
      <c r="X273" s="38"/>
      <c r="Y273" s="38"/>
      <c r="Z273" s="38"/>
      <c r="AA273" s="38"/>
      <c r="AB273" s="38"/>
      <c r="AC273" s="38"/>
      <c r="AD273" s="38"/>
      <c r="AE273" s="38"/>
      <c r="AF273" s="3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row>
    <row r="274" ht="25.5" customHeight="1">
      <c r="A274" s="28">
        <v>432.0</v>
      </c>
      <c r="B274" s="37" t="b">
        <v>1</v>
      </c>
      <c r="C274" s="38" t="s">
        <v>106</v>
      </c>
      <c r="D274" s="38">
        <v>80.0</v>
      </c>
      <c r="E274" s="13" t="b">
        <v>0</v>
      </c>
      <c r="F274" s="13" t="b">
        <v>1</v>
      </c>
      <c r="G274" s="38" t="s">
        <v>224</v>
      </c>
      <c r="H274" s="38"/>
      <c r="I274" s="38" t="s">
        <v>387</v>
      </c>
      <c r="J274" s="38">
        <v>8.0</v>
      </c>
      <c r="K274" s="38" t="s">
        <v>2072</v>
      </c>
      <c r="L274" s="38">
        <v>801.0</v>
      </c>
      <c r="M274" s="38" t="s">
        <v>395</v>
      </c>
      <c r="N274" s="38">
        <v>16000.0</v>
      </c>
      <c r="O274" s="38" t="s">
        <v>3572</v>
      </c>
      <c r="P274" s="40"/>
      <c r="Q274" s="38" t="s">
        <v>289</v>
      </c>
      <c r="R274" s="38">
        <v>40.0</v>
      </c>
      <c r="S274" s="38" t="s">
        <v>3573</v>
      </c>
      <c r="T274" s="38" t="s">
        <v>3574</v>
      </c>
      <c r="U274" s="38" t="s">
        <v>3575</v>
      </c>
      <c r="V274" s="38">
        <v>1988.0</v>
      </c>
      <c r="W274" s="38" t="s">
        <v>3577</v>
      </c>
      <c r="X274" s="49" t="str">
        <f>HYPERLINK("http://www.sciencedirect.com/science/article/pii/S0013935188800021?","http://www.sciencedirect.com/science/article/pii/S0013935188800021?")</f>
        <v>http://www.sciencedirect.com/science/article/pii/S0013935188800021?</v>
      </c>
      <c r="Y274" s="38"/>
      <c r="Z274" s="38"/>
      <c r="AA274" s="38"/>
      <c r="AB274" s="38"/>
      <c r="AC274" s="38"/>
      <c r="AD274" s="38"/>
      <c r="AE274" s="38"/>
      <c r="AF274" s="38"/>
      <c r="AG274" s="28" t="s">
        <v>3582</v>
      </c>
      <c r="AH274" s="28" t="s">
        <v>842</v>
      </c>
      <c r="AI274" s="28" t="s">
        <v>462</v>
      </c>
      <c r="AJ274" s="28"/>
      <c r="AK274" s="28"/>
      <c r="AL274" s="28" t="s">
        <v>561</v>
      </c>
      <c r="AM274" s="28" t="s">
        <v>3583</v>
      </c>
      <c r="AN274" s="54">
        <v>42431.0</v>
      </c>
      <c r="AO274" s="28"/>
      <c r="AP274" s="54">
        <v>42597.0</v>
      </c>
      <c r="AQ274" s="28"/>
      <c r="AR274" s="28"/>
      <c r="AS274" s="28"/>
      <c r="AT274" s="28"/>
      <c r="AU274" s="28"/>
      <c r="AV274" s="28"/>
      <c r="AW274" s="28"/>
      <c r="AX274" s="28"/>
      <c r="AY274" s="28"/>
      <c r="AZ274" s="28"/>
      <c r="BA274" s="28" t="s">
        <v>3584</v>
      </c>
      <c r="BB274" s="28"/>
      <c r="BC274" s="28"/>
      <c r="BD274" s="28"/>
      <c r="BE274" s="28"/>
      <c r="BF274" s="28"/>
      <c r="BG274" s="28"/>
      <c r="BH274" s="28"/>
      <c r="BI274" s="28"/>
      <c r="BJ274" s="28"/>
      <c r="BK274" s="28"/>
      <c r="BL274" s="28"/>
      <c r="BM274" s="28"/>
      <c r="BN274" s="28"/>
      <c r="BO274" s="28"/>
    </row>
    <row r="275" ht="25.5" customHeight="1">
      <c r="A275" s="28">
        <v>398.0</v>
      </c>
      <c r="B275" s="37" t="b">
        <v>1</v>
      </c>
      <c r="C275" s="38" t="s">
        <v>106</v>
      </c>
      <c r="D275" s="38">
        <v>80.0</v>
      </c>
      <c r="E275" s="13" t="b">
        <v>0</v>
      </c>
      <c r="F275" s="13" t="b">
        <v>1</v>
      </c>
      <c r="G275" s="38" t="s">
        <v>224</v>
      </c>
      <c r="H275" s="38"/>
      <c r="I275" s="38" t="s">
        <v>712</v>
      </c>
      <c r="J275" s="38">
        <v>7.0</v>
      </c>
      <c r="K275" s="38" t="s">
        <v>2342</v>
      </c>
      <c r="L275" s="38">
        <v>703.0</v>
      </c>
      <c r="M275" s="38" t="s">
        <v>549</v>
      </c>
      <c r="N275" s="38">
        <v>6000.0</v>
      </c>
      <c r="O275" s="38" t="s">
        <v>552</v>
      </c>
      <c r="P275" s="40"/>
      <c r="Q275" s="38" t="s">
        <v>111</v>
      </c>
      <c r="R275" s="38">
        <v>41.0</v>
      </c>
      <c r="S275" s="38" t="s">
        <v>3585</v>
      </c>
      <c r="T275" s="38" t="s">
        <v>3586</v>
      </c>
      <c r="U275" s="38" t="s">
        <v>3587</v>
      </c>
      <c r="V275" s="38">
        <v>2012.0</v>
      </c>
      <c r="W275" s="38" t="s">
        <v>3589</v>
      </c>
      <c r="X275" s="38" t="s">
        <v>3590</v>
      </c>
      <c r="Y275" s="38"/>
      <c r="Z275" s="38"/>
      <c r="AA275" s="38"/>
      <c r="AB275" s="38"/>
      <c r="AC275" s="38"/>
      <c r="AD275" s="38"/>
      <c r="AE275" s="38"/>
      <c r="AF275" s="38"/>
      <c r="AG275" s="28"/>
      <c r="AH275" s="28" t="s">
        <v>428</v>
      </c>
      <c r="AI275" s="28" t="s">
        <v>462</v>
      </c>
      <c r="AJ275" s="28"/>
      <c r="AK275" s="28"/>
      <c r="AL275" s="28" t="s">
        <v>561</v>
      </c>
      <c r="AM275" s="28" t="s">
        <v>3593</v>
      </c>
      <c r="AN275" s="54">
        <v>42401.0</v>
      </c>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row>
    <row r="276" ht="25.5" customHeight="1">
      <c r="A276" s="28">
        <v>136.0</v>
      </c>
      <c r="B276" s="37" t="b">
        <v>1</v>
      </c>
      <c r="C276" s="38" t="s">
        <v>106</v>
      </c>
      <c r="D276" s="38">
        <v>80.0</v>
      </c>
      <c r="E276" s="13" t="b">
        <v>1</v>
      </c>
      <c r="F276" s="13" t="b">
        <v>0</v>
      </c>
      <c r="G276" s="38" t="s">
        <v>284</v>
      </c>
      <c r="H276" s="38">
        <v>53.0</v>
      </c>
      <c r="I276" s="38" t="s">
        <v>224</v>
      </c>
      <c r="J276" s="38"/>
      <c r="K276" s="38" t="s">
        <v>224</v>
      </c>
      <c r="L276" s="38"/>
      <c r="M276" s="38" t="s">
        <v>1196</v>
      </c>
      <c r="N276" s="38" t="s">
        <v>1197</v>
      </c>
      <c r="O276" s="38" t="s">
        <v>1198</v>
      </c>
      <c r="P276" s="40"/>
      <c r="Q276" s="38" t="s">
        <v>289</v>
      </c>
      <c r="R276" s="38">
        <v>40.0</v>
      </c>
      <c r="S276" s="38" t="s">
        <v>3596</v>
      </c>
      <c r="T276" s="38" t="s">
        <v>3597</v>
      </c>
      <c r="U276" s="38" t="s">
        <v>3598</v>
      </c>
      <c r="V276" s="38">
        <v>1999.0</v>
      </c>
      <c r="W276" s="38" t="s">
        <v>3600</v>
      </c>
      <c r="X276" s="49" t="str">
        <f>HYPERLINK("http://pubs.acs.org/doi/abs/10.1021/es00010a003","http://pubs.acs.org/doi/abs/10.1021/es00010a003")</f>
        <v>http://pubs.acs.org/doi/abs/10.1021/es00010a003</v>
      </c>
      <c r="Y276" s="38"/>
      <c r="Z276" s="38"/>
      <c r="AA276" s="38"/>
      <c r="AB276" s="38"/>
      <c r="AC276" s="38"/>
      <c r="AD276" s="38"/>
      <c r="AE276" s="38"/>
      <c r="AF276" s="3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row>
    <row r="277" ht="25.5" customHeight="1">
      <c r="A277" s="28">
        <v>161.0</v>
      </c>
      <c r="B277" s="37" t="b">
        <v>1</v>
      </c>
      <c r="C277" s="38" t="s">
        <v>106</v>
      </c>
      <c r="D277" s="38">
        <v>80.0</v>
      </c>
      <c r="E277" s="13" t="b">
        <v>1</v>
      </c>
      <c r="F277" s="13" t="b">
        <v>0</v>
      </c>
      <c r="G277" s="38" t="s">
        <v>394</v>
      </c>
      <c r="H277" s="38">
        <v>63.0</v>
      </c>
      <c r="I277" s="38" t="s">
        <v>224</v>
      </c>
      <c r="J277" s="38"/>
      <c r="K277" s="38" t="s">
        <v>224</v>
      </c>
      <c r="L277" s="38"/>
      <c r="M277" s="38" t="s">
        <v>3605</v>
      </c>
      <c r="N277" s="38" t="s">
        <v>3606</v>
      </c>
      <c r="O277" s="38" t="s">
        <v>798</v>
      </c>
      <c r="P277" s="40"/>
      <c r="Q277" s="38" t="s">
        <v>289</v>
      </c>
      <c r="R277" s="38">
        <v>40.0</v>
      </c>
      <c r="S277" s="38" t="s">
        <v>3607</v>
      </c>
      <c r="T277" s="38" t="s">
        <v>3608</v>
      </c>
      <c r="U277" s="38" t="s">
        <v>3609</v>
      </c>
      <c r="V277" s="38">
        <v>2012.0</v>
      </c>
      <c r="W277" s="38" t="s">
        <v>3611</v>
      </c>
      <c r="X277" s="38"/>
      <c r="Y277" s="38"/>
      <c r="Z277" s="38"/>
      <c r="AA277" s="38"/>
      <c r="AB277" s="38"/>
      <c r="AC277" s="38"/>
      <c r="AD277" s="38"/>
      <c r="AE277" s="38"/>
      <c r="AF277" s="3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row>
    <row r="278" ht="25.5" customHeight="1">
      <c r="A278" s="28">
        <v>256.0</v>
      </c>
      <c r="B278" s="37" t="b">
        <v>1</v>
      </c>
      <c r="C278" s="38" t="s">
        <v>106</v>
      </c>
      <c r="D278" s="38">
        <v>80.0</v>
      </c>
      <c r="E278" s="13" t="b">
        <v>0</v>
      </c>
      <c r="F278" s="13" t="b">
        <v>1</v>
      </c>
      <c r="G278" s="38" t="s">
        <v>224</v>
      </c>
      <c r="H278" s="38"/>
      <c r="I278" s="38" t="s">
        <v>421</v>
      </c>
      <c r="J278" s="38">
        <v>11.0</v>
      </c>
      <c r="K278" s="38" t="s">
        <v>224</v>
      </c>
      <c r="L278" s="38"/>
      <c r="M278" s="38" t="s">
        <v>549</v>
      </c>
      <c r="N278" s="38">
        <v>6000.0</v>
      </c>
      <c r="O278" s="38" t="s">
        <v>552</v>
      </c>
      <c r="P278" s="40"/>
      <c r="Q278" s="38" t="s">
        <v>111</v>
      </c>
      <c r="R278" s="38">
        <v>41.0</v>
      </c>
      <c r="S278" s="38" t="s">
        <v>3612</v>
      </c>
      <c r="T278" s="38" t="s">
        <v>3613</v>
      </c>
      <c r="U278" s="38" t="s">
        <v>3614</v>
      </c>
      <c r="V278" s="38">
        <v>2001.0</v>
      </c>
      <c r="W278" s="38" t="s">
        <v>610</v>
      </c>
      <c r="X278" s="38"/>
      <c r="Y278" s="38"/>
      <c r="Z278" s="38"/>
      <c r="AA278" s="38"/>
      <c r="AB278" s="38"/>
      <c r="AC278" s="38"/>
      <c r="AD278" s="38"/>
      <c r="AE278" s="38"/>
      <c r="AF278" s="3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row>
    <row r="279" ht="25.5" customHeight="1">
      <c r="A279" s="28">
        <v>379.0</v>
      </c>
      <c r="B279" s="37" t="b">
        <v>1</v>
      </c>
      <c r="C279" s="38" t="s">
        <v>106</v>
      </c>
      <c r="D279" s="38">
        <v>80.0</v>
      </c>
      <c r="E279" s="13" t="b">
        <v>0</v>
      </c>
      <c r="F279" s="13" t="b">
        <v>1</v>
      </c>
      <c r="G279" s="38" t="s">
        <v>224</v>
      </c>
      <c r="H279" s="38"/>
      <c r="I279" s="38" t="s">
        <v>280</v>
      </c>
      <c r="J279" s="38">
        <v>10.0</v>
      </c>
      <c r="K279" s="38" t="s">
        <v>3266</v>
      </c>
      <c r="L279" s="38">
        <v>1004.0</v>
      </c>
      <c r="M279" s="38" t="s">
        <v>107</v>
      </c>
      <c r="N279" s="38">
        <v>3000.0</v>
      </c>
      <c r="O279" s="38" t="s">
        <v>893</v>
      </c>
      <c r="P279" s="40"/>
      <c r="Q279" s="38" t="s">
        <v>111</v>
      </c>
      <c r="R279" s="38">
        <v>41.0</v>
      </c>
      <c r="S279" s="38" t="s">
        <v>3615</v>
      </c>
      <c r="T279" s="38" t="s">
        <v>3616</v>
      </c>
      <c r="U279" s="38" t="s">
        <v>3617</v>
      </c>
      <c r="V279" s="38">
        <v>2009.0</v>
      </c>
      <c r="W279" s="38" t="s">
        <v>3618</v>
      </c>
      <c r="X279" s="49" t="str">
        <f>HYPERLINK("http://onlinelibrary.wiley.com/enhanced/doi/10.1002/ejsp.674","http://onlinelibrary.wiley.com/enhanced/doi/10.1002/ejsp.674")</f>
        <v>http://onlinelibrary.wiley.com/enhanced/doi/10.1002/ejsp.674</v>
      </c>
      <c r="Y279" s="38"/>
      <c r="Z279" s="38"/>
      <c r="AA279" s="38"/>
      <c r="AB279" s="38"/>
      <c r="AC279" s="38"/>
      <c r="AD279" s="38"/>
      <c r="AE279" s="38"/>
      <c r="AF279" s="38"/>
      <c r="AG279" s="28" t="s">
        <v>3619</v>
      </c>
      <c r="AH279" s="28" t="s">
        <v>428</v>
      </c>
      <c r="AI279" s="28"/>
      <c r="AJ279" s="28"/>
      <c r="AK279" s="28"/>
      <c r="AL279" s="28"/>
      <c r="AM279" s="28"/>
      <c r="AN279" s="28"/>
      <c r="AO279" s="28"/>
      <c r="AP279" s="28"/>
      <c r="AQ279" s="28"/>
      <c r="AR279" s="28"/>
      <c r="AS279" s="54"/>
      <c r="AT279" s="28"/>
      <c r="AU279" s="28"/>
      <c r="AV279" s="54"/>
      <c r="AW279" s="28"/>
      <c r="AX279" s="28"/>
      <c r="AY279" s="28"/>
      <c r="AZ279" s="28"/>
      <c r="BA279" s="28"/>
      <c r="BB279" s="28"/>
      <c r="BC279" s="28"/>
      <c r="BD279" s="28"/>
      <c r="BE279" s="28"/>
      <c r="BF279" s="28"/>
      <c r="BG279" s="28"/>
      <c r="BH279" s="28"/>
      <c r="BI279" s="28"/>
      <c r="BJ279" s="28"/>
      <c r="BK279" s="28"/>
      <c r="BL279" s="28"/>
      <c r="BM279" s="28"/>
      <c r="BN279" s="28"/>
      <c r="BO279" s="28"/>
    </row>
    <row r="280" ht="25.5" customHeight="1">
      <c r="A280" s="28">
        <v>10.0</v>
      </c>
      <c r="B280" s="37" t="b">
        <v>1</v>
      </c>
      <c r="C280" s="38" t="s">
        <v>106</v>
      </c>
      <c r="D280" s="38">
        <v>80.0</v>
      </c>
      <c r="E280" s="13" t="b">
        <v>0</v>
      </c>
      <c r="F280" s="13" t="b">
        <v>1</v>
      </c>
      <c r="G280" s="38" t="s">
        <v>224</v>
      </c>
      <c r="H280" s="38"/>
      <c r="I280" s="38" t="s">
        <v>574</v>
      </c>
      <c r="J280" s="38">
        <v>4.0</v>
      </c>
      <c r="K280" s="38" t="s">
        <v>3159</v>
      </c>
      <c r="L280" s="38">
        <v>403.0</v>
      </c>
      <c r="M280" s="38" t="s">
        <v>367</v>
      </c>
      <c r="N280" s="38">
        <v>11000.0</v>
      </c>
      <c r="O280" s="38" t="s">
        <v>538</v>
      </c>
      <c r="P280" s="40"/>
      <c r="Q280" s="38" t="s">
        <v>111</v>
      </c>
      <c r="R280" s="38">
        <v>41.0</v>
      </c>
      <c r="S280" s="38" t="s">
        <v>3620</v>
      </c>
      <c r="T280" s="38" t="s">
        <v>3621</v>
      </c>
      <c r="U280" s="38" t="s">
        <v>3622</v>
      </c>
      <c r="V280" s="38">
        <v>2013.0</v>
      </c>
      <c r="W280" s="38" t="s">
        <v>3623</v>
      </c>
      <c r="X280" s="38"/>
      <c r="Y280" s="38"/>
      <c r="Z280" s="38"/>
      <c r="AA280" s="38"/>
      <c r="AB280" s="38"/>
      <c r="AC280" s="38"/>
      <c r="AD280" s="38"/>
      <c r="AE280" s="38"/>
      <c r="AF280" s="3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row>
    <row r="281" ht="25.5" customHeight="1">
      <c r="A281" s="28">
        <v>234.0</v>
      </c>
      <c r="B281" s="37" t="b">
        <v>1</v>
      </c>
      <c r="C281" s="38" t="s">
        <v>106</v>
      </c>
      <c r="D281" s="38">
        <v>80.0</v>
      </c>
      <c r="E281" s="13" t="b">
        <v>0</v>
      </c>
      <c r="F281" s="13" t="b">
        <v>1</v>
      </c>
      <c r="G281" s="38" t="s">
        <v>224</v>
      </c>
      <c r="H281" s="38"/>
      <c r="I281" s="38" t="s">
        <v>3624</v>
      </c>
      <c r="J281" s="38" t="s">
        <v>3625</v>
      </c>
      <c r="K281" s="38" t="s">
        <v>224</v>
      </c>
      <c r="L281" s="38"/>
      <c r="M281" s="38" t="s">
        <v>3626</v>
      </c>
      <c r="N281" s="38" t="s">
        <v>3627</v>
      </c>
      <c r="O281" s="38" t="s">
        <v>3628</v>
      </c>
      <c r="P281" s="40"/>
      <c r="Q281" s="38" t="s">
        <v>324</v>
      </c>
      <c r="R281" s="38" t="s">
        <v>325</v>
      </c>
      <c r="S281" s="38" t="s">
        <v>3629</v>
      </c>
      <c r="T281" s="38" t="s">
        <v>3630</v>
      </c>
      <c r="U281" s="38" t="s">
        <v>3631</v>
      </c>
      <c r="V281" s="38">
        <v>2013.0</v>
      </c>
      <c r="W281" s="38" t="s">
        <v>610</v>
      </c>
      <c r="X281" s="49" t="str">
        <f>HYPERLINK("http://malmo.se/download/18.1388f79a149845ce3b910cd5/1415624861179/Enabling_sustainable_choices_webb_liten.pdf","http://malmo.se/download/18.1388f79a149845ce3b910cd5/1415624861179/Enabling_sustainable_choices_webb_liten.pdf")</f>
        <v>http://malmo.se/download/18.1388f79a149845ce3b910cd5/1415624861179/Enabling_sustainable_choices_webb_liten.pdf</v>
      </c>
      <c r="Y281" s="38"/>
      <c r="Z281" s="38"/>
      <c r="AA281" s="38"/>
      <c r="AB281" s="38"/>
      <c r="AC281" s="38"/>
      <c r="AD281" s="38"/>
      <c r="AE281" s="38"/>
      <c r="AF281" s="38"/>
      <c r="AG281" s="28"/>
      <c r="AH281" s="28" t="s">
        <v>3632</v>
      </c>
      <c r="AI281" s="28" t="s">
        <v>3633</v>
      </c>
      <c r="AJ281" s="28"/>
      <c r="AK281" s="28"/>
      <c r="AL281" s="28" t="s">
        <v>677</v>
      </c>
      <c r="AM281" s="28"/>
      <c r="AN281" s="28"/>
      <c r="AO281" s="28"/>
      <c r="AP281" s="28"/>
      <c r="AQ281" s="28"/>
      <c r="AR281" s="28"/>
      <c r="AS281" s="28"/>
      <c r="AT281" s="28" t="s">
        <v>1088</v>
      </c>
      <c r="AU281" s="28"/>
      <c r="AV281" s="28"/>
      <c r="AW281" s="28"/>
      <c r="AX281" s="28"/>
      <c r="AY281" s="28"/>
      <c r="AZ281" s="28"/>
      <c r="BA281" s="28"/>
      <c r="BB281" s="28"/>
      <c r="BC281" s="28"/>
      <c r="BD281" s="28"/>
      <c r="BE281" s="28"/>
      <c r="BF281" s="28"/>
      <c r="BG281" s="28"/>
      <c r="BH281" s="28"/>
      <c r="BI281" s="28"/>
      <c r="BJ281" s="28"/>
      <c r="BK281" s="28"/>
      <c r="BL281" s="28"/>
      <c r="BM281" s="28"/>
      <c r="BN281" s="28"/>
      <c r="BO281" s="28"/>
    </row>
    <row r="282" ht="25.5" customHeight="1">
      <c r="A282" s="28">
        <v>10340.0</v>
      </c>
      <c r="B282" s="37" t="b">
        <v>1</v>
      </c>
      <c r="C282" s="38" t="s">
        <v>238</v>
      </c>
      <c r="D282" s="38">
        <v>81.0</v>
      </c>
      <c r="E282" s="13" t="b">
        <v>0</v>
      </c>
      <c r="F282" s="13" t="b">
        <v>1</v>
      </c>
      <c r="G282" s="38" t="s">
        <v>224</v>
      </c>
      <c r="H282" s="38"/>
      <c r="I282" s="38" t="s">
        <v>280</v>
      </c>
      <c r="J282" s="38">
        <v>10.0</v>
      </c>
      <c r="K282" s="38"/>
      <c r="L282" s="38"/>
      <c r="M282" s="38" t="s">
        <v>388</v>
      </c>
      <c r="N282" s="38">
        <v>14000.0</v>
      </c>
      <c r="O282" s="38" t="s">
        <v>224</v>
      </c>
      <c r="P282" s="40"/>
      <c r="Q282" s="38" t="s">
        <v>289</v>
      </c>
      <c r="R282" s="38">
        <v>40.0</v>
      </c>
      <c r="S282" s="38" t="s">
        <v>3634</v>
      </c>
      <c r="T282" s="38" t="s">
        <v>3635</v>
      </c>
      <c r="U282" s="38" t="s">
        <v>3636</v>
      </c>
      <c r="V282" s="55">
        <v>42095.0</v>
      </c>
      <c r="W282" s="38" t="s">
        <v>3637</v>
      </c>
      <c r="X282" s="38" t="s">
        <v>3638</v>
      </c>
      <c r="Y282" s="38"/>
      <c r="Z282" s="38"/>
      <c r="AA282" s="38"/>
      <c r="AB282" s="38"/>
      <c r="AC282" s="38"/>
      <c r="AD282" s="38"/>
      <c r="AE282" s="38"/>
      <c r="AF282" s="38"/>
      <c r="AG282" s="28"/>
      <c r="AH282" s="28"/>
      <c r="AI282" s="28"/>
      <c r="AJ282" s="28"/>
      <c r="AK282" s="28" t="s">
        <v>2322</v>
      </c>
      <c r="AL282" s="28"/>
      <c r="AM282" s="28"/>
      <c r="AN282" s="28"/>
      <c r="AO282" s="28"/>
      <c r="AP282" s="28"/>
      <c r="AQ282" s="28"/>
      <c r="AR282" s="28"/>
      <c r="AS282" s="28"/>
      <c r="AT282" s="28"/>
      <c r="AU282" s="28"/>
      <c r="AV282" s="28"/>
      <c r="AW282" s="28"/>
      <c r="AX282" s="28"/>
      <c r="AY282" s="28"/>
      <c r="AZ282" s="28" t="s">
        <v>916</v>
      </c>
      <c r="BA282" s="28"/>
      <c r="BB282" s="28"/>
      <c r="BC282" s="28"/>
      <c r="BD282" s="28"/>
      <c r="BE282" s="28"/>
      <c r="BF282" s="28"/>
      <c r="BG282" s="28"/>
      <c r="BH282" s="28"/>
      <c r="BI282" s="28"/>
      <c r="BJ282" s="28"/>
      <c r="BK282" s="28"/>
      <c r="BL282" s="28"/>
      <c r="BM282" s="28"/>
      <c r="BN282" s="28"/>
      <c r="BO282" s="28"/>
    </row>
    <row r="283" ht="25.5" customHeight="1">
      <c r="A283" s="28">
        <v>114.0</v>
      </c>
      <c r="B283" s="37" t="b">
        <v>1</v>
      </c>
      <c r="C283" s="38" t="s">
        <v>106</v>
      </c>
      <c r="D283" s="38">
        <v>80.0</v>
      </c>
      <c r="E283" s="13" t="b">
        <v>1</v>
      </c>
      <c r="F283" s="13" t="b">
        <v>0</v>
      </c>
      <c r="G283" s="38" t="s">
        <v>284</v>
      </c>
      <c r="H283" s="38">
        <v>53.0</v>
      </c>
      <c r="I283" s="38" t="s">
        <v>224</v>
      </c>
      <c r="J283" s="38"/>
      <c r="K283" s="38" t="s">
        <v>224</v>
      </c>
      <c r="L283" s="38"/>
      <c r="M283" s="38" t="s">
        <v>35</v>
      </c>
      <c r="N283" s="38">
        <v>2000.0</v>
      </c>
      <c r="O283" s="38" t="s">
        <v>3643</v>
      </c>
      <c r="P283" s="40"/>
      <c r="Q283" s="38" t="s">
        <v>289</v>
      </c>
      <c r="R283" s="38">
        <v>40.0</v>
      </c>
      <c r="S283" s="38" t="s">
        <v>3644</v>
      </c>
      <c r="T283" s="38" t="s">
        <v>3645</v>
      </c>
      <c r="U283" s="38" t="s">
        <v>3646</v>
      </c>
      <c r="V283" s="38">
        <v>2005.0</v>
      </c>
      <c r="W283" s="38" t="s">
        <v>3647</v>
      </c>
      <c r="X283" s="38" t="s">
        <v>3648</v>
      </c>
      <c r="Y283" s="38"/>
      <c r="Z283" s="38"/>
      <c r="AA283" s="38"/>
      <c r="AB283" s="38"/>
      <c r="AC283" s="38"/>
      <c r="AD283" s="38"/>
      <c r="AE283" s="38"/>
      <c r="AF283" s="38"/>
      <c r="AG283" s="71" t="s">
        <v>3649</v>
      </c>
      <c r="AH283" s="28" t="s">
        <v>428</v>
      </c>
      <c r="AI283" s="28" t="s">
        <v>462</v>
      </c>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row>
    <row r="284" ht="25.5" customHeight="1">
      <c r="A284" s="28">
        <v>10390.0</v>
      </c>
      <c r="B284" s="37" t="b">
        <v>1</v>
      </c>
      <c r="C284" s="38" t="s">
        <v>238</v>
      </c>
      <c r="D284" s="38">
        <v>81.0</v>
      </c>
      <c r="E284" s="13" t="b">
        <v>0</v>
      </c>
      <c r="F284" s="13" t="b">
        <v>1</v>
      </c>
      <c r="G284" s="38" t="s">
        <v>224</v>
      </c>
      <c r="H284" s="38"/>
      <c r="I284" s="38" t="s">
        <v>3651</v>
      </c>
      <c r="J284" s="38" t="s">
        <v>1231</v>
      </c>
      <c r="K284" s="38"/>
      <c r="L284" s="38"/>
      <c r="M284" s="38" t="s">
        <v>35</v>
      </c>
      <c r="N284" s="38">
        <v>2000.0</v>
      </c>
      <c r="O284" s="38" t="s">
        <v>644</v>
      </c>
      <c r="P284" s="40"/>
      <c r="Q284" s="38" t="s">
        <v>289</v>
      </c>
      <c r="R284" s="38">
        <v>40.0</v>
      </c>
      <c r="S284" s="38" t="s">
        <v>3652</v>
      </c>
      <c r="T284" s="38" t="s">
        <v>3653</v>
      </c>
      <c r="U284" s="38" t="s">
        <v>3654</v>
      </c>
      <c r="V284" s="55">
        <v>41918.0</v>
      </c>
      <c r="W284" s="38" t="s">
        <v>3655</v>
      </c>
      <c r="X284" s="49" t="str">
        <f>HYPERLINK("http://www.fastcocreate.com/3036634/nature-is-speaking-through-harrison-ford-julia-roberts-and-kevin-spacey-and-she-is-pissed","http://www.fastcocreate.com/3036634/nature-is-speaking-through-harrison-ford-julia-roberts-and-kevin-spacey-and-she-is-pissed")</f>
        <v>http://www.fastcocreate.com/3036634/nature-is-speaking-through-harrison-ford-julia-roberts-and-kevin-spacey-and-she-is-pissed</v>
      </c>
      <c r="Y284" s="38"/>
      <c r="Z284" s="38"/>
      <c r="AA284" s="38"/>
      <c r="AB284" s="38"/>
      <c r="AC284" s="38"/>
      <c r="AD284" s="38"/>
      <c r="AE284" s="38"/>
      <c r="AF284" s="38"/>
      <c r="AG284" s="28"/>
      <c r="AH284" s="28" t="s">
        <v>462</v>
      </c>
      <c r="AI284" s="28" t="s">
        <v>462</v>
      </c>
      <c r="AJ284" s="28"/>
      <c r="AK284" s="28" t="s">
        <v>676</v>
      </c>
      <c r="AL284" s="28" t="s">
        <v>769</v>
      </c>
      <c r="AM284" s="28" t="s">
        <v>3656</v>
      </c>
      <c r="AN284" s="54">
        <v>42205.0</v>
      </c>
      <c r="AO284" s="54"/>
      <c r="AP284" s="54">
        <v>42569.0</v>
      </c>
      <c r="AQ284" s="28" t="s">
        <v>769</v>
      </c>
      <c r="AR284" s="28"/>
      <c r="AS284" s="54">
        <v>41947.0</v>
      </c>
      <c r="AT284" s="28"/>
      <c r="AU284" s="28"/>
      <c r="AV284" s="28"/>
      <c r="AW284" s="28"/>
      <c r="AX284" s="28"/>
      <c r="AY284" s="28"/>
      <c r="AZ284" s="28" t="s">
        <v>1680</v>
      </c>
      <c r="BA284" s="28"/>
      <c r="BB284" s="28"/>
      <c r="BC284" s="28"/>
      <c r="BD284" s="28"/>
      <c r="BE284" s="28"/>
      <c r="BF284" s="28"/>
      <c r="BG284" s="28"/>
      <c r="BH284" s="28"/>
      <c r="BI284" s="28"/>
      <c r="BJ284" s="28"/>
      <c r="BK284" s="28"/>
      <c r="BL284" s="28"/>
      <c r="BM284" s="28"/>
      <c r="BN284" s="28"/>
      <c r="BO284" s="28"/>
    </row>
    <row r="285" ht="25.5" customHeight="1">
      <c r="A285" s="28">
        <v>10166.0</v>
      </c>
      <c r="B285" s="37" t="b">
        <v>1</v>
      </c>
      <c r="C285" s="38" t="s">
        <v>238</v>
      </c>
      <c r="D285" s="38">
        <v>81.0</v>
      </c>
      <c r="E285" s="13" t="b">
        <v>0</v>
      </c>
      <c r="F285" s="13" t="b">
        <v>1</v>
      </c>
      <c r="G285" s="38" t="s">
        <v>224</v>
      </c>
      <c r="H285" s="38"/>
      <c r="I285" s="38" t="s">
        <v>1361</v>
      </c>
      <c r="J285" s="38" t="s">
        <v>1383</v>
      </c>
      <c r="K285" s="38"/>
      <c r="L285" s="38"/>
      <c r="M285" s="38" t="s">
        <v>35</v>
      </c>
      <c r="N285" s="38">
        <v>2000.0</v>
      </c>
      <c r="O285" s="38" t="s">
        <v>644</v>
      </c>
      <c r="P285" s="40"/>
      <c r="Q285" s="38" t="s">
        <v>289</v>
      </c>
      <c r="R285" s="38">
        <v>40.0</v>
      </c>
      <c r="S285" s="38" t="s">
        <v>3056</v>
      </c>
      <c r="T285" s="38" t="s">
        <v>3057</v>
      </c>
      <c r="U285" s="38" t="s">
        <v>3059</v>
      </c>
      <c r="V285" s="55">
        <v>41859.0</v>
      </c>
      <c r="W285" s="38" t="s">
        <v>108</v>
      </c>
      <c r="X285" s="49" t="str">
        <f>HYPERLINK("http://www.fastcoexist.com/3034104/the-climate-movement-needs-rebranding-but-these-milton-glazer-buttons-wont-do-it","http://www.fastcoexist.com/3034104/the-climate-movement-needs-rebranding-but-these-milton-glazer-buttons-wont-do-it")</f>
        <v>http://www.fastcoexist.com/3034104/the-climate-movement-needs-rebranding-but-these-milton-glazer-buttons-wont-do-it</v>
      </c>
      <c r="Y285" s="38"/>
      <c r="Z285" s="38"/>
      <c r="AA285" s="38"/>
      <c r="AB285" s="38"/>
      <c r="AC285" s="38"/>
      <c r="AD285" s="38"/>
      <c r="AE285" s="38"/>
      <c r="AF285" s="38"/>
      <c r="AG285" s="28"/>
      <c r="AH285" s="28" t="s">
        <v>462</v>
      </c>
      <c r="AI285" s="28" t="s">
        <v>462</v>
      </c>
      <c r="AJ285" s="28"/>
      <c r="AK285" s="28" t="s">
        <v>676</v>
      </c>
      <c r="AL285" s="28" t="s">
        <v>769</v>
      </c>
      <c r="AM285" s="28" t="s">
        <v>3062</v>
      </c>
      <c r="AN285" s="54">
        <v>41960.0</v>
      </c>
      <c r="AO285" s="54"/>
      <c r="AP285" s="28"/>
      <c r="AQ285" s="28" t="s">
        <v>530</v>
      </c>
      <c r="AR285" s="28"/>
      <c r="AS285" s="54"/>
      <c r="AT285" s="28"/>
      <c r="AU285" s="54"/>
      <c r="AV285" s="28"/>
      <c r="AW285" s="28"/>
      <c r="AX285" s="28"/>
      <c r="AY285" s="28"/>
      <c r="AZ285" s="28"/>
      <c r="BA285" s="28"/>
      <c r="BB285" s="28"/>
      <c r="BC285" s="28"/>
      <c r="BD285" s="28"/>
      <c r="BE285" s="28"/>
      <c r="BF285" s="28"/>
      <c r="BG285" s="28"/>
      <c r="BH285" s="28"/>
      <c r="BI285" s="28"/>
      <c r="BJ285" s="28"/>
      <c r="BK285" s="28"/>
      <c r="BL285" s="28"/>
      <c r="BM285" s="28"/>
      <c r="BN285" s="28"/>
      <c r="BO285" s="28"/>
    </row>
    <row r="286" ht="25.5" customHeight="1">
      <c r="A286" s="28">
        <v>10198.0</v>
      </c>
      <c r="B286" s="37" t="b">
        <v>1</v>
      </c>
      <c r="C286" s="38" t="s">
        <v>238</v>
      </c>
      <c r="D286" s="38">
        <v>81.0</v>
      </c>
      <c r="E286" s="13" t="b">
        <v>0</v>
      </c>
      <c r="F286" s="13" t="b">
        <v>1</v>
      </c>
      <c r="G286" s="38" t="s">
        <v>224</v>
      </c>
      <c r="H286" s="38"/>
      <c r="I286" s="38" t="s">
        <v>1857</v>
      </c>
      <c r="J286" s="38">
        <v>1.0</v>
      </c>
      <c r="K286" s="38"/>
      <c r="L286" s="38"/>
      <c r="M286" s="38" t="s">
        <v>107</v>
      </c>
      <c r="N286" s="38">
        <v>3000.0</v>
      </c>
      <c r="O286" s="38" t="s">
        <v>1223</v>
      </c>
      <c r="P286" s="40"/>
      <c r="Q286" s="38" t="s">
        <v>2012</v>
      </c>
      <c r="R286" s="38" t="s">
        <v>2013</v>
      </c>
      <c r="S286" s="38" t="s">
        <v>3332</v>
      </c>
      <c r="T286" s="38" t="s">
        <v>1536</v>
      </c>
      <c r="U286" s="38" t="s">
        <v>1538</v>
      </c>
      <c r="V286" s="55">
        <v>42152.0</v>
      </c>
      <c r="W286" s="38" t="s">
        <v>3335</v>
      </c>
      <c r="X286" s="49" t="str">
        <f>HYPERLINK("http://www.fastcoexist.com/3046029/buy-your-way-out-of-your-carbon-footprint-with-a-credit-card-that-saves-trees-with-every-pur?partner=rss","http://www.fastcoexist.com/3046029/buy-your-way-out-of-your-carbon-footprint-with-a-credit-card-that-saves-trees-with-every-pur?partner=rss")</f>
        <v>http://www.fastcoexist.com/3046029/buy-your-way-out-of-your-carbon-footprint-with-a-credit-card-that-saves-trees-with-every-pur?partner=rss</v>
      </c>
      <c r="Y286" s="38"/>
      <c r="Z286" s="38"/>
      <c r="AA286" s="38"/>
      <c r="AB286" s="38"/>
      <c r="AC286" s="38"/>
      <c r="AD286" s="38"/>
      <c r="AE286" s="38"/>
      <c r="AF286" s="38"/>
      <c r="AG286" s="28"/>
      <c r="AH286" s="28" t="s">
        <v>462</v>
      </c>
      <c r="AI286" s="28" t="s">
        <v>462</v>
      </c>
      <c r="AJ286" s="28"/>
      <c r="AK286" s="28" t="s">
        <v>676</v>
      </c>
      <c r="AL286" s="28" t="s">
        <v>769</v>
      </c>
      <c r="AM286" s="28" t="s">
        <v>3339</v>
      </c>
      <c r="AN286" s="54">
        <v>42195.0</v>
      </c>
      <c r="AO286" s="54"/>
      <c r="AP286" s="28"/>
      <c r="AQ286" s="28"/>
      <c r="AR286" s="28"/>
      <c r="AS286" s="54"/>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row>
    <row r="287" ht="25.5" customHeight="1">
      <c r="A287" s="28">
        <v>10239.0</v>
      </c>
      <c r="B287" s="37" t="b">
        <v>1</v>
      </c>
      <c r="C287" s="38" t="s">
        <v>238</v>
      </c>
      <c r="D287" s="38">
        <v>81.0</v>
      </c>
      <c r="E287" s="13" t="b">
        <v>0</v>
      </c>
      <c r="F287" s="13" t="b">
        <v>1</v>
      </c>
      <c r="G287" s="38" t="s">
        <v>224</v>
      </c>
      <c r="H287" s="38"/>
      <c r="I287" s="38" t="s">
        <v>429</v>
      </c>
      <c r="J287" s="38">
        <v>2.0</v>
      </c>
      <c r="K287" s="38"/>
      <c r="L287" s="38"/>
      <c r="M287" s="38" t="s">
        <v>388</v>
      </c>
      <c r="N287" s="38">
        <v>14000.0</v>
      </c>
      <c r="O287" s="38" t="s">
        <v>224</v>
      </c>
      <c r="P287" s="40"/>
      <c r="Q287" s="38" t="s">
        <v>289</v>
      </c>
      <c r="R287" s="38">
        <v>40.0</v>
      </c>
      <c r="S287" s="38" t="s">
        <v>3669</v>
      </c>
      <c r="T287" s="38" t="s">
        <v>3670</v>
      </c>
      <c r="U287" s="38" t="s">
        <v>1538</v>
      </c>
      <c r="V287" s="55">
        <v>41689.0</v>
      </c>
      <c r="W287" s="38" t="s">
        <v>2925</v>
      </c>
      <c r="X287" s="49" t="str">
        <f>HYPERLINK("http://www.fastcompany.com/3026411/leadership-now/why-wait-how-always-being-busy-makes-you-dumber","http://www.fastcompany.com/3026411/leadership-now/why-wait-how-always-being-busy-makes-you-dumber")</f>
        <v>http://www.fastcompany.com/3026411/leadership-now/why-wait-how-always-being-busy-makes-you-dumber</v>
      </c>
      <c r="Y287" s="38"/>
      <c r="Z287" s="38"/>
      <c r="AA287" s="38"/>
      <c r="AB287" s="38"/>
      <c r="AC287" s="38"/>
      <c r="AD287" s="38"/>
      <c r="AE287" s="38"/>
      <c r="AF287" s="38"/>
      <c r="AG287" s="28"/>
      <c r="AH287" s="28" t="s">
        <v>462</v>
      </c>
      <c r="AI287" s="28" t="s">
        <v>462</v>
      </c>
      <c r="AJ287" s="28"/>
      <c r="AK287" s="28" t="s">
        <v>1474</v>
      </c>
      <c r="AL287" s="28" t="s">
        <v>677</v>
      </c>
      <c r="AM287" s="28"/>
      <c r="AN287" s="54"/>
      <c r="AO287" s="54"/>
      <c r="AP287" s="28"/>
      <c r="AQ287" s="28"/>
      <c r="AR287" s="28"/>
      <c r="AS287" s="54"/>
      <c r="AT287" s="28"/>
      <c r="AU287" s="28"/>
      <c r="AV287" s="28"/>
      <c r="AW287" s="28"/>
      <c r="AX287" s="28"/>
      <c r="AY287" s="28"/>
      <c r="AZ287" s="28" t="s">
        <v>1101</v>
      </c>
      <c r="BA287" s="28"/>
      <c r="BB287" s="28"/>
      <c r="BC287" s="28"/>
      <c r="BD287" s="28"/>
      <c r="BE287" s="28"/>
      <c r="BF287" s="28"/>
      <c r="BG287" s="28"/>
      <c r="BH287" s="28"/>
      <c r="BI287" s="28"/>
      <c r="BJ287" s="28"/>
      <c r="BK287" s="28"/>
      <c r="BL287" s="28"/>
      <c r="BM287" s="28"/>
      <c r="BN287" s="28"/>
      <c r="BO287" s="28"/>
    </row>
    <row r="288" ht="25.5" customHeight="1">
      <c r="A288" s="28">
        <v>10364.0</v>
      </c>
      <c r="B288" s="37" t="b">
        <v>1</v>
      </c>
      <c r="C288" s="38" t="s">
        <v>238</v>
      </c>
      <c r="D288" s="38">
        <v>81.0</v>
      </c>
      <c r="E288" s="13" t="b">
        <v>0</v>
      </c>
      <c r="F288" s="13" t="b">
        <v>1</v>
      </c>
      <c r="G288" s="38" t="s">
        <v>224</v>
      </c>
      <c r="H288" s="38"/>
      <c r="I288" s="38" t="s">
        <v>280</v>
      </c>
      <c r="J288" s="38">
        <v>10.0</v>
      </c>
      <c r="K288" s="38"/>
      <c r="L288" s="38"/>
      <c r="M288" s="38" t="s">
        <v>388</v>
      </c>
      <c r="N288" s="38">
        <v>14000.0</v>
      </c>
      <c r="O288" s="38" t="s">
        <v>224</v>
      </c>
      <c r="P288" s="40"/>
      <c r="Q288" s="38" t="s">
        <v>289</v>
      </c>
      <c r="R288" s="38">
        <v>40.0</v>
      </c>
      <c r="S288" s="38" t="s">
        <v>3671</v>
      </c>
      <c r="T288" s="38" t="s">
        <v>3672</v>
      </c>
      <c r="U288" s="38" t="s">
        <v>1538</v>
      </c>
      <c r="V288" s="55">
        <v>42314.0</v>
      </c>
      <c r="W288" s="38" t="s">
        <v>3673</v>
      </c>
      <c r="X288" s="38" t="s">
        <v>3674</v>
      </c>
      <c r="Y288" s="38"/>
      <c r="Z288" s="38"/>
      <c r="AA288" s="38"/>
      <c r="AB288" s="38"/>
      <c r="AC288" s="38"/>
      <c r="AD288" s="38"/>
      <c r="AE288" s="38"/>
      <c r="AF288" s="38"/>
      <c r="AG288" s="28" t="s">
        <v>3678</v>
      </c>
      <c r="AH288" s="28"/>
      <c r="AI288" s="28"/>
      <c r="AJ288" s="28"/>
      <c r="AK288" s="28" t="s">
        <v>1984</v>
      </c>
      <c r="AL288" s="28"/>
      <c r="AM288" s="28"/>
      <c r="AN288" s="28"/>
      <c r="AO288" s="28"/>
      <c r="AP288" s="28"/>
      <c r="AQ288" s="28"/>
      <c r="AR288" s="28"/>
      <c r="AS288" s="28"/>
      <c r="AT288" s="28"/>
      <c r="AU288" s="28"/>
      <c r="AV288" s="28"/>
      <c r="AW288" s="28"/>
      <c r="AX288" s="28"/>
      <c r="AY288" s="28"/>
      <c r="AZ288" s="28" t="s">
        <v>3680</v>
      </c>
      <c r="BA288" s="28"/>
      <c r="BB288" s="28"/>
      <c r="BC288" s="28"/>
      <c r="BD288" s="28"/>
      <c r="BE288" s="28"/>
      <c r="BF288" s="28"/>
      <c r="BG288" s="28"/>
      <c r="BH288" s="28"/>
      <c r="BI288" s="28"/>
      <c r="BJ288" s="28"/>
      <c r="BK288" s="28"/>
      <c r="BL288" s="28"/>
      <c r="BM288" s="28"/>
      <c r="BN288" s="28"/>
      <c r="BO288" s="28"/>
    </row>
    <row r="289" ht="25.5" customHeight="1">
      <c r="A289" s="28">
        <v>10263.0</v>
      </c>
      <c r="B289" s="37" t="b">
        <v>1</v>
      </c>
      <c r="C289" s="38" t="s">
        <v>238</v>
      </c>
      <c r="D289" s="38">
        <v>81.0</v>
      </c>
      <c r="E289" s="13" t="b">
        <v>0</v>
      </c>
      <c r="F289" s="13" t="b">
        <v>1</v>
      </c>
      <c r="G289" s="38" t="s">
        <v>224</v>
      </c>
      <c r="H289" s="38"/>
      <c r="I289" s="38" t="s">
        <v>3013</v>
      </c>
      <c r="J289" s="38" t="s">
        <v>3014</v>
      </c>
      <c r="K289" s="38"/>
      <c r="L289" s="38"/>
      <c r="M289" s="38" t="s">
        <v>107</v>
      </c>
      <c r="N289" s="38">
        <v>3000.0</v>
      </c>
      <c r="O289" s="38" t="s">
        <v>470</v>
      </c>
      <c r="P289" s="40"/>
      <c r="Q289" s="38" t="s">
        <v>289</v>
      </c>
      <c r="R289" s="38">
        <v>40.0</v>
      </c>
      <c r="S289" s="38" t="s">
        <v>3681</v>
      </c>
      <c r="T289" s="49" t="str">
        <f>HYPERLINK("http://finance-commerce.com/author/frankjossi/"," Frank Jossi")</f>
        <v> Frank Jossi</v>
      </c>
      <c r="U289" s="38" t="s">
        <v>3683</v>
      </c>
      <c r="V289" s="55">
        <v>41883.0</v>
      </c>
      <c r="W289" s="38"/>
      <c r="X289" s="49" t="str">
        <f>HYPERLINK("http://finance-commerce.com/2014/09/sustainable-reducing-energy-use-through-behavioral-science/","http://finance-commerce.com/2014/09/sustainable-reducing-energy-use-through-behavioral-science/")</f>
        <v>http://finance-commerce.com/2014/09/sustainable-reducing-energy-use-through-behavioral-science/</v>
      </c>
      <c r="Y289" s="38"/>
      <c r="Z289" s="38"/>
      <c r="AA289" s="38"/>
      <c r="AB289" s="38"/>
      <c r="AC289" s="38"/>
      <c r="AD289" s="38"/>
      <c r="AE289" s="38"/>
      <c r="AF289" s="38"/>
      <c r="AG289" s="28"/>
      <c r="AH289" s="28" t="s">
        <v>462</v>
      </c>
      <c r="AI289" s="28" t="s">
        <v>462</v>
      </c>
      <c r="AJ289" s="28"/>
      <c r="AK289" s="28"/>
      <c r="AL289" s="28" t="s">
        <v>769</v>
      </c>
      <c r="AM289" s="28" t="s">
        <v>3685</v>
      </c>
      <c r="AN289" s="54">
        <v>42167.0</v>
      </c>
      <c r="AO289" s="54"/>
      <c r="AP289" s="28"/>
      <c r="AQ289" s="28" t="s">
        <v>769</v>
      </c>
      <c r="AR289" s="28"/>
      <c r="AS289" s="54">
        <v>42176.0</v>
      </c>
      <c r="AT289" s="28"/>
      <c r="AU289" s="28"/>
      <c r="AV289" s="28"/>
      <c r="AW289" s="28"/>
      <c r="AX289" s="28"/>
      <c r="AY289" s="28"/>
      <c r="AZ289" s="28" t="s">
        <v>678</v>
      </c>
      <c r="BA289" s="28"/>
      <c r="BB289" s="28"/>
      <c r="BC289" s="28"/>
      <c r="BD289" s="28"/>
      <c r="BE289" s="28"/>
      <c r="BF289" s="28"/>
      <c r="BG289" s="28"/>
      <c r="BH289" s="28"/>
      <c r="BI289" s="28"/>
      <c r="BJ289" s="28"/>
      <c r="BK289" s="28"/>
      <c r="BL289" s="28"/>
      <c r="BM289" s="28"/>
      <c r="BN289" s="28"/>
      <c r="BO289" s="28"/>
    </row>
    <row r="290" ht="25.5" customHeight="1">
      <c r="A290" s="28">
        <v>10318.0</v>
      </c>
      <c r="B290" s="37" t="b">
        <v>1</v>
      </c>
      <c r="C290" s="38" t="s">
        <v>238</v>
      </c>
      <c r="D290" s="38">
        <v>81.0</v>
      </c>
      <c r="E290" s="13" t="b">
        <v>0</v>
      </c>
      <c r="F290" s="13" t="b">
        <v>1</v>
      </c>
      <c r="G290" s="38" t="s">
        <v>224</v>
      </c>
      <c r="H290" s="38"/>
      <c r="I290" s="38" t="s">
        <v>3469</v>
      </c>
      <c r="J290" s="38" t="s">
        <v>3470</v>
      </c>
      <c r="K290" s="38"/>
      <c r="L290" s="38"/>
      <c r="M290" s="38" t="s">
        <v>411</v>
      </c>
      <c r="N290" s="38">
        <v>21000.0</v>
      </c>
      <c r="O290" s="38" t="s">
        <v>789</v>
      </c>
      <c r="P290" s="40"/>
      <c r="Q290" s="38" t="s">
        <v>324</v>
      </c>
      <c r="R290" s="38" t="s">
        <v>325</v>
      </c>
      <c r="S290" s="61" t="s">
        <v>3687</v>
      </c>
      <c r="T290" s="38" t="s">
        <v>3688</v>
      </c>
      <c r="U290" s="38" t="s">
        <v>3689</v>
      </c>
      <c r="V290" s="55">
        <v>42323.0</v>
      </c>
      <c r="W290" s="38" t="s">
        <v>3690</v>
      </c>
      <c r="X290" s="49" t="str">
        <f>HYPERLINK("http://www.ft.com/intl/cms/s/2/e98e2018-70ca-11e5-ad6d-f4ed76f0900a.html#axzz3rh5c0Tt3","http://www.ft.com/intl/cms/s/2/e98e2018-70ca-11e5-ad6d-f4ed76f0900a.html#axzz3rh5c0Tt3")</f>
        <v>http://www.ft.com/intl/cms/s/2/e98e2018-70ca-11e5-ad6d-f4ed76f0900a.html#axzz3rh5c0Tt3</v>
      </c>
      <c r="Y290" s="38"/>
      <c r="Z290" s="38"/>
      <c r="AA290" s="38"/>
      <c r="AB290" s="38"/>
      <c r="AC290" s="38"/>
      <c r="AD290" s="38"/>
      <c r="AE290" s="38"/>
      <c r="AF290" s="38"/>
      <c r="AG290" s="28"/>
      <c r="AH290" s="28"/>
      <c r="AI290" s="28"/>
      <c r="AJ290" s="28"/>
      <c r="AK290" s="28"/>
      <c r="AL290" s="28" t="s">
        <v>677</v>
      </c>
      <c r="AM290" s="28"/>
      <c r="AN290" s="28"/>
      <c r="AO290" s="28"/>
      <c r="AP290" s="28"/>
      <c r="AQ290" s="28"/>
      <c r="AR290" s="28"/>
      <c r="AS290" s="28"/>
      <c r="AT290" s="28"/>
      <c r="AU290" s="28"/>
      <c r="AV290" s="28"/>
      <c r="AW290" s="28"/>
      <c r="AX290" s="28"/>
      <c r="AY290" s="28" t="s">
        <v>428</v>
      </c>
      <c r="AZ290" s="28"/>
      <c r="BA290" s="28"/>
      <c r="BB290" s="28"/>
      <c r="BC290" s="28"/>
      <c r="BD290" s="28"/>
      <c r="BE290" s="28"/>
      <c r="BF290" s="28"/>
      <c r="BG290" s="28"/>
      <c r="BH290" s="28"/>
      <c r="BI290" s="28"/>
      <c r="BJ290" s="28"/>
      <c r="BK290" s="28"/>
      <c r="BL290" s="28"/>
      <c r="BM290" s="28"/>
      <c r="BN290" s="28"/>
      <c r="BO290" s="28"/>
    </row>
    <row r="291" ht="25.5" customHeight="1">
      <c r="A291" s="28">
        <v>10033.0</v>
      </c>
      <c r="B291" s="37" t="b">
        <v>1</v>
      </c>
      <c r="C291" s="38" t="s">
        <v>238</v>
      </c>
      <c r="D291" s="38">
        <v>81.0</v>
      </c>
      <c r="E291" s="13" t="b">
        <v>1</v>
      </c>
      <c r="F291" s="13" t="b">
        <v>0</v>
      </c>
      <c r="G291" s="38" t="s">
        <v>3693</v>
      </c>
      <c r="H291" s="38">
        <v>61.0</v>
      </c>
      <c r="I291" s="38" t="s">
        <v>224</v>
      </c>
      <c r="J291" s="38"/>
      <c r="K291" s="38" t="s">
        <v>224</v>
      </c>
      <c r="L291" s="38"/>
      <c r="M291" s="38" t="s">
        <v>388</v>
      </c>
      <c r="N291" s="38">
        <v>14000.0</v>
      </c>
      <c r="O291" s="38" t="s">
        <v>224</v>
      </c>
      <c r="P291" s="40"/>
      <c r="Q291" s="38" t="s">
        <v>289</v>
      </c>
      <c r="R291" s="38">
        <v>40.0</v>
      </c>
      <c r="S291" s="38" t="s">
        <v>1662</v>
      </c>
      <c r="T291" s="38" t="s">
        <v>1663</v>
      </c>
      <c r="U291" s="38" t="s">
        <v>1664</v>
      </c>
      <c r="V291" s="55">
        <v>42052.0</v>
      </c>
      <c r="W291" s="38" t="s">
        <v>1665</v>
      </c>
      <c r="X291" s="49" t="str">
        <f>HYPERLINK("http://fivethirtyeight.com/features/your-brain-is-primed-to-reach-false-conclusions/","http://fivethirtyeight.com/features/your-brain-is-primed-to-reach-false-conclusions/")</f>
        <v>http://fivethirtyeight.com/features/your-brain-is-primed-to-reach-false-conclusions/</v>
      </c>
      <c r="Y291" s="38"/>
      <c r="Z291" s="38"/>
      <c r="AA291" s="38"/>
      <c r="AB291" s="38"/>
      <c r="AC291" s="38"/>
      <c r="AD291" s="38"/>
      <c r="AE291" s="38"/>
      <c r="AF291" s="38"/>
      <c r="AG291" s="28"/>
      <c r="AH291" s="28" t="s">
        <v>428</v>
      </c>
      <c r="AI291" s="28" t="s">
        <v>462</v>
      </c>
      <c r="AJ291" s="28"/>
      <c r="AK291" s="28"/>
      <c r="AL291" s="28" t="s">
        <v>769</v>
      </c>
      <c r="AM291" s="28" t="s">
        <v>1672</v>
      </c>
      <c r="AN291" s="54" t="s">
        <v>1673</v>
      </c>
      <c r="AO291" s="54"/>
      <c r="AP291" s="54">
        <v>42410.0</v>
      </c>
      <c r="AQ291" s="28"/>
      <c r="AR291" s="28"/>
      <c r="AS291" s="54"/>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row>
    <row r="292" ht="25.5" customHeight="1">
      <c r="A292" s="28">
        <v>10130.0</v>
      </c>
      <c r="B292" s="37" t="b">
        <v>1</v>
      </c>
      <c r="C292" s="38" t="s">
        <v>238</v>
      </c>
      <c r="D292" s="38">
        <v>81.0</v>
      </c>
      <c r="E292" s="13" t="b">
        <v>0</v>
      </c>
      <c r="F292" s="13" t="b">
        <v>1</v>
      </c>
      <c r="G292" s="38" t="s">
        <v>224</v>
      </c>
      <c r="H292" s="38"/>
      <c r="I292" s="38" t="s">
        <v>2782</v>
      </c>
      <c r="J292" s="38" t="s">
        <v>2783</v>
      </c>
      <c r="K292" s="38"/>
      <c r="L292" s="38"/>
      <c r="M292" s="38" t="s">
        <v>388</v>
      </c>
      <c r="N292" s="38">
        <v>14000.0</v>
      </c>
      <c r="O292" s="38" t="s">
        <v>224</v>
      </c>
      <c r="P292" s="40"/>
      <c r="Q292" s="38" t="s">
        <v>289</v>
      </c>
      <c r="R292" s="38">
        <v>40.0</v>
      </c>
      <c r="S292" s="38" t="s">
        <v>2784</v>
      </c>
      <c r="T292" s="38" t="s">
        <v>2785</v>
      </c>
      <c r="U292" s="38" t="s">
        <v>2786</v>
      </c>
      <c r="V292" s="55">
        <v>41961.0</v>
      </c>
      <c r="W292" s="38" t="s">
        <v>2787</v>
      </c>
      <c r="X292" s="49" t="str">
        <f>HYPERLINK("http://www.forbes.com/sites/stevemeyer/2014/11/18/your-new-years-resolutions-will-fail-again-unless-you-do-this/","http://www.forbes.com/sites/stevemeyer/2014/11/18/your-new-years-resolutions-will-fail-again-unless-you-do-this/")</f>
        <v>http://www.forbes.com/sites/stevemeyer/2014/11/18/your-new-years-resolutions-will-fail-again-unless-you-do-this/</v>
      </c>
      <c r="Y292" s="38"/>
      <c r="Z292" s="38"/>
      <c r="AA292" s="38"/>
      <c r="AB292" s="38"/>
      <c r="AC292" s="38"/>
      <c r="AD292" s="38"/>
      <c r="AE292" s="38"/>
      <c r="AF292" s="38"/>
      <c r="AG292" s="28"/>
      <c r="AH292" s="28" t="s">
        <v>2788</v>
      </c>
      <c r="AI292" s="28"/>
      <c r="AJ292" s="28"/>
      <c r="AK292" s="28"/>
      <c r="AL292" s="28" t="s">
        <v>677</v>
      </c>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row>
    <row r="293" ht="25.5" customHeight="1">
      <c r="A293" s="28">
        <v>10307.0</v>
      </c>
      <c r="B293" s="37" t="b">
        <v>1</v>
      </c>
      <c r="C293" s="38" t="s">
        <v>238</v>
      </c>
      <c r="D293" s="38">
        <v>81.0</v>
      </c>
      <c r="E293" s="13" t="b">
        <v>0</v>
      </c>
      <c r="F293" s="13" t="b">
        <v>1</v>
      </c>
      <c r="G293" s="38" t="s">
        <v>224</v>
      </c>
      <c r="H293" s="38"/>
      <c r="I293" s="38" t="s">
        <v>490</v>
      </c>
      <c r="J293" s="38">
        <v>6.0</v>
      </c>
      <c r="K293" s="38"/>
      <c r="L293" s="38"/>
      <c r="M293" s="38" t="s">
        <v>388</v>
      </c>
      <c r="N293" s="38">
        <v>14000.0</v>
      </c>
      <c r="O293" s="38" t="s">
        <v>224</v>
      </c>
      <c r="P293" s="40"/>
      <c r="Q293" s="38" t="s">
        <v>289</v>
      </c>
      <c r="R293" s="38">
        <v>40.0</v>
      </c>
      <c r="S293" s="38" t="s">
        <v>3701</v>
      </c>
      <c r="T293" s="38" t="s">
        <v>3702</v>
      </c>
      <c r="U293" s="38" t="s">
        <v>2786</v>
      </c>
      <c r="V293" s="55">
        <v>41925.0</v>
      </c>
      <c r="W293" s="38" t="s">
        <v>3703</v>
      </c>
      <c r="X293" s="49" t="str">
        <f>HYPERLINK("http://www.forbes.com/sites/neilpatel/2014/10/13/foot-in-the-door-technique-how-to-get-people-to-take-seamlessly-take-action/","http://www.forbes.com/sites/neilpatel/2014/10/13/foot-in-the-door-technique-how-to-get-people-to-take-seamlessly-take-action/")</f>
        <v>http://www.forbes.com/sites/neilpatel/2014/10/13/foot-in-the-door-technique-how-to-get-people-to-take-seamlessly-take-action/</v>
      </c>
      <c r="Y293" s="38"/>
      <c r="Z293" s="38"/>
      <c r="AA293" s="38"/>
      <c r="AB293" s="38"/>
      <c r="AC293" s="38"/>
      <c r="AD293" s="38"/>
      <c r="AE293" s="38"/>
      <c r="AF293" s="38"/>
      <c r="AG293" s="28" t="s">
        <v>3705</v>
      </c>
      <c r="AH293" s="28" t="s">
        <v>462</v>
      </c>
      <c r="AI293" s="28" t="s">
        <v>462</v>
      </c>
      <c r="AJ293" s="28"/>
      <c r="AK293" s="28"/>
      <c r="AL293" s="28" t="s">
        <v>677</v>
      </c>
      <c r="AM293" s="28"/>
      <c r="AN293" s="54"/>
      <c r="AO293" s="54"/>
      <c r="AP293" s="28"/>
      <c r="AQ293" s="28"/>
      <c r="AR293" s="28"/>
      <c r="AS293" s="54"/>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row>
    <row r="294" ht="25.5" customHeight="1">
      <c r="A294" s="28">
        <v>19.0</v>
      </c>
      <c r="B294" s="37" t="b">
        <v>1</v>
      </c>
      <c r="C294" s="38" t="s">
        <v>106</v>
      </c>
      <c r="D294" s="38">
        <v>80.0</v>
      </c>
      <c r="E294" s="13" t="b">
        <v>0</v>
      </c>
      <c r="F294" s="13" t="b">
        <v>1</v>
      </c>
      <c r="G294" s="38" t="s">
        <v>224</v>
      </c>
      <c r="H294" s="38"/>
      <c r="I294" s="38" t="s">
        <v>574</v>
      </c>
      <c r="J294" s="38">
        <v>4.0</v>
      </c>
      <c r="K294" s="38" t="s">
        <v>3706</v>
      </c>
      <c r="L294" s="38">
        <v>400.0</v>
      </c>
      <c r="M294" s="38" t="s">
        <v>35</v>
      </c>
      <c r="N294" s="38">
        <v>2000.0</v>
      </c>
      <c r="O294" s="38" t="s">
        <v>644</v>
      </c>
      <c r="P294" s="40"/>
      <c r="Q294" s="38" t="s">
        <v>289</v>
      </c>
      <c r="R294" s="38">
        <v>40.0</v>
      </c>
      <c r="S294" s="38" t="s">
        <v>3707</v>
      </c>
      <c r="T294" s="38" t="s">
        <v>3708</v>
      </c>
      <c r="U294" s="38" t="s">
        <v>2249</v>
      </c>
      <c r="V294" s="38">
        <v>2013.0</v>
      </c>
      <c r="W294" s="38" t="s">
        <v>753</v>
      </c>
      <c r="X294" s="38" t="s">
        <v>3709</v>
      </c>
      <c r="Y294" s="38"/>
      <c r="Z294" s="38"/>
      <c r="AA294" s="38"/>
      <c r="AB294" s="38"/>
      <c r="AC294" s="38"/>
      <c r="AD294" s="38"/>
      <c r="AE294" s="38"/>
      <c r="AF294" s="38"/>
      <c r="AG294" s="28"/>
      <c r="AH294" s="28" t="s">
        <v>428</v>
      </c>
      <c r="AI294" s="28" t="s">
        <v>462</v>
      </c>
      <c r="AJ294" s="28"/>
      <c r="AK294" s="28" t="s">
        <v>663</v>
      </c>
      <c r="AL294" s="28" t="s">
        <v>561</v>
      </c>
      <c r="AM294" s="28" t="s">
        <v>3710</v>
      </c>
      <c r="AN294" s="54">
        <v>42408.0</v>
      </c>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row>
    <row r="295" ht="25.5" customHeight="1">
      <c r="A295" s="28">
        <v>11.0</v>
      </c>
      <c r="B295" s="37" t="b">
        <v>1</v>
      </c>
      <c r="C295" s="38" t="s">
        <v>106</v>
      </c>
      <c r="D295" s="38">
        <v>80.0</v>
      </c>
      <c r="E295" s="13" t="b">
        <v>0</v>
      </c>
      <c r="F295" s="13" t="b">
        <v>1</v>
      </c>
      <c r="G295" s="38" t="s">
        <v>224</v>
      </c>
      <c r="H295" s="38"/>
      <c r="I295" s="38" t="s">
        <v>574</v>
      </c>
      <c r="J295" s="38">
        <v>4.0</v>
      </c>
      <c r="K295" s="38" t="s">
        <v>3159</v>
      </c>
      <c r="L295" s="38">
        <v>403.0</v>
      </c>
      <c r="M295" s="38" t="s">
        <v>1641</v>
      </c>
      <c r="N295" s="38" t="s">
        <v>1642</v>
      </c>
      <c r="O295" s="38" t="s">
        <v>1643</v>
      </c>
      <c r="P295" s="40"/>
      <c r="Q295" s="38" t="s">
        <v>289</v>
      </c>
      <c r="R295" s="38">
        <v>40.0</v>
      </c>
      <c r="S295" s="38" t="s">
        <v>3711</v>
      </c>
      <c r="T295" s="38" t="s">
        <v>3712</v>
      </c>
      <c r="U295" s="38" t="s">
        <v>2249</v>
      </c>
      <c r="V295" s="38">
        <v>2014.0</v>
      </c>
      <c r="W295" s="38" t="s">
        <v>753</v>
      </c>
      <c r="X295" s="49" t="str">
        <f>HYPERLINK("http://www.frameworksinstitute.org/assets/files/occ_values.pdf","http://www.frameworksinstitute.org/assets/files/occ_values.pdf")</f>
        <v>http://www.frameworksinstitute.org/assets/files/occ_values.pdf</v>
      </c>
      <c r="Y295" s="38"/>
      <c r="Z295" s="38"/>
      <c r="AA295" s="38"/>
      <c r="AB295" s="38"/>
      <c r="AC295" s="38"/>
      <c r="AD295" s="38"/>
      <c r="AE295" s="38"/>
      <c r="AF295" s="38"/>
      <c r="AG295" s="28"/>
      <c r="AH295" s="28" t="s">
        <v>428</v>
      </c>
      <c r="AI295" s="28" t="s">
        <v>462</v>
      </c>
      <c r="AJ295" s="28"/>
      <c r="AK295" s="28"/>
      <c r="AL295" s="28" t="s">
        <v>561</v>
      </c>
      <c r="AM295" s="28" t="s">
        <v>3716</v>
      </c>
      <c r="AN295" s="54">
        <v>42416.0</v>
      </c>
      <c r="AO295" s="28"/>
      <c r="AP295" s="54">
        <v>42590.0</v>
      </c>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row>
    <row r="296" ht="25.5" customHeight="1">
      <c r="A296" s="28">
        <v>29.0</v>
      </c>
      <c r="B296" s="37" t="b">
        <v>1</v>
      </c>
      <c r="C296" s="38" t="s">
        <v>106</v>
      </c>
      <c r="D296" s="38">
        <v>80.0</v>
      </c>
      <c r="E296" s="13" t="b">
        <v>0</v>
      </c>
      <c r="F296" s="13" t="b">
        <v>1</v>
      </c>
      <c r="G296" s="38" t="s">
        <v>224</v>
      </c>
      <c r="H296" s="38"/>
      <c r="I296" s="38" t="s">
        <v>574</v>
      </c>
      <c r="J296" s="38">
        <v>4.0</v>
      </c>
      <c r="K296" s="38" t="s">
        <v>1896</v>
      </c>
      <c r="L296" s="38">
        <v>402.0</v>
      </c>
      <c r="M296" s="38" t="s">
        <v>1641</v>
      </c>
      <c r="N296" s="38" t="s">
        <v>1642</v>
      </c>
      <c r="O296" s="38" t="s">
        <v>3717</v>
      </c>
      <c r="P296" s="40"/>
      <c r="Q296" s="38" t="s">
        <v>289</v>
      </c>
      <c r="R296" s="38">
        <v>40.0</v>
      </c>
      <c r="S296" s="38" t="s">
        <v>3718</v>
      </c>
      <c r="T296" s="38" t="s">
        <v>3719</v>
      </c>
      <c r="U296" s="38" t="s">
        <v>1526</v>
      </c>
      <c r="V296" s="38">
        <v>2015.0</v>
      </c>
      <c r="W296" s="38" t="s">
        <v>753</v>
      </c>
      <c r="X296" s="49" t="str">
        <f>HYPERLINK("http://www.frameworksinstitute.org/assets/files/PDF_oceansclimate/climatechangeandtheocean_mm_final_2015.pdf","http://www.frameworksinstitute.org/assets/files/PDF_oceansclimate/climatechangeandtheocean_mm_final_2015.pdf")</f>
        <v>http://www.frameworksinstitute.org/assets/files/PDF_oceansclimate/climatechangeandtheocean_mm_final_2015.pdf</v>
      </c>
      <c r="Y296" s="38"/>
      <c r="Z296" s="38"/>
      <c r="AA296" s="38"/>
      <c r="AB296" s="38"/>
      <c r="AC296" s="38"/>
      <c r="AD296" s="38"/>
      <c r="AE296" s="38"/>
      <c r="AF296" s="38"/>
      <c r="AG296" s="28"/>
      <c r="AH296" s="28"/>
      <c r="AI296" s="28"/>
      <c r="AJ296" s="28"/>
      <c r="AK296" s="28"/>
      <c r="AL296" s="28" t="s">
        <v>677</v>
      </c>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row>
    <row r="297" ht="25.5" customHeight="1">
      <c r="A297" s="28">
        <v>32.0</v>
      </c>
      <c r="B297" s="37" t="b">
        <v>1</v>
      </c>
      <c r="C297" s="38" t="s">
        <v>106</v>
      </c>
      <c r="D297" s="38">
        <v>80.0</v>
      </c>
      <c r="E297" s="13" t="b">
        <v>0</v>
      </c>
      <c r="F297" s="13" t="b">
        <v>1</v>
      </c>
      <c r="G297" s="38" t="s">
        <v>224</v>
      </c>
      <c r="H297" s="38"/>
      <c r="I297" s="38" t="s">
        <v>574</v>
      </c>
      <c r="J297" s="38">
        <v>4.0</v>
      </c>
      <c r="K297" s="38" t="s">
        <v>1896</v>
      </c>
      <c r="L297" s="38">
        <v>402.0</v>
      </c>
      <c r="M297" s="38" t="s">
        <v>1641</v>
      </c>
      <c r="N297" s="38" t="s">
        <v>1642</v>
      </c>
      <c r="O297" s="38" t="s">
        <v>1643</v>
      </c>
      <c r="P297" s="40"/>
      <c r="Q297" s="38" t="s">
        <v>289</v>
      </c>
      <c r="R297" s="38">
        <v>40.0</v>
      </c>
      <c r="S297" s="38" t="s">
        <v>3723</v>
      </c>
      <c r="T297" s="38" t="s">
        <v>3724</v>
      </c>
      <c r="U297" s="38" t="s">
        <v>2249</v>
      </c>
      <c r="V297" s="38">
        <v>2013.0</v>
      </c>
      <c r="W297" s="38" t="s">
        <v>753</v>
      </c>
      <c r="X297" s="38" t="s">
        <v>3725</v>
      </c>
      <c r="Y297" s="38"/>
      <c r="Z297" s="38"/>
      <c r="AA297" s="38"/>
      <c r="AB297" s="38"/>
      <c r="AC297" s="38"/>
      <c r="AD297" s="38"/>
      <c r="AE297" s="38"/>
      <c r="AF297" s="38"/>
      <c r="AG297" s="28"/>
      <c r="AH297" s="28" t="s">
        <v>462</v>
      </c>
      <c r="AI297" s="28" t="s">
        <v>462</v>
      </c>
      <c r="AJ297" s="28" t="s">
        <v>39</v>
      </c>
      <c r="AK297" s="28" t="s">
        <v>663</v>
      </c>
      <c r="AL297" s="28" t="s">
        <v>561</v>
      </c>
      <c r="AM297" s="28" t="s">
        <v>3726</v>
      </c>
      <c r="AN297" s="54">
        <v>42401.0</v>
      </c>
      <c r="AO297" s="54"/>
      <c r="AP297" s="54">
        <v>42586.0</v>
      </c>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row>
    <row r="298" ht="25.5" customHeight="1">
      <c r="A298" s="28">
        <v>60.0</v>
      </c>
      <c r="B298" s="37" t="b">
        <v>1</v>
      </c>
      <c r="C298" s="38" t="s">
        <v>106</v>
      </c>
      <c r="D298" s="38">
        <v>80.0</v>
      </c>
      <c r="E298" s="13" t="b">
        <v>0</v>
      </c>
      <c r="F298" s="13" t="b">
        <v>1</v>
      </c>
      <c r="G298" s="38" t="s">
        <v>224</v>
      </c>
      <c r="H298" s="38"/>
      <c r="I298" s="38" t="s">
        <v>1331</v>
      </c>
      <c r="J298" s="38" t="s">
        <v>1371</v>
      </c>
      <c r="K298" s="65" t="s">
        <v>3730</v>
      </c>
      <c r="L298" s="38" t="s">
        <v>3731</v>
      </c>
      <c r="M298" s="38" t="s">
        <v>3732</v>
      </c>
      <c r="N298" s="38" t="s">
        <v>3733</v>
      </c>
      <c r="O298" s="38" t="s">
        <v>3734</v>
      </c>
      <c r="P298" s="40"/>
      <c r="Q298" s="38" t="s">
        <v>289</v>
      </c>
      <c r="R298" s="38">
        <v>40.0</v>
      </c>
      <c r="S298" s="38" t="s">
        <v>3735</v>
      </c>
      <c r="T298" s="38" t="s">
        <v>3736</v>
      </c>
      <c r="U298" s="38" t="s">
        <v>2249</v>
      </c>
      <c r="V298" s="38">
        <v>2014.0</v>
      </c>
      <c r="W298" s="38" t="s">
        <v>610</v>
      </c>
      <c r="X298" s="38" t="s">
        <v>3737</v>
      </c>
      <c r="Y298" s="38"/>
      <c r="Z298" s="38"/>
      <c r="AA298" s="38"/>
      <c r="AB298" s="38"/>
      <c r="AC298" s="38"/>
      <c r="AD298" s="38"/>
      <c r="AE298" s="38"/>
      <c r="AF298" s="38"/>
      <c r="AG298" s="28"/>
      <c r="AH298" s="28" t="s">
        <v>3492</v>
      </c>
      <c r="AI298" s="28" t="s">
        <v>3493</v>
      </c>
      <c r="AJ298" s="28"/>
      <c r="AK298" s="28"/>
      <c r="AL298" s="28" t="s">
        <v>561</v>
      </c>
      <c r="AM298" s="28" t="s">
        <v>3738</v>
      </c>
      <c r="AN298" s="54">
        <v>42403.0</v>
      </c>
      <c r="AO298" s="28"/>
      <c r="AP298" s="54">
        <v>42590.0</v>
      </c>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row>
    <row r="299" ht="25.5" customHeight="1">
      <c r="A299" s="28">
        <v>31.0</v>
      </c>
      <c r="B299" s="37" t="b">
        <v>1</v>
      </c>
      <c r="C299" s="38" t="s">
        <v>106</v>
      </c>
      <c r="D299" s="38">
        <v>80.0</v>
      </c>
      <c r="E299" s="13" t="b">
        <v>0</v>
      </c>
      <c r="F299" s="13" t="b">
        <v>1</v>
      </c>
      <c r="G299" s="38" t="s">
        <v>224</v>
      </c>
      <c r="H299" s="38"/>
      <c r="I299" s="38" t="s">
        <v>574</v>
      </c>
      <c r="J299" s="38">
        <v>4.0</v>
      </c>
      <c r="K299" s="38" t="s">
        <v>1896</v>
      </c>
      <c r="L299" s="38">
        <v>402.0</v>
      </c>
      <c r="M299" s="38" t="s">
        <v>107</v>
      </c>
      <c r="N299" s="38">
        <v>3000.0</v>
      </c>
      <c r="O299" s="38" t="s">
        <v>3740</v>
      </c>
      <c r="P299" s="40"/>
      <c r="Q299" s="38" t="s">
        <v>289</v>
      </c>
      <c r="R299" s="38">
        <v>40.0</v>
      </c>
      <c r="S299" s="38" t="s">
        <v>3741</v>
      </c>
      <c r="T299" s="38" t="s">
        <v>3742</v>
      </c>
      <c r="U299" s="38" t="s">
        <v>2249</v>
      </c>
      <c r="V299" s="38">
        <v>2014.0</v>
      </c>
      <c r="W299" s="38" t="s">
        <v>753</v>
      </c>
      <c r="X299" s="38" t="s">
        <v>3743</v>
      </c>
      <c r="Y299" s="38"/>
      <c r="Z299" s="38"/>
      <c r="AA299" s="38"/>
      <c r="AB299" s="38"/>
      <c r="AC299" s="38"/>
      <c r="AD299" s="38"/>
      <c r="AE299" s="38"/>
      <c r="AF299" s="38"/>
      <c r="AG299" s="28"/>
      <c r="AH299" s="28" t="s">
        <v>462</v>
      </c>
      <c r="AI299" s="28" t="s">
        <v>462</v>
      </c>
      <c r="AJ299" s="28" t="s">
        <v>3403</v>
      </c>
      <c r="AK299" s="28"/>
      <c r="AL299" s="28" t="s">
        <v>561</v>
      </c>
      <c r="AM299" s="28" t="s">
        <v>3744</v>
      </c>
      <c r="AN299" s="54">
        <v>42404.0</v>
      </c>
      <c r="AO299" s="28"/>
      <c r="AP299" s="54">
        <v>42591.0</v>
      </c>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row>
    <row r="300" ht="25.5" customHeight="1">
      <c r="A300" s="28">
        <v>286.0</v>
      </c>
      <c r="B300" s="37" t="b">
        <v>1</v>
      </c>
      <c r="C300" s="38" t="s">
        <v>106</v>
      </c>
      <c r="D300" s="38">
        <v>80.0</v>
      </c>
      <c r="E300" s="13" t="b">
        <v>0</v>
      </c>
      <c r="F300" s="13" t="b">
        <v>1</v>
      </c>
      <c r="G300" s="38" t="s">
        <v>224</v>
      </c>
      <c r="H300" s="38"/>
      <c r="I300" s="38" t="s">
        <v>536</v>
      </c>
      <c r="J300" s="38">
        <v>3.0</v>
      </c>
      <c r="K300" s="65" t="s">
        <v>3745</v>
      </c>
      <c r="L300" s="38">
        <v>301.0</v>
      </c>
      <c r="M300" s="38" t="s">
        <v>549</v>
      </c>
      <c r="N300" s="38">
        <v>5000.0</v>
      </c>
      <c r="O300" s="38" t="s">
        <v>3511</v>
      </c>
      <c r="P300" s="40"/>
      <c r="Q300" s="38" t="s">
        <v>289</v>
      </c>
      <c r="R300" s="38">
        <v>40.0</v>
      </c>
      <c r="S300" s="38" t="s">
        <v>3746</v>
      </c>
      <c r="T300" s="38" t="s">
        <v>3747</v>
      </c>
      <c r="U300" s="38" t="s">
        <v>2249</v>
      </c>
      <c r="V300" s="38">
        <v>2013.0</v>
      </c>
      <c r="W300" s="38" t="s">
        <v>610</v>
      </c>
      <c r="X300" s="38" t="s">
        <v>3748</v>
      </c>
      <c r="Y300" s="38"/>
      <c r="Z300" s="38"/>
      <c r="AA300" s="38"/>
      <c r="AB300" s="38"/>
      <c r="AC300" s="38"/>
      <c r="AD300" s="38"/>
      <c r="AE300" s="38"/>
      <c r="AF300" s="38"/>
      <c r="AG300" s="28"/>
      <c r="AH300" s="28" t="s">
        <v>462</v>
      </c>
      <c r="AI300" s="28" t="s">
        <v>462</v>
      </c>
      <c r="AJ300" s="28"/>
      <c r="AK300" s="28"/>
      <c r="AL300" s="28" t="s">
        <v>561</v>
      </c>
      <c r="AM300" s="28" t="s">
        <v>3752</v>
      </c>
      <c r="AN300" s="54">
        <v>42409.0</v>
      </c>
      <c r="AO300" s="28"/>
      <c r="AP300" s="54">
        <v>42591.0</v>
      </c>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row>
    <row r="301" ht="25.5" customHeight="1">
      <c r="A301" s="28">
        <v>67.0</v>
      </c>
      <c r="B301" s="37" t="b">
        <v>1</v>
      </c>
      <c r="C301" s="38" t="s">
        <v>106</v>
      </c>
      <c r="D301" s="38">
        <v>80.0</v>
      </c>
      <c r="E301" s="13" t="b">
        <v>0</v>
      </c>
      <c r="F301" s="13" t="b">
        <v>1</v>
      </c>
      <c r="G301" s="38" t="s">
        <v>224</v>
      </c>
      <c r="H301" s="38"/>
      <c r="I301" s="38" t="s">
        <v>887</v>
      </c>
      <c r="J301" s="38">
        <v>9.0</v>
      </c>
      <c r="K301" s="38" t="s">
        <v>3385</v>
      </c>
      <c r="L301" s="38">
        <v>906.0</v>
      </c>
      <c r="M301" s="38" t="s">
        <v>359</v>
      </c>
      <c r="N301" s="38">
        <v>10000.0</v>
      </c>
      <c r="O301" s="38" t="s">
        <v>3754</v>
      </c>
      <c r="P301" s="40"/>
      <c r="Q301" s="38" t="s">
        <v>289</v>
      </c>
      <c r="R301" s="38">
        <v>40.0</v>
      </c>
      <c r="S301" s="38" t="s">
        <v>3755</v>
      </c>
      <c r="T301" s="38" t="s">
        <v>3756</v>
      </c>
      <c r="U301" s="38" t="s">
        <v>1526</v>
      </c>
      <c r="V301" s="38">
        <v>2015.0</v>
      </c>
      <c r="W301" s="38" t="s">
        <v>610</v>
      </c>
      <c r="X301" s="49" t="str">
        <f>HYPERLINK("http://www.frameworksinstitute.org/assets/files/Employment/TKF_mtg_fullreport_final_2015.pdf","http://www.frameworksinstitute.org/assets/files/Employment/TKF_mtg_fullreport_final_2015.pdf")</f>
        <v>http://www.frameworksinstitute.org/assets/files/Employment/TKF_mtg_fullreport_final_2015.pdf</v>
      </c>
      <c r="Y301" s="38"/>
      <c r="Z301" s="38"/>
      <c r="AA301" s="38"/>
      <c r="AB301" s="38"/>
      <c r="AC301" s="38"/>
      <c r="AD301" s="38"/>
      <c r="AE301" s="38"/>
      <c r="AF301" s="38"/>
      <c r="AG301" s="28"/>
      <c r="AH301" s="28"/>
      <c r="AI301" s="28"/>
      <c r="AJ301" s="28"/>
      <c r="AK301" s="28"/>
      <c r="AL301" s="28" t="s">
        <v>677</v>
      </c>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row>
    <row r="302" ht="25.5" customHeight="1">
      <c r="A302" s="28">
        <v>10078.0</v>
      </c>
      <c r="B302" s="37" t="b">
        <v>1</v>
      </c>
      <c r="C302" s="38" t="s">
        <v>238</v>
      </c>
      <c r="D302" s="38">
        <v>81.0</v>
      </c>
      <c r="E302" s="13" t="b">
        <v>0</v>
      </c>
      <c r="F302" s="13" t="b">
        <v>1</v>
      </c>
      <c r="G302" s="38" t="s">
        <v>224</v>
      </c>
      <c r="H302" s="38"/>
      <c r="I302" s="38" t="s">
        <v>574</v>
      </c>
      <c r="J302" s="38">
        <v>4.0</v>
      </c>
      <c r="K302" s="38"/>
      <c r="L302" s="38"/>
      <c r="M302" s="38" t="s">
        <v>35</v>
      </c>
      <c r="N302" s="38">
        <v>2000.0</v>
      </c>
      <c r="O302" s="38" t="s">
        <v>837</v>
      </c>
      <c r="P302" s="40">
        <v>2001.0</v>
      </c>
      <c r="Q302" s="38" t="s">
        <v>289</v>
      </c>
      <c r="R302" s="38">
        <v>40.0</v>
      </c>
      <c r="S302" s="38" t="s">
        <v>2136</v>
      </c>
      <c r="T302" s="38" t="s">
        <v>1525</v>
      </c>
      <c r="U302" s="38" t="s">
        <v>1526</v>
      </c>
      <c r="V302" s="55">
        <v>41876.0</v>
      </c>
      <c r="W302" s="38"/>
      <c r="X302" s="49" t="str">
        <f>HYPERLINK("http://frameblog.org/2014/08/25/instead-of-arguing-about-whether-climate-change-is-real-change-the-story/","http://frameblog.org/2014/08/25/instead-of-arguing-about-whether-climate-change-is-real-change-the-story/")</f>
        <v>http://frameblog.org/2014/08/25/instead-of-arguing-about-whether-climate-change-is-real-change-the-story/</v>
      </c>
      <c r="Y302" s="38"/>
      <c r="Z302" s="38"/>
      <c r="AA302" s="38"/>
      <c r="AB302" s="38"/>
      <c r="AC302" s="38"/>
      <c r="AD302" s="38"/>
      <c r="AE302" s="38"/>
      <c r="AF302" s="38"/>
      <c r="AG302" s="28"/>
      <c r="AH302" s="28" t="s">
        <v>462</v>
      </c>
      <c r="AI302" s="28" t="s">
        <v>462</v>
      </c>
      <c r="AJ302" s="28"/>
      <c r="AK302" s="28"/>
      <c r="AL302" s="28" t="s">
        <v>600</v>
      </c>
      <c r="AM302" s="54" t="s">
        <v>2141</v>
      </c>
      <c r="AN302" s="54">
        <v>42053.0</v>
      </c>
      <c r="AO302" s="54"/>
      <c r="AP302" s="54">
        <v>42479.0</v>
      </c>
      <c r="AQ302" s="28" t="s">
        <v>561</v>
      </c>
      <c r="AR302" s="28"/>
      <c r="AS302" s="54">
        <v>42022.0</v>
      </c>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row>
    <row r="303" ht="25.5" customHeight="1">
      <c r="A303" s="28">
        <v>10079.0</v>
      </c>
      <c r="B303" s="37" t="b">
        <v>1</v>
      </c>
      <c r="C303" s="38" t="s">
        <v>238</v>
      </c>
      <c r="D303" s="38">
        <v>81.0</v>
      </c>
      <c r="E303" s="13" t="b">
        <v>0</v>
      </c>
      <c r="F303" s="13" t="b">
        <v>1</v>
      </c>
      <c r="G303" s="38" t="s">
        <v>224</v>
      </c>
      <c r="H303" s="38"/>
      <c r="I303" s="38" t="s">
        <v>574</v>
      </c>
      <c r="J303" s="38">
        <v>4.0</v>
      </c>
      <c r="K303" s="38"/>
      <c r="L303" s="38"/>
      <c r="M303" s="38" t="s">
        <v>35</v>
      </c>
      <c r="N303" s="38">
        <v>2000.0</v>
      </c>
      <c r="O303" s="38" t="s">
        <v>578</v>
      </c>
      <c r="P303" s="40"/>
      <c r="Q303" s="38" t="s">
        <v>289</v>
      </c>
      <c r="R303" s="38">
        <v>40.0</v>
      </c>
      <c r="S303" s="38" t="s">
        <v>2145</v>
      </c>
      <c r="T303" s="38" t="s">
        <v>1525</v>
      </c>
      <c r="U303" s="38" t="s">
        <v>1526</v>
      </c>
      <c r="V303" s="55">
        <v>42011.0</v>
      </c>
      <c r="W303" s="38" t="s">
        <v>2146</v>
      </c>
      <c r="X303" s="49" t="str">
        <f>HYPERLINK("http://frameblog.org/2015/01/07/valuing-the-science-of-climate-change/","http://frameblog.org/2015/01/07/valuing-the-science-of-climate-change/")</f>
        <v>http://frameblog.org/2015/01/07/valuing-the-science-of-climate-change/</v>
      </c>
      <c r="Y303" s="38"/>
      <c r="Z303" s="38"/>
      <c r="AA303" s="38"/>
      <c r="AB303" s="38"/>
      <c r="AC303" s="38"/>
      <c r="AD303" s="38"/>
      <c r="AE303" s="38"/>
      <c r="AF303" s="38"/>
      <c r="AG303" s="28"/>
      <c r="AH303" s="28" t="s">
        <v>462</v>
      </c>
      <c r="AI303" s="28" t="s">
        <v>462</v>
      </c>
      <c r="AJ303" s="28"/>
      <c r="AK303" s="28" t="s">
        <v>1099</v>
      </c>
      <c r="AL303" s="28" t="s">
        <v>600</v>
      </c>
      <c r="AM303" s="54" t="s">
        <v>2151</v>
      </c>
      <c r="AN303" s="54" t="s">
        <v>2152</v>
      </c>
      <c r="AO303" s="54"/>
      <c r="AP303" s="54" t="s">
        <v>2153</v>
      </c>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row>
    <row r="304" ht="25.5" customHeight="1">
      <c r="A304" s="28">
        <v>10087.0</v>
      </c>
      <c r="B304" s="37" t="b">
        <v>1</v>
      </c>
      <c r="C304" s="38" t="s">
        <v>238</v>
      </c>
      <c r="D304" s="38">
        <v>81.0</v>
      </c>
      <c r="E304" s="13" t="b">
        <v>0</v>
      </c>
      <c r="F304" s="13" t="b">
        <v>1</v>
      </c>
      <c r="G304" s="38" t="s">
        <v>224</v>
      </c>
      <c r="H304" s="38"/>
      <c r="I304" s="38" t="s">
        <v>574</v>
      </c>
      <c r="J304" s="38">
        <v>4.0</v>
      </c>
      <c r="K304" s="38"/>
      <c r="L304" s="38"/>
      <c r="M304" s="38" t="s">
        <v>388</v>
      </c>
      <c r="N304" s="38">
        <v>14000.0</v>
      </c>
      <c r="O304" s="38" t="s">
        <v>224</v>
      </c>
      <c r="P304" s="40"/>
      <c r="Q304" s="38" t="s">
        <v>289</v>
      </c>
      <c r="R304" s="38">
        <v>40.0</v>
      </c>
      <c r="S304" s="38" t="s">
        <v>2244</v>
      </c>
      <c r="T304" s="38" t="s">
        <v>2246</v>
      </c>
      <c r="U304" s="38" t="s">
        <v>2249</v>
      </c>
      <c r="V304" s="55">
        <v>41961.0</v>
      </c>
      <c r="W304" s="38" t="s">
        <v>574</v>
      </c>
      <c r="X304" s="49" t="str">
        <f>HYPERLINK("http://frameblog.org/2014/11/18/problems-need-solutions/","http://frameblog.org/2014/11/18/problems-need-solutions/")</f>
        <v>http://frameblog.org/2014/11/18/problems-need-solutions/</v>
      </c>
      <c r="Y304" s="38"/>
      <c r="Z304" s="38"/>
      <c r="AA304" s="38"/>
      <c r="AB304" s="38"/>
      <c r="AC304" s="38"/>
      <c r="AD304" s="38"/>
      <c r="AE304" s="38"/>
      <c r="AF304" s="38"/>
      <c r="AG304" s="28"/>
      <c r="AH304" s="28" t="s">
        <v>462</v>
      </c>
      <c r="AI304" s="28" t="s">
        <v>462</v>
      </c>
      <c r="AJ304" s="28"/>
      <c r="AK304" s="28" t="s">
        <v>1099</v>
      </c>
      <c r="AL304" s="28" t="s">
        <v>677</v>
      </c>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row>
    <row r="305" ht="25.5" customHeight="1">
      <c r="A305" s="28">
        <v>10158.0</v>
      </c>
      <c r="B305" s="37" t="b">
        <v>1</v>
      </c>
      <c r="C305" s="38" t="s">
        <v>238</v>
      </c>
      <c r="D305" s="38">
        <v>81.0</v>
      </c>
      <c r="E305" s="13" t="b">
        <v>0</v>
      </c>
      <c r="F305" s="13" t="b">
        <v>1</v>
      </c>
      <c r="G305" s="38" t="s">
        <v>224</v>
      </c>
      <c r="H305" s="38"/>
      <c r="I305" s="38" t="s">
        <v>1331</v>
      </c>
      <c r="J305" s="38" t="s">
        <v>1371</v>
      </c>
      <c r="K305" s="38"/>
      <c r="L305" s="38"/>
      <c r="M305" s="38" t="s">
        <v>35</v>
      </c>
      <c r="N305" s="38">
        <v>2000.0</v>
      </c>
      <c r="O305" s="38" t="s">
        <v>644</v>
      </c>
      <c r="P305" s="40"/>
      <c r="Q305" s="38" t="s">
        <v>289</v>
      </c>
      <c r="R305" s="38">
        <v>40.0</v>
      </c>
      <c r="S305" s="38" t="s">
        <v>2973</v>
      </c>
      <c r="T305" s="38" t="s">
        <v>2974</v>
      </c>
      <c r="U305" s="38" t="s">
        <v>2975</v>
      </c>
      <c r="V305" s="55">
        <v>41862.0</v>
      </c>
      <c r="W305" s="38" t="s">
        <v>2976</v>
      </c>
      <c r="X305" s="49" t="str">
        <f>HYPERLINK("http://frank.jou.ufl.edu/frankology/meet-the-new-spokespeople-for-climate-change-politicians/","http://frank.jou.ufl.edu/frankology/meet-the-new-spokespeople-for-climate-change-politicians/")</f>
        <v>http://frank.jou.ufl.edu/frankology/meet-the-new-spokespeople-for-climate-change-politicians/</v>
      </c>
      <c r="Y305" s="38"/>
      <c r="Z305" s="38"/>
      <c r="AA305" s="38"/>
      <c r="AB305" s="38"/>
      <c r="AC305" s="38"/>
      <c r="AD305" s="38"/>
      <c r="AE305" s="38"/>
      <c r="AF305" s="38"/>
      <c r="AG305" s="28"/>
      <c r="AH305" s="28" t="s">
        <v>462</v>
      </c>
      <c r="AI305" s="28" t="s">
        <v>462</v>
      </c>
      <c r="AJ305" s="28"/>
      <c r="AK305" s="28" t="s">
        <v>676</v>
      </c>
      <c r="AL305" s="28" t="s">
        <v>769</v>
      </c>
      <c r="AM305" s="28" t="s">
        <v>2979</v>
      </c>
      <c r="AN305" s="54">
        <v>41957.0</v>
      </c>
      <c r="AO305" s="54"/>
      <c r="AP305" s="28"/>
      <c r="AQ305" s="28" t="s">
        <v>769</v>
      </c>
      <c r="AR305" s="28"/>
      <c r="AS305" s="54">
        <v>41955.0</v>
      </c>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row>
    <row r="306" ht="25.5" customHeight="1">
      <c r="A306" s="28">
        <v>10191.0</v>
      </c>
      <c r="B306" s="37" t="b">
        <v>1</v>
      </c>
      <c r="C306" s="38" t="s">
        <v>238</v>
      </c>
      <c r="D306" s="38">
        <v>81.0</v>
      </c>
      <c r="E306" s="13" t="b">
        <v>0</v>
      </c>
      <c r="F306" s="13" t="b">
        <v>1</v>
      </c>
      <c r="G306" s="38" t="s">
        <v>224</v>
      </c>
      <c r="H306" s="38"/>
      <c r="I306" s="38" t="s">
        <v>3271</v>
      </c>
      <c r="J306" s="38" t="s">
        <v>3272</v>
      </c>
      <c r="K306" s="38"/>
      <c r="L306" s="38"/>
      <c r="M306" s="38" t="s">
        <v>35</v>
      </c>
      <c r="N306" s="38">
        <v>2000.0</v>
      </c>
      <c r="O306" s="38" t="s">
        <v>1114</v>
      </c>
      <c r="P306" s="40"/>
      <c r="Q306" s="38" t="s">
        <v>289</v>
      </c>
      <c r="R306" s="38">
        <v>40.0</v>
      </c>
      <c r="S306" s="38" t="s">
        <v>3273</v>
      </c>
      <c r="T306" s="38" t="s">
        <v>3274</v>
      </c>
      <c r="U306" s="38" t="s">
        <v>2975</v>
      </c>
      <c r="V306" s="55">
        <v>41858.0</v>
      </c>
      <c r="W306" s="38" t="s">
        <v>3275</v>
      </c>
      <c r="X306" s="49" t="str">
        <f>HYPERLINK("http://frank.jou.ufl.edu/frankology/how-to-make-narcissists-think-green-is-the-new-black/","http://frank.jou.ufl.edu/frankology/how-to-make-narcissists-think-green-is-the-new-black/")</f>
        <v>http://frank.jou.ufl.edu/frankology/how-to-make-narcissists-think-green-is-the-new-black/</v>
      </c>
      <c r="Y306" s="38"/>
      <c r="Z306" s="38"/>
      <c r="AA306" s="38"/>
      <c r="AB306" s="38"/>
      <c r="AC306" s="38"/>
      <c r="AD306" s="38"/>
      <c r="AE306" s="38"/>
      <c r="AF306" s="38"/>
      <c r="AG306" s="28"/>
      <c r="AH306" s="28" t="s">
        <v>3281</v>
      </c>
      <c r="AI306" s="28" t="s">
        <v>3282</v>
      </c>
      <c r="AJ306" s="28"/>
      <c r="AK306" s="28"/>
      <c r="AL306" s="28" t="s">
        <v>769</v>
      </c>
      <c r="AM306" s="28" t="s">
        <v>3283</v>
      </c>
      <c r="AN306" s="54">
        <v>42084.0</v>
      </c>
      <c r="AO306" s="54"/>
      <c r="AP306" s="54" t="s">
        <v>3284</v>
      </c>
      <c r="AQ306" s="28" t="s">
        <v>769</v>
      </c>
      <c r="AR306" s="28"/>
      <c r="AS306" s="54">
        <v>42529.0</v>
      </c>
      <c r="AT306" s="28"/>
      <c r="AU306" s="28"/>
      <c r="AV306" s="28"/>
      <c r="AW306" s="28"/>
      <c r="AX306" s="28"/>
      <c r="AY306" s="28"/>
      <c r="AZ306" s="28" t="s">
        <v>731</v>
      </c>
      <c r="BA306" s="28"/>
      <c r="BB306" s="28"/>
      <c r="BC306" s="28"/>
      <c r="BD306" s="28"/>
      <c r="BE306" s="28"/>
      <c r="BF306" s="28"/>
      <c r="BG306" s="28"/>
      <c r="BH306" s="28"/>
      <c r="BI306" s="28"/>
      <c r="BJ306" s="28"/>
      <c r="BK306" s="28"/>
      <c r="BL306" s="28"/>
      <c r="BM306" s="28"/>
      <c r="BN306" s="28"/>
      <c r="BO306" s="28"/>
    </row>
    <row r="307" ht="25.5" customHeight="1">
      <c r="A307" s="28">
        <v>10404.0</v>
      </c>
      <c r="B307" s="37" t="b">
        <v>1</v>
      </c>
      <c r="C307" s="38" t="s">
        <v>238</v>
      </c>
      <c r="D307" s="38">
        <v>81.0</v>
      </c>
      <c r="E307" s="13" t="b">
        <v>0</v>
      </c>
      <c r="F307" s="13" t="b">
        <v>1</v>
      </c>
      <c r="G307" s="38" t="s">
        <v>224</v>
      </c>
      <c r="H307" s="38"/>
      <c r="I307" s="38" t="s">
        <v>387</v>
      </c>
      <c r="J307" s="38">
        <v>8.0</v>
      </c>
      <c r="K307" s="38"/>
      <c r="L307" s="38"/>
      <c r="M307" s="38" t="s">
        <v>35</v>
      </c>
      <c r="N307" s="38">
        <v>2000.0</v>
      </c>
      <c r="O307" s="38" t="s">
        <v>1114</v>
      </c>
      <c r="P307" s="40"/>
      <c r="Q307" s="38" t="s">
        <v>111</v>
      </c>
      <c r="R307" s="38">
        <v>41.0</v>
      </c>
      <c r="S307" s="61" t="s">
        <v>3796</v>
      </c>
      <c r="T307" s="38" t="s">
        <v>3797</v>
      </c>
      <c r="U307" s="38" t="s">
        <v>2975</v>
      </c>
      <c r="V307" s="55">
        <v>42163.0</v>
      </c>
      <c r="W307" s="38" t="s">
        <v>3798</v>
      </c>
      <c r="X307" s="49" t="str">
        <f>HYPERLINK("http://frank.jou.ufl.edu/frankology/the-tree-huggers-got-it-right-the-link-between-compassion-and-conservation/","http://frank.jou.ufl.edu/frankology/the-tree-huggers-got-it-right-the-link-between-compassion-and-conservation/")</f>
        <v>http://frank.jou.ufl.edu/frankology/the-tree-huggers-got-it-right-the-link-between-compassion-and-conservation/</v>
      </c>
      <c r="Y307" s="38"/>
      <c r="Z307" s="38"/>
      <c r="AA307" s="38"/>
      <c r="AB307" s="38"/>
      <c r="AC307" s="38"/>
      <c r="AD307" s="38"/>
      <c r="AE307" s="38"/>
      <c r="AF307" s="38"/>
      <c r="AG307" s="28"/>
      <c r="AH307" s="28" t="s">
        <v>428</v>
      </c>
      <c r="AI307" s="28"/>
      <c r="AJ307" s="28"/>
      <c r="AK307" s="28"/>
      <c r="AL307" s="28" t="s">
        <v>769</v>
      </c>
      <c r="AM307" s="28" t="s">
        <v>3799</v>
      </c>
      <c r="AN307" s="54">
        <v>42684.0</v>
      </c>
      <c r="AO307" s="54"/>
      <c r="AP307" s="28"/>
      <c r="AQ307" s="28"/>
      <c r="AR307" s="28"/>
      <c r="AS307" s="28"/>
      <c r="AT307" s="28"/>
      <c r="AU307" s="28"/>
      <c r="AV307" s="28"/>
      <c r="AW307" s="28"/>
      <c r="AX307" s="28"/>
      <c r="AY307" s="28"/>
      <c r="AZ307" s="28" t="s">
        <v>3297</v>
      </c>
      <c r="BA307" s="28"/>
      <c r="BB307" s="28"/>
      <c r="BC307" s="28"/>
      <c r="BD307" s="28"/>
      <c r="BE307" s="28"/>
      <c r="BF307" s="28"/>
      <c r="BG307" s="28"/>
      <c r="BH307" s="28"/>
      <c r="BI307" s="28"/>
      <c r="BJ307" s="28"/>
      <c r="BK307" s="28"/>
      <c r="BL307" s="28"/>
      <c r="BM307" s="28"/>
      <c r="BN307" s="28"/>
      <c r="BO307" s="28"/>
    </row>
    <row r="308" ht="25.5" customHeight="1">
      <c r="A308" s="28">
        <v>10405.0</v>
      </c>
      <c r="B308" s="37" t="b">
        <v>1</v>
      </c>
      <c r="C308" s="38" t="s">
        <v>238</v>
      </c>
      <c r="D308" s="38">
        <v>81.0</v>
      </c>
      <c r="E308" s="13" t="b">
        <v>0</v>
      </c>
      <c r="F308" s="13" t="b">
        <v>1</v>
      </c>
      <c r="G308" s="38" t="s">
        <v>224</v>
      </c>
      <c r="H308" s="38"/>
      <c r="I308" s="38" t="s">
        <v>387</v>
      </c>
      <c r="J308" s="38">
        <v>8.0</v>
      </c>
      <c r="K308" s="38"/>
      <c r="L308" s="38"/>
      <c r="M308" s="38" t="s">
        <v>388</v>
      </c>
      <c r="N308" s="38">
        <v>14000.0</v>
      </c>
      <c r="O308" s="38" t="s">
        <v>224</v>
      </c>
      <c r="P308" s="40"/>
      <c r="Q308" s="38" t="s">
        <v>111</v>
      </c>
      <c r="R308" s="38">
        <v>41.0</v>
      </c>
      <c r="S308" s="61" t="s">
        <v>3806</v>
      </c>
      <c r="T308" s="38" t="s">
        <v>3797</v>
      </c>
      <c r="U308" s="38" t="s">
        <v>2975</v>
      </c>
      <c r="V308" s="55">
        <v>42170.0</v>
      </c>
      <c r="W308" s="38" t="s">
        <v>3813</v>
      </c>
      <c r="X308" s="49" t="str">
        <f>HYPERLINK("http://frank.jou.ufl.edu/frankology/some-ghoulish-findings-about-fear-of-death-and-charitable-giving/","http://frank.jou.ufl.edu/frankology/some-ghoulish-findings-about-fear-of-death-and-charitable-giving/")</f>
        <v>http://frank.jou.ufl.edu/frankology/some-ghoulish-findings-about-fear-of-death-and-charitable-giving/</v>
      </c>
      <c r="Y308" s="38"/>
      <c r="Z308" s="38"/>
      <c r="AA308" s="38"/>
      <c r="AB308" s="38"/>
      <c r="AC308" s="38"/>
      <c r="AD308" s="38"/>
      <c r="AE308" s="38"/>
      <c r="AF308" s="38"/>
      <c r="AG308" s="28"/>
      <c r="AH308" s="28" t="s">
        <v>428</v>
      </c>
      <c r="AI308" s="28"/>
      <c r="AJ308" s="28"/>
      <c r="AK308" s="28"/>
      <c r="AL308" s="28" t="s">
        <v>769</v>
      </c>
      <c r="AM308" s="28" t="s">
        <v>3815</v>
      </c>
      <c r="AN308" s="54">
        <v>42683.0</v>
      </c>
      <c r="AO308" s="54"/>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row>
    <row r="309" ht="25.5" customHeight="1">
      <c r="A309" s="28">
        <v>10302.0</v>
      </c>
      <c r="B309" s="37" t="b">
        <v>1</v>
      </c>
      <c r="C309" s="38" t="s">
        <v>238</v>
      </c>
      <c r="D309" s="38">
        <v>81.0</v>
      </c>
      <c r="E309" s="13" t="b">
        <v>0</v>
      </c>
      <c r="F309" s="13" t="b">
        <v>1</v>
      </c>
      <c r="G309" s="38" t="s">
        <v>224</v>
      </c>
      <c r="H309" s="38"/>
      <c r="I309" s="38" t="s">
        <v>490</v>
      </c>
      <c r="J309" s="38">
        <v>6.0</v>
      </c>
      <c r="K309" s="47"/>
      <c r="L309" s="38"/>
      <c r="M309" s="38" t="s">
        <v>107</v>
      </c>
      <c r="N309" s="38">
        <v>3000.0</v>
      </c>
      <c r="O309" s="38" t="s">
        <v>470</v>
      </c>
      <c r="P309" s="40"/>
      <c r="Q309" s="38" t="s">
        <v>289</v>
      </c>
      <c r="R309" s="38">
        <v>40.0</v>
      </c>
      <c r="S309" s="38" t="s">
        <v>3819</v>
      </c>
      <c r="T309" s="38" t="s">
        <v>3820</v>
      </c>
      <c r="U309" s="38" t="s">
        <v>3820</v>
      </c>
      <c r="V309" s="55">
        <v>39766.0</v>
      </c>
      <c r="W309" s="38" t="s">
        <v>3821</v>
      </c>
      <c r="X309" s="49" t="str">
        <f>HYPERLINK("http://freakonomics.com/2008/11/14/a-commitment-device-for-energy-conservation/","http://freakonomics.com/2008/11/14/a-commitment-device-for-energy-conservation/")</f>
        <v>http://freakonomics.com/2008/11/14/a-commitment-device-for-energy-conservation/</v>
      </c>
      <c r="Y309" s="38"/>
      <c r="Z309" s="38"/>
      <c r="AA309" s="38"/>
      <c r="AB309" s="38"/>
      <c r="AC309" s="38"/>
      <c r="AD309" s="38"/>
      <c r="AE309" s="38"/>
      <c r="AF309" s="38"/>
      <c r="AG309" s="28"/>
      <c r="AH309" s="28" t="s">
        <v>428</v>
      </c>
      <c r="AI309" s="28" t="s">
        <v>462</v>
      </c>
      <c r="AJ309" s="28"/>
      <c r="AK309" s="28"/>
      <c r="AL309" s="28" t="s">
        <v>769</v>
      </c>
      <c r="AM309" s="28" t="s">
        <v>3822</v>
      </c>
      <c r="AN309" s="54">
        <v>42424.0</v>
      </c>
      <c r="AO309" s="54"/>
      <c r="AP309" s="54"/>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row>
    <row r="310" ht="25.5" customHeight="1">
      <c r="A310" s="28">
        <v>10222.0</v>
      </c>
      <c r="B310" s="37" t="b">
        <v>1</v>
      </c>
      <c r="C310" s="38" t="s">
        <v>238</v>
      </c>
      <c r="D310" s="38">
        <v>81.0</v>
      </c>
      <c r="E310" s="13" t="b">
        <v>0</v>
      </c>
      <c r="F310" s="13" t="b">
        <v>1</v>
      </c>
      <c r="G310" s="38" t="s">
        <v>224</v>
      </c>
      <c r="H310" s="38"/>
      <c r="I310" s="38" t="s">
        <v>1147</v>
      </c>
      <c r="J310" s="38" t="s">
        <v>1083</v>
      </c>
      <c r="K310" s="38"/>
      <c r="L310" s="38"/>
      <c r="M310" s="38" t="s">
        <v>107</v>
      </c>
      <c r="N310" s="38">
        <v>3000.0</v>
      </c>
      <c r="O310" s="38" t="s">
        <v>1223</v>
      </c>
      <c r="P310" s="40"/>
      <c r="Q310" s="38" t="s">
        <v>289</v>
      </c>
      <c r="R310" s="38">
        <v>40.0</v>
      </c>
      <c r="S310" s="38" t="s">
        <v>3591</v>
      </c>
      <c r="T310" s="38" t="s">
        <v>3592</v>
      </c>
      <c r="U310" s="38" t="s">
        <v>3594</v>
      </c>
      <c r="V310" s="55">
        <v>42135.0</v>
      </c>
      <c r="W310" s="38" t="s">
        <v>3595</v>
      </c>
      <c r="X310" s="49" t="str">
        <f>HYPERLINK("http://www.futerra.co.uk/blog/whats-in-it-for-me","http://www.futerra.co.uk/blog/whats-in-it-for-me")</f>
        <v>http://www.futerra.co.uk/blog/whats-in-it-for-me</v>
      </c>
      <c r="Y310" s="38"/>
      <c r="Z310" s="38"/>
      <c r="AA310" s="38"/>
      <c r="AB310" s="38"/>
      <c r="AC310" s="38"/>
      <c r="AD310" s="38"/>
      <c r="AE310" s="38"/>
      <c r="AF310" s="38"/>
      <c r="AG310" s="28"/>
      <c r="AH310" s="28" t="s">
        <v>462</v>
      </c>
      <c r="AI310" s="28" t="s">
        <v>462</v>
      </c>
      <c r="AJ310" s="28"/>
      <c r="AK310" s="28"/>
      <c r="AL310" s="28" t="s">
        <v>769</v>
      </c>
      <c r="AM310" s="28" t="s">
        <v>3599</v>
      </c>
      <c r="AN310" s="54">
        <v>42158.0</v>
      </c>
      <c r="AO310" s="54"/>
      <c r="AP310" s="54">
        <v>42572.0</v>
      </c>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row>
    <row r="311" ht="25.5" customHeight="1">
      <c r="A311" s="28">
        <v>10231.0</v>
      </c>
      <c r="B311" s="37" t="b">
        <v>1</v>
      </c>
      <c r="C311" s="38" t="s">
        <v>238</v>
      </c>
      <c r="D311" s="38">
        <v>81.0</v>
      </c>
      <c r="E311" s="13" t="b">
        <v>0</v>
      </c>
      <c r="F311" s="13" t="b">
        <v>1</v>
      </c>
      <c r="G311" s="38" t="s">
        <v>224</v>
      </c>
      <c r="H311" s="38"/>
      <c r="I311" s="38" t="s">
        <v>429</v>
      </c>
      <c r="J311" s="38">
        <v>2.0</v>
      </c>
      <c r="K311" s="38"/>
      <c r="L311" s="38"/>
      <c r="M311" s="38" t="s">
        <v>239</v>
      </c>
      <c r="N311" s="38">
        <v>4000.0</v>
      </c>
      <c r="O311" s="38" t="s">
        <v>2867</v>
      </c>
      <c r="P311" s="40"/>
      <c r="Q311" s="38" t="s">
        <v>111</v>
      </c>
      <c r="R311" s="38">
        <v>41.0</v>
      </c>
      <c r="S311" s="38" t="s">
        <v>3660</v>
      </c>
      <c r="T311" s="38" t="s">
        <v>3661</v>
      </c>
      <c r="U311" s="38" t="s">
        <v>2542</v>
      </c>
      <c r="V311" s="55">
        <v>42173.0</v>
      </c>
      <c r="W311" s="38" t="s">
        <v>3662</v>
      </c>
      <c r="X311" s="49" t="str">
        <f>HYPERLINK("http://www.futurity.org/renewable-energy-plans-944122/","http://www.futurity.org/renewable-energy-plans-944122/")</f>
        <v>http://www.futurity.org/renewable-energy-plans-944122/</v>
      </c>
      <c r="Y311" s="38"/>
      <c r="Z311" s="38"/>
      <c r="AA311" s="38"/>
      <c r="AB311" s="38"/>
      <c r="AC311" s="38"/>
      <c r="AD311" s="38"/>
      <c r="AE311" s="38"/>
      <c r="AF311" s="38"/>
      <c r="AG311" s="28"/>
      <c r="AH311" s="28" t="s">
        <v>462</v>
      </c>
      <c r="AI311" s="28" t="s">
        <v>462</v>
      </c>
      <c r="AJ311" s="28"/>
      <c r="AK311" s="28" t="s">
        <v>1099</v>
      </c>
      <c r="AL311" s="28" t="s">
        <v>769</v>
      </c>
      <c r="AM311" s="28" t="s">
        <v>3663</v>
      </c>
      <c r="AN311" s="54">
        <v>42326.0</v>
      </c>
      <c r="AO311" s="54"/>
      <c r="AP311" s="28"/>
      <c r="AQ311" s="28" t="s">
        <v>769</v>
      </c>
      <c r="AR311" s="28"/>
      <c r="AS311" s="54">
        <v>42503.0</v>
      </c>
      <c r="AT311" s="28"/>
      <c r="AU311" s="28"/>
      <c r="AV311" s="28"/>
      <c r="AW311" s="28"/>
      <c r="AX311" s="28"/>
      <c r="AY311" s="28"/>
      <c r="AZ311" s="28" t="s">
        <v>1101</v>
      </c>
      <c r="BA311" s="28" t="s">
        <v>3664</v>
      </c>
      <c r="BB311" s="28"/>
      <c r="BC311" s="28"/>
      <c r="BD311" s="28"/>
      <c r="BE311" s="28"/>
      <c r="BF311" s="28"/>
      <c r="BG311" s="28"/>
      <c r="BH311" s="28"/>
      <c r="BI311" s="28"/>
      <c r="BJ311" s="28"/>
      <c r="BK311" s="28"/>
      <c r="BL311" s="28"/>
      <c r="BM311" s="28"/>
      <c r="BN311" s="28"/>
      <c r="BO311" s="28"/>
    </row>
    <row r="312" ht="25.5" customHeight="1">
      <c r="A312" s="28">
        <v>10106.0</v>
      </c>
      <c r="B312" s="37" t="b">
        <v>1</v>
      </c>
      <c r="C312" s="38" t="s">
        <v>238</v>
      </c>
      <c r="D312" s="38">
        <v>81.0</v>
      </c>
      <c r="E312" s="13" t="b">
        <v>0</v>
      </c>
      <c r="F312" s="13" t="b">
        <v>1</v>
      </c>
      <c r="G312" s="38" t="s">
        <v>224</v>
      </c>
      <c r="H312" s="38"/>
      <c r="I312" s="38" t="s">
        <v>1311</v>
      </c>
      <c r="J312" s="38" t="s">
        <v>2534</v>
      </c>
      <c r="K312" s="38"/>
      <c r="L312" s="38"/>
      <c r="M312" s="38" t="s">
        <v>3833</v>
      </c>
      <c r="N312" s="38" t="s">
        <v>2537</v>
      </c>
      <c r="O312" s="38" t="s">
        <v>2535</v>
      </c>
      <c r="P312" s="40"/>
      <c r="Q312" s="38" t="s">
        <v>289</v>
      </c>
      <c r="R312" s="38">
        <v>40.0</v>
      </c>
      <c r="S312" s="38" t="s">
        <v>2540</v>
      </c>
      <c r="T312" s="38" t="s">
        <v>2541</v>
      </c>
      <c r="U312" s="38" t="s">
        <v>2542</v>
      </c>
      <c r="V312" s="55">
        <v>41528.0</v>
      </c>
      <c r="W312" s="38" t="s">
        <v>2544</v>
      </c>
      <c r="X312" s="49" t="str">
        <f>HYPERLINK("http://www.futurity.org/climate-policy-change-worries-farmers/?utm_source=Futurity+Today&amp;utm_campaign=b8bc7a0aa6-September_11_20139_11_2013&amp;utm_medium=email&amp;utm_term=0_e34e8ee443-b8bc7a0aa6-206307317","http://www.futurity.org/climate-policy-change-worries-farmers/?utm_source=Futurity+Today&amp;utm_campaign=b8bc7a0aa6-September_11_20139_11_2013&amp;utm_medium=email&amp;utm_term=0_e34e8ee443-b8bc7a0aa6-206307317")</f>
        <v>http://www.futurity.org/climate-policy-change-worries-farmers/?utm_source=Futurity+Today&amp;utm_campaign=b8bc7a0aa6-September_11_20139_11_2013&amp;utm_medium=email&amp;utm_term=0_e34e8ee443-b8bc7a0aa6-206307317</v>
      </c>
      <c r="Y312" s="38"/>
      <c r="Z312" s="38"/>
      <c r="AA312" s="38"/>
      <c r="AB312" s="38"/>
      <c r="AC312" s="38"/>
      <c r="AD312" s="38"/>
      <c r="AE312" s="38"/>
      <c r="AF312" s="38"/>
      <c r="AG312" s="28"/>
      <c r="AH312" s="28" t="s">
        <v>462</v>
      </c>
      <c r="AI312" s="28" t="s">
        <v>428</v>
      </c>
      <c r="AJ312" s="28"/>
      <c r="AK312" s="28"/>
      <c r="AL312" s="28" t="s">
        <v>769</v>
      </c>
      <c r="AM312" s="28" t="s">
        <v>2547</v>
      </c>
      <c r="AN312" s="54">
        <v>42191.0</v>
      </c>
      <c r="AO312" s="54"/>
      <c r="AP312" s="54">
        <v>42520.0</v>
      </c>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row>
    <row r="313" ht="25.5" customHeight="1">
      <c r="A313" s="28">
        <v>236.0</v>
      </c>
      <c r="B313" s="37" t="b">
        <v>1</v>
      </c>
      <c r="C313" s="38" t="s">
        <v>106</v>
      </c>
      <c r="D313" s="38">
        <v>80.0</v>
      </c>
      <c r="E313" s="13" t="b">
        <v>0</v>
      </c>
      <c r="F313" s="13" t="b">
        <v>1</v>
      </c>
      <c r="G313" s="38" t="s">
        <v>224</v>
      </c>
      <c r="H313" s="38"/>
      <c r="I313" s="38" t="s">
        <v>3842</v>
      </c>
      <c r="J313" s="38" t="s">
        <v>3843</v>
      </c>
      <c r="K313" s="38" t="s">
        <v>224</v>
      </c>
      <c r="L313" s="38"/>
      <c r="M313" s="38" t="s">
        <v>3494</v>
      </c>
      <c r="N313" s="38">
        <v>22000.0</v>
      </c>
      <c r="O313" s="38" t="s">
        <v>3495</v>
      </c>
      <c r="P313" s="40"/>
      <c r="Q313" s="38" t="s">
        <v>289</v>
      </c>
      <c r="R313" s="38">
        <v>40.0</v>
      </c>
      <c r="S313" s="38" t="s">
        <v>3846</v>
      </c>
      <c r="T313" s="38" t="s">
        <v>3847</v>
      </c>
      <c r="U313" s="38" t="s">
        <v>2029</v>
      </c>
      <c r="V313" s="38">
        <v>2013.0</v>
      </c>
      <c r="W313" s="38" t="s">
        <v>3855</v>
      </c>
      <c r="X313" s="49" t="str">
        <f>HYPERLINK("http://www.issuelab.org/resource/nudging_toward_a_healthy_natural_environment_how_behavioral_change_research_can_inform_conservation","http://www.issuelab.org/resource/nudging_toward_a_healthy_natural_environment_how_behavioral_change_research_can_inform_conservation")</f>
        <v>http://www.issuelab.org/resource/nudging_toward_a_healthy_natural_environment_how_behavioral_change_research_can_inform_conservation</v>
      </c>
      <c r="Y313" s="38"/>
      <c r="Z313" s="38"/>
      <c r="AA313" s="38"/>
      <c r="AB313" s="38"/>
      <c r="AC313" s="38"/>
      <c r="AD313" s="38"/>
      <c r="AE313" s="38"/>
      <c r="AF313" s="38"/>
      <c r="AG313" s="28"/>
      <c r="AH313" s="28" t="s">
        <v>428</v>
      </c>
      <c r="AI313" s="28" t="s">
        <v>462</v>
      </c>
      <c r="AJ313" s="28"/>
      <c r="AK313" s="28"/>
      <c r="AL313" s="28"/>
      <c r="AM313" s="28"/>
      <c r="AN313" s="54"/>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row>
    <row r="314" ht="25.5" customHeight="1">
      <c r="A314" s="28">
        <v>453.0</v>
      </c>
      <c r="B314" s="37" t="b">
        <v>1</v>
      </c>
      <c r="C314" s="38" t="s">
        <v>106</v>
      </c>
      <c r="D314" s="38">
        <v>80.0</v>
      </c>
      <c r="E314" s="13" t="b">
        <v>0</v>
      </c>
      <c r="F314" s="13" t="b">
        <v>1</v>
      </c>
      <c r="G314" s="38" t="s">
        <v>224</v>
      </c>
      <c r="H314" s="38"/>
      <c r="I314" s="38" t="s">
        <v>387</v>
      </c>
      <c r="J314" s="38">
        <v>8.0</v>
      </c>
      <c r="K314" s="38" t="s">
        <v>3862</v>
      </c>
      <c r="L314" s="38">
        <v>804.0</v>
      </c>
      <c r="M314" s="38" t="s">
        <v>35</v>
      </c>
      <c r="N314" s="38">
        <v>2000.0</v>
      </c>
      <c r="O314" s="38" t="s">
        <v>837</v>
      </c>
      <c r="P314" s="40">
        <v>2001.0</v>
      </c>
      <c r="Q314" s="38" t="s">
        <v>289</v>
      </c>
      <c r="R314" s="38">
        <v>40.0</v>
      </c>
      <c r="S314" s="38" t="s">
        <v>3863</v>
      </c>
      <c r="T314" s="38" t="s">
        <v>3864</v>
      </c>
      <c r="U314" s="38" t="s">
        <v>3865</v>
      </c>
      <c r="V314" s="38">
        <v>2015.0</v>
      </c>
      <c r="W314" s="38" t="s">
        <v>610</v>
      </c>
      <c r="X314" s="38" t="s">
        <v>3866</v>
      </c>
      <c r="Y314" s="38"/>
      <c r="Z314" s="38"/>
      <c r="AA314" s="38"/>
      <c r="AB314" s="38"/>
      <c r="AC314" s="38"/>
      <c r="AD314" s="38"/>
      <c r="AE314" s="38"/>
      <c r="AF314" s="38"/>
      <c r="AG314" s="28" t="s">
        <v>3867</v>
      </c>
      <c r="AH314" s="28" t="s">
        <v>462</v>
      </c>
      <c r="AI314" s="28" t="s">
        <v>462</v>
      </c>
      <c r="AJ314" s="28" t="s">
        <v>39</v>
      </c>
      <c r="AK314" s="28"/>
      <c r="AL314" s="28"/>
      <c r="AM314" s="28"/>
      <c r="AN314" s="54"/>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row>
    <row r="315" ht="25.5" customHeight="1">
      <c r="A315" s="28">
        <v>230.0</v>
      </c>
      <c r="B315" s="37" t="b">
        <v>1</v>
      </c>
      <c r="C315" s="38" t="s">
        <v>106</v>
      </c>
      <c r="D315" s="38">
        <v>80.0</v>
      </c>
      <c r="E315" s="13" t="b">
        <v>1</v>
      </c>
      <c r="F315" s="13" t="b">
        <v>0</v>
      </c>
      <c r="G315" s="38" t="s">
        <v>224</v>
      </c>
      <c r="H315" s="38"/>
      <c r="I315" s="38" t="s">
        <v>376</v>
      </c>
      <c r="J315" s="38">
        <v>2.0</v>
      </c>
      <c r="K315" s="38" t="s">
        <v>224</v>
      </c>
      <c r="L315" s="38"/>
      <c r="M315" s="38" t="s">
        <v>35</v>
      </c>
      <c r="N315" s="38">
        <v>2000.0</v>
      </c>
      <c r="O315" s="38" t="s">
        <v>578</v>
      </c>
      <c r="P315" s="40"/>
      <c r="Q315" s="38" t="s">
        <v>111</v>
      </c>
      <c r="R315" s="38">
        <v>41.0</v>
      </c>
      <c r="S315" s="38" t="s">
        <v>3872</v>
      </c>
      <c r="T315" s="38" t="s">
        <v>3873</v>
      </c>
      <c r="U315" s="38" t="s">
        <v>3874</v>
      </c>
      <c r="V315" s="38">
        <v>2007.0</v>
      </c>
      <c r="W315" s="38" t="s">
        <v>3875</v>
      </c>
      <c r="X315" s="38"/>
      <c r="Y315" s="38"/>
      <c r="Z315" s="38"/>
      <c r="AA315" s="38"/>
      <c r="AB315" s="38"/>
      <c r="AC315" s="38"/>
      <c r="AD315" s="38"/>
      <c r="AE315" s="38"/>
      <c r="AF315" s="3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row>
    <row r="316" ht="25.5" customHeight="1">
      <c r="A316" s="28">
        <v>134.0</v>
      </c>
      <c r="B316" s="37" t="b">
        <v>1</v>
      </c>
      <c r="C316" s="38" t="s">
        <v>106</v>
      </c>
      <c r="D316" s="38">
        <v>80.0</v>
      </c>
      <c r="E316" s="13" t="b">
        <v>1</v>
      </c>
      <c r="F316" s="13" t="b">
        <v>0</v>
      </c>
      <c r="G316" s="38" t="s">
        <v>284</v>
      </c>
      <c r="H316" s="38">
        <v>53.0</v>
      </c>
      <c r="I316" s="38" t="s">
        <v>224</v>
      </c>
      <c r="J316" s="38"/>
      <c r="K316" s="38" t="s">
        <v>224</v>
      </c>
      <c r="L316" s="38"/>
      <c r="M316" s="38" t="s">
        <v>35</v>
      </c>
      <c r="N316" s="38">
        <v>2000.0</v>
      </c>
      <c r="O316" s="38" t="s">
        <v>1076</v>
      </c>
      <c r="P316" s="40"/>
      <c r="Q316" s="38" t="s">
        <v>289</v>
      </c>
      <c r="R316" s="38">
        <v>40.0</v>
      </c>
      <c r="S316" s="38" t="s">
        <v>3877</v>
      </c>
      <c r="T316" s="38" t="s">
        <v>3878</v>
      </c>
      <c r="U316" s="38" t="s">
        <v>3874</v>
      </c>
      <c r="V316" s="38">
        <v>2006.0</v>
      </c>
      <c r="W316" s="38" t="s">
        <v>3879</v>
      </c>
      <c r="X316" s="49" t="str">
        <f>HYPERLINK("http://papers.ssrn.com/sol3/papers.cfm?abstract_id=1304735","http://papers.ssrn.com/sol3/papers.cfm?abstract_id=1304735")</f>
        <v>http://papers.ssrn.com/sol3/papers.cfm?abstract_id=1304735</v>
      </c>
      <c r="Y316" s="38"/>
      <c r="Z316" s="38"/>
      <c r="AA316" s="38"/>
      <c r="AB316" s="38"/>
      <c r="AC316" s="38"/>
      <c r="AD316" s="38"/>
      <c r="AE316" s="38"/>
      <c r="AF316" s="3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row>
    <row r="317" ht="25.5" customHeight="1">
      <c r="A317" s="28">
        <v>436.0</v>
      </c>
      <c r="B317" s="37" t="b">
        <v>1</v>
      </c>
      <c r="C317" s="38" t="s">
        <v>106</v>
      </c>
      <c r="D317" s="38">
        <v>80.0</v>
      </c>
      <c r="E317" s="13" t="b">
        <v>1</v>
      </c>
      <c r="F317" s="13" t="b">
        <v>0</v>
      </c>
      <c r="G317" s="38" t="s">
        <v>224</v>
      </c>
      <c r="H317" s="38"/>
      <c r="I317" s="38" t="s">
        <v>387</v>
      </c>
      <c r="J317" s="38">
        <v>8.0</v>
      </c>
      <c r="K317" s="38" t="s">
        <v>2072</v>
      </c>
      <c r="L317" s="38">
        <v>801.0</v>
      </c>
      <c r="M317" s="38" t="s">
        <v>35</v>
      </c>
      <c r="N317" s="38">
        <v>2000.0</v>
      </c>
      <c r="O317" s="38" t="s">
        <v>3887</v>
      </c>
      <c r="P317" s="40"/>
      <c r="Q317" s="38" t="s">
        <v>3888</v>
      </c>
      <c r="R317" s="38" t="s">
        <v>3889</v>
      </c>
      <c r="S317" s="38" t="s">
        <v>3890</v>
      </c>
      <c r="T317" s="38" t="s">
        <v>3891</v>
      </c>
      <c r="U317" s="38" t="s">
        <v>3874</v>
      </c>
      <c r="V317" s="38">
        <v>2003.0</v>
      </c>
      <c r="W317" s="38" t="s">
        <v>3896</v>
      </c>
      <c r="X317" s="49" t="str">
        <f>HYPERLINK("http://www.sciencedirect.com/science/article/pii/S095937800500004X","http://www.sciencedirect.com/science/article/pii/S095937800500004X")</f>
        <v>http://www.sciencedirect.com/science/article/pii/S095937800500004X</v>
      </c>
      <c r="Y317" s="38"/>
      <c r="Z317" s="38"/>
      <c r="AA317" s="38"/>
      <c r="AB317" s="38"/>
      <c r="AC317" s="38"/>
      <c r="AD317" s="38"/>
      <c r="AE317" s="38"/>
      <c r="AF317" s="38"/>
      <c r="AG317" s="28"/>
      <c r="AH317" s="28" t="s">
        <v>462</v>
      </c>
      <c r="AI317" s="28" t="s">
        <v>428</v>
      </c>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row>
    <row r="318" ht="25.5" customHeight="1">
      <c r="A318" s="28">
        <v>352.0</v>
      </c>
      <c r="B318" s="37" t="b">
        <v>1</v>
      </c>
      <c r="C318" s="38" t="s">
        <v>106</v>
      </c>
      <c r="D318" s="38">
        <v>80.0</v>
      </c>
      <c r="E318" s="13" t="b">
        <v>1</v>
      </c>
      <c r="F318" s="13" t="b">
        <v>1</v>
      </c>
      <c r="G318" s="38" t="s">
        <v>224</v>
      </c>
      <c r="H318" s="38"/>
      <c r="I318" s="38" t="s">
        <v>490</v>
      </c>
      <c r="J318" s="38">
        <v>6.0</v>
      </c>
      <c r="K318" s="47" t="s">
        <v>3900</v>
      </c>
      <c r="L318" s="38">
        <v>600.0</v>
      </c>
      <c r="M318" s="38" t="s">
        <v>35</v>
      </c>
      <c r="N318" s="38">
        <v>2000.0</v>
      </c>
      <c r="O318" s="38" t="s">
        <v>837</v>
      </c>
      <c r="P318" s="40">
        <v>2001.0</v>
      </c>
      <c r="Q318" s="38" t="s">
        <v>298</v>
      </c>
      <c r="R318" s="38">
        <v>44.0</v>
      </c>
      <c r="S318" s="38" t="s">
        <v>3902</v>
      </c>
      <c r="T318" s="49" t="str">
        <f>HYPERLINK("http://www.sciencedirect.com/science/article/pii/S0959378014000909","Unsworth, K. L., &amp; Fielding, K. S.")</f>
        <v>Unsworth, K. L., &amp; Fielding, K. S.</v>
      </c>
      <c r="U318" s="49" t="str">
        <f>HYPERLINK("http://www.sciencedirect.com/science/journal/09593780","Global Environmental Change")</f>
        <v>Global Environmental Change</v>
      </c>
      <c r="V318" s="38">
        <v>2014.0</v>
      </c>
      <c r="W318" s="38" t="s">
        <v>3910</v>
      </c>
      <c r="X318" s="38" t="s">
        <v>3912</v>
      </c>
      <c r="Y318" s="38"/>
      <c r="Z318" s="38"/>
      <c r="AA318" s="38"/>
      <c r="AB318" s="38"/>
      <c r="AC318" s="38"/>
      <c r="AD318" s="38"/>
      <c r="AE318" s="38"/>
      <c r="AF318" s="38"/>
      <c r="AG318" s="28"/>
      <c r="AH318" s="28" t="s">
        <v>462</v>
      </c>
      <c r="AI318" s="28" t="s">
        <v>926</v>
      </c>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row>
    <row r="319" ht="25.5" customHeight="1">
      <c r="A319" s="28">
        <v>58.0</v>
      </c>
      <c r="B319" s="37" t="b">
        <v>1</v>
      </c>
      <c r="C319" s="38" t="s">
        <v>106</v>
      </c>
      <c r="D319" s="38">
        <v>80.0</v>
      </c>
      <c r="E319" s="13" t="b">
        <v>0</v>
      </c>
      <c r="F319" s="13" t="b">
        <v>1</v>
      </c>
      <c r="G319" s="38" t="s">
        <v>224</v>
      </c>
      <c r="H319" s="38"/>
      <c r="I319" s="38" t="s">
        <v>1331</v>
      </c>
      <c r="J319" s="38" t="s">
        <v>1371</v>
      </c>
      <c r="K319" s="38" t="s">
        <v>3915</v>
      </c>
      <c r="L319" s="38" t="s">
        <v>3916</v>
      </c>
      <c r="M319" s="38" t="s">
        <v>35</v>
      </c>
      <c r="N319" s="38">
        <v>2000.0</v>
      </c>
      <c r="O319" s="38" t="s">
        <v>578</v>
      </c>
      <c r="P319" s="40"/>
      <c r="Q319" s="38" t="s">
        <v>111</v>
      </c>
      <c r="R319" s="38">
        <v>41.0</v>
      </c>
      <c r="S319" s="38" t="s">
        <v>3917</v>
      </c>
      <c r="T319" s="38" t="s">
        <v>3918</v>
      </c>
      <c r="U319" s="38" t="s">
        <v>3874</v>
      </c>
      <c r="V319" s="38">
        <v>2010.0</v>
      </c>
      <c r="W319" s="38" t="s">
        <v>3922</v>
      </c>
      <c r="X319" s="38" t="s">
        <v>3923</v>
      </c>
      <c r="Y319" s="38"/>
      <c r="Z319" s="38"/>
      <c r="AA319" s="38"/>
      <c r="AB319" s="38"/>
      <c r="AC319" s="38"/>
      <c r="AD319" s="38"/>
      <c r="AE319" s="38"/>
      <c r="AF319" s="38"/>
      <c r="AG319" s="28" t="s">
        <v>3924</v>
      </c>
      <c r="AH319" s="28" t="s">
        <v>3925</v>
      </c>
      <c r="AI319" s="28" t="s">
        <v>3926</v>
      </c>
      <c r="AJ319" s="28"/>
      <c r="AK319" s="28"/>
      <c r="AL319" s="28" t="s">
        <v>561</v>
      </c>
      <c r="AM319" s="28" t="s">
        <v>3927</v>
      </c>
      <c r="AN319" s="54">
        <v>42425.0</v>
      </c>
      <c r="AO319" s="28"/>
      <c r="AP319" s="54">
        <v>42593.0</v>
      </c>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row>
    <row r="320" ht="25.5" customHeight="1">
      <c r="A320" s="28">
        <v>61.0</v>
      </c>
      <c r="B320" s="37" t="b">
        <v>1</v>
      </c>
      <c r="C320" s="38" t="s">
        <v>106</v>
      </c>
      <c r="D320" s="38">
        <v>80.0</v>
      </c>
      <c r="E320" s="13" t="b">
        <v>0</v>
      </c>
      <c r="F320" s="13" t="b">
        <v>1</v>
      </c>
      <c r="G320" s="38" t="s">
        <v>224</v>
      </c>
      <c r="H320" s="38"/>
      <c r="I320" s="38" t="s">
        <v>387</v>
      </c>
      <c r="J320" s="38">
        <v>8.0</v>
      </c>
      <c r="K320" s="38" t="s">
        <v>389</v>
      </c>
      <c r="L320" s="38">
        <v>802.0</v>
      </c>
      <c r="M320" s="38" t="s">
        <v>3929</v>
      </c>
      <c r="N320" s="38" t="s">
        <v>3931</v>
      </c>
      <c r="O320" s="38" t="s">
        <v>3932</v>
      </c>
      <c r="P320" s="40"/>
      <c r="Q320" s="38" t="s">
        <v>289</v>
      </c>
      <c r="R320" s="38">
        <v>40.0</v>
      </c>
      <c r="S320" s="38" t="s">
        <v>3933</v>
      </c>
      <c r="T320" s="38" t="s">
        <v>3935</v>
      </c>
      <c r="U320" s="38" t="s">
        <v>3937</v>
      </c>
      <c r="V320" s="38">
        <v>2013.0</v>
      </c>
      <c r="W320" s="38" t="s">
        <v>3939</v>
      </c>
      <c r="X320" s="38" t="s">
        <v>3940</v>
      </c>
      <c r="Y320" s="38"/>
      <c r="Z320" s="38"/>
      <c r="AA320" s="38"/>
      <c r="AB320" s="38"/>
      <c r="AC320" s="38"/>
      <c r="AD320" s="38"/>
      <c r="AE320" s="38"/>
      <c r="AF320" s="38"/>
      <c r="AG320" s="28"/>
      <c r="AH320" s="28"/>
      <c r="AI320" s="28" t="s">
        <v>3941</v>
      </c>
      <c r="AJ320" s="28"/>
      <c r="AK320" s="28"/>
      <c r="AL320" s="28"/>
      <c r="AM320" s="28"/>
      <c r="AN320" s="54"/>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row>
    <row r="321" ht="25.5" customHeight="1">
      <c r="A321" s="28">
        <v>10062.0</v>
      </c>
      <c r="B321" s="37" t="b">
        <v>1</v>
      </c>
      <c r="C321" s="38" t="s">
        <v>238</v>
      </c>
      <c r="D321" s="38">
        <v>81.0</v>
      </c>
      <c r="E321" s="13" t="b">
        <v>1</v>
      </c>
      <c r="F321" s="13" t="b">
        <v>0</v>
      </c>
      <c r="G321" s="38" t="s">
        <v>224</v>
      </c>
      <c r="H321" s="38"/>
      <c r="I321" s="38" t="s">
        <v>280</v>
      </c>
      <c r="J321" s="38">
        <v>10.0</v>
      </c>
      <c r="K321" s="38"/>
      <c r="L321" s="38"/>
      <c r="M321" s="38" t="s">
        <v>35</v>
      </c>
      <c r="N321" s="38">
        <v>2000.0</v>
      </c>
      <c r="O321" s="38" t="s">
        <v>1114</v>
      </c>
      <c r="P321" s="40"/>
      <c r="Q321" s="38" t="s">
        <v>1877</v>
      </c>
      <c r="R321" s="38" t="s">
        <v>1878</v>
      </c>
      <c r="S321" s="49" t="str">
        <f>HYPERLINK("http://globe-net.com/fears-environment-rising-sustainable-behavior-falling/","Fears About Environment Rising – Sustainable Behavior Falling")</f>
        <v>Fears About Environment Rising – Sustainable Behavior Falling</v>
      </c>
      <c r="T321" s="38" t="s">
        <v>577</v>
      </c>
      <c r="U321" s="38" t="s">
        <v>1969</v>
      </c>
      <c r="V321" s="55">
        <v>41935.0</v>
      </c>
      <c r="W321" s="38" t="s">
        <v>1970</v>
      </c>
      <c r="X321" s="49" t="str">
        <f>HYPERLINK("http://globe-net.com/fears-environment-rising-sustainable-behavior-falling/","http://globe-net.com/fears-environment-rising-sustainable-behavior-falling/")</f>
        <v>http://globe-net.com/fears-environment-rising-sustainable-behavior-falling/</v>
      </c>
      <c r="Y321" s="38"/>
      <c r="Z321" s="38"/>
      <c r="AA321" s="38"/>
      <c r="AB321" s="38"/>
      <c r="AC321" s="38"/>
      <c r="AD321" s="38"/>
      <c r="AE321" s="38"/>
      <c r="AF321" s="38"/>
      <c r="AG321" s="28"/>
      <c r="AH321" s="28" t="s">
        <v>462</v>
      </c>
      <c r="AI321" s="28" t="s">
        <v>462</v>
      </c>
      <c r="AJ321" s="28"/>
      <c r="AK321" s="28" t="s">
        <v>676</v>
      </c>
      <c r="AL321" s="28" t="s">
        <v>769</v>
      </c>
      <c r="AM321" s="28" t="s">
        <v>1973</v>
      </c>
      <c r="AN321" s="54">
        <v>42171.0</v>
      </c>
      <c r="AO321" s="54"/>
      <c r="AP321" s="54">
        <v>42541.0</v>
      </c>
      <c r="AQ321" s="28"/>
      <c r="AR321" s="28"/>
      <c r="AS321" s="54"/>
      <c r="AT321" s="28"/>
      <c r="AU321" s="28"/>
      <c r="AV321" s="28"/>
      <c r="AW321" s="28"/>
      <c r="AX321" s="28"/>
      <c r="AY321" s="28"/>
      <c r="AZ321" s="28" t="s">
        <v>678</v>
      </c>
      <c r="BA321" s="28"/>
      <c r="BB321" s="28"/>
      <c r="BC321" s="28"/>
      <c r="BD321" s="28"/>
      <c r="BE321" s="28"/>
      <c r="BF321" s="28"/>
      <c r="BG321" s="28"/>
      <c r="BH321" s="28"/>
      <c r="BI321" s="28"/>
      <c r="BJ321" s="28"/>
      <c r="BK321" s="28"/>
      <c r="BL321" s="28"/>
      <c r="BM321" s="28"/>
      <c r="BN321" s="28"/>
      <c r="BO321" s="28"/>
    </row>
    <row r="322" ht="25.5" customHeight="1">
      <c r="A322" s="28">
        <v>10228.0</v>
      </c>
      <c r="B322" s="37" t="b">
        <v>1</v>
      </c>
      <c r="C322" s="38" t="s">
        <v>238</v>
      </c>
      <c r="D322" s="38">
        <v>81.0</v>
      </c>
      <c r="E322" s="13" t="b">
        <v>0</v>
      </c>
      <c r="F322" s="13" t="b">
        <v>1</v>
      </c>
      <c r="G322" s="38" t="s">
        <v>224</v>
      </c>
      <c r="H322" s="38"/>
      <c r="I322" s="38" t="s">
        <v>429</v>
      </c>
      <c r="J322" s="38">
        <v>2.0</v>
      </c>
      <c r="K322" s="38"/>
      <c r="L322" s="38"/>
      <c r="M322" s="38" t="s">
        <v>411</v>
      </c>
      <c r="N322" s="38">
        <v>21000.0</v>
      </c>
      <c r="O322" s="38" t="s">
        <v>3639</v>
      </c>
      <c r="P322" s="40"/>
      <c r="Q322" s="38" t="s">
        <v>289</v>
      </c>
      <c r="R322" s="38">
        <v>40.0</v>
      </c>
      <c r="S322" s="38" t="s">
        <v>3640</v>
      </c>
      <c r="T322" s="38" t="s">
        <v>3641</v>
      </c>
      <c r="U322" s="38" t="s">
        <v>3642</v>
      </c>
      <c r="V322" s="55">
        <v>42013.0</v>
      </c>
      <c r="W322" s="38"/>
      <c r="X322" s="49" t="str">
        <f>HYPERLINK("http://magazine.good.is/articles/packaging-reimagined?utm_source=Facebook&amp;utm_medium=Source&amp;utm_campaign=goodfb","http://magazine.good.is/articles/packaging-reimagined?utm_source=Facebook&amp;utm_medium=Source&amp;utm_campaign=goodfb")</f>
        <v>http://magazine.good.is/articles/packaging-reimagined?utm_source=Facebook&amp;utm_medium=Source&amp;utm_campaign=goodfb</v>
      </c>
      <c r="Y322" s="38"/>
      <c r="Z322" s="38"/>
      <c r="AA322" s="38"/>
      <c r="AB322" s="38"/>
      <c r="AC322" s="38"/>
      <c r="AD322" s="38"/>
      <c r="AE322" s="38"/>
      <c r="AF322" s="38"/>
      <c r="AG322" s="28"/>
      <c r="AH322" s="28" t="s">
        <v>462</v>
      </c>
      <c r="AI322" s="28" t="s">
        <v>462</v>
      </c>
      <c r="AJ322" s="28"/>
      <c r="AK322" s="28" t="s">
        <v>676</v>
      </c>
      <c r="AL322" s="28" t="s">
        <v>769</v>
      </c>
      <c r="AM322" s="28" t="s">
        <v>3650</v>
      </c>
      <c r="AN322" s="54">
        <v>42492.0</v>
      </c>
      <c r="AO322" s="54"/>
      <c r="AP322" s="28"/>
      <c r="AQ322" s="28" t="s">
        <v>769</v>
      </c>
      <c r="AR322" s="28"/>
      <c r="AS322" s="54">
        <v>42461.0</v>
      </c>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row>
    <row r="323" ht="25.5" customHeight="1">
      <c r="A323" s="28">
        <v>441.0</v>
      </c>
      <c r="B323" s="37" t="b">
        <v>1</v>
      </c>
      <c r="C323" s="38" t="s">
        <v>106</v>
      </c>
      <c r="D323" s="38">
        <v>80.0</v>
      </c>
      <c r="E323" s="13" t="b">
        <v>0</v>
      </c>
      <c r="F323" s="13" t="b">
        <v>1</v>
      </c>
      <c r="G323" s="38" t="s">
        <v>224</v>
      </c>
      <c r="H323" s="38"/>
      <c r="I323" s="38" t="s">
        <v>387</v>
      </c>
      <c r="J323" s="38">
        <v>8.0</v>
      </c>
      <c r="K323" s="38" t="s">
        <v>1113</v>
      </c>
      <c r="L323" s="38">
        <v>800.0</v>
      </c>
      <c r="M323" s="38" t="s">
        <v>35</v>
      </c>
      <c r="N323" s="38">
        <v>2000.0</v>
      </c>
      <c r="O323" s="38" t="s">
        <v>2373</v>
      </c>
      <c r="P323" s="40">
        <v>2001.0</v>
      </c>
      <c r="Q323" s="38" t="s">
        <v>272</v>
      </c>
      <c r="R323" s="38">
        <v>42.0</v>
      </c>
      <c r="S323" s="38" t="s">
        <v>3961</v>
      </c>
      <c r="T323" s="38" t="s">
        <v>188</v>
      </c>
      <c r="U323" s="38" t="s">
        <v>3962</v>
      </c>
      <c r="V323" s="38">
        <v>2008.0</v>
      </c>
      <c r="W323" s="38" t="s">
        <v>3965</v>
      </c>
      <c r="X323" s="38" t="s">
        <v>3966</v>
      </c>
      <c r="Y323" s="38"/>
      <c r="Z323" s="38"/>
      <c r="AA323" s="38"/>
      <c r="AB323" s="38"/>
      <c r="AC323" s="38"/>
      <c r="AD323" s="38"/>
      <c r="AE323" s="38"/>
      <c r="AF323" s="38"/>
      <c r="AG323" s="28"/>
      <c r="AH323" s="28" t="s">
        <v>462</v>
      </c>
      <c r="AI323" s="28" t="s">
        <v>428</v>
      </c>
      <c r="AJ323" s="28"/>
      <c r="AK323" s="28"/>
      <c r="AL323" s="28"/>
      <c r="AM323" s="28"/>
      <c r="AN323" s="54"/>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row>
    <row r="324" ht="25.5" customHeight="1">
      <c r="A324" s="28">
        <v>124.0</v>
      </c>
      <c r="B324" s="37" t="b">
        <v>1</v>
      </c>
      <c r="C324" s="38" t="s">
        <v>106</v>
      </c>
      <c r="D324" s="38">
        <v>80.0</v>
      </c>
      <c r="E324" s="13" t="b">
        <v>1</v>
      </c>
      <c r="F324" s="13" t="b">
        <v>0</v>
      </c>
      <c r="G324" s="38" t="s">
        <v>284</v>
      </c>
      <c r="H324" s="38">
        <v>53.0</v>
      </c>
      <c r="I324" s="38" t="s">
        <v>224</v>
      </c>
      <c r="J324" s="38"/>
      <c r="K324" s="38" t="s">
        <v>224</v>
      </c>
      <c r="L324" s="38"/>
      <c r="M324" s="38" t="s">
        <v>2023</v>
      </c>
      <c r="N324" s="38" t="s">
        <v>2024</v>
      </c>
      <c r="O324" s="38" t="s">
        <v>3969</v>
      </c>
      <c r="P324" s="40"/>
      <c r="Q324" s="38" t="s">
        <v>289</v>
      </c>
      <c r="R324" s="38">
        <v>40.0</v>
      </c>
      <c r="S324" s="38" t="s">
        <v>3970</v>
      </c>
      <c r="T324" s="38" t="s">
        <v>3971</v>
      </c>
      <c r="U324" s="38" t="s">
        <v>3972</v>
      </c>
      <c r="V324" s="38">
        <v>1991.0</v>
      </c>
      <c r="W324" s="38" t="s">
        <v>3976</v>
      </c>
      <c r="X324" s="38"/>
      <c r="Y324" s="38"/>
      <c r="Z324" s="38"/>
      <c r="AA324" s="38"/>
      <c r="AB324" s="38"/>
      <c r="AC324" s="38"/>
      <c r="AD324" s="38"/>
      <c r="AE324" s="38"/>
      <c r="AF324" s="3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row>
    <row r="325" ht="25.5" customHeight="1">
      <c r="A325" s="28">
        <v>10100.0</v>
      </c>
      <c r="B325" s="37" t="b">
        <v>1</v>
      </c>
      <c r="C325" s="38" t="s">
        <v>238</v>
      </c>
      <c r="D325" s="38">
        <v>81.0</v>
      </c>
      <c r="E325" s="13" t="b">
        <v>0</v>
      </c>
      <c r="F325" s="13" t="b">
        <v>1</v>
      </c>
      <c r="G325" s="38" t="s">
        <v>224</v>
      </c>
      <c r="H325" s="38"/>
      <c r="I325" s="38" t="s">
        <v>1595</v>
      </c>
      <c r="J325" s="38" t="s">
        <v>2417</v>
      </c>
      <c r="K325" s="38"/>
      <c r="L325" s="38"/>
      <c r="M325" s="38" t="s">
        <v>35</v>
      </c>
      <c r="N325" s="38">
        <v>2000.0</v>
      </c>
      <c r="O325" s="38" t="s">
        <v>578</v>
      </c>
      <c r="P325" s="40"/>
      <c r="Q325" s="38" t="s">
        <v>289</v>
      </c>
      <c r="R325" s="38">
        <v>40.0</v>
      </c>
      <c r="S325" s="38" t="s">
        <v>2440</v>
      </c>
      <c r="T325" s="38" t="s">
        <v>2442</v>
      </c>
      <c r="U325" s="38" t="s">
        <v>2443</v>
      </c>
      <c r="V325" s="55">
        <v>41746.0</v>
      </c>
      <c r="W325" s="38" t="s">
        <v>2446</v>
      </c>
      <c r="X325" s="49" t="str">
        <f>HYPERLINK("http://greatergood.berkeley.edu/article/item/can_empathy_stop_climate_change","http://greatergood.berkeley.edu/article/item/can_empathy_stop_climate_change")</f>
        <v>http://greatergood.berkeley.edu/article/item/can_empathy_stop_climate_change</v>
      </c>
      <c r="Y325" s="38"/>
      <c r="Z325" s="38"/>
      <c r="AA325" s="38"/>
      <c r="AB325" s="38"/>
      <c r="AC325" s="38"/>
      <c r="AD325" s="38"/>
      <c r="AE325" s="38"/>
      <c r="AF325" s="38"/>
      <c r="AG325" s="28"/>
      <c r="AH325" s="28" t="s">
        <v>462</v>
      </c>
      <c r="AI325" s="28" t="s">
        <v>462</v>
      </c>
      <c r="AJ325" s="28"/>
      <c r="AK325" s="28"/>
      <c r="AL325" s="28" t="s">
        <v>600</v>
      </c>
      <c r="AM325" s="28" t="s">
        <v>2450</v>
      </c>
      <c r="AN325" s="54">
        <v>42437.0</v>
      </c>
      <c r="AO325" s="54"/>
      <c r="AP325" s="54"/>
      <c r="AQ325" s="28" t="s">
        <v>561</v>
      </c>
      <c r="AR325" s="28"/>
      <c r="AS325" s="54">
        <v>42424.0</v>
      </c>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row>
    <row r="326" ht="25.5" customHeight="1">
      <c r="A326" s="28">
        <v>10355.0</v>
      </c>
      <c r="B326" s="37" t="b">
        <v>1</v>
      </c>
      <c r="C326" s="38" t="s">
        <v>238</v>
      </c>
      <c r="D326" s="38">
        <v>81.0</v>
      </c>
      <c r="E326" s="13" t="b">
        <v>0</v>
      </c>
      <c r="F326" s="13" t="b">
        <v>1</v>
      </c>
      <c r="G326" s="38" t="s">
        <v>224</v>
      </c>
      <c r="H326" s="38"/>
      <c r="I326" s="38" t="s">
        <v>280</v>
      </c>
      <c r="J326" s="38">
        <v>10.0</v>
      </c>
      <c r="K326" s="38"/>
      <c r="L326" s="38"/>
      <c r="M326" s="38" t="s">
        <v>411</v>
      </c>
      <c r="N326" s="38">
        <v>21000.0</v>
      </c>
      <c r="O326" s="38" t="s">
        <v>1203</v>
      </c>
      <c r="P326" s="40"/>
      <c r="Q326" s="38" t="s">
        <v>111</v>
      </c>
      <c r="R326" s="38">
        <v>41.0</v>
      </c>
      <c r="S326" s="38" t="s">
        <v>3986</v>
      </c>
      <c r="T326" s="38" t="s">
        <v>577</v>
      </c>
      <c r="U326" s="38" t="s">
        <v>3989</v>
      </c>
      <c r="V326" s="55">
        <v>74603.0</v>
      </c>
      <c r="W326" s="38" t="s">
        <v>3993</v>
      </c>
      <c r="X326" s="38" t="s">
        <v>3995</v>
      </c>
      <c r="Y326" s="38"/>
      <c r="Z326" s="38"/>
      <c r="AA326" s="38"/>
      <c r="AB326" s="38"/>
      <c r="AC326" s="38"/>
      <c r="AD326" s="38"/>
      <c r="AE326" s="38"/>
      <c r="AF326" s="38"/>
      <c r="AG326" s="28"/>
      <c r="AH326" s="28"/>
      <c r="AI326" s="28"/>
      <c r="AJ326" s="28"/>
      <c r="AK326" s="28"/>
      <c r="AL326" s="28"/>
      <c r="AM326" s="28"/>
      <c r="AN326" s="28"/>
      <c r="AO326" s="28"/>
      <c r="AP326" s="28"/>
      <c r="AQ326" s="28"/>
      <c r="AR326" s="28"/>
      <c r="AS326" s="28"/>
      <c r="AT326" s="28"/>
      <c r="AU326" s="28"/>
      <c r="AV326" s="28"/>
      <c r="AW326" s="28"/>
      <c r="AX326" s="28"/>
      <c r="AY326" s="28"/>
      <c r="AZ326" s="28" t="s">
        <v>998</v>
      </c>
      <c r="BA326" s="28"/>
      <c r="BB326" s="28"/>
      <c r="BC326" s="28"/>
      <c r="BD326" s="28"/>
      <c r="BE326" s="28"/>
      <c r="BF326" s="28"/>
      <c r="BG326" s="28"/>
      <c r="BH326" s="28"/>
      <c r="BI326" s="28"/>
      <c r="BJ326" s="28"/>
      <c r="BK326" s="28"/>
      <c r="BL326" s="28"/>
      <c r="BM326" s="28"/>
      <c r="BN326" s="28"/>
      <c r="BO326" s="28"/>
    </row>
    <row r="327" ht="25.5" customHeight="1">
      <c r="A327" s="28">
        <v>10384.0</v>
      </c>
      <c r="B327" s="37" t="b">
        <v>1</v>
      </c>
      <c r="C327" s="38" t="s">
        <v>238</v>
      </c>
      <c r="D327" s="38">
        <v>81.0</v>
      </c>
      <c r="E327" s="13" t="b">
        <v>0</v>
      </c>
      <c r="F327" s="13" t="b">
        <v>1</v>
      </c>
      <c r="G327" s="38" t="s">
        <v>224</v>
      </c>
      <c r="H327" s="38"/>
      <c r="I327" s="38" t="s">
        <v>68</v>
      </c>
      <c r="J327" s="38">
        <v>7.0</v>
      </c>
      <c r="K327" s="38"/>
      <c r="L327" s="38"/>
      <c r="M327" s="38" t="s">
        <v>107</v>
      </c>
      <c r="N327" s="38">
        <v>3000.0</v>
      </c>
      <c r="O327" s="38" t="s">
        <v>470</v>
      </c>
      <c r="P327" s="40"/>
      <c r="Q327" s="38" t="s">
        <v>289</v>
      </c>
      <c r="R327" s="38">
        <v>40.0</v>
      </c>
      <c r="S327" s="38" t="s">
        <v>4001</v>
      </c>
      <c r="T327" s="38" t="s">
        <v>4002</v>
      </c>
      <c r="U327" s="38" t="s">
        <v>4003</v>
      </c>
      <c r="V327" s="55"/>
      <c r="W327" s="38" t="s">
        <v>4004</v>
      </c>
      <c r="X327" s="49" t="str">
        <f>HYPERLINK("http://www.green-technology.org/green_technology_magazine/smud.htm","http://www.green-technology.org/green_technology_magazine/smud.htm")</f>
        <v>http://www.green-technology.org/green_technology_magazine/smud.htm</v>
      </c>
      <c r="Y327" s="38"/>
      <c r="Z327" s="38"/>
      <c r="AA327" s="38"/>
      <c r="AB327" s="38"/>
      <c r="AC327" s="38"/>
      <c r="AD327" s="38"/>
      <c r="AE327" s="38"/>
      <c r="AF327" s="38"/>
      <c r="AG327" s="28"/>
      <c r="AH327" s="28" t="s">
        <v>428</v>
      </c>
      <c r="AI327" s="28" t="s">
        <v>462</v>
      </c>
      <c r="AJ327" s="28"/>
      <c r="AK327" s="28"/>
      <c r="AL327" s="28" t="s">
        <v>769</v>
      </c>
      <c r="AM327" s="28" t="s">
        <v>4009</v>
      </c>
      <c r="AN327" s="54">
        <v>42429.0</v>
      </c>
      <c r="AO327" s="54"/>
      <c r="AP327" s="54">
        <v>42612.0</v>
      </c>
      <c r="AQ327" s="28"/>
      <c r="AR327" s="28"/>
      <c r="AS327" s="28"/>
      <c r="AT327" s="28"/>
      <c r="AU327" s="28"/>
      <c r="AV327" s="28"/>
      <c r="AW327" s="28"/>
      <c r="AX327" s="28"/>
      <c r="AY327" s="28"/>
      <c r="AZ327" s="28" t="s">
        <v>991</v>
      </c>
      <c r="BA327" s="28"/>
      <c r="BB327" s="28"/>
      <c r="BC327" s="28"/>
      <c r="BD327" s="28"/>
      <c r="BE327" s="28"/>
      <c r="BF327" s="28"/>
      <c r="BG327" s="28"/>
      <c r="BH327" s="28"/>
      <c r="BI327" s="28"/>
      <c r="BJ327" s="28"/>
      <c r="BK327" s="28"/>
      <c r="BL327" s="28"/>
      <c r="BM327" s="28"/>
      <c r="BN327" s="28"/>
      <c r="BO327" s="28"/>
    </row>
    <row r="328" ht="25.5" customHeight="1">
      <c r="A328" s="28">
        <v>10108.0</v>
      </c>
      <c r="B328" s="37" t="b">
        <v>1</v>
      </c>
      <c r="C328" s="38" t="s">
        <v>238</v>
      </c>
      <c r="D328" s="38">
        <v>81.0</v>
      </c>
      <c r="E328" s="13" t="b">
        <v>0</v>
      </c>
      <c r="F328" s="13" t="b">
        <v>1</v>
      </c>
      <c r="G328" s="38" t="s">
        <v>224</v>
      </c>
      <c r="H328" s="38"/>
      <c r="I328" s="38" t="s">
        <v>2563</v>
      </c>
      <c r="J328" s="38" t="s">
        <v>2565</v>
      </c>
      <c r="K328" s="38"/>
      <c r="L328" s="38"/>
      <c r="M328" s="38" t="s">
        <v>35</v>
      </c>
      <c r="N328" s="38">
        <v>2000.0</v>
      </c>
      <c r="O328" s="38" t="s">
        <v>837</v>
      </c>
      <c r="P328" s="40">
        <v>2001.0</v>
      </c>
      <c r="Q328" s="38" t="s">
        <v>289</v>
      </c>
      <c r="R328" s="38">
        <v>40.0</v>
      </c>
      <c r="S328" s="38" t="s">
        <v>2567</v>
      </c>
      <c r="T328" s="38" t="s">
        <v>2568</v>
      </c>
      <c r="U328" s="38" t="s">
        <v>2569</v>
      </c>
      <c r="V328" s="55">
        <v>41989.0</v>
      </c>
      <c r="W328" s="38" t="s">
        <v>2570</v>
      </c>
      <c r="X328" s="49" t="str">
        <f>HYPERLINK("http://www.greenbiz.com/article/need-talk-climate-denier-heres-how","http://www.greenbiz.com/article/need-talk-climate-denier-heres-how")</f>
        <v>http://www.greenbiz.com/article/need-talk-climate-denier-heres-how</v>
      </c>
      <c r="Y328" s="38"/>
      <c r="Z328" s="38"/>
      <c r="AA328" s="38"/>
      <c r="AB328" s="38"/>
      <c r="AC328" s="38"/>
      <c r="AD328" s="38"/>
      <c r="AE328" s="38"/>
      <c r="AF328" s="38"/>
      <c r="AG328" s="28" t="s">
        <v>2574</v>
      </c>
      <c r="AH328" s="28" t="s">
        <v>462</v>
      </c>
      <c r="AI328" s="28" t="s">
        <v>462</v>
      </c>
      <c r="AJ328" s="28"/>
      <c r="AK328" s="28" t="s">
        <v>1474</v>
      </c>
      <c r="AL328" s="28" t="s">
        <v>769</v>
      </c>
      <c r="AM328" s="28"/>
      <c r="AN328" s="54"/>
      <c r="AO328" s="54"/>
      <c r="AP328" s="28"/>
      <c r="AQ328" s="28"/>
      <c r="AR328" s="28"/>
      <c r="AS328" s="54"/>
      <c r="AT328" s="28" t="s">
        <v>1406</v>
      </c>
      <c r="AU328" s="28"/>
      <c r="AV328" s="28"/>
      <c r="AW328" s="28"/>
      <c r="AX328" s="28"/>
      <c r="AY328" s="28"/>
      <c r="AZ328" s="28"/>
      <c r="BA328" s="28"/>
      <c r="BB328" s="28"/>
      <c r="BC328" s="28"/>
      <c r="BD328" s="28"/>
      <c r="BE328" s="28"/>
      <c r="BF328" s="28"/>
      <c r="BG328" s="28"/>
      <c r="BH328" s="28"/>
      <c r="BI328" s="28"/>
      <c r="BJ328" s="28"/>
      <c r="BK328" s="28"/>
      <c r="BL328" s="28"/>
      <c r="BM328" s="28"/>
      <c r="BN328" s="28"/>
      <c r="BO328" s="28"/>
    </row>
    <row r="329" ht="25.5" customHeight="1">
      <c r="A329" s="28">
        <v>10157.0</v>
      </c>
      <c r="B329" s="37" t="b">
        <v>1</v>
      </c>
      <c r="C329" s="38" t="s">
        <v>238</v>
      </c>
      <c r="D329" s="38">
        <v>81.0</v>
      </c>
      <c r="E329" s="13" t="b">
        <v>0</v>
      </c>
      <c r="F329" s="13" t="b">
        <v>1</v>
      </c>
      <c r="G329" s="38" t="s">
        <v>224</v>
      </c>
      <c r="H329" s="38"/>
      <c r="I329" s="38" t="s">
        <v>1331</v>
      </c>
      <c r="J329" s="38" t="s">
        <v>1371</v>
      </c>
      <c r="K329" s="38"/>
      <c r="L329" s="38"/>
      <c r="M329" s="38" t="s">
        <v>35</v>
      </c>
      <c r="N329" s="38">
        <v>2000.0</v>
      </c>
      <c r="O329" s="38" t="s">
        <v>644</v>
      </c>
      <c r="P329" s="40"/>
      <c r="Q329" s="38" t="s">
        <v>289</v>
      </c>
      <c r="R329" s="38">
        <v>40.0</v>
      </c>
      <c r="S329" s="61" t="s">
        <v>2966</v>
      </c>
      <c r="T329" s="38" t="s">
        <v>2967</v>
      </c>
      <c r="U329" s="38" t="s">
        <v>2569</v>
      </c>
      <c r="V329" s="55">
        <v>42172.0</v>
      </c>
      <c r="W329" s="38" t="s">
        <v>2968</v>
      </c>
      <c r="X329" s="49" t="str">
        <f>HYPERLINK("https://www.greenbiz.com/article/want-connect-climate-skeptics-just-listen","https://www.greenbiz.com/article/want-connect-climate-skeptics-just-listen")</f>
        <v>https://www.greenbiz.com/article/want-connect-climate-skeptics-just-listen</v>
      </c>
      <c r="Y329" s="38"/>
      <c r="Z329" s="38"/>
      <c r="AA329" s="38"/>
      <c r="AB329" s="38"/>
      <c r="AC329" s="38"/>
      <c r="AD329" s="38"/>
      <c r="AE329" s="38"/>
      <c r="AF329" s="38"/>
      <c r="AG329" s="28"/>
      <c r="AH329" s="28"/>
      <c r="AI329" s="28"/>
      <c r="AJ329" s="28"/>
      <c r="AK329" s="28"/>
      <c r="AL329" s="28" t="s">
        <v>769</v>
      </c>
      <c r="AM329" s="28" t="s">
        <v>2969</v>
      </c>
      <c r="AN329" s="54">
        <v>42664.0</v>
      </c>
      <c r="AO329" s="54"/>
      <c r="AP329" s="28"/>
      <c r="AQ329" s="28"/>
      <c r="AR329" s="28"/>
      <c r="AS329" s="28"/>
      <c r="AT329" s="28"/>
      <c r="AU329" s="28"/>
      <c r="AV329" s="28"/>
      <c r="AW329" s="28"/>
      <c r="AX329" s="28"/>
      <c r="AY329" s="28" t="s">
        <v>428</v>
      </c>
      <c r="AZ329" s="28"/>
      <c r="BA329" s="28"/>
      <c r="BB329" s="28"/>
      <c r="BC329" s="28"/>
      <c r="BD329" s="28"/>
      <c r="BE329" s="28"/>
      <c r="BF329" s="28"/>
      <c r="BG329" s="28"/>
      <c r="BH329" s="28"/>
      <c r="BI329" s="28"/>
      <c r="BJ329" s="28"/>
      <c r="BK329" s="28"/>
      <c r="BL329" s="28"/>
      <c r="BM329" s="28"/>
      <c r="BN329" s="28"/>
      <c r="BO329" s="28"/>
    </row>
    <row r="330" ht="25.5" customHeight="1">
      <c r="A330" s="28">
        <v>10262.0</v>
      </c>
      <c r="B330" s="37" t="b">
        <v>1</v>
      </c>
      <c r="C330" s="38" t="s">
        <v>238</v>
      </c>
      <c r="D330" s="38">
        <v>81.0</v>
      </c>
      <c r="E330" s="13" t="b">
        <v>0</v>
      </c>
      <c r="F330" s="13" t="b">
        <v>1</v>
      </c>
      <c r="G330" s="38" t="s">
        <v>224</v>
      </c>
      <c r="H330" s="38"/>
      <c r="I330" s="38" t="s">
        <v>3857</v>
      </c>
      <c r="J330" s="38" t="s">
        <v>3858</v>
      </c>
      <c r="K330" s="38"/>
      <c r="L330" s="38"/>
      <c r="M330" s="38" t="s">
        <v>107</v>
      </c>
      <c r="N330" s="38">
        <v>3000.0</v>
      </c>
      <c r="O330" s="38" t="s">
        <v>470</v>
      </c>
      <c r="P330" s="40"/>
      <c r="Q330" s="38" t="s">
        <v>117</v>
      </c>
      <c r="R330" s="38">
        <v>40.0</v>
      </c>
      <c r="S330" s="61" t="s">
        <v>3859</v>
      </c>
      <c r="T330" s="38" t="s">
        <v>3860</v>
      </c>
      <c r="U330" s="38" t="s">
        <v>2569</v>
      </c>
      <c r="V330" s="55">
        <v>42448.0</v>
      </c>
      <c r="W330" s="38" t="s">
        <v>3861</v>
      </c>
      <c r="X330" s="49" t="str">
        <f>HYPERLINK("https://www.greenbiz.com/article/5-truths-about-our-relationship-energy","https://www.greenbiz.com/article/5-truths-about-our-relationship-energy")</f>
        <v>https://www.greenbiz.com/article/5-truths-about-our-relationship-energy</v>
      </c>
      <c r="Y330" s="38"/>
      <c r="Z330" s="38"/>
      <c r="AA330" s="38"/>
      <c r="AB330" s="38"/>
      <c r="AC330" s="38"/>
      <c r="AD330" s="38"/>
      <c r="AE330" s="38"/>
      <c r="AF330" s="38"/>
      <c r="AG330" s="28"/>
      <c r="AH330" s="28"/>
      <c r="AI330" s="28"/>
      <c r="AJ330" s="28"/>
      <c r="AK330" s="28"/>
      <c r="AL330" s="28" t="s">
        <v>769</v>
      </c>
      <c r="AM330" s="28" t="s">
        <v>3869</v>
      </c>
      <c r="AN330" s="54">
        <v>42670.0</v>
      </c>
      <c r="AO330" s="54"/>
      <c r="AP330" s="28"/>
      <c r="AQ330" s="28"/>
      <c r="AR330" s="28"/>
      <c r="AS330" s="28"/>
      <c r="AT330" s="28"/>
      <c r="AU330" s="28"/>
      <c r="AV330" s="28"/>
      <c r="AW330" s="28"/>
      <c r="AX330" s="28"/>
      <c r="AY330" s="28" t="s">
        <v>428</v>
      </c>
      <c r="AZ330" s="28"/>
      <c r="BA330" s="28"/>
      <c r="BB330" s="28"/>
      <c r="BC330" s="28"/>
      <c r="BD330" s="28"/>
      <c r="BE330" s="28"/>
      <c r="BF330" s="28"/>
      <c r="BG330" s="28"/>
      <c r="BH330" s="28"/>
      <c r="BI330" s="28"/>
      <c r="BJ330" s="28"/>
      <c r="BK330" s="28"/>
      <c r="BL330" s="28"/>
      <c r="BM330" s="28"/>
      <c r="BN330" s="28"/>
      <c r="BO330" s="28"/>
    </row>
    <row r="331" ht="25.5" customHeight="1">
      <c r="A331" s="28">
        <v>10001.0</v>
      </c>
      <c r="B331" s="37" t="b">
        <v>1</v>
      </c>
      <c r="C331" s="38" t="s">
        <v>238</v>
      </c>
      <c r="D331" s="38">
        <v>81.0</v>
      </c>
      <c r="E331" s="13" t="b">
        <v>1</v>
      </c>
      <c r="F331" s="13" t="b">
        <v>0</v>
      </c>
      <c r="G331" s="38" t="s">
        <v>224</v>
      </c>
      <c r="H331" s="38"/>
      <c r="I331" s="38" t="s">
        <v>574</v>
      </c>
      <c r="J331" s="38">
        <v>4.0</v>
      </c>
      <c r="K331" s="38"/>
      <c r="L331" s="38"/>
      <c r="M331" s="38" t="s">
        <v>35</v>
      </c>
      <c r="N331" s="38">
        <v>2000.0</v>
      </c>
      <c r="O331" s="38" t="s">
        <v>644</v>
      </c>
      <c r="P331" s="40"/>
      <c r="Q331" s="38" t="s">
        <v>289</v>
      </c>
      <c r="R331" s="38">
        <v>40.0</v>
      </c>
      <c r="S331" s="38" t="s">
        <v>1262</v>
      </c>
      <c r="T331" s="38" t="s">
        <v>1263</v>
      </c>
      <c r="U331" s="38" t="s">
        <v>1265</v>
      </c>
      <c r="V331" s="55">
        <v>41739.0</v>
      </c>
      <c r="W331" s="38" t="s">
        <v>1266</v>
      </c>
      <c r="X331" s="49" t="str">
        <f>HYPERLINK("http://grist.org/climate-energy/the-brutally-dishonest-attacks-on-showtimes-landmark-climate-series/","http://grist.org/climate-energy/the-brutally-dishonest-attacks-on-showtimes-landmark-climate-series/")</f>
        <v>http://grist.org/climate-energy/the-brutally-dishonest-attacks-on-showtimes-landmark-climate-series/</v>
      </c>
      <c r="Y331" s="38"/>
      <c r="Z331" s="38"/>
      <c r="AA331" s="38"/>
      <c r="AB331" s="38"/>
      <c r="AC331" s="38"/>
      <c r="AD331" s="38"/>
      <c r="AE331" s="38"/>
      <c r="AF331" s="38"/>
      <c r="AG331" s="28" t="s">
        <v>1267</v>
      </c>
      <c r="AH331" s="28" t="s">
        <v>462</v>
      </c>
      <c r="AI331" s="28" t="s">
        <v>462</v>
      </c>
      <c r="AJ331" s="28"/>
      <c r="AK331" s="28" t="s">
        <v>676</v>
      </c>
      <c r="AL331" s="28" t="s">
        <v>600</v>
      </c>
      <c r="AM331" s="28"/>
      <c r="AN331" s="54"/>
      <c r="AO331" s="54"/>
      <c r="AP331" s="28"/>
      <c r="AQ331" s="28"/>
      <c r="AR331" s="28"/>
      <c r="AS331" s="54"/>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row>
    <row r="332" ht="25.5" customHeight="1">
      <c r="A332" s="28">
        <v>10014.0</v>
      </c>
      <c r="B332" s="37" t="b">
        <v>1</v>
      </c>
      <c r="C332" s="38" t="s">
        <v>238</v>
      </c>
      <c r="D332" s="38">
        <v>81.0</v>
      </c>
      <c r="E332" s="13" t="b">
        <v>1</v>
      </c>
      <c r="F332" s="13" t="b">
        <v>0</v>
      </c>
      <c r="G332" s="38" t="s">
        <v>224</v>
      </c>
      <c r="H332" s="38"/>
      <c r="I332" s="38" t="s">
        <v>1422</v>
      </c>
      <c r="J332" s="38">
        <v>9.0</v>
      </c>
      <c r="K332" s="38"/>
      <c r="L332" s="38"/>
      <c r="M332" s="38" t="s">
        <v>35</v>
      </c>
      <c r="N332" s="38">
        <v>2000.0</v>
      </c>
      <c r="O332" s="38" t="s">
        <v>644</v>
      </c>
      <c r="P332" s="40"/>
      <c r="Q332" s="38" t="s">
        <v>289</v>
      </c>
      <c r="R332" s="38">
        <v>40.0</v>
      </c>
      <c r="S332" s="38" t="s">
        <v>1423</v>
      </c>
      <c r="T332" s="38" t="s">
        <v>1424</v>
      </c>
      <c r="U332" s="38" t="s">
        <v>1265</v>
      </c>
      <c r="V332" s="55">
        <v>42181.0</v>
      </c>
      <c r="W332" s="38" t="s">
        <v>1426</v>
      </c>
      <c r="X332" s="49" t="str">
        <f>HYPERLINK("http://grist.org/people/does-shame-have-a-place-in-the-climate-fight-jennifer-jacquet-thinks-so/?utm_source=twitter&amp;utm_medium=tweet&amp;utm_campaign=socialflow","http://grist.org/people/does-shame-have-a-place-in-the-climate-fight-jennifer-jacquet-thinks-so/?utm_source=twitter&amp;utm_medium=tweet&amp;utm_campaign=socialflow")</f>
        <v>http://grist.org/people/does-shame-have-a-place-in-the-climate-fight-jennifer-jacquet-thinks-so/?utm_source=twitter&amp;utm_medium=tweet&amp;utm_campaign=socialflow</v>
      </c>
      <c r="Y332" s="38"/>
      <c r="Z332" s="38"/>
      <c r="AA332" s="38"/>
      <c r="AB332" s="38"/>
      <c r="AC332" s="38"/>
      <c r="AD332" s="38"/>
      <c r="AE332" s="38"/>
      <c r="AF332" s="38"/>
      <c r="AG332" s="28"/>
      <c r="AH332" s="28" t="s">
        <v>462</v>
      </c>
      <c r="AI332" s="28" t="s">
        <v>462</v>
      </c>
      <c r="AJ332" s="28"/>
      <c r="AK332" s="28" t="s">
        <v>676</v>
      </c>
      <c r="AL332" s="28" t="s">
        <v>769</v>
      </c>
      <c r="AM332" s="28" t="s">
        <v>1432</v>
      </c>
      <c r="AN332" s="54">
        <v>42188.0</v>
      </c>
      <c r="AO332" s="54"/>
      <c r="AP332" s="54">
        <v>42529.0</v>
      </c>
      <c r="AQ332" s="28" t="s">
        <v>769</v>
      </c>
      <c r="AR332" s="28"/>
      <c r="AS332" s="54">
        <v>42221.0</v>
      </c>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row>
    <row r="333" ht="25.5" customHeight="1">
      <c r="A333" s="28">
        <v>10059.0</v>
      </c>
      <c r="B333" s="37" t="b">
        <v>1</v>
      </c>
      <c r="C333" s="38" t="s">
        <v>238</v>
      </c>
      <c r="D333" s="38">
        <v>81.0</v>
      </c>
      <c r="E333" s="13" t="b">
        <v>1</v>
      </c>
      <c r="F333" s="13" t="b">
        <v>0</v>
      </c>
      <c r="G333" s="38" t="s">
        <v>224</v>
      </c>
      <c r="H333" s="38"/>
      <c r="I333" s="38" t="s">
        <v>1153</v>
      </c>
      <c r="J333" s="38">
        <v>6.0</v>
      </c>
      <c r="K333" s="47"/>
      <c r="L333" s="38"/>
      <c r="M333" s="38" t="s">
        <v>35</v>
      </c>
      <c r="N333" s="38">
        <v>2000.0</v>
      </c>
      <c r="O333" s="38" t="s">
        <v>837</v>
      </c>
      <c r="P333" s="40">
        <v>2001.0</v>
      </c>
      <c r="Q333" s="38" t="s">
        <v>1590</v>
      </c>
      <c r="R333" s="38"/>
      <c r="S333" s="61" t="s">
        <v>1944</v>
      </c>
      <c r="T333" s="38" t="s">
        <v>1945</v>
      </c>
      <c r="U333" s="38" t="s">
        <v>1265</v>
      </c>
      <c r="V333" s="55">
        <v>42214.0</v>
      </c>
      <c r="W333" s="38" t="s">
        <v>1946</v>
      </c>
      <c r="X333" s="49" t="str">
        <f>HYPERLINK("http://grist.org/climate-energy/education-increases-belief-in-climate-change-everywhere-except-in-the-u-s/","http://grist.org/climate-energy/education-increases-belief-in-climate-change-everywhere-except-in-the-u-s/")</f>
        <v>http://grist.org/climate-energy/education-increases-belief-in-climate-change-everywhere-except-in-the-u-s/</v>
      </c>
      <c r="Y333" s="38"/>
      <c r="Z333" s="38"/>
      <c r="AA333" s="38"/>
      <c r="AB333" s="38"/>
      <c r="AC333" s="38"/>
      <c r="AD333" s="38"/>
      <c r="AE333" s="38"/>
      <c r="AF333" s="38"/>
      <c r="AG333" s="28"/>
      <c r="AH333" s="28"/>
      <c r="AI333" s="28"/>
      <c r="AJ333" s="28"/>
      <c r="AK333" s="28"/>
      <c r="AL333" s="28" t="s">
        <v>769</v>
      </c>
      <c r="AM333" s="28" t="s">
        <v>1949</v>
      </c>
      <c r="AN333" s="54">
        <v>42648.0</v>
      </c>
      <c r="AO333" s="54"/>
      <c r="AP333" s="28"/>
      <c r="AQ333" s="28"/>
      <c r="AR333" s="28"/>
      <c r="AS333" s="28"/>
      <c r="AT333" s="28"/>
      <c r="AU333" s="28"/>
      <c r="AV333" s="28"/>
      <c r="AW333" s="28"/>
      <c r="AX333" s="28"/>
      <c r="AY333" s="28" t="s">
        <v>428</v>
      </c>
      <c r="AZ333" s="28"/>
      <c r="BA333" s="28"/>
      <c r="BB333" s="28"/>
      <c r="BC333" s="28"/>
      <c r="BD333" s="28"/>
      <c r="BE333" s="28"/>
      <c r="BF333" s="28"/>
      <c r="BG333" s="28"/>
      <c r="BH333" s="28"/>
      <c r="BI333" s="28"/>
      <c r="BJ333" s="28"/>
      <c r="BK333" s="28"/>
      <c r="BL333" s="28"/>
      <c r="BM333" s="28"/>
      <c r="BN333" s="28"/>
      <c r="BO333" s="28"/>
    </row>
    <row r="334" ht="25.5" customHeight="1">
      <c r="A334" s="28">
        <v>10018.0</v>
      </c>
      <c r="B334" s="37" t="b">
        <v>1</v>
      </c>
      <c r="C334" s="38" t="s">
        <v>238</v>
      </c>
      <c r="D334" s="38">
        <v>81.0</v>
      </c>
      <c r="E334" s="13" t="b">
        <v>1</v>
      </c>
      <c r="F334" s="13" t="b">
        <v>0</v>
      </c>
      <c r="G334" s="38" t="s">
        <v>363</v>
      </c>
      <c r="H334" s="38">
        <v>58.0</v>
      </c>
      <c r="I334" s="38" t="s">
        <v>224</v>
      </c>
      <c r="J334" s="38"/>
      <c r="K334" s="38" t="s">
        <v>224</v>
      </c>
      <c r="L334" s="38"/>
      <c r="M334" s="38" t="s">
        <v>35</v>
      </c>
      <c r="N334" s="38">
        <v>2000.0</v>
      </c>
      <c r="O334" s="38" t="s">
        <v>837</v>
      </c>
      <c r="P334" s="40">
        <v>2001.0</v>
      </c>
      <c r="Q334" s="38" t="s">
        <v>289</v>
      </c>
      <c r="R334" s="38">
        <v>40.0</v>
      </c>
      <c r="S334" s="38" t="s">
        <v>1467</v>
      </c>
      <c r="T334" s="38" t="s">
        <v>1468</v>
      </c>
      <c r="U334" s="38" t="s">
        <v>1265</v>
      </c>
      <c r="V334" s="55">
        <v>41767.0</v>
      </c>
      <c r="W334" s="38"/>
      <c r="X334" s="49" t="str">
        <f>HYPERLINK("http://grist.org/politics/why-there-is-no-liberal-equivalent-to-climate-change-denial/","http://grist.org/politics/why-there-is-no-liberal-equivalent-to-climate-change-denial/")</f>
        <v>http://grist.org/politics/why-there-is-no-liberal-equivalent-to-climate-change-denial/</v>
      </c>
      <c r="Y334" s="38"/>
      <c r="Z334" s="38"/>
      <c r="AA334" s="38"/>
      <c r="AB334" s="38"/>
      <c r="AC334" s="38"/>
      <c r="AD334" s="38"/>
      <c r="AE334" s="38"/>
      <c r="AF334" s="38"/>
      <c r="AG334" s="28" t="s">
        <v>1473</v>
      </c>
      <c r="AH334" s="28" t="s">
        <v>462</v>
      </c>
      <c r="AI334" s="28" t="s">
        <v>462</v>
      </c>
      <c r="AJ334" s="28"/>
      <c r="AK334" s="28" t="s">
        <v>1474</v>
      </c>
      <c r="AL334" s="28" t="s">
        <v>769</v>
      </c>
      <c r="AM334" s="28" t="s">
        <v>1475</v>
      </c>
      <c r="AN334" s="54">
        <v>42192.0</v>
      </c>
      <c r="AO334" s="54"/>
      <c r="AP334" s="28"/>
      <c r="AQ334" s="28"/>
      <c r="AR334" s="28"/>
      <c r="AS334" s="54"/>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row>
    <row r="335" ht="25.5" customHeight="1">
      <c r="A335" s="28">
        <v>10041.0</v>
      </c>
      <c r="B335" s="37" t="b">
        <v>1</v>
      </c>
      <c r="C335" s="38" t="s">
        <v>238</v>
      </c>
      <c r="D335" s="38">
        <v>81.0</v>
      </c>
      <c r="E335" s="13" t="b">
        <v>1</v>
      </c>
      <c r="F335" s="13" t="b">
        <v>0</v>
      </c>
      <c r="G335" s="38" t="s">
        <v>4086</v>
      </c>
      <c r="H335" s="38">
        <v>65.0</v>
      </c>
      <c r="I335" s="38" t="s">
        <v>224</v>
      </c>
      <c r="J335" s="38"/>
      <c r="K335" s="38" t="s">
        <v>224</v>
      </c>
      <c r="L335" s="38"/>
      <c r="M335" s="38" t="s">
        <v>35</v>
      </c>
      <c r="N335" s="38">
        <v>2000.0</v>
      </c>
      <c r="O335" s="38" t="s">
        <v>578</v>
      </c>
      <c r="P335" s="40"/>
      <c r="Q335" s="38" t="s">
        <v>289</v>
      </c>
      <c r="R335" s="38">
        <v>40.0</v>
      </c>
      <c r="S335" s="38" t="s">
        <v>1738</v>
      </c>
      <c r="T335" s="38" t="s">
        <v>1740</v>
      </c>
      <c r="U335" s="38" t="s">
        <v>1265</v>
      </c>
      <c r="V335" s="55">
        <v>41009.0</v>
      </c>
      <c r="W335" s="38" t="s">
        <v>1742</v>
      </c>
      <c r="X335" s="49" t="str">
        <f>HYPERLINK("http://grist.org/list/80-percent-of-humans-are-delusionally-optimistic-says-science/","http://grist.org/list/80-percent-of-humans-are-delusionally-optimistic-says-science/")</f>
        <v>http://grist.org/list/80-percent-of-humans-are-delusionally-optimistic-says-science/</v>
      </c>
      <c r="Y335" s="38"/>
      <c r="Z335" s="38"/>
      <c r="AA335" s="38"/>
      <c r="AB335" s="38"/>
      <c r="AC335" s="38"/>
      <c r="AD335" s="38"/>
      <c r="AE335" s="38"/>
      <c r="AF335" s="38"/>
      <c r="AG335" s="28" t="s">
        <v>1743</v>
      </c>
      <c r="AH335" s="28" t="s">
        <v>462</v>
      </c>
      <c r="AI335" s="28" t="s">
        <v>462</v>
      </c>
      <c r="AJ335" s="28"/>
      <c r="AK335" s="28" t="s">
        <v>676</v>
      </c>
      <c r="AL335" s="28" t="s">
        <v>769</v>
      </c>
      <c r="AM335" s="28" t="s">
        <v>1745</v>
      </c>
      <c r="AN335" s="54">
        <v>42113.0</v>
      </c>
      <c r="AO335" s="54"/>
      <c r="AP335" s="103" t="str">
        <f>HYPERLINK("http://bit.ly/1I7vt7Y","5/12/2016")</f>
        <v>5/12/2016</v>
      </c>
      <c r="AQ335" s="28" t="s">
        <v>769</v>
      </c>
      <c r="AR335" s="28"/>
      <c r="AS335" s="54">
        <v>42121.0</v>
      </c>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row>
    <row r="336" ht="25.5" customHeight="1">
      <c r="A336" s="28">
        <v>10082.0</v>
      </c>
      <c r="B336" s="37" t="b">
        <v>1</v>
      </c>
      <c r="C336" s="38" t="s">
        <v>238</v>
      </c>
      <c r="D336" s="38">
        <v>81.0</v>
      </c>
      <c r="E336" s="13" t="b">
        <v>0</v>
      </c>
      <c r="F336" s="13" t="b">
        <v>1</v>
      </c>
      <c r="G336" s="38" t="s">
        <v>224</v>
      </c>
      <c r="H336" s="38"/>
      <c r="I336" s="38" t="s">
        <v>574</v>
      </c>
      <c r="J336" s="38">
        <v>4.0</v>
      </c>
      <c r="K336" s="38"/>
      <c r="L336" s="38"/>
      <c r="M336" s="38" t="s">
        <v>35</v>
      </c>
      <c r="N336" s="38">
        <v>2000.0</v>
      </c>
      <c r="O336" s="38" t="s">
        <v>644</v>
      </c>
      <c r="P336" s="40"/>
      <c r="Q336" s="38" t="s">
        <v>289</v>
      </c>
      <c r="R336" s="38">
        <v>40.0</v>
      </c>
      <c r="S336" s="38" t="s">
        <v>2176</v>
      </c>
      <c r="T336" s="38" t="s">
        <v>1945</v>
      </c>
      <c r="U336" s="38" t="s">
        <v>1265</v>
      </c>
      <c r="V336" s="55">
        <v>41710.0</v>
      </c>
      <c r="W336" s="38" t="s">
        <v>2177</v>
      </c>
      <c r="X336" s="49" t="str">
        <f>HYPERLINK("http://grist.org/climate-energy/want-everyone-else-to-buy-into-environmentalism-never-say-earth/","http://grist.org/climate-energy/want-everyone-else-to-buy-into-environmentalism-never-say-earth/")</f>
        <v>http://grist.org/climate-energy/want-everyone-else-to-buy-into-environmentalism-never-say-earth/</v>
      </c>
      <c r="Y336" s="38"/>
      <c r="Z336" s="38"/>
      <c r="AA336" s="38"/>
      <c r="AB336" s="38"/>
      <c r="AC336" s="38"/>
      <c r="AD336" s="38"/>
      <c r="AE336" s="38"/>
      <c r="AF336" s="38"/>
      <c r="AG336" s="28"/>
      <c r="AH336" s="28" t="s">
        <v>462</v>
      </c>
      <c r="AI336" s="28" t="s">
        <v>462</v>
      </c>
      <c r="AJ336" s="28"/>
      <c r="AK336" s="28" t="s">
        <v>676</v>
      </c>
      <c r="AL336" s="28" t="s">
        <v>769</v>
      </c>
      <c r="AM336" s="28" t="s">
        <v>2184</v>
      </c>
      <c r="AN336" s="54">
        <v>42345.0</v>
      </c>
      <c r="AO336" s="54"/>
      <c r="AP336" s="28"/>
      <c r="AQ336" s="28" t="s">
        <v>769</v>
      </c>
      <c r="AR336" s="28"/>
      <c r="AS336" s="54">
        <v>42352.0</v>
      </c>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row>
    <row r="337" ht="25.5" customHeight="1">
      <c r="A337" s="28">
        <v>10101.0</v>
      </c>
      <c r="B337" s="37" t="b">
        <v>1</v>
      </c>
      <c r="C337" s="38" t="s">
        <v>238</v>
      </c>
      <c r="D337" s="38">
        <v>81.0</v>
      </c>
      <c r="E337" s="13" t="b">
        <v>0</v>
      </c>
      <c r="F337" s="13" t="b">
        <v>1</v>
      </c>
      <c r="G337" s="38" t="s">
        <v>224</v>
      </c>
      <c r="H337" s="38"/>
      <c r="I337" s="38" t="s">
        <v>2452</v>
      </c>
      <c r="J337" s="38" t="s">
        <v>2453</v>
      </c>
      <c r="K337" s="38"/>
      <c r="L337" s="38"/>
      <c r="M337" s="38" t="s">
        <v>35</v>
      </c>
      <c r="N337" s="38">
        <v>2000.0</v>
      </c>
      <c r="O337" s="38" t="s">
        <v>644</v>
      </c>
      <c r="P337" s="40"/>
      <c r="Q337" s="38" t="s">
        <v>289</v>
      </c>
      <c r="R337" s="38">
        <v>40.0</v>
      </c>
      <c r="S337" s="38"/>
      <c r="T337" s="49" t="str">
        <f>HYPERLINK("http://www.vox.com/users/Lisa%20Bennett"," Lisa Bennett")</f>
        <v> Lisa Bennett</v>
      </c>
      <c r="U337" s="38" t="s">
        <v>1265</v>
      </c>
      <c r="V337" s="55">
        <v>42169.0</v>
      </c>
      <c r="W337" s="38"/>
      <c r="X337" s="49" t="str">
        <f>HYPERLINK("http://www.vox.com/2015/6/14/8767823/psychology-global-warming","http://www.vox.com/2015/6/14/8767823/psychology-global-warming")</f>
        <v>http://www.vox.com/2015/6/14/8767823/psychology-global-warming</v>
      </c>
      <c r="Y337" s="38"/>
      <c r="Z337" s="38"/>
      <c r="AA337" s="38"/>
      <c r="AB337" s="38"/>
      <c r="AC337" s="38"/>
      <c r="AD337" s="38"/>
      <c r="AE337" s="38"/>
      <c r="AF337" s="38"/>
      <c r="AG337" s="28"/>
      <c r="AH337" s="28" t="s">
        <v>462</v>
      </c>
      <c r="AI337" s="28" t="s">
        <v>462</v>
      </c>
      <c r="AJ337" s="28"/>
      <c r="AK337" s="28" t="s">
        <v>915</v>
      </c>
      <c r="AL337" s="28" t="s">
        <v>769</v>
      </c>
      <c r="AM337" s="28" t="s">
        <v>2467</v>
      </c>
      <c r="AN337" s="54">
        <v>42184.0</v>
      </c>
      <c r="AO337" s="54"/>
      <c r="AP337" s="54">
        <v>42571.0</v>
      </c>
      <c r="AQ337" s="28" t="s">
        <v>769</v>
      </c>
      <c r="AR337" s="28"/>
      <c r="AS337" s="54">
        <v>42197.0</v>
      </c>
      <c r="AT337" s="28"/>
      <c r="AU337" s="28"/>
      <c r="AV337" s="28"/>
      <c r="AW337" s="28"/>
      <c r="AX337" s="28"/>
      <c r="AY337" s="28" t="s">
        <v>428</v>
      </c>
      <c r="AZ337" s="28"/>
      <c r="BA337" s="28"/>
      <c r="BB337" s="28"/>
      <c r="BC337" s="28"/>
      <c r="BD337" s="28"/>
      <c r="BE337" s="28"/>
      <c r="BF337" s="28"/>
      <c r="BG337" s="28"/>
      <c r="BH337" s="28"/>
      <c r="BI337" s="28"/>
      <c r="BJ337" s="28"/>
      <c r="BK337" s="28"/>
      <c r="BL337" s="28"/>
      <c r="BM337" s="28"/>
      <c r="BN337" s="28"/>
      <c r="BO337" s="28"/>
    </row>
    <row r="338" ht="25.5" customHeight="1">
      <c r="A338" s="28">
        <v>10110.0</v>
      </c>
      <c r="B338" s="37" t="b">
        <v>1</v>
      </c>
      <c r="C338" s="38" t="s">
        <v>238</v>
      </c>
      <c r="D338" s="38">
        <v>81.0</v>
      </c>
      <c r="E338" s="13" t="b">
        <v>0</v>
      </c>
      <c r="F338" s="13" t="b">
        <v>1</v>
      </c>
      <c r="G338" s="38" t="s">
        <v>224</v>
      </c>
      <c r="H338" s="38"/>
      <c r="I338" s="38" t="s">
        <v>2586</v>
      </c>
      <c r="J338" s="38" t="s">
        <v>2587</v>
      </c>
      <c r="K338" s="38"/>
      <c r="L338" s="38"/>
      <c r="M338" s="38" t="s">
        <v>35</v>
      </c>
      <c r="N338" s="38">
        <v>2000.0</v>
      </c>
      <c r="O338" s="38" t="s">
        <v>578</v>
      </c>
      <c r="P338" s="40"/>
      <c r="Q338" s="38" t="s">
        <v>324</v>
      </c>
      <c r="R338" s="38" t="s">
        <v>325</v>
      </c>
      <c r="S338" s="61" t="s">
        <v>2589</v>
      </c>
      <c r="T338" s="38" t="s">
        <v>2442</v>
      </c>
      <c r="U338" s="38" t="s">
        <v>1265</v>
      </c>
      <c r="V338" s="55">
        <v>42165.0</v>
      </c>
      <c r="W338" s="38" t="s">
        <v>2590</v>
      </c>
      <c r="X338" s="49" t="str">
        <f>HYPERLINK("http://grist.org/climate-energy/10-things-you-want-to-know-about-human-nature-if-youre-fighting-climate-change/","http://grist.org/climate-energy/10-things-you-want-to-know-about-human-nature-if-youre-fighting-climate-change/")</f>
        <v>http://grist.org/climate-energy/10-things-you-want-to-know-about-human-nature-if-youre-fighting-climate-change/</v>
      </c>
      <c r="Y338" s="38"/>
      <c r="Z338" s="38"/>
      <c r="AA338" s="38"/>
      <c r="AB338" s="38"/>
      <c r="AC338" s="38"/>
      <c r="AD338" s="38"/>
      <c r="AE338" s="38"/>
      <c r="AF338" s="38"/>
      <c r="AG338" s="28"/>
      <c r="AH338" s="28"/>
      <c r="AI338" s="28"/>
      <c r="AJ338" s="28"/>
      <c r="AK338" s="28"/>
      <c r="AL338" s="28" t="s">
        <v>769</v>
      </c>
      <c r="AM338" s="28" t="s">
        <v>2593</v>
      </c>
      <c r="AN338" s="54">
        <v>42702.0</v>
      </c>
      <c r="AO338" s="54"/>
      <c r="AP338" s="28"/>
      <c r="AQ338" s="28"/>
      <c r="AR338" s="28"/>
      <c r="AS338" s="28"/>
      <c r="AT338" s="28"/>
      <c r="AU338" s="28"/>
      <c r="AV338" s="28"/>
      <c r="AW338" s="28"/>
      <c r="AX338" s="28"/>
      <c r="AY338" s="28" t="s">
        <v>428</v>
      </c>
      <c r="AZ338" s="28" t="s">
        <v>731</v>
      </c>
      <c r="BA338" s="28"/>
      <c r="BB338" s="28"/>
      <c r="BC338" s="28"/>
      <c r="BD338" s="28"/>
      <c r="BE338" s="28"/>
      <c r="BF338" s="28"/>
      <c r="BG338" s="28"/>
      <c r="BH338" s="28"/>
      <c r="BI338" s="28"/>
      <c r="BJ338" s="28"/>
      <c r="BK338" s="28"/>
      <c r="BL338" s="28"/>
      <c r="BM338" s="28"/>
      <c r="BN338" s="28"/>
      <c r="BO338" s="28"/>
    </row>
    <row r="339" ht="25.5" customHeight="1">
      <c r="A339" s="28">
        <v>10128.0</v>
      </c>
      <c r="B339" s="37" t="b">
        <v>1</v>
      </c>
      <c r="C339" s="38" t="s">
        <v>238</v>
      </c>
      <c r="D339" s="38">
        <v>81.0</v>
      </c>
      <c r="E339" s="13" t="b">
        <v>0</v>
      </c>
      <c r="F339" s="13" t="b">
        <v>1</v>
      </c>
      <c r="G339" s="38" t="s">
        <v>224</v>
      </c>
      <c r="H339" s="38"/>
      <c r="I339" s="38" t="s">
        <v>1476</v>
      </c>
      <c r="J339" s="38" t="s">
        <v>1477</v>
      </c>
      <c r="K339" s="38"/>
      <c r="L339" s="38"/>
      <c r="M339" s="38" t="s">
        <v>35</v>
      </c>
      <c r="N339" s="38">
        <v>2000.0</v>
      </c>
      <c r="O339" s="38" t="s">
        <v>644</v>
      </c>
      <c r="P339" s="40"/>
      <c r="Q339" s="38" t="s">
        <v>111</v>
      </c>
      <c r="R339" s="38">
        <v>41.0</v>
      </c>
      <c r="S339" s="61" t="s">
        <v>2774</v>
      </c>
      <c r="T339" s="38" t="s">
        <v>1424</v>
      </c>
      <c r="U339" s="38" t="s">
        <v>1265</v>
      </c>
      <c r="V339" s="55">
        <v>42408.0</v>
      </c>
      <c r="W339" s="38" t="s">
        <v>2775</v>
      </c>
      <c r="X339" s="49" t="str">
        <f>HYPERLINK("http://grist.org/climate-energy/7-smarter-ways-to-talk-about-climate-change/","http://grist.org/climate-energy/7-smarter-ways-to-talk-about-climate-change/")</f>
        <v>http://grist.org/climate-energy/7-smarter-ways-to-talk-about-climate-change/</v>
      </c>
      <c r="Y339" s="38"/>
      <c r="Z339" s="38"/>
      <c r="AA339" s="38"/>
      <c r="AB339" s="38"/>
      <c r="AC339" s="38"/>
      <c r="AD339" s="38"/>
      <c r="AE339" s="38"/>
      <c r="AF339" s="38"/>
      <c r="AG339" s="28"/>
      <c r="AH339" s="28"/>
      <c r="AI339" s="28"/>
      <c r="AJ339" s="28"/>
      <c r="AK339" s="28"/>
      <c r="AL339" s="28"/>
      <c r="AM339" s="28"/>
      <c r="AN339" s="28"/>
      <c r="AO339" s="28"/>
      <c r="AP339" s="28"/>
      <c r="AQ339" s="28"/>
      <c r="AR339" s="28"/>
      <c r="AS339" s="28"/>
      <c r="AT339" s="28"/>
      <c r="AU339" s="28"/>
      <c r="AV339" s="28"/>
      <c r="AW339" s="28"/>
      <c r="AX339" s="28"/>
      <c r="AY339" s="28" t="s">
        <v>428</v>
      </c>
      <c r="AZ339" s="28"/>
      <c r="BA339" s="28"/>
      <c r="BB339" s="28"/>
      <c r="BC339" s="28"/>
      <c r="BD339" s="28"/>
      <c r="BE339" s="28"/>
      <c r="BF339" s="28"/>
      <c r="BG339" s="28"/>
      <c r="BH339" s="28"/>
      <c r="BI339" s="28"/>
      <c r="BJ339" s="28"/>
      <c r="BK339" s="28"/>
      <c r="BL339" s="28"/>
      <c r="BM339" s="28"/>
      <c r="BN339" s="28"/>
      <c r="BO339" s="28"/>
    </row>
    <row r="340" ht="25.5" customHeight="1">
      <c r="A340" s="28">
        <v>10152.0</v>
      </c>
      <c r="B340" s="37" t="b">
        <v>1</v>
      </c>
      <c r="C340" s="38" t="s">
        <v>238</v>
      </c>
      <c r="D340" s="38">
        <v>81.0</v>
      </c>
      <c r="E340" s="13" t="b">
        <v>0</v>
      </c>
      <c r="F340" s="13" t="b">
        <v>1</v>
      </c>
      <c r="G340" s="38" t="s">
        <v>224</v>
      </c>
      <c r="H340" s="38"/>
      <c r="I340" s="38" t="s">
        <v>1331</v>
      </c>
      <c r="J340" s="38" t="s">
        <v>1371</v>
      </c>
      <c r="K340" s="38"/>
      <c r="L340" s="38"/>
      <c r="M340" s="38" t="s">
        <v>35</v>
      </c>
      <c r="N340" s="38">
        <v>2000.0</v>
      </c>
      <c r="O340" s="38" t="s">
        <v>1114</v>
      </c>
      <c r="P340" s="40"/>
      <c r="Q340" s="38" t="s">
        <v>289</v>
      </c>
      <c r="R340" s="38">
        <v>40.0</v>
      </c>
      <c r="S340" s="61" t="s">
        <v>2932</v>
      </c>
      <c r="T340" s="38" t="s">
        <v>1945</v>
      </c>
      <c r="U340" s="38" t="s">
        <v>1265</v>
      </c>
      <c r="V340" s="55">
        <v>42513.0</v>
      </c>
      <c r="W340" s="38" t="s">
        <v>2933</v>
      </c>
      <c r="X340" s="49" t="str">
        <f>HYPERLINK("http://grist.org/climate-energy/down-with-guilt-there-are-much-better-ways-to-get-people-to-act-on-climate-change/","http://grist.org/climate-energy/down-with-guilt-there-are-much-better-ways-to-get-people-to-act-on-climate-change/")</f>
        <v>http://grist.org/climate-energy/down-with-guilt-there-are-much-better-ways-to-get-people-to-act-on-climate-change/</v>
      </c>
      <c r="Y340" s="38"/>
      <c r="Z340" s="38"/>
      <c r="AA340" s="38"/>
      <c r="AB340" s="38"/>
      <c r="AC340" s="38"/>
      <c r="AD340" s="38"/>
      <c r="AE340" s="38"/>
      <c r="AF340" s="38"/>
      <c r="AG340" s="28"/>
      <c r="AH340" s="28"/>
      <c r="AI340" s="28"/>
      <c r="AJ340" s="28"/>
      <c r="AK340" s="28"/>
      <c r="AL340" s="28"/>
      <c r="AM340" s="28"/>
      <c r="AN340" s="28"/>
      <c r="AO340" s="28"/>
      <c r="AP340" s="28"/>
      <c r="AQ340" s="28"/>
      <c r="AR340" s="28"/>
      <c r="AS340" s="28"/>
      <c r="AT340" s="28"/>
      <c r="AU340" s="28"/>
      <c r="AV340" s="28"/>
      <c r="AW340" s="28"/>
      <c r="AX340" s="28"/>
      <c r="AY340" s="28" t="s">
        <v>428</v>
      </c>
      <c r="AZ340" s="28"/>
      <c r="BA340" s="28"/>
      <c r="BB340" s="28"/>
      <c r="BC340" s="28"/>
      <c r="BD340" s="28"/>
      <c r="BE340" s="28"/>
      <c r="BF340" s="28"/>
      <c r="BG340" s="28"/>
      <c r="BH340" s="28"/>
      <c r="BI340" s="28"/>
      <c r="BJ340" s="28"/>
      <c r="BK340" s="28"/>
      <c r="BL340" s="28"/>
      <c r="BM340" s="28"/>
      <c r="BN340" s="28"/>
      <c r="BO340" s="28"/>
    </row>
    <row r="341" ht="25.5" customHeight="1">
      <c r="A341" s="28">
        <v>10297.0</v>
      </c>
      <c r="B341" s="37" t="b">
        <v>1</v>
      </c>
      <c r="C341" s="38" t="s">
        <v>238</v>
      </c>
      <c r="D341" s="38">
        <v>81.0</v>
      </c>
      <c r="E341" s="13" t="b">
        <v>0</v>
      </c>
      <c r="F341" s="13" t="b">
        <v>1</v>
      </c>
      <c r="G341" s="38" t="s">
        <v>224</v>
      </c>
      <c r="H341" s="38"/>
      <c r="I341" s="38" t="s">
        <v>2696</v>
      </c>
      <c r="J341" s="38" t="s">
        <v>2698</v>
      </c>
      <c r="K341" s="38"/>
      <c r="L341" s="38"/>
      <c r="M341" s="38" t="s">
        <v>35</v>
      </c>
      <c r="N341" s="38">
        <v>2000.0</v>
      </c>
      <c r="O341" s="38" t="s">
        <v>644</v>
      </c>
      <c r="P341" s="40"/>
      <c r="Q341" s="38" t="s">
        <v>289</v>
      </c>
      <c r="R341" s="38">
        <v>40.0</v>
      </c>
      <c r="S341" s="61" t="s">
        <v>4140</v>
      </c>
      <c r="T341" s="38" t="s">
        <v>1424</v>
      </c>
      <c r="U341" s="38" t="s">
        <v>1265</v>
      </c>
      <c r="V341" s="55">
        <v>42467.0</v>
      </c>
      <c r="W341" s="38" t="s">
        <v>4141</v>
      </c>
      <c r="X341" s="49" t="str">
        <f>HYPERLINK("http://grist.org/climate-energy/heres-everything-we-know-about-how-to-talk-about-climate-change/","http://grist.org/climate-energy/heres-everything-we-know-about-how-to-talk-about-climate-change/")</f>
        <v>http://grist.org/climate-energy/heres-everything-we-know-about-how-to-talk-about-climate-change/</v>
      </c>
      <c r="Y341" s="38"/>
      <c r="Z341" s="38"/>
      <c r="AA341" s="38"/>
      <c r="AB341" s="38"/>
      <c r="AC341" s="38"/>
      <c r="AD341" s="38"/>
      <c r="AE341" s="38"/>
      <c r="AF341" s="38"/>
      <c r="AG341" s="28"/>
      <c r="AH341" s="28"/>
      <c r="AI341" s="28"/>
      <c r="AJ341" s="28"/>
      <c r="AK341" s="28"/>
      <c r="AL341" s="28"/>
      <c r="AM341" s="28"/>
      <c r="AN341" s="28"/>
      <c r="AO341" s="28"/>
      <c r="AP341" s="28"/>
      <c r="AQ341" s="28"/>
      <c r="AR341" s="28"/>
      <c r="AS341" s="28"/>
      <c r="AT341" s="28"/>
      <c r="AU341" s="28"/>
      <c r="AV341" s="28"/>
      <c r="AW341" s="28"/>
      <c r="AX341" s="28"/>
      <c r="AY341" s="28" t="s">
        <v>428</v>
      </c>
      <c r="AZ341" s="28"/>
      <c r="BA341" s="28"/>
      <c r="BB341" s="28"/>
      <c r="BC341" s="28"/>
      <c r="BD341" s="28"/>
      <c r="BE341" s="28"/>
      <c r="BF341" s="28"/>
      <c r="BG341" s="28"/>
      <c r="BH341" s="28"/>
      <c r="BI341" s="28"/>
      <c r="BJ341" s="28"/>
      <c r="BK341" s="28"/>
      <c r="BL341" s="28"/>
      <c r="BM341" s="28"/>
      <c r="BN341" s="28"/>
      <c r="BO341" s="28"/>
    </row>
    <row r="342" ht="25.5" customHeight="1">
      <c r="A342" s="28">
        <v>10337.0</v>
      </c>
      <c r="B342" s="37" t="b">
        <v>1</v>
      </c>
      <c r="C342" s="38" t="s">
        <v>238</v>
      </c>
      <c r="D342" s="38">
        <v>81.0</v>
      </c>
      <c r="E342" s="13" t="b">
        <v>0</v>
      </c>
      <c r="F342" s="13" t="b">
        <v>1</v>
      </c>
      <c r="G342" s="38" t="s">
        <v>224</v>
      </c>
      <c r="H342" s="38"/>
      <c r="I342" s="38" t="s">
        <v>280</v>
      </c>
      <c r="J342" s="38">
        <v>10.0</v>
      </c>
      <c r="K342" s="38"/>
      <c r="L342" s="38"/>
      <c r="M342" s="38" t="s">
        <v>35</v>
      </c>
      <c r="N342" s="38">
        <v>2000.0</v>
      </c>
      <c r="O342" s="38" t="s">
        <v>1114</v>
      </c>
      <c r="P342" s="40"/>
      <c r="Q342" s="38" t="s">
        <v>289</v>
      </c>
      <c r="R342" s="38">
        <v>40.0</v>
      </c>
      <c r="S342" s="38" t="s">
        <v>4145</v>
      </c>
      <c r="T342" s="38" t="s">
        <v>1945</v>
      </c>
      <c r="U342" s="38" t="s">
        <v>1265</v>
      </c>
      <c r="V342" s="55">
        <v>41816.0</v>
      </c>
      <c r="W342" s="38" t="s">
        <v>4146</v>
      </c>
      <c r="X342" s="49" t="str">
        <f>HYPERLINK("http://grist.org/climate-energy/to-motivate-climate-activists-use-optimism/","http://grist.org/climate-energy/to-motivate-climate-activists-use-optimism/")</f>
        <v>http://grist.org/climate-energy/to-motivate-climate-activists-use-optimism/</v>
      </c>
      <c r="Y342" s="38"/>
      <c r="Z342" s="38"/>
      <c r="AA342" s="38"/>
      <c r="AB342" s="38"/>
      <c r="AC342" s="38"/>
      <c r="AD342" s="38"/>
      <c r="AE342" s="38"/>
      <c r="AF342" s="38"/>
      <c r="AG342" s="28" t="s">
        <v>4147</v>
      </c>
      <c r="AH342" s="28" t="s">
        <v>462</v>
      </c>
      <c r="AI342" s="28" t="s">
        <v>462</v>
      </c>
      <c r="AJ342" s="28"/>
      <c r="AK342" s="28" t="s">
        <v>663</v>
      </c>
      <c r="AL342" s="28" t="s">
        <v>769</v>
      </c>
      <c r="AM342" s="28" t="s">
        <v>4149</v>
      </c>
      <c r="AN342" s="54">
        <v>42488.0</v>
      </c>
      <c r="AO342" s="54"/>
      <c r="AP342" s="28"/>
      <c r="AQ342" s="28" t="s">
        <v>2619</v>
      </c>
      <c r="AR342" s="28"/>
      <c r="AS342" s="54"/>
      <c r="AT342" s="28"/>
      <c r="AU342" s="28"/>
      <c r="AV342" s="28"/>
      <c r="AW342" s="28"/>
      <c r="AX342" s="28"/>
      <c r="AY342" s="28" t="s">
        <v>428</v>
      </c>
      <c r="AZ342" s="28"/>
      <c r="BA342" s="28"/>
      <c r="BB342" s="28"/>
      <c r="BC342" s="28"/>
      <c r="BD342" s="28"/>
      <c r="BE342" s="28"/>
      <c r="BF342" s="28"/>
      <c r="BG342" s="28"/>
      <c r="BH342" s="28"/>
      <c r="BI342" s="28"/>
      <c r="BJ342" s="28"/>
      <c r="BK342" s="28"/>
      <c r="BL342" s="28"/>
      <c r="BM342" s="28"/>
      <c r="BN342" s="28"/>
      <c r="BO342" s="28"/>
    </row>
    <row r="343" ht="25.5" customHeight="1">
      <c r="A343" s="28">
        <v>10392.0</v>
      </c>
      <c r="B343" s="37" t="b">
        <v>1</v>
      </c>
      <c r="C343" s="38" t="s">
        <v>238</v>
      </c>
      <c r="D343" s="38">
        <v>81.0</v>
      </c>
      <c r="E343" s="13" t="b">
        <v>0</v>
      </c>
      <c r="F343" s="13" t="b">
        <v>1</v>
      </c>
      <c r="G343" s="38" t="s">
        <v>224</v>
      </c>
      <c r="H343" s="38"/>
      <c r="I343" s="38" t="s">
        <v>3651</v>
      </c>
      <c r="J343" s="38" t="s">
        <v>1231</v>
      </c>
      <c r="K343" s="38"/>
      <c r="L343" s="38"/>
      <c r="M343" s="38" t="s">
        <v>35</v>
      </c>
      <c r="N343" s="38">
        <v>2000.0</v>
      </c>
      <c r="O343" s="38" t="s">
        <v>837</v>
      </c>
      <c r="P343" s="40">
        <v>2001.0</v>
      </c>
      <c r="Q343" s="38" t="s">
        <v>289</v>
      </c>
      <c r="R343" s="38">
        <v>40.0</v>
      </c>
      <c r="S343" s="38" t="s">
        <v>4151</v>
      </c>
      <c r="T343" s="38" t="s">
        <v>4152</v>
      </c>
      <c r="U343" s="38" t="s">
        <v>1265</v>
      </c>
      <c r="V343" s="55">
        <v>40572.0</v>
      </c>
      <c r="W343" s="38" t="s">
        <v>4153</v>
      </c>
      <c r="X343" s="49" t="str">
        <f>HYPERLINK("http://grist.org/article/2011-01-28-is-it-hot-in-here-or-is-the-climate-changing/","http://grist.org/article/2011-01-28-is-it-hot-in-here-or-is-the-climate-changing/")</f>
        <v>http://grist.org/article/2011-01-28-is-it-hot-in-here-or-is-the-climate-changing/</v>
      </c>
      <c r="Y343" s="38"/>
      <c r="Z343" s="38"/>
      <c r="AA343" s="38"/>
      <c r="AB343" s="38"/>
      <c r="AC343" s="38"/>
      <c r="AD343" s="38"/>
      <c r="AE343" s="38"/>
      <c r="AF343" s="38"/>
      <c r="AG343" s="28" t="s">
        <v>4155</v>
      </c>
      <c r="AH343" s="28" t="s">
        <v>462</v>
      </c>
      <c r="AI343" s="28" t="s">
        <v>462</v>
      </c>
      <c r="AJ343" s="28"/>
      <c r="AK343" s="28" t="s">
        <v>978</v>
      </c>
      <c r="AL343" s="28" t="s">
        <v>600</v>
      </c>
      <c r="AM343" s="28" t="s">
        <v>1105</v>
      </c>
      <c r="AN343" s="54" t="s">
        <v>1105</v>
      </c>
      <c r="AO343" s="54"/>
      <c r="AP343" s="28"/>
      <c r="AQ343" s="28" t="s">
        <v>769</v>
      </c>
      <c r="AR343" s="28"/>
      <c r="AS343" s="54">
        <v>41863.0</v>
      </c>
      <c r="AT343" s="28"/>
      <c r="AU343" s="28"/>
      <c r="AV343" s="28"/>
      <c r="AW343" s="28"/>
      <c r="AX343" s="28"/>
      <c r="AY343" s="28"/>
      <c r="AZ343" s="28" t="s">
        <v>4156</v>
      </c>
      <c r="BA343" s="28"/>
      <c r="BB343" s="28"/>
      <c r="BC343" s="28"/>
      <c r="BD343" s="28"/>
      <c r="BE343" s="28"/>
      <c r="BF343" s="28"/>
      <c r="BG343" s="28"/>
      <c r="BH343" s="28"/>
      <c r="BI343" s="28"/>
      <c r="BJ343" s="28"/>
      <c r="BK343" s="28"/>
      <c r="BL343" s="28"/>
      <c r="BM343" s="28"/>
      <c r="BN343" s="28"/>
      <c r="BO343" s="28"/>
    </row>
    <row r="344" ht="25.5" customHeight="1">
      <c r="A344" s="28">
        <v>10426.0</v>
      </c>
      <c r="B344" s="37" t="b">
        <v>1</v>
      </c>
      <c r="C344" s="38" t="s">
        <v>238</v>
      </c>
      <c r="D344" s="38">
        <v>81.0</v>
      </c>
      <c r="E344" s="13" t="b">
        <v>0</v>
      </c>
      <c r="F344" s="13" t="b">
        <v>1</v>
      </c>
      <c r="G344" s="38" t="s">
        <v>224</v>
      </c>
      <c r="H344" s="38"/>
      <c r="I344" s="38" t="s">
        <v>772</v>
      </c>
      <c r="J344" s="38">
        <v>5.0</v>
      </c>
      <c r="K344" s="38"/>
      <c r="L344" s="38"/>
      <c r="M344" s="38" t="s">
        <v>35</v>
      </c>
      <c r="N344" s="38">
        <v>2000.0</v>
      </c>
      <c r="O344" s="38" t="s">
        <v>644</v>
      </c>
      <c r="P344" s="40"/>
      <c r="Q344" s="38" t="s">
        <v>111</v>
      </c>
      <c r="R344" s="38">
        <v>41.0</v>
      </c>
      <c r="S344" s="61" t="s">
        <v>4161</v>
      </c>
      <c r="T344" s="38" t="s">
        <v>4162</v>
      </c>
      <c r="U344" s="38" t="s">
        <v>1265</v>
      </c>
      <c r="V344" s="55">
        <v>42521.0</v>
      </c>
      <c r="W344" s="38" t="s">
        <v>4166</v>
      </c>
      <c r="X344" s="49" t="str">
        <f>HYPERLINK("http://grist.org/climate-energy/watch-global-warming-spiral-out-of-control/","http://grist.org/climate-energy/watch-global-warming-spiral-out-of-control/")</f>
        <v>http://grist.org/climate-energy/watch-global-warming-spiral-out-of-control/</v>
      </c>
      <c r="Y344" s="38"/>
      <c r="Z344" s="38"/>
      <c r="AA344" s="38"/>
      <c r="AB344" s="38"/>
      <c r="AC344" s="38"/>
      <c r="AD344" s="38"/>
      <c r="AE344" s="38"/>
      <c r="AF344" s="38"/>
      <c r="AG344" s="28"/>
      <c r="AH344" s="28"/>
      <c r="AI344" s="28"/>
      <c r="AJ344" s="28"/>
      <c r="AK344" s="28"/>
      <c r="AL344" s="28" t="s">
        <v>769</v>
      </c>
      <c r="AM344" s="28" t="s">
        <v>4172</v>
      </c>
      <c r="AN344" s="54">
        <v>42697.0</v>
      </c>
      <c r="AO344" s="54"/>
      <c r="AP344" s="28"/>
      <c r="AQ344" s="28" t="s">
        <v>769</v>
      </c>
      <c r="AR344" s="28" t="s">
        <v>4172</v>
      </c>
      <c r="AS344" s="54">
        <v>42650.0</v>
      </c>
      <c r="AT344" s="28"/>
      <c r="AU344" s="28"/>
      <c r="AV344" s="28"/>
      <c r="AW344" s="28"/>
      <c r="AX344" s="28"/>
      <c r="AY344" s="28" t="s">
        <v>428</v>
      </c>
      <c r="AZ344" s="28"/>
      <c r="BA344" s="28"/>
      <c r="BB344" s="28"/>
      <c r="BC344" s="28"/>
      <c r="BD344" s="28"/>
      <c r="BE344" s="28"/>
      <c r="BF344" s="28"/>
      <c r="BG344" s="28"/>
      <c r="BH344" s="28"/>
      <c r="BI344" s="28"/>
      <c r="BJ344" s="28"/>
      <c r="BK344" s="28"/>
      <c r="BL344" s="28"/>
      <c r="BM344" s="28"/>
      <c r="BN344" s="28"/>
      <c r="BO344" s="28"/>
    </row>
    <row r="345" ht="25.5" customHeight="1">
      <c r="A345" s="28">
        <v>10435.0</v>
      </c>
      <c r="B345" s="37" t="b">
        <v>1</v>
      </c>
      <c r="C345" s="38" t="s">
        <v>238</v>
      </c>
      <c r="D345" s="38">
        <v>81.0</v>
      </c>
      <c r="E345" s="13" t="b">
        <v>0</v>
      </c>
      <c r="F345" s="13" t="b">
        <v>1</v>
      </c>
      <c r="G345" s="38" t="s">
        <v>224</v>
      </c>
      <c r="H345" s="38"/>
      <c r="I345" s="38" t="s">
        <v>772</v>
      </c>
      <c r="J345" s="38">
        <v>5.0</v>
      </c>
      <c r="K345" s="38"/>
      <c r="L345" s="38"/>
      <c r="M345" s="38" t="s">
        <v>35</v>
      </c>
      <c r="N345" s="38">
        <v>2000.0</v>
      </c>
      <c r="O345" s="38" t="s">
        <v>644</v>
      </c>
      <c r="P345" s="40"/>
      <c r="Q345" s="38" t="s">
        <v>289</v>
      </c>
      <c r="R345" s="38">
        <v>40.0</v>
      </c>
      <c r="S345" s="61" t="s">
        <v>4178</v>
      </c>
      <c r="T345" s="38" t="s">
        <v>1945</v>
      </c>
      <c r="U345" s="38" t="s">
        <v>1265</v>
      </c>
      <c r="V345" s="55">
        <v>42487.0</v>
      </c>
      <c r="W345" s="38" t="s">
        <v>4182</v>
      </c>
      <c r="X345" s="49" t="str">
        <f>HYPERLINK("http://grist.org/climate-energy/how-to-convince-the-climate-slacker-to-get-serious/","http://grist.org/climate-energy/how-to-convince-the-climate-slacker-to-get-serious/")</f>
        <v>http://grist.org/climate-energy/how-to-convince-the-climate-slacker-to-get-serious/</v>
      </c>
      <c r="Y345" s="38"/>
      <c r="Z345" s="38"/>
      <c r="AA345" s="38"/>
      <c r="AB345" s="38"/>
      <c r="AC345" s="38"/>
      <c r="AD345" s="38"/>
      <c r="AE345" s="38"/>
      <c r="AF345" s="38"/>
      <c r="AG345" s="28"/>
      <c r="AH345" s="28"/>
      <c r="AI345" s="28"/>
      <c r="AJ345" s="28"/>
      <c r="AK345" s="28"/>
      <c r="AL345" s="28"/>
      <c r="AM345" s="28"/>
      <c r="AN345" s="28"/>
      <c r="AO345" s="28"/>
      <c r="AP345" s="28"/>
      <c r="AQ345" s="28"/>
      <c r="AR345" s="28"/>
      <c r="AS345" s="28"/>
      <c r="AT345" s="28"/>
      <c r="AU345" s="28"/>
      <c r="AV345" s="28"/>
      <c r="AW345" s="28"/>
      <c r="AX345" s="28"/>
      <c r="AY345" s="28" t="s">
        <v>428</v>
      </c>
      <c r="AZ345" s="28"/>
      <c r="BA345" s="28"/>
      <c r="BB345" s="28"/>
      <c r="BC345" s="28"/>
      <c r="BD345" s="28"/>
      <c r="BE345" s="28"/>
      <c r="BF345" s="28"/>
      <c r="BG345" s="28"/>
      <c r="BH345" s="28"/>
      <c r="BI345" s="28"/>
      <c r="BJ345" s="28"/>
      <c r="BK345" s="28"/>
      <c r="BL345" s="28"/>
      <c r="BM345" s="28"/>
      <c r="BN345" s="28"/>
      <c r="BO345" s="28"/>
    </row>
    <row r="346" ht="25.5" customHeight="1">
      <c r="A346" s="28">
        <v>10436.0</v>
      </c>
      <c r="B346" s="37" t="b">
        <v>1</v>
      </c>
      <c r="C346" s="38" t="s">
        <v>238</v>
      </c>
      <c r="D346" s="38">
        <v>81.0</v>
      </c>
      <c r="E346" s="13" t="b">
        <v>0</v>
      </c>
      <c r="F346" s="13" t="b">
        <v>1</v>
      </c>
      <c r="G346" s="38" t="s">
        <v>224</v>
      </c>
      <c r="H346" s="38"/>
      <c r="I346" s="38" t="s">
        <v>772</v>
      </c>
      <c r="J346" s="38">
        <v>5.0</v>
      </c>
      <c r="K346" s="38"/>
      <c r="L346" s="38"/>
      <c r="M346" s="38" t="s">
        <v>35</v>
      </c>
      <c r="N346" s="38">
        <v>2000.0</v>
      </c>
      <c r="O346" s="38" t="s">
        <v>644</v>
      </c>
      <c r="P346" s="40"/>
      <c r="Q346" s="38" t="s">
        <v>111</v>
      </c>
      <c r="R346" s="38">
        <v>41.0</v>
      </c>
      <c r="S346" s="61" t="s">
        <v>4194</v>
      </c>
      <c r="T346" s="38" t="s">
        <v>1945</v>
      </c>
      <c r="U346" s="38" t="s">
        <v>1265</v>
      </c>
      <c r="V346" s="55">
        <v>42395.0</v>
      </c>
      <c r="W346" s="38" t="s">
        <v>4195</v>
      </c>
      <c r="X346" s="49" t="str">
        <f>HYPERLINK("http://grist.org/climate-energy/how-to-tell-the-story-of-climate-change-in-photos/","http://grist.org/climate-energy/how-to-tell-the-story-of-climate-change-in-photos/")</f>
        <v>http://grist.org/climate-energy/how-to-tell-the-story-of-climate-change-in-photos/</v>
      </c>
      <c r="Y346" s="38"/>
      <c r="Z346" s="38"/>
      <c r="AA346" s="38"/>
      <c r="AB346" s="38"/>
      <c r="AC346" s="38"/>
      <c r="AD346" s="38"/>
      <c r="AE346" s="38"/>
      <c r="AF346" s="38"/>
      <c r="AG346" s="28"/>
      <c r="AH346" s="28"/>
      <c r="AI346" s="28"/>
      <c r="AJ346" s="28"/>
      <c r="AK346" s="28"/>
      <c r="AL346" s="28"/>
      <c r="AM346" s="28"/>
      <c r="AN346" s="28"/>
      <c r="AO346" s="28"/>
      <c r="AP346" s="28"/>
      <c r="AQ346" s="28"/>
      <c r="AR346" s="28"/>
      <c r="AS346" s="28"/>
      <c r="AT346" s="28"/>
      <c r="AU346" s="28"/>
      <c r="AV346" s="28"/>
      <c r="AW346" s="28"/>
      <c r="AX346" s="28"/>
      <c r="AY346" s="28" t="s">
        <v>428</v>
      </c>
      <c r="AZ346" s="28"/>
      <c r="BA346" s="28"/>
      <c r="BB346" s="28"/>
      <c r="BC346" s="28"/>
      <c r="BD346" s="28"/>
      <c r="BE346" s="28"/>
      <c r="BF346" s="28"/>
      <c r="BG346" s="28"/>
      <c r="BH346" s="28"/>
      <c r="BI346" s="28"/>
      <c r="BJ346" s="28"/>
      <c r="BK346" s="28"/>
      <c r="BL346" s="28"/>
      <c r="BM346" s="28"/>
      <c r="BN346" s="28"/>
      <c r="BO346" s="28"/>
    </row>
    <row r="347" ht="25.5" customHeight="1">
      <c r="A347" s="28">
        <v>10206.0</v>
      </c>
      <c r="B347" s="37" t="b">
        <v>1</v>
      </c>
      <c r="C347" s="38" t="s">
        <v>238</v>
      </c>
      <c r="D347" s="38">
        <v>81.0</v>
      </c>
      <c r="E347" s="13" t="b">
        <v>0</v>
      </c>
      <c r="F347" s="13" t="b">
        <v>1</v>
      </c>
      <c r="G347" s="38" t="s">
        <v>224</v>
      </c>
      <c r="H347" s="38"/>
      <c r="I347" s="38" t="s">
        <v>1857</v>
      </c>
      <c r="J347" s="38">
        <v>1.0</v>
      </c>
      <c r="K347" s="38"/>
      <c r="L347" s="38"/>
      <c r="M347" s="38" t="s">
        <v>411</v>
      </c>
      <c r="N347" s="38">
        <v>21000.0</v>
      </c>
      <c r="O347" s="38" t="s">
        <v>3407</v>
      </c>
      <c r="P347" s="40"/>
      <c r="Q347" s="38" t="s">
        <v>289</v>
      </c>
      <c r="R347" s="38">
        <v>40.0</v>
      </c>
      <c r="S347" s="38" t="s">
        <v>3412</v>
      </c>
      <c r="T347" s="38" t="s">
        <v>3413</v>
      </c>
      <c r="U347" s="38" t="s">
        <v>1265</v>
      </c>
      <c r="V347" s="55">
        <v>42031.0</v>
      </c>
      <c r="W347" s="38" t="s">
        <v>3414</v>
      </c>
      <c r="X347" s="49" t="str">
        <f>HYPERLINK("http://grist.org/news/seattle-to-shame-residents-for-throwing-away-food/","http://grist.org/news/seattle-to-shame-residents-for-throwing-away-food/")</f>
        <v>http://grist.org/news/seattle-to-shame-residents-for-throwing-away-food/</v>
      </c>
      <c r="Y347" s="38"/>
      <c r="Z347" s="38"/>
      <c r="AA347" s="38"/>
      <c r="AB347" s="38"/>
      <c r="AC347" s="38"/>
      <c r="AD347" s="38"/>
      <c r="AE347" s="38"/>
      <c r="AF347" s="38"/>
      <c r="AG347" s="28"/>
      <c r="AH347" s="28" t="s">
        <v>462</v>
      </c>
      <c r="AI347" s="28" t="s">
        <v>462</v>
      </c>
      <c r="AJ347" s="28"/>
      <c r="AK347" s="28"/>
      <c r="AL347" s="28" t="s">
        <v>600</v>
      </c>
      <c r="AM347" s="28"/>
      <c r="AN347" s="54"/>
      <c r="AO347" s="54"/>
      <c r="AP347" s="28"/>
      <c r="AQ347" s="28"/>
      <c r="AR347" s="28"/>
      <c r="AS347" s="54"/>
      <c r="AT347" s="28" t="s">
        <v>1321</v>
      </c>
      <c r="AU347" s="54"/>
      <c r="AV347" s="28"/>
      <c r="AW347" s="28"/>
      <c r="AX347" s="28" t="s">
        <v>428</v>
      </c>
      <c r="AY347" s="28"/>
      <c r="AZ347" s="28"/>
      <c r="BA347" s="28"/>
      <c r="BB347" s="28"/>
      <c r="BC347" s="28"/>
      <c r="BD347" s="28"/>
      <c r="BE347" s="28"/>
      <c r="BF347" s="28"/>
      <c r="BG347" s="28"/>
      <c r="BH347" s="28"/>
      <c r="BI347" s="28"/>
      <c r="BJ347" s="28"/>
      <c r="BK347" s="28"/>
      <c r="BL347" s="28"/>
      <c r="BM347" s="28"/>
      <c r="BN347" s="28"/>
      <c r="BO347" s="28"/>
    </row>
    <row r="348" ht="25.5" customHeight="1">
      <c r="A348" s="28">
        <v>24.0</v>
      </c>
      <c r="B348" s="37" t="b">
        <v>1</v>
      </c>
      <c r="C348" s="38" t="s">
        <v>106</v>
      </c>
      <c r="D348" s="38">
        <v>80.0</v>
      </c>
      <c r="E348" s="13" t="b">
        <v>1</v>
      </c>
      <c r="F348" s="13" t="b">
        <v>0</v>
      </c>
      <c r="G348" s="38" t="s">
        <v>224</v>
      </c>
      <c r="H348" s="38"/>
      <c r="I348" s="38" t="s">
        <v>574</v>
      </c>
      <c r="J348" s="38">
        <v>4.0</v>
      </c>
      <c r="K348" s="38" t="s">
        <v>3706</v>
      </c>
      <c r="L348" s="38">
        <v>400.0</v>
      </c>
      <c r="M348" s="38" t="s">
        <v>35</v>
      </c>
      <c r="N348" s="38">
        <v>2000.0</v>
      </c>
      <c r="O348" s="38" t="s">
        <v>4056</v>
      </c>
      <c r="P348" s="40"/>
      <c r="Q348" s="38" t="s">
        <v>324</v>
      </c>
      <c r="R348" s="38" t="s">
        <v>325</v>
      </c>
      <c r="S348" s="38" t="s">
        <v>4057</v>
      </c>
      <c r="T348" s="38" t="s">
        <v>4058</v>
      </c>
      <c r="U348" s="38" t="s">
        <v>4059</v>
      </c>
      <c r="V348" s="38">
        <v>2012.0</v>
      </c>
      <c r="W348" s="38" t="s">
        <v>4062</v>
      </c>
      <c r="X348" s="38" t="s">
        <v>4063</v>
      </c>
      <c r="Y348" s="38"/>
      <c r="Z348" s="38"/>
      <c r="AA348" s="38"/>
      <c r="AB348" s="38"/>
      <c r="AC348" s="38"/>
      <c r="AD348" s="38"/>
      <c r="AE348" s="38"/>
      <c r="AF348" s="38"/>
      <c r="AG348" s="28"/>
      <c r="AH348" s="28" t="s">
        <v>4064</v>
      </c>
      <c r="AI348" s="28" t="s">
        <v>4065</v>
      </c>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row>
    <row r="349" ht="25.5" customHeight="1">
      <c r="A349" s="28">
        <v>117.0</v>
      </c>
      <c r="B349" s="37" t="b">
        <v>1</v>
      </c>
      <c r="C349" s="38" t="s">
        <v>106</v>
      </c>
      <c r="D349" s="38">
        <v>80.0</v>
      </c>
      <c r="E349" s="13" t="b">
        <v>1</v>
      </c>
      <c r="F349" s="13" t="b">
        <v>0</v>
      </c>
      <c r="G349" s="38" t="s">
        <v>284</v>
      </c>
      <c r="H349" s="38">
        <v>53.0</v>
      </c>
      <c r="I349" s="38" t="s">
        <v>224</v>
      </c>
      <c r="J349" s="38"/>
      <c r="K349" s="38" t="s">
        <v>224</v>
      </c>
      <c r="L349" s="38"/>
      <c r="M349" s="38" t="s">
        <v>1064</v>
      </c>
      <c r="N349" s="38" t="s">
        <v>1065</v>
      </c>
      <c r="O349" s="38" t="s">
        <v>4215</v>
      </c>
      <c r="P349" s="40"/>
      <c r="Q349" s="38" t="s">
        <v>289</v>
      </c>
      <c r="R349" s="38">
        <v>40.0</v>
      </c>
      <c r="S349" s="38" t="s">
        <v>4216</v>
      </c>
      <c r="T349" s="38" t="s">
        <v>2162</v>
      </c>
      <c r="U349" s="38" t="s">
        <v>4217</v>
      </c>
      <c r="V349" s="38">
        <v>2013.0</v>
      </c>
      <c r="W349" s="38" t="s">
        <v>4218</v>
      </c>
      <c r="X349" s="49" t="str">
        <f>HYPERLINK("https://www.hks.harvard.edu/index.php/content/download/70830/1256130/version/1/file/RPP_2013_1","https://www.hks.harvard.edu/index.php/content/download/70830/1256130/version/1/file/RPP_2013_1")</f>
        <v>https://www.hks.harvard.edu/index.php/content/download/70830/1256130/version/1/file/RPP_2013_1</v>
      </c>
      <c r="Y349" s="38"/>
      <c r="Z349" s="38"/>
      <c r="AA349" s="38"/>
      <c r="AB349" s="38"/>
      <c r="AC349" s="38"/>
      <c r="AD349" s="38"/>
      <c r="AE349" s="38"/>
      <c r="AF349" s="3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row>
    <row r="350" ht="25.5" customHeight="1">
      <c r="A350" s="28">
        <v>10456.0</v>
      </c>
      <c r="B350" s="37" t="b">
        <v>1</v>
      </c>
      <c r="C350" s="38" t="s">
        <v>238</v>
      </c>
      <c r="D350" s="38">
        <v>81.0</v>
      </c>
      <c r="E350" s="13" t="b">
        <v>0</v>
      </c>
      <c r="F350" s="13" t="b">
        <v>1</v>
      </c>
      <c r="G350" s="38" t="s">
        <v>224</v>
      </c>
      <c r="H350" s="38"/>
      <c r="I350" s="38" t="s">
        <v>1153</v>
      </c>
      <c r="J350" s="38">
        <v>6.0</v>
      </c>
      <c r="K350" s="47"/>
      <c r="L350" s="38"/>
      <c r="M350" s="38" t="s">
        <v>3072</v>
      </c>
      <c r="N350" s="38" t="s">
        <v>3073</v>
      </c>
      <c r="O350" s="38" t="s">
        <v>4222</v>
      </c>
      <c r="P350" s="40"/>
      <c r="Q350" s="38" t="s">
        <v>289</v>
      </c>
      <c r="R350" s="38">
        <v>40.0</v>
      </c>
      <c r="S350" s="61" t="s">
        <v>4223</v>
      </c>
      <c r="T350" s="38" t="s">
        <v>4224</v>
      </c>
      <c r="U350" s="38" t="s">
        <v>4225</v>
      </c>
      <c r="V350" s="55" t="s">
        <v>4226</v>
      </c>
      <c r="W350" s="38"/>
      <c r="X350" s="38" t="s">
        <v>4227</v>
      </c>
      <c r="Y350" s="38"/>
      <c r="Z350" s="38"/>
      <c r="AA350" s="38"/>
      <c r="AB350" s="38"/>
      <c r="AC350" s="38"/>
      <c r="AD350" s="38"/>
      <c r="AE350" s="38"/>
      <c r="AF350" s="3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row>
    <row r="351" ht="25.5" customHeight="1">
      <c r="A351" s="28">
        <v>172.0</v>
      </c>
      <c r="B351" s="37" t="b">
        <v>1</v>
      </c>
      <c r="C351" s="38" t="s">
        <v>106</v>
      </c>
      <c r="D351" s="38">
        <v>80.0</v>
      </c>
      <c r="E351" s="13" t="b">
        <v>0</v>
      </c>
      <c r="F351" s="13" t="b">
        <v>1</v>
      </c>
      <c r="G351" s="38" t="s">
        <v>224</v>
      </c>
      <c r="H351" s="38"/>
      <c r="I351" s="38" t="s">
        <v>429</v>
      </c>
      <c r="J351" s="38">
        <v>2.0</v>
      </c>
      <c r="K351" s="38" t="s">
        <v>524</v>
      </c>
      <c r="L351" s="38">
        <v>205.0</v>
      </c>
      <c r="M351" s="38" t="s">
        <v>107</v>
      </c>
      <c r="N351" s="38">
        <v>3000.0</v>
      </c>
      <c r="O351" s="38" t="s">
        <v>4228</v>
      </c>
      <c r="P351" s="40"/>
      <c r="Q351" s="38" t="s">
        <v>324</v>
      </c>
      <c r="R351" s="38" t="s">
        <v>325</v>
      </c>
      <c r="S351" s="38" t="s">
        <v>4229</v>
      </c>
      <c r="T351" s="38" t="s">
        <v>4230</v>
      </c>
      <c r="U351" s="38" t="s">
        <v>4231</v>
      </c>
      <c r="V351" s="38">
        <v>2013.0</v>
      </c>
      <c r="W351" s="38" t="s">
        <v>4232</v>
      </c>
      <c r="X351" s="38" t="s">
        <v>4233</v>
      </c>
      <c r="Y351" s="38"/>
      <c r="Z351" s="38"/>
      <c r="AA351" s="38"/>
      <c r="AB351" s="38"/>
      <c r="AC351" s="38"/>
      <c r="AD351" s="38"/>
      <c r="AE351" s="38"/>
      <c r="AF351" s="38"/>
      <c r="AG351" s="28"/>
      <c r="AH351" s="28" t="s">
        <v>462</v>
      </c>
      <c r="AI351" s="28" t="s">
        <v>462</v>
      </c>
      <c r="AJ351" s="28" t="s">
        <v>39</v>
      </c>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row>
    <row r="352" ht="25.5" customHeight="1">
      <c r="A352" s="28">
        <v>10184.0</v>
      </c>
      <c r="B352" s="37" t="b">
        <v>1</v>
      </c>
      <c r="C352" s="38" t="s">
        <v>238</v>
      </c>
      <c r="D352" s="38">
        <v>81.0</v>
      </c>
      <c r="E352" s="13" t="b">
        <v>0</v>
      </c>
      <c r="F352" s="13" t="b">
        <v>1</v>
      </c>
      <c r="G352" s="38" t="s">
        <v>224</v>
      </c>
      <c r="H352" s="38"/>
      <c r="I352" s="38" t="s">
        <v>265</v>
      </c>
      <c r="J352" s="38">
        <v>9.0</v>
      </c>
      <c r="K352" s="38"/>
      <c r="L352" s="38"/>
      <c r="M352" s="38" t="s">
        <v>388</v>
      </c>
      <c r="N352" s="38">
        <v>14000.0</v>
      </c>
      <c r="O352" s="38" t="s">
        <v>224</v>
      </c>
      <c r="P352" s="40"/>
      <c r="Q352" s="38" t="s">
        <v>289</v>
      </c>
      <c r="R352" s="38">
        <v>40.0</v>
      </c>
      <c r="S352" s="38" t="s">
        <v>3207</v>
      </c>
      <c r="T352" s="38" t="s">
        <v>577</v>
      </c>
      <c r="U352" s="38" t="s">
        <v>3208</v>
      </c>
      <c r="V352" s="55">
        <v>42599.0</v>
      </c>
      <c r="W352" s="38"/>
      <c r="X352" s="38" t="s">
        <v>3209</v>
      </c>
      <c r="Y352" s="38"/>
      <c r="Z352" s="38"/>
      <c r="AA352" s="38"/>
      <c r="AB352" s="38"/>
      <c r="AC352" s="38"/>
      <c r="AD352" s="38"/>
      <c r="AE352" s="38"/>
      <c r="AF352" s="38"/>
      <c r="AG352" s="28"/>
      <c r="AH352" s="28" t="s">
        <v>462</v>
      </c>
      <c r="AI352" s="28" t="s">
        <v>462</v>
      </c>
      <c r="AJ352" s="28"/>
      <c r="AK352" s="28"/>
      <c r="AL352" s="28"/>
      <c r="AM352" s="28"/>
      <c r="AN352" s="54"/>
      <c r="AO352" s="54"/>
      <c r="AP352" s="54"/>
      <c r="AQ352" s="28"/>
      <c r="AR352" s="28"/>
      <c r="AS352" s="54"/>
      <c r="AT352" s="28"/>
      <c r="AU352" s="28"/>
      <c r="AV352" s="28"/>
      <c r="AW352" s="28"/>
      <c r="AX352" s="28"/>
      <c r="AY352" s="28"/>
      <c r="AZ352" s="28" t="s">
        <v>3187</v>
      </c>
      <c r="BA352" s="28"/>
      <c r="BB352" s="28"/>
      <c r="BC352" s="28"/>
      <c r="BD352" s="28"/>
      <c r="BE352" s="28"/>
      <c r="BF352" s="28"/>
      <c r="BG352" s="28"/>
      <c r="BH352" s="28"/>
      <c r="BI352" s="28"/>
      <c r="BJ352" s="28"/>
      <c r="BK352" s="28"/>
      <c r="BL352" s="28"/>
      <c r="BM352" s="28"/>
      <c r="BN352" s="28"/>
      <c r="BO352" s="28"/>
    </row>
    <row r="353" ht="25.5" customHeight="1">
      <c r="A353" s="28">
        <v>127.0</v>
      </c>
      <c r="B353" s="37" t="b">
        <v>1</v>
      </c>
      <c r="C353" s="38" t="s">
        <v>106</v>
      </c>
      <c r="D353" s="38">
        <v>80.0</v>
      </c>
      <c r="E353" s="13" t="b">
        <v>1</v>
      </c>
      <c r="F353" s="13" t="b">
        <v>0</v>
      </c>
      <c r="G353" s="38" t="s">
        <v>284</v>
      </c>
      <c r="H353" s="38">
        <v>53.0</v>
      </c>
      <c r="I353" s="38" t="s">
        <v>224</v>
      </c>
      <c r="J353" s="38"/>
      <c r="K353" s="38" t="s">
        <v>224</v>
      </c>
      <c r="L353" s="38"/>
      <c r="M353" s="38" t="s">
        <v>35</v>
      </c>
      <c r="N353" s="38">
        <v>2000.0</v>
      </c>
      <c r="O353" s="38" t="s">
        <v>1114</v>
      </c>
      <c r="P353" s="40"/>
      <c r="Q353" s="38" t="s">
        <v>289</v>
      </c>
      <c r="R353" s="38">
        <v>40.0</v>
      </c>
      <c r="S353" s="38" t="s">
        <v>4234</v>
      </c>
      <c r="T353" s="38" t="s">
        <v>4235</v>
      </c>
      <c r="U353" s="38" t="s">
        <v>4236</v>
      </c>
      <c r="V353" s="38">
        <v>2005.0</v>
      </c>
      <c r="W353" s="38" t="s">
        <v>4237</v>
      </c>
      <c r="X353" s="38"/>
      <c r="Y353" s="38"/>
      <c r="Z353" s="38"/>
      <c r="AA353" s="38"/>
      <c r="AB353" s="38"/>
      <c r="AC353" s="38"/>
      <c r="AD353" s="38"/>
      <c r="AE353" s="38"/>
      <c r="AF353" s="3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row>
    <row r="354" ht="25.5" customHeight="1">
      <c r="A354" s="32">
        <v>20061.0</v>
      </c>
      <c r="B354" s="37" t="b">
        <v>1</v>
      </c>
      <c r="C354" s="62" t="s">
        <v>274</v>
      </c>
      <c r="D354" s="62">
        <v>82.0</v>
      </c>
      <c r="E354" s="13" t="b">
        <v>0</v>
      </c>
      <c r="F354" s="13" t="b">
        <v>1</v>
      </c>
      <c r="G354" s="62" t="s">
        <v>224</v>
      </c>
      <c r="H354" s="62"/>
      <c r="I354" s="62" t="s">
        <v>387</v>
      </c>
      <c r="J354" s="67">
        <v>8.0</v>
      </c>
      <c r="K354" s="133" t="s">
        <v>571</v>
      </c>
      <c r="L354" s="62">
        <v>800.0</v>
      </c>
      <c r="M354" s="62" t="s">
        <v>239</v>
      </c>
      <c r="N354" s="38">
        <v>4000.0</v>
      </c>
      <c r="O354" s="62" t="s">
        <v>70</v>
      </c>
      <c r="P354" s="58"/>
      <c r="Q354" s="62" t="s">
        <v>298</v>
      </c>
      <c r="R354" s="67"/>
      <c r="S354" s="62" t="s">
        <v>575</v>
      </c>
      <c r="T354" s="62" t="s">
        <v>188</v>
      </c>
      <c r="U354" s="62" t="s">
        <v>576</v>
      </c>
      <c r="V354" s="62" t="s">
        <v>577</v>
      </c>
      <c r="W354" s="62"/>
      <c r="X354" s="62" t="s">
        <v>579</v>
      </c>
      <c r="Y354" s="62" t="s">
        <v>572</v>
      </c>
      <c r="Z354" s="62" t="s">
        <v>573</v>
      </c>
      <c r="AA354" s="62"/>
      <c r="AB354" s="62" t="s">
        <v>580</v>
      </c>
      <c r="AC354" s="62" t="s">
        <v>188</v>
      </c>
      <c r="AD354" s="62" t="s">
        <v>581</v>
      </c>
      <c r="AE354" s="62"/>
      <c r="AF354" s="62" t="s">
        <v>582</v>
      </c>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v>4.0</v>
      </c>
      <c r="BD354" s="32" t="s">
        <v>583</v>
      </c>
      <c r="BE354" s="32" t="s">
        <v>114</v>
      </c>
      <c r="BF354" s="32"/>
      <c r="BG354" s="32"/>
      <c r="BH354" s="32"/>
      <c r="BI354" s="32"/>
      <c r="BJ354" s="32"/>
      <c r="BK354" s="32"/>
      <c r="BL354" s="32"/>
      <c r="BM354" s="32"/>
      <c r="BN354" s="32"/>
      <c r="BO354" s="32"/>
    </row>
    <row r="355" ht="25.5" customHeight="1">
      <c r="A355" s="28">
        <v>10416.0</v>
      </c>
      <c r="B355" s="37" t="b">
        <v>1</v>
      </c>
      <c r="C355" s="38" t="s">
        <v>238</v>
      </c>
      <c r="D355" s="38">
        <v>81.0</v>
      </c>
      <c r="E355" s="13" t="b">
        <v>0</v>
      </c>
      <c r="F355" s="13" t="b">
        <v>1</v>
      </c>
      <c r="G355" s="38" t="s">
        <v>224</v>
      </c>
      <c r="H355" s="38"/>
      <c r="I355" s="38" t="s">
        <v>1480</v>
      </c>
      <c r="J355" s="38">
        <v>8.0</v>
      </c>
      <c r="K355" s="38"/>
      <c r="L355" s="38"/>
      <c r="M355" s="38" t="s">
        <v>388</v>
      </c>
      <c r="N355" s="38">
        <v>14000.0</v>
      </c>
      <c r="O355" s="38" t="s">
        <v>224</v>
      </c>
      <c r="P355" s="40"/>
      <c r="Q355" s="38" t="s">
        <v>289</v>
      </c>
      <c r="R355" s="38">
        <v>40.0</v>
      </c>
      <c r="S355" s="38" t="s">
        <v>4251</v>
      </c>
      <c r="T355" s="38" t="s">
        <v>2604</v>
      </c>
      <c r="U355" s="38" t="s">
        <v>4252</v>
      </c>
      <c r="V355" s="55">
        <v>41002.0</v>
      </c>
      <c r="W355" s="38"/>
      <c r="X355" s="49" t="str">
        <f>HYPERLINK("http://www.helpscout.net/blog/the-psychology-of-personalization-how-waiters-increased-tips-by-23-percent-without-changing-service/","http://www.helpscout.net/blog/the-psychology-of-personalization-how-waiters-increased-tips-by-23-percent-without-changing-service/")</f>
        <v>http://www.helpscout.net/blog/the-psychology-of-personalization-how-waiters-increased-tips-by-23-percent-without-changing-service/</v>
      </c>
      <c r="Y355" s="38"/>
      <c r="Z355" s="38"/>
      <c r="AA355" s="38"/>
      <c r="AB355" s="38"/>
      <c r="AC355" s="38"/>
      <c r="AD355" s="38"/>
      <c r="AE355" s="38"/>
      <c r="AF355" s="38"/>
      <c r="AG355" s="28"/>
      <c r="AH355" s="28" t="s">
        <v>842</v>
      </c>
      <c r="AI355" s="28" t="s">
        <v>462</v>
      </c>
      <c r="AJ355" s="28"/>
      <c r="AK355" s="28"/>
      <c r="AL355" s="28" t="s">
        <v>677</v>
      </c>
      <c r="AM355" s="28"/>
      <c r="AN355" s="28"/>
      <c r="AO355" s="28"/>
      <c r="AP355" s="28"/>
      <c r="AQ355" s="28"/>
      <c r="AR355" s="28"/>
      <c r="AS355" s="28"/>
      <c r="AT355" s="28"/>
      <c r="AU355" s="28"/>
      <c r="AV355" s="28"/>
      <c r="AW355" s="28"/>
      <c r="AX355" s="28"/>
      <c r="AY355" s="28"/>
      <c r="AZ355" s="28" t="s">
        <v>657</v>
      </c>
      <c r="BA355" s="28"/>
      <c r="BB355" s="28"/>
      <c r="BC355" s="28"/>
      <c r="BD355" s="28"/>
      <c r="BE355" s="28"/>
      <c r="BF355" s="28"/>
      <c r="BG355" s="28"/>
      <c r="BH355" s="28"/>
      <c r="BI355" s="28"/>
      <c r="BJ355" s="28"/>
      <c r="BK355" s="28"/>
      <c r="BL355" s="28"/>
      <c r="BM355" s="28"/>
      <c r="BN355" s="28"/>
      <c r="BO355" s="28"/>
    </row>
    <row r="356" ht="25.5" customHeight="1">
      <c r="A356" s="28">
        <v>10348.0</v>
      </c>
      <c r="B356" s="37" t="b">
        <v>1</v>
      </c>
      <c r="C356" s="38" t="s">
        <v>238</v>
      </c>
      <c r="D356" s="38">
        <v>81.0</v>
      </c>
      <c r="E356" s="13" t="b">
        <v>0</v>
      </c>
      <c r="F356" s="13" t="b">
        <v>1</v>
      </c>
      <c r="G356" s="38" t="s">
        <v>224</v>
      </c>
      <c r="H356" s="38"/>
      <c r="I356" s="38" t="s">
        <v>280</v>
      </c>
      <c r="J356" s="38">
        <v>10.0</v>
      </c>
      <c r="K356" s="38"/>
      <c r="L356" s="38"/>
      <c r="M356" s="38" t="s">
        <v>4255</v>
      </c>
      <c r="N356" s="38" t="s">
        <v>4256</v>
      </c>
      <c r="O356" s="38" t="s">
        <v>4257</v>
      </c>
      <c r="P356" s="40"/>
      <c r="Q356" s="38" t="s">
        <v>289</v>
      </c>
      <c r="R356" s="38">
        <v>40.0</v>
      </c>
      <c r="S356" s="38" t="s">
        <v>4258</v>
      </c>
      <c r="T356" s="38" t="s">
        <v>215</v>
      </c>
      <c r="U356" s="38" t="s">
        <v>4259</v>
      </c>
      <c r="V356" s="55"/>
      <c r="W356" s="38" t="s">
        <v>4260</v>
      </c>
      <c r="X356" s="49" t="str">
        <f>HYPERLINK("http://www.hennepin.us/~/media/hennepinus/residents/recycling/recycle-everywhere/RecycleEverywhere_TipsTricks.pdf?la=en","http://www.hennepin.us/~/media/hennepinus/residents/recycling/recycle-everywhere/RecycleEverywhere_TipsTricks.pdf?la=en")</f>
        <v>http://www.hennepin.us/~/media/hennepinus/residents/recycling/recycle-everywhere/RecycleEverywhere_TipsTricks.pdf?la=en</v>
      </c>
      <c r="Y356" s="38"/>
      <c r="Z356" s="38"/>
      <c r="AA356" s="38"/>
      <c r="AB356" s="38"/>
      <c r="AC356" s="38"/>
      <c r="AD356" s="38"/>
      <c r="AE356" s="38"/>
      <c r="AF356" s="38"/>
      <c r="AG356" s="28"/>
      <c r="AH356" s="28"/>
      <c r="AI356" s="28"/>
      <c r="AJ356" s="28"/>
      <c r="AK356" s="28"/>
      <c r="AL356" s="28"/>
      <c r="AM356" s="28"/>
      <c r="AN356" s="28"/>
      <c r="AO356" s="28"/>
      <c r="AP356" s="28"/>
      <c r="AQ356" s="28"/>
      <c r="AR356" s="28"/>
      <c r="AS356" s="28"/>
      <c r="AT356" s="28"/>
      <c r="AU356" s="28"/>
      <c r="AV356" s="28"/>
      <c r="AW356" s="28"/>
      <c r="AX356" s="28"/>
      <c r="AY356" s="28"/>
      <c r="AZ356" s="28" t="s">
        <v>4261</v>
      </c>
      <c r="BA356" s="28"/>
      <c r="BB356" s="28"/>
      <c r="BC356" s="28"/>
      <c r="BD356" s="28"/>
      <c r="BE356" s="28"/>
      <c r="BF356" s="28"/>
      <c r="BG356" s="28"/>
      <c r="BH356" s="28"/>
      <c r="BI356" s="28"/>
      <c r="BJ356" s="28"/>
      <c r="BK356" s="28"/>
      <c r="BL356" s="28"/>
      <c r="BM356" s="28"/>
      <c r="BN356" s="28"/>
      <c r="BO356" s="28"/>
    </row>
    <row r="357" ht="25.5" customHeight="1">
      <c r="A357" s="28">
        <v>10423.0</v>
      </c>
      <c r="B357" s="37" t="b">
        <v>1</v>
      </c>
      <c r="C357" s="38" t="s">
        <v>238</v>
      </c>
      <c r="D357" s="38">
        <v>81.0</v>
      </c>
      <c r="E357" s="13" t="b">
        <v>0</v>
      </c>
      <c r="F357" s="13" t="b">
        <v>1</v>
      </c>
      <c r="G357" s="38" t="s">
        <v>224</v>
      </c>
      <c r="H357" s="38"/>
      <c r="I357" s="38" t="s">
        <v>1715</v>
      </c>
      <c r="J357" s="99" t="s">
        <v>1724</v>
      </c>
      <c r="K357" s="38"/>
      <c r="L357" s="38"/>
      <c r="M357" s="38" t="s">
        <v>395</v>
      </c>
      <c r="N357" s="38">
        <v>16000.0</v>
      </c>
      <c r="O357" s="38" t="s">
        <v>3572</v>
      </c>
      <c r="P357" s="40"/>
      <c r="Q357" s="38" t="s">
        <v>272</v>
      </c>
      <c r="R357" s="38">
        <v>42.0</v>
      </c>
      <c r="S357" s="38" t="s">
        <v>4263</v>
      </c>
      <c r="T357" s="38" t="s">
        <v>4264</v>
      </c>
      <c r="U357" s="38" t="s">
        <v>4265</v>
      </c>
      <c r="V357" s="55">
        <v>42184.0</v>
      </c>
      <c r="W357" s="38" t="s">
        <v>1510</v>
      </c>
      <c r="X357" s="49" t="str">
        <f>HYPERLINK("http://www.hongkongfp.com/2015/06/29/chinese-company-uses-smoke-art-to-warn-of-air-pollution-dangers/","http://www.hongkongfp.com/2015/06/29/chinese-company-uses-smoke-art-to-warn-of-air-pollution-dangers/")</f>
        <v>http://www.hongkongfp.com/2015/06/29/chinese-company-uses-smoke-art-to-warn-of-air-pollution-dangers/</v>
      </c>
      <c r="Y357" s="38"/>
      <c r="Z357" s="38"/>
      <c r="AA357" s="38"/>
      <c r="AB357" s="38"/>
      <c r="AC357" s="38"/>
      <c r="AD357" s="38"/>
      <c r="AE357" s="38"/>
      <c r="AF357" s="38"/>
      <c r="AG357" s="28"/>
      <c r="AH357" s="28" t="s">
        <v>462</v>
      </c>
      <c r="AI357" s="28" t="s">
        <v>462</v>
      </c>
      <c r="AJ357" s="28"/>
      <c r="AK357" s="28" t="s">
        <v>676</v>
      </c>
      <c r="AL357" s="28" t="s">
        <v>769</v>
      </c>
      <c r="AM357" s="28" t="s">
        <v>4266</v>
      </c>
      <c r="AN357" s="54">
        <v>42207.0</v>
      </c>
      <c r="AO357" s="54"/>
      <c r="AP357" s="28"/>
      <c r="AQ357" s="28" t="s">
        <v>769</v>
      </c>
      <c r="AR357" s="28"/>
      <c r="AS357" s="54">
        <v>42226.0</v>
      </c>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row>
    <row r="358" ht="25.5" customHeight="1">
      <c r="A358" s="28">
        <v>10408.0</v>
      </c>
      <c r="B358" s="37" t="b">
        <v>1</v>
      </c>
      <c r="C358" s="38" t="s">
        <v>238</v>
      </c>
      <c r="D358" s="38">
        <v>81.0</v>
      </c>
      <c r="E358" s="13" t="b">
        <v>0</v>
      </c>
      <c r="F358" s="13" t="b">
        <v>1</v>
      </c>
      <c r="G358" s="38" t="s">
        <v>224</v>
      </c>
      <c r="H358" s="38"/>
      <c r="I358" s="38" t="s">
        <v>387</v>
      </c>
      <c r="J358" s="38">
        <v>8.0</v>
      </c>
      <c r="K358" s="38"/>
      <c r="L358" s="38"/>
      <c r="M358" s="38" t="s">
        <v>35</v>
      </c>
      <c r="N358" s="38">
        <v>2000.0</v>
      </c>
      <c r="O358" s="38" t="s">
        <v>644</v>
      </c>
      <c r="P358" s="40"/>
      <c r="Q358" s="38" t="s">
        <v>289</v>
      </c>
      <c r="R358" s="38">
        <v>40.0</v>
      </c>
      <c r="S358" s="38" t="s">
        <v>4271</v>
      </c>
      <c r="T358" s="38" t="s">
        <v>4272</v>
      </c>
      <c r="U358" s="38" t="s">
        <v>1775</v>
      </c>
      <c r="V358" s="55">
        <v>42052.0</v>
      </c>
      <c r="W358" s="38" t="s">
        <v>4273</v>
      </c>
      <c r="X358" s="49" t="str">
        <f>HYPERLINK("http://www.huffingtonpost.com/miroslava-korenha/what-the-environmental-co_b_6350424.html","http://www.huffingtonpost.com/miroslava-korenha/what-the-environmental-co_b_6350424.html")</f>
        <v>http://www.huffingtonpost.com/miroslava-korenha/what-the-environmental-co_b_6350424.html</v>
      </c>
      <c r="Y358" s="38"/>
      <c r="Z358" s="38"/>
      <c r="AA358" s="38"/>
      <c r="AB358" s="38"/>
      <c r="AC358" s="38"/>
      <c r="AD358" s="38"/>
      <c r="AE358" s="38"/>
      <c r="AF358" s="38"/>
      <c r="AG358" s="28"/>
      <c r="AH358" s="28" t="s">
        <v>462</v>
      </c>
      <c r="AI358" s="28" t="s">
        <v>462</v>
      </c>
      <c r="AJ358" s="28"/>
      <c r="AK358" s="28">
        <v>3.0</v>
      </c>
      <c r="AL358" s="28" t="s">
        <v>769</v>
      </c>
      <c r="AM358" s="28" t="s">
        <v>4276</v>
      </c>
      <c r="AN358" s="54">
        <v>42459.0</v>
      </c>
      <c r="AO358" s="54"/>
      <c r="AP358" s="54"/>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row>
    <row r="359" ht="25.5" customHeight="1">
      <c r="A359" s="28">
        <v>10334.0</v>
      </c>
      <c r="B359" s="37" t="b">
        <v>1</v>
      </c>
      <c r="C359" s="38" t="s">
        <v>238</v>
      </c>
      <c r="D359" s="38">
        <v>81.0</v>
      </c>
      <c r="E359" s="13" t="b">
        <v>0</v>
      </c>
      <c r="F359" s="13" t="b">
        <v>1</v>
      </c>
      <c r="G359" s="38" t="s">
        <v>224</v>
      </c>
      <c r="H359" s="38"/>
      <c r="I359" s="38" t="s">
        <v>280</v>
      </c>
      <c r="J359" s="38">
        <v>10.0</v>
      </c>
      <c r="K359" s="38"/>
      <c r="L359" s="38"/>
      <c r="M359" s="38" t="s">
        <v>388</v>
      </c>
      <c r="N359" s="38">
        <v>14000.0</v>
      </c>
      <c r="O359" s="38" t="s">
        <v>224</v>
      </c>
      <c r="P359" s="40"/>
      <c r="Q359" s="38" t="s">
        <v>289</v>
      </c>
      <c r="R359" s="38">
        <v>40.0</v>
      </c>
      <c r="S359" s="38" t="s">
        <v>4279</v>
      </c>
      <c r="T359" s="38" t="s">
        <v>4280</v>
      </c>
      <c r="U359" s="38" t="s">
        <v>1775</v>
      </c>
      <c r="V359" s="55">
        <v>42220.0</v>
      </c>
      <c r="W359" s="38" t="s">
        <v>4282</v>
      </c>
      <c r="X359" s="38" t="s">
        <v>4283</v>
      </c>
      <c r="Y359" s="38"/>
      <c r="Z359" s="38"/>
      <c r="AA359" s="38"/>
      <c r="AB359" s="38"/>
      <c r="AC359" s="38"/>
      <c r="AD359" s="38"/>
      <c r="AE359" s="38"/>
      <c r="AF359" s="38"/>
      <c r="AG359" s="28"/>
      <c r="AH359" s="28"/>
      <c r="AI359" s="28"/>
      <c r="AJ359" s="28"/>
      <c r="AK359" s="28"/>
      <c r="AL359" s="28"/>
      <c r="AM359" s="28"/>
      <c r="AN359" s="28"/>
      <c r="AO359" s="28"/>
      <c r="AP359" s="28"/>
      <c r="AQ359" s="28"/>
      <c r="AR359" s="28"/>
      <c r="AS359" s="28"/>
      <c r="AT359" s="28"/>
      <c r="AU359" s="28"/>
      <c r="AV359" s="28"/>
      <c r="AW359" s="28"/>
      <c r="AX359" s="28"/>
      <c r="AY359" s="28"/>
      <c r="AZ359" s="28" t="s">
        <v>2456</v>
      </c>
      <c r="BA359" s="28"/>
      <c r="BB359" s="28"/>
      <c r="BC359" s="28"/>
      <c r="BD359" s="28"/>
      <c r="BE359" s="28"/>
      <c r="BF359" s="28"/>
      <c r="BG359" s="28"/>
      <c r="BH359" s="28"/>
      <c r="BI359" s="28"/>
      <c r="BJ359" s="28"/>
      <c r="BK359" s="28"/>
      <c r="BL359" s="28"/>
      <c r="BM359" s="28"/>
      <c r="BN359" s="28"/>
      <c r="BO359" s="28"/>
    </row>
    <row r="360" ht="25.5" customHeight="1">
      <c r="A360" s="32">
        <v>20014.0</v>
      </c>
      <c r="B360" s="37" t="b">
        <v>1</v>
      </c>
      <c r="C360" s="62" t="s">
        <v>274</v>
      </c>
      <c r="D360" s="62">
        <v>82.0</v>
      </c>
      <c r="E360" s="13" t="b">
        <v>0</v>
      </c>
      <c r="F360" s="13" t="b">
        <v>1</v>
      </c>
      <c r="G360" s="62" t="s">
        <v>224</v>
      </c>
      <c r="H360" s="62"/>
      <c r="I360" s="62" t="s">
        <v>196</v>
      </c>
      <c r="J360" s="67">
        <v>1.0</v>
      </c>
      <c r="K360" s="62" t="s">
        <v>219</v>
      </c>
      <c r="L360" s="62">
        <v>105.0</v>
      </c>
      <c r="M360" s="38" t="s">
        <v>411</v>
      </c>
      <c r="N360" s="38">
        <v>21000.0</v>
      </c>
      <c r="O360" s="62" t="s">
        <v>225</v>
      </c>
      <c r="P360" s="58"/>
      <c r="Q360" s="62" t="s">
        <v>227</v>
      </c>
      <c r="R360" s="67"/>
      <c r="S360" s="62" t="s">
        <v>232</v>
      </c>
      <c r="T360" s="62" t="s">
        <v>233</v>
      </c>
      <c r="U360" s="62" t="s">
        <v>234</v>
      </c>
      <c r="V360" s="68">
        <v>41845.0</v>
      </c>
      <c r="W360" s="62"/>
      <c r="X360" s="62" t="s">
        <v>235</v>
      </c>
      <c r="Y360" s="62" t="s">
        <v>231</v>
      </c>
      <c r="Z360" s="62"/>
      <c r="AA360" s="62"/>
      <c r="AB360" s="62"/>
      <c r="AC360" s="62"/>
      <c r="AD360" s="62"/>
      <c r="AE360" s="62"/>
      <c r="AF360" s="6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c r="BC360" s="32">
        <v>3.0</v>
      </c>
      <c r="BD360" s="32" t="s">
        <v>236</v>
      </c>
      <c r="BE360" s="32" t="s">
        <v>114</v>
      </c>
      <c r="BF360" s="32"/>
      <c r="BG360" s="32"/>
      <c r="BH360" s="32"/>
      <c r="BI360" s="32"/>
      <c r="BJ360" s="32"/>
      <c r="BK360" s="32"/>
      <c r="BL360" s="32"/>
      <c r="BM360" s="32"/>
      <c r="BN360" s="32"/>
      <c r="BO360" s="32"/>
    </row>
    <row r="361" ht="25.5" customHeight="1">
      <c r="A361" s="28">
        <v>49.0</v>
      </c>
      <c r="B361" s="37" t="b">
        <v>1</v>
      </c>
      <c r="C361" s="38" t="s">
        <v>106</v>
      </c>
      <c r="D361" s="38">
        <v>80.0</v>
      </c>
      <c r="E361" s="13" t="b">
        <v>0</v>
      </c>
      <c r="F361" s="13" t="b">
        <v>1</v>
      </c>
      <c r="G361" s="38" t="s">
        <v>224</v>
      </c>
      <c r="H361" s="38"/>
      <c r="I361" s="38" t="s">
        <v>3169</v>
      </c>
      <c r="J361" s="38" t="s">
        <v>2695</v>
      </c>
      <c r="K361" s="38" t="s">
        <v>4196</v>
      </c>
      <c r="L361" s="38" t="s">
        <v>4286</v>
      </c>
      <c r="M361" s="38" t="s">
        <v>419</v>
      </c>
      <c r="N361" s="38">
        <v>23000.0</v>
      </c>
      <c r="O361" s="38" t="s">
        <v>2293</v>
      </c>
      <c r="P361" s="40"/>
      <c r="Q361" s="38" t="s">
        <v>289</v>
      </c>
      <c r="R361" s="38">
        <v>40.0</v>
      </c>
      <c r="S361" s="38" t="s">
        <v>4197</v>
      </c>
      <c r="T361" s="38" t="s">
        <v>4198</v>
      </c>
      <c r="U361" s="38" t="s">
        <v>4199</v>
      </c>
      <c r="V361" s="38">
        <v>2009.0</v>
      </c>
      <c r="W361" s="38" t="s">
        <v>4200</v>
      </c>
      <c r="X361" s="38" t="s">
        <v>4201</v>
      </c>
      <c r="Y361" s="38"/>
      <c r="Z361" s="38"/>
      <c r="AA361" s="38"/>
      <c r="AB361" s="38"/>
      <c r="AC361" s="38"/>
      <c r="AD361" s="38"/>
      <c r="AE361" s="38"/>
      <c r="AF361" s="38"/>
      <c r="AG361" s="28"/>
      <c r="AH361" s="28" t="s">
        <v>462</v>
      </c>
      <c r="AI361" s="28" t="s">
        <v>462</v>
      </c>
      <c r="AJ361" s="28"/>
      <c r="AK361" s="28"/>
      <c r="AL361" s="28"/>
      <c r="AM361" s="28"/>
      <c r="AN361" s="28"/>
      <c r="AO361" s="28"/>
      <c r="AP361" s="28"/>
      <c r="AQ361" s="28"/>
      <c r="AR361" s="28"/>
      <c r="AS361" s="28"/>
      <c r="AT361" s="28"/>
      <c r="AU361" s="28"/>
      <c r="AV361" s="28"/>
      <c r="AW361" s="28"/>
      <c r="AX361" s="28"/>
      <c r="AY361" s="28"/>
      <c r="AZ361" s="28"/>
      <c r="BA361" s="28" t="s">
        <v>2312</v>
      </c>
      <c r="BB361" s="28"/>
      <c r="BC361" s="28"/>
      <c r="BD361" s="28"/>
      <c r="BE361" s="28"/>
      <c r="BF361" s="28"/>
      <c r="BG361" s="28"/>
      <c r="BH361" s="28"/>
      <c r="BI361" s="28"/>
      <c r="BJ361" s="28"/>
      <c r="BK361" s="28"/>
      <c r="BL361" s="28"/>
      <c r="BM361" s="28"/>
      <c r="BN361" s="28"/>
      <c r="BO361" s="28"/>
    </row>
    <row r="362" ht="25.5" customHeight="1">
      <c r="A362" s="28">
        <v>320.0</v>
      </c>
      <c r="B362" s="37" t="b">
        <v>1</v>
      </c>
      <c r="C362" s="38" t="s">
        <v>106</v>
      </c>
      <c r="D362" s="38">
        <v>80.0</v>
      </c>
      <c r="E362" s="13" t="b">
        <v>0</v>
      </c>
      <c r="F362" s="13" t="b">
        <v>1</v>
      </c>
      <c r="G362" s="38" t="s">
        <v>224</v>
      </c>
      <c r="H362" s="38"/>
      <c r="I362" s="38" t="s">
        <v>490</v>
      </c>
      <c r="J362" s="38">
        <v>6.0</v>
      </c>
      <c r="K362" s="38" t="s">
        <v>776</v>
      </c>
      <c r="L362" s="38">
        <v>602.0</v>
      </c>
      <c r="M362" s="38" t="s">
        <v>367</v>
      </c>
      <c r="N362" s="38">
        <v>11000.0</v>
      </c>
      <c r="O362" s="38" t="s">
        <v>4296</v>
      </c>
      <c r="P362" s="40"/>
      <c r="Q362" s="38" t="s">
        <v>111</v>
      </c>
      <c r="R362" s="38">
        <v>41.0</v>
      </c>
      <c r="S362" s="38" t="s">
        <v>4297</v>
      </c>
      <c r="T362" s="38" t="s">
        <v>4298</v>
      </c>
      <c r="U362" s="38" t="s">
        <v>4299</v>
      </c>
      <c r="V362" s="38">
        <v>2009.0</v>
      </c>
      <c r="W362" s="38" t="s">
        <v>4302</v>
      </c>
      <c r="X362" s="38"/>
      <c r="Y362" s="38"/>
      <c r="Z362" s="38"/>
      <c r="AA362" s="38"/>
      <c r="AB362" s="38"/>
      <c r="AC362" s="38"/>
      <c r="AD362" s="38"/>
      <c r="AE362" s="38"/>
      <c r="AF362" s="38"/>
      <c r="AG362" s="28" t="s">
        <v>4303</v>
      </c>
      <c r="AH362" s="28"/>
      <c r="AI362" s="28"/>
      <c r="AJ362" s="28" t="s">
        <v>3233</v>
      </c>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row>
    <row r="363" ht="25.5" customHeight="1">
      <c r="A363" s="28">
        <v>147.0</v>
      </c>
      <c r="B363" s="37" t="b">
        <v>1</v>
      </c>
      <c r="C363" s="38" t="s">
        <v>106</v>
      </c>
      <c r="D363" s="38">
        <v>80.0</v>
      </c>
      <c r="E363" s="13" t="b">
        <v>1</v>
      </c>
      <c r="F363" s="13" t="b">
        <v>0</v>
      </c>
      <c r="G363" s="38" t="s">
        <v>284</v>
      </c>
      <c r="H363" s="38">
        <v>53.0</v>
      </c>
      <c r="I363" s="38" t="s">
        <v>224</v>
      </c>
      <c r="J363" s="38"/>
      <c r="K363" s="47" t="s">
        <v>224</v>
      </c>
      <c r="L363" s="38"/>
      <c r="M363" s="38" t="s">
        <v>1044</v>
      </c>
      <c r="N363" s="38" t="s">
        <v>1045</v>
      </c>
      <c r="O363" s="38" t="s">
        <v>4311</v>
      </c>
      <c r="P363" s="40"/>
      <c r="Q363" s="38" t="s">
        <v>289</v>
      </c>
      <c r="R363" s="38">
        <v>40.0</v>
      </c>
      <c r="S363" s="38" t="s">
        <v>4313</v>
      </c>
      <c r="T363" s="38" t="s">
        <v>4314</v>
      </c>
      <c r="U363" s="38" t="s">
        <v>4189</v>
      </c>
      <c r="V363" s="38">
        <v>2000.0</v>
      </c>
      <c r="W363" s="38" t="s">
        <v>4316</v>
      </c>
      <c r="X363" s="38"/>
      <c r="Y363" s="38"/>
      <c r="Z363" s="38"/>
      <c r="AA363" s="38"/>
      <c r="AB363" s="38"/>
      <c r="AC363" s="38"/>
      <c r="AD363" s="38"/>
      <c r="AE363" s="38"/>
      <c r="AF363" s="3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row>
    <row r="364" ht="25.5" customHeight="1">
      <c r="A364" s="28">
        <v>47.0</v>
      </c>
      <c r="B364" s="37" t="b">
        <v>1</v>
      </c>
      <c r="C364" s="38" t="s">
        <v>106</v>
      </c>
      <c r="D364" s="38">
        <v>80.0</v>
      </c>
      <c r="E364" s="13" t="b">
        <v>0</v>
      </c>
      <c r="F364" s="13" t="b">
        <v>1</v>
      </c>
      <c r="G364" s="38" t="s">
        <v>224</v>
      </c>
      <c r="H364" s="38"/>
      <c r="I364" s="38" t="s">
        <v>4183</v>
      </c>
      <c r="J364" s="38" t="s">
        <v>4184</v>
      </c>
      <c r="K364" s="38" t="s">
        <v>224</v>
      </c>
      <c r="L364" s="38"/>
      <c r="M364" s="38" t="s">
        <v>4320</v>
      </c>
      <c r="N364" s="38" t="s">
        <v>4186</v>
      </c>
      <c r="O364" s="38" t="s">
        <v>4185</v>
      </c>
      <c r="P364" s="40"/>
      <c r="Q364" s="38" t="s">
        <v>289</v>
      </c>
      <c r="R364" s="38">
        <v>40.0</v>
      </c>
      <c r="S364" s="38" t="s">
        <v>4187</v>
      </c>
      <c r="T364" s="38" t="s">
        <v>4188</v>
      </c>
      <c r="U364" s="38" t="s">
        <v>4189</v>
      </c>
      <c r="V364" s="38">
        <v>2003.0</v>
      </c>
      <c r="W364" s="38" t="s">
        <v>4191</v>
      </c>
      <c r="X364" s="38"/>
      <c r="Y364" s="38"/>
      <c r="Z364" s="38"/>
      <c r="AA364" s="38"/>
      <c r="AB364" s="38"/>
      <c r="AC364" s="38"/>
      <c r="AD364" s="38"/>
      <c r="AE364" s="38"/>
      <c r="AF364" s="3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row>
    <row r="365" ht="25.5" customHeight="1">
      <c r="A365" s="28">
        <v>33.0</v>
      </c>
      <c r="B365" s="37" t="b">
        <v>1</v>
      </c>
      <c r="C365" s="38" t="s">
        <v>106</v>
      </c>
      <c r="D365" s="38">
        <v>80.0</v>
      </c>
      <c r="E365" s="13" t="b">
        <v>0</v>
      </c>
      <c r="F365" s="13" t="b">
        <v>1</v>
      </c>
      <c r="G365" s="38" t="s">
        <v>224</v>
      </c>
      <c r="H365" s="38"/>
      <c r="I365" s="38" t="s">
        <v>574</v>
      </c>
      <c r="J365" s="38">
        <v>4.0</v>
      </c>
      <c r="K365" s="38" t="s">
        <v>224</v>
      </c>
      <c r="L365" s="38"/>
      <c r="M365" s="38" t="s">
        <v>388</v>
      </c>
      <c r="N365" s="38">
        <v>14000.0</v>
      </c>
      <c r="O365" s="38" t="s">
        <v>224</v>
      </c>
      <c r="P365" s="40"/>
      <c r="Q365" s="38" t="s">
        <v>687</v>
      </c>
      <c r="R365" s="38" t="s">
        <v>688</v>
      </c>
      <c r="S365" s="38" t="s">
        <v>4094</v>
      </c>
      <c r="T365" s="38" t="s">
        <v>4095</v>
      </c>
      <c r="U365" s="38" t="s">
        <v>4096</v>
      </c>
      <c r="V365" s="38">
        <v>2007.0</v>
      </c>
      <c r="W365" s="38" t="s">
        <v>4100</v>
      </c>
      <c r="X365" s="38" t="s">
        <v>4101</v>
      </c>
      <c r="Y365" s="38"/>
      <c r="Z365" s="38"/>
      <c r="AA365" s="38"/>
      <c r="AB365" s="38"/>
      <c r="AC365" s="38"/>
      <c r="AD365" s="38"/>
      <c r="AE365" s="38"/>
      <c r="AF365" s="38"/>
      <c r="AG365" s="28"/>
      <c r="AH365" s="28" t="s">
        <v>462</v>
      </c>
      <c r="AI365" s="28" t="s">
        <v>462</v>
      </c>
      <c r="AJ365" s="28" t="s">
        <v>4102</v>
      </c>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row>
    <row r="366" ht="25.5" customHeight="1">
      <c r="A366" s="28">
        <v>166.0</v>
      </c>
      <c r="B366" s="37" t="b">
        <v>1</v>
      </c>
      <c r="C366" s="38" t="s">
        <v>106</v>
      </c>
      <c r="D366" s="38">
        <v>80.0</v>
      </c>
      <c r="E366" s="13" t="b">
        <v>1</v>
      </c>
      <c r="F366" s="13" t="b">
        <v>1</v>
      </c>
      <c r="G366" s="38" t="s">
        <v>224</v>
      </c>
      <c r="H366" s="38"/>
      <c r="I366" s="38" t="s">
        <v>429</v>
      </c>
      <c r="J366" s="38">
        <v>2.0</v>
      </c>
      <c r="K366" s="38" t="s">
        <v>524</v>
      </c>
      <c r="L366" s="62">
        <v>205.0</v>
      </c>
      <c r="M366" s="38" t="s">
        <v>4328</v>
      </c>
      <c r="N366" s="38" t="s">
        <v>4329</v>
      </c>
      <c r="O366" s="38" t="s">
        <v>4331</v>
      </c>
      <c r="P366" s="40"/>
      <c r="Q366" s="38" t="s">
        <v>289</v>
      </c>
      <c r="R366" s="38">
        <v>40.0</v>
      </c>
      <c r="S366" s="38" t="s">
        <v>4332</v>
      </c>
      <c r="T366" s="38" t="s">
        <v>4333</v>
      </c>
      <c r="U366" s="38" t="s">
        <v>4334</v>
      </c>
      <c r="V366" s="38">
        <v>2014.0</v>
      </c>
      <c r="W366" s="38" t="s">
        <v>4341</v>
      </c>
      <c r="X366" s="38" t="s">
        <v>4343</v>
      </c>
      <c r="Y366" s="38"/>
      <c r="Z366" s="38"/>
      <c r="AA366" s="38"/>
      <c r="AB366" s="38"/>
      <c r="AC366" s="38"/>
      <c r="AD366" s="38"/>
      <c r="AE366" s="38"/>
      <c r="AF366" s="38"/>
      <c r="AG366" s="28"/>
      <c r="AH366" s="28" t="s">
        <v>428</v>
      </c>
      <c r="AI366" s="28" t="s">
        <v>462</v>
      </c>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row>
    <row r="367" ht="25.5" customHeight="1">
      <c r="A367" s="28">
        <v>10344.0</v>
      </c>
      <c r="B367" s="37" t="b">
        <v>1</v>
      </c>
      <c r="C367" s="38" t="s">
        <v>238</v>
      </c>
      <c r="D367" s="38">
        <v>81.0</v>
      </c>
      <c r="E367" s="13" t="b">
        <v>0</v>
      </c>
      <c r="F367" s="13" t="b">
        <v>1</v>
      </c>
      <c r="G367" s="38" t="s">
        <v>224</v>
      </c>
      <c r="H367" s="38"/>
      <c r="I367" s="38" t="s">
        <v>280</v>
      </c>
      <c r="J367" s="38">
        <v>10.0</v>
      </c>
      <c r="K367" s="38"/>
      <c r="L367" s="38"/>
      <c r="M367" s="38" t="s">
        <v>388</v>
      </c>
      <c r="N367" s="38">
        <v>14000.0</v>
      </c>
      <c r="O367" s="38" t="s">
        <v>224</v>
      </c>
      <c r="P367" s="40"/>
      <c r="Q367" s="38" t="s">
        <v>289</v>
      </c>
      <c r="R367" s="38">
        <v>40.0</v>
      </c>
      <c r="S367" s="38" t="s">
        <v>4345</v>
      </c>
      <c r="T367" s="38" t="s">
        <v>4346</v>
      </c>
      <c r="U367" s="38" t="s">
        <v>4347</v>
      </c>
      <c r="V367" s="55">
        <v>41210.0</v>
      </c>
      <c r="W367" s="38" t="s">
        <v>4348</v>
      </c>
      <c r="X367" s="38" t="s">
        <v>4349</v>
      </c>
      <c r="Y367" s="38"/>
      <c r="Z367" s="38"/>
      <c r="AA367" s="38"/>
      <c r="AB367" s="38"/>
      <c r="AC367" s="38"/>
      <c r="AD367" s="38"/>
      <c r="AE367" s="38"/>
      <c r="AF367" s="3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row>
    <row r="368" ht="25.5" customHeight="1">
      <c r="A368" s="28">
        <v>10306.0</v>
      </c>
      <c r="B368" s="37" t="b">
        <v>1</v>
      </c>
      <c r="C368" s="38" t="s">
        <v>238</v>
      </c>
      <c r="D368" s="38">
        <v>81.0</v>
      </c>
      <c r="E368" s="13" t="b">
        <v>0</v>
      </c>
      <c r="F368" s="13" t="b">
        <v>1</v>
      </c>
      <c r="G368" s="38" t="s">
        <v>224</v>
      </c>
      <c r="H368" s="38"/>
      <c r="I368" s="38" t="s">
        <v>490</v>
      </c>
      <c r="J368" s="38">
        <v>6.0</v>
      </c>
      <c r="K368" s="38"/>
      <c r="L368" s="38"/>
      <c r="M368" s="38" t="s">
        <v>388</v>
      </c>
      <c r="N368" s="38">
        <v>14000.0</v>
      </c>
      <c r="O368" s="38" t="s">
        <v>224</v>
      </c>
      <c r="P368" s="40"/>
      <c r="Q368" s="38" t="s">
        <v>289</v>
      </c>
      <c r="R368" s="38">
        <v>40.0</v>
      </c>
      <c r="S368" s="38" t="s">
        <v>4253</v>
      </c>
      <c r="T368" s="38" t="s">
        <v>4254</v>
      </c>
      <c r="U368" s="38" t="s">
        <v>2116</v>
      </c>
      <c r="V368" s="55">
        <v>41995.0</v>
      </c>
      <c r="W368" s="38"/>
      <c r="X368" s="49" t="str">
        <f>HYPERLINK("http://ideas.ted.com/the-science-of-setting-goals/","http://ideas.ted.com/the-science-of-setting-goals/")</f>
        <v>http://ideas.ted.com/the-science-of-setting-goals/</v>
      </c>
      <c r="Y368" s="38"/>
      <c r="Z368" s="38"/>
      <c r="AA368" s="38"/>
      <c r="AB368" s="38"/>
      <c r="AC368" s="38"/>
      <c r="AD368" s="38"/>
      <c r="AE368" s="38"/>
      <c r="AF368" s="38"/>
      <c r="AG368" s="28" t="s">
        <v>2717</v>
      </c>
      <c r="AH368" s="28" t="s">
        <v>462</v>
      </c>
      <c r="AI368" s="28" t="s">
        <v>462</v>
      </c>
      <c r="AJ368" s="28"/>
      <c r="AK368" s="28"/>
      <c r="AL368" s="28" t="s">
        <v>677</v>
      </c>
      <c r="AM368" s="28"/>
      <c r="AN368" s="54"/>
      <c r="AO368" s="54"/>
      <c r="AP368" s="28"/>
      <c r="AQ368" s="28"/>
      <c r="AR368" s="28"/>
      <c r="AS368" s="54"/>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row>
    <row r="369" ht="25.5" customHeight="1">
      <c r="A369" s="28">
        <v>391.0</v>
      </c>
      <c r="B369" s="37" t="b">
        <v>1</v>
      </c>
      <c r="C369" s="38" t="s">
        <v>106</v>
      </c>
      <c r="D369" s="38">
        <v>80.0</v>
      </c>
      <c r="E369" s="13" t="b">
        <v>0</v>
      </c>
      <c r="F369" s="13" t="b">
        <v>1</v>
      </c>
      <c r="G369" s="38" t="s">
        <v>224</v>
      </c>
      <c r="H369" s="38"/>
      <c r="I369" s="38" t="s">
        <v>712</v>
      </c>
      <c r="J369" s="38">
        <v>7.0</v>
      </c>
      <c r="K369" s="38" t="s">
        <v>714</v>
      </c>
      <c r="L369" s="38">
        <v>701.0</v>
      </c>
      <c r="M369" s="38" t="s">
        <v>107</v>
      </c>
      <c r="N369" s="38">
        <v>3000.0</v>
      </c>
      <c r="O369" s="38" t="s">
        <v>116</v>
      </c>
      <c r="P369" s="40"/>
      <c r="Q369" s="38" t="s">
        <v>331</v>
      </c>
      <c r="R369" s="38">
        <v>45.0</v>
      </c>
      <c r="S369" s="38" t="s">
        <v>4362</v>
      </c>
      <c r="T369" s="38" t="s">
        <v>4363</v>
      </c>
      <c r="U369" s="38" t="s">
        <v>3766</v>
      </c>
      <c r="V369" s="61">
        <v>2015.0</v>
      </c>
      <c r="W369" s="38" t="s">
        <v>4367</v>
      </c>
      <c r="X369" s="49" t="str">
        <f>HYPERLINK("http://www.ideas42.org/wp-content/uploads/2015/04/Belen-Paper-Final.pdf","http://www.ideas42.org/wp-content/uploads/2015/04/Belen-Paper-Final.pdf")</f>
        <v>http://www.ideas42.org/wp-content/uploads/2015/04/Belen-Paper-Final.pdf</v>
      </c>
      <c r="Y369" s="38"/>
      <c r="Z369" s="38"/>
      <c r="AA369" s="38"/>
      <c r="AB369" s="38"/>
      <c r="AC369" s="38"/>
      <c r="AD369" s="38"/>
      <c r="AE369" s="38"/>
      <c r="AF369" s="38"/>
      <c r="AG369" s="28"/>
      <c r="AH369" s="28"/>
      <c r="AI369" s="28"/>
      <c r="AJ369" s="28"/>
      <c r="AK369" s="28"/>
      <c r="AL369" s="28"/>
      <c r="AM369" s="28"/>
      <c r="AN369" s="54"/>
      <c r="AO369" s="28"/>
      <c r="AP369" s="54"/>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row>
    <row r="370" ht="25.5" customHeight="1">
      <c r="A370" s="28">
        <v>10248.0</v>
      </c>
      <c r="B370" s="37" t="b">
        <v>1</v>
      </c>
      <c r="C370" s="38" t="s">
        <v>238</v>
      </c>
      <c r="D370" s="38">
        <v>81.0</v>
      </c>
      <c r="E370" s="13" t="b">
        <v>0</v>
      </c>
      <c r="F370" s="13" t="b">
        <v>1</v>
      </c>
      <c r="G370" s="38" t="s">
        <v>224</v>
      </c>
      <c r="H370" s="38"/>
      <c r="I370" s="38" t="s">
        <v>429</v>
      </c>
      <c r="J370" s="38">
        <v>2.0</v>
      </c>
      <c r="K370" s="38"/>
      <c r="L370" s="38"/>
      <c r="M370" s="38" t="s">
        <v>335</v>
      </c>
      <c r="N370" s="38">
        <v>8000.0</v>
      </c>
      <c r="O370" s="38" t="s">
        <v>3764</v>
      </c>
      <c r="P370" s="40"/>
      <c r="Q370" s="38" t="s">
        <v>3326</v>
      </c>
      <c r="R370" s="38">
        <v>45.0</v>
      </c>
      <c r="S370" s="38" t="s">
        <v>3765</v>
      </c>
      <c r="T370" s="38" t="s">
        <v>577</v>
      </c>
      <c r="U370" s="38" t="s">
        <v>3766</v>
      </c>
      <c r="V370" s="55">
        <v>42114.0</v>
      </c>
      <c r="W370" s="38" t="s">
        <v>3767</v>
      </c>
      <c r="X370" s="38" t="s">
        <v>3768</v>
      </c>
      <c r="Y370" s="38"/>
      <c r="Z370" s="38"/>
      <c r="AA370" s="38"/>
      <c r="AB370" s="38"/>
      <c r="AC370" s="38"/>
      <c r="AD370" s="38"/>
      <c r="AE370" s="38"/>
      <c r="AF370" s="38"/>
      <c r="AG370" s="28" t="s">
        <v>1868</v>
      </c>
      <c r="AH370" s="28" t="s">
        <v>462</v>
      </c>
      <c r="AI370" s="28" t="s">
        <v>462</v>
      </c>
      <c r="AJ370" s="28"/>
      <c r="AK370" s="28"/>
      <c r="AL370" s="28" t="s">
        <v>769</v>
      </c>
      <c r="AM370" s="28" t="s">
        <v>3769</v>
      </c>
      <c r="AN370" s="54">
        <v>42118.0</v>
      </c>
      <c r="AO370" s="54"/>
      <c r="AP370" s="54">
        <v>42534.0</v>
      </c>
      <c r="AQ370" s="28" t="s">
        <v>769</v>
      </c>
      <c r="AR370" s="28"/>
      <c r="AS370" s="54">
        <v>42145.0</v>
      </c>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row>
    <row r="371" ht="25.5" customHeight="1">
      <c r="A371" s="28">
        <v>35.0</v>
      </c>
      <c r="B371" s="37" t="b">
        <v>1</v>
      </c>
      <c r="C371" s="38" t="s">
        <v>106</v>
      </c>
      <c r="D371" s="38">
        <v>80.0</v>
      </c>
      <c r="E371" s="13" t="b">
        <v>0</v>
      </c>
      <c r="F371" s="13" t="b">
        <v>1</v>
      </c>
      <c r="G371" s="38" t="s">
        <v>224</v>
      </c>
      <c r="H371" s="38"/>
      <c r="I371" s="38" t="s">
        <v>574</v>
      </c>
      <c r="J371" s="38">
        <v>4.0</v>
      </c>
      <c r="K371" s="38" t="s">
        <v>224</v>
      </c>
      <c r="L371" s="38"/>
      <c r="M371" s="38" t="s">
        <v>35</v>
      </c>
      <c r="N371" s="38">
        <v>2000.0</v>
      </c>
      <c r="O371" s="38" t="s">
        <v>578</v>
      </c>
      <c r="P371" s="40"/>
      <c r="Q371" s="38" t="s">
        <v>289</v>
      </c>
      <c r="R371" s="38">
        <v>40.0</v>
      </c>
      <c r="S371" s="38" t="s">
        <v>4110</v>
      </c>
      <c r="T371" s="38" t="s">
        <v>4111</v>
      </c>
      <c r="U371" s="38" t="s">
        <v>4112</v>
      </c>
      <c r="V371" s="38">
        <v>2009.0</v>
      </c>
      <c r="W371" s="38" t="s">
        <v>4114</v>
      </c>
      <c r="X371" s="38"/>
      <c r="Y371" s="38"/>
      <c r="Z371" s="38"/>
      <c r="AA371" s="38"/>
      <c r="AB371" s="38"/>
      <c r="AC371" s="38"/>
      <c r="AD371" s="38"/>
      <c r="AE371" s="38"/>
      <c r="AF371" s="3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row>
    <row r="372" ht="25.5" customHeight="1">
      <c r="A372" s="28">
        <v>218.0</v>
      </c>
      <c r="B372" s="37" t="b">
        <v>1</v>
      </c>
      <c r="C372" s="38" t="s">
        <v>106</v>
      </c>
      <c r="D372" s="38">
        <v>80.0</v>
      </c>
      <c r="E372" s="13" t="b">
        <v>0</v>
      </c>
      <c r="F372" s="13" t="b">
        <v>1</v>
      </c>
      <c r="G372" s="38" t="s">
        <v>224</v>
      </c>
      <c r="H372" s="38"/>
      <c r="I372" s="38" t="s">
        <v>429</v>
      </c>
      <c r="J372" s="38">
        <v>2.0</v>
      </c>
      <c r="K372" s="38" t="s">
        <v>378</v>
      </c>
      <c r="L372" s="38">
        <v>200.0</v>
      </c>
      <c r="M372" s="38" t="s">
        <v>411</v>
      </c>
      <c r="N372" s="38">
        <v>21000.0</v>
      </c>
      <c r="O372" s="38" t="s">
        <v>1052</v>
      </c>
      <c r="P372" s="40"/>
      <c r="Q372" s="38" t="s">
        <v>4386</v>
      </c>
      <c r="R372" s="38" t="s">
        <v>4387</v>
      </c>
      <c r="S372" s="38" t="s">
        <v>4388</v>
      </c>
      <c r="T372" s="38" t="s">
        <v>4389</v>
      </c>
      <c r="U372" s="38" t="s">
        <v>4390</v>
      </c>
      <c r="V372" s="38">
        <v>1997.0</v>
      </c>
      <c r="W372" s="38" t="s">
        <v>4393</v>
      </c>
      <c r="X372" s="38" t="s">
        <v>4395</v>
      </c>
      <c r="Y372" s="38"/>
      <c r="Z372" s="38"/>
      <c r="AA372" s="38"/>
      <c r="AB372" s="38"/>
      <c r="AC372" s="38"/>
      <c r="AD372" s="38"/>
      <c r="AE372" s="38"/>
      <c r="AF372" s="38"/>
      <c r="AG372" s="28"/>
      <c r="AH372" s="28" t="s">
        <v>926</v>
      </c>
      <c r="AI372" s="28" t="s">
        <v>462</v>
      </c>
      <c r="AJ372" s="28"/>
      <c r="AK372" s="28"/>
      <c r="AL372" s="28"/>
      <c r="AM372" s="28"/>
      <c r="AN372" s="54"/>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row>
    <row r="373" ht="25.5" customHeight="1">
      <c r="A373" s="28">
        <v>10064.0</v>
      </c>
      <c r="B373" s="37" t="b">
        <v>1</v>
      </c>
      <c r="C373" s="38" t="s">
        <v>238</v>
      </c>
      <c r="D373" s="38">
        <v>81.0</v>
      </c>
      <c r="E373" s="13" t="b">
        <v>1</v>
      </c>
      <c r="F373" s="13" t="b">
        <v>0</v>
      </c>
      <c r="G373" s="38" t="s">
        <v>224</v>
      </c>
      <c r="H373" s="38"/>
      <c r="I373" s="38" t="s">
        <v>1989</v>
      </c>
      <c r="J373" s="38" t="s">
        <v>1990</v>
      </c>
      <c r="K373" s="38"/>
      <c r="L373" s="38"/>
      <c r="M373" s="38" t="s">
        <v>35</v>
      </c>
      <c r="N373" s="38">
        <v>2000.0</v>
      </c>
      <c r="O373" s="38" t="s">
        <v>1114</v>
      </c>
      <c r="P373" s="40"/>
      <c r="Q373" s="38" t="s">
        <v>117</v>
      </c>
      <c r="R373" s="38">
        <v>40.0</v>
      </c>
      <c r="S373" s="61" t="s">
        <v>1991</v>
      </c>
      <c r="T373" s="38" t="s">
        <v>1992</v>
      </c>
      <c r="U373" s="38" t="s">
        <v>1993</v>
      </c>
      <c r="V373" s="55">
        <v>41773.0</v>
      </c>
      <c r="W373" s="38" t="s">
        <v>1995</v>
      </c>
      <c r="X373" s="38" t="s">
        <v>1997</v>
      </c>
      <c r="Y373" s="38"/>
      <c r="Z373" s="38"/>
      <c r="AA373" s="38"/>
      <c r="AB373" s="38"/>
      <c r="AC373" s="38"/>
      <c r="AD373" s="38"/>
      <c r="AE373" s="38"/>
      <c r="AF373" s="38"/>
      <c r="AG373" s="28" t="s">
        <v>1998</v>
      </c>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row>
    <row r="374" ht="25.5" customHeight="1">
      <c r="A374" s="28">
        <v>325.0</v>
      </c>
      <c r="B374" s="37" t="b">
        <v>1</v>
      </c>
      <c r="C374" s="38" t="s">
        <v>106</v>
      </c>
      <c r="D374" s="38">
        <v>80.0</v>
      </c>
      <c r="E374" s="13" t="b">
        <v>0</v>
      </c>
      <c r="F374" s="13" t="b">
        <v>1</v>
      </c>
      <c r="G374" s="38" t="s">
        <v>224</v>
      </c>
      <c r="H374" s="38"/>
      <c r="I374" s="38" t="s">
        <v>490</v>
      </c>
      <c r="J374" s="38">
        <v>6.0</v>
      </c>
      <c r="K374" s="38" t="s">
        <v>776</v>
      </c>
      <c r="L374" s="38">
        <v>602.0</v>
      </c>
      <c r="M374" s="38" t="s">
        <v>107</v>
      </c>
      <c r="N374" s="38">
        <v>3000.0</v>
      </c>
      <c r="O374" s="38" t="s">
        <v>4408</v>
      </c>
      <c r="P374" s="40"/>
      <c r="Q374" s="38" t="s">
        <v>289</v>
      </c>
      <c r="R374" s="38">
        <v>40.0</v>
      </c>
      <c r="S374" s="38" t="s">
        <v>4409</v>
      </c>
      <c r="T374" s="38" t="s">
        <v>4410</v>
      </c>
      <c r="U374" s="38" t="s">
        <v>4411</v>
      </c>
      <c r="V374" s="38">
        <v>2015.0</v>
      </c>
      <c r="W374" s="38" t="s">
        <v>4412</v>
      </c>
      <c r="X374" s="38"/>
      <c r="Y374" s="38"/>
      <c r="Z374" s="38"/>
      <c r="AA374" s="38"/>
      <c r="AB374" s="38"/>
      <c r="AC374" s="38"/>
      <c r="AD374" s="38"/>
      <c r="AE374" s="38"/>
      <c r="AF374" s="3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row>
    <row r="375" ht="25.5" customHeight="1">
      <c r="A375" s="28">
        <v>495.0</v>
      </c>
      <c r="B375" s="37" t="b">
        <v>1</v>
      </c>
      <c r="C375" s="38" t="s">
        <v>106</v>
      </c>
      <c r="D375" s="38">
        <v>80.0</v>
      </c>
      <c r="E375" s="13" t="b">
        <v>0</v>
      </c>
      <c r="F375" s="13" t="b">
        <v>1</v>
      </c>
      <c r="G375" s="38" t="s">
        <v>224</v>
      </c>
      <c r="H375" s="38"/>
      <c r="I375" s="38" t="s">
        <v>743</v>
      </c>
      <c r="J375" s="38" t="s">
        <v>744</v>
      </c>
      <c r="K375" s="38" t="s">
        <v>4413</v>
      </c>
      <c r="L375" s="38" t="s">
        <v>4415</v>
      </c>
      <c r="M375" s="38" t="s">
        <v>411</v>
      </c>
      <c r="N375" s="38">
        <v>21000.0</v>
      </c>
      <c r="O375" s="38" t="s">
        <v>1052</v>
      </c>
      <c r="P375" s="40"/>
      <c r="Q375" s="38" t="s">
        <v>111</v>
      </c>
      <c r="R375" s="38">
        <v>41.0</v>
      </c>
      <c r="S375" s="38" t="s">
        <v>4418</v>
      </c>
      <c r="T375" s="38" t="s">
        <v>4419</v>
      </c>
      <c r="U375" s="38" t="s">
        <v>4420</v>
      </c>
      <c r="V375" s="38">
        <v>2011.0</v>
      </c>
      <c r="W375" s="38" t="s">
        <v>4421</v>
      </c>
      <c r="X375" s="38"/>
      <c r="Y375" s="38"/>
      <c r="Z375" s="38"/>
      <c r="AA375" s="38"/>
      <c r="AB375" s="38"/>
      <c r="AC375" s="38"/>
      <c r="AD375" s="38"/>
      <c r="AE375" s="38"/>
      <c r="AF375" s="38"/>
      <c r="AG375" s="28"/>
      <c r="AH375" s="28" t="s">
        <v>462</v>
      </c>
      <c r="AI375" s="28" t="s">
        <v>462</v>
      </c>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row>
    <row r="376" ht="25.5" customHeight="1">
      <c r="A376" s="28">
        <v>10432.0</v>
      </c>
      <c r="B376" s="37" t="b">
        <v>1</v>
      </c>
      <c r="C376" s="38" t="s">
        <v>238</v>
      </c>
      <c r="D376" s="38">
        <v>81.0</v>
      </c>
      <c r="E376" s="13" t="b">
        <v>0</v>
      </c>
      <c r="F376" s="13" t="b">
        <v>1</v>
      </c>
      <c r="G376" s="38" t="s">
        <v>224</v>
      </c>
      <c r="H376" s="38"/>
      <c r="I376" s="38" t="s">
        <v>772</v>
      </c>
      <c r="J376" s="38">
        <v>5.0</v>
      </c>
      <c r="K376" s="38"/>
      <c r="L376" s="38"/>
      <c r="M376" s="38" t="s">
        <v>411</v>
      </c>
      <c r="N376" s="38">
        <v>21000.0</v>
      </c>
      <c r="O376" s="38" t="s">
        <v>789</v>
      </c>
      <c r="P376" s="40"/>
      <c r="Q376" s="38" t="s">
        <v>111</v>
      </c>
      <c r="R376" s="38">
        <v>41.0</v>
      </c>
      <c r="S376" s="38" t="s">
        <v>4423</v>
      </c>
      <c r="T376" s="38" t="s">
        <v>4424</v>
      </c>
      <c r="U376" s="38" t="s">
        <v>4425</v>
      </c>
      <c r="V376" s="55">
        <v>40718.0</v>
      </c>
      <c r="W376" s="38" t="s">
        <v>4423</v>
      </c>
      <c r="X376" s="49" t="str">
        <f>HYPERLINK("http://inhabitat.com/the-city-of-lucerne-turns-taking-out-the-trash-into-a-fun-game/","http://inhabitat.com/the-city-of-lucerne-turns-taking-out-the-trash-into-a-fun-game/")</f>
        <v>http://inhabitat.com/the-city-of-lucerne-turns-taking-out-the-trash-into-a-fun-game/</v>
      </c>
      <c r="Y376" s="38"/>
      <c r="Z376" s="38"/>
      <c r="AA376" s="38"/>
      <c r="AB376" s="38"/>
      <c r="AC376" s="38"/>
      <c r="AD376" s="38"/>
      <c r="AE376" s="38"/>
      <c r="AF376" s="38"/>
      <c r="AG376" s="28"/>
      <c r="AH376" s="28" t="s">
        <v>462</v>
      </c>
      <c r="AI376" s="28" t="s">
        <v>462</v>
      </c>
      <c r="AJ376" s="28"/>
      <c r="AK376" s="28" t="s">
        <v>676</v>
      </c>
      <c r="AL376" s="28" t="s">
        <v>769</v>
      </c>
      <c r="AM376" s="28" t="s">
        <v>4423</v>
      </c>
      <c r="AN376" s="54">
        <v>41961.0</v>
      </c>
      <c r="AO376" s="54"/>
      <c r="AP376" s="54">
        <v>42578.0</v>
      </c>
      <c r="AQ376" s="28" t="s">
        <v>769</v>
      </c>
      <c r="AR376" s="28"/>
      <c r="AS376" s="54">
        <v>41975.0</v>
      </c>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row>
    <row r="377" ht="25.5" customHeight="1">
      <c r="A377" s="28">
        <v>155.0</v>
      </c>
      <c r="B377" s="37" t="b">
        <v>1</v>
      </c>
      <c r="C377" s="38" t="s">
        <v>106</v>
      </c>
      <c r="D377" s="38">
        <v>80.0</v>
      </c>
      <c r="E377" s="13" t="b">
        <v>1</v>
      </c>
      <c r="F377" s="13" t="b">
        <v>1</v>
      </c>
      <c r="G377" s="38" t="s">
        <v>363</v>
      </c>
      <c r="H377" s="38">
        <v>58.0</v>
      </c>
      <c r="I377" s="38" t="s">
        <v>887</v>
      </c>
      <c r="J377" s="38">
        <v>9.0</v>
      </c>
      <c r="K377" s="47" t="s">
        <v>4436</v>
      </c>
      <c r="L377" s="38">
        <v>902.0</v>
      </c>
      <c r="M377" s="38" t="s">
        <v>388</v>
      </c>
      <c r="N377" s="38">
        <v>14000.0</v>
      </c>
      <c r="O377" s="38" t="s">
        <v>224</v>
      </c>
      <c r="P377" s="40"/>
      <c r="Q377" s="38" t="s">
        <v>1106</v>
      </c>
      <c r="R377" s="38" t="s">
        <v>1107</v>
      </c>
      <c r="S377" s="38" t="s">
        <v>4439</v>
      </c>
      <c r="T377" s="38" t="s">
        <v>4441</v>
      </c>
      <c r="U377" s="38" t="s">
        <v>4442</v>
      </c>
      <c r="V377" s="38">
        <v>2014.0</v>
      </c>
      <c r="W377" s="38" t="s">
        <v>4445</v>
      </c>
      <c r="X377" s="38" t="s">
        <v>4446</v>
      </c>
      <c r="Y377" s="38"/>
      <c r="Z377" s="38"/>
      <c r="AA377" s="38"/>
      <c r="AB377" s="38"/>
      <c r="AC377" s="38"/>
      <c r="AD377" s="38"/>
      <c r="AE377" s="38"/>
      <c r="AF377" s="38"/>
      <c r="AG377" s="28" t="s">
        <v>2925</v>
      </c>
      <c r="AH377" s="28" t="s">
        <v>769</v>
      </c>
      <c r="AI377" s="28" t="s">
        <v>769</v>
      </c>
      <c r="AJ377" s="28" t="s">
        <v>1594</v>
      </c>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row>
    <row r="378" ht="25.5" customHeight="1">
      <c r="A378" s="28">
        <v>174.0</v>
      </c>
      <c r="B378" s="37" t="b">
        <v>1</v>
      </c>
      <c r="C378" s="38" t="s">
        <v>106</v>
      </c>
      <c r="D378" s="38">
        <v>80.0</v>
      </c>
      <c r="E378" s="13" t="b">
        <v>0</v>
      </c>
      <c r="F378" s="13" t="b">
        <v>1</v>
      </c>
      <c r="G378" s="38" t="s">
        <v>224</v>
      </c>
      <c r="H378" s="38"/>
      <c r="I378" s="38" t="s">
        <v>429</v>
      </c>
      <c r="J378" s="38">
        <v>2.0</v>
      </c>
      <c r="K378" s="47" t="s">
        <v>524</v>
      </c>
      <c r="L378" s="62">
        <v>205.0</v>
      </c>
      <c r="M378" s="38" t="s">
        <v>388</v>
      </c>
      <c r="N378" s="38">
        <v>14000.0</v>
      </c>
      <c r="O378" s="38" t="s">
        <v>224</v>
      </c>
      <c r="P378" s="40"/>
      <c r="Q378" s="38" t="s">
        <v>324</v>
      </c>
      <c r="R378" s="38" t="s">
        <v>325</v>
      </c>
      <c r="S378" s="38" t="s">
        <v>4452</v>
      </c>
      <c r="T378" s="38" t="s">
        <v>4453</v>
      </c>
      <c r="U378" s="38" t="s">
        <v>4442</v>
      </c>
      <c r="V378" s="38">
        <v>2009.0</v>
      </c>
      <c r="W378" s="38" t="s">
        <v>4457</v>
      </c>
      <c r="X378" s="49" t="str">
        <f>HYPERLINK("http://papers.ssrn.com/sol3/papers.cfm?abstract_id=1116650","http://papers.ssrn.com/sol3/papers.cfm?abstract_id=1116650")</f>
        <v>http://papers.ssrn.com/sol3/papers.cfm?abstract_id=1116650</v>
      </c>
      <c r="Y378" s="38"/>
      <c r="Z378" s="38"/>
      <c r="AA378" s="38"/>
      <c r="AB378" s="38"/>
      <c r="AC378" s="38"/>
      <c r="AD378" s="38"/>
      <c r="AE378" s="38"/>
      <c r="AF378" s="38"/>
      <c r="AG378" s="28"/>
      <c r="AH378" s="28" t="s">
        <v>462</v>
      </c>
      <c r="AI378" s="28" t="s">
        <v>462</v>
      </c>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row>
    <row r="379" ht="25.5" customHeight="1">
      <c r="A379" s="28">
        <v>10287.0</v>
      </c>
      <c r="B379" s="37" t="b">
        <v>1</v>
      </c>
      <c r="C379" s="38" t="s">
        <v>238</v>
      </c>
      <c r="D379" s="38">
        <v>81.0</v>
      </c>
      <c r="E379" s="13" t="b">
        <v>0</v>
      </c>
      <c r="F379" s="13" t="b">
        <v>1</v>
      </c>
      <c r="G379" s="38" t="s">
        <v>224</v>
      </c>
      <c r="H379" s="38"/>
      <c r="I379" s="38" t="s">
        <v>323</v>
      </c>
      <c r="J379" s="38">
        <v>11.0</v>
      </c>
      <c r="K379" s="47"/>
      <c r="L379" s="38"/>
      <c r="M379" s="38" t="s">
        <v>35</v>
      </c>
      <c r="N379" s="38">
        <v>2000.0</v>
      </c>
      <c r="O379" s="38" t="s">
        <v>4115</v>
      </c>
      <c r="P379" s="40"/>
      <c r="Q379" s="38" t="s">
        <v>289</v>
      </c>
      <c r="R379" s="38">
        <v>40.0</v>
      </c>
      <c r="S379" s="38" t="s">
        <v>4116</v>
      </c>
      <c r="T379" s="38" t="s">
        <v>4117</v>
      </c>
      <c r="U379" s="38" t="s">
        <v>1484</v>
      </c>
      <c r="V379" s="55">
        <v>42241.0</v>
      </c>
      <c r="W379" s="38" t="s">
        <v>4118</v>
      </c>
      <c r="X379" s="49" t="str">
        <f>HYPERLINK("http://insideclimatenews.org/news/25082015/climate-changes-overlooked-sociological-side","http://insideclimatenews.org/news/25082015/climate-changes-overlooked-sociological-side")</f>
        <v>http://insideclimatenews.org/news/25082015/climate-changes-overlooked-sociological-side</v>
      </c>
      <c r="Y379" s="38"/>
      <c r="Z379" s="38"/>
      <c r="AA379" s="38"/>
      <c r="AB379" s="38"/>
      <c r="AC379" s="38"/>
      <c r="AD379" s="38"/>
      <c r="AE379" s="38"/>
      <c r="AF379" s="38"/>
      <c r="AG379" s="28"/>
      <c r="AH379" s="28" t="s">
        <v>462</v>
      </c>
      <c r="AI379" s="28" t="s">
        <v>462</v>
      </c>
      <c r="AJ379" s="28"/>
      <c r="AK379" s="28" t="s">
        <v>676</v>
      </c>
      <c r="AL379" s="28" t="s">
        <v>769</v>
      </c>
      <c r="AM379" s="28" t="s">
        <v>4119</v>
      </c>
      <c r="AN379" s="54">
        <v>42303.0</v>
      </c>
      <c r="AO379" s="54"/>
      <c r="AP379" s="28"/>
      <c r="AQ379" s="28"/>
      <c r="AR379" s="28"/>
      <c r="AS379" s="54"/>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row>
    <row r="380" ht="25.5" customHeight="1">
      <c r="A380" s="28">
        <v>248.0</v>
      </c>
      <c r="B380" s="37" t="b">
        <v>1</v>
      </c>
      <c r="C380" s="38" t="s">
        <v>106</v>
      </c>
      <c r="D380" s="38">
        <v>80.0</v>
      </c>
      <c r="E380" s="13" t="b">
        <v>0</v>
      </c>
      <c r="F380" s="13" t="b">
        <v>1</v>
      </c>
      <c r="G380" s="38" t="s">
        <v>224</v>
      </c>
      <c r="H380" s="38"/>
      <c r="I380" s="38" t="s">
        <v>323</v>
      </c>
      <c r="J380" s="38">
        <v>11.0</v>
      </c>
      <c r="K380" s="47" t="s">
        <v>224</v>
      </c>
      <c r="L380" s="38"/>
      <c r="M380" s="38" t="s">
        <v>1196</v>
      </c>
      <c r="N380" s="38" t="s">
        <v>1197</v>
      </c>
      <c r="O380" s="38" t="s">
        <v>1198</v>
      </c>
      <c r="P380" s="40"/>
      <c r="Q380" s="38" t="s">
        <v>111</v>
      </c>
      <c r="R380" s="38">
        <v>41.0</v>
      </c>
      <c r="S380" s="38" t="s">
        <v>4470</v>
      </c>
      <c r="T380" s="38" t="s">
        <v>4471</v>
      </c>
      <c r="U380" s="38" t="s">
        <v>4472</v>
      </c>
      <c r="V380" s="38">
        <v>2010.0</v>
      </c>
      <c r="W380" s="38" t="s">
        <v>610</v>
      </c>
      <c r="X380" s="49" t="str">
        <f>HYPERLINK("http://changelabs.stanford.edu/sites/default/files/Mindspace.pdf","http://changelabs.stanford.edu/sites/default/files/Mindspace.pdf")</f>
        <v>http://changelabs.stanford.edu/sites/default/files/Mindspace.pdf</v>
      </c>
      <c r="Y380" s="38"/>
      <c r="Z380" s="38"/>
      <c r="AA380" s="38"/>
      <c r="AB380" s="38"/>
      <c r="AC380" s="38"/>
      <c r="AD380" s="38"/>
      <c r="AE380" s="38"/>
      <c r="AF380" s="38"/>
      <c r="AG380" s="28"/>
      <c r="AH380" s="28"/>
      <c r="AI380" s="28"/>
      <c r="AJ380" s="28"/>
      <c r="AK380" s="28" t="s">
        <v>677</v>
      </c>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row>
    <row r="381" ht="25.5" customHeight="1">
      <c r="A381" s="28">
        <v>361.0</v>
      </c>
      <c r="B381" s="37" t="b">
        <v>1</v>
      </c>
      <c r="C381" s="38" t="s">
        <v>106</v>
      </c>
      <c r="D381" s="38">
        <v>80.0</v>
      </c>
      <c r="E381" s="13" t="b">
        <v>0</v>
      </c>
      <c r="F381" s="13" t="b">
        <v>1</v>
      </c>
      <c r="G381" s="38" t="s">
        <v>224</v>
      </c>
      <c r="H381" s="38"/>
      <c r="I381" s="38" t="s">
        <v>1292</v>
      </c>
      <c r="J381" s="38" t="s">
        <v>1293</v>
      </c>
      <c r="K381" s="38" t="s">
        <v>4478</v>
      </c>
      <c r="L381" s="38">
        <v>602.0</v>
      </c>
      <c r="M381" s="38" t="s">
        <v>411</v>
      </c>
      <c r="N381" s="38">
        <v>21000.0</v>
      </c>
      <c r="O381" s="38" t="s">
        <v>1052</v>
      </c>
      <c r="P381" s="40"/>
      <c r="Q381" s="38" t="s">
        <v>3326</v>
      </c>
      <c r="R381" s="38">
        <v>45.0</v>
      </c>
      <c r="S381" s="38" t="s">
        <v>4483</v>
      </c>
      <c r="T381" s="38" t="s">
        <v>4485</v>
      </c>
      <c r="U381" s="38" t="s">
        <v>4486</v>
      </c>
      <c r="V381" s="38">
        <v>2007.0</v>
      </c>
      <c r="W381" s="38" t="s">
        <v>4493</v>
      </c>
      <c r="X381" s="38"/>
      <c r="Y381" s="38"/>
      <c r="Z381" s="38"/>
      <c r="AA381" s="38"/>
      <c r="AB381" s="38"/>
      <c r="AC381" s="38"/>
      <c r="AD381" s="38"/>
      <c r="AE381" s="38"/>
      <c r="AF381" s="3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row>
    <row r="382" ht="25.5" customHeight="1">
      <c r="A382" s="28">
        <v>474.0</v>
      </c>
      <c r="B382" s="37" t="b">
        <v>1</v>
      </c>
      <c r="C382" s="38" t="s">
        <v>106</v>
      </c>
      <c r="D382" s="38">
        <v>80.0</v>
      </c>
      <c r="E382" s="13" t="b">
        <v>0</v>
      </c>
      <c r="F382" s="13" t="b">
        <v>1</v>
      </c>
      <c r="G382" s="38" t="s">
        <v>224</v>
      </c>
      <c r="H382" s="38"/>
      <c r="I382" s="38" t="s">
        <v>772</v>
      </c>
      <c r="J382" s="38">
        <v>5.0</v>
      </c>
      <c r="K382" s="38" t="s">
        <v>773</v>
      </c>
      <c r="L382" s="38">
        <v>500.0</v>
      </c>
      <c r="M382" s="38" t="s">
        <v>411</v>
      </c>
      <c r="N382" s="38">
        <v>21000.0</v>
      </c>
      <c r="O382" s="38" t="s">
        <v>1052</v>
      </c>
      <c r="P382" s="40"/>
      <c r="Q382" s="38" t="s">
        <v>289</v>
      </c>
      <c r="R382" s="38">
        <v>40.0</v>
      </c>
      <c r="S382" s="38" t="s">
        <v>4501</v>
      </c>
      <c r="T382" s="38" t="s">
        <v>4502</v>
      </c>
      <c r="U382" s="38" t="s">
        <v>4505</v>
      </c>
      <c r="V382" s="38">
        <v>2012.0</v>
      </c>
      <c r="W382" s="38" t="s">
        <v>4509</v>
      </c>
      <c r="X382" s="38" t="s">
        <v>4510</v>
      </c>
      <c r="Y382" s="38"/>
      <c r="Z382" s="38"/>
      <c r="AA382" s="38"/>
      <c r="AB382" s="38"/>
      <c r="AC382" s="38"/>
      <c r="AD382" s="38"/>
      <c r="AE382" s="38"/>
      <c r="AF382" s="38"/>
      <c r="AG382" s="28"/>
      <c r="AH382" s="28" t="s">
        <v>926</v>
      </c>
      <c r="AI382" s="28" t="s">
        <v>462</v>
      </c>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row>
    <row r="383" ht="25.5" customHeight="1">
      <c r="A383" s="28">
        <v>302.0</v>
      </c>
      <c r="B383" s="37" t="b">
        <v>1</v>
      </c>
      <c r="C383" s="38" t="s">
        <v>106</v>
      </c>
      <c r="D383" s="38">
        <v>80.0</v>
      </c>
      <c r="E383" s="13" t="b">
        <v>0</v>
      </c>
      <c r="F383" s="13" t="b">
        <v>1</v>
      </c>
      <c r="G383" s="38" t="s">
        <v>224</v>
      </c>
      <c r="H383" s="38"/>
      <c r="I383" s="38" t="s">
        <v>4512</v>
      </c>
      <c r="J383" s="38" t="s">
        <v>4514</v>
      </c>
      <c r="K383" s="65" t="s">
        <v>4515</v>
      </c>
      <c r="L383" s="38"/>
      <c r="M383" s="38" t="s">
        <v>107</v>
      </c>
      <c r="N383" s="38">
        <v>3000.0</v>
      </c>
      <c r="O383" s="38" t="s">
        <v>1312</v>
      </c>
      <c r="P383" s="40"/>
      <c r="Q383" s="38" t="s">
        <v>289</v>
      </c>
      <c r="R383" s="38">
        <v>40.0</v>
      </c>
      <c r="S383" s="38" t="s">
        <v>4516</v>
      </c>
      <c r="T383" s="38" t="s">
        <v>4517</v>
      </c>
      <c r="U383" s="38" t="s">
        <v>4518</v>
      </c>
      <c r="V383" s="38">
        <v>2012.0</v>
      </c>
      <c r="W383" s="38" t="s">
        <v>4521</v>
      </c>
      <c r="X383" s="49" t="str">
        <f>HYPERLINK("http://www.iejeegreen.com/index.php/iejeegreen/article/view/58/32","http://www8.umoncton.ca/littoral-vie/Changing%20Family%20Habits.pdf")</f>
        <v>http://www8.umoncton.ca/littoral-vie/Changing%20Family%20Habits.pdf</v>
      </c>
      <c r="Y383" s="38"/>
      <c r="Z383" s="38"/>
      <c r="AA383" s="38"/>
      <c r="AB383" s="38"/>
      <c r="AC383" s="38"/>
      <c r="AD383" s="38"/>
      <c r="AE383" s="38"/>
      <c r="AF383" s="38"/>
      <c r="AG383" s="28" t="s">
        <v>4527</v>
      </c>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row>
    <row r="384" ht="25.5" customHeight="1">
      <c r="A384" s="28">
        <v>16.0</v>
      </c>
      <c r="B384" s="37" t="b">
        <v>1</v>
      </c>
      <c r="C384" s="38" t="s">
        <v>106</v>
      </c>
      <c r="D384" s="38">
        <v>80.0</v>
      </c>
      <c r="E384" s="13" t="b">
        <v>0</v>
      </c>
      <c r="F384" s="13" t="b">
        <v>1</v>
      </c>
      <c r="G384" s="38" t="s">
        <v>224</v>
      </c>
      <c r="H384" s="38"/>
      <c r="I384" s="38" t="s">
        <v>574</v>
      </c>
      <c r="J384" s="38">
        <v>4.0</v>
      </c>
      <c r="K384" s="38" t="s">
        <v>879</v>
      </c>
      <c r="L384" s="38">
        <v>401.0</v>
      </c>
      <c r="M384" s="38" t="s">
        <v>107</v>
      </c>
      <c r="N384" s="38">
        <v>3000.0</v>
      </c>
      <c r="O384" s="38" t="s">
        <v>1312</v>
      </c>
      <c r="P384" s="40"/>
      <c r="Q384" s="38" t="s">
        <v>111</v>
      </c>
      <c r="R384" s="38">
        <v>41.0</v>
      </c>
      <c r="S384" s="38" t="s">
        <v>3979</v>
      </c>
      <c r="T384" s="38" t="s">
        <v>3981</v>
      </c>
      <c r="U384" s="38" t="s">
        <v>3982</v>
      </c>
      <c r="V384" s="38">
        <v>2014.0</v>
      </c>
      <c r="W384" s="38" t="s">
        <v>3984</v>
      </c>
      <c r="X384" s="38"/>
      <c r="Y384" s="38"/>
      <c r="Z384" s="38"/>
      <c r="AA384" s="38"/>
      <c r="AB384" s="38"/>
      <c r="AC384" s="38"/>
      <c r="AD384" s="38"/>
      <c r="AE384" s="38"/>
      <c r="AF384" s="3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row>
    <row r="385" ht="25.5" customHeight="1">
      <c r="A385" s="28">
        <v>380.0</v>
      </c>
      <c r="B385" s="37" t="b">
        <v>1</v>
      </c>
      <c r="C385" s="38" t="s">
        <v>106</v>
      </c>
      <c r="D385" s="38">
        <v>80.0</v>
      </c>
      <c r="E385" s="13" t="b">
        <v>0</v>
      </c>
      <c r="F385" s="13" t="b">
        <v>1</v>
      </c>
      <c r="G385" s="38" t="s">
        <v>224</v>
      </c>
      <c r="H385" s="38"/>
      <c r="I385" s="38" t="s">
        <v>280</v>
      </c>
      <c r="J385" s="38">
        <v>10.0</v>
      </c>
      <c r="K385" s="38" t="s">
        <v>4534</v>
      </c>
      <c r="L385" s="38">
        <v>1000.0</v>
      </c>
      <c r="M385" s="38" t="s">
        <v>4535</v>
      </c>
      <c r="N385" s="38" t="s">
        <v>4536</v>
      </c>
      <c r="O385" s="38" t="s">
        <v>4537</v>
      </c>
      <c r="P385" s="40"/>
      <c r="Q385" s="38" t="s">
        <v>111</v>
      </c>
      <c r="R385" s="38">
        <v>41.0</v>
      </c>
      <c r="S385" s="38" t="s">
        <v>4538</v>
      </c>
      <c r="T385" s="38" t="s">
        <v>4539</v>
      </c>
      <c r="U385" s="38" t="s">
        <v>3982</v>
      </c>
      <c r="V385" s="38">
        <v>2012.0</v>
      </c>
      <c r="W385" s="38" t="s">
        <v>4541</v>
      </c>
      <c r="X385" s="49" t="str">
        <f>HYPERLINK("http://onlinelibrary.wiley.com/doi/10.1111/j.1470-6431.2011.01081.x/abstract","http://onlinelibrary.wiley.com/doi/10.1111/j.1470-6431.2011.01081.x/abstract")</f>
        <v>http://onlinelibrary.wiley.com/doi/10.1111/j.1470-6431.2011.01081.x/abstract</v>
      </c>
      <c r="Y385" s="38"/>
      <c r="Z385" s="38"/>
      <c r="AA385" s="38"/>
      <c r="AB385" s="38"/>
      <c r="AC385" s="38"/>
      <c r="AD385" s="38"/>
      <c r="AE385" s="38"/>
      <c r="AF385" s="38"/>
      <c r="AG385" s="28" t="s">
        <v>4542</v>
      </c>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row>
    <row r="386" ht="25.5" customHeight="1">
      <c r="A386" s="28">
        <v>220.0</v>
      </c>
      <c r="B386" s="37" t="b">
        <v>1</v>
      </c>
      <c r="C386" s="38" t="s">
        <v>106</v>
      </c>
      <c r="D386" s="38">
        <v>80.0</v>
      </c>
      <c r="E386" s="13" t="b">
        <v>0</v>
      </c>
      <c r="F386" s="13" t="b">
        <v>1</v>
      </c>
      <c r="G386" s="38" t="s">
        <v>224</v>
      </c>
      <c r="H386" s="38"/>
      <c r="I386" s="38" t="s">
        <v>429</v>
      </c>
      <c r="J386" s="38">
        <v>2.0</v>
      </c>
      <c r="K386" s="38" t="s">
        <v>378</v>
      </c>
      <c r="L386" s="38">
        <v>200.0</v>
      </c>
      <c r="M386" s="38" t="s">
        <v>411</v>
      </c>
      <c r="N386" s="38">
        <v>21000.0</v>
      </c>
      <c r="O386" s="38" t="s">
        <v>4551</v>
      </c>
      <c r="P386" s="40"/>
      <c r="Q386" s="38" t="s">
        <v>152</v>
      </c>
      <c r="R386" s="38">
        <v>42.0</v>
      </c>
      <c r="S386" s="38" t="s">
        <v>4553</v>
      </c>
      <c r="T386" s="38" t="s">
        <v>4554</v>
      </c>
      <c r="U386" s="38" t="s">
        <v>4557</v>
      </c>
      <c r="V386" s="38">
        <v>2009.0</v>
      </c>
      <c r="W386" s="38" t="s">
        <v>4563</v>
      </c>
      <c r="X386" s="38" t="s">
        <v>4565</v>
      </c>
      <c r="Y386" s="38"/>
      <c r="Z386" s="38"/>
      <c r="AA386" s="38"/>
      <c r="AB386" s="38"/>
      <c r="AC386" s="38"/>
      <c r="AD386" s="38"/>
      <c r="AE386" s="38"/>
      <c r="AF386" s="38"/>
      <c r="AG386" s="28"/>
      <c r="AH386" s="28" t="s">
        <v>428</v>
      </c>
      <c r="AI386" s="28" t="s">
        <v>462</v>
      </c>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row>
    <row r="387" ht="25.5" customHeight="1">
      <c r="A387" s="28">
        <v>125.0</v>
      </c>
      <c r="B387" s="37" t="b">
        <v>1</v>
      </c>
      <c r="C387" s="38" t="s">
        <v>106</v>
      </c>
      <c r="D387" s="38">
        <v>80.0</v>
      </c>
      <c r="E387" s="13" t="b">
        <v>1</v>
      </c>
      <c r="F387" s="13" t="b">
        <v>0</v>
      </c>
      <c r="G387" s="38" t="s">
        <v>284</v>
      </c>
      <c r="H387" s="38">
        <v>53.0</v>
      </c>
      <c r="I387" s="38" t="s">
        <v>224</v>
      </c>
      <c r="J387" s="38"/>
      <c r="K387" s="38" t="s">
        <v>224</v>
      </c>
      <c r="L387" s="38"/>
      <c r="M387" s="38" t="s">
        <v>35</v>
      </c>
      <c r="N387" s="38">
        <v>2000.0</v>
      </c>
      <c r="O387" s="38" t="s">
        <v>4571</v>
      </c>
      <c r="P387" s="40"/>
      <c r="Q387" s="38" t="s">
        <v>95</v>
      </c>
      <c r="R387" s="38">
        <v>41.0</v>
      </c>
      <c r="S387" s="38" t="s">
        <v>4572</v>
      </c>
      <c r="T387" s="38" t="s">
        <v>4573</v>
      </c>
      <c r="U387" s="38" t="s">
        <v>4574</v>
      </c>
      <c r="V387" s="38">
        <v>2012.0</v>
      </c>
      <c r="W387" s="38" t="s">
        <v>4579</v>
      </c>
      <c r="X387" s="49" t="str">
        <f>HYPERLINK("http://www.sciencedirect.com/science/article/pii/S1750583612000503","http://www.sciencedirect.com/science/article/pii/S1750583612000503")</f>
        <v>http://www.sciencedirect.com/science/article/pii/S1750583612000503</v>
      </c>
      <c r="Y387" s="38"/>
      <c r="Z387" s="38"/>
      <c r="AA387" s="38"/>
      <c r="AB387" s="38"/>
      <c r="AC387" s="38"/>
      <c r="AD387" s="38"/>
      <c r="AE387" s="38"/>
      <c r="AF387" s="3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row>
    <row r="388" ht="25.5" customHeight="1">
      <c r="A388" s="28">
        <v>288.0</v>
      </c>
      <c r="B388" s="37" t="b">
        <v>1</v>
      </c>
      <c r="C388" s="38" t="s">
        <v>106</v>
      </c>
      <c r="D388" s="38">
        <v>80.0</v>
      </c>
      <c r="E388" s="13" t="b">
        <v>0</v>
      </c>
      <c r="F388" s="13" t="b">
        <v>1</v>
      </c>
      <c r="G388" s="38" t="s">
        <v>224</v>
      </c>
      <c r="H388" s="38"/>
      <c r="I388" s="38" t="s">
        <v>536</v>
      </c>
      <c r="J388" s="38">
        <v>3.0</v>
      </c>
      <c r="K388" s="38" t="s">
        <v>224</v>
      </c>
      <c r="L388" s="38"/>
      <c r="M388" s="38" t="s">
        <v>388</v>
      </c>
      <c r="N388" s="38">
        <v>14000.0</v>
      </c>
      <c r="O388" s="38" t="s">
        <v>224</v>
      </c>
      <c r="P388" s="40"/>
      <c r="Q388" s="38" t="s">
        <v>289</v>
      </c>
      <c r="R388" s="38">
        <v>40.0</v>
      </c>
      <c r="S388" s="38" t="s">
        <v>4581</v>
      </c>
      <c r="T388" s="38" t="s">
        <v>4582</v>
      </c>
      <c r="U388" s="38" t="s">
        <v>4583</v>
      </c>
      <c r="V388" s="38">
        <v>2011.0</v>
      </c>
      <c r="W388" s="38" t="s">
        <v>4587</v>
      </c>
      <c r="X388" s="49" t="str">
        <f>HYPERLINK("http://nationalforum.com/Electronic%20Journal%20Volumes/Lunenburg,%20Fred%20C.%20Self-Efficacy%20in%20the%20Workplace%20IJMBA%20V14%20N1%202011.pdf","http://nationalforum.com/Electronic%20Journal%20Volumes/Lunenburg,%20Fred%20C.%20Self-Efficacy%20in%20the%20Workplace%20IJMBA%20V14%20N1%202011.pdf")</f>
        <v>http://nationalforum.com/Electronic%20Journal%20Volumes/Lunenburg,%20Fred%20C.%20Self-Efficacy%20in%20the%20Workplace%20IJMBA%20V14%20N1%202011.pdf</v>
      </c>
      <c r="Y388" s="38"/>
      <c r="Z388" s="38"/>
      <c r="AA388" s="38"/>
      <c r="AB388" s="38"/>
      <c r="AC388" s="38"/>
      <c r="AD388" s="38"/>
      <c r="AE388" s="38"/>
      <c r="AF388" s="38"/>
      <c r="AG388" s="28"/>
      <c r="AH388" s="28" t="s">
        <v>462</v>
      </c>
      <c r="AI388" s="28" t="s">
        <v>462</v>
      </c>
      <c r="AJ388" s="28"/>
      <c r="AK388" s="28" t="s">
        <v>1125</v>
      </c>
      <c r="AL388" s="28" t="s">
        <v>677</v>
      </c>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row>
    <row r="389" ht="25.5" customHeight="1">
      <c r="A389" s="28">
        <v>438.0</v>
      </c>
      <c r="B389" s="37" t="b">
        <v>1</v>
      </c>
      <c r="C389" s="38" t="s">
        <v>106</v>
      </c>
      <c r="D389" s="38">
        <v>80.0</v>
      </c>
      <c r="E389" s="13" t="b">
        <v>1</v>
      </c>
      <c r="F389" s="13" t="b">
        <v>0</v>
      </c>
      <c r="G389" s="38" t="s">
        <v>224</v>
      </c>
      <c r="H389" s="38"/>
      <c r="I389" s="38" t="s">
        <v>387</v>
      </c>
      <c r="J389" s="38">
        <v>8.0</v>
      </c>
      <c r="K389" s="38" t="s">
        <v>1113</v>
      </c>
      <c r="L389" s="38">
        <v>800.0</v>
      </c>
      <c r="M389" s="38" t="s">
        <v>2023</v>
      </c>
      <c r="N389" s="38" t="s">
        <v>2024</v>
      </c>
      <c r="O389" s="38" t="s">
        <v>3969</v>
      </c>
      <c r="P389" s="40"/>
      <c r="Q389" s="38" t="s">
        <v>272</v>
      </c>
      <c r="R389" s="38">
        <v>42.0</v>
      </c>
      <c r="S389" s="38" t="s">
        <v>4602</v>
      </c>
      <c r="T389" s="38" t="s">
        <v>4603</v>
      </c>
      <c r="U389" s="38" t="s">
        <v>4604</v>
      </c>
      <c r="V389" s="38">
        <v>2000.0</v>
      </c>
      <c r="W389" s="38" t="s">
        <v>4605</v>
      </c>
      <c r="X389" s="38" t="s">
        <v>4606</v>
      </c>
      <c r="Y389" s="38"/>
      <c r="Z389" s="38"/>
      <c r="AA389" s="38"/>
      <c r="AB389" s="38"/>
      <c r="AC389" s="38"/>
      <c r="AD389" s="38"/>
      <c r="AE389" s="38"/>
      <c r="AF389" s="38"/>
      <c r="AG389" s="28"/>
      <c r="AH389" s="28" t="s">
        <v>462</v>
      </c>
      <c r="AI389" s="28" t="s">
        <v>428</v>
      </c>
      <c r="AJ389" s="28"/>
      <c r="AK389" s="28"/>
      <c r="AL389" s="28"/>
      <c r="AM389" s="28"/>
      <c r="AN389" s="54"/>
      <c r="AO389" s="28"/>
      <c r="AP389" s="54"/>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row>
    <row r="390" ht="25.5" customHeight="1">
      <c r="A390" s="28">
        <v>276.0</v>
      </c>
      <c r="B390" s="37" t="b">
        <v>1</v>
      </c>
      <c r="C390" s="38" t="s">
        <v>106</v>
      </c>
      <c r="D390" s="38">
        <v>80.0</v>
      </c>
      <c r="E390" s="13" t="b">
        <v>0</v>
      </c>
      <c r="F390" s="13" t="b">
        <v>1</v>
      </c>
      <c r="G390" s="38" t="s">
        <v>224</v>
      </c>
      <c r="H390" s="38"/>
      <c r="I390" s="38" t="s">
        <v>536</v>
      </c>
      <c r="J390" s="38">
        <v>3.0</v>
      </c>
      <c r="K390" s="38" t="s">
        <v>603</v>
      </c>
      <c r="L390" s="38">
        <v>304.0</v>
      </c>
      <c r="M390" s="38" t="s">
        <v>3605</v>
      </c>
      <c r="N390" s="38" t="s">
        <v>3606</v>
      </c>
      <c r="O390" s="38" t="s">
        <v>4612</v>
      </c>
      <c r="P390" s="40"/>
      <c r="Q390" s="38" t="s">
        <v>289</v>
      </c>
      <c r="R390" s="38">
        <v>40.0</v>
      </c>
      <c r="S390" s="38" t="s">
        <v>4614</v>
      </c>
      <c r="T390" s="38" t="s">
        <v>4616</v>
      </c>
      <c r="U390" s="38" t="s">
        <v>4618</v>
      </c>
      <c r="V390" s="38">
        <v>2007.0</v>
      </c>
      <c r="W390" s="38" t="s">
        <v>4620</v>
      </c>
      <c r="X390" s="38" t="s">
        <v>4621</v>
      </c>
      <c r="Y390" s="38"/>
      <c r="Z390" s="38"/>
      <c r="AA390" s="38"/>
      <c r="AB390" s="38"/>
      <c r="AC390" s="38"/>
      <c r="AD390" s="38"/>
      <c r="AE390" s="38"/>
      <c r="AF390" s="38"/>
      <c r="AG390" s="28"/>
      <c r="AH390" s="28" t="s">
        <v>428</v>
      </c>
      <c r="AI390" s="28" t="s">
        <v>462</v>
      </c>
      <c r="AJ390" s="28"/>
      <c r="AK390" s="28"/>
      <c r="AL390" s="28"/>
      <c r="AM390" s="28"/>
      <c r="AN390" s="28"/>
      <c r="AO390" s="28"/>
      <c r="AP390" s="28"/>
      <c r="AQ390" s="28"/>
      <c r="AR390" s="28"/>
      <c r="AS390" s="28"/>
      <c r="AT390" s="28"/>
      <c r="AU390" s="28"/>
      <c r="AV390" s="28"/>
      <c r="AW390" s="28"/>
      <c r="AX390" s="28"/>
      <c r="AY390" s="28"/>
      <c r="AZ390" s="28"/>
      <c r="BA390" s="28" t="s">
        <v>4622</v>
      </c>
      <c r="BB390" s="28"/>
      <c r="BC390" s="28"/>
      <c r="BD390" s="28"/>
      <c r="BE390" s="28"/>
      <c r="BF390" s="28"/>
      <c r="BG390" s="28"/>
      <c r="BH390" s="28"/>
      <c r="BI390" s="28"/>
      <c r="BJ390" s="28"/>
      <c r="BK390" s="28"/>
      <c r="BL390" s="28"/>
      <c r="BM390" s="28"/>
      <c r="BN390" s="28"/>
      <c r="BO390" s="28"/>
    </row>
    <row r="391" ht="25.5" customHeight="1">
      <c r="A391" s="32">
        <v>20051.0</v>
      </c>
      <c r="B391" s="37" t="b">
        <v>1</v>
      </c>
      <c r="C391" s="62" t="s">
        <v>274</v>
      </c>
      <c r="D391" s="62">
        <v>82.0</v>
      </c>
      <c r="E391" s="13" t="b">
        <v>0</v>
      </c>
      <c r="F391" s="13" t="b">
        <v>1</v>
      </c>
      <c r="G391" s="62" t="s">
        <v>224</v>
      </c>
      <c r="H391" s="62"/>
      <c r="I391" s="62" t="s">
        <v>68</v>
      </c>
      <c r="J391" s="67">
        <v>7.0</v>
      </c>
      <c r="K391" s="62" t="s">
        <v>69</v>
      </c>
      <c r="L391" s="62">
        <v>700.0</v>
      </c>
      <c r="M391" s="62" t="s">
        <v>239</v>
      </c>
      <c r="N391" s="38">
        <v>4000.0</v>
      </c>
      <c r="O391" s="62" t="s">
        <v>70</v>
      </c>
      <c r="P391" s="58"/>
      <c r="Q391" s="62" t="s">
        <v>95</v>
      </c>
      <c r="R391" s="67"/>
      <c r="S391" s="62" t="s">
        <v>99</v>
      </c>
      <c r="T391" s="62" t="s">
        <v>100</v>
      </c>
      <c r="U391" s="62" t="s">
        <v>101</v>
      </c>
      <c r="V391" s="68">
        <v>41659.0</v>
      </c>
      <c r="W391" s="62"/>
      <c r="X391" s="62" t="s">
        <v>102</v>
      </c>
      <c r="Y391" s="62" t="s">
        <v>96</v>
      </c>
      <c r="Z391" s="62"/>
      <c r="AA391" s="62"/>
      <c r="AB391" s="62"/>
      <c r="AC391" s="62"/>
      <c r="AD391" s="62"/>
      <c r="AE391" s="62"/>
      <c r="AF391" s="6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t="s">
        <v>103</v>
      </c>
      <c r="BC391" s="32">
        <v>3.0</v>
      </c>
      <c r="BD391" s="32" t="s">
        <v>113</v>
      </c>
      <c r="BE391" s="32" t="s">
        <v>114</v>
      </c>
      <c r="BF391" s="32"/>
      <c r="BG391" s="32"/>
      <c r="BH391" s="32"/>
      <c r="BI391" s="32"/>
      <c r="BJ391" s="32"/>
      <c r="BK391" s="32"/>
      <c r="BL391" s="32"/>
      <c r="BM391" s="32"/>
      <c r="BN391" s="32"/>
      <c r="BO391" s="32"/>
    </row>
    <row r="392" ht="25.5" customHeight="1">
      <c r="A392" s="32">
        <v>20078.0</v>
      </c>
      <c r="B392" s="37" t="b">
        <v>1</v>
      </c>
      <c r="C392" s="62" t="s">
        <v>274</v>
      </c>
      <c r="D392" s="62">
        <v>82.0</v>
      </c>
      <c r="E392" s="13" t="b">
        <v>0</v>
      </c>
      <c r="F392" s="13" t="b">
        <v>1</v>
      </c>
      <c r="G392" s="62" t="s">
        <v>224</v>
      </c>
      <c r="H392" s="62"/>
      <c r="I392" s="62" t="s">
        <v>779</v>
      </c>
      <c r="J392" s="67">
        <v>5.0</v>
      </c>
      <c r="K392" s="62" t="s">
        <v>788</v>
      </c>
      <c r="L392" s="62">
        <v>500.0</v>
      </c>
      <c r="M392" s="38" t="s">
        <v>411</v>
      </c>
      <c r="N392" s="38">
        <v>21000.0</v>
      </c>
      <c r="O392" s="62" t="s">
        <v>789</v>
      </c>
      <c r="P392" s="58"/>
      <c r="Q392" s="62" t="s">
        <v>95</v>
      </c>
      <c r="R392" s="67"/>
      <c r="S392" s="62" t="s">
        <v>793</v>
      </c>
      <c r="T392" s="62" t="s">
        <v>794</v>
      </c>
      <c r="U392" s="62" t="s">
        <v>101</v>
      </c>
      <c r="V392" s="68">
        <v>40955.0</v>
      </c>
      <c r="W392" s="62"/>
      <c r="X392" s="62" t="s">
        <v>795</v>
      </c>
      <c r="Y392" s="62" t="s">
        <v>791</v>
      </c>
      <c r="Z392" s="62"/>
      <c r="AA392" s="62"/>
      <c r="AB392" s="62"/>
      <c r="AC392" s="62"/>
      <c r="AD392" s="62"/>
      <c r="AE392" s="62"/>
      <c r="AF392" s="6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v>3.0</v>
      </c>
      <c r="BD392" s="32" t="s">
        <v>796</v>
      </c>
      <c r="BE392" s="32" t="s">
        <v>114</v>
      </c>
      <c r="BF392" s="32"/>
      <c r="BG392" s="32"/>
      <c r="BH392" s="32"/>
      <c r="BI392" s="32"/>
      <c r="BJ392" s="32"/>
      <c r="BK392" s="32"/>
      <c r="BL392" s="32"/>
      <c r="BM392" s="32"/>
      <c r="BN392" s="32"/>
      <c r="BO392" s="32"/>
    </row>
    <row r="393" ht="25.5" customHeight="1">
      <c r="A393" s="28">
        <v>10275.0</v>
      </c>
      <c r="B393" s="37" t="b">
        <v>1</v>
      </c>
      <c r="C393" s="38" t="s">
        <v>238</v>
      </c>
      <c r="D393" s="38">
        <v>81.0</v>
      </c>
      <c r="E393" s="13" t="b">
        <v>0</v>
      </c>
      <c r="F393" s="13" t="b">
        <v>1</v>
      </c>
      <c r="G393" s="38" t="s">
        <v>224</v>
      </c>
      <c r="H393" s="38"/>
      <c r="I393" s="38" t="s">
        <v>3997</v>
      </c>
      <c r="J393" s="38" t="s">
        <v>3998</v>
      </c>
      <c r="K393" s="38"/>
      <c r="L393" s="38"/>
      <c r="M393" s="38" t="s">
        <v>107</v>
      </c>
      <c r="N393" s="38">
        <v>3000.0</v>
      </c>
      <c r="O393" s="38" t="s">
        <v>470</v>
      </c>
      <c r="P393" s="40"/>
      <c r="Q393" s="38" t="s">
        <v>111</v>
      </c>
      <c r="R393" s="38">
        <v>41.0</v>
      </c>
      <c r="S393" s="38" t="s">
        <v>99</v>
      </c>
      <c r="T393" s="38" t="s">
        <v>4000</v>
      </c>
      <c r="U393" s="38" t="s">
        <v>3850</v>
      </c>
      <c r="V393" s="55">
        <v>41659.0</v>
      </c>
      <c r="W393" s="38" t="s">
        <v>4005</v>
      </c>
      <c r="X393" s="49" t="str">
        <f>HYPERLINK("http://inudgeyou.com/click/","http://inudgeyou.com/click/")</f>
        <v>http://inudgeyou.com/click/</v>
      </c>
      <c r="Y393" s="38"/>
      <c r="Z393" s="38"/>
      <c r="AA393" s="38"/>
      <c r="AB393" s="38"/>
      <c r="AC393" s="38"/>
      <c r="AD393" s="38"/>
      <c r="AE393" s="38"/>
      <c r="AF393" s="38"/>
      <c r="AG393" s="28"/>
      <c r="AH393" s="28" t="s">
        <v>428</v>
      </c>
      <c r="AI393" s="28" t="s">
        <v>4012</v>
      </c>
      <c r="AJ393" s="28"/>
      <c r="AK393" s="28">
        <v>1.0</v>
      </c>
      <c r="AL393" s="28" t="s">
        <v>769</v>
      </c>
      <c r="AM393" s="28" t="s">
        <v>4013</v>
      </c>
      <c r="AN393" s="54">
        <v>42326.0</v>
      </c>
      <c r="AO393" s="54"/>
      <c r="AP393" s="54">
        <v>42611.0</v>
      </c>
      <c r="AQ393" s="28" t="s">
        <v>769</v>
      </c>
      <c r="AR393" s="28"/>
      <c r="AS393" s="54">
        <v>42489.0</v>
      </c>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row>
    <row r="394" ht="25.5" customHeight="1">
      <c r="A394" s="28">
        <v>10279.0</v>
      </c>
      <c r="B394" s="37" t="b">
        <v>1</v>
      </c>
      <c r="C394" s="38" t="s">
        <v>238</v>
      </c>
      <c r="D394" s="38">
        <v>81.0</v>
      </c>
      <c r="E394" s="13" t="b">
        <v>0</v>
      </c>
      <c r="F394" s="13" t="b">
        <v>1</v>
      </c>
      <c r="G394" s="38" t="s">
        <v>224</v>
      </c>
      <c r="H394" s="38"/>
      <c r="I394" s="38" t="s">
        <v>743</v>
      </c>
      <c r="J394" s="38" t="s">
        <v>744</v>
      </c>
      <c r="K394" s="38"/>
      <c r="L394" s="38"/>
      <c r="M394" s="38" t="s">
        <v>107</v>
      </c>
      <c r="N394" s="38">
        <v>3000.0</v>
      </c>
      <c r="O394" s="38" t="s">
        <v>4046</v>
      </c>
      <c r="P394" s="40"/>
      <c r="Q394" s="38" t="s">
        <v>111</v>
      </c>
      <c r="R394" s="38">
        <v>41.0</v>
      </c>
      <c r="S394" s="38" t="s">
        <v>4051</v>
      </c>
      <c r="T394" s="38" t="s">
        <v>4052</v>
      </c>
      <c r="U394" s="38" t="s">
        <v>3850</v>
      </c>
      <c r="V394" s="55">
        <v>42072.0</v>
      </c>
      <c r="W394" s="38" t="s">
        <v>4053</v>
      </c>
      <c r="X394" s="49" t="str">
        <f>HYPERLINK("http://inudgeyou.com/nudge-for-reducing-junk-ads/","http://inudgeyou.com/nudge-for-reducing-junk-ads/")</f>
        <v>http://inudgeyou.com/nudge-for-reducing-junk-ads/</v>
      </c>
      <c r="Y394" s="38"/>
      <c r="Z394" s="38"/>
      <c r="AA394" s="38"/>
      <c r="AB394" s="38"/>
      <c r="AC394" s="38"/>
      <c r="AD394" s="38"/>
      <c r="AE394" s="38"/>
      <c r="AF394" s="38"/>
      <c r="AG394" s="28" t="s">
        <v>4060</v>
      </c>
      <c r="AH394" s="28" t="s">
        <v>462</v>
      </c>
      <c r="AI394" s="28" t="s">
        <v>462</v>
      </c>
      <c r="AJ394" s="28"/>
      <c r="AK394" s="28"/>
      <c r="AL394" s="28" t="s">
        <v>769</v>
      </c>
      <c r="AM394" s="28" t="s">
        <v>4061</v>
      </c>
      <c r="AN394" s="54">
        <v>42170.0</v>
      </c>
      <c r="AO394" s="54"/>
      <c r="AP394" s="54">
        <v>42614.0</v>
      </c>
      <c r="AQ394" s="28"/>
      <c r="AR394" s="28"/>
      <c r="AS394" s="54"/>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row>
    <row r="395" ht="25.5" customHeight="1">
      <c r="A395" s="28">
        <v>10261.0</v>
      </c>
      <c r="B395" s="37" t="b">
        <v>1</v>
      </c>
      <c r="C395" s="38" t="s">
        <v>238</v>
      </c>
      <c r="D395" s="38">
        <v>81.0</v>
      </c>
      <c r="E395" s="13" t="b">
        <v>0</v>
      </c>
      <c r="F395" s="13" t="b">
        <v>1</v>
      </c>
      <c r="G395" s="38" t="s">
        <v>224</v>
      </c>
      <c r="H395" s="38"/>
      <c r="I395" s="38" t="s">
        <v>3844</v>
      </c>
      <c r="J395" s="38" t="s">
        <v>3845</v>
      </c>
      <c r="K395" s="38"/>
      <c r="L395" s="38"/>
      <c r="M395" s="38" t="s">
        <v>388</v>
      </c>
      <c r="N395" s="38">
        <v>14000.0</v>
      </c>
      <c r="O395" s="38" t="s">
        <v>224</v>
      </c>
      <c r="P395" s="40"/>
      <c r="Q395" s="38" t="s">
        <v>111</v>
      </c>
      <c r="R395" s="38">
        <v>41.0</v>
      </c>
      <c r="S395" s="61" t="s">
        <v>3848</v>
      </c>
      <c r="T395" s="38" t="s">
        <v>3849</v>
      </c>
      <c r="U395" s="38" t="s">
        <v>3850</v>
      </c>
      <c r="V395" s="55">
        <v>42377.0</v>
      </c>
      <c r="W395" s="38" t="s">
        <v>3851</v>
      </c>
      <c r="X395" s="49" t="str">
        <f>HYPERLINK("http://inudgeyou.com/archives/6638","http://inudgeyou.com/archives/6638")</f>
        <v>http://inudgeyou.com/archives/6638</v>
      </c>
      <c r="Y395" s="38"/>
      <c r="Z395" s="38"/>
      <c r="AA395" s="38"/>
      <c r="AB395" s="38"/>
      <c r="AC395" s="38"/>
      <c r="AD395" s="38"/>
      <c r="AE395" s="38"/>
      <c r="AF395" s="38"/>
      <c r="AG395" s="28"/>
      <c r="AH395" s="28"/>
      <c r="AI395" s="28"/>
      <c r="AJ395" s="28"/>
      <c r="AK395" s="28"/>
      <c r="AL395" s="28" t="s">
        <v>677</v>
      </c>
      <c r="AM395" s="28"/>
      <c r="AN395" s="28"/>
      <c r="AO395" s="28"/>
      <c r="AP395" s="28"/>
      <c r="AQ395" s="28"/>
      <c r="AR395" s="28"/>
      <c r="AS395" s="28"/>
      <c r="AT395" s="28"/>
      <c r="AU395" s="28"/>
      <c r="AV395" s="28"/>
      <c r="AW395" s="28"/>
      <c r="AX395" s="28"/>
      <c r="AY395" s="28" t="s">
        <v>428</v>
      </c>
      <c r="AZ395" s="28"/>
      <c r="BA395" s="28"/>
      <c r="BB395" s="28"/>
      <c r="BC395" s="28"/>
      <c r="BD395" s="28"/>
      <c r="BE395" s="28"/>
      <c r="BF395" s="28"/>
      <c r="BG395" s="28"/>
      <c r="BH395" s="28"/>
      <c r="BI395" s="28"/>
      <c r="BJ395" s="28"/>
      <c r="BK395" s="28"/>
      <c r="BL395" s="28"/>
      <c r="BM395" s="28"/>
      <c r="BN395" s="28"/>
      <c r="BO395" s="28"/>
    </row>
    <row r="396" ht="25.5" customHeight="1">
      <c r="A396" s="28">
        <v>10283.0</v>
      </c>
      <c r="B396" s="37" t="b">
        <v>1</v>
      </c>
      <c r="C396" s="38" t="s">
        <v>238</v>
      </c>
      <c r="D396" s="38">
        <v>81.0</v>
      </c>
      <c r="E396" s="13" t="b">
        <v>0</v>
      </c>
      <c r="F396" s="13" t="b">
        <v>1</v>
      </c>
      <c r="G396" s="38" t="s">
        <v>224</v>
      </c>
      <c r="H396" s="38"/>
      <c r="I396" s="38" t="s">
        <v>743</v>
      </c>
      <c r="J396" s="38" t="s">
        <v>744</v>
      </c>
      <c r="K396" s="38"/>
      <c r="L396" s="38"/>
      <c r="M396" s="38" t="s">
        <v>411</v>
      </c>
      <c r="N396" s="38">
        <v>21000.0</v>
      </c>
      <c r="O396" s="38" t="s">
        <v>789</v>
      </c>
      <c r="P396" s="40"/>
      <c r="Q396" s="38" t="s">
        <v>111</v>
      </c>
      <c r="R396" s="38">
        <v>41.0</v>
      </c>
      <c r="S396" s="38" t="s">
        <v>4087</v>
      </c>
      <c r="T396" s="38" t="s">
        <v>4088</v>
      </c>
      <c r="U396" s="38" t="s">
        <v>3850</v>
      </c>
      <c r="V396" s="55">
        <v>41834.0</v>
      </c>
      <c r="W396" s="38"/>
      <c r="X396" s="49" t="str">
        <f>HYPERLINK("http://inudgeyou.com/green-footprints-ashfield/","http://inudgeyou.com/green-footprints-ashfield/")</f>
        <v>http://inudgeyou.com/green-footprints-ashfield/</v>
      </c>
      <c r="Y396" s="38"/>
      <c r="Z396" s="38"/>
      <c r="AA396" s="38"/>
      <c r="AB396" s="38"/>
      <c r="AC396" s="38"/>
      <c r="AD396" s="38"/>
      <c r="AE396" s="38"/>
      <c r="AF396" s="38"/>
      <c r="AG396" s="28"/>
      <c r="AH396" s="28" t="s">
        <v>462</v>
      </c>
      <c r="AI396" s="28" t="s">
        <v>462</v>
      </c>
      <c r="AJ396" s="28"/>
      <c r="AK396" s="28" t="s">
        <v>676</v>
      </c>
      <c r="AL396" s="28" t="s">
        <v>600</v>
      </c>
      <c r="AM396" s="28"/>
      <c r="AN396" s="54"/>
      <c r="AO396" s="54"/>
      <c r="AP396" s="28"/>
      <c r="AQ396" s="28"/>
      <c r="AR396" s="28"/>
      <c r="AS396" s="54"/>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row>
    <row r="397" ht="25.5" customHeight="1">
      <c r="A397" s="28">
        <v>10389.0</v>
      </c>
      <c r="B397" s="37" t="b">
        <v>1</v>
      </c>
      <c r="C397" s="38" t="s">
        <v>238</v>
      </c>
      <c r="D397" s="38">
        <v>81.0</v>
      </c>
      <c r="E397" s="13" t="b">
        <v>0</v>
      </c>
      <c r="F397" s="13" t="b">
        <v>1</v>
      </c>
      <c r="G397" s="38" t="s">
        <v>224</v>
      </c>
      <c r="H397" s="38"/>
      <c r="I397" s="38" t="s">
        <v>3651</v>
      </c>
      <c r="J397" s="38" t="s">
        <v>1231</v>
      </c>
      <c r="K397" s="38"/>
      <c r="L397" s="38"/>
      <c r="M397" s="38" t="s">
        <v>411</v>
      </c>
      <c r="N397" s="38">
        <v>21000.0</v>
      </c>
      <c r="O397" s="38" t="s">
        <v>789</v>
      </c>
      <c r="P397" s="40"/>
      <c r="Q397" s="38" t="s">
        <v>111</v>
      </c>
      <c r="R397" s="38">
        <v>41.0</v>
      </c>
      <c r="S397" s="38" t="s">
        <v>4662</v>
      </c>
      <c r="T397" s="38" t="s">
        <v>4000</v>
      </c>
      <c r="U397" s="38" t="s">
        <v>3850</v>
      </c>
      <c r="V397" s="55">
        <v>40955.0</v>
      </c>
      <c r="W397" s="38" t="s">
        <v>4665</v>
      </c>
      <c r="X397" s="49" t="str">
        <f>HYPERLINK("http://inudgeyou.com/green-nudge-nudging-litter-into-the-bin/","http://inudgeyou.com/green-nudge-nudging-litter-into-the-bin/")</f>
        <v>http://inudgeyou.com/green-nudge-nudging-litter-into-the-bin/</v>
      </c>
      <c r="Y397" s="38"/>
      <c r="Z397" s="38"/>
      <c r="AA397" s="38"/>
      <c r="AB397" s="38"/>
      <c r="AC397" s="38"/>
      <c r="AD397" s="38"/>
      <c r="AE397" s="38"/>
      <c r="AF397" s="38"/>
      <c r="AG397" s="28"/>
      <c r="AH397" s="28" t="s">
        <v>4672</v>
      </c>
      <c r="AI397" s="28" t="s">
        <v>4673</v>
      </c>
      <c r="AJ397" s="28"/>
      <c r="AK397" s="28">
        <v>1.0</v>
      </c>
      <c r="AL397" s="28" t="s">
        <v>769</v>
      </c>
      <c r="AM397" s="28" t="s">
        <v>4674</v>
      </c>
      <c r="AN397" s="54">
        <v>41905.0</v>
      </c>
      <c r="AO397" s="54"/>
      <c r="AP397" s="54"/>
      <c r="AQ397" s="28" t="s">
        <v>769</v>
      </c>
      <c r="AR397" s="28"/>
      <c r="AS397" s="54">
        <v>42438.0</v>
      </c>
      <c r="AT397" s="28"/>
      <c r="AU397" s="28"/>
      <c r="AV397" s="28"/>
      <c r="AW397" s="28"/>
      <c r="AX397" s="28"/>
      <c r="AY397" s="28"/>
      <c r="AZ397" s="28" t="s">
        <v>4156</v>
      </c>
      <c r="BA397" s="28"/>
      <c r="BB397" s="28"/>
      <c r="BC397" s="28"/>
      <c r="BD397" s="28"/>
      <c r="BE397" s="28"/>
      <c r="BF397" s="28"/>
      <c r="BG397" s="28"/>
      <c r="BH397" s="28"/>
      <c r="BI397" s="28"/>
      <c r="BJ397" s="28"/>
      <c r="BK397" s="28"/>
      <c r="BL397" s="28"/>
      <c r="BM397" s="28"/>
      <c r="BN397" s="28"/>
      <c r="BO397" s="28"/>
    </row>
    <row r="398" ht="25.5" customHeight="1">
      <c r="A398" s="28">
        <v>10196.0</v>
      </c>
      <c r="B398" s="37" t="b">
        <v>1</v>
      </c>
      <c r="C398" s="38" t="s">
        <v>238</v>
      </c>
      <c r="D398" s="38">
        <v>81.0</v>
      </c>
      <c r="E398" s="13" t="b">
        <v>0</v>
      </c>
      <c r="F398" s="13" t="b">
        <v>1</v>
      </c>
      <c r="G398" s="38" t="s">
        <v>224</v>
      </c>
      <c r="H398" s="38"/>
      <c r="I398" s="38" t="s">
        <v>3317</v>
      </c>
      <c r="J398" s="38" t="s">
        <v>3318</v>
      </c>
      <c r="K398" s="38"/>
      <c r="L398" s="38"/>
      <c r="M398" s="38" t="s">
        <v>388</v>
      </c>
      <c r="N398" s="38">
        <v>14000.0</v>
      </c>
      <c r="O398" s="38" t="s">
        <v>224</v>
      </c>
      <c r="P398" s="40"/>
      <c r="Q398" s="38" t="s">
        <v>289</v>
      </c>
      <c r="R398" s="38">
        <v>40.0</v>
      </c>
      <c r="S398" s="38" t="s">
        <v>3319</v>
      </c>
      <c r="T398" s="38" t="s">
        <v>3320</v>
      </c>
      <c r="U398" s="38" t="s">
        <v>3321</v>
      </c>
      <c r="V398" s="55">
        <v>42278.0</v>
      </c>
      <c r="W398" s="38" t="s">
        <v>3322</v>
      </c>
      <c r="X398" s="49" t="str">
        <f>HYPERLINK("http://irrationallabs.org/2015/10/a-long-list-of-examples-of-be-tech/","http://irrationallabs.org/2015/10/a-long-list-of-examples-of-be-tech/")</f>
        <v>http://irrationallabs.org/2015/10/a-long-list-of-examples-of-be-tech/</v>
      </c>
      <c r="Y398" s="38"/>
      <c r="Z398" s="38"/>
      <c r="AA398" s="38"/>
      <c r="AB398" s="38"/>
      <c r="AC398" s="38"/>
      <c r="AD398" s="38"/>
      <c r="AE398" s="38"/>
      <c r="AF398" s="38"/>
      <c r="AG398" s="28"/>
      <c r="AH398" s="28" t="s">
        <v>462</v>
      </c>
      <c r="AI398" s="28" t="s">
        <v>462</v>
      </c>
      <c r="AJ398" s="28"/>
      <c r="AK398" s="28" t="s">
        <v>676</v>
      </c>
      <c r="AL398" s="28" t="s">
        <v>677</v>
      </c>
      <c r="AM398" s="28"/>
      <c r="AN398" s="54"/>
      <c r="AO398" s="54"/>
      <c r="AP398" s="28"/>
      <c r="AQ398" s="28"/>
      <c r="AR398" s="28"/>
      <c r="AS398" s="54"/>
      <c r="AT398" s="28"/>
      <c r="AU398" s="28"/>
      <c r="AV398" s="28"/>
      <c r="AW398" s="28"/>
      <c r="AX398" s="28"/>
      <c r="AY398" s="28"/>
      <c r="AZ398" s="28" t="s">
        <v>678</v>
      </c>
      <c r="BA398" s="28"/>
      <c r="BB398" s="28"/>
      <c r="BC398" s="28"/>
      <c r="BD398" s="28"/>
      <c r="BE398" s="28"/>
      <c r="BF398" s="28"/>
      <c r="BG398" s="28"/>
      <c r="BH398" s="28"/>
      <c r="BI398" s="28"/>
      <c r="BJ398" s="28"/>
      <c r="BK398" s="28"/>
      <c r="BL398" s="28"/>
      <c r="BM398" s="28"/>
      <c r="BN398" s="28"/>
      <c r="BO398" s="28"/>
    </row>
    <row r="399" ht="25.5" customHeight="1">
      <c r="A399" s="28">
        <v>10349.0</v>
      </c>
      <c r="B399" s="37" t="b">
        <v>1</v>
      </c>
      <c r="C399" s="38" t="s">
        <v>238</v>
      </c>
      <c r="D399" s="38">
        <v>81.0</v>
      </c>
      <c r="E399" s="13" t="b">
        <v>0</v>
      </c>
      <c r="F399" s="13" t="b">
        <v>1</v>
      </c>
      <c r="G399" s="38" t="s">
        <v>224</v>
      </c>
      <c r="H399" s="38"/>
      <c r="I399" s="38" t="s">
        <v>280</v>
      </c>
      <c r="J399" s="38">
        <v>10.0</v>
      </c>
      <c r="K399" s="38"/>
      <c r="L399" s="38"/>
      <c r="M399" s="38" t="s">
        <v>992</v>
      </c>
      <c r="N399" s="38" t="s">
        <v>993</v>
      </c>
      <c r="O399" s="38" t="s">
        <v>994</v>
      </c>
      <c r="P399" s="40"/>
      <c r="Q399" s="38" t="s">
        <v>289</v>
      </c>
      <c r="R399" s="38">
        <v>40.0</v>
      </c>
      <c r="S399" s="38" t="s">
        <v>4666</v>
      </c>
      <c r="T399" s="38" t="s">
        <v>215</v>
      </c>
      <c r="U399" s="38" t="s">
        <v>4667</v>
      </c>
      <c r="V399" s="38"/>
      <c r="W399" s="38" t="s">
        <v>4668</v>
      </c>
      <c r="X399" s="38" t="s">
        <v>4669</v>
      </c>
      <c r="Y399" s="38"/>
      <c r="Z399" s="38"/>
      <c r="AA399" s="38"/>
      <c r="AB399" s="38"/>
      <c r="AC399" s="38"/>
      <c r="AD399" s="38"/>
      <c r="AE399" s="38"/>
      <c r="AF399" s="38"/>
      <c r="AG399" s="28" t="s">
        <v>4670</v>
      </c>
      <c r="AH399" s="28"/>
      <c r="AI399" s="28"/>
      <c r="AJ399" s="28"/>
      <c r="AK399" s="28"/>
      <c r="AL399" s="28"/>
      <c r="AM399" s="28"/>
      <c r="AN399" s="28"/>
      <c r="AO399" s="28"/>
      <c r="AP399" s="28"/>
      <c r="AQ399" s="28"/>
      <c r="AR399" s="28"/>
      <c r="AS399" s="28"/>
      <c r="AT399" s="28"/>
      <c r="AU399" s="28"/>
      <c r="AV399" s="28"/>
      <c r="AW399" s="28"/>
      <c r="AX399" s="28"/>
      <c r="AY399" s="28"/>
      <c r="AZ399" s="28" t="s">
        <v>314</v>
      </c>
      <c r="BA399" s="28"/>
      <c r="BB399" s="28"/>
      <c r="BC399" s="28"/>
      <c r="BD399" s="28"/>
      <c r="BE399" s="28"/>
      <c r="BF399" s="28"/>
      <c r="BG399" s="28"/>
      <c r="BH399" s="28"/>
      <c r="BI399" s="28"/>
      <c r="BJ399" s="28"/>
      <c r="BK399" s="28"/>
      <c r="BL399" s="28"/>
      <c r="BM399" s="28"/>
      <c r="BN399" s="28"/>
      <c r="BO399" s="28"/>
    </row>
    <row r="400" ht="25.5" customHeight="1">
      <c r="A400" s="28">
        <v>10350.0</v>
      </c>
      <c r="B400" s="37" t="b">
        <v>1</v>
      </c>
      <c r="C400" s="38" t="s">
        <v>238</v>
      </c>
      <c r="D400" s="38">
        <v>81.0</v>
      </c>
      <c r="E400" s="13" t="b">
        <v>0</v>
      </c>
      <c r="F400" s="13" t="b">
        <v>1</v>
      </c>
      <c r="G400" s="38" t="s">
        <v>224</v>
      </c>
      <c r="H400" s="38"/>
      <c r="I400" s="38" t="s">
        <v>280</v>
      </c>
      <c r="J400" s="38">
        <v>10.0</v>
      </c>
      <c r="K400" s="38"/>
      <c r="L400" s="38"/>
      <c r="M400" s="38" t="s">
        <v>992</v>
      </c>
      <c r="N400" s="38" t="s">
        <v>993</v>
      </c>
      <c r="O400" s="38" t="s">
        <v>994</v>
      </c>
      <c r="P400" s="40"/>
      <c r="Q400" s="38" t="s">
        <v>289</v>
      </c>
      <c r="R400" s="38">
        <v>40.0</v>
      </c>
      <c r="S400" s="38" t="s">
        <v>4675</v>
      </c>
      <c r="T400" s="38" t="s">
        <v>215</v>
      </c>
      <c r="U400" s="38" t="s">
        <v>4667</v>
      </c>
      <c r="V400" s="38"/>
      <c r="W400" s="38" t="s">
        <v>4676</v>
      </c>
      <c r="X400" s="38" t="s">
        <v>4677</v>
      </c>
      <c r="Y400" s="38"/>
      <c r="Z400" s="38"/>
      <c r="AA400" s="38"/>
      <c r="AB400" s="38"/>
      <c r="AC400" s="38"/>
      <c r="AD400" s="38"/>
      <c r="AE400" s="38"/>
      <c r="AF400" s="38"/>
      <c r="AG400" s="28" t="s">
        <v>4678</v>
      </c>
      <c r="AH400" s="28"/>
      <c r="AI400" s="28"/>
      <c r="AJ400" s="28"/>
      <c r="AK400" s="28"/>
      <c r="AL400" s="28"/>
      <c r="AM400" s="28"/>
      <c r="AN400" s="28"/>
      <c r="AO400" s="28"/>
      <c r="AP400" s="28"/>
      <c r="AQ400" s="28"/>
      <c r="AR400" s="28"/>
      <c r="AS400" s="28"/>
      <c r="AT400" s="28"/>
      <c r="AU400" s="28"/>
      <c r="AV400" s="28"/>
      <c r="AW400" s="28"/>
      <c r="AX400" s="28"/>
      <c r="AY400" s="28"/>
      <c r="AZ400" s="28" t="s">
        <v>314</v>
      </c>
      <c r="BA400" s="28"/>
      <c r="BB400" s="28"/>
      <c r="BC400" s="28"/>
      <c r="BD400" s="28"/>
      <c r="BE400" s="28"/>
      <c r="BF400" s="28"/>
      <c r="BG400" s="28"/>
      <c r="BH400" s="28"/>
      <c r="BI400" s="28"/>
      <c r="BJ400" s="28"/>
      <c r="BK400" s="28"/>
      <c r="BL400" s="28"/>
      <c r="BM400" s="28"/>
      <c r="BN400" s="28"/>
      <c r="BO400" s="28"/>
    </row>
    <row r="401" ht="25.5" customHeight="1">
      <c r="A401" s="28">
        <v>177.0</v>
      </c>
      <c r="B401" s="37" t="b">
        <v>1</v>
      </c>
      <c r="C401" s="38" t="s">
        <v>106</v>
      </c>
      <c r="D401" s="38">
        <v>80.0</v>
      </c>
      <c r="E401" s="13" t="b">
        <v>0</v>
      </c>
      <c r="F401" s="13" t="b">
        <v>1</v>
      </c>
      <c r="G401" s="38" t="s">
        <v>224</v>
      </c>
      <c r="H401" s="38"/>
      <c r="I401" s="38" t="s">
        <v>429</v>
      </c>
      <c r="J401" s="38">
        <v>2.0</v>
      </c>
      <c r="K401" s="38" t="s">
        <v>524</v>
      </c>
      <c r="L401" s="62">
        <v>205.0</v>
      </c>
      <c r="M401" s="38" t="s">
        <v>239</v>
      </c>
      <c r="N401" s="38">
        <v>4000.0</v>
      </c>
      <c r="O401" s="38" t="s">
        <v>2867</v>
      </c>
      <c r="P401" s="40"/>
      <c r="Q401" s="38" t="s">
        <v>111</v>
      </c>
      <c r="R401" s="38">
        <v>41.0</v>
      </c>
      <c r="S401" s="38" t="s">
        <v>4717</v>
      </c>
      <c r="T401" s="38" t="s">
        <v>4719</v>
      </c>
      <c r="U401" s="38" t="s">
        <v>4720</v>
      </c>
      <c r="V401" s="38">
        <v>2012.0</v>
      </c>
      <c r="W401" s="38" t="s">
        <v>4725</v>
      </c>
      <c r="X401" s="38" t="s">
        <v>4726</v>
      </c>
      <c r="Y401" s="38"/>
      <c r="Z401" s="38"/>
      <c r="AA401" s="38"/>
      <c r="AB401" s="38"/>
      <c r="AC401" s="38"/>
      <c r="AD401" s="38"/>
      <c r="AE401" s="38"/>
      <c r="AF401" s="38"/>
      <c r="AG401" s="28"/>
      <c r="AH401" s="28" t="s">
        <v>428</v>
      </c>
      <c r="AI401" s="28" t="s">
        <v>462</v>
      </c>
      <c r="AJ401" s="28"/>
      <c r="AK401" s="28"/>
      <c r="AL401" s="28"/>
      <c r="AM401" s="28"/>
      <c r="AN401" s="28"/>
      <c r="AO401" s="28"/>
      <c r="AP401" s="28"/>
      <c r="AQ401" s="28"/>
      <c r="AR401" s="28"/>
      <c r="AS401" s="28"/>
      <c r="AT401" s="28"/>
      <c r="AU401" s="28"/>
      <c r="AV401" s="28"/>
      <c r="AW401" s="28"/>
      <c r="AX401" s="28"/>
      <c r="AY401" s="28"/>
      <c r="AZ401" s="28"/>
      <c r="BA401" s="28" t="s">
        <v>4728</v>
      </c>
      <c r="BB401" s="28"/>
      <c r="BC401" s="28"/>
      <c r="BD401" s="28"/>
      <c r="BE401" s="28"/>
      <c r="BF401" s="28"/>
      <c r="BG401" s="28"/>
      <c r="BH401" s="28"/>
      <c r="BI401" s="28"/>
      <c r="BJ401" s="28"/>
      <c r="BK401" s="28"/>
      <c r="BL401" s="28"/>
      <c r="BM401" s="28"/>
      <c r="BN401" s="28"/>
      <c r="BO401" s="28"/>
    </row>
    <row r="402" ht="25.5" customHeight="1">
      <c r="A402" s="28">
        <v>69.0</v>
      </c>
      <c r="B402" s="37" t="b">
        <v>1</v>
      </c>
      <c r="C402" s="38" t="s">
        <v>106</v>
      </c>
      <c r="D402" s="38">
        <v>80.0</v>
      </c>
      <c r="E402" s="13" t="b">
        <v>0</v>
      </c>
      <c r="F402" s="13" t="b">
        <v>1</v>
      </c>
      <c r="G402" s="38" t="s">
        <v>224</v>
      </c>
      <c r="H402" s="38"/>
      <c r="I402" s="38" t="s">
        <v>887</v>
      </c>
      <c r="J402" s="38">
        <v>9.0</v>
      </c>
      <c r="K402" s="38" t="s">
        <v>960</v>
      </c>
      <c r="L402" s="38">
        <v>904.0</v>
      </c>
      <c r="M402" s="38" t="s">
        <v>388</v>
      </c>
      <c r="N402" s="38">
        <v>14000.0</v>
      </c>
      <c r="O402" s="38" t="s">
        <v>224</v>
      </c>
      <c r="P402" s="40"/>
      <c r="Q402" s="38" t="s">
        <v>289</v>
      </c>
      <c r="R402" s="38">
        <v>40.0</v>
      </c>
      <c r="S402" s="38" t="s">
        <v>4335</v>
      </c>
      <c r="T402" s="38" t="s">
        <v>4336</v>
      </c>
      <c r="U402" s="38" t="s">
        <v>4338</v>
      </c>
      <c r="V402" s="38">
        <v>2010.0</v>
      </c>
      <c r="W402" s="38" t="s">
        <v>4342</v>
      </c>
      <c r="X402" s="38"/>
      <c r="Y402" s="38"/>
      <c r="Z402" s="38"/>
      <c r="AA402" s="38"/>
      <c r="AB402" s="38"/>
      <c r="AC402" s="38"/>
      <c r="AD402" s="38"/>
      <c r="AE402" s="38"/>
      <c r="AF402" s="38"/>
      <c r="AG402" s="28"/>
      <c r="AH402" s="28" t="s">
        <v>462</v>
      </c>
      <c r="AI402" s="28" t="s">
        <v>462</v>
      </c>
      <c r="AJ402" s="28" t="s">
        <v>4344</v>
      </c>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row>
    <row r="403" ht="25.5" customHeight="1">
      <c r="A403" s="28">
        <v>386.0</v>
      </c>
      <c r="B403" s="37" t="b">
        <v>1</v>
      </c>
      <c r="C403" s="38" t="s">
        <v>106</v>
      </c>
      <c r="D403" s="38">
        <v>80.0</v>
      </c>
      <c r="E403" s="13" t="b">
        <v>0</v>
      </c>
      <c r="F403" s="13" t="b">
        <v>1</v>
      </c>
      <c r="G403" s="38" t="s">
        <v>224</v>
      </c>
      <c r="H403" s="38"/>
      <c r="I403" s="38" t="s">
        <v>712</v>
      </c>
      <c r="J403" s="38">
        <v>7.0</v>
      </c>
      <c r="K403" s="38" t="s">
        <v>224</v>
      </c>
      <c r="L403" s="38"/>
      <c r="M403" s="38" t="s">
        <v>321</v>
      </c>
      <c r="N403" s="38">
        <v>7000.0</v>
      </c>
      <c r="O403" s="38" t="s">
        <v>2103</v>
      </c>
      <c r="P403" s="40"/>
      <c r="Q403" s="38" t="s">
        <v>111</v>
      </c>
      <c r="R403" s="38">
        <v>41.0</v>
      </c>
      <c r="S403" s="38" t="s">
        <v>4738</v>
      </c>
      <c r="T403" s="38" t="s">
        <v>4740</v>
      </c>
      <c r="U403" s="38" t="s">
        <v>4742</v>
      </c>
      <c r="V403" s="38">
        <v>2006.0</v>
      </c>
      <c r="W403" s="38" t="s">
        <v>4748</v>
      </c>
      <c r="X403" s="38"/>
      <c r="Y403" s="38"/>
      <c r="Z403" s="38"/>
      <c r="AA403" s="38"/>
      <c r="AB403" s="38"/>
      <c r="AC403" s="38"/>
      <c r="AD403" s="38"/>
      <c r="AE403" s="38"/>
      <c r="AF403" s="38"/>
      <c r="AG403" s="28"/>
      <c r="AH403" s="28"/>
      <c r="AI403" s="28"/>
      <c r="AJ403" s="28"/>
      <c r="AK403" s="28"/>
      <c r="AL403" s="28"/>
      <c r="AM403" s="28"/>
      <c r="AN403" s="54"/>
      <c r="AO403" s="54"/>
      <c r="AP403" s="54"/>
      <c r="AQ403" s="54"/>
      <c r="AR403" s="54"/>
      <c r="AS403" s="54"/>
      <c r="AT403" s="28"/>
      <c r="AU403" s="54"/>
      <c r="AV403" s="28"/>
      <c r="AW403" s="28"/>
      <c r="AX403" s="28"/>
      <c r="AY403" s="28"/>
      <c r="AZ403" s="28"/>
      <c r="BA403" s="28"/>
      <c r="BB403" s="28"/>
      <c r="BC403" s="28"/>
      <c r="BD403" s="28"/>
      <c r="BE403" s="28"/>
      <c r="BF403" s="28"/>
      <c r="BG403" s="28"/>
      <c r="BH403" s="28"/>
      <c r="BI403" s="28"/>
      <c r="BJ403" s="28"/>
      <c r="BK403" s="28"/>
      <c r="BL403" s="28"/>
      <c r="BM403" s="28"/>
      <c r="BN403" s="28"/>
      <c r="BO403" s="28"/>
    </row>
    <row r="404" ht="25.5" customHeight="1">
      <c r="A404" s="28">
        <v>89.0</v>
      </c>
      <c r="B404" s="37" t="b">
        <v>1</v>
      </c>
      <c r="C404" s="38" t="s">
        <v>106</v>
      </c>
      <c r="D404" s="38">
        <v>80.0</v>
      </c>
      <c r="E404" s="13" t="b">
        <v>0</v>
      </c>
      <c r="F404" s="13" t="b">
        <v>1</v>
      </c>
      <c r="G404" s="38" t="s">
        <v>224</v>
      </c>
      <c r="H404" s="38"/>
      <c r="I404" s="38" t="s">
        <v>1857</v>
      </c>
      <c r="J404" s="38">
        <v>1.0</v>
      </c>
      <c r="K404" s="38" t="s">
        <v>224</v>
      </c>
      <c r="L404" s="38"/>
      <c r="M404" s="38" t="s">
        <v>549</v>
      </c>
      <c r="N404" s="38">
        <v>6000.0</v>
      </c>
      <c r="O404" s="38" t="s">
        <v>552</v>
      </c>
      <c r="P404" s="40"/>
      <c r="Q404" s="38" t="s">
        <v>289</v>
      </c>
      <c r="R404" s="38">
        <v>40.0</v>
      </c>
      <c r="S404" s="38" t="s">
        <v>4523</v>
      </c>
      <c r="T404" s="38" t="s">
        <v>4524</v>
      </c>
      <c r="U404" s="38" t="s">
        <v>4525</v>
      </c>
      <c r="V404" s="38">
        <v>2012.0</v>
      </c>
      <c r="W404" s="38" t="s">
        <v>4526</v>
      </c>
      <c r="X404" s="38"/>
      <c r="Y404" s="38"/>
      <c r="Z404" s="38"/>
      <c r="AA404" s="38"/>
      <c r="AB404" s="38"/>
      <c r="AC404" s="38"/>
      <c r="AD404" s="38"/>
      <c r="AE404" s="38"/>
      <c r="AF404" s="3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row>
    <row r="405" ht="25.5" customHeight="1">
      <c r="A405" s="28">
        <v>203.0</v>
      </c>
      <c r="B405" s="37" t="b">
        <v>1</v>
      </c>
      <c r="C405" s="38" t="s">
        <v>106</v>
      </c>
      <c r="D405" s="38">
        <v>80.0</v>
      </c>
      <c r="E405" s="13" t="b">
        <v>0</v>
      </c>
      <c r="F405" s="13" t="b">
        <v>1</v>
      </c>
      <c r="G405" s="38" t="s">
        <v>224</v>
      </c>
      <c r="H405" s="38"/>
      <c r="I405" s="38" t="s">
        <v>429</v>
      </c>
      <c r="J405" s="38">
        <v>2.0</v>
      </c>
      <c r="K405" s="38" t="s">
        <v>3415</v>
      </c>
      <c r="L405" s="38">
        <v>203.0</v>
      </c>
      <c r="M405" s="38" t="s">
        <v>239</v>
      </c>
      <c r="N405" s="38">
        <v>4000.0</v>
      </c>
      <c r="O405" s="38" t="s">
        <v>605</v>
      </c>
      <c r="P405" s="40"/>
      <c r="Q405" s="38" t="s">
        <v>2012</v>
      </c>
      <c r="R405" s="38" t="s">
        <v>2013</v>
      </c>
      <c r="S405" s="38" t="s">
        <v>4766</v>
      </c>
      <c r="T405" s="38" t="s">
        <v>4767</v>
      </c>
      <c r="U405" s="38" t="s">
        <v>4769</v>
      </c>
      <c r="V405" s="38">
        <v>1980.0</v>
      </c>
      <c r="W405" s="38" t="s">
        <v>4771</v>
      </c>
      <c r="X405" s="49" t="str">
        <f>HYPERLINK("http://www.ncbi.nlm.nih.gov/pmc/articles/PMC1308167/pdf/jaba00050-0077.pdf","http://www.ncbi.nlm.nih.gov/pmc/articles/PMC1308167/pdf/jaba00050-0077.pdf")</f>
        <v>http://www.ncbi.nlm.nih.gov/pmc/articles/PMC1308167/pdf/jaba00050-0077.pdf</v>
      </c>
      <c r="Y405" s="38"/>
      <c r="Z405" s="38"/>
      <c r="AA405" s="38"/>
      <c r="AB405" s="38"/>
      <c r="AC405" s="38"/>
      <c r="AD405" s="38"/>
      <c r="AE405" s="38"/>
      <c r="AF405" s="38"/>
      <c r="AG405" s="28"/>
      <c r="AH405" s="28" t="s">
        <v>428</v>
      </c>
      <c r="AI405" s="28" t="s">
        <v>462</v>
      </c>
      <c r="AJ405" s="28"/>
      <c r="AK405" s="28"/>
      <c r="AL405" s="28"/>
      <c r="AM405" s="28"/>
      <c r="AN405" s="28"/>
      <c r="AO405" s="28"/>
      <c r="AP405" s="28"/>
      <c r="AQ405" s="28"/>
      <c r="AR405" s="28"/>
      <c r="AS405" s="28"/>
      <c r="AT405" s="28"/>
      <c r="AU405" s="28"/>
      <c r="AV405" s="28"/>
      <c r="AW405" s="28"/>
      <c r="AX405" s="28"/>
      <c r="AY405" s="28"/>
      <c r="AZ405" s="28"/>
      <c r="BA405" s="28" t="s">
        <v>4782</v>
      </c>
      <c r="BB405" s="28"/>
      <c r="BC405" s="28"/>
      <c r="BD405" s="28"/>
      <c r="BE405" s="28"/>
      <c r="BF405" s="28"/>
      <c r="BG405" s="28"/>
      <c r="BH405" s="28"/>
      <c r="BI405" s="28"/>
      <c r="BJ405" s="28"/>
      <c r="BK405" s="28"/>
      <c r="BL405" s="28"/>
      <c r="BM405" s="28"/>
      <c r="BN405" s="28"/>
      <c r="BO405" s="28"/>
    </row>
    <row r="406" ht="25.5" customHeight="1">
      <c r="A406" s="28">
        <v>229.0</v>
      </c>
      <c r="B406" s="37" t="b">
        <v>1</v>
      </c>
      <c r="C406" s="38" t="s">
        <v>106</v>
      </c>
      <c r="D406" s="38">
        <v>80.0</v>
      </c>
      <c r="E406" s="13" t="b">
        <v>0</v>
      </c>
      <c r="F406" s="13" t="b">
        <v>1</v>
      </c>
      <c r="G406" s="38" t="s">
        <v>224</v>
      </c>
      <c r="H406" s="38"/>
      <c r="I406" s="38" t="s">
        <v>376</v>
      </c>
      <c r="J406" s="38">
        <v>2.0</v>
      </c>
      <c r="K406" s="38" t="s">
        <v>4783</v>
      </c>
      <c r="L406" s="38">
        <v>201.0</v>
      </c>
      <c r="M406" s="38" t="s">
        <v>411</v>
      </c>
      <c r="N406" s="38">
        <v>21000.0</v>
      </c>
      <c r="O406" s="38" t="s">
        <v>1052</v>
      </c>
      <c r="P406" s="40"/>
      <c r="Q406" s="38" t="s">
        <v>289</v>
      </c>
      <c r="R406" s="38">
        <v>40.0</v>
      </c>
      <c r="S406" s="38" t="s">
        <v>4784</v>
      </c>
      <c r="T406" s="38" t="s">
        <v>4785</v>
      </c>
      <c r="U406" s="38" t="s">
        <v>4769</v>
      </c>
      <c r="V406" s="38">
        <v>1994.0</v>
      </c>
      <c r="W406" s="38" t="s">
        <v>4786</v>
      </c>
      <c r="X406" s="38" t="s">
        <v>4787</v>
      </c>
      <c r="Y406" s="38"/>
      <c r="Z406" s="38"/>
      <c r="AA406" s="38"/>
      <c r="AB406" s="38"/>
      <c r="AC406" s="38"/>
      <c r="AD406" s="38"/>
      <c r="AE406" s="38"/>
      <c r="AF406" s="38"/>
      <c r="AG406" s="28"/>
      <c r="AH406" s="28" t="s">
        <v>39</v>
      </c>
      <c r="AI406" s="28" t="s">
        <v>1358</v>
      </c>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row>
    <row r="407" ht="25.5" customHeight="1">
      <c r="A407" s="28">
        <v>459.0</v>
      </c>
      <c r="B407" s="37" t="b">
        <v>1</v>
      </c>
      <c r="C407" s="38" t="s">
        <v>106</v>
      </c>
      <c r="D407" s="38">
        <v>80.0</v>
      </c>
      <c r="E407" s="13" t="b">
        <v>0</v>
      </c>
      <c r="F407" s="13" t="b">
        <v>1</v>
      </c>
      <c r="G407" s="38" t="s">
        <v>224</v>
      </c>
      <c r="H407" s="38"/>
      <c r="I407" s="38" t="s">
        <v>772</v>
      </c>
      <c r="J407" s="38">
        <v>5.0</v>
      </c>
      <c r="K407" s="38" t="s">
        <v>4788</v>
      </c>
      <c r="L407" s="38">
        <v>503.0</v>
      </c>
      <c r="M407" s="38" t="s">
        <v>411</v>
      </c>
      <c r="N407" s="38">
        <v>21000.0</v>
      </c>
      <c r="O407" s="38" t="s">
        <v>1052</v>
      </c>
      <c r="P407" s="40"/>
      <c r="Q407" s="38" t="s">
        <v>289</v>
      </c>
      <c r="R407" s="38">
        <v>40.0</v>
      </c>
      <c r="S407" s="38" t="s">
        <v>4789</v>
      </c>
      <c r="T407" s="38" t="s">
        <v>4790</v>
      </c>
      <c r="U407" s="38" t="s">
        <v>4769</v>
      </c>
      <c r="V407" s="38">
        <v>1993.0</v>
      </c>
      <c r="W407" s="38" t="s">
        <v>4792</v>
      </c>
      <c r="X407" s="49" t="str">
        <f>HYPERLINK("http://www.ncbi.nlm.nih.gov/pmc/articles/PMC1297743/pdf/jaba00012-0109.pdf","http://www.ncbi.nlm.nih.gov/pmc/articles/PMC1297743/pdf/jaba00012-0109.pdf")</f>
        <v>http://www.ncbi.nlm.nih.gov/pmc/articles/PMC1297743/pdf/jaba00012-0109.pdf</v>
      </c>
      <c r="Y407" s="38"/>
      <c r="Z407" s="38"/>
      <c r="AA407" s="38"/>
      <c r="AB407" s="38"/>
      <c r="AC407" s="38"/>
      <c r="AD407" s="38"/>
      <c r="AE407" s="38"/>
      <c r="AF407" s="38"/>
      <c r="AG407" s="28"/>
      <c r="AH407" s="28" t="s">
        <v>428</v>
      </c>
      <c r="AI407" s="28" t="s">
        <v>462</v>
      </c>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row>
    <row r="408" ht="25.5" customHeight="1">
      <c r="A408" s="28">
        <v>295.0</v>
      </c>
      <c r="B408" s="37" t="b">
        <v>1</v>
      </c>
      <c r="C408" s="38" t="s">
        <v>106</v>
      </c>
      <c r="D408" s="38">
        <v>80.0</v>
      </c>
      <c r="E408" s="13" t="b">
        <v>0</v>
      </c>
      <c r="F408" s="13" t="b">
        <v>1</v>
      </c>
      <c r="G408" s="38" t="s">
        <v>224</v>
      </c>
      <c r="H408" s="38"/>
      <c r="I408" s="38" t="s">
        <v>510</v>
      </c>
      <c r="J408" s="38" t="s">
        <v>511</v>
      </c>
      <c r="K408" s="38" t="s">
        <v>4802</v>
      </c>
      <c r="L408" s="38" t="s">
        <v>4803</v>
      </c>
      <c r="M408" s="38" t="s">
        <v>107</v>
      </c>
      <c r="N408" s="38">
        <v>3000.0</v>
      </c>
      <c r="O408" s="38" t="s">
        <v>116</v>
      </c>
      <c r="P408" s="40"/>
      <c r="Q408" s="38" t="s">
        <v>298</v>
      </c>
      <c r="R408" s="38">
        <v>44.0</v>
      </c>
      <c r="S408" s="38" t="s">
        <v>4805</v>
      </c>
      <c r="T408" s="38" t="s">
        <v>4807</v>
      </c>
      <c r="U408" s="38" t="s">
        <v>4808</v>
      </c>
      <c r="V408" s="38">
        <v>1984.0</v>
      </c>
      <c r="W408" s="38" t="s">
        <v>4810</v>
      </c>
      <c r="X408" s="38" t="s">
        <v>4811</v>
      </c>
      <c r="Y408" s="38"/>
      <c r="Z408" s="38"/>
      <c r="AA408" s="38"/>
      <c r="AB408" s="38"/>
      <c r="AC408" s="38"/>
      <c r="AD408" s="38"/>
      <c r="AE408" s="38"/>
      <c r="AF408" s="38"/>
      <c r="AG408" s="28" t="s">
        <v>4812</v>
      </c>
      <c r="AH408" s="28" t="s">
        <v>428</v>
      </c>
      <c r="AI408" s="28" t="s">
        <v>428</v>
      </c>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row>
    <row r="409" ht="25.5" customHeight="1">
      <c r="A409" s="28">
        <v>300.0</v>
      </c>
      <c r="B409" s="37" t="b">
        <v>1</v>
      </c>
      <c r="C409" s="38" t="s">
        <v>106</v>
      </c>
      <c r="D409" s="38">
        <v>80.0</v>
      </c>
      <c r="E409" s="13" t="b">
        <v>0</v>
      </c>
      <c r="F409" s="13" t="b">
        <v>1</v>
      </c>
      <c r="G409" s="38" t="s">
        <v>224</v>
      </c>
      <c r="H409" s="38"/>
      <c r="I409" s="38" t="s">
        <v>510</v>
      </c>
      <c r="J409" s="38" t="s">
        <v>511</v>
      </c>
      <c r="K409" s="65" t="s">
        <v>4814</v>
      </c>
      <c r="L409" s="38">
        <v>304.0</v>
      </c>
      <c r="M409" s="38" t="s">
        <v>3605</v>
      </c>
      <c r="N409" s="38" t="s">
        <v>3606</v>
      </c>
      <c r="O409" s="38" t="s">
        <v>798</v>
      </c>
      <c r="P409" s="40"/>
      <c r="Q409" s="38" t="s">
        <v>289</v>
      </c>
      <c r="R409" s="38">
        <v>40.0</v>
      </c>
      <c r="S409" s="38" t="s">
        <v>4818</v>
      </c>
      <c r="T409" s="38" t="s">
        <v>4820</v>
      </c>
      <c r="U409" s="38" t="s">
        <v>4808</v>
      </c>
      <c r="V409" s="38">
        <v>1978.0</v>
      </c>
      <c r="W409" s="38" t="s">
        <v>4821</v>
      </c>
      <c r="X409" s="38" t="s">
        <v>4822</v>
      </c>
      <c r="Y409" s="38"/>
      <c r="Z409" s="38"/>
      <c r="AA409" s="38"/>
      <c r="AB409" s="38"/>
      <c r="AC409" s="38"/>
      <c r="AD409" s="38"/>
      <c r="AE409" s="38"/>
      <c r="AF409" s="38"/>
      <c r="AG409" s="28" t="s">
        <v>4823</v>
      </c>
      <c r="AH409" s="28" t="s">
        <v>428</v>
      </c>
      <c r="AI409" s="28" t="s">
        <v>428</v>
      </c>
      <c r="AJ409" s="28"/>
      <c r="AK409" s="28" t="s">
        <v>663</v>
      </c>
      <c r="AL409" s="28" t="s">
        <v>530</v>
      </c>
      <c r="AM409" s="28"/>
      <c r="AN409" s="28"/>
      <c r="AO409" s="28"/>
      <c r="AP409" s="28"/>
      <c r="AQ409" s="28"/>
      <c r="AR409" s="28"/>
      <c r="AS409" s="28"/>
      <c r="AT409" s="28"/>
      <c r="AU409" s="28"/>
      <c r="AV409" s="28"/>
      <c r="AW409" s="28"/>
      <c r="AX409" s="28"/>
      <c r="AY409" s="28"/>
      <c r="AZ409" s="28"/>
      <c r="BA409" s="28" t="s">
        <v>1023</v>
      </c>
      <c r="BB409" s="28"/>
      <c r="BC409" s="28"/>
      <c r="BD409" s="28"/>
      <c r="BE409" s="28"/>
      <c r="BF409" s="28"/>
      <c r="BG409" s="28"/>
      <c r="BH409" s="28"/>
      <c r="BI409" s="28"/>
      <c r="BJ409" s="28"/>
      <c r="BK409" s="28"/>
      <c r="BL409" s="28"/>
      <c r="BM409" s="28"/>
      <c r="BN409" s="28"/>
      <c r="BO409" s="28"/>
    </row>
    <row r="410" ht="25.5" customHeight="1">
      <c r="A410" s="28">
        <v>484.0</v>
      </c>
      <c r="B410" s="37" t="b">
        <v>1</v>
      </c>
      <c r="C410" s="38" t="s">
        <v>106</v>
      </c>
      <c r="D410" s="38">
        <v>80.0</v>
      </c>
      <c r="E410" s="13" t="b">
        <v>0</v>
      </c>
      <c r="F410" s="13" t="b">
        <v>1</v>
      </c>
      <c r="G410" s="38" t="s">
        <v>224</v>
      </c>
      <c r="H410" s="38"/>
      <c r="I410" s="38" t="s">
        <v>772</v>
      </c>
      <c r="J410" s="38">
        <v>5.0</v>
      </c>
      <c r="K410" s="38" t="s">
        <v>4825</v>
      </c>
      <c r="L410" s="38">
        <v>501.0</v>
      </c>
      <c r="M410" s="38" t="s">
        <v>239</v>
      </c>
      <c r="N410" s="38">
        <v>4000.0</v>
      </c>
      <c r="O410" s="38" t="s">
        <v>70</v>
      </c>
      <c r="P410" s="40"/>
      <c r="Q410" s="38" t="s">
        <v>289</v>
      </c>
      <c r="R410" s="38">
        <v>40.0</v>
      </c>
      <c r="S410" s="38" t="s">
        <v>4826</v>
      </c>
      <c r="T410" s="38" t="s">
        <v>4827</v>
      </c>
      <c r="U410" s="38" t="s">
        <v>4808</v>
      </c>
      <c r="V410" s="38">
        <v>1988.0</v>
      </c>
      <c r="W410" s="38" t="s">
        <v>4828</v>
      </c>
      <c r="X410" s="38" t="s">
        <v>4829</v>
      </c>
      <c r="Y410" s="38"/>
      <c r="Z410" s="38"/>
      <c r="AA410" s="38"/>
      <c r="AB410" s="38"/>
      <c r="AC410" s="38"/>
      <c r="AD410" s="38"/>
      <c r="AE410" s="38"/>
      <c r="AF410" s="38"/>
      <c r="AG410" s="28"/>
      <c r="AH410" s="28" t="s">
        <v>926</v>
      </c>
      <c r="AI410" s="28" t="s">
        <v>462</v>
      </c>
      <c r="AJ410" s="28"/>
      <c r="AK410" s="28"/>
      <c r="AL410" s="28"/>
      <c r="AM410" s="28"/>
      <c r="AN410" s="28"/>
      <c r="AO410" s="28"/>
      <c r="AP410" s="28"/>
      <c r="AQ410" s="28"/>
      <c r="AR410" s="28"/>
      <c r="AS410" s="28"/>
      <c r="AT410" s="28"/>
      <c r="AU410" s="28"/>
      <c r="AV410" s="28"/>
      <c r="AW410" s="28"/>
      <c r="AX410" s="28"/>
      <c r="AY410" s="28"/>
      <c r="AZ410" s="28"/>
      <c r="BA410" s="28" t="s">
        <v>4830</v>
      </c>
      <c r="BB410" s="28"/>
      <c r="BC410" s="28"/>
      <c r="BD410" s="28"/>
      <c r="BE410" s="28"/>
      <c r="BF410" s="28"/>
      <c r="BG410" s="28"/>
      <c r="BH410" s="28"/>
      <c r="BI410" s="28"/>
      <c r="BJ410" s="28"/>
      <c r="BK410" s="28"/>
      <c r="BL410" s="28"/>
      <c r="BM410" s="28"/>
      <c r="BN410" s="28"/>
      <c r="BO410" s="28"/>
    </row>
    <row r="411" ht="25.5" customHeight="1">
      <c r="A411" s="28">
        <v>322.0</v>
      </c>
      <c r="B411" s="37" t="b">
        <v>1</v>
      </c>
      <c r="C411" s="38" t="s">
        <v>106</v>
      </c>
      <c r="D411" s="38">
        <v>80.0</v>
      </c>
      <c r="E411" s="13" t="b">
        <v>0</v>
      </c>
      <c r="F411" s="13" t="b">
        <v>1</v>
      </c>
      <c r="G411" s="38" t="s">
        <v>224</v>
      </c>
      <c r="H411" s="38"/>
      <c r="I411" s="38" t="s">
        <v>490</v>
      </c>
      <c r="J411" s="38">
        <v>6.0</v>
      </c>
      <c r="K411" s="38" t="s">
        <v>776</v>
      </c>
      <c r="L411" s="38">
        <v>602.0</v>
      </c>
      <c r="M411" s="38" t="s">
        <v>388</v>
      </c>
      <c r="N411" s="38">
        <v>14000.0</v>
      </c>
      <c r="O411" s="38" t="s">
        <v>224</v>
      </c>
      <c r="P411" s="40"/>
      <c r="Q411" s="38" t="s">
        <v>289</v>
      </c>
      <c r="R411" s="38">
        <v>40.0</v>
      </c>
      <c r="S411" s="38" t="s">
        <v>4836</v>
      </c>
      <c r="T411" s="38" t="s">
        <v>4837</v>
      </c>
      <c r="U411" s="38" t="s">
        <v>4808</v>
      </c>
      <c r="V411" s="38">
        <v>1989.0</v>
      </c>
      <c r="W411" s="38" t="s">
        <v>4838</v>
      </c>
      <c r="X411" s="38" t="s">
        <v>4839</v>
      </c>
      <c r="Y411" s="38"/>
      <c r="Z411" s="38"/>
      <c r="AA411" s="38"/>
      <c r="AB411" s="38"/>
      <c r="AC411" s="38"/>
      <c r="AD411" s="38"/>
      <c r="AE411" s="38"/>
      <c r="AF411" s="38"/>
      <c r="AG411" s="28" t="s">
        <v>4841</v>
      </c>
      <c r="AH411" s="28" t="s">
        <v>428</v>
      </c>
      <c r="AI411" s="28" t="s">
        <v>462</v>
      </c>
      <c r="AJ411" s="28"/>
      <c r="AK411" s="28" t="s">
        <v>663</v>
      </c>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row>
    <row r="412" ht="25.5" customHeight="1">
      <c r="A412" s="28">
        <v>326.0</v>
      </c>
      <c r="B412" s="37" t="b">
        <v>1</v>
      </c>
      <c r="C412" s="38" t="s">
        <v>106</v>
      </c>
      <c r="D412" s="38">
        <v>80.0</v>
      </c>
      <c r="E412" s="13" t="b">
        <v>0</v>
      </c>
      <c r="F412" s="13" t="b">
        <v>1</v>
      </c>
      <c r="G412" s="38" t="s">
        <v>224</v>
      </c>
      <c r="H412" s="38"/>
      <c r="I412" s="38" t="s">
        <v>490</v>
      </c>
      <c r="J412" s="38">
        <v>6.0</v>
      </c>
      <c r="K412" s="38" t="s">
        <v>776</v>
      </c>
      <c r="L412" s="38">
        <v>602.0</v>
      </c>
      <c r="M412" s="38" t="s">
        <v>388</v>
      </c>
      <c r="N412" s="38">
        <v>14000.0</v>
      </c>
      <c r="O412" s="38" t="s">
        <v>224</v>
      </c>
      <c r="P412" s="40"/>
      <c r="Q412" s="38" t="s">
        <v>289</v>
      </c>
      <c r="R412" s="38">
        <v>40.0</v>
      </c>
      <c r="S412" s="38" t="s">
        <v>4844</v>
      </c>
      <c r="T412" s="38" t="s">
        <v>4846</v>
      </c>
      <c r="U412" s="38" t="s">
        <v>4808</v>
      </c>
      <c r="V412" s="38">
        <v>1987.0</v>
      </c>
      <c r="W412" s="38" t="s">
        <v>4848</v>
      </c>
      <c r="X412" s="38" t="s">
        <v>4849</v>
      </c>
      <c r="Y412" s="38"/>
      <c r="Z412" s="38"/>
      <c r="AA412" s="38"/>
      <c r="AB412" s="38"/>
      <c r="AC412" s="38"/>
      <c r="AD412" s="38"/>
      <c r="AE412" s="38"/>
      <c r="AF412" s="38"/>
      <c r="AG412" s="28" t="s">
        <v>4850</v>
      </c>
      <c r="AH412" s="28" t="s">
        <v>462</v>
      </c>
      <c r="AI412" s="28" t="s">
        <v>462</v>
      </c>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row>
    <row r="413" ht="25.5" customHeight="1">
      <c r="A413" s="28">
        <v>335.0</v>
      </c>
      <c r="B413" s="37" t="b">
        <v>1</v>
      </c>
      <c r="C413" s="38" t="s">
        <v>106</v>
      </c>
      <c r="D413" s="38">
        <v>80.0</v>
      </c>
      <c r="E413" s="13" t="b">
        <v>0</v>
      </c>
      <c r="F413" s="13" t="b">
        <v>1</v>
      </c>
      <c r="G413" s="38" t="s">
        <v>224</v>
      </c>
      <c r="H413" s="38"/>
      <c r="I413" s="38" t="s">
        <v>490</v>
      </c>
      <c r="J413" s="38">
        <v>6.0</v>
      </c>
      <c r="K413" s="65" t="s">
        <v>4851</v>
      </c>
      <c r="L413" s="38">
        <v>602.0</v>
      </c>
      <c r="M413" s="38" t="s">
        <v>411</v>
      </c>
      <c r="N413" s="38">
        <v>21000.0</v>
      </c>
      <c r="O413" s="38" t="s">
        <v>1052</v>
      </c>
      <c r="P413" s="40"/>
      <c r="Q413" s="38" t="s">
        <v>289</v>
      </c>
      <c r="R413" s="38">
        <v>40.0</v>
      </c>
      <c r="S413" s="38" t="s">
        <v>4852</v>
      </c>
      <c r="T413" s="38" t="s">
        <v>4854</v>
      </c>
      <c r="U413" s="38" t="s">
        <v>4808</v>
      </c>
      <c r="V413" s="38">
        <v>1982.0</v>
      </c>
      <c r="W413" s="38" t="s">
        <v>4855</v>
      </c>
      <c r="X413" s="38" t="s">
        <v>4856</v>
      </c>
      <c r="Y413" s="38"/>
      <c r="Z413" s="38"/>
      <c r="AA413" s="38"/>
      <c r="AB413" s="38"/>
      <c r="AC413" s="38"/>
      <c r="AD413" s="38"/>
      <c r="AE413" s="38"/>
      <c r="AF413" s="38"/>
      <c r="AG413" s="28" t="s">
        <v>4857</v>
      </c>
      <c r="AH413" s="28" t="s">
        <v>428</v>
      </c>
      <c r="AI413" s="28" t="s">
        <v>462</v>
      </c>
      <c r="AJ413" s="28"/>
      <c r="AK413" s="28" t="s">
        <v>663</v>
      </c>
      <c r="AL413" s="28" t="s">
        <v>561</v>
      </c>
      <c r="AM413" s="28" t="s">
        <v>4858</v>
      </c>
      <c r="AN413" s="54">
        <v>42457.0</v>
      </c>
      <c r="AO413" s="28"/>
      <c r="AP413" s="54">
        <v>42604.0</v>
      </c>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row>
    <row r="414" ht="25.5" customHeight="1">
      <c r="A414" s="28">
        <v>21.0</v>
      </c>
      <c r="B414" s="37" t="b">
        <v>1</v>
      </c>
      <c r="C414" s="38" t="s">
        <v>106</v>
      </c>
      <c r="D414" s="38">
        <v>80.0</v>
      </c>
      <c r="E414" s="13" t="b">
        <v>0</v>
      </c>
      <c r="F414" s="13" t="b">
        <v>1</v>
      </c>
      <c r="G414" s="38" t="s">
        <v>224</v>
      </c>
      <c r="H414" s="38"/>
      <c r="I414" s="38" t="s">
        <v>574</v>
      </c>
      <c r="J414" s="38">
        <v>4.0</v>
      </c>
      <c r="K414" s="38" t="s">
        <v>3706</v>
      </c>
      <c r="L414" s="38">
        <v>400.0</v>
      </c>
      <c r="M414" s="38" t="s">
        <v>107</v>
      </c>
      <c r="N414" s="38">
        <v>3000.0</v>
      </c>
      <c r="O414" s="38" t="s">
        <v>470</v>
      </c>
      <c r="P414" s="40"/>
      <c r="Q414" s="38" t="s">
        <v>111</v>
      </c>
      <c r="R414" s="38">
        <v>41.0</v>
      </c>
      <c r="S414" s="38" t="s">
        <v>4025</v>
      </c>
      <c r="T414" s="38" t="s">
        <v>4026</v>
      </c>
      <c r="U414" s="38" t="s">
        <v>4027</v>
      </c>
      <c r="V414" s="38">
        <v>2014.0</v>
      </c>
      <c r="W414" s="38" t="s">
        <v>4030</v>
      </c>
      <c r="X414" s="38" t="s">
        <v>4031</v>
      </c>
      <c r="Y414" s="38"/>
      <c r="Z414" s="38"/>
      <c r="AA414" s="38"/>
      <c r="AB414" s="38"/>
      <c r="AC414" s="38"/>
      <c r="AD414" s="38"/>
      <c r="AE414" s="38"/>
      <c r="AF414" s="38"/>
      <c r="AG414" s="28"/>
      <c r="AH414" s="28" t="s">
        <v>462</v>
      </c>
      <c r="AI414" s="28" t="s">
        <v>462</v>
      </c>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row>
    <row r="415" ht="25.5" customHeight="1">
      <c r="A415" s="28">
        <v>444.0</v>
      </c>
      <c r="B415" s="37" t="b">
        <v>1</v>
      </c>
      <c r="C415" s="38" t="s">
        <v>106</v>
      </c>
      <c r="D415" s="38">
        <v>80.0</v>
      </c>
      <c r="E415" s="13" t="b">
        <v>0</v>
      </c>
      <c r="F415" s="13" t="b">
        <v>1</v>
      </c>
      <c r="G415" s="38" t="s">
        <v>224</v>
      </c>
      <c r="H415" s="38"/>
      <c r="I415" s="38" t="s">
        <v>387</v>
      </c>
      <c r="J415" s="38">
        <v>8.0</v>
      </c>
      <c r="K415" s="38" t="s">
        <v>822</v>
      </c>
      <c r="L415" s="38">
        <v>803.0</v>
      </c>
      <c r="M415" s="38" t="s">
        <v>388</v>
      </c>
      <c r="N415" s="38">
        <v>14000.0</v>
      </c>
      <c r="O415" s="38" t="s">
        <v>224</v>
      </c>
      <c r="P415" s="40"/>
      <c r="Q415" s="38" t="s">
        <v>289</v>
      </c>
      <c r="R415" s="38">
        <v>40.0</v>
      </c>
      <c r="S415" s="38" t="s">
        <v>4862</v>
      </c>
      <c r="T415" s="38" t="s">
        <v>4863</v>
      </c>
      <c r="U415" s="38" t="s">
        <v>4027</v>
      </c>
      <c r="V415" s="38">
        <v>2006.0</v>
      </c>
      <c r="W415" s="38" t="s">
        <v>4865</v>
      </c>
      <c r="X415" s="49" t="str">
        <f>HYPERLINK("http://onlinelibrary.wiley.com/doi/10.1111/j.1559-1816.2002.tb00216.x/abstract","http://onlinelibrary.wiley.com/doi/10.1111/j.1559-1816.2002.tb00216.x/abstract")</f>
        <v>http://onlinelibrary.wiley.com/doi/10.1111/j.1559-1816.2002.tb00216.x/abstract</v>
      </c>
      <c r="Y415" s="38"/>
      <c r="Z415" s="38"/>
      <c r="AA415" s="38"/>
      <c r="AB415" s="38"/>
      <c r="AC415" s="38"/>
      <c r="AD415" s="38"/>
      <c r="AE415" s="38"/>
      <c r="AF415" s="38"/>
      <c r="AG415" s="28" t="s">
        <v>4866</v>
      </c>
      <c r="AH415" s="28" t="s">
        <v>842</v>
      </c>
      <c r="AI415" s="28" t="s">
        <v>462</v>
      </c>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row>
    <row r="416" ht="25.5" customHeight="1">
      <c r="A416" s="28">
        <v>331.0</v>
      </c>
      <c r="B416" s="37" t="b">
        <v>1</v>
      </c>
      <c r="C416" s="38" t="s">
        <v>106</v>
      </c>
      <c r="D416" s="38">
        <v>80.0</v>
      </c>
      <c r="E416" s="13" t="b">
        <v>0</v>
      </c>
      <c r="F416" s="13" t="b">
        <v>1</v>
      </c>
      <c r="G416" s="38" t="s">
        <v>224</v>
      </c>
      <c r="H416" s="38"/>
      <c r="I416" s="38" t="s">
        <v>490</v>
      </c>
      <c r="J416" s="38">
        <v>6.0</v>
      </c>
      <c r="K416" s="38" t="s">
        <v>776</v>
      </c>
      <c r="L416" s="38">
        <v>602.0</v>
      </c>
      <c r="M416" s="38" t="s">
        <v>411</v>
      </c>
      <c r="N416" s="38">
        <v>21000.0</v>
      </c>
      <c r="O416" s="38" t="s">
        <v>1052</v>
      </c>
      <c r="P416" s="40"/>
      <c r="Q416" s="38" t="s">
        <v>289</v>
      </c>
      <c r="R416" s="38">
        <v>40.0</v>
      </c>
      <c r="S416" s="38" t="s">
        <v>4867</v>
      </c>
      <c r="T416" s="38" t="s">
        <v>4868</v>
      </c>
      <c r="U416" s="38" t="s">
        <v>4027</v>
      </c>
      <c r="V416" s="38">
        <v>1990.0</v>
      </c>
      <c r="W416" s="38" t="s">
        <v>4869</v>
      </c>
      <c r="X416" s="38" t="s">
        <v>4870</v>
      </c>
      <c r="Y416" s="38"/>
      <c r="Z416" s="38"/>
      <c r="AA416" s="38"/>
      <c r="AB416" s="38"/>
      <c r="AC416" s="38"/>
      <c r="AD416" s="38"/>
      <c r="AE416" s="38"/>
      <c r="AF416" s="38"/>
      <c r="AG416" s="28" t="s">
        <v>4871</v>
      </c>
      <c r="AH416" s="28" t="s">
        <v>428</v>
      </c>
      <c r="AI416" s="28" t="s">
        <v>462</v>
      </c>
      <c r="AJ416" s="28"/>
      <c r="AK416" s="28" t="s">
        <v>663</v>
      </c>
      <c r="AL416" s="28" t="s">
        <v>561</v>
      </c>
      <c r="AM416" s="28" t="s">
        <v>4873</v>
      </c>
      <c r="AN416" s="54">
        <v>42465.0</v>
      </c>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row>
    <row r="417" ht="25.5" customHeight="1">
      <c r="A417" s="28">
        <v>86.0</v>
      </c>
      <c r="B417" s="37" t="b">
        <v>1</v>
      </c>
      <c r="C417" s="38" t="s">
        <v>106</v>
      </c>
      <c r="D417" s="38">
        <v>80.0</v>
      </c>
      <c r="E417" s="13" t="b">
        <v>0</v>
      </c>
      <c r="F417" s="13" t="b">
        <v>1</v>
      </c>
      <c r="G417" s="38" t="s">
        <v>224</v>
      </c>
      <c r="H417" s="38"/>
      <c r="I417" s="38" t="s">
        <v>4479</v>
      </c>
      <c r="J417" s="38" t="s">
        <v>4480</v>
      </c>
      <c r="K417" s="38" t="s">
        <v>4481</v>
      </c>
      <c r="L417" s="38" t="s">
        <v>4875</v>
      </c>
      <c r="M417" s="38" t="s">
        <v>107</v>
      </c>
      <c r="N417" s="38">
        <v>3000.0</v>
      </c>
      <c r="O417" s="38" t="s">
        <v>116</v>
      </c>
      <c r="P417" s="40"/>
      <c r="Q417" s="38" t="s">
        <v>289</v>
      </c>
      <c r="R417" s="38">
        <v>40.0</v>
      </c>
      <c r="S417" s="38" t="s">
        <v>4487</v>
      </c>
      <c r="T417" s="38" t="s">
        <v>4488</v>
      </c>
      <c r="U417" s="38" t="s">
        <v>4490</v>
      </c>
      <c r="V417" s="38">
        <v>1992.0</v>
      </c>
      <c r="W417" s="38" t="s">
        <v>4494</v>
      </c>
      <c r="X417" s="38" t="s">
        <v>4495</v>
      </c>
      <c r="Y417" s="38"/>
      <c r="Z417" s="38"/>
      <c r="AA417" s="38"/>
      <c r="AB417" s="38"/>
      <c r="AC417" s="38"/>
      <c r="AD417" s="38"/>
      <c r="AE417" s="38"/>
      <c r="AF417" s="38"/>
      <c r="AG417" s="28" t="s">
        <v>4496</v>
      </c>
      <c r="AH417" s="28" t="s">
        <v>4497</v>
      </c>
      <c r="AI417" s="28" t="s">
        <v>4498</v>
      </c>
      <c r="AJ417" s="28"/>
      <c r="AK417" s="28" t="s">
        <v>663</v>
      </c>
      <c r="AL417" s="28" t="s">
        <v>561</v>
      </c>
      <c r="AM417" s="28" t="s">
        <v>4499</v>
      </c>
      <c r="AN417" s="54">
        <v>42464.0</v>
      </c>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row>
    <row r="418" ht="25.5" customHeight="1">
      <c r="A418" s="28">
        <v>296.0</v>
      </c>
      <c r="B418" s="37" t="b">
        <v>1</v>
      </c>
      <c r="C418" s="38" t="s">
        <v>106</v>
      </c>
      <c r="D418" s="38">
        <v>80.0</v>
      </c>
      <c r="E418" s="13" t="b">
        <v>0</v>
      </c>
      <c r="F418" s="13" t="b">
        <v>1</v>
      </c>
      <c r="G418" s="38" t="s">
        <v>224</v>
      </c>
      <c r="H418" s="38"/>
      <c r="I418" s="38" t="s">
        <v>510</v>
      </c>
      <c r="J418" s="38" t="s">
        <v>511</v>
      </c>
      <c r="K418" s="38" t="s">
        <v>4802</v>
      </c>
      <c r="L418" s="38" t="s">
        <v>4803</v>
      </c>
      <c r="M418" s="38" t="s">
        <v>107</v>
      </c>
      <c r="N418" s="38">
        <v>3000.0</v>
      </c>
      <c r="O418" s="38" t="s">
        <v>116</v>
      </c>
      <c r="P418" s="40"/>
      <c r="Q418" s="38" t="s">
        <v>298</v>
      </c>
      <c r="R418" s="38">
        <v>44.0</v>
      </c>
      <c r="S418" s="38" t="s">
        <v>4880</v>
      </c>
      <c r="T418" s="38" t="s">
        <v>4881</v>
      </c>
      <c r="U418" s="38" t="s">
        <v>4490</v>
      </c>
      <c r="V418" s="38">
        <v>1994.0</v>
      </c>
      <c r="W418" s="38" t="s">
        <v>4882</v>
      </c>
      <c r="X418" s="38" t="s">
        <v>4883</v>
      </c>
      <c r="Y418" s="38"/>
      <c r="Z418" s="38"/>
      <c r="AA418" s="38"/>
      <c r="AB418" s="38"/>
      <c r="AC418" s="38"/>
      <c r="AD418" s="38"/>
      <c r="AE418" s="38"/>
      <c r="AF418" s="38"/>
      <c r="AG418" s="28" t="s">
        <v>4884</v>
      </c>
      <c r="AH418" s="28" t="s">
        <v>462</v>
      </c>
      <c r="AI418" s="28" t="s">
        <v>428</v>
      </c>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row>
    <row r="419" ht="25.5" customHeight="1">
      <c r="A419" s="28">
        <v>306.0</v>
      </c>
      <c r="B419" s="37" t="b">
        <v>1</v>
      </c>
      <c r="C419" s="38" t="s">
        <v>106</v>
      </c>
      <c r="D419" s="38">
        <v>80.0</v>
      </c>
      <c r="E419" s="13" t="b">
        <v>0</v>
      </c>
      <c r="F419" s="13" t="b">
        <v>1</v>
      </c>
      <c r="G419" s="38" t="s">
        <v>224</v>
      </c>
      <c r="H419" s="38"/>
      <c r="I419" s="38" t="s">
        <v>2299</v>
      </c>
      <c r="J419" s="38" t="s">
        <v>2300</v>
      </c>
      <c r="K419" s="38" t="s">
        <v>4890</v>
      </c>
      <c r="L419" s="38" t="s">
        <v>4891</v>
      </c>
      <c r="M419" s="38" t="s">
        <v>239</v>
      </c>
      <c r="N419" s="38">
        <v>4000.0</v>
      </c>
      <c r="O419" s="38" t="s">
        <v>605</v>
      </c>
      <c r="P419" s="40"/>
      <c r="Q419" s="38" t="s">
        <v>289</v>
      </c>
      <c r="R419" s="38">
        <v>40.0</v>
      </c>
      <c r="S419" s="38" t="s">
        <v>4892</v>
      </c>
      <c r="T419" s="38" t="s">
        <v>4893</v>
      </c>
      <c r="U419" s="38" t="s">
        <v>4894</v>
      </c>
      <c r="V419" s="38">
        <v>1982.0</v>
      </c>
      <c r="W419" s="38" t="s">
        <v>4896</v>
      </c>
      <c r="X419" s="38" t="s">
        <v>4897</v>
      </c>
      <c r="Y419" s="38"/>
      <c r="Z419" s="38"/>
      <c r="AA419" s="38"/>
      <c r="AB419" s="38"/>
      <c r="AC419" s="38"/>
      <c r="AD419" s="38"/>
      <c r="AE419" s="38"/>
      <c r="AF419" s="38"/>
      <c r="AG419" s="28"/>
      <c r="AH419" s="28" t="s">
        <v>613</v>
      </c>
      <c r="AI419" s="28" t="s">
        <v>613</v>
      </c>
      <c r="AJ419" s="28"/>
      <c r="AK419" s="28"/>
      <c r="AL419" s="28"/>
      <c r="AM419" s="28"/>
      <c r="AN419" s="28"/>
      <c r="AO419" s="28"/>
      <c r="AP419" s="28"/>
      <c r="AQ419" s="28"/>
      <c r="AR419" s="28"/>
      <c r="AS419" s="28"/>
      <c r="AT419" s="28"/>
      <c r="AU419" s="28"/>
      <c r="AV419" s="28"/>
      <c r="AW419" s="28"/>
      <c r="AX419" s="28"/>
      <c r="AY419" s="28"/>
      <c r="AZ419" s="28"/>
      <c r="BA419" s="28" t="s">
        <v>3079</v>
      </c>
      <c r="BB419" s="28"/>
      <c r="BC419" s="28"/>
      <c r="BD419" s="28"/>
      <c r="BE419" s="28"/>
      <c r="BF419" s="28"/>
      <c r="BG419" s="28"/>
      <c r="BH419" s="28"/>
      <c r="BI419" s="28"/>
      <c r="BJ419" s="28"/>
      <c r="BK419" s="28"/>
      <c r="BL419" s="28"/>
      <c r="BM419" s="28"/>
      <c r="BN419" s="28"/>
      <c r="BO419" s="28"/>
    </row>
    <row r="420" ht="25.5" customHeight="1">
      <c r="A420" s="28">
        <v>355.0</v>
      </c>
      <c r="B420" s="37" t="b">
        <v>1</v>
      </c>
      <c r="C420" s="38" t="s">
        <v>106</v>
      </c>
      <c r="D420" s="38">
        <v>80.0</v>
      </c>
      <c r="E420" s="13" t="b">
        <v>0</v>
      </c>
      <c r="F420" s="13" t="b">
        <v>1</v>
      </c>
      <c r="G420" s="38" t="s">
        <v>224</v>
      </c>
      <c r="H420" s="38"/>
      <c r="I420" s="38" t="s">
        <v>490</v>
      </c>
      <c r="J420" s="38">
        <v>6.0</v>
      </c>
      <c r="K420" s="38" t="s">
        <v>1154</v>
      </c>
      <c r="L420" s="38">
        <v>603.0</v>
      </c>
      <c r="M420" s="38" t="s">
        <v>107</v>
      </c>
      <c r="N420" s="38">
        <v>3000.0</v>
      </c>
      <c r="O420" s="38" t="s">
        <v>1312</v>
      </c>
      <c r="P420" s="40"/>
      <c r="Q420" s="38" t="s">
        <v>298</v>
      </c>
      <c r="R420" s="38">
        <v>44.0</v>
      </c>
      <c r="S420" s="38" t="s">
        <v>4898</v>
      </c>
      <c r="T420" s="38" t="s">
        <v>4900</v>
      </c>
      <c r="U420" s="38" t="s">
        <v>4375</v>
      </c>
      <c r="V420" s="38">
        <v>2010.0</v>
      </c>
      <c r="W420" s="38" t="s">
        <v>4904</v>
      </c>
      <c r="X420" s="38" t="s">
        <v>4905</v>
      </c>
      <c r="Y420" s="38"/>
      <c r="Z420" s="38"/>
      <c r="AA420" s="38"/>
      <c r="AB420" s="38"/>
      <c r="AC420" s="38"/>
      <c r="AD420" s="38"/>
      <c r="AE420" s="38"/>
      <c r="AF420" s="38"/>
      <c r="AG420" s="28" t="s">
        <v>4906</v>
      </c>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row>
    <row r="421" ht="25.5" customHeight="1">
      <c r="A421" s="28">
        <v>73.0</v>
      </c>
      <c r="B421" s="37" t="b">
        <v>1</v>
      </c>
      <c r="C421" s="38" t="s">
        <v>106</v>
      </c>
      <c r="D421" s="38">
        <v>80.0</v>
      </c>
      <c r="E421" s="13" t="b">
        <v>0</v>
      </c>
      <c r="F421" s="13" t="b">
        <v>1</v>
      </c>
      <c r="G421" s="38" t="s">
        <v>224</v>
      </c>
      <c r="H421" s="38"/>
      <c r="I421" s="38" t="s">
        <v>887</v>
      </c>
      <c r="J421" s="38">
        <v>9.0</v>
      </c>
      <c r="K421" s="136" t="s">
        <v>4372</v>
      </c>
      <c r="L421" s="38"/>
      <c r="M421" s="38" t="s">
        <v>388</v>
      </c>
      <c r="N421" s="38">
        <v>14000.0</v>
      </c>
      <c r="O421" s="38" t="s">
        <v>224</v>
      </c>
      <c r="P421" s="40"/>
      <c r="Q421" s="38" t="s">
        <v>289</v>
      </c>
      <c r="R421" s="38">
        <v>40.0</v>
      </c>
      <c r="S421" s="38" t="s">
        <v>4373</v>
      </c>
      <c r="T421" s="38" t="s">
        <v>4374</v>
      </c>
      <c r="U421" s="38" t="s">
        <v>4375</v>
      </c>
      <c r="V421" s="38">
        <v>2010.0</v>
      </c>
      <c r="W421" s="38" t="s">
        <v>4376</v>
      </c>
      <c r="X421" s="38"/>
      <c r="Y421" s="38"/>
      <c r="Z421" s="38"/>
      <c r="AA421" s="38"/>
      <c r="AB421" s="38"/>
      <c r="AC421" s="38"/>
      <c r="AD421" s="38"/>
      <c r="AE421" s="38"/>
      <c r="AF421" s="38"/>
      <c r="AG421" s="28"/>
      <c r="AH421" s="28" t="s">
        <v>39</v>
      </c>
      <c r="AI421" s="28" t="s">
        <v>462</v>
      </c>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row>
    <row r="422" ht="25.5" customHeight="1">
      <c r="A422" s="28">
        <v>151.0</v>
      </c>
      <c r="B422" s="37" t="b">
        <v>1</v>
      </c>
      <c r="C422" s="38" t="s">
        <v>106</v>
      </c>
      <c r="D422" s="38">
        <v>80.0</v>
      </c>
      <c r="E422" s="13" t="b">
        <v>1</v>
      </c>
      <c r="F422" s="13" t="b">
        <v>0</v>
      </c>
      <c r="G422" s="38" t="s">
        <v>4924</v>
      </c>
      <c r="H422" s="38">
        <v>56.0</v>
      </c>
      <c r="I422" s="38" t="s">
        <v>224</v>
      </c>
      <c r="J422" s="38"/>
      <c r="K422" s="38" t="s">
        <v>224</v>
      </c>
      <c r="L422" s="38"/>
      <c r="M422" s="38" t="s">
        <v>1064</v>
      </c>
      <c r="N422" s="38" t="s">
        <v>1065</v>
      </c>
      <c r="O422" s="38" t="s">
        <v>4215</v>
      </c>
      <c r="P422" s="40"/>
      <c r="Q422" s="38" t="s">
        <v>289</v>
      </c>
      <c r="R422" s="38">
        <v>40.0</v>
      </c>
      <c r="S422" s="38" t="s">
        <v>4926</v>
      </c>
      <c r="T422" s="38" t="s">
        <v>4927</v>
      </c>
      <c r="U422" s="38" t="s">
        <v>4928</v>
      </c>
      <c r="V422" s="38">
        <v>2006.0</v>
      </c>
      <c r="W422" s="38" t="s">
        <v>4929</v>
      </c>
      <c r="X422" s="38" t="s">
        <v>4930</v>
      </c>
      <c r="Y422" s="38"/>
      <c r="Z422" s="38"/>
      <c r="AA422" s="38"/>
      <c r="AB422" s="38"/>
      <c r="AC422" s="38"/>
      <c r="AD422" s="38"/>
      <c r="AE422" s="38"/>
      <c r="AF422" s="3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row>
    <row r="423" ht="25.5" customHeight="1">
      <c r="A423" s="28">
        <v>87.0</v>
      </c>
      <c r="B423" s="37" t="b">
        <v>1</v>
      </c>
      <c r="C423" s="38" t="s">
        <v>106</v>
      </c>
      <c r="D423" s="38">
        <v>80.0</v>
      </c>
      <c r="E423" s="13" t="b">
        <v>0</v>
      </c>
      <c r="F423" s="13" t="b">
        <v>1</v>
      </c>
      <c r="G423" s="38" t="s">
        <v>224</v>
      </c>
      <c r="H423" s="38"/>
      <c r="I423" s="38" t="s">
        <v>265</v>
      </c>
      <c r="J423" s="38">
        <v>9.0</v>
      </c>
      <c r="K423" s="38" t="s">
        <v>960</v>
      </c>
      <c r="L423" s="38">
        <v>904.0</v>
      </c>
      <c r="M423" s="38" t="s">
        <v>239</v>
      </c>
      <c r="N423" s="38">
        <v>4000.0</v>
      </c>
      <c r="O423" s="38" t="s">
        <v>4500</v>
      </c>
      <c r="P423" s="40"/>
      <c r="Q423" s="38" t="s">
        <v>289</v>
      </c>
      <c r="R423" s="38">
        <v>40.0</v>
      </c>
      <c r="S423" s="38" t="s">
        <v>4503</v>
      </c>
      <c r="T423" s="38" t="s">
        <v>4504</v>
      </c>
      <c r="U423" s="38" t="s">
        <v>4506</v>
      </c>
      <c r="V423" s="38">
        <v>2006.0</v>
      </c>
      <c r="W423" s="38" t="s">
        <v>4507</v>
      </c>
      <c r="X423" s="38" t="s">
        <v>4508</v>
      </c>
      <c r="Y423" s="38"/>
      <c r="Z423" s="38"/>
      <c r="AA423" s="38"/>
      <c r="AB423" s="38"/>
      <c r="AC423" s="38"/>
      <c r="AD423" s="38"/>
      <c r="AE423" s="38"/>
      <c r="AF423" s="38"/>
      <c r="AG423" s="28"/>
      <c r="AH423" s="28" t="s">
        <v>428</v>
      </c>
      <c r="AI423" s="28" t="s">
        <v>462</v>
      </c>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row>
    <row r="424" ht="25.5" customHeight="1">
      <c r="A424" s="28">
        <v>406.0</v>
      </c>
      <c r="B424" s="37" t="b">
        <v>1</v>
      </c>
      <c r="C424" s="38" t="s">
        <v>106</v>
      </c>
      <c r="D424" s="38">
        <v>80.0</v>
      </c>
      <c r="E424" s="13" t="b">
        <v>0</v>
      </c>
      <c r="F424" s="13" t="b">
        <v>1</v>
      </c>
      <c r="G424" s="38" t="s">
        <v>224</v>
      </c>
      <c r="H424" s="38"/>
      <c r="I424" s="38" t="s">
        <v>712</v>
      </c>
      <c r="J424" s="38">
        <v>7.0</v>
      </c>
      <c r="K424" s="38" t="s">
        <v>731</v>
      </c>
      <c r="L424" s="38">
        <v>700.0</v>
      </c>
      <c r="M424" s="38" t="s">
        <v>411</v>
      </c>
      <c r="N424" s="38">
        <v>21000.0</v>
      </c>
      <c r="O424" s="38" t="s">
        <v>1052</v>
      </c>
      <c r="P424" s="40"/>
      <c r="Q424" s="38" t="s">
        <v>111</v>
      </c>
      <c r="R424" s="38">
        <v>41.0</v>
      </c>
      <c r="S424" s="38" t="s">
        <v>4944</v>
      </c>
      <c r="T424" s="38" t="s">
        <v>4945</v>
      </c>
      <c r="U424" s="38" t="s">
        <v>4946</v>
      </c>
      <c r="V424" s="38">
        <v>2012.0</v>
      </c>
      <c r="W424" s="38" t="s">
        <v>4950</v>
      </c>
      <c r="X424" s="38" t="s">
        <v>4951</v>
      </c>
      <c r="Y424" s="38"/>
      <c r="Z424" s="38"/>
      <c r="AA424" s="38"/>
      <c r="AB424" s="38"/>
      <c r="AC424" s="38"/>
      <c r="AD424" s="38"/>
      <c r="AE424" s="38"/>
      <c r="AF424" s="38"/>
      <c r="AG424" s="28"/>
      <c r="AH424" s="28" t="s">
        <v>462</v>
      </c>
      <c r="AI424" s="28" t="s">
        <v>462</v>
      </c>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row>
    <row r="425" ht="25.5" customHeight="1">
      <c r="A425" s="28">
        <v>337.0</v>
      </c>
      <c r="B425" s="37" t="b">
        <v>1</v>
      </c>
      <c r="C425" s="38" t="s">
        <v>106</v>
      </c>
      <c r="D425" s="38">
        <v>80.0</v>
      </c>
      <c r="E425" s="13" t="b">
        <v>0</v>
      </c>
      <c r="F425" s="13" t="b">
        <v>1</v>
      </c>
      <c r="G425" s="38" t="s">
        <v>224</v>
      </c>
      <c r="H425" s="38"/>
      <c r="I425" s="38" t="s">
        <v>490</v>
      </c>
      <c r="J425" s="38">
        <v>6.0</v>
      </c>
      <c r="K425" s="38" t="s">
        <v>4952</v>
      </c>
      <c r="L425" s="38">
        <v>604.0</v>
      </c>
      <c r="M425" s="38" t="s">
        <v>35</v>
      </c>
      <c r="N425" s="38">
        <v>2000.0</v>
      </c>
      <c r="O425" s="38" t="s">
        <v>942</v>
      </c>
      <c r="P425" s="40"/>
      <c r="Q425" s="38" t="s">
        <v>4953</v>
      </c>
      <c r="R425" s="38" t="s">
        <v>325</v>
      </c>
      <c r="S425" s="38" t="s">
        <v>4954</v>
      </c>
      <c r="T425" s="38" t="s">
        <v>4955</v>
      </c>
      <c r="U425" s="38" t="s">
        <v>4956</v>
      </c>
      <c r="V425" s="38">
        <v>2009.0</v>
      </c>
      <c r="W425" s="38" t="s">
        <v>4957</v>
      </c>
      <c r="X425" s="38"/>
      <c r="Y425" s="38"/>
      <c r="Z425" s="38"/>
      <c r="AA425" s="38"/>
      <c r="AB425" s="38"/>
      <c r="AC425" s="38"/>
      <c r="AD425" s="38"/>
      <c r="AE425" s="38"/>
      <c r="AF425" s="38"/>
      <c r="AG425" s="28"/>
      <c r="AH425" s="28" t="s">
        <v>462</v>
      </c>
      <c r="AI425" s="28" t="s">
        <v>462</v>
      </c>
      <c r="AJ425" s="28" t="s">
        <v>39</v>
      </c>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row>
    <row r="426" ht="25.5" customHeight="1">
      <c r="A426" s="28">
        <v>469.0</v>
      </c>
      <c r="B426" s="37" t="b">
        <v>1</v>
      </c>
      <c r="C426" s="38" t="s">
        <v>106</v>
      </c>
      <c r="D426" s="38">
        <v>80.0</v>
      </c>
      <c r="E426" s="13" t="b">
        <v>1</v>
      </c>
      <c r="F426" s="13" t="b">
        <v>0</v>
      </c>
      <c r="G426" s="38" t="s">
        <v>224</v>
      </c>
      <c r="H426" s="38"/>
      <c r="I426" s="38" t="s">
        <v>772</v>
      </c>
      <c r="J426" s="38">
        <v>5.0</v>
      </c>
      <c r="K426" s="38" t="s">
        <v>4958</v>
      </c>
      <c r="L426" s="38">
        <v>505.0</v>
      </c>
      <c r="M426" s="38" t="s">
        <v>388</v>
      </c>
      <c r="N426" s="38">
        <v>14000.0</v>
      </c>
      <c r="O426" s="38" t="s">
        <v>224</v>
      </c>
      <c r="P426" s="40"/>
      <c r="Q426" s="38" t="s">
        <v>111</v>
      </c>
      <c r="R426" s="38">
        <v>41.0</v>
      </c>
      <c r="S426" s="61" t="s">
        <v>4959</v>
      </c>
      <c r="T426" s="38" t="s">
        <v>4960</v>
      </c>
      <c r="U426" s="38" t="s">
        <v>4961</v>
      </c>
      <c r="V426" s="38">
        <v>2010.0</v>
      </c>
      <c r="W426" s="38" t="s">
        <v>4962</v>
      </c>
      <c r="X426" s="38" t="s">
        <v>4963</v>
      </c>
      <c r="Y426" s="38"/>
      <c r="Z426" s="38"/>
      <c r="AA426" s="38"/>
      <c r="AB426" s="38"/>
      <c r="AC426" s="38"/>
      <c r="AD426" s="38"/>
      <c r="AE426" s="38"/>
      <c r="AF426" s="38"/>
      <c r="AG426" s="28"/>
      <c r="AH426" s="28" t="s">
        <v>428</v>
      </c>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row>
    <row r="427" ht="25.5" customHeight="1">
      <c r="A427" s="28">
        <v>445.0</v>
      </c>
      <c r="B427" s="37" t="b">
        <v>1</v>
      </c>
      <c r="C427" s="38" t="s">
        <v>106</v>
      </c>
      <c r="D427" s="38">
        <v>80.0</v>
      </c>
      <c r="E427" s="13" t="b">
        <v>0</v>
      </c>
      <c r="F427" s="13" t="b">
        <v>1</v>
      </c>
      <c r="G427" s="38" t="s">
        <v>224</v>
      </c>
      <c r="H427" s="38"/>
      <c r="I427" s="38" t="s">
        <v>387</v>
      </c>
      <c r="J427" s="38">
        <v>8.0</v>
      </c>
      <c r="K427" s="47" t="s">
        <v>822</v>
      </c>
      <c r="L427" s="62">
        <v>803.0</v>
      </c>
      <c r="M427" s="38" t="s">
        <v>388</v>
      </c>
      <c r="N427" s="38">
        <v>14000.0</v>
      </c>
      <c r="O427" s="38" t="s">
        <v>224</v>
      </c>
      <c r="P427" s="40"/>
      <c r="Q427" s="38" t="s">
        <v>117</v>
      </c>
      <c r="R427" s="38">
        <v>40.0</v>
      </c>
      <c r="S427" s="38" t="s">
        <v>4967</v>
      </c>
      <c r="T427" s="38" t="s">
        <v>4968</v>
      </c>
      <c r="U427" s="38" t="s">
        <v>4961</v>
      </c>
      <c r="V427" s="38">
        <v>2005.0</v>
      </c>
      <c r="W427" s="38" t="s">
        <v>4969</v>
      </c>
      <c r="X427" s="38" t="s">
        <v>4970</v>
      </c>
      <c r="Y427" s="38"/>
      <c r="Z427" s="38"/>
      <c r="AA427" s="38"/>
      <c r="AB427" s="38"/>
      <c r="AC427" s="38"/>
      <c r="AD427" s="38"/>
      <c r="AE427" s="38"/>
      <c r="AF427" s="38"/>
      <c r="AG427" s="28"/>
      <c r="AH427" s="28" t="s">
        <v>428</v>
      </c>
      <c r="AI427" s="28" t="s">
        <v>462</v>
      </c>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row>
    <row r="428" ht="25.5" customHeight="1">
      <c r="A428" s="28">
        <v>399.0</v>
      </c>
      <c r="B428" s="37" t="b">
        <v>1</v>
      </c>
      <c r="C428" s="38" t="s">
        <v>106</v>
      </c>
      <c r="D428" s="38">
        <v>80.0</v>
      </c>
      <c r="E428" s="13" t="b">
        <v>0</v>
      </c>
      <c r="F428" s="13" t="b">
        <v>1</v>
      </c>
      <c r="G428" s="38" t="s">
        <v>224</v>
      </c>
      <c r="H428" s="38"/>
      <c r="I428" s="38" t="s">
        <v>712</v>
      </c>
      <c r="J428" s="38">
        <v>7.0</v>
      </c>
      <c r="K428" s="38" t="s">
        <v>2342</v>
      </c>
      <c r="L428" s="38">
        <v>703.0</v>
      </c>
      <c r="M428" s="38" t="s">
        <v>107</v>
      </c>
      <c r="N428" s="38">
        <v>3000.0</v>
      </c>
      <c r="O428" s="38" t="s">
        <v>185</v>
      </c>
      <c r="P428" s="40"/>
      <c r="Q428" s="38" t="s">
        <v>289</v>
      </c>
      <c r="R428" s="38">
        <v>40.0</v>
      </c>
      <c r="S428" s="38" t="s">
        <v>4977</v>
      </c>
      <c r="T428" s="38" t="s">
        <v>4978</v>
      </c>
      <c r="U428" s="38" t="s">
        <v>4979</v>
      </c>
      <c r="V428" s="38">
        <v>2008.0</v>
      </c>
      <c r="W428" s="38" t="s">
        <v>4981</v>
      </c>
      <c r="X428" s="38" t="s">
        <v>4982</v>
      </c>
      <c r="Y428" s="38"/>
      <c r="Z428" s="38"/>
      <c r="AA428" s="38"/>
      <c r="AB428" s="38"/>
      <c r="AC428" s="38"/>
      <c r="AD428" s="38"/>
      <c r="AE428" s="38"/>
      <c r="AF428" s="38"/>
      <c r="AG428" s="28"/>
      <c r="AH428" s="28" t="s">
        <v>4983</v>
      </c>
      <c r="AI428" s="28" t="s">
        <v>4984</v>
      </c>
      <c r="AJ428" s="28"/>
      <c r="AK428" s="28"/>
      <c r="AL428" s="28" t="s">
        <v>561</v>
      </c>
      <c r="AM428" s="28" t="s">
        <v>4985</v>
      </c>
      <c r="AN428" s="54">
        <v>42502.0</v>
      </c>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row>
    <row r="429" ht="25.5" customHeight="1">
      <c r="A429" s="28">
        <v>327.0</v>
      </c>
      <c r="B429" s="37" t="b">
        <v>1</v>
      </c>
      <c r="C429" s="38" t="s">
        <v>106</v>
      </c>
      <c r="D429" s="38">
        <v>80.0</v>
      </c>
      <c r="E429" s="13" t="b">
        <v>0</v>
      </c>
      <c r="F429" s="13" t="b">
        <v>1</v>
      </c>
      <c r="G429" s="38" t="s">
        <v>224</v>
      </c>
      <c r="H429" s="38"/>
      <c r="I429" s="38" t="s">
        <v>490</v>
      </c>
      <c r="J429" s="38">
        <v>6.0</v>
      </c>
      <c r="K429" s="38" t="s">
        <v>776</v>
      </c>
      <c r="L429" s="38">
        <v>602.0</v>
      </c>
      <c r="M429" s="38" t="s">
        <v>4986</v>
      </c>
      <c r="N429" s="38" t="s">
        <v>4987</v>
      </c>
      <c r="O429" s="38" t="s">
        <v>4988</v>
      </c>
      <c r="P429" s="40"/>
      <c r="Q429" s="38" t="s">
        <v>289</v>
      </c>
      <c r="R429" s="38">
        <v>40.0</v>
      </c>
      <c r="S429" s="38" t="s">
        <v>4989</v>
      </c>
      <c r="T429" s="38" t="s">
        <v>4990</v>
      </c>
      <c r="U429" s="38" t="s">
        <v>4979</v>
      </c>
      <c r="V429" s="38">
        <v>2012.0</v>
      </c>
      <c r="W429" s="38" t="s">
        <v>4995</v>
      </c>
      <c r="X429" s="38"/>
      <c r="Y429" s="38"/>
      <c r="Z429" s="38"/>
      <c r="AA429" s="38"/>
      <c r="AB429" s="38"/>
      <c r="AC429" s="38"/>
      <c r="AD429" s="38"/>
      <c r="AE429" s="38"/>
      <c r="AF429" s="38"/>
      <c r="AG429" s="28" t="s">
        <v>4997</v>
      </c>
      <c r="AH429" s="28" t="s">
        <v>428</v>
      </c>
      <c r="AI429" s="28" t="s">
        <v>462</v>
      </c>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row>
    <row r="430" ht="25.5" customHeight="1">
      <c r="A430" s="28">
        <v>314.0</v>
      </c>
      <c r="B430" s="37" t="b">
        <v>1</v>
      </c>
      <c r="C430" s="38" t="s">
        <v>106</v>
      </c>
      <c r="D430" s="38">
        <v>80.0</v>
      </c>
      <c r="E430" s="13" t="b">
        <v>0</v>
      </c>
      <c r="F430" s="13" t="b">
        <v>1</v>
      </c>
      <c r="G430" s="38" t="s">
        <v>224</v>
      </c>
      <c r="H430" s="38"/>
      <c r="I430" s="38" t="s">
        <v>536</v>
      </c>
      <c r="J430" s="38">
        <v>3.0</v>
      </c>
      <c r="K430" s="38" t="s">
        <v>603</v>
      </c>
      <c r="L430" s="38">
        <v>304.0</v>
      </c>
      <c r="M430" s="38" t="s">
        <v>239</v>
      </c>
      <c r="N430" s="38">
        <v>4000.0</v>
      </c>
      <c r="O430" s="38" t="s">
        <v>70</v>
      </c>
      <c r="P430" s="40"/>
      <c r="Q430" s="38" t="s">
        <v>289</v>
      </c>
      <c r="R430" s="38">
        <v>40.0</v>
      </c>
      <c r="S430" s="38" t="s">
        <v>5000</v>
      </c>
      <c r="T430" s="38" t="s">
        <v>5001</v>
      </c>
      <c r="U430" s="38" t="s">
        <v>4979</v>
      </c>
      <c r="V430" s="38">
        <v>1987.0</v>
      </c>
      <c r="W430" s="38" t="s">
        <v>5003</v>
      </c>
      <c r="X430" s="38" t="s">
        <v>5004</v>
      </c>
      <c r="Y430" s="38"/>
      <c r="Z430" s="38"/>
      <c r="AA430" s="38"/>
      <c r="AB430" s="38"/>
      <c r="AC430" s="38"/>
      <c r="AD430" s="38"/>
      <c r="AE430" s="38"/>
      <c r="AF430" s="38"/>
      <c r="AG430" s="28"/>
      <c r="AH430" s="28" t="s">
        <v>462</v>
      </c>
      <c r="AI430" s="28" t="s">
        <v>462</v>
      </c>
      <c r="AJ430" s="28"/>
      <c r="AK430" s="28"/>
      <c r="AL430" s="28"/>
      <c r="AM430" s="28"/>
      <c r="AN430" s="28"/>
      <c r="AO430" s="28"/>
      <c r="AP430" s="28"/>
      <c r="AQ430" s="28"/>
      <c r="AR430" s="28"/>
      <c r="AS430" s="28"/>
      <c r="AT430" s="28"/>
      <c r="AU430" s="28"/>
      <c r="AV430" s="28"/>
      <c r="AW430" s="28"/>
      <c r="AX430" s="28"/>
      <c r="AY430" s="28"/>
      <c r="AZ430" s="28"/>
      <c r="BA430" s="28" t="s">
        <v>1023</v>
      </c>
      <c r="BB430" s="28"/>
      <c r="BC430" s="28"/>
      <c r="BD430" s="28"/>
      <c r="BE430" s="28"/>
      <c r="BF430" s="28"/>
      <c r="BG430" s="28"/>
      <c r="BH430" s="28"/>
      <c r="BI430" s="28"/>
      <c r="BJ430" s="28"/>
      <c r="BK430" s="28"/>
      <c r="BL430" s="28"/>
      <c r="BM430" s="28"/>
      <c r="BN430" s="28"/>
      <c r="BO430" s="28"/>
    </row>
    <row r="431" ht="25.5" customHeight="1">
      <c r="A431" s="28">
        <v>297.0</v>
      </c>
      <c r="B431" s="37" t="b">
        <v>1</v>
      </c>
      <c r="C431" s="38" t="s">
        <v>106</v>
      </c>
      <c r="D431" s="38">
        <v>80.0</v>
      </c>
      <c r="E431" s="13" t="b">
        <v>0</v>
      </c>
      <c r="F431" s="13" t="b">
        <v>1</v>
      </c>
      <c r="G431" s="38" t="s">
        <v>224</v>
      </c>
      <c r="H431" s="38"/>
      <c r="I431" s="38" t="s">
        <v>510</v>
      </c>
      <c r="J431" s="38" t="s">
        <v>511</v>
      </c>
      <c r="K431" s="136" t="s">
        <v>4814</v>
      </c>
      <c r="L431" s="38">
        <v>304.0</v>
      </c>
      <c r="M431" s="38" t="s">
        <v>239</v>
      </c>
      <c r="N431" s="38">
        <v>4000.0</v>
      </c>
      <c r="O431" s="38" t="s">
        <v>605</v>
      </c>
      <c r="P431" s="40"/>
      <c r="Q431" s="38" t="s">
        <v>111</v>
      </c>
      <c r="R431" s="38">
        <v>41.0</v>
      </c>
      <c r="S431" s="38" t="s">
        <v>5005</v>
      </c>
      <c r="T431" s="38" t="s">
        <v>5006</v>
      </c>
      <c r="U431" s="38" t="s">
        <v>4979</v>
      </c>
      <c r="V431" s="38">
        <v>1989.0</v>
      </c>
      <c r="W431" s="38" t="s">
        <v>5007</v>
      </c>
      <c r="X431" s="38" t="s">
        <v>5008</v>
      </c>
      <c r="Y431" s="38"/>
      <c r="Z431" s="38"/>
      <c r="AA431" s="38"/>
      <c r="AB431" s="38"/>
      <c r="AC431" s="38"/>
      <c r="AD431" s="38"/>
      <c r="AE431" s="38"/>
      <c r="AF431" s="38"/>
      <c r="AG431" s="28" t="s">
        <v>5009</v>
      </c>
      <c r="AH431" s="28" t="s">
        <v>428</v>
      </c>
      <c r="AI431" s="28" t="s">
        <v>462</v>
      </c>
      <c r="AJ431" s="28"/>
      <c r="AK431" s="28"/>
      <c r="AL431" s="28" t="s">
        <v>561</v>
      </c>
      <c r="AM431" s="28" t="s">
        <v>5010</v>
      </c>
      <c r="AN431" s="54">
        <v>42444.0</v>
      </c>
      <c r="AO431" s="28"/>
      <c r="AP431" s="54">
        <v>42600.0</v>
      </c>
      <c r="AQ431" s="28"/>
      <c r="AR431" s="28"/>
      <c r="AS431" s="28"/>
      <c r="AT431" s="28"/>
      <c r="AU431" s="28"/>
      <c r="AV431" s="28"/>
      <c r="AW431" s="28"/>
      <c r="AX431" s="28"/>
      <c r="AY431" s="28"/>
      <c r="AZ431" s="28"/>
      <c r="BA431" s="28" t="s">
        <v>1023</v>
      </c>
      <c r="BB431" s="28"/>
      <c r="BC431" s="28"/>
      <c r="BD431" s="28"/>
      <c r="BE431" s="28"/>
      <c r="BF431" s="28"/>
      <c r="BG431" s="28"/>
      <c r="BH431" s="28"/>
      <c r="BI431" s="28"/>
      <c r="BJ431" s="28"/>
      <c r="BK431" s="28"/>
      <c r="BL431" s="28"/>
      <c r="BM431" s="28"/>
      <c r="BN431" s="28"/>
      <c r="BO431" s="28"/>
    </row>
    <row r="432" ht="25.5" customHeight="1">
      <c r="A432" s="28">
        <v>170.0</v>
      </c>
      <c r="B432" s="37" t="b">
        <v>1</v>
      </c>
      <c r="C432" s="38" t="s">
        <v>106</v>
      </c>
      <c r="D432" s="38">
        <v>80.0</v>
      </c>
      <c r="E432" s="13" t="b">
        <v>0</v>
      </c>
      <c r="F432" s="13" t="b">
        <v>1</v>
      </c>
      <c r="G432" s="38" t="s">
        <v>224</v>
      </c>
      <c r="H432" s="38"/>
      <c r="I432" s="38" t="s">
        <v>429</v>
      </c>
      <c r="J432" s="38">
        <v>2.0</v>
      </c>
      <c r="K432" s="38" t="s">
        <v>524</v>
      </c>
      <c r="L432" s="62">
        <v>205.0</v>
      </c>
      <c r="M432" s="38" t="s">
        <v>388</v>
      </c>
      <c r="N432" s="38">
        <v>14000.0</v>
      </c>
      <c r="O432" s="38" t="s">
        <v>224</v>
      </c>
      <c r="P432" s="40"/>
      <c r="Q432" s="38" t="s">
        <v>289</v>
      </c>
      <c r="R432" s="38">
        <v>40.0</v>
      </c>
      <c r="S432" s="38" t="s">
        <v>5011</v>
      </c>
      <c r="T432" s="38" t="s">
        <v>5012</v>
      </c>
      <c r="U432" s="38" t="s">
        <v>4979</v>
      </c>
      <c r="V432" s="38">
        <v>2004.0</v>
      </c>
      <c r="W432" s="38" t="s">
        <v>5013</v>
      </c>
      <c r="X432" s="49" t="str">
        <f>HYPERLINK("http://www.chicagobooth.edu/research/workshops/marketing/archive/WorkshopPapers/Skeptical%20Shoppers.pdf","http://www.chicagobooth.edu/research/workshops/marketing/archive/WorkshopPapers/Skeptical%20Shoppers.pdf")</f>
        <v>http://www.chicagobooth.edu/research/workshops/marketing/archive/WorkshopPapers/Skeptical%20Shoppers.pdf</v>
      </c>
      <c r="Y432" s="38"/>
      <c r="Z432" s="38"/>
      <c r="AA432" s="38"/>
      <c r="AB432" s="38"/>
      <c r="AC432" s="38"/>
      <c r="AD432" s="38"/>
      <c r="AE432" s="38"/>
      <c r="AF432" s="38"/>
      <c r="AG432" s="28"/>
      <c r="AH432" s="28" t="s">
        <v>462</v>
      </c>
      <c r="AI432" s="28" t="s">
        <v>462</v>
      </c>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row>
    <row r="433" ht="25.5" customHeight="1">
      <c r="A433" s="28">
        <v>224.0</v>
      </c>
      <c r="B433" s="37" t="b">
        <v>1</v>
      </c>
      <c r="C433" s="38" t="s">
        <v>106</v>
      </c>
      <c r="D433" s="38">
        <v>80.0</v>
      </c>
      <c r="E433" s="13" t="b">
        <v>0</v>
      </c>
      <c r="F433" s="13" t="b">
        <v>1</v>
      </c>
      <c r="G433" s="38" t="s">
        <v>224</v>
      </c>
      <c r="H433" s="38"/>
      <c r="I433" s="38" t="s">
        <v>376</v>
      </c>
      <c r="J433" s="38">
        <v>2.0</v>
      </c>
      <c r="K433" s="38" t="s">
        <v>5014</v>
      </c>
      <c r="L433" s="38">
        <v>202.0</v>
      </c>
      <c r="M433" s="38" t="s">
        <v>388</v>
      </c>
      <c r="N433" s="38">
        <v>14000.0</v>
      </c>
      <c r="O433" s="38" t="s">
        <v>224</v>
      </c>
      <c r="P433" s="40"/>
      <c r="Q433" s="38" t="s">
        <v>289</v>
      </c>
      <c r="R433" s="38">
        <v>40.0</v>
      </c>
      <c r="S433" s="38" t="s">
        <v>5015</v>
      </c>
      <c r="T433" s="38" t="s">
        <v>5016</v>
      </c>
      <c r="U433" s="38" t="s">
        <v>4979</v>
      </c>
      <c r="V433" s="61">
        <v>2012.0</v>
      </c>
      <c r="W433" s="38" t="s">
        <v>5020</v>
      </c>
      <c r="X433" s="38"/>
      <c r="Y433" s="38"/>
      <c r="Z433" s="38"/>
      <c r="AA433" s="38"/>
      <c r="AB433" s="38"/>
      <c r="AC433" s="38"/>
      <c r="AD433" s="38"/>
      <c r="AE433" s="38"/>
      <c r="AF433" s="38"/>
      <c r="AG433" s="28"/>
      <c r="AH433" s="28" t="s">
        <v>462</v>
      </c>
      <c r="AI433" s="28" t="s">
        <v>462</v>
      </c>
      <c r="AJ433" s="28" t="s">
        <v>39</v>
      </c>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row>
    <row r="434" ht="25.5" customHeight="1">
      <c r="A434" s="28">
        <v>80.0</v>
      </c>
      <c r="B434" s="37" t="b">
        <v>1</v>
      </c>
      <c r="C434" s="38" t="s">
        <v>106</v>
      </c>
      <c r="D434" s="38">
        <v>80.0</v>
      </c>
      <c r="E434" s="13" t="b">
        <v>1</v>
      </c>
      <c r="F434" s="13" t="b">
        <v>0</v>
      </c>
      <c r="G434" s="38" t="s">
        <v>224</v>
      </c>
      <c r="H434" s="38"/>
      <c r="I434" s="38" t="s">
        <v>887</v>
      </c>
      <c r="J434" s="38">
        <v>9.0</v>
      </c>
      <c r="K434" s="38" t="s">
        <v>224</v>
      </c>
      <c r="L434" s="38"/>
      <c r="M434" s="38" t="s">
        <v>107</v>
      </c>
      <c r="N434" s="38">
        <v>3000.0</v>
      </c>
      <c r="O434" s="38" t="s">
        <v>2282</v>
      </c>
      <c r="P434" s="40"/>
      <c r="Q434" s="38" t="s">
        <v>289</v>
      </c>
      <c r="R434" s="38">
        <v>40.0</v>
      </c>
      <c r="S434" s="38" t="s">
        <v>4437</v>
      </c>
      <c r="T434" s="38" t="s">
        <v>4438</v>
      </c>
      <c r="U434" s="38" t="s">
        <v>4440</v>
      </c>
      <c r="V434" s="38">
        <v>2002.0</v>
      </c>
      <c r="W434" s="38" t="s">
        <v>4443</v>
      </c>
      <c r="X434" s="38"/>
      <c r="Y434" s="38"/>
      <c r="Z434" s="38"/>
      <c r="AA434" s="38"/>
      <c r="AB434" s="38"/>
      <c r="AC434" s="38"/>
      <c r="AD434" s="38"/>
      <c r="AE434" s="38"/>
      <c r="AF434" s="38"/>
      <c r="AG434" s="28"/>
      <c r="AH434" s="28" t="s">
        <v>462</v>
      </c>
      <c r="AI434" s="28" t="s">
        <v>462</v>
      </c>
      <c r="AJ434" s="28" t="s">
        <v>4444</v>
      </c>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row>
    <row r="435" ht="25.5" customHeight="1">
      <c r="A435" s="28">
        <v>351.0</v>
      </c>
      <c r="B435" s="37" t="b">
        <v>1</v>
      </c>
      <c r="C435" s="38" t="s">
        <v>106</v>
      </c>
      <c r="D435" s="38">
        <v>80.0</v>
      </c>
      <c r="E435" s="13" t="b">
        <v>0</v>
      </c>
      <c r="F435" s="13" t="b">
        <v>1</v>
      </c>
      <c r="G435" s="38" t="s">
        <v>224</v>
      </c>
      <c r="H435" s="38"/>
      <c r="I435" s="38" t="s">
        <v>490</v>
      </c>
      <c r="J435" s="38">
        <v>6.0</v>
      </c>
      <c r="K435" s="65" t="s">
        <v>5022</v>
      </c>
      <c r="L435" s="38"/>
      <c r="M435" s="38" t="s">
        <v>3605</v>
      </c>
      <c r="N435" s="38" t="s">
        <v>3606</v>
      </c>
      <c r="O435" s="38" t="s">
        <v>805</v>
      </c>
      <c r="P435" s="40"/>
      <c r="Q435" s="38" t="s">
        <v>289</v>
      </c>
      <c r="R435" s="38">
        <v>40.0</v>
      </c>
      <c r="S435" s="38" t="s">
        <v>5023</v>
      </c>
      <c r="T435" s="38" t="s">
        <v>5024</v>
      </c>
      <c r="U435" s="38" t="s">
        <v>5025</v>
      </c>
      <c r="V435" s="38">
        <v>2014.0</v>
      </c>
      <c r="W435" s="38" t="s">
        <v>5031</v>
      </c>
      <c r="X435" s="38" t="s">
        <v>5034</v>
      </c>
      <c r="Y435" s="38"/>
      <c r="Z435" s="38"/>
      <c r="AA435" s="38"/>
      <c r="AB435" s="38"/>
      <c r="AC435" s="38"/>
      <c r="AD435" s="38"/>
      <c r="AE435" s="38"/>
      <c r="AF435" s="38"/>
      <c r="AG435" s="28" t="s">
        <v>5035</v>
      </c>
      <c r="AH435" s="28" t="s">
        <v>428</v>
      </c>
      <c r="AI435" s="28" t="s">
        <v>462</v>
      </c>
      <c r="AJ435" s="28"/>
      <c r="AK435" s="28"/>
      <c r="AL435" s="28" t="s">
        <v>561</v>
      </c>
      <c r="AM435" s="28" t="s">
        <v>5036</v>
      </c>
      <c r="AN435" s="28" t="s">
        <v>5037</v>
      </c>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row>
    <row r="436" ht="25.5" customHeight="1">
      <c r="A436" s="28">
        <v>249.0</v>
      </c>
      <c r="B436" s="37" t="b">
        <v>1</v>
      </c>
      <c r="C436" s="38" t="s">
        <v>106</v>
      </c>
      <c r="D436" s="38">
        <v>80.0</v>
      </c>
      <c r="E436" s="13" t="b">
        <v>0</v>
      </c>
      <c r="F436" s="13" t="b">
        <v>1</v>
      </c>
      <c r="G436" s="38" t="s">
        <v>224</v>
      </c>
      <c r="H436" s="38"/>
      <c r="I436" s="38" t="s">
        <v>323</v>
      </c>
      <c r="J436" s="38">
        <v>11.0</v>
      </c>
      <c r="K436" s="38" t="s">
        <v>224</v>
      </c>
      <c r="L436" s="38"/>
      <c r="M436" s="38" t="s">
        <v>35</v>
      </c>
      <c r="N436" s="38">
        <v>2000.0</v>
      </c>
      <c r="O436" s="38" t="s">
        <v>1114</v>
      </c>
      <c r="P436" s="40"/>
      <c r="Q436" s="38" t="s">
        <v>111</v>
      </c>
      <c r="R436" s="38">
        <v>41.0</v>
      </c>
      <c r="S436" s="38" t="s">
        <v>5039</v>
      </c>
      <c r="T436" s="38" t="s">
        <v>5040</v>
      </c>
      <c r="U436" s="38" t="s">
        <v>5041</v>
      </c>
      <c r="V436" s="61">
        <v>2012.0</v>
      </c>
      <c r="W436" s="38" t="s">
        <v>5042</v>
      </c>
      <c r="X436" s="38" t="s">
        <v>5043</v>
      </c>
      <c r="Y436" s="38"/>
      <c r="Z436" s="38"/>
      <c r="AA436" s="38"/>
      <c r="AB436" s="38"/>
      <c r="AC436" s="38"/>
      <c r="AD436" s="38"/>
      <c r="AE436" s="38"/>
      <c r="AF436" s="38"/>
      <c r="AG436" s="28"/>
      <c r="AH436" s="28"/>
      <c r="AI436" s="28"/>
      <c r="AJ436" s="28"/>
      <c r="AK436" s="28"/>
      <c r="AL436" s="28"/>
      <c r="AM436" s="28"/>
      <c r="AN436" s="54"/>
      <c r="AO436" s="28"/>
      <c r="AP436" s="54"/>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row>
    <row r="437" ht="25.5" customHeight="1">
      <c r="A437" s="28">
        <v>333.0</v>
      </c>
      <c r="B437" s="37" t="b">
        <v>1</v>
      </c>
      <c r="C437" s="38" t="s">
        <v>106</v>
      </c>
      <c r="D437" s="38">
        <v>80.0</v>
      </c>
      <c r="E437" s="13" t="b">
        <v>0</v>
      </c>
      <c r="F437" s="13" t="b">
        <v>1</v>
      </c>
      <c r="G437" s="38" t="s">
        <v>224</v>
      </c>
      <c r="H437" s="38"/>
      <c r="I437" s="38" t="s">
        <v>490</v>
      </c>
      <c r="J437" s="38">
        <v>6.0</v>
      </c>
      <c r="K437" s="38" t="s">
        <v>5044</v>
      </c>
      <c r="L437" s="38" t="s">
        <v>5045</v>
      </c>
      <c r="M437" s="38" t="s">
        <v>239</v>
      </c>
      <c r="N437" s="38">
        <v>4000.0</v>
      </c>
      <c r="O437" s="38" t="s">
        <v>70</v>
      </c>
      <c r="P437" s="40"/>
      <c r="Q437" s="38" t="s">
        <v>289</v>
      </c>
      <c r="R437" s="38">
        <v>40.0</v>
      </c>
      <c r="S437" s="38" t="s">
        <v>5046</v>
      </c>
      <c r="T437" s="38" t="s">
        <v>5047</v>
      </c>
      <c r="U437" s="38" t="s">
        <v>5041</v>
      </c>
      <c r="V437" s="38">
        <v>1983.0</v>
      </c>
      <c r="W437" s="38" t="s">
        <v>5048</v>
      </c>
      <c r="X437" s="38" t="s">
        <v>5049</v>
      </c>
      <c r="Y437" s="38"/>
      <c r="Z437" s="38"/>
      <c r="AA437" s="38"/>
      <c r="AB437" s="38"/>
      <c r="AC437" s="38"/>
      <c r="AD437" s="38"/>
      <c r="AE437" s="38"/>
      <c r="AF437" s="38"/>
      <c r="AG437" s="28" t="s">
        <v>5050</v>
      </c>
      <c r="AH437" s="28" t="s">
        <v>428</v>
      </c>
      <c r="AI437" s="28" t="s">
        <v>462</v>
      </c>
      <c r="AJ437" s="28"/>
      <c r="AK437" s="28"/>
      <c r="AL437" s="28" t="s">
        <v>561</v>
      </c>
      <c r="AM437" s="28" t="s">
        <v>5051</v>
      </c>
      <c r="AN437" s="54">
        <v>42466.0</v>
      </c>
      <c r="AO437" s="28"/>
      <c r="AP437" s="28"/>
      <c r="AQ437" s="28"/>
      <c r="AR437" s="28"/>
      <c r="AS437" s="28"/>
      <c r="AT437" s="28"/>
      <c r="AU437" s="28"/>
      <c r="AV437" s="28"/>
      <c r="AW437" s="28"/>
      <c r="AX437" s="28"/>
      <c r="AY437" s="28"/>
      <c r="AZ437" s="28"/>
      <c r="BA437" s="28" t="s">
        <v>1023</v>
      </c>
      <c r="BB437" s="28"/>
      <c r="BC437" s="28"/>
      <c r="BD437" s="28"/>
      <c r="BE437" s="28"/>
      <c r="BF437" s="28"/>
      <c r="BG437" s="28"/>
      <c r="BH437" s="28"/>
      <c r="BI437" s="28"/>
      <c r="BJ437" s="28"/>
      <c r="BK437" s="28"/>
      <c r="BL437" s="28"/>
      <c r="BM437" s="28"/>
      <c r="BN437" s="28"/>
      <c r="BO437" s="28"/>
    </row>
    <row r="438" ht="25.5" customHeight="1">
      <c r="A438" s="28">
        <v>350.0</v>
      </c>
      <c r="B438" s="37" t="b">
        <v>1</v>
      </c>
      <c r="C438" s="38" t="s">
        <v>106</v>
      </c>
      <c r="D438" s="38">
        <v>80.0</v>
      </c>
      <c r="E438" s="13" t="b">
        <v>0</v>
      </c>
      <c r="F438" s="13" t="b">
        <v>1</v>
      </c>
      <c r="G438" s="38" t="s">
        <v>224</v>
      </c>
      <c r="H438" s="38"/>
      <c r="I438" s="38" t="s">
        <v>490</v>
      </c>
      <c r="J438" s="38">
        <v>6.0</v>
      </c>
      <c r="K438" s="65" t="s">
        <v>5022</v>
      </c>
      <c r="L438" s="38"/>
      <c r="M438" s="38" t="s">
        <v>239</v>
      </c>
      <c r="N438" s="38">
        <v>4000.0</v>
      </c>
      <c r="O438" s="38" t="s">
        <v>605</v>
      </c>
      <c r="P438" s="40"/>
      <c r="Q438" s="38" t="s">
        <v>324</v>
      </c>
      <c r="R438" s="38" t="s">
        <v>325</v>
      </c>
      <c r="S438" s="38" t="s">
        <v>5054</v>
      </c>
      <c r="T438" s="38" t="s">
        <v>5055</v>
      </c>
      <c r="U438" s="38" t="s">
        <v>5041</v>
      </c>
      <c r="V438" s="38">
        <v>2002.0</v>
      </c>
      <c r="W438" s="38" t="s">
        <v>5059</v>
      </c>
      <c r="X438" s="38" t="s">
        <v>5061</v>
      </c>
      <c r="Y438" s="38"/>
      <c r="Z438" s="38"/>
      <c r="AA438" s="38"/>
      <c r="AB438" s="38"/>
      <c r="AC438" s="38"/>
      <c r="AD438" s="38"/>
      <c r="AE438" s="38"/>
      <c r="AF438" s="38"/>
      <c r="AG438" s="28" t="s">
        <v>5062</v>
      </c>
      <c r="AH438" s="28" t="s">
        <v>428</v>
      </c>
      <c r="AI438" s="28" t="s">
        <v>462</v>
      </c>
      <c r="AJ438" s="28"/>
      <c r="AK438" s="28"/>
      <c r="AL438" s="28" t="s">
        <v>5063</v>
      </c>
      <c r="AM438" s="28" t="s">
        <v>5064</v>
      </c>
      <c r="AN438" s="54">
        <v>42445.0</v>
      </c>
      <c r="AO438" s="28"/>
      <c r="AP438" s="54">
        <v>42600.0</v>
      </c>
      <c r="AQ438" s="28"/>
      <c r="AR438" s="28"/>
      <c r="AS438" s="28"/>
      <c r="AT438" s="28"/>
      <c r="AU438" s="28"/>
      <c r="AV438" s="28"/>
      <c r="AW438" s="28"/>
      <c r="AX438" s="28"/>
      <c r="AY438" s="28"/>
      <c r="AZ438" s="28"/>
      <c r="BA438" s="28" t="s">
        <v>5066</v>
      </c>
      <c r="BB438" s="28"/>
      <c r="BC438" s="28"/>
      <c r="BD438" s="28"/>
      <c r="BE438" s="28"/>
      <c r="BF438" s="28"/>
      <c r="BG438" s="28"/>
      <c r="BH438" s="28"/>
      <c r="BI438" s="28"/>
      <c r="BJ438" s="28"/>
      <c r="BK438" s="28"/>
      <c r="BL438" s="28"/>
      <c r="BM438" s="28"/>
      <c r="BN438" s="28"/>
      <c r="BO438" s="28"/>
    </row>
    <row r="439" ht="25.5" customHeight="1">
      <c r="A439" s="28">
        <v>414.0</v>
      </c>
      <c r="B439" s="37" t="b">
        <v>1</v>
      </c>
      <c r="C439" s="38" t="s">
        <v>106</v>
      </c>
      <c r="D439" s="38">
        <v>80.0</v>
      </c>
      <c r="E439" s="13" t="b">
        <v>0</v>
      </c>
      <c r="F439" s="13" t="b">
        <v>1</v>
      </c>
      <c r="G439" s="38" t="s">
        <v>224</v>
      </c>
      <c r="H439" s="38"/>
      <c r="I439" s="38" t="s">
        <v>712</v>
      </c>
      <c r="J439" s="38">
        <v>7.0</v>
      </c>
      <c r="K439" s="38" t="s">
        <v>5068</v>
      </c>
      <c r="L439" s="38">
        <v>702.0</v>
      </c>
      <c r="M439" s="38" t="s">
        <v>388</v>
      </c>
      <c r="N439" s="38">
        <v>14000.0</v>
      </c>
      <c r="O439" s="38" t="s">
        <v>224</v>
      </c>
      <c r="P439" s="40"/>
      <c r="Q439" s="38" t="s">
        <v>289</v>
      </c>
      <c r="R439" s="38">
        <v>40.0</v>
      </c>
      <c r="S439" s="38" t="s">
        <v>5069</v>
      </c>
      <c r="T439" s="38" t="s">
        <v>5070</v>
      </c>
      <c r="U439" s="38" t="s">
        <v>5041</v>
      </c>
      <c r="V439" s="38">
        <v>2007.0</v>
      </c>
      <c r="W439" s="38" t="s">
        <v>5072</v>
      </c>
      <c r="X439" s="38" t="s">
        <v>5074</v>
      </c>
      <c r="Y439" s="38"/>
      <c r="Z439" s="38"/>
      <c r="AA439" s="38"/>
      <c r="AB439" s="38"/>
      <c r="AC439" s="38"/>
      <c r="AD439" s="38"/>
      <c r="AE439" s="38"/>
      <c r="AF439" s="38"/>
      <c r="AG439" s="28"/>
      <c r="AH439" s="28" t="s">
        <v>428</v>
      </c>
      <c r="AI439" s="28" t="s">
        <v>462</v>
      </c>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row>
    <row r="440" ht="25.5" customHeight="1">
      <c r="A440" s="28">
        <v>182.0</v>
      </c>
      <c r="B440" s="37" t="b">
        <v>1</v>
      </c>
      <c r="C440" s="38" t="s">
        <v>106</v>
      </c>
      <c r="D440" s="38">
        <v>80.0</v>
      </c>
      <c r="E440" s="13" t="b">
        <v>0</v>
      </c>
      <c r="F440" s="13" t="b">
        <v>1</v>
      </c>
      <c r="G440" s="38" t="s">
        <v>224</v>
      </c>
      <c r="H440" s="38"/>
      <c r="I440" s="38" t="s">
        <v>429</v>
      </c>
      <c r="J440" s="38">
        <v>2.0</v>
      </c>
      <c r="K440" s="38" t="s">
        <v>524</v>
      </c>
      <c r="L440" s="62">
        <v>205.0</v>
      </c>
      <c r="M440" s="38" t="s">
        <v>388</v>
      </c>
      <c r="N440" s="38">
        <v>14000.0</v>
      </c>
      <c r="O440" s="38" t="s">
        <v>224</v>
      </c>
      <c r="P440" s="40"/>
      <c r="Q440" s="38" t="s">
        <v>289</v>
      </c>
      <c r="R440" s="38">
        <v>40.0</v>
      </c>
      <c r="S440" s="38" t="s">
        <v>5077</v>
      </c>
      <c r="T440" s="38" t="s">
        <v>5078</v>
      </c>
      <c r="U440" s="38" t="s">
        <v>5079</v>
      </c>
      <c r="V440" s="38">
        <v>2009.0</v>
      </c>
      <c r="W440" s="38" t="s">
        <v>5080</v>
      </c>
      <c r="X440" s="49" t="str">
        <f>HYPERLINK("http://digitalcommons.law.yale.edu/cgi/viewcontent.cgi?article=1554&amp;context=fss_papers","http://digitalcommons.law.yale.edu/cgi/viewcontent.cgi?article=1554&amp;context=fss_papers")</f>
        <v>http://digitalcommons.law.yale.edu/cgi/viewcontent.cgi?article=1554&amp;context=fss_papers</v>
      </c>
      <c r="Y440" s="38"/>
      <c r="Z440" s="38"/>
      <c r="AA440" s="38"/>
      <c r="AB440" s="38"/>
      <c r="AC440" s="38"/>
      <c r="AD440" s="38"/>
      <c r="AE440" s="38"/>
      <c r="AF440" s="38"/>
      <c r="AG440" s="28"/>
      <c r="AH440" s="28" t="s">
        <v>462</v>
      </c>
      <c r="AI440" s="28" t="s">
        <v>462</v>
      </c>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row>
    <row r="441" ht="25.5" customHeight="1">
      <c r="A441" s="28">
        <v>479.0</v>
      </c>
      <c r="B441" s="37" t="b">
        <v>1</v>
      </c>
      <c r="C441" s="38" t="s">
        <v>106</v>
      </c>
      <c r="D441" s="38">
        <v>80.0</v>
      </c>
      <c r="E441" s="13" t="b">
        <v>0</v>
      </c>
      <c r="F441" s="13" t="b">
        <v>1</v>
      </c>
      <c r="G441" s="38" t="s">
        <v>224</v>
      </c>
      <c r="H441" s="38"/>
      <c r="I441" s="38" t="s">
        <v>772</v>
      </c>
      <c r="J441" s="38">
        <v>5.0</v>
      </c>
      <c r="K441" s="38" t="s">
        <v>2927</v>
      </c>
      <c r="L441" s="38">
        <v>506.0</v>
      </c>
      <c r="M441" s="38" t="s">
        <v>35</v>
      </c>
      <c r="N441" s="38">
        <v>2000.0</v>
      </c>
      <c r="O441" s="38" t="s">
        <v>578</v>
      </c>
      <c r="P441" s="40"/>
      <c r="Q441" s="38" t="s">
        <v>289</v>
      </c>
      <c r="R441" s="38">
        <v>40.0</v>
      </c>
      <c r="S441" s="38" t="s">
        <v>5082</v>
      </c>
      <c r="T441" s="38" t="s">
        <v>5083</v>
      </c>
      <c r="U441" s="38" t="s">
        <v>4295</v>
      </c>
      <c r="V441" s="38">
        <v>2014.0</v>
      </c>
      <c r="W441" s="38" t="s">
        <v>5084</v>
      </c>
      <c r="X441" s="38"/>
      <c r="Y441" s="38"/>
      <c r="Z441" s="38"/>
      <c r="AA441" s="38"/>
      <c r="AB441" s="38"/>
      <c r="AC441" s="38"/>
      <c r="AD441" s="38"/>
      <c r="AE441" s="38"/>
      <c r="AF441" s="3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row>
    <row r="442" ht="25.5" customHeight="1">
      <c r="A442" s="28">
        <v>189.0</v>
      </c>
      <c r="B442" s="37" t="b">
        <v>1</v>
      </c>
      <c r="C442" s="38" t="s">
        <v>106</v>
      </c>
      <c r="D442" s="38">
        <v>80.0</v>
      </c>
      <c r="E442" s="13" t="b">
        <v>0</v>
      </c>
      <c r="F442" s="13" t="b">
        <v>1</v>
      </c>
      <c r="G442" s="38" t="s">
        <v>224</v>
      </c>
      <c r="H442" s="38"/>
      <c r="I442" s="38" t="s">
        <v>429</v>
      </c>
      <c r="J442" s="38">
        <v>2.0</v>
      </c>
      <c r="K442" s="38" t="s">
        <v>524</v>
      </c>
      <c r="L442" s="62">
        <v>205.0</v>
      </c>
      <c r="M442" s="38" t="s">
        <v>1044</v>
      </c>
      <c r="N442" s="38" t="s">
        <v>1045</v>
      </c>
      <c r="O442" s="38" t="s">
        <v>5086</v>
      </c>
      <c r="P442" s="40"/>
      <c r="Q442" s="38" t="s">
        <v>111</v>
      </c>
      <c r="R442" s="38">
        <v>41.0</v>
      </c>
      <c r="S442" s="38" t="s">
        <v>5087</v>
      </c>
      <c r="T442" s="38" t="s">
        <v>5088</v>
      </c>
      <c r="U442" s="38" t="s">
        <v>4295</v>
      </c>
      <c r="V442" s="38">
        <v>2012.0</v>
      </c>
      <c r="W442" s="38" t="s">
        <v>5089</v>
      </c>
      <c r="X442" s="49" t="str">
        <f>HYPERLINK("http://www.sciencedirect.com/science/article/pii/S0095069611000982","http://www.sciencedirect.com/science/article/pii/S0095069611000982")</f>
        <v>http://www.sciencedirect.com/science/article/pii/S0095069611000982</v>
      </c>
      <c r="Y442" s="38"/>
      <c r="Z442" s="38"/>
      <c r="AA442" s="38"/>
      <c r="AB442" s="38"/>
      <c r="AC442" s="38"/>
      <c r="AD442" s="38"/>
      <c r="AE442" s="38"/>
      <c r="AF442" s="38"/>
      <c r="AG442" s="28"/>
      <c r="AH442" s="28" t="s">
        <v>462</v>
      </c>
      <c r="AI442" s="28" t="s">
        <v>462</v>
      </c>
      <c r="AJ442" s="28" t="s">
        <v>39</v>
      </c>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row>
    <row r="443" ht="25.5" customHeight="1">
      <c r="A443" s="28">
        <v>65.0</v>
      </c>
      <c r="B443" s="37" t="b">
        <v>1</v>
      </c>
      <c r="C443" s="38" t="s">
        <v>106</v>
      </c>
      <c r="D443" s="38">
        <v>80.0</v>
      </c>
      <c r="E443" s="13" t="b">
        <v>0</v>
      </c>
      <c r="F443" s="13" t="b">
        <v>1</v>
      </c>
      <c r="G443" s="38" t="s">
        <v>224</v>
      </c>
      <c r="H443" s="38"/>
      <c r="I443" s="38" t="s">
        <v>1361</v>
      </c>
      <c r="J443" s="38" t="s">
        <v>1383</v>
      </c>
      <c r="K443" s="47" t="s">
        <v>4290</v>
      </c>
      <c r="L443" s="38" t="s">
        <v>5090</v>
      </c>
      <c r="M443" s="38" t="s">
        <v>5091</v>
      </c>
      <c r="N443" s="38" t="s">
        <v>4292</v>
      </c>
      <c r="O443" s="38" t="s">
        <v>4291</v>
      </c>
      <c r="P443" s="40"/>
      <c r="Q443" s="38" t="s">
        <v>111</v>
      </c>
      <c r="R443" s="38">
        <v>41.0</v>
      </c>
      <c r="S443" s="38" t="s">
        <v>4293</v>
      </c>
      <c r="T443" s="38" t="s">
        <v>4294</v>
      </c>
      <c r="U443" s="38" t="s">
        <v>4295</v>
      </c>
      <c r="V443" s="38">
        <v>2009.0</v>
      </c>
      <c r="W443" s="38" t="s">
        <v>4300</v>
      </c>
      <c r="X443" s="38" t="s">
        <v>4301</v>
      </c>
      <c r="Y443" s="38"/>
      <c r="Z443" s="38"/>
      <c r="AA443" s="38"/>
      <c r="AB443" s="38"/>
      <c r="AC443" s="38"/>
      <c r="AD443" s="38"/>
      <c r="AE443" s="38"/>
      <c r="AF443" s="38"/>
      <c r="AG443" s="71"/>
      <c r="AH443" s="28" t="s">
        <v>462</v>
      </c>
      <c r="AI443" s="28" t="s">
        <v>462</v>
      </c>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row>
    <row r="444" ht="25.5" customHeight="1">
      <c r="A444" s="28">
        <v>196.0</v>
      </c>
      <c r="B444" s="37" t="b">
        <v>1</v>
      </c>
      <c r="C444" s="38" t="s">
        <v>106</v>
      </c>
      <c r="D444" s="38">
        <v>80.0</v>
      </c>
      <c r="E444" s="13" t="b">
        <v>0</v>
      </c>
      <c r="F444" s="13" t="b">
        <v>1</v>
      </c>
      <c r="G444" s="38" t="s">
        <v>224</v>
      </c>
      <c r="H444" s="38"/>
      <c r="I444" s="38" t="s">
        <v>429</v>
      </c>
      <c r="J444" s="38">
        <v>2.0</v>
      </c>
      <c r="K444" s="38" t="s">
        <v>524</v>
      </c>
      <c r="L444" s="38">
        <v>205.0</v>
      </c>
      <c r="M444" s="38" t="s">
        <v>107</v>
      </c>
      <c r="N444" s="38">
        <v>3000.0</v>
      </c>
      <c r="O444" s="38" t="s">
        <v>5092</v>
      </c>
      <c r="P444" s="40"/>
      <c r="Q444" s="38" t="s">
        <v>289</v>
      </c>
      <c r="R444" s="38">
        <v>40.0</v>
      </c>
      <c r="S444" s="38" t="s">
        <v>5093</v>
      </c>
      <c r="T444" s="38" t="s">
        <v>5094</v>
      </c>
      <c r="U444" s="38" t="s">
        <v>4295</v>
      </c>
      <c r="V444" s="38">
        <v>2016.0</v>
      </c>
      <c r="W444" s="38" t="s">
        <v>5095</v>
      </c>
      <c r="X444" s="38" t="s">
        <v>5096</v>
      </c>
      <c r="Y444" s="38"/>
      <c r="Z444" s="38"/>
      <c r="AA444" s="38"/>
      <c r="AB444" s="38"/>
      <c r="AC444" s="38"/>
      <c r="AD444" s="38"/>
      <c r="AE444" s="38"/>
      <c r="AF444" s="38"/>
      <c r="AG444" s="28"/>
      <c r="AH444" s="28" t="s">
        <v>428</v>
      </c>
      <c r="AI444" s="28" t="s">
        <v>462</v>
      </c>
      <c r="AJ444" s="28"/>
      <c r="AK444" s="28"/>
      <c r="AL444" s="28"/>
      <c r="AM444" s="28"/>
      <c r="AN444" s="28"/>
      <c r="AO444" s="28"/>
      <c r="AP444" s="28"/>
      <c r="AQ444" s="28"/>
      <c r="AR444" s="28"/>
      <c r="AS444" s="28"/>
      <c r="AT444" s="28"/>
      <c r="AU444" s="28"/>
      <c r="AV444" s="28"/>
      <c r="AW444" s="28"/>
      <c r="AX444" s="28"/>
      <c r="AY444" s="28"/>
      <c r="AZ444" s="28"/>
      <c r="BA444" s="28" t="s">
        <v>5097</v>
      </c>
      <c r="BB444" s="28"/>
      <c r="BC444" s="28"/>
      <c r="BD444" s="28"/>
      <c r="BE444" s="28"/>
      <c r="BF444" s="28"/>
      <c r="BG444" s="28"/>
      <c r="BH444" s="28"/>
      <c r="BI444" s="28"/>
      <c r="BJ444" s="28"/>
      <c r="BK444" s="28"/>
      <c r="BL444" s="28"/>
      <c r="BM444" s="28"/>
      <c r="BN444" s="28"/>
      <c r="BO444" s="28"/>
    </row>
    <row r="445" ht="25.5" customHeight="1">
      <c r="A445" s="28">
        <v>133.0</v>
      </c>
      <c r="B445" s="37" t="b">
        <v>1</v>
      </c>
      <c r="C445" s="38" t="s">
        <v>106</v>
      </c>
      <c r="D445" s="38">
        <v>80.0</v>
      </c>
      <c r="E445" s="13" t="b">
        <v>1</v>
      </c>
      <c r="F445" s="13" t="b">
        <v>0</v>
      </c>
      <c r="G445" s="38" t="s">
        <v>284</v>
      </c>
      <c r="H445" s="38">
        <v>53.0</v>
      </c>
      <c r="I445" s="38" t="s">
        <v>224</v>
      </c>
      <c r="J445" s="38"/>
      <c r="K445" s="38" t="s">
        <v>224</v>
      </c>
      <c r="L445" s="38"/>
      <c r="M445" s="38" t="s">
        <v>35</v>
      </c>
      <c r="N445" s="38">
        <v>2000.0</v>
      </c>
      <c r="O445" s="38" t="s">
        <v>1076</v>
      </c>
      <c r="P445" s="40"/>
      <c r="Q445" s="38" t="s">
        <v>289</v>
      </c>
      <c r="R445" s="38">
        <v>40.0</v>
      </c>
      <c r="S445" s="38" t="s">
        <v>4937</v>
      </c>
      <c r="T445" s="38" t="s">
        <v>4938</v>
      </c>
      <c r="U445" s="38" t="s">
        <v>4939</v>
      </c>
      <c r="V445" s="38">
        <v>2004.0</v>
      </c>
      <c r="W445" s="38" t="s">
        <v>4943</v>
      </c>
      <c r="X445" s="38"/>
      <c r="Y445" s="38"/>
      <c r="Z445" s="38"/>
      <c r="AA445" s="38"/>
      <c r="AB445" s="38"/>
      <c r="AC445" s="38"/>
      <c r="AD445" s="38"/>
      <c r="AE445" s="38"/>
      <c r="AF445" s="3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row>
    <row r="446" ht="25.5" customHeight="1">
      <c r="A446" s="28">
        <v>144.0</v>
      </c>
      <c r="B446" s="37" t="b">
        <v>1</v>
      </c>
      <c r="C446" s="38" t="s">
        <v>106</v>
      </c>
      <c r="D446" s="38">
        <v>80.0</v>
      </c>
      <c r="E446" s="13" t="b">
        <v>1</v>
      </c>
      <c r="F446" s="13" t="b">
        <v>0</v>
      </c>
      <c r="G446" s="38" t="s">
        <v>284</v>
      </c>
      <c r="H446" s="38">
        <v>53.0</v>
      </c>
      <c r="I446" s="38" t="s">
        <v>224</v>
      </c>
      <c r="J446" s="38"/>
      <c r="K446" s="38" t="s">
        <v>224</v>
      </c>
      <c r="L446" s="38"/>
      <c r="M446" s="38" t="s">
        <v>5098</v>
      </c>
      <c r="N446" s="38" t="s">
        <v>5057</v>
      </c>
      <c r="O446" s="38" t="s">
        <v>5056</v>
      </c>
      <c r="P446" s="40"/>
      <c r="Q446" s="38" t="s">
        <v>289</v>
      </c>
      <c r="R446" s="38">
        <v>40.0</v>
      </c>
      <c r="S446" s="38" t="s">
        <v>5058</v>
      </c>
      <c r="T446" s="38" t="s">
        <v>5060</v>
      </c>
      <c r="U446" s="38" t="s">
        <v>3913</v>
      </c>
      <c r="V446" s="38">
        <v>2003.0</v>
      </c>
      <c r="W446" s="38" t="s">
        <v>5067</v>
      </c>
      <c r="X446" s="38"/>
      <c r="Y446" s="38"/>
      <c r="Z446" s="38"/>
      <c r="AA446" s="38"/>
      <c r="AB446" s="38"/>
      <c r="AC446" s="38"/>
      <c r="AD446" s="38"/>
      <c r="AE446" s="38"/>
      <c r="AF446" s="3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row>
    <row r="447" ht="25.5" customHeight="1">
      <c r="A447" s="28">
        <v>9.0</v>
      </c>
      <c r="B447" s="37" t="b">
        <v>1</v>
      </c>
      <c r="C447" s="38" t="s">
        <v>106</v>
      </c>
      <c r="D447" s="38">
        <v>80.0</v>
      </c>
      <c r="E447" s="13" t="b">
        <v>0</v>
      </c>
      <c r="F447" s="13" t="b">
        <v>1</v>
      </c>
      <c r="G447" s="38" t="s">
        <v>224</v>
      </c>
      <c r="H447" s="38"/>
      <c r="I447" s="38" t="s">
        <v>574</v>
      </c>
      <c r="J447" s="38">
        <v>4.0</v>
      </c>
      <c r="K447" s="38" t="s">
        <v>3159</v>
      </c>
      <c r="L447" s="38">
        <v>403.0</v>
      </c>
      <c r="M447" s="38" t="s">
        <v>419</v>
      </c>
      <c r="N447" s="38">
        <v>23000.0</v>
      </c>
      <c r="O447" s="38" t="s">
        <v>3908</v>
      </c>
      <c r="P447" s="40"/>
      <c r="Q447" s="38" t="s">
        <v>111</v>
      </c>
      <c r="R447" s="38">
        <v>41.0</v>
      </c>
      <c r="S447" s="38" t="s">
        <v>3909</v>
      </c>
      <c r="T447" s="38" t="s">
        <v>3911</v>
      </c>
      <c r="U447" s="38" t="s">
        <v>3913</v>
      </c>
      <c r="V447" s="38">
        <v>2013.0</v>
      </c>
      <c r="W447" s="38" t="s">
        <v>3914</v>
      </c>
      <c r="X447" s="38"/>
      <c r="Y447" s="38"/>
      <c r="Z447" s="38"/>
      <c r="AA447" s="38"/>
      <c r="AB447" s="38"/>
      <c r="AC447" s="38"/>
      <c r="AD447" s="38"/>
      <c r="AE447" s="38"/>
      <c r="AF447" s="38"/>
      <c r="AG447" s="28"/>
      <c r="AH447" s="28"/>
      <c r="AI447" s="28"/>
      <c r="AJ447" s="28" t="s">
        <v>3403</v>
      </c>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row>
    <row r="448" ht="25.5" customHeight="1">
      <c r="A448" s="28">
        <v>329.0</v>
      </c>
      <c r="B448" s="37" t="b">
        <v>1</v>
      </c>
      <c r="C448" s="38" t="s">
        <v>106</v>
      </c>
      <c r="D448" s="38">
        <v>80.0</v>
      </c>
      <c r="E448" s="13" t="b">
        <v>0</v>
      </c>
      <c r="F448" s="13" t="b">
        <v>1</v>
      </c>
      <c r="G448" s="38" t="s">
        <v>224</v>
      </c>
      <c r="H448" s="38"/>
      <c r="I448" s="38" t="s">
        <v>490</v>
      </c>
      <c r="J448" s="38">
        <v>6.0</v>
      </c>
      <c r="K448" s="38" t="s">
        <v>776</v>
      </c>
      <c r="L448" s="38">
        <v>602.0</v>
      </c>
      <c r="M448" s="38" t="s">
        <v>5107</v>
      </c>
      <c r="N448" s="38" t="s">
        <v>5108</v>
      </c>
      <c r="O448" s="38" t="s">
        <v>5109</v>
      </c>
      <c r="P448" s="40"/>
      <c r="Q448" s="38" t="s">
        <v>289</v>
      </c>
      <c r="R448" s="38">
        <v>40.0</v>
      </c>
      <c r="S448" s="38" t="s">
        <v>5110</v>
      </c>
      <c r="T448" s="38" t="s">
        <v>5111</v>
      </c>
      <c r="U448" s="38" t="s">
        <v>5112</v>
      </c>
      <c r="V448" s="38">
        <v>2001.0</v>
      </c>
      <c r="W448" s="38" t="s">
        <v>5128</v>
      </c>
      <c r="X448" s="38" t="s">
        <v>5129</v>
      </c>
      <c r="Y448" s="38"/>
      <c r="Z448" s="38"/>
      <c r="AA448" s="38"/>
      <c r="AB448" s="38"/>
      <c r="AC448" s="38"/>
      <c r="AD448" s="38"/>
      <c r="AE448" s="38"/>
      <c r="AF448" s="3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row>
    <row r="449" ht="25.5" customHeight="1">
      <c r="A449" s="28">
        <v>163.0</v>
      </c>
      <c r="B449" s="37" t="b">
        <v>1</v>
      </c>
      <c r="C449" s="38" t="s">
        <v>106</v>
      </c>
      <c r="D449" s="38">
        <v>80.0</v>
      </c>
      <c r="E449" s="13" t="b">
        <v>1</v>
      </c>
      <c r="F449" s="13" t="b">
        <v>0</v>
      </c>
      <c r="G449" s="38" t="s">
        <v>4086</v>
      </c>
      <c r="H449" s="38">
        <v>65.0</v>
      </c>
      <c r="I449" s="38" t="s">
        <v>224</v>
      </c>
      <c r="J449" s="38"/>
      <c r="K449" s="38" t="s">
        <v>224</v>
      </c>
      <c r="L449" s="38"/>
      <c r="M449" s="38" t="s">
        <v>35</v>
      </c>
      <c r="N449" s="38">
        <v>2000.0</v>
      </c>
      <c r="O449" s="38" t="s">
        <v>837</v>
      </c>
      <c r="P449" s="40">
        <v>2001.0</v>
      </c>
      <c r="Q449" s="38" t="s">
        <v>298</v>
      </c>
      <c r="R449" s="38">
        <v>44.0</v>
      </c>
      <c r="S449" s="38" t="s">
        <v>5130</v>
      </c>
      <c r="T449" s="38" t="s">
        <v>5131</v>
      </c>
      <c r="U449" s="38" t="s">
        <v>3992</v>
      </c>
      <c r="V449" s="38">
        <v>2001.0</v>
      </c>
      <c r="W449" s="38" t="s">
        <v>5136</v>
      </c>
      <c r="X449" s="49" t="str">
        <f>HYPERLINK("http://www.sciencedirect.com/science/article/pii/S0272494400901907","http://www.sciencedirect.com/science/article/pii/S0272494400901907")</f>
        <v>http://www.sciencedirect.com/science/article/pii/S0272494400901907</v>
      </c>
      <c r="Y449" s="38"/>
      <c r="Z449" s="38"/>
      <c r="AA449" s="38"/>
      <c r="AB449" s="38"/>
      <c r="AC449" s="38"/>
      <c r="AD449" s="38"/>
      <c r="AE449" s="38"/>
      <c r="AF449" s="38"/>
      <c r="AG449" s="28"/>
      <c r="AH449" s="28" t="s">
        <v>462</v>
      </c>
      <c r="AI449" s="28" t="s">
        <v>462</v>
      </c>
      <c r="AJ449" s="28"/>
      <c r="AK449" s="28"/>
      <c r="AL449" s="28" t="s">
        <v>677</v>
      </c>
      <c r="AM449" s="28"/>
      <c r="AN449" s="28"/>
      <c r="AO449" s="28"/>
      <c r="AP449" s="54"/>
      <c r="AQ449" s="28"/>
      <c r="AR449" s="28"/>
      <c r="AS449" s="28"/>
      <c r="AT449" s="28"/>
      <c r="AU449" s="54"/>
      <c r="AV449" s="28"/>
      <c r="AW449" s="28"/>
      <c r="AX449" s="28"/>
      <c r="AY449" s="28"/>
      <c r="AZ449" s="28"/>
      <c r="BA449" s="28"/>
      <c r="BB449" s="28"/>
      <c r="BC449" s="28"/>
      <c r="BD449" s="28"/>
      <c r="BE449" s="28"/>
      <c r="BF449" s="28"/>
      <c r="BG449" s="28"/>
      <c r="BH449" s="28"/>
      <c r="BI449" s="28"/>
      <c r="BJ449" s="28"/>
      <c r="BK449" s="28"/>
      <c r="BL449" s="28"/>
      <c r="BM449" s="28"/>
      <c r="BN449" s="28"/>
      <c r="BO449" s="28"/>
    </row>
    <row r="450" ht="25.5" customHeight="1">
      <c r="A450" s="28">
        <v>343.0</v>
      </c>
      <c r="B450" s="37" t="b">
        <v>1</v>
      </c>
      <c r="C450" s="38" t="s">
        <v>106</v>
      </c>
      <c r="D450" s="38">
        <v>80.0</v>
      </c>
      <c r="E450" s="13" t="b">
        <v>1</v>
      </c>
      <c r="F450" s="13" t="b">
        <v>0</v>
      </c>
      <c r="G450" s="38" t="s">
        <v>224</v>
      </c>
      <c r="H450" s="38"/>
      <c r="I450" s="38" t="s">
        <v>490</v>
      </c>
      <c r="J450" s="38">
        <v>6.0</v>
      </c>
      <c r="K450" s="47" t="s">
        <v>491</v>
      </c>
      <c r="L450" s="38">
        <v>605.0</v>
      </c>
      <c r="M450" s="38" t="s">
        <v>107</v>
      </c>
      <c r="N450" s="38">
        <v>3000.0</v>
      </c>
      <c r="O450" s="38" t="s">
        <v>1312</v>
      </c>
      <c r="P450" s="40"/>
      <c r="Q450" s="38" t="s">
        <v>111</v>
      </c>
      <c r="R450" s="38">
        <v>41.0</v>
      </c>
      <c r="S450" s="38" t="s">
        <v>5143</v>
      </c>
      <c r="T450" s="38" t="s">
        <v>5144</v>
      </c>
      <c r="U450" s="38" t="s">
        <v>3992</v>
      </c>
      <c r="V450" s="38">
        <v>2003.0</v>
      </c>
      <c r="W450" s="38" t="s">
        <v>5145</v>
      </c>
      <c r="X450" s="38"/>
      <c r="Y450" s="38"/>
      <c r="Z450" s="38"/>
      <c r="AA450" s="38"/>
      <c r="AB450" s="38"/>
      <c r="AC450" s="38"/>
      <c r="AD450" s="38"/>
      <c r="AE450" s="38"/>
      <c r="AF450" s="3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row>
    <row r="451" ht="25.5" customHeight="1">
      <c r="A451" s="28">
        <v>164.0</v>
      </c>
      <c r="B451" s="37" t="b">
        <v>1</v>
      </c>
      <c r="C451" s="38" t="s">
        <v>106</v>
      </c>
      <c r="D451" s="38">
        <v>80.0</v>
      </c>
      <c r="E451" s="13" t="b">
        <v>1</v>
      </c>
      <c r="F451" s="13" t="b">
        <v>0</v>
      </c>
      <c r="G451" s="38" t="s">
        <v>407</v>
      </c>
      <c r="H451" s="38">
        <v>67.0</v>
      </c>
      <c r="I451" s="38" t="s">
        <v>224</v>
      </c>
      <c r="J451" s="38"/>
      <c r="K451" s="38" t="s">
        <v>224</v>
      </c>
      <c r="L451" s="38"/>
      <c r="M451" s="38" t="s">
        <v>408</v>
      </c>
      <c r="N451" s="38">
        <v>20000.0</v>
      </c>
      <c r="O451" s="38" t="s">
        <v>526</v>
      </c>
      <c r="P451" s="40"/>
      <c r="Q451" s="38" t="s">
        <v>111</v>
      </c>
      <c r="R451" s="38">
        <v>41.0</v>
      </c>
      <c r="S451" s="38" t="s">
        <v>5150</v>
      </c>
      <c r="T451" s="38" t="s">
        <v>5153</v>
      </c>
      <c r="U451" s="38" t="s">
        <v>3992</v>
      </c>
      <c r="V451" s="38">
        <v>2012.0</v>
      </c>
      <c r="W451" s="38" t="s">
        <v>5155</v>
      </c>
      <c r="X451" s="38"/>
      <c r="Y451" s="38"/>
      <c r="Z451" s="38"/>
      <c r="AA451" s="38"/>
      <c r="AB451" s="38"/>
      <c r="AC451" s="38"/>
      <c r="AD451" s="38"/>
      <c r="AE451" s="38"/>
      <c r="AF451" s="38"/>
      <c r="AG451" s="28"/>
      <c r="AH451" s="28" t="s">
        <v>462</v>
      </c>
      <c r="AI451" s="28" t="s">
        <v>462</v>
      </c>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row>
    <row r="452" ht="25.5" customHeight="1">
      <c r="A452" s="28">
        <v>488.0</v>
      </c>
      <c r="B452" s="37" t="b">
        <v>1</v>
      </c>
      <c r="C452" s="38" t="s">
        <v>106</v>
      </c>
      <c r="D452" s="38">
        <v>80.0</v>
      </c>
      <c r="E452" s="13" t="b">
        <v>0</v>
      </c>
      <c r="F452" s="13" t="b">
        <v>1</v>
      </c>
      <c r="G452" s="38" t="s">
        <v>224</v>
      </c>
      <c r="H452" s="38"/>
      <c r="I452" s="38" t="s">
        <v>5156</v>
      </c>
      <c r="J452" s="38" t="s">
        <v>2783</v>
      </c>
      <c r="K452" s="38"/>
      <c r="L452" s="38"/>
      <c r="M452" s="38" t="s">
        <v>35</v>
      </c>
      <c r="N452" s="38">
        <v>2000.0</v>
      </c>
      <c r="O452" s="38" t="s">
        <v>644</v>
      </c>
      <c r="P452" s="40"/>
      <c r="Q452" s="38" t="s">
        <v>289</v>
      </c>
      <c r="R452" s="38">
        <v>40.0</v>
      </c>
      <c r="S452" s="38" t="s">
        <v>5157</v>
      </c>
      <c r="T452" s="38" t="s">
        <v>5158</v>
      </c>
      <c r="U452" s="38" t="s">
        <v>3992</v>
      </c>
      <c r="V452" s="38">
        <v>2016.0</v>
      </c>
      <c r="W452" s="38" t="s">
        <v>5159</v>
      </c>
      <c r="X452" s="38"/>
      <c r="Y452" s="38"/>
      <c r="Z452" s="38"/>
      <c r="AA452" s="38"/>
      <c r="AB452" s="38"/>
      <c r="AC452" s="38"/>
      <c r="AD452" s="38"/>
      <c r="AE452" s="38"/>
      <c r="AF452" s="38"/>
      <c r="AG452" s="28"/>
      <c r="AH452" s="28" t="s">
        <v>462</v>
      </c>
      <c r="AI452" s="28" t="s">
        <v>462</v>
      </c>
      <c r="AJ452" s="28" t="s">
        <v>5160</v>
      </c>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row>
    <row r="453" ht="25.5" customHeight="1">
      <c r="A453" s="28">
        <v>221.0</v>
      </c>
      <c r="B453" s="37" t="b">
        <v>1</v>
      </c>
      <c r="C453" s="38" t="s">
        <v>106</v>
      </c>
      <c r="D453" s="38">
        <v>80.0</v>
      </c>
      <c r="E453" s="13" t="b">
        <v>0</v>
      </c>
      <c r="F453" s="13" t="b">
        <v>1</v>
      </c>
      <c r="G453" s="38" t="s">
        <v>224</v>
      </c>
      <c r="H453" s="38"/>
      <c r="I453" s="38" t="s">
        <v>376</v>
      </c>
      <c r="J453" s="38">
        <v>2.0</v>
      </c>
      <c r="K453" s="65" t="s">
        <v>5161</v>
      </c>
      <c r="L453" s="38"/>
      <c r="M453" s="38" t="s">
        <v>35</v>
      </c>
      <c r="N453" s="38">
        <v>2000.0</v>
      </c>
      <c r="O453" s="38" t="s">
        <v>942</v>
      </c>
      <c r="P453" s="40"/>
      <c r="Q453" s="38" t="s">
        <v>111</v>
      </c>
      <c r="R453" s="38">
        <v>41.0</v>
      </c>
      <c r="S453" s="38" t="s">
        <v>5162</v>
      </c>
      <c r="T453" s="38" t="s">
        <v>5163</v>
      </c>
      <c r="U453" s="38" t="s">
        <v>3992</v>
      </c>
      <c r="V453" s="38">
        <v>2014.0</v>
      </c>
      <c r="W453" s="38" t="s">
        <v>5167</v>
      </c>
      <c r="X453" s="38" t="s">
        <v>5168</v>
      </c>
      <c r="Y453" s="38"/>
      <c r="Z453" s="38"/>
      <c r="AA453" s="38"/>
      <c r="AB453" s="38"/>
      <c r="AC453" s="38"/>
      <c r="AD453" s="38"/>
      <c r="AE453" s="38"/>
      <c r="AF453" s="38"/>
      <c r="AG453" s="28"/>
      <c r="AH453" s="28" t="s">
        <v>462</v>
      </c>
      <c r="AI453" s="28" t="s">
        <v>462</v>
      </c>
      <c r="AJ453" s="28"/>
      <c r="AK453" s="28"/>
      <c r="AL453" s="28"/>
      <c r="AM453" s="28"/>
      <c r="AN453" s="28"/>
      <c r="AO453" s="28"/>
      <c r="AP453" s="28"/>
      <c r="AQ453" s="28"/>
      <c r="AR453" s="28"/>
      <c r="AS453" s="28"/>
      <c r="AT453" s="28"/>
      <c r="AU453" s="28"/>
      <c r="AV453" s="28"/>
      <c r="AW453" s="28"/>
      <c r="AX453" s="28"/>
      <c r="AY453" s="28"/>
      <c r="AZ453" s="28"/>
      <c r="BA453" s="28" t="s">
        <v>5169</v>
      </c>
      <c r="BB453" s="28"/>
      <c r="BC453" s="28"/>
      <c r="BD453" s="28"/>
      <c r="BE453" s="28"/>
      <c r="BF453" s="28"/>
      <c r="BG453" s="28"/>
      <c r="BH453" s="28"/>
      <c r="BI453" s="28"/>
      <c r="BJ453" s="28"/>
      <c r="BK453" s="28"/>
      <c r="BL453" s="28"/>
      <c r="BM453" s="28"/>
      <c r="BN453" s="28"/>
      <c r="BO453" s="28"/>
    </row>
    <row r="454" ht="25.5" customHeight="1">
      <c r="A454" s="28">
        <v>458.0</v>
      </c>
      <c r="B454" s="37" t="b">
        <v>1</v>
      </c>
      <c r="C454" s="38" t="s">
        <v>106</v>
      </c>
      <c r="D454" s="38">
        <v>80.0</v>
      </c>
      <c r="E454" s="13" t="b">
        <v>0</v>
      </c>
      <c r="F454" s="13" t="b">
        <v>1</v>
      </c>
      <c r="G454" s="38" t="s">
        <v>224</v>
      </c>
      <c r="H454" s="38"/>
      <c r="I454" s="38" t="s">
        <v>772</v>
      </c>
      <c r="J454" s="38">
        <v>5.0</v>
      </c>
      <c r="K454" s="38" t="s">
        <v>5170</v>
      </c>
      <c r="L454" s="38">
        <v>504.0</v>
      </c>
      <c r="M454" s="38" t="s">
        <v>35</v>
      </c>
      <c r="N454" s="38">
        <v>2000.0</v>
      </c>
      <c r="O454" s="38" t="s">
        <v>837</v>
      </c>
      <c r="P454" s="40">
        <v>2001.0</v>
      </c>
      <c r="Q454" s="38" t="s">
        <v>289</v>
      </c>
      <c r="R454" s="38">
        <v>40.0</v>
      </c>
      <c r="S454" s="38" t="s">
        <v>5172</v>
      </c>
      <c r="T454" s="38" t="s">
        <v>5173</v>
      </c>
      <c r="U454" s="38" t="s">
        <v>3992</v>
      </c>
      <c r="V454" s="38">
        <v>2010.0</v>
      </c>
      <c r="W454" s="38" t="s">
        <v>5178</v>
      </c>
      <c r="X454" s="49" t="str">
        <f>HYPERLINK("http://www.sciencedirect.com/science/article/pii/S0272494410000319","http://www.sciencedirect.com/science/article/pii/S0272494410000319")</f>
        <v>http://www.sciencedirect.com/science/article/pii/S0272494410000319</v>
      </c>
      <c r="Y454" s="38"/>
      <c r="Z454" s="38"/>
      <c r="AA454" s="38"/>
      <c r="AB454" s="38"/>
      <c r="AC454" s="38"/>
      <c r="AD454" s="38"/>
      <c r="AE454" s="38"/>
      <c r="AF454" s="38"/>
      <c r="AG454" s="28" t="s">
        <v>5182</v>
      </c>
      <c r="AH454" s="28" t="s">
        <v>428</v>
      </c>
      <c r="AI454" s="28" t="s">
        <v>462</v>
      </c>
      <c r="AJ454" s="28"/>
      <c r="AK454" s="28"/>
      <c r="AL454" s="28" t="s">
        <v>561</v>
      </c>
      <c r="AM454" s="28" t="s">
        <v>5184</v>
      </c>
      <c r="AN454" s="54">
        <v>42443.0</v>
      </c>
      <c r="AO454" s="28"/>
      <c r="AP454" s="54">
        <v>42599.0</v>
      </c>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row>
    <row r="455" ht="25.5" customHeight="1">
      <c r="A455" s="28">
        <v>413.0</v>
      </c>
      <c r="B455" s="37" t="b">
        <v>1</v>
      </c>
      <c r="C455" s="38" t="s">
        <v>106</v>
      </c>
      <c r="D455" s="38">
        <v>80.0</v>
      </c>
      <c r="E455" s="13" t="b">
        <v>0</v>
      </c>
      <c r="F455" s="13" t="b">
        <v>1</v>
      </c>
      <c r="G455" s="38" t="s">
        <v>224</v>
      </c>
      <c r="H455" s="38"/>
      <c r="I455" s="38" t="s">
        <v>712</v>
      </c>
      <c r="J455" s="38">
        <v>7.0</v>
      </c>
      <c r="K455" s="38" t="s">
        <v>5068</v>
      </c>
      <c r="L455" s="38">
        <v>702.0</v>
      </c>
      <c r="M455" s="38" t="s">
        <v>107</v>
      </c>
      <c r="N455" s="38">
        <v>3000.0</v>
      </c>
      <c r="O455" s="38" t="s">
        <v>470</v>
      </c>
      <c r="P455" s="40"/>
      <c r="Q455" s="38" t="s">
        <v>431</v>
      </c>
      <c r="R455" s="38">
        <v>40.0</v>
      </c>
      <c r="S455" s="38" t="s">
        <v>5185</v>
      </c>
      <c r="T455" s="38" t="s">
        <v>5186</v>
      </c>
      <c r="U455" s="38" t="s">
        <v>3992</v>
      </c>
      <c r="V455" s="38">
        <v>2012.0</v>
      </c>
      <c r="W455" s="38" t="s">
        <v>5187</v>
      </c>
      <c r="X455" s="38" t="s">
        <v>5188</v>
      </c>
      <c r="Y455" s="38"/>
      <c r="Z455" s="38"/>
      <c r="AA455" s="38"/>
      <c r="AB455" s="38"/>
      <c r="AC455" s="38"/>
      <c r="AD455" s="38"/>
      <c r="AE455" s="38"/>
      <c r="AF455" s="38"/>
      <c r="AG455" s="28" t="s">
        <v>5189</v>
      </c>
      <c r="AH455" s="28"/>
      <c r="AI455" s="28"/>
      <c r="AJ455" s="28" t="s">
        <v>3233</v>
      </c>
      <c r="AK455" s="28"/>
      <c r="AL455" s="28"/>
      <c r="AM455" s="28"/>
      <c r="AN455" s="54"/>
      <c r="AO455" s="54"/>
      <c r="AP455" s="54"/>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row>
    <row r="456" ht="25.5" customHeight="1">
      <c r="A456" s="28">
        <v>467.0</v>
      </c>
      <c r="B456" s="37" t="b">
        <v>1</v>
      </c>
      <c r="C456" s="38" t="s">
        <v>106</v>
      </c>
      <c r="D456" s="38">
        <v>80.0</v>
      </c>
      <c r="E456" s="13" t="b">
        <v>0</v>
      </c>
      <c r="F456" s="13" t="b">
        <v>1</v>
      </c>
      <c r="G456" s="38" t="s">
        <v>224</v>
      </c>
      <c r="H456" s="38"/>
      <c r="I456" s="38" t="s">
        <v>772</v>
      </c>
      <c r="J456" s="38">
        <v>5.0</v>
      </c>
      <c r="K456" s="38" t="s">
        <v>3504</v>
      </c>
      <c r="L456" s="38">
        <v>505.0</v>
      </c>
      <c r="M456" s="38" t="s">
        <v>107</v>
      </c>
      <c r="N456" s="38">
        <v>3000.0</v>
      </c>
      <c r="O456" s="38" t="s">
        <v>1312</v>
      </c>
      <c r="P456" s="40"/>
      <c r="Q456" s="38" t="s">
        <v>111</v>
      </c>
      <c r="R456" s="38">
        <v>41.0</v>
      </c>
      <c r="S456" s="38" t="s">
        <v>5190</v>
      </c>
      <c r="T456" s="38" t="s">
        <v>5191</v>
      </c>
      <c r="U456" s="38" t="s">
        <v>3992</v>
      </c>
      <c r="V456" s="38">
        <v>2014.0</v>
      </c>
      <c r="W456" s="38" t="s">
        <v>5193</v>
      </c>
      <c r="X456" s="38" t="s">
        <v>5194</v>
      </c>
      <c r="Y456" s="38"/>
      <c r="Z456" s="38"/>
      <c r="AA456" s="38"/>
      <c r="AB456" s="38"/>
      <c r="AC456" s="38"/>
      <c r="AD456" s="38"/>
      <c r="AE456" s="38"/>
      <c r="AF456" s="38"/>
      <c r="AG456" s="28"/>
      <c r="AH456" s="28" t="s">
        <v>462</v>
      </c>
      <c r="AI456" s="28" t="s">
        <v>462</v>
      </c>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row>
    <row r="457" ht="25.5" customHeight="1">
      <c r="A457" s="28">
        <v>66.0</v>
      </c>
      <c r="B457" s="37" t="b">
        <v>1</v>
      </c>
      <c r="C457" s="38" t="s">
        <v>106</v>
      </c>
      <c r="D457" s="38">
        <v>80.0</v>
      </c>
      <c r="E457" s="13" t="b">
        <v>0</v>
      </c>
      <c r="F457" s="13" t="b">
        <v>1</v>
      </c>
      <c r="G457" s="38" t="s">
        <v>224</v>
      </c>
      <c r="H457" s="38"/>
      <c r="I457" s="38" t="s">
        <v>1361</v>
      </c>
      <c r="J457" s="38" t="s">
        <v>1383</v>
      </c>
      <c r="K457" s="38" t="s">
        <v>3193</v>
      </c>
      <c r="L457" s="38"/>
      <c r="M457" s="38" t="s">
        <v>5195</v>
      </c>
      <c r="N457" s="38" t="s">
        <v>4305</v>
      </c>
      <c r="O457" s="38" t="s">
        <v>4304</v>
      </c>
      <c r="P457" s="40"/>
      <c r="Q457" s="38" t="s">
        <v>111</v>
      </c>
      <c r="R457" s="38">
        <v>41.0</v>
      </c>
      <c r="S457" s="38" t="s">
        <v>4306</v>
      </c>
      <c r="T457" s="38" t="s">
        <v>4307</v>
      </c>
      <c r="U457" s="38" t="s">
        <v>3992</v>
      </c>
      <c r="V457" s="38">
        <v>2014.0</v>
      </c>
      <c r="W457" s="38" t="s">
        <v>4312</v>
      </c>
      <c r="X457" s="38" t="s">
        <v>4315</v>
      </c>
      <c r="Y457" s="38"/>
      <c r="Z457" s="38"/>
      <c r="AA457" s="38"/>
      <c r="AB457" s="38"/>
      <c r="AC457" s="38"/>
      <c r="AD457" s="38"/>
      <c r="AE457" s="38"/>
      <c r="AF457" s="38"/>
      <c r="AG457" s="28"/>
      <c r="AH457" s="28" t="s">
        <v>462</v>
      </c>
      <c r="AI457" s="28" t="s">
        <v>462</v>
      </c>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row>
    <row r="458" ht="25.5" customHeight="1">
      <c r="A458" s="28">
        <v>277.0</v>
      </c>
      <c r="B458" s="37" t="b">
        <v>1</v>
      </c>
      <c r="C458" s="38" t="s">
        <v>106</v>
      </c>
      <c r="D458" s="38">
        <v>80.0</v>
      </c>
      <c r="E458" s="13" t="b">
        <v>0</v>
      </c>
      <c r="F458" s="13" t="b">
        <v>1</v>
      </c>
      <c r="G458" s="38" t="s">
        <v>224</v>
      </c>
      <c r="H458" s="38"/>
      <c r="I458" s="38" t="s">
        <v>536</v>
      </c>
      <c r="J458" s="38">
        <v>3.0</v>
      </c>
      <c r="K458" s="38" t="s">
        <v>603</v>
      </c>
      <c r="L458" s="38">
        <v>304.0</v>
      </c>
      <c r="M458" s="38" t="s">
        <v>5195</v>
      </c>
      <c r="N458" s="38" t="s">
        <v>4305</v>
      </c>
      <c r="O458" s="38" t="s">
        <v>4304</v>
      </c>
      <c r="P458" s="40"/>
      <c r="Q458" s="38" t="s">
        <v>289</v>
      </c>
      <c r="R458" s="38">
        <v>40.0</v>
      </c>
      <c r="S458" s="38" t="s">
        <v>5201</v>
      </c>
      <c r="T458" s="38" t="s">
        <v>5202</v>
      </c>
      <c r="U458" s="38" t="s">
        <v>3992</v>
      </c>
      <c r="V458" s="38">
        <v>2011.0</v>
      </c>
      <c r="W458" s="38" t="s">
        <v>5206</v>
      </c>
      <c r="X458" s="38"/>
      <c r="Y458" s="38"/>
      <c r="Z458" s="38"/>
      <c r="AA458" s="38"/>
      <c r="AB458" s="38"/>
      <c r="AC458" s="38"/>
      <c r="AD458" s="38"/>
      <c r="AE458" s="38"/>
      <c r="AF458" s="3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row>
    <row r="459" ht="25.5" customHeight="1">
      <c r="A459" s="28">
        <v>191.0</v>
      </c>
      <c r="B459" s="37" t="b">
        <v>1</v>
      </c>
      <c r="C459" s="38" t="s">
        <v>106</v>
      </c>
      <c r="D459" s="38">
        <v>80.0</v>
      </c>
      <c r="E459" s="13" t="b">
        <v>0</v>
      </c>
      <c r="F459" s="13" t="b">
        <v>1</v>
      </c>
      <c r="G459" s="38" t="s">
        <v>224</v>
      </c>
      <c r="H459" s="38"/>
      <c r="I459" s="38" t="s">
        <v>429</v>
      </c>
      <c r="J459" s="38">
        <v>2.0</v>
      </c>
      <c r="K459" s="38" t="s">
        <v>524</v>
      </c>
      <c r="L459" s="38">
        <v>205.0</v>
      </c>
      <c r="M459" s="38" t="s">
        <v>3605</v>
      </c>
      <c r="N459" s="38" t="s">
        <v>3606</v>
      </c>
      <c r="O459" s="38" t="s">
        <v>5208</v>
      </c>
      <c r="P459" s="40"/>
      <c r="Q459" s="38" t="s">
        <v>111</v>
      </c>
      <c r="R459" s="38">
        <v>41.0</v>
      </c>
      <c r="S459" s="38" t="s">
        <v>5209</v>
      </c>
      <c r="T459" s="38" t="s">
        <v>5210</v>
      </c>
      <c r="U459" s="38" t="s">
        <v>3992</v>
      </c>
      <c r="V459" s="38">
        <v>2008.0</v>
      </c>
      <c r="W459" s="38" t="s">
        <v>5214</v>
      </c>
      <c r="X459" s="38"/>
      <c r="Y459" s="38"/>
      <c r="Z459" s="38"/>
      <c r="AA459" s="38"/>
      <c r="AB459" s="38"/>
      <c r="AC459" s="38"/>
      <c r="AD459" s="38"/>
      <c r="AE459" s="38"/>
      <c r="AF459" s="38"/>
      <c r="AG459" s="28"/>
      <c r="AH459" s="28"/>
      <c r="AI459" s="28"/>
      <c r="AJ459" s="28"/>
      <c r="AK459" s="28"/>
      <c r="AL459" s="28"/>
      <c r="AM459" s="28"/>
      <c r="AN459" s="28"/>
      <c r="AO459" s="28"/>
      <c r="AP459" s="28"/>
      <c r="AQ459" s="28"/>
      <c r="AR459" s="28"/>
      <c r="AS459" s="28"/>
      <c r="AT459" s="28"/>
      <c r="AU459" s="28"/>
      <c r="AV459" s="28"/>
      <c r="AW459" s="28"/>
      <c r="AX459" s="28"/>
      <c r="AY459" s="28"/>
      <c r="AZ459" s="28"/>
      <c r="BA459" s="28" t="s">
        <v>615</v>
      </c>
      <c r="BB459" s="28"/>
      <c r="BC459" s="28"/>
      <c r="BD459" s="28"/>
      <c r="BE459" s="28"/>
      <c r="BF459" s="28"/>
      <c r="BG459" s="28"/>
      <c r="BH459" s="28"/>
      <c r="BI459" s="28"/>
      <c r="BJ459" s="28"/>
      <c r="BK459" s="28"/>
      <c r="BL459" s="28"/>
      <c r="BM459" s="28"/>
      <c r="BN459" s="28"/>
      <c r="BO459" s="28"/>
    </row>
    <row r="460" ht="25.5" customHeight="1">
      <c r="A460" s="28">
        <v>298.0</v>
      </c>
      <c r="B460" s="37" t="b">
        <v>1</v>
      </c>
      <c r="C460" s="38" t="s">
        <v>106</v>
      </c>
      <c r="D460" s="38">
        <v>80.0</v>
      </c>
      <c r="E460" s="13" t="b">
        <v>0</v>
      </c>
      <c r="F460" s="13" t="b">
        <v>1</v>
      </c>
      <c r="G460" s="38" t="s">
        <v>224</v>
      </c>
      <c r="H460" s="38"/>
      <c r="I460" s="38" t="s">
        <v>510</v>
      </c>
      <c r="J460" s="38" t="s">
        <v>511</v>
      </c>
      <c r="K460" s="136" t="s">
        <v>4814</v>
      </c>
      <c r="L460" s="38">
        <v>304.0</v>
      </c>
      <c r="M460" s="38" t="s">
        <v>3605</v>
      </c>
      <c r="N460" s="38" t="s">
        <v>3606</v>
      </c>
      <c r="O460" s="38" t="s">
        <v>798</v>
      </c>
      <c r="P460" s="40"/>
      <c r="Q460" s="38" t="s">
        <v>111</v>
      </c>
      <c r="R460" s="38">
        <v>41.0</v>
      </c>
      <c r="S460" s="38" t="s">
        <v>5216</v>
      </c>
      <c r="T460" s="38" t="s">
        <v>5217</v>
      </c>
      <c r="U460" s="38" t="s">
        <v>3992</v>
      </c>
      <c r="V460" s="38">
        <v>2007.0</v>
      </c>
      <c r="W460" s="38" t="s">
        <v>5218</v>
      </c>
      <c r="X460" s="38"/>
      <c r="Y460" s="38"/>
      <c r="Z460" s="38"/>
      <c r="AA460" s="38"/>
      <c r="AB460" s="38"/>
      <c r="AC460" s="38"/>
      <c r="AD460" s="38"/>
      <c r="AE460" s="38"/>
      <c r="AF460" s="38"/>
      <c r="AG460" s="28"/>
      <c r="AH460" s="28"/>
      <c r="AI460" s="28"/>
      <c r="AJ460" s="28"/>
      <c r="AK460" s="28"/>
      <c r="AL460" s="28"/>
      <c r="AM460" s="28"/>
      <c r="AN460" s="28"/>
      <c r="AO460" s="28"/>
      <c r="AP460" s="28"/>
      <c r="AQ460" s="28"/>
      <c r="AR460" s="28"/>
      <c r="AS460" s="28"/>
      <c r="AT460" s="28"/>
      <c r="AU460" s="28"/>
      <c r="AV460" s="28"/>
      <c r="AW460" s="28"/>
      <c r="AX460" s="28"/>
      <c r="AY460" s="28"/>
      <c r="AZ460" s="28"/>
      <c r="BA460" s="28" t="s">
        <v>1023</v>
      </c>
      <c r="BB460" s="28"/>
      <c r="BC460" s="28"/>
      <c r="BD460" s="28"/>
      <c r="BE460" s="28"/>
      <c r="BF460" s="28"/>
      <c r="BG460" s="28"/>
      <c r="BH460" s="28"/>
      <c r="BI460" s="28"/>
      <c r="BJ460" s="28"/>
      <c r="BK460" s="28"/>
      <c r="BL460" s="28"/>
      <c r="BM460" s="28"/>
      <c r="BN460" s="28"/>
      <c r="BO460" s="28"/>
    </row>
    <row r="461" ht="25.5" customHeight="1">
      <c r="A461" s="28">
        <v>360.0</v>
      </c>
      <c r="B461" s="37" t="b">
        <v>1</v>
      </c>
      <c r="C461" s="38" t="s">
        <v>106</v>
      </c>
      <c r="D461" s="38">
        <v>80.0</v>
      </c>
      <c r="E461" s="13" t="b">
        <v>0</v>
      </c>
      <c r="F461" s="13" t="b">
        <v>1</v>
      </c>
      <c r="G461" s="38" t="s">
        <v>224</v>
      </c>
      <c r="H461" s="38"/>
      <c r="I461" s="38" t="s">
        <v>5219</v>
      </c>
      <c r="J461" s="38" t="s">
        <v>5220</v>
      </c>
      <c r="K461" s="136" t="s">
        <v>5221</v>
      </c>
      <c r="L461" s="38" t="s">
        <v>5222</v>
      </c>
      <c r="M461" s="38" t="s">
        <v>3605</v>
      </c>
      <c r="N461" s="38" t="s">
        <v>3606</v>
      </c>
      <c r="O461" s="38" t="s">
        <v>798</v>
      </c>
      <c r="P461" s="40"/>
      <c r="Q461" s="38" t="s">
        <v>324</v>
      </c>
      <c r="R461" s="38" t="s">
        <v>325</v>
      </c>
      <c r="S461" s="38" t="s">
        <v>5223</v>
      </c>
      <c r="T461" s="38" t="s">
        <v>5217</v>
      </c>
      <c r="U461" s="38" t="s">
        <v>3992</v>
      </c>
      <c r="V461" s="38">
        <v>2005.0</v>
      </c>
      <c r="W461" s="38" t="s">
        <v>5224</v>
      </c>
      <c r="X461" s="38" t="s">
        <v>5225</v>
      </c>
      <c r="Y461" s="38"/>
      <c r="Z461" s="38"/>
      <c r="AA461" s="38"/>
      <c r="AB461" s="38"/>
      <c r="AC461" s="38"/>
      <c r="AD461" s="38"/>
      <c r="AE461" s="38"/>
      <c r="AF461" s="38"/>
      <c r="AG461" s="28" t="s">
        <v>5226</v>
      </c>
      <c r="AH461" s="28" t="s">
        <v>5227</v>
      </c>
      <c r="AI461" s="28" t="s">
        <v>5228</v>
      </c>
      <c r="AJ461" s="28"/>
      <c r="AK461" s="28" t="s">
        <v>663</v>
      </c>
      <c r="AL461" s="28"/>
      <c r="AM461" s="28"/>
      <c r="AN461" s="28"/>
      <c r="AO461" s="28"/>
      <c r="AP461" s="28"/>
      <c r="AQ461" s="28"/>
      <c r="AR461" s="28"/>
      <c r="AS461" s="28"/>
      <c r="AT461" s="28"/>
      <c r="AU461" s="28"/>
      <c r="AV461" s="28"/>
      <c r="AW461" s="28"/>
      <c r="AX461" s="28"/>
      <c r="AY461" s="28"/>
      <c r="AZ461" s="28"/>
      <c r="BA461" s="28" t="s">
        <v>1023</v>
      </c>
      <c r="BB461" s="28"/>
      <c r="BC461" s="28"/>
      <c r="BD461" s="28"/>
      <c r="BE461" s="28"/>
      <c r="BF461" s="28"/>
      <c r="BG461" s="28"/>
      <c r="BH461" s="28"/>
      <c r="BI461" s="28"/>
      <c r="BJ461" s="28"/>
      <c r="BK461" s="28"/>
      <c r="BL461" s="28"/>
      <c r="BM461" s="28"/>
      <c r="BN461" s="28"/>
      <c r="BO461" s="28"/>
    </row>
    <row r="462" ht="25.5" customHeight="1">
      <c r="A462" s="28">
        <v>374.0</v>
      </c>
      <c r="B462" s="37" t="b">
        <v>1</v>
      </c>
      <c r="C462" s="38" t="s">
        <v>106</v>
      </c>
      <c r="D462" s="38">
        <v>80.0</v>
      </c>
      <c r="E462" s="13" t="b">
        <v>0</v>
      </c>
      <c r="F462" s="13" t="b">
        <v>1</v>
      </c>
      <c r="G462" s="38" t="s">
        <v>224</v>
      </c>
      <c r="H462" s="38"/>
      <c r="I462" s="38" t="s">
        <v>280</v>
      </c>
      <c r="J462" s="38">
        <v>10.0</v>
      </c>
      <c r="K462" s="38" t="s">
        <v>5229</v>
      </c>
      <c r="L462" s="38">
        <v>1001.0</v>
      </c>
      <c r="M462" s="38" t="s">
        <v>5230</v>
      </c>
      <c r="N462" s="38" t="s">
        <v>5231</v>
      </c>
      <c r="O462" s="38" t="s">
        <v>5232</v>
      </c>
      <c r="P462" s="40"/>
      <c r="Q462" s="38" t="s">
        <v>111</v>
      </c>
      <c r="R462" s="38">
        <v>41.0</v>
      </c>
      <c r="S462" s="38" t="s">
        <v>4414</v>
      </c>
      <c r="T462" s="38" t="s">
        <v>5233</v>
      </c>
      <c r="U462" s="38" t="s">
        <v>3992</v>
      </c>
      <c r="V462" s="38">
        <v>2015.0</v>
      </c>
      <c r="W462" s="38" t="s">
        <v>5237</v>
      </c>
      <c r="X462" s="38" t="s">
        <v>5238</v>
      </c>
      <c r="Y462" s="38"/>
      <c r="Z462" s="38"/>
      <c r="AA462" s="38"/>
      <c r="AB462" s="38"/>
      <c r="AC462" s="38"/>
      <c r="AD462" s="38"/>
      <c r="AE462" s="38"/>
      <c r="AF462" s="38"/>
      <c r="AG462" s="28" t="s">
        <v>5240</v>
      </c>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row>
    <row r="463" ht="25.5" customHeight="1">
      <c r="A463" s="28">
        <v>274.0</v>
      </c>
      <c r="B463" s="37" t="b">
        <v>1</v>
      </c>
      <c r="C463" s="38" t="s">
        <v>106</v>
      </c>
      <c r="D463" s="38">
        <v>80.0</v>
      </c>
      <c r="E463" s="13" t="b">
        <v>0</v>
      </c>
      <c r="F463" s="13" t="b">
        <v>1</v>
      </c>
      <c r="G463" s="38" t="s">
        <v>224</v>
      </c>
      <c r="H463" s="38"/>
      <c r="I463" s="38" t="s">
        <v>536</v>
      </c>
      <c r="J463" s="38">
        <v>3.0</v>
      </c>
      <c r="K463" s="38" t="s">
        <v>603</v>
      </c>
      <c r="L463" s="38">
        <v>304.0</v>
      </c>
      <c r="M463" s="38" t="s">
        <v>239</v>
      </c>
      <c r="N463" s="38">
        <v>4000.0</v>
      </c>
      <c r="O463" s="38" t="s">
        <v>70</v>
      </c>
      <c r="P463" s="40"/>
      <c r="Q463" s="38" t="s">
        <v>111</v>
      </c>
      <c r="R463" s="38">
        <v>41.0</v>
      </c>
      <c r="S463" s="38" t="s">
        <v>5241</v>
      </c>
      <c r="T463" s="38" t="s">
        <v>5242</v>
      </c>
      <c r="U463" s="38" t="s">
        <v>3992</v>
      </c>
      <c r="V463" s="38">
        <v>1999.0</v>
      </c>
      <c r="W463" s="38" t="s">
        <v>5243</v>
      </c>
      <c r="X463" s="49" t="str">
        <f>HYPERLINK("http://www.sciencedirect.com/science/article/pii/S0272494498901050","http://www.sciencedirect.com/science/article/pii/S0272494498901050")</f>
        <v>http://www.sciencedirect.com/science/article/pii/S0272494498901050</v>
      </c>
      <c r="Y463" s="38"/>
      <c r="Z463" s="38"/>
      <c r="AA463" s="38"/>
      <c r="AB463" s="38"/>
      <c r="AC463" s="38"/>
      <c r="AD463" s="38"/>
      <c r="AE463" s="38"/>
      <c r="AF463" s="38"/>
      <c r="AG463" s="28"/>
      <c r="AH463" s="28" t="s">
        <v>428</v>
      </c>
      <c r="AI463" s="28" t="s">
        <v>462</v>
      </c>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row>
    <row r="464" ht="25.5" customHeight="1">
      <c r="A464" s="28">
        <v>305.0</v>
      </c>
      <c r="B464" s="37" t="b">
        <v>1</v>
      </c>
      <c r="C464" s="38" t="s">
        <v>106</v>
      </c>
      <c r="D464" s="38">
        <v>80.0</v>
      </c>
      <c r="E464" s="13" t="b">
        <v>0</v>
      </c>
      <c r="F464" s="13" t="b">
        <v>1</v>
      </c>
      <c r="G464" s="38" t="s">
        <v>224</v>
      </c>
      <c r="H464" s="38"/>
      <c r="I464" s="38" t="s">
        <v>2299</v>
      </c>
      <c r="J464" s="38" t="s">
        <v>2300</v>
      </c>
      <c r="K464" s="38" t="s">
        <v>5245</v>
      </c>
      <c r="L464" s="38" t="s">
        <v>5246</v>
      </c>
      <c r="M464" s="38" t="s">
        <v>239</v>
      </c>
      <c r="N464" s="38">
        <v>4000.0</v>
      </c>
      <c r="O464" s="38" t="s">
        <v>605</v>
      </c>
      <c r="P464" s="40"/>
      <c r="Q464" s="38" t="s">
        <v>111</v>
      </c>
      <c r="R464" s="38">
        <v>41.0</v>
      </c>
      <c r="S464" s="38" t="s">
        <v>5248</v>
      </c>
      <c r="T464" s="38" t="s">
        <v>5249</v>
      </c>
      <c r="U464" s="38" t="s">
        <v>3992</v>
      </c>
      <c r="V464" s="38">
        <v>1996.0</v>
      </c>
      <c r="W464" s="38" t="s">
        <v>5252</v>
      </c>
      <c r="X464" s="38" t="s">
        <v>5253</v>
      </c>
      <c r="Y464" s="38"/>
      <c r="Z464" s="38"/>
      <c r="AA464" s="38"/>
      <c r="AB464" s="38"/>
      <c r="AC464" s="38"/>
      <c r="AD464" s="38"/>
      <c r="AE464" s="38"/>
      <c r="AF464" s="38"/>
      <c r="AG464" s="28"/>
      <c r="AH464" s="28" t="s">
        <v>462</v>
      </c>
      <c r="AI464" s="28" t="s">
        <v>462</v>
      </c>
      <c r="AJ464" s="28"/>
      <c r="AK464" s="28"/>
      <c r="AL464" s="28" t="s">
        <v>561</v>
      </c>
      <c r="AM464" s="28" t="s">
        <v>5256</v>
      </c>
      <c r="AN464" s="54">
        <v>42507.0</v>
      </c>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row>
    <row r="465" ht="25.5" customHeight="1">
      <c r="A465" s="28">
        <v>395.0</v>
      </c>
      <c r="B465" s="37" t="b">
        <v>1</v>
      </c>
      <c r="C465" s="38" t="s">
        <v>106</v>
      </c>
      <c r="D465" s="38">
        <v>80.0</v>
      </c>
      <c r="E465" s="13" t="b">
        <v>0</v>
      </c>
      <c r="F465" s="13" t="b">
        <v>1</v>
      </c>
      <c r="G465" s="38" t="s">
        <v>224</v>
      </c>
      <c r="H465" s="38"/>
      <c r="I465" s="38" t="s">
        <v>712</v>
      </c>
      <c r="J465" s="38">
        <v>7.0</v>
      </c>
      <c r="K465" s="47" t="s">
        <v>2342</v>
      </c>
      <c r="L465" s="38">
        <v>703.0</v>
      </c>
      <c r="M465" s="38" t="s">
        <v>239</v>
      </c>
      <c r="N465" s="38">
        <v>4000.0</v>
      </c>
      <c r="O465" s="38" t="s">
        <v>605</v>
      </c>
      <c r="P465" s="40"/>
      <c r="Q465" s="38" t="s">
        <v>289</v>
      </c>
      <c r="R465" s="38">
        <v>40.0</v>
      </c>
      <c r="S465" s="38" t="s">
        <v>5259</v>
      </c>
      <c r="T465" s="38" t="s">
        <v>5260</v>
      </c>
      <c r="U465" s="38" t="s">
        <v>3992</v>
      </c>
      <c r="V465" s="38">
        <v>2015.0</v>
      </c>
      <c r="W465" s="38" t="s">
        <v>5262</v>
      </c>
      <c r="X465" s="38" t="s">
        <v>5263</v>
      </c>
      <c r="Y465" s="38"/>
      <c r="Z465" s="38"/>
      <c r="AA465" s="38"/>
      <c r="AB465" s="38"/>
      <c r="AC465" s="38"/>
      <c r="AD465" s="38"/>
      <c r="AE465" s="38"/>
      <c r="AF465" s="38"/>
      <c r="AG465" s="28"/>
      <c r="AH465" s="28" t="s">
        <v>428</v>
      </c>
      <c r="AI465" s="28" t="s">
        <v>462</v>
      </c>
      <c r="AJ465" s="28"/>
      <c r="AK465" s="28"/>
      <c r="AL465" s="28" t="s">
        <v>561</v>
      </c>
      <c r="AM465" s="28" t="s">
        <v>5264</v>
      </c>
      <c r="AN465" s="54">
        <v>42404.0</v>
      </c>
      <c r="AO465" s="28" t="s">
        <v>5265</v>
      </c>
      <c r="AP465" s="54">
        <v>42514.0</v>
      </c>
      <c r="AQ465" s="28"/>
      <c r="AR465" s="28"/>
      <c r="AS465" s="28"/>
      <c r="AT465" s="28"/>
      <c r="AU465" s="28"/>
      <c r="AV465" s="28"/>
      <c r="AW465" s="28"/>
      <c r="AX465" s="28"/>
      <c r="AY465" s="28"/>
      <c r="AZ465" s="28"/>
      <c r="BA465" s="28" t="s">
        <v>927</v>
      </c>
      <c r="BB465" s="28"/>
      <c r="BC465" s="28"/>
      <c r="BD465" s="28"/>
      <c r="BE465" s="28"/>
      <c r="BF465" s="28"/>
      <c r="BG465" s="28"/>
      <c r="BH465" s="28"/>
      <c r="BI465" s="28"/>
      <c r="BJ465" s="28"/>
      <c r="BK465" s="28"/>
      <c r="BL465" s="28"/>
      <c r="BM465" s="28"/>
      <c r="BN465" s="28"/>
      <c r="BO465" s="28"/>
    </row>
    <row r="466" ht="25.5" customHeight="1">
      <c r="A466" s="28">
        <v>499.0</v>
      </c>
      <c r="B466" s="37" t="b">
        <v>1</v>
      </c>
      <c r="C466" s="38" t="s">
        <v>106</v>
      </c>
      <c r="D466" s="38">
        <v>80.0</v>
      </c>
      <c r="E466" s="13" t="b">
        <v>0</v>
      </c>
      <c r="F466" s="13" t="b">
        <v>1</v>
      </c>
      <c r="G466" s="38" t="s">
        <v>224</v>
      </c>
      <c r="H466" s="38"/>
      <c r="I466" s="38" t="s">
        <v>1153</v>
      </c>
      <c r="J466" s="38">
        <v>6.0</v>
      </c>
      <c r="K466" s="65" t="s">
        <v>5268</v>
      </c>
      <c r="L466" s="38"/>
      <c r="M466" s="38" t="s">
        <v>323</v>
      </c>
      <c r="N466" s="38">
        <v>24000.0</v>
      </c>
      <c r="O466" s="38" t="s">
        <v>421</v>
      </c>
      <c r="P466" s="40"/>
      <c r="Q466" s="38" t="s">
        <v>95</v>
      </c>
      <c r="R466" s="38">
        <v>41.0</v>
      </c>
      <c r="S466" s="38" t="s">
        <v>5269</v>
      </c>
      <c r="T466" s="38" t="s">
        <v>5270</v>
      </c>
      <c r="U466" s="38" t="s">
        <v>3992</v>
      </c>
      <c r="V466" s="38"/>
      <c r="W466" s="38"/>
      <c r="X466" s="38"/>
      <c r="Y466" s="38"/>
      <c r="Z466" s="38"/>
      <c r="AA466" s="38"/>
      <c r="AB466" s="38"/>
      <c r="AC466" s="38"/>
      <c r="AD466" s="38"/>
      <c r="AE466" s="38"/>
      <c r="AF466" s="38"/>
      <c r="AG466" s="28"/>
      <c r="AH466" s="28" t="s">
        <v>462</v>
      </c>
      <c r="AI466" s="28" t="s">
        <v>462</v>
      </c>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row>
    <row r="467" ht="25.5" customHeight="1">
      <c r="A467" s="28">
        <v>491.0</v>
      </c>
      <c r="B467" s="37" t="b">
        <v>1</v>
      </c>
      <c r="C467" s="38" t="s">
        <v>106</v>
      </c>
      <c r="D467" s="38">
        <v>80.0</v>
      </c>
      <c r="E467" s="13" t="b">
        <v>0</v>
      </c>
      <c r="F467" s="13" t="b">
        <v>1</v>
      </c>
      <c r="G467" s="38" t="s">
        <v>224</v>
      </c>
      <c r="H467" s="38"/>
      <c r="I467" s="38" t="s">
        <v>265</v>
      </c>
      <c r="J467" s="38">
        <v>9.0</v>
      </c>
      <c r="K467" s="38" t="s">
        <v>3385</v>
      </c>
      <c r="L467" s="38">
        <v>906.0</v>
      </c>
      <c r="M467" s="38" t="s">
        <v>359</v>
      </c>
      <c r="N467" s="38">
        <v>10000.0</v>
      </c>
      <c r="O467" s="38" t="s">
        <v>3754</v>
      </c>
      <c r="P467" s="40"/>
      <c r="Q467" s="38" t="s">
        <v>289</v>
      </c>
      <c r="R467" s="38">
        <v>40.0</v>
      </c>
      <c r="S467" s="38" t="s">
        <v>5273</v>
      </c>
      <c r="T467" s="38" t="s">
        <v>5274</v>
      </c>
      <c r="U467" s="38" t="s">
        <v>3992</v>
      </c>
      <c r="V467" s="38">
        <v>2010.0</v>
      </c>
      <c r="W467" s="38" t="s">
        <v>5281</v>
      </c>
      <c r="X467" s="38"/>
      <c r="Y467" s="38"/>
      <c r="Z467" s="38"/>
      <c r="AA467" s="38"/>
      <c r="AB467" s="38"/>
      <c r="AC467" s="38"/>
      <c r="AD467" s="38"/>
      <c r="AE467" s="38"/>
      <c r="AF467" s="38"/>
      <c r="AG467" s="28"/>
      <c r="AH467" s="28" t="s">
        <v>462</v>
      </c>
      <c r="AI467" s="28" t="s">
        <v>462</v>
      </c>
      <c r="AJ467" s="28" t="s">
        <v>5160</v>
      </c>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row>
    <row r="468" ht="25.5" customHeight="1">
      <c r="A468" s="28">
        <v>98.0</v>
      </c>
      <c r="B468" s="37" t="b">
        <v>1</v>
      </c>
      <c r="C468" s="38" t="s">
        <v>106</v>
      </c>
      <c r="D468" s="38">
        <v>80.0</v>
      </c>
      <c r="E468" s="13" t="b">
        <v>0</v>
      </c>
      <c r="F468" s="13" t="b">
        <v>1</v>
      </c>
      <c r="G468" s="38" t="s">
        <v>224</v>
      </c>
      <c r="H468" s="38"/>
      <c r="I468" s="38" t="s">
        <v>4584</v>
      </c>
      <c r="J468" s="38" t="s">
        <v>4585</v>
      </c>
      <c r="K468" s="38" t="s">
        <v>4586</v>
      </c>
      <c r="L468" s="38" t="s">
        <v>5284</v>
      </c>
      <c r="M468" s="38" t="s">
        <v>5285</v>
      </c>
      <c r="N468" s="38" t="s">
        <v>4589</v>
      </c>
      <c r="O468" s="38" t="s">
        <v>4588</v>
      </c>
      <c r="P468" s="40"/>
      <c r="Q468" s="38" t="s">
        <v>111</v>
      </c>
      <c r="R468" s="38">
        <v>41.0</v>
      </c>
      <c r="S468" s="38" t="s">
        <v>4592</v>
      </c>
      <c r="T468" s="38" t="s">
        <v>3395</v>
      </c>
      <c r="U468" s="38" t="s">
        <v>3992</v>
      </c>
      <c r="V468" s="38">
        <v>2002.0</v>
      </c>
      <c r="W468" s="38" t="s">
        <v>4595</v>
      </c>
      <c r="X468" s="38" t="s">
        <v>4596</v>
      </c>
      <c r="Y468" s="38"/>
      <c r="Z468" s="38"/>
      <c r="AA468" s="38"/>
      <c r="AB468" s="38"/>
      <c r="AC468" s="38"/>
      <c r="AD468" s="38"/>
      <c r="AE468" s="38"/>
      <c r="AF468" s="38"/>
      <c r="AG468" s="28" t="s">
        <v>4597</v>
      </c>
      <c r="AH468" s="28" t="s">
        <v>4598</v>
      </c>
      <c r="AI468" s="28" t="s">
        <v>4599</v>
      </c>
      <c r="AJ468" s="28"/>
      <c r="AK468" s="28" t="s">
        <v>663</v>
      </c>
      <c r="AL468" s="28" t="s">
        <v>561</v>
      </c>
      <c r="AM468" s="28" t="s">
        <v>4600</v>
      </c>
      <c r="AN468" s="54">
        <v>42467.0</v>
      </c>
      <c r="AO468" s="28"/>
      <c r="AP468" s="28"/>
      <c r="AQ468" s="28"/>
      <c r="AR468" s="28"/>
      <c r="AS468" s="28"/>
      <c r="AT468" s="28"/>
      <c r="AU468" s="28"/>
      <c r="AV468" s="28"/>
      <c r="AW468" s="28"/>
      <c r="AX468" s="28"/>
      <c r="AY468" s="28"/>
      <c r="AZ468" s="28"/>
      <c r="BA468" s="28" t="s">
        <v>4601</v>
      </c>
      <c r="BB468" s="28"/>
      <c r="BC468" s="28"/>
      <c r="BD468" s="28"/>
      <c r="BE468" s="28"/>
      <c r="BF468" s="28"/>
      <c r="BG468" s="28"/>
      <c r="BH468" s="28"/>
      <c r="BI468" s="28"/>
      <c r="BJ468" s="28"/>
      <c r="BK468" s="28"/>
      <c r="BL468" s="28"/>
      <c r="BM468" s="28"/>
      <c r="BN468" s="28"/>
      <c r="BO468" s="28"/>
    </row>
    <row r="469" ht="25.5" customHeight="1">
      <c r="A469" s="28">
        <v>222.0</v>
      </c>
      <c r="B469" s="37" t="b">
        <v>1</v>
      </c>
      <c r="C469" s="38" t="s">
        <v>106</v>
      </c>
      <c r="D469" s="38">
        <v>80.0</v>
      </c>
      <c r="E469" s="13" t="b">
        <v>0</v>
      </c>
      <c r="F469" s="13" t="b">
        <v>1</v>
      </c>
      <c r="G469" s="38" t="s">
        <v>224</v>
      </c>
      <c r="H469" s="38"/>
      <c r="I469" s="38" t="s">
        <v>376</v>
      </c>
      <c r="J469" s="38">
        <v>2.0</v>
      </c>
      <c r="K469" s="65" t="s">
        <v>5161</v>
      </c>
      <c r="L469" s="38"/>
      <c r="M469" s="38" t="s">
        <v>395</v>
      </c>
      <c r="N469" s="38">
        <v>16000.0</v>
      </c>
      <c r="O469" s="38" t="s">
        <v>3572</v>
      </c>
      <c r="P469" s="40"/>
      <c r="Q469" s="38" t="s">
        <v>298</v>
      </c>
      <c r="R469" s="38">
        <v>44.0</v>
      </c>
      <c r="S469" s="38" t="s">
        <v>5296</v>
      </c>
      <c r="T469" s="38" t="s">
        <v>5297</v>
      </c>
      <c r="U469" s="38" t="s">
        <v>3992</v>
      </c>
      <c r="V469" s="38">
        <v>2011.0</v>
      </c>
      <c r="W469" s="38" t="s">
        <v>5298</v>
      </c>
      <c r="X469" s="38"/>
      <c r="Y469" s="38"/>
      <c r="Z469" s="38"/>
      <c r="AA469" s="38"/>
      <c r="AB469" s="38"/>
      <c r="AC469" s="38"/>
      <c r="AD469" s="38"/>
      <c r="AE469" s="38"/>
      <c r="AF469" s="3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row>
    <row r="470" ht="25.5" customHeight="1">
      <c r="A470" s="28">
        <v>375.0</v>
      </c>
      <c r="B470" s="37" t="b">
        <v>1</v>
      </c>
      <c r="C470" s="38" t="s">
        <v>106</v>
      </c>
      <c r="D470" s="38">
        <v>80.0</v>
      </c>
      <c r="E470" s="13" t="b">
        <v>0</v>
      </c>
      <c r="F470" s="13" t="b">
        <v>1</v>
      </c>
      <c r="G470" s="38" t="s">
        <v>224</v>
      </c>
      <c r="H470" s="38"/>
      <c r="I470" s="38" t="s">
        <v>280</v>
      </c>
      <c r="J470" s="38">
        <v>10.0</v>
      </c>
      <c r="K470" s="38" t="s">
        <v>5299</v>
      </c>
      <c r="L470" s="38">
        <v>1001.0</v>
      </c>
      <c r="M470" s="38" t="s">
        <v>408</v>
      </c>
      <c r="N470" s="38">
        <v>20000.0</v>
      </c>
      <c r="O470" s="38" t="s">
        <v>169</v>
      </c>
      <c r="P470" s="40"/>
      <c r="Q470" s="38" t="s">
        <v>289</v>
      </c>
      <c r="R470" s="38">
        <v>40.0</v>
      </c>
      <c r="S470" s="38" t="s">
        <v>5300</v>
      </c>
      <c r="T470" s="38" t="s">
        <v>5301</v>
      </c>
      <c r="U470" s="38" t="s">
        <v>3992</v>
      </c>
      <c r="V470" s="38">
        <v>2008.0</v>
      </c>
      <c r="W470" s="38" t="s">
        <v>5302</v>
      </c>
      <c r="X470" s="38"/>
      <c r="Y470" s="38"/>
      <c r="Z470" s="38"/>
      <c r="AA470" s="38"/>
      <c r="AB470" s="38"/>
      <c r="AC470" s="38"/>
      <c r="AD470" s="38"/>
      <c r="AE470" s="38"/>
      <c r="AF470" s="38"/>
      <c r="AG470" s="28"/>
      <c r="AH470" s="28"/>
      <c r="AI470" s="28"/>
      <c r="AJ470" s="28" t="s">
        <v>3233</v>
      </c>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row>
    <row r="471" ht="25.5" customHeight="1">
      <c r="A471" s="28">
        <v>17.0</v>
      </c>
      <c r="B471" s="37" t="b">
        <v>1</v>
      </c>
      <c r="C471" s="38" t="s">
        <v>106</v>
      </c>
      <c r="D471" s="38">
        <v>80.0</v>
      </c>
      <c r="E471" s="13" t="b">
        <v>0</v>
      </c>
      <c r="F471" s="13" t="b">
        <v>1</v>
      </c>
      <c r="G471" s="38" t="s">
        <v>224</v>
      </c>
      <c r="H471" s="38"/>
      <c r="I471" s="38" t="s">
        <v>574</v>
      </c>
      <c r="J471" s="38">
        <v>4.0</v>
      </c>
      <c r="K471" s="38" t="s">
        <v>879</v>
      </c>
      <c r="L471" s="38">
        <v>401.0</v>
      </c>
      <c r="M471" s="38" t="s">
        <v>411</v>
      </c>
      <c r="N471" s="38">
        <v>21000.0</v>
      </c>
      <c r="O471" s="38" t="s">
        <v>1052</v>
      </c>
      <c r="P471" s="40"/>
      <c r="Q471" s="38" t="s">
        <v>289</v>
      </c>
      <c r="R471" s="38">
        <v>40.0</v>
      </c>
      <c r="S471" s="38" t="s">
        <v>3988</v>
      </c>
      <c r="T471" s="38" t="s">
        <v>3990</v>
      </c>
      <c r="U471" s="38" t="s">
        <v>3992</v>
      </c>
      <c r="V471" s="38">
        <v>2009.0</v>
      </c>
      <c r="W471" s="38" t="s">
        <v>3999</v>
      </c>
      <c r="X471" s="38"/>
      <c r="Y471" s="38"/>
      <c r="Z471" s="38"/>
      <c r="AA471" s="38"/>
      <c r="AB471" s="38"/>
      <c r="AC471" s="38"/>
      <c r="AD471" s="38"/>
      <c r="AE471" s="38"/>
      <c r="AF471" s="38"/>
      <c r="AG471" s="28"/>
      <c r="AH471" s="28" t="s">
        <v>462</v>
      </c>
      <c r="AI471" s="28" t="s">
        <v>462</v>
      </c>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row>
    <row r="472" ht="25.5" customHeight="1">
      <c r="A472" s="28">
        <v>56.0</v>
      </c>
      <c r="B472" s="37" t="b">
        <v>1</v>
      </c>
      <c r="C472" s="38" t="s">
        <v>106</v>
      </c>
      <c r="D472" s="38">
        <v>80.0</v>
      </c>
      <c r="E472" s="13" t="b">
        <v>0</v>
      </c>
      <c r="F472" s="13" t="b">
        <v>1</v>
      </c>
      <c r="G472" s="38" t="s">
        <v>224</v>
      </c>
      <c r="H472" s="38"/>
      <c r="I472" s="38" t="s">
        <v>1635</v>
      </c>
      <c r="J472" s="38" t="s">
        <v>3406</v>
      </c>
      <c r="K472" s="38" t="s">
        <v>4238</v>
      </c>
      <c r="L472" s="38">
        <v>400.0</v>
      </c>
      <c r="M472" s="38" t="s">
        <v>411</v>
      </c>
      <c r="N472" s="38">
        <v>21000.0</v>
      </c>
      <c r="O472" s="38" t="s">
        <v>1052</v>
      </c>
      <c r="P472" s="40"/>
      <c r="Q472" s="38" t="s">
        <v>289</v>
      </c>
      <c r="R472" s="38">
        <v>40.0</v>
      </c>
      <c r="S472" s="38" t="s">
        <v>4239</v>
      </c>
      <c r="T472" s="38" t="s">
        <v>4240</v>
      </c>
      <c r="U472" s="38" t="s">
        <v>3992</v>
      </c>
      <c r="V472" s="38">
        <v>2014.0</v>
      </c>
      <c r="W472" s="38" t="s">
        <v>4243</v>
      </c>
      <c r="X472" s="38"/>
      <c r="Y472" s="38"/>
      <c r="Z472" s="38"/>
      <c r="AA472" s="38"/>
      <c r="AB472" s="38"/>
      <c r="AC472" s="38"/>
      <c r="AD472" s="38"/>
      <c r="AE472" s="38"/>
      <c r="AF472" s="3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row>
    <row r="473" ht="25.5" customHeight="1">
      <c r="A473" s="28">
        <v>330.0</v>
      </c>
      <c r="B473" s="37" t="b">
        <v>1</v>
      </c>
      <c r="C473" s="38" t="s">
        <v>106</v>
      </c>
      <c r="D473" s="38">
        <v>80.0</v>
      </c>
      <c r="E473" s="13" t="b">
        <v>0</v>
      </c>
      <c r="F473" s="13" t="b">
        <v>1</v>
      </c>
      <c r="G473" s="38" t="s">
        <v>224</v>
      </c>
      <c r="H473" s="38"/>
      <c r="I473" s="38" t="s">
        <v>490</v>
      </c>
      <c r="J473" s="38">
        <v>6.0</v>
      </c>
      <c r="K473" s="38" t="s">
        <v>776</v>
      </c>
      <c r="L473" s="38">
        <v>602.0</v>
      </c>
      <c r="M473" s="38" t="s">
        <v>411</v>
      </c>
      <c r="N473" s="38">
        <v>21000.0</v>
      </c>
      <c r="O473" s="38" t="s">
        <v>1052</v>
      </c>
      <c r="P473" s="40"/>
      <c r="Q473" s="38" t="s">
        <v>289</v>
      </c>
      <c r="R473" s="38">
        <v>40.0</v>
      </c>
      <c r="S473" s="38" t="s">
        <v>5308</v>
      </c>
      <c r="T473" s="38" t="s">
        <v>5309</v>
      </c>
      <c r="U473" s="38" t="s">
        <v>3992</v>
      </c>
      <c r="V473" s="38">
        <v>1995.0</v>
      </c>
      <c r="W473" s="38" t="s">
        <v>5312</v>
      </c>
      <c r="X473" s="38" t="s">
        <v>5313</v>
      </c>
      <c r="Y473" s="38"/>
      <c r="Z473" s="38"/>
      <c r="AA473" s="38"/>
      <c r="AB473" s="38"/>
      <c r="AC473" s="38"/>
      <c r="AD473" s="38"/>
      <c r="AE473" s="38"/>
      <c r="AF473" s="38"/>
      <c r="AG473" s="28" t="s">
        <v>5314</v>
      </c>
      <c r="AH473" s="28" t="s">
        <v>428</v>
      </c>
      <c r="AI473" s="28" t="s">
        <v>428</v>
      </c>
      <c r="AJ473" s="28"/>
      <c r="AK473" s="28" t="s">
        <v>663</v>
      </c>
      <c r="AL473" s="28" t="s">
        <v>561</v>
      </c>
      <c r="AM473" s="28" t="s">
        <v>5315</v>
      </c>
      <c r="AN473" s="54">
        <v>42450.0</v>
      </c>
      <c r="AO473" s="28"/>
      <c r="AP473" s="54">
        <v>42600.0</v>
      </c>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row>
    <row r="474" ht="25.5" customHeight="1">
      <c r="A474" s="28">
        <v>412.0</v>
      </c>
      <c r="B474" s="37" t="b">
        <v>1</v>
      </c>
      <c r="C474" s="38" t="s">
        <v>106</v>
      </c>
      <c r="D474" s="38">
        <v>80.0</v>
      </c>
      <c r="E474" s="13" t="b">
        <v>0</v>
      </c>
      <c r="F474" s="13" t="b">
        <v>1</v>
      </c>
      <c r="G474" s="38" t="s">
        <v>224</v>
      </c>
      <c r="H474" s="38"/>
      <c r="I474" s="38" t="s">
        <v>712</v>
      </c>
      <c r="J474" s="38">
        <v>7.0</v>
      </c>
      <c r="K474" s="38" t="s">
        <v>5068</v>
      </c>
      <c r="L474" s="38">
        <v>702.0</v>
      </c>
      <c r="M474" s="38" t="s">
        <v>411</v>
      </c>
      <c r="N474" s="38">
        <v>21000.0</v>
      </c>
      <c r="O474" s="38" t="s">
        <v>5316</v>
      </c>
      <c r="P474" s="40"/>
      <c r="Q474" s="38" t="s">
        <v>431</v>
      </c>
      <c r="R474" s="38">
        <v>40.0</v>
      </c>
      <c r="S474" s="38" t="s">
        <v>5317</v>
      </c>
      <c r="T474" s="38" t="s">
        <v>5318</v>
      </c>
      <c r="U474" s="38" t="s">
        <v>3992</v>
      </c>
      <c r="V474" s="38">
        <v>2011.0</v>
      </c>
      <c r="W474" s="38" t="s">
        <v>5319</v>
      </c>
      <c r="X474" s="38"/>
      <c r="Y474" s="38"/>
      <c r="Z474" s="38"/>
      <c r="AA474" s="38"/>
      <c r="AB474" s="38"/>
      <c r="AC474" s="38"/>
      <c r="AD474" s="38"/>
      <c r="AE474" s="38"/>
      <c r="AF474" s="38"/>
      <c r="AG474" s="28"/>
      <c r="AH474" s="28"/>
      <c r="AI474" s="28"/>
      <c r="AJ474" s="28" t="s">
        <v>3233</v>
      </c>
      <c r="AK474" s="28"/>
      <c r="AL474" s="28"/>
      <c r="AM474" s="28"/>
      <c r="AN474" s="54"/>
      <c r="AO474" s="28"/>
      <c r="AP474" s="54"/>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row>
    <row r="475" ht="25.5" customHeight="1">
      <c r="A475" s="28">
        <v>10323.0</v>
      </c>
      <c r="B475" s="37" t="b">
        <v>1</v>
      </c>
      <c r="C475" s="38" t="s">
        <v>238</v>
      </c>
      <c r="D475" s="38">
        <v>81.0</v>
      </c>
      <c r="E475" s="13" t="b">
        <v>0</v>
      </c>
      <c r="F475" s="13" t="b">
        <v>1</v>
      </c>
      <c r="G475" s="38" t="s">
        <v>224</v>
      </c>
      <c r="H475" s="38"/>
      <c r="I475" s="38" t="s">
        <v>280</v>
      </c>
      <c r="J475" s="38">
        <v>10.0</v>
      </c>
      <c r="K475" s="38"/>
      <c r="L475" s="38"/>
      <c r="M475" s="38" t="s">
        <v>107</v>
      </c>
      <c r="N475" s="38">
        <v>3000.0</v>
      </c>
      <c r="O475" s="38" t="s">
        <v>470</v>
      </c>
      <c r="P475" s="40"/>
      <c r="Q475" s="38" t="s">
        <v>111</v>
      </c>
      <c r="R475" s="38">
        <v>41.0</v>
      </c>
      <c r="S475" s="38" t="s">
        <v>4414</v>
      </c>
      <c r="T475" s="38" t="s">
        <v>4416</v>
      </c>
      <c r="U475" s="38" t="s">
        <v>3992</v>
      </c>
      <c r="V475" s="55">
        <v>42345.0</v>
      </c>
      <c r="W475" s="38" t="s">
        <v>4417</v>
      </c>
      <c r="X475" s="49" t="str">
        <f>HYPERLINK("http://www.sciencedirect.com/science/article/pii/S0272494415300487","http://www.sciencedirect.com/science/article/pii/S0272494415300487")</f>
        <v>http://www.sciencedirect.com/science/article/pii/S0272494415300487</v>
      </c>
      <c r="Y475" s="38"/>
      <c r="Z475" s="38"/>
      <c r="AA475" s="38"/>
      <c r="AB475" s="38"/>
      <c r="AC475" s="38"/>
      <c r="AD475" s="38"/>
      <c r="AE475" s="38"/>
      <c r="AF475" s="38"/>
      <c r="AG475" s="28" t="s">
        <v>4422</v>
      </c>
      <c r="AH475" s="28" t="s">
        <v>428</v>
      </c>
      <c r="AI475" s="28"/>
      <c r="AJ475" s="28"/>
      <c r="AK475" s="28" t="s">
        <v>663</v>
      </c>
      <c r="AL475" s="28"/>
      <c r="AM475" s="28"/>
      <c r="AN475" s="28"/>
      <c r="AO475" s="28"/>
      <c r="AP475" s="28"/>
      <c r="AQ475" s="28"/>
      <c r="AR475" s="28"/>
      <c r="AS475" s="28"/>
      <c r="AT475" s="28"/>
      <c r="AU475" s="28"/>
      <c r="AV475" s="28"/>
      <c r="AW475" s="28"/>
      <c r="AX475" s="28"/>
      <c r="AY475" s="28"/>
      <c r="AZ475" s="28" t="s">
        <v>2456</v>
      </c>
      <c r="BA475" s="28"/>
      <c r="BB475" s="28"/>
      <c r="BC475" s="28"/>
      <c r="BD475" s="28"/>
      <c r="BE475" s="28"/>
      <c r="BF475" s="28"/>
      <c r="BG475" s="28"/>
      <c r="BH475" s="28"/>
      <c r="BI475" s="28"/>
      <c r="BJ475" s="28"/>
      <c r="BK475" s="28"/>
      <c r="BL475" s="28"/>
      <c r="BM475" s="28"/>
      <c r="BN475" s="28"/>
      <c r="BO475" s="28"/>
    </row>
    <row r="476" ht="25.5" customHeight="1">
      <c r="A476" s="28">
        <v>100.0</v>
      </c>
      <c r="B476" s="37" t="b">
        <v>1</v>
      </c>
      <c r="C476" s="38" t="s">
        <v>106</v>
      </c>
      <c r="D476" s="38">
        <v>80.0</v>
      </c>
      <c r="E476" s="13" t="b">
        <v>0</v>
      </c>
      <c r="F476" s="13" t="b">
        <v>1</v>
      </c>
      <c r="G476" s="38" t="s">
        <v>224</v>
      </c>
      <c r="H476" s="38"/>
      <c r="I476" s="38" t="s">
        <v>1006</v>
      </c>
      <c r="J476" s="38" t="s">
        <v>1007</v>
      </c>
      <c r="K476" s="38" t="s">
        <v>1008</v>
      </c>
      <c r="L476" s="38">
        <v>1003.0</v>
      </c>
      <c r="M476" s="38" t="s">
        <v>107</v>
      </c>
      <c r="N476" s="38">
        <v>3000.0</v>
      </c>
      <c r="O476" s="38" t="s">
        <v>185</v>
      </c>
      <c r="P476" s="40"/>
      <c r="Q476" s="38" t="s">
        <v>289</v>
      </c>
      <c r="R476" s="38">
        <v>40.0</v>
      </c>
      <c r="S476" s="38" t="s">
        <v>4608</v>
      </c>
      <c r="T476" s="38" t="s">
        <v>4609</v>
      </c>
      <c r="U476" s="38" t="s">
        <v>4610</v>
      </c>
      <c r="V476" s="38">
        <v>1979.0</v>
      </c>
      <c r="W476" s="38" t="s">
        <v>4611</v>
      </c>
      <c r="X476" s="49" t="str">
        <f>HYPERLINK("http://triggered.clockss.org/ServeContent?url=http://baywood.stanford.clockss.org%2FBWES%2FBAWOOD_BWES_9_1%2F9W4J7LPPXGBKY8XU.pdf","http://triggered.clockss.org/ServeContent?url=http://baywood.stanford.clockss.org%2FBWES%2FBAWOOD_BWES_9_1%2F9W4J7LPPXGBKY8XU.pdf")</f>
        <v>http://triggered.clockss.org/ServeContent?url=http://baywood.stanford.clockss.org%2FBWES%2FBAWOOD_BWES_9_1%2F9W4J7LPPXGBKY8XU.pdf</v>
      </c>
      <c r="Y476" s="38"/>
      <c r="Z476" s="38"/>
      <c r="AA476" s="38"/>
      <c r="AB476" s="38"/>
      <c r="AC476" s="38"/>
      <c r="AD476" s="38"/>
      <c r="AE476" s="38"/>
      <c r="AF476" s="38"/>
      <c r="AG476" s="28" t="s">
        <v>4624</v>
      </c>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row>
    <row r="477" ht="25.5" customHeight="1">
      <c r="A477" s="28">
        <v>173.0</v>
      </c>
      <c r="B477" s="37" t="b">
        <v>1</v>
      </c>
      <c r="C477" s="38" t="s">
        <v>106</v>
      </c>
      <c r="D477" s="38">
        <v>80.0</v>
      </c>
      <c r="E477" s="13" t="b">
        <v>0</v>
      </c>
      <c r="F477" s="13" t="b">
        <v>1</v>
      </c>
      <c r="G477" s="38" t="s">
        <v>224</v>
      </c>
      <c r="H477" s="38"/>
      <c r="I477" s="38" t="s">
        <v>429</v>
      </c>
      <c r="J477" s="38">
        <v>2.0</v>
      </c>
      <c r="K477" s="38" t="s">
        <v>524</v>
      </c>
      <c r="L477" s="38">
        <v>205.0</v>
      </c>
      <c r="M477" s="38" t="s">
        <v>239</v>
      </c>
      <c r="N477" s="38">
        <v>4000.0</v>
      </c>
      <c r="O477" s="38" t="s">
        <v>605</v>
      </c>
      <c r="P477" s="40"/>
      <c r="Q477" s="38" t="s">
        <v>289</v>
      </c>
      <c r="R477" s="38">
        <v>40.0</v>
      </c>
      <c r="S477" s="38" t="s">
        <v>5250</v>
      </c>
      <c r="T477" s="38" t="s">
        <v>5251</v>
      </c>
      <c r="U477" s="38" t="s">
        <v>3854</v>
      </c>
      <c r="V477" s="38">
        <v>2011.0</v>
      </c>
      <c r="W477" s="38" t="s">
        <v>5254</v>
      </c>
      <c r="X477" s="38" t="s">
        <v>5255</v>
      </c>
      <c r="Y477" s="38"/>
      <c r="Z477" s="38"/>
      <c r="AA477" s="38"/>
      <c r="AB477" s="38"/>
      <c r="AC477" s="38"/>
      <c r="AD477" s="38"/>
      <c r="AE477" s="38"/>
      <c r="AF477" s="38"/>
      <c r="AG477" s="28"/>
      <c r="AH477" s="28" t="s">
        <v>428</v>
      </c>
      <c r="AI477" s="28" t="s">
        <v>462</v>
      </c>
      <c r="AJ477" s="28"/>
      <c r="AK477" s="28"/>
      <c r="AL477" s="28"/>
      <c r="AM477" s="28"/>
      <c r="AN477" s="28"/>
      <c r="AO477" s="28"/>
      <c r="AP477" s="28"/>
      <c r="AQ477" s="28"/>
      <c r="AR477" s="28"/>
      <c r="AS477" s="28"/>
      <c r="AT477" s="28"/>
      <c r="AU477" s="28"/>
      <c r="AV477" s="28"/>
      <c r="AW477" s="28"/>
      <c r="AX477" s="28"/>
      <c r="AY477" s="28"/>
      <c r="AZ477" s="28"/>
      <c r="BA477" s="28" t="s">
        <v>927</v>
      </c>
      <c r="BB477" s="28"/>
      <c r="BC477" s="28"/>
      <c r="BD477" s="28"/>
      <c r="BE477" s="28"/>
      <c r="BF477" s="28"/>
      <c r="BG477" s="28"/>
      <c r="BH477" s="28"/>
      <c r="BI477" s="28"/>
      <c r="BJ477" s="28"/>
      <c r="BK477" s="28"/>
      <c r="BL477" s="28"/>
      <c r="BM477" s="28"/>
      <c r="BN477" s="28"/>
      <c r="BO477" s="28"/>
    </row>
    <row r="478" ht="25.5" customHeight="1">
      <c r="A478" s="28">
        <v>3.0</v>
      </c>
      <c r="B478" s="37" t="b">
        <v>1</v>
      </c>
      <c r="C478" s="38" t="s">
        <v>106</v>
      </c>
      <c r="D478" s="38">
        <v>80.0</v>
      </c>
      <c r="E478" s="13" t="b">
        <v>0</v>
      </c>
      <c r="F478" s="13" t="b">
        <v>1</v>
      </c>
      <c r="G478" s="38" t="s">
        <v>224</v>
      </c>
      <c r="H478" s="38"/>
      <c r="I478" s="38" t="s">
        <v>574</v>
      </c>
      <c r="J478" s="38">
        <v>4.0</v>
      </c>
      <c r="K478" s="38" t="s">
        <v>3159</v>
      </c>
      <c r="L478" s="38">
        <v>403.0</v>
      </c>
      <c r="M478" s="38" t="s">
        <v>549</v>
      </c>
      <c r="N478" s="38">
        <v>6000.0</v>
      </c>
      <c r="O478" s="38" t="s">
        <v>552</v>
      </c>
      <c r="P478" s="40"/>
      <c r="Q478" s="38" t="s">
        <v>431</v>
      </c>
      <c r="R478" s="38">
        <v>40.0</v>
      </c>
      <c r="S478" s="61" t="s">
        <v>3852</v>
      </c>
      <c r="T478" s="38" t="s">
        <v>3853</v>
      </c>
      <c r="U478" s="61" t="s">
        <v>3854</v>
      </c>
      <c r="V478" s="38">
        <v>2009.0</v>
      </c>
      <c r="W478" s="38" t="s">
        <v>3856</v>
      </c>
      <c r="X478" s="38"/>
      <c r="Y478" s="38"/>
      <c r="Z478" s="38"/>
      <c r="AA478" s="38"/>
      <c r="AB478" s="38"/>
      <c r="AC478" s="38"/>
      <c r="AD478" s="38"/>
      <c r="AE478" s="38"/>
      <c r="AF478" s="38"/>
      <c r="AG478" s="28"/>
      <c r="AH478" s="28"/>
      <c r="AI478" s="28"/>
      <c r="AJ478" s="28"/>
      <c r="AK478" s="28"/>
      <c r="AL478" s="28"/>
      <c r="AM478" s="28"/>
      <c r="AN478" s="54"/>
      <c r="AO478" s="28"/>
      <c r="AP478" s="54"/>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row>
    <row r="479" ht="25.5" customHeight="1">
      <c r="A479" s="28">
        <v>357.0</v>
      </c>
      <c r="B479" s="37" t="b">
        <v>1</v>
      </c>
      <c r="C479" s="38" t="s">
        <v>106</v>
      </c>
      <c r="D479" s="38">
        <v>80.0</v>
      </c>
      <c r="E479" s="13" t="b">
        <v>0</v>
      </c>
      <c r="F479" s="13" t="b">
        <v>1</v>
      </c>
      <c r="G479" s="38" t="s">
        <v>224</v>
      </c>
      <c r="H479" s="38"/>
      <c r="I479" s="38" t="s">
        <v>490</v>
      </c>
      <c r="J479" s="38">
        <v>6.0</v>
      </c>
      <c r="K479" s="38" t="s">
        <v>1154</v>
      </c>
      <c r="L479" s="38">
        <v>603.0</v>
      </c>
      <c r="M479" s="38" t="s">
        <v>411</v>
      </c>
      <c r="N479" s="38">
        <v>21000.0</v>
      </c>
      <c r="O479" s="38" t="s">
        <v>1052</v>
      </c>
      <c r="P479" s="40"/>
      <c r="Q479" s="38" t="s">
        <v>111</v>
      </c>
      <c r="R479" s="38">
        <v>41.0</v>
      </c>
      <c r="S479" s="38" t="s">
        <v>5337</v>
      </c>
      <c r="T479" s="38" t="s">
        <v>5339</v>
      </c>
      <c r="U479" s="38" t="s">
        <v>5340</v>
      </c>
      <c r="V479" s="38">
        <v>2006.0</v>
      </c>
      <c r="W479" s="38" t="s">
        <v>5342</v>
      </c>
      <c r="X479" s="49" t="str">
        <f>HYPERLINK("http://www.sciencedirect.com/science/article/pii/S0022103105001356","http://www.sciencedirect.com/science/article/pii/S0022103105001356")</f>
        <v>http://www.sciencedirect.com/science/article/pii/S0022103105001356</v>
      </c>
      <c r="Y479" s="38"/>
      <c r="Z479" s="38"/>
      <c r="AA479" s="38"/>
      <c r="AB479" s="38"/>
      <c r="AC479" s="38"/>
      <c r="AD479" s="38"/>
      <c r="AE479" s="38"/>
      <c r="AF479" s="38"/>
      <c r="AG479" s="28" t="s">
        <v>5343</v>
      </c>
      <c r="AH479" s="28" t="s">
        <v>428</v>
      </c>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row>
    <row r="480" ht="25.5" customHeight="1">
      <c r="A480" s="28">
        <v>106.0</v>
      </c>
      <c r="B480" s="37" t="b">
        <v>1</v>
      </c>
      <c r="C480" s="38" t="s">
        <v>106</v>
      </c>
      <c r="D480" s="38">
        <v>80.0</v>
      </c>
      <c r="E480" s="13" t="b">
        <v>1</v>
      </c>
      <c r="F480" s="13" t="b">
        <v>0</v>
      </c>
      <c r="G480" s="38" t="s">
        <v>112</v>
      </c>
      <c r="H480" s="38">
        <v>51.0</v>
      </c>
      <c r="I480" s="38" t="s">
        <v>224</v>
      </c>
      <c r="J480" s="38"/>
      <c r="K480" s="38" t="s">
        <v>224</v>
      </c>
      <c r="L480" s="38"/>
      <c r="M480" s="38" t="s">
        <v>388</v>
      </c>
      <c r="N480" s="38">
        <v>14000.0</v>
      </c>
      <c r="O480" s="38" t="s">
        <v>224</v>
      </c>
      <c r="P480" s="40"/>
      <c r="Q480" s="38" t="s">
        <v>289</v>
      </c>
      <c r="R480" s="38">
        <v>40.0</v>
      </c>
      <c r="S480" s="38" t="s">
        <v>4655</v>
      </c>
      <c r="T480" s="38" t="s">
        <v>4656</v>
      </c>
      <c r="U480" s="38" t="s">
        <v>4657</v>
      </c>
      <c r="V480" s="38">
        <v>2010.0</v>
      </c>
      <c r="W480" s="38" t="s">
        <v>4658</v>
      </c>
      <c r="X480" s="38" t="s">
        <v>4659</v>
      </c>
      <c r="Y480" s="38"/>
      <c r="Z480" s="38"/>
      <c r="AA480" s="38"/>
      <c r="AB480" s="38"/>
      <c r="AC480" s="38"/>
      <c r="AD480" s="38"/>
      <c r="AE480" s="38"/>
      <c r="AF480" s="38"/>
      <c r="AG480" s="28" t="s">
        <v>4660</v>
      </c>
      <c r="AH480" s="28" t="s">
        <v>462</v>
      </c>
      <c r="AI480" s="28" t="s">
        <v>462</v>
      </c>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row>
    <row r="481" ht="25.5" customHeight="1">
      <c r="A481" s="28">
        <v>2.0</v>
      </c>
      <c r="B481" s="37" t="b">
        <v>1</v>
      </c>
      <c r="C481" s="38" t="s">
        <v>106</v>
      </c>
      <c r="D481" s="38">
        <v>80.0</v>
      </c>
      <c r="E481" s="13" t="b">
        <v>0</v>
      </c>
      <c r="F481" s="13" t="b">
        <v>1</v>
      </c>
      <c r="G481" s="38" t="s">
        <v>224</v>
      </c>
      <c r="H481" s="38"/>
      <c r="I481" s="38" t="s">
        <v>574</v>
      </c>
      <c r="J481" s="38">
        <v>4.0</v>
      </c>
      <c r="K481" s="38" t="s">
        <v>3159</v>
      </c>
      <c r="L481" s="38">
        <v>403.0</v>
      </c>
      <c r="M481" s="38" t="s">
        <v>35</v>
      </c>
      <c r="N481" s="38">
        <v>2000.0</v>
      </c>
      <c r="O481" s="38" t="s">
        <v>644</v>
      </c>
      <c r="P481" s="40"/>
      <c r="Q481" s="38" t="s">
        <v>289</v>
      </c>
      <c r="R481" s="38">
        <v>40.0</v>
      </c>
      <c r="S481" s="38" t="s">
        <v>3830</v>
      </c>
      <c r="T481" s="38" t="s">
        <v>3831</v>
      </c>
      <c r="U481" s="38" t="s">
        <v>3832</v>
      </c>
      <c r="V481" s="38">
        <v>2012.0</v>
      </c>
      <c r="W481" s="38" t="s">
        <v>3834</v>
      </c>
      <c r="X481" s="38" t="s">
        <v>3838</v>
      </c>
      <c r="Y481" s="38"/>
      <c r="Z481" s="38"/>
      <c r="AA481" s="38"/>
      <c r="AB481" s="38"/>
      <c r="AC481" s="38"/>
      <c r="AD481" s="38"/>
      <c r="AE481" s="38"/>
      <c r="AF481" s="38"/>
      <c r="AG481" s="71"/>
      <c r="AH481" s="28" t="s">
        <v>428</v>
      </c>
      <c r="AI481" s="28" t="s">
        <v>462</v>
      </c>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row>
    <row r="482" ht="25.5" customHeight="1">
      <c r="A482" s="28">
        <v>415.0</v>
      </c>
      <c r="B482" s="37" t="b">
        <v>1</v>
      </c>
      <c r="C482" s="38" t="s">
        <v>106</v>
      </c>
      <c r="D482" s="38">
        <v>80.0</v>
      </c>
      <c r="E482" s="13" t="b">
        <v>0</v>
      </c>
      <c r="F482" s="13" t="b">
        <v>1</v>
      </c>
      <c r="G482" s="38" t="s">
        <v>224</v>
      </c>
      <c r="H482" s="38"/>
      <c r="I482" s="38" t="s">
        <v>712</v>
      </c>
      <c r="J482" s="38">
        <v>7.0</v>
      </c>
      <c r="K482" s="38" t="s">
        <v>5347</v>
      </c>
      <c r="L482" s="38" t="s">
        <v>5348</v>
      </c>
      <c r="M482" s="38" t="s">
        <v>359</v>
      </c>
      <c r="N482" s="38">
        <v>10000.0</v>
      </c>
      <c r="O482" s="38" t="s">
        <v>3754</v>
      </c>
      <c r="P482" s="40"/>
      <c r="Q482" s="38" t="s">
        <v>289</v>
      </c>
      <c r="R482" s="38">
        <v>40.0</v>
      </c>
      <c r="S482" s="38" t="s">
        <v>5349</v>
      </c>
      <c r="T482" s="38" t="s">
        <v>5350</v>
      </c>
      <c r="U482" s="38" t="s">
        <v>5351</v>
      </c>
      <c r="V482" s="38">
        <v>2006.0</v>
      </c>
      <c r="W482" s="38" t="s">
        <v>5352</v>
      </c>
      <c r="X482" s="38" t="s">
        <v>5353</v>
      </c>
      <c r="Y482" s="38"/>
      <c r="Z482" s="38"/>
      <c r="AA482" s="38"/>
      <c r="AB482" s="38"/>
      <c r="AC482" s="38"/>
      <c r="AD482" s="38"/>
      <c r="AE482" s="38"/>
      <c r="AF482" s="38"/>
      <c r="AG482" s="28"/>
      <c r="AH482" s="28" t="s">
        <v>428</v>
      </c>
      <c r="AI482" s="28" t="s">
        <v>462</v>
      </c>
      <c r="AJ482" s="28"/>
      <c r="AK482" s="28"/>
      <c r="AL482" s="28"/>
      <c r="AM482" s="28"/>
      <c r="AN482" s="28"/>
      <c r="AO482" s="28"/>
      <c r="AP482" s="28"/>
      <c r="AQ482" s="28"/>
      <c r="AR482" s="28"/>
      <c r="AS482" s="28"/>
      <c r="AT482" s="28"/>
      <c r="AU482" s="28"/>
      <c r="AV482" s="28"/>
      <c r="AW482" s="28"/>
      <c r="AX482" s="28"/>
      <c r="AY482" s="28"/>
      <c r="AZ482" s="28"/>
      <c r="BA482" s="28" t="s">
        <v>5357</v>
      </c>
      <c r="BB482" s="28"/>
      <c r="BC482" s="28"/>
      <c r="BD482" s="28"/>
      <c r="BE482" s="28"/>
      <c r="BF482" s="28"/>
      <c r="BG482" s="28"/>
      <c r="BH482" s="28"/>
      <c r="BI482" s="28"/>
      <c r="BJ482" s="28"/>
      <c r="BK482" s="28"/>
      <c r="BL482" s="28"/>
      <c r="BM482" s="28"/>
      <c r="BN482" s="28"/>
      <c r="BO482" s="28"/>
    </row>
    <row r="483" ht="25.5" customHeight="1">
      <c r="A483" s="28">
        <v>307.0</v>
      </c>
      <c r="B483" s="37" t="b">
        <v>1</v>
      </c>
      <c r="C483" s="38" t="s">
        <v>106</v>
      </c>
      <c r="D483" s="38">
        <v>80.0</v>
      </c>
      <c r="E483" s="13" t="b">
        <v>0</v>
      </c>
      <c r="F483" s="13" t="b">
        <v>1</v>
      </c>
      <c r="G483" s="38" t="s">
        <v>224</v>
      </c>
      <c r="H483" s="38"/>
      <c r="I483" s="38" t="s">
        <v>2299</v>
      </c>
      <c r="J483" s="38" t="s">
        <v>2300</v>
      </c>
      <c r="K483" s="38" t="s">
        <v>2301</v>
      </c>
      <c r="L483" s="38" t="s">
        <v>2302</v>
      </c>
      <c r="M483" s="38" t="s">
        <v>3605</v>
      </c>
      <c r="N483" s="38" t="s">
        <v>3606</v>
      </c>
      <c r="O483" s="38" t="s">
        <v>798</v>
      </c>
      <c r="P483" s="40"/>
      <c r="Q483" s="38" t="s">
        <v>289</v>
      </c>
      <c r="R483" s="38">
        <v>40.0</v>
      </c>
      <c r="S483" s="38" t="s">
        <v>5359</v>
      </c>
      <c r="T483" s="38" t="s">
        <v>5360</v>
      </c>
      <c r="U483" s="38" t="s">
        <v>5361</v>
      </c>
      <c r="V483" s="38">
        <v>2013.0</v>
      </c>
      <c r="W483" s="38" t="s">
        <v>5362</v>
      </c>
      <c r="X483" s="38" t="s">
        <v>5363</v>
      </c>
      <c r="Y483" s="38"/>
      <c r="Z483" s="38"/>
      <c r="AA483" s="38"/>
      <c r="AB483" s="38"/>
      <c r="AC483" s="38"/>
      <c r="AD483" s="38"/>
      <c r="AE483" s="38"/>
      <c r="AF483" s="38"/>
      <c r="AG483" s="28" t="s">
        <v>5364</v>
      </c>
      <c r="AH483" s="28" t="s">
        <v>462</v>
      </c>
      <c r="AI483" s="28" t="s">
        <v>462</v>
      </c>
      <c r="AJ483" s="28"/>
      <c r="AK483" s="28"/>
      <c r="AL483" s="28" t="s">
        <v>561</v>
      </c>
      <c r="AM483" s="28" t="s">
        <v>5365</v>
      </c>
      <c r="AN483" s="54">
        <v>42418.0</v>
      </c>
      <c r="AO483" s="28"/>
      <c r="AP483" s="54">
        <v>42592.0</v>
      </c>
      <c r="AQ483" s="28"/>
      <c r="AR483" s="28"/>
      <c r="AS483" s="28"/>
      <c r="AT483" s="28"/>
      <c r="AU483" s="28"/>
      <c r="AV483" s="28"/>
      <c r="AW483" s="28"/>
      <c r="AX483" s="28"/>
      <c r="AY483" s="28"/>
      <c r="AZ483" s="28"/>
      <c r="BA483" s="28" t="s">
        <v>1023</v>
      </c>
      <c r="BB483" s="28"/>
      <c r="BC483" s="28"/>
      <c r="BD483" s="28"/>
      <c r="BE483" s="28"/>
      <c r="BF483" s="28"/>
      <c r="BG483" s="28"/>
      <c r="BH483" s="28"/>
      <c r="BI483" s="28"/>
      <c r="BJ483" s="28"/>
      <c r="BK483" s="28"/>
      <c r="BL483" s="28"/>
      <c r="BM483" s="28"/>
      <c r="BN483" s="28"/>
      <c r="BO483" s="28"/>
    </row>
    <row r="484" ht="25.5" customHeight="1">
      <c r="A484" s="28">
        <v>359.0</v>
      </c>
      <c r="B484" s="37" t="b">
        <v>1</v>
      </c>
      <c r="C484" s="38" t="s">
        <v>106</v>
      </c>
      <c r="D484" s="38">
        <v>80.0</v>
      </c>
      <c r="E484" s="13" t="b">
        <v>1</v>
      </c>
      <c r="F484" s="13" t="b">
        <v>0</v>
      </c>
      <c r="G484" s="38" t="s">
        <v>224</v>
      </c>
      <c r="H484" s="38"/>
      <c r="I484" s="38" t="s">
        <v>490</v>
      </c>
      <c r="J484" s="38">
        <v>6.0</v>
      </c>
      <c r="K484" s="38" t="s">
        <v>224</v>
      </c>
      <c r="L484" s="38"/>
      <c r="M484" s="38" t="s">
        <v>107</v>
      </c>
      <c r="N484" s="38">
        <v>3000.0</v>
      </c>
      <c r="O484" s="38" t="s">
        <v>1312</v>
      </c>
      <c r="P484" s="40"/>
      <c r="Q484" s="38" t="s">
        <v>289</v>
      </c>
      <c r="R484" s="38">
        <v>40.0</v>
      </c>
      <c r="S484" s="38" t="s">
        <v>5366</v>
      </c>
      <c r="T484" s="38" t="s">
        <v>5367</v>
      </c>
      <c r="U484" s="38" t="s">
        <v>5368</v>
      </c>
      <c r="V484" s="38">
        <v>2013.0</v>
      </c>
      <c r="W484" s="38" t="s">
        <v>5369</v>
      </c>
      <c r="X484" s="38" t="s">
        <v>5370</v>
      </c>
      <c r="Y484" s="38"/>
      <c r="Z484" s="38"/>
      <c r="AA484" s="38"/>
      <c r="AB484" s="38"/>
      <c r="AC484" s="38"/>
      <c r="AD484" s="38"/>
      <c r="AE484" s="38"/>
      <c r="AF484" s="38"/>
      <c r="AG484" s="28"/>
      <c r="AH484" s="28" t="s">
        <v>428</v>
      </c>
      <c r="AI484" s="28" t="s">
        <v>462</v>
      </c>
      <c r="AJ484" s="28"/>
      <c r="AK484" s="28"/>
      <c r="AL484" s="28" t="s">
        <v>561</v>
      </c>
      <c r="AM484" s="28" t="s">
        <v>5374</v>
      </c>
      <c r="AN484" s="28">
        <v>42402.0</v>
      </c>
      <c r="AO484" s="28"/>
      <c r="AP484" s="28"/>
      <c r="AQ484" s="28" t="s">
        <v>561</v>
      </c>
      <c r="AR484" s="28"/>
      <c r="AS484" s="28">
        <v>42452.0</v>
      </c>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row>
    <row r="485" ht="25.5" customHeight="1">
      <c r="A485" s="28">
        <v>95.0</v>
      </c>
      <c r="B485" s="37" t="b">
        <v>1</v>
      </c>
      <c r="C485" s="38" t="s">
        <v>106</v>
      </c>
      <c r="D485" s="38">
        <v>80.0</v>
      </c>
      <c r="E485" s="13" t="b">
        <v>0</v>
      </c>
      <c r="F485" s="13" t="b">
        <v>1</v>
      </c>
      <c r="G485" s="38" t="s">
        <v>224</v>
      </c>
      <c r="H485" s="38"/>
      <c r="I485" s="38" t="s">
        <v>1443</v>
      </c>
      <c r="J485" s="38" t="s">
        <v>757</v>
      </c>
      <c r="K485" s="65" t="s">
        <v>4556</v>
      </c>
      <c r="L485" s="38" t="s">
        <v>5375</v>
      </c>
      <c r="M485" s="38" t="s">
        <v>411</v>
      </c>
      <c r="N485" s="38">
        <v>21000.0</v>
      </c>
      <c r="O485" s="38" t="s">
        <v>1052</v>
      </c>
      <c r="P485" s="40"/>
      <c r="Q485" s="38" t="s">
        <v>289</v>
      </c>
      <c r="R485" s="38">
        <v>40.0</v>
      </c>
      <c r="S485" s="38" t="s">
        <v>4559</v>
      </c>
      <c r="T485" s="38" t="s">
        <v>4560</v>
      </c>
      <c r="U485" s="38" t="s">
        <v>4561</v>
      </c>
      <c r="V485" s="38">
        <v>1981.0</v>
      </c>
      <c r="W485" s="38" t="s">
        <v>4562</v>
      </c>
      <c r="X485" s="38" t="s">
        <v>4564</v>
      </c>
      <c r="Y485" s="38"/>
      <c r="Z485" s="38"/>
      <c r="AA485" s="38"/>
      <c r="AB485" s="38"/>
      <c r="AC485" s="38"/>
      <c r="AD485" s="38"/>
      <c r="AE485" s="38"/>
      <c r="AF485" s="38"/>
      <c r="AG485" s="28"/>
      <c r="AH485" s="28" t="s">
        <v>842</v>
      </c>
      <c r="AI485" s="28" t="s">
        <v>462</v>
      </c>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row>
    <row r="486" ht="25.5" customHeight="1">
      <c r="A486" s="28">
        <v>4.0</v>
      </c>
      <c r="B486" s="37" t="b">
        <v>1</v>
      </c>
      <c r="C486" s="38" t="s">
        <v>106</v>
      </c>
      <c r="D486" s="38">
        <v>80.0</v>
      </c>
      <c r="E486" s="13" t="b">
        <v>0</v>
      </c>
      <c r="F486" s="13" t="b">
        <v>1</v>
      </c>
      <c r="G486" s="38" t="s">
        <v>224</v>
      </c>
      <c r="H486" s="38"/>
      <c r="I486" s="38" t="s">
        <v>574</v>
      </c>
      <c r="J486" s="38">
        <v>4.0</v>
      </c>
      <c r="K486" s="38" t="s">
        <v>3159</v>
      </c>
      <c r="L486" s="38">
        <v>403.0</v>
      </c>
      <c r="M486" s="38" t="s">
        <v>388</v>
      </c>
      <c r="N486" s="38">
        <v>14000.0</v>
      </c>
      <c r="O486" s="38" t="s">
        <v>224</v>
      </c>
      <c r="P486" s="40"/>
      <c r="Q486" s="38" t="s">
        <v>289</v>
      </c>
      <c r="R486" s="38">
        <v>40.0</v>
      </c>
      <c r="S486" s="38" t="s">
        <v>3868</v>
      </c>
      <c r="T486" s="38" t="s">
        <v>3870</v>
      </c>
      <c r="U486" s="38" t="s">
        <v>3871</v>
      </c>
      <c r="V486" s="38">
        <v>2000.0</v>
      </c>
      <c r="W486" s="38" t="s">
        <v>3876</v>
      </c>
      <c r="X486" s="49" t="str">
        <f>HYPERLINK("https://msbfile03.usc.edu/digitalmeasures/macinnis/intellcont/Park_Jun_MacInnis_2000-1.pdf","https://msbfile03.usc.edu/digitalmeasures/macinnis/intellcont/Park_Jun_MacInnis_2000-1.pdf")</f>
        <v>https://msbfile03.usc.edu/digitalmeasures/macinnis/intellcont/Park_Jun_MacInnis_2000-1.pdf</v>
      </c>
      <c r="Y486" s="38"/>
      <c r="Z486" s="38"/>
      <c r="AA486" s="38"/>
      <c r="AB486" s="38"/>
      <c r="AC486" s="38"/>
      <c r="AD486" s="38"/>
      <c r="AE486" s="38"/>
      <c r="AF486" s="38"/>
      <c r="AG486" s="28"/>
      <c r="AH486" s="28" t="s">
        <v>462</v>
      </c>
      <c r="AI486" s="28" t="s">
        <v>462</v>
      </c>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row>
    <row r="487" ht="25.5" customHeight="1">
      <c r="A487" s="28">
        <v>109.0</v>
      </c>
      <c r="B487" s="37" t="b">
        <v>1</v>
      </c>
      <c r="C487" s="38" t="s">
        <v>106</v>
      </c>
      <c r="D487" s="38">
        <v>80.0</v>
      </c>
      <c r="E487" s="13" t="b">
        <v>1</v>
      </c>
      <c r="F487" s="13" t="b">
        <v>0</v>
      </c>
      <c r="G487" s="38" t="s">
        <v>224</v>
      </c>
      <c r="H487" s="38"/>
      <c r="I487" s="38" t="s">
        <v>1322</v>
      </c>
      <c r="J487" s="38">
        <v>4.0</v>
      </c>
      <c r="K487" s="38" t="s">
        <v>4690</v>
      </c>
      <c r="L487" s="38"/>
      <c r="M487" s="38" t="s">
        <v>35</v>
      </c>
      <c r="N487" s="38">
        <v>2000.0</v>
      </c>
      <c r="O487" s="38" t="s">
        <v>644</v>
      </c>
      <c r="P487" s="40"/>
      <c r="Q487" s="38" t="s">
        <v>289</v>
      </c>
      <c r="R487" s="38">
        <v>40.0</v>
      </c>
      <c r="S487" s="38" t="s">
        <v>4691</v>
      </c>
      <c r="T487" s="38" t="s">
        <v>4692</v>
      </c>
      <c r="U487" s="38" t="s">
        <v>4694</v>
      </c>
      <c r="V487" s="38">
        <v>2014.0</v>
      </c>
      <c r="W487" s="38" t="s">
        <v>4698</v>
      </c>
      <c r="X487" s="38" t="s">
        <v>4699</v>
      </c>
      <c r="Y487" s="38"/>
      <c r="Z487" s="38"/>
      <c r="AA487" s="38"/>
      <c r="AB487" s="38"/>
      <c r="AC487" s="38"/>
      <c r="AD487" s="38"/>
      <c r="AE487" s="38"/>
      <c r="AF487" s="38"/>
      <c r="AG487" s="28"/>
      <c r="AH487" s="28" t="s">
        <v>2437</v>
      </c>
      <c r="AI487" s="28" t="s">
        <v>2438</v>
      </c>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row>
    <row r="488" ht="25.5" customHeight="1">
      <c r="A488" s="28">
        <v>456.0</v>
      </c>
      <c r="B488" s="37" t="b">
        <v>1</v>
      </c>
      <c r="C488" s="38" t="s">
        <v>106</v>
      </c>
      <c r="D488" s="38">
        <v>80.0</v>
      </c>
      <c r="E488" s="13" t="b">
        <v>0</v>
      </c>
      <c r="F488" s="13" t="b">
        <v>1</v>
      </c>
      <c r="G488" s="38" t="s">
        <v>224</v>
      </c>
      <c r="H488" s="38"/>
      <c r="I488" s="38" t="s">
        <v>1715</v>
      </c>
      <c r="J488" s="38" t="s">
        <v>1724</v>
      </c>
      <c r="K488" s="38" t="s">
        <v>5394</v>
      </c>
      <c r="L488" s="38" t="s">
        <v>5395</v>
      </c>
      <c r="M488" s="38" t="s">
        <v>35</v>
      </c>
      <c r="N488" s="38">
        <v>2000.0</v>
      </c>
      <c r="O488" s="38" t="s">
        <v>2373</v>
      </c>
      <c r="P488" s="40">
        <v>2001.0</v>
      </c>
      <c r="Q488" s="38" t="s">
        <v>289</v>
      </c>
      <c r="R488" s="38">
        <v>40.0</v>
      </c>
      <c r="S488" s="38" t="s">
        <v>5397</v>
      </c>
      <c r="T488" s="38" t="s">
        <v>5398</v>
      </c>
      <c r="U488" s="38" t="s">
        <v>4694</v>
      </c>
      <c r="V488" s="38">
        <v>2011.0</v>
      </c>
      <c r="W488" s="38" t="s">
        <v>5402</v>
      </c>
      <c r="X488" s="38" t="s">
        <v>5403</v>
      </c>
      <c r="Y488" s="38"/>
      <c r="Z488" s="38"/>
      <c r="AA488" s="38"/>
      <c r="AB488" s="38"/>
      <c r="AC488" s="38"/>
      <c r="AD488" s="38"/>
      <c r="AE488" s="38"/>
      <c r="AF488" s="38"/>
      <c r="AG488" s="28"/>
      <c r="AH488" s="28" t="s">
        <v>428</v>
      </c>
      <c r="AI488" s="28" t="s">
        <v>462</v>
      </c>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row>
    <row r="489" ht="25.5" customHeight="1">
      <c r="A489" s="28">
        <v>497.0</v>
      </c>
      <c r="B489" s="37" t="b">
        <v>1</v>
      </c>
      <c r="C489" s="38" t="s">
        <v>106</v>
      </c>
      <c r="D489" s="38">
        <v>80.0</v>
      </c>
      <c r="E489" s="13" t="b">
        <v>0</v>
      </c>
      <c r="F489" s="13" t="b">
        <v>1</v>
      </c>
      <c r="G489" s="38" t="s">
        <v>224</v>
      </c>
      <c r="H489" s="38"/>
      <c r="I489" s="38" t="s">
        <v>3200</v>
      </c>
      <c r="J489" s="38">
        <v>3.0</v>
      </c>
      <c r="K489" s="38"/>
      <c r="L489" s="38"/>
      <c r="M489" s="38" t="s">
        <v>359</v>
      </c>
      <c r="N489" s="38">
        <v>10000.0</v>
      </c>
      <c r="O489" s="38" t="s">
        <v>1155</v>
      </c>
      <c r="P489" s="40"/>
      <c r="Q489" s="38" t="s">
        <v>117</v>
      </c>
      <c r="R489" s="38">
        <v>40.0</v>
      </c>
      <c r="S489" s="38" t="s">
        <v>5404</v>
      </c>
      <c r="T489" s="38" t="s">
        <v>5405</v>
      </c>
      <c r="U489" s="38" t="s">
        <v>4694</v>
      </c>
      <c r="V489" s="38">
        <v>1965.0</v>
      </c>
      <c r="W489" s="38" t="s">
        <v>5407</v>
      </c>
      <c r="X489" s="38"/>
      <c r="Y489" s="38"/>
      <c r="Z489" s="38"/>
      <c r="AA489" s="38"/>
      <c r="AB489" s="38"/>
      <c r="AC489" s="38"/>
      <c r="AD489" s="38"/>
      <c r="AE489" s="38"/>
      <c r="AF489" s="38"/>
      <c r="AG489" s="28"/>
      <c r="AH489" s="28" t="s">
        <v>1594</v>
      </c>
      <c r="AI489" s="28" t="s">
        <v>462</v>
      </c>
      <c r="AJ489" s="28" t="s">
        <v>3233</v>
      </c>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row>
    <row r="490" ht="25.5" customHeight="1">
      <c r="A490" s="28">
        <v>324.0</v>
      </c>
      <c r="B490" s="37" t="b">
        <v>1</v>
      </c>
      <c r="C490" s="38" t="s">
        <v>106</v>
      </c>
      <c r="D490" s="38">
        <v>80.0</v>
      </c>
      <c r="E490" s="13" t="b">
        <v>0</v>
      </c>
      <c r="F490" s="13" t="b">
        <v>1</v>
      </c>
      <c r="G490" s="38" t="s">
        <v>224</v>
      </c>
      <c r="H490" s="38"/>
      <c r="I490" s="38" t="s">
        <v>490</v>
      </c>
      <c r="J490" s="38">
        <v>6.0</v>
      </c>
      <c r="K490" s="38" t="s">
        <v>776</v>
      </c>
      <c r="L490" s="38">
        <v>602.0</v>
      </c>
      <c r="M490" s="38" t="s">
        <v>388</v>
      </c>
      <c r="N490" s="38">
        <v>14000.0</v>
      </c>
      <c r="O490" s="38" t="s">
        <v>224</v>
      </c>
      <c r="P490" s="40"/>
      <c r="Q490" s="38" t="s">
        <v>289</v>
      </c>
      <c r="R490" s="38">
        <v>40.0</v>
      </c>
      <c r="S490" s="38" t="s">
        <v>5411</v>
      </c>
      <c r="T490" s="38" t="s">
        <v>5412</v>
      </c>
      <c r="U490" s="38" t="s">
        <v>4694</v>
      </c>
      <c r="V490" s="38">
        <v>1975.0</v>
      </c>
      <c r="W490" s="38" t="s">
        <v>5414</v>
      </c>
      <c r="X490" s="38" t="s">
        <v>5415</v>
      </c>
      <c r="Y490" s="38"/>
      <c r="Z490" s="38"/>
      <c r="AA490" s="38"/>
      <c r="AB490" s="38"/>
      <c r="AC490" s="38"/>
      <c r="AD490" s="38"/>
      <c r="AE490" s="38"/>
      <c r="AF490" s="38"/>
      <c r="AG490" s="28" t="s">
        <v>5417</v>
      </c>
      <c r="AH490" s="28" t="s">
        <v>428</v>
      </c>
      <c r="AI490" s="28" t="s">
        <v>462</v>
      </c>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row>
    <row r="491" ht="25.5" customHeight="1">
      <c r="A491" s="28">
        <v>336.0</v>
      </c>
      <c r="B491" s="37" t="b">
        <v>1</v>
      </c>
      <c r="C491" s="38" t="s">
        <v>106</v>
      </c>
      <c r="D491" s="38">
        <v>80.0</v>
      </c>
      <c r="E491" s="13" t="b">
        <v>0</v>
      </c>
      <c r="F491" s="13" t="b">
        <v>1</v>
      </c>
      <c r="G491" s="38" t="s">
        <v>224</v>
      </c>
      <c r="H491" s="38"/>
      <c r="I491" s="38" t="s">
        <v>490</v>
      </c>
      <c r="J491" s="38">
        <v>6.0</v>
      </c>
      <c r="K491" s="47" t="s">
        <v>4952</v>
      </c>
      <c r="L491" s="38">
        <v>604.0</v>
      </c>
      <c r="M491" s="38" t="s">
        <v>388</v>
      </c>
      <c r="N491" s="38">
        <v>14000.0</v>
      </c>
      <c r="O491" s="38" t="s">
        <v>224</v>
      </c>
      <c r="P491" s="40"/>
      <c r="Q491" s="38" t="s">
        <v>289</v>
      </c>
      <c r="R491" s="38">
        <v>40.0</v>
      </c>
      <c r="S491" s="38" t="s">
        <v>5422</v>
      </c>
      <c r="T491" s="38" t="s">
        <v>5424</v>
      </c>
      <c r="U491" s="38" t="s">
        <v>4694</v>
      </c>
      <c r="V491" s="38">
        <v>1966.0</v>
      </c>
      <c r="W491" s="38" t="s">
        <v>5427</v>
      </c>
      <c r="X491" s="38" t="s">
        <v>5428</v>
      </c>
      <c r="Y491" s="38"/>
      <c r="Z491" s="38"/>
      <c r="AA491" s="38"/>
      <c r="AB491" s="38"/>
      <c r="AC491" s="38"/>
      <c r="AD491" s="38"/>
      <c r="AE491" s="38"/>
      <c r="AF491" s="38"/>
      <c r="AG491" s="28" t="s">
        <v>5429</v>
      </c>
      <c r="AH491" s="28" t="s">
        <v>428</v>
      </c>
      <c r="AI491" s="28" t="s">
        <v>462</v>
      </c>
      <c r="AJ491" s="28"/>
      <c r="AK491" s="28" t="s">
        <v>663</v>
      </c>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row>
    <row r="492" ht="25.5" customHeight="1">
      <c r="A492" s="28">
        <v>465.0</v>
      </c>
      <c r="B492" s="37" t="b">
        <v>1</v>
      </c>
      <c r="C492" s="38" t="s">
        <v>106</v>
      </c>
      <c r="D492" s="38">
        <v>80.0</v>
      </c>
      <c r="E492" s="13" t="b">
        <v>0</v>
      </c>
      <c r="F492" s="13" t="b">
        <v>1</v>
      </c>
      <c r="G492" s="38" t="s">
        <v>224</v>
      </c>
      <c r="H492" s="38"/>
      <c r="I492" s="38" t="s">
        <v>772</v>
      </c>
      <c r="J492" s="38">
        <v>5.0</v>
      </c>
      <c r="K492" s="38" t="s">
        <v>3504</v>
      </c>
      <c r="L492" s="38">
        <v>505.0</v>
      </c>
      <c r="M492" s="38" t="s">
        <v>388</v>
      </c>
      <c r="N492" s="38">
        <v>14000.0</v>
      </c>
      <c r="O492" s="38" t="s">
        <v>224</v>
      </c>
      <c r="P492" s="40"/>
      <c r="Q492" s="38" t="s">
        <v>289</v>
      </c>
      <c r="R492" s="38">
        <v>40.0</v>
      </c>
      <c r="S492" s="38" t="s">
        <v>5435</v>
      </c>
      <c r="T492" s="38" t="s">
        <v>5436</v>
      </c>
      <c r="U492" s="38" t="s">
        <v>4694</v>
      </c>
      <c r="V492" s="38">
        <v>1987.0</v>
      </c>
      <c r="W492" s="38" t="s">
        <v>5445</v>
      </c>
      <c r="X492" s="38" t="s">
        <v>5446</v>
      </c>
      <c r="Y492" s="38"/>
      <c r="Z492" s="38"/>
      <c r="AA492" s="38"/>
      <c r="AB492" s="38"/>
      <c r="AC492" s="38"/>
      <c r="AD492" s="38"/>
      <c r="AE492" s="38"/>
      <c r="AF492" s="38"/>
      <c r="AG492" s="28"/>
      <c r="AH492" s="28" t="s">
        <v>428</v>
      </c>
      <c r="AI492" s="28" t="s">
        <v>462</v>
      </c>
      <c r="AJ492" s="28"/>
      <c r="AK492" s="28"/>
      <c r="AL492" s="28"/>
      <c r="AM492" s="28"/>
      <c r="AN492" s="54"/>
      <c r="AO492" s="28"/>
      <c r="AP492" s="28"/>
      <c r="AQ492" s="54"/>
      <c r="AR492" s="54"/>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row>
    <row r="493" ht="25.5" customHeight="1">
      <c r="A493" s="28">
        <v>397.0</v>
      </c>
      <c r="B493" s="37" t="b">
        <v>1</v>
      </c>
      <c r="C493" s="38" t="s">
        <v>106</v>
      </c>
      <c r="D493" s="38">
        <v>80.0</v>
      </c>
      <c r="E493" s="13" t="b">
        <v>0</v>
      </c>
      <c r="F493" s="13" t="b">
        <v>1</v>
      </c>
      <c r="G493" s="38" t="s">
        <v>224</v>
      </c>
      <c r="H493" s="38"/>
      <c r="I493" s="38" t="s">
        <v>712</v>
      </c>
      <c r="J493" s="38">
        <v>7.0</v>
      </c>
      <c r="K493" s="38" t="s">
        <v>2342</v>
      </c>
      <c r="L493" s="38">
        <v>703.0</v>
      </c>
      <c r="M493" s="38" t="s">
        <v>411</v>
      </c>
      <c r="N493" s="38">
        <v>21000.0</v>
      </c>
      <c r="O493" s="38" t="s">
        <v>3451</v>
      </c>
      <c r="P493" s="40"/>
      <c r="Q493" s="38" t="s">
        <v>289</v>
      </c>
      <c r="R493" s="38">
        <v>40.0</v>
      </c>
      <c r="S493" s="38" t="s">
        <v>5448</v>
      </c>
      <c r="T493" s="38" t="s">
        <v>5449</v>
      </c>
      <c r="U493" s="38" t="s">
        <v>4694</v>
      </c>
      <c r="V493" s="38">
        <v>1990.0</v>
      </c>
      <c r="W493" s="38" t="s">
        <v>5453</v>
      </c>
      <c r="X493" s="38" t="s">
        <v>5455</v>
      </c>
      <c r="Y493" s="38"/>
      <c r="Z493" s="38"/>
      <c r="AA493" s="38"/>
      <c r="AB493" s="38"/>
      <c r="AC493" s="38"/>
      <c r="AD493" s="38"/>
      <c r="AE493" s="38"/>
      <c r="AF493" s="38"/>
      <c r="AG493" s="28"/>
      <c r="AH493" s="28" t="s">
        <v>5456</v>
      </c>
      <c r="AI493" s="28" t="s">
        <v>5457</v>
      </c>
      <c r="AJ493" s="28"/>
      <c r="AK493" s="28"/>
      <c r="AL493" s="28" t="s">
        <v>561</v>
      </c>
      <c r="AM493" s="28" t="s">
        <v>5458</v>
      </c>
      <c r="AN493" s="54">
        <v>42500.0</v>
      </c>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row>
    <row r="494" ht="25.5" customHeight="1">
      <c r="A494" s="28">
        <v>340.0</v>
      </c>
      <c r="B494" s="37" t="b">
        <v>1</v>
      </c>
      <c r="C494" s="38" t="s">
        <v>106</v>
      </c>
      <c r="D494" s="38">
        <v>80.0</v>
      </c>
      <c r="E494" s="13" t="b">
        <v>1</v>
      </c>
      <c r="F494" s="13" t="b">
        <v>0</v>
      </c>
      <c r="G494" s="38" t="s">
        <v>224</v>
      </c>
      <c r="H494" s="38"/>
      <c r="I494" s="38" t="s">
        <v>490</v>
      </c>
      <c r="J494" s="38">
        <v>6.0</v>
      </c>
      <c r="K494" s="38" t="s">
        <v>491</v>
      </c>
      <c r="L494" s="38">
        <v>605.0</v>
      </c>
      <c r="M494" s="38" t="s">
        <v>388</v>
      </c>
      <c r="N494" s="38">
        <v>14000.0</v>
      </c>
      <c r="O494" s="38" t="s">
        <v>224</v>
      </c>
      <c r="P494" s="40"/>
      <c r="Q494" s="38" t="s">
        <v>289</v>
      </c>
      <c r="R494" s="38">
        <v>40.0</v>
      </c>
      <c r="S494" s="38" t="s">
        <v>5461</v>
      </c>
      <c r="T494" s="38" t="s">
        <v>5463</v>
      </c>
      <c r="U494" s="38" t="s">
        <v>5465</v>
      </c>
      <c r="V494" s="38">
        <v>1994.0</v>
      </c>
      <c r="W494" s="38" t="s">
        <v>5468</v>
      </c>
      <c r="X494" s="38" t="s">
        <v>5469</v>
      </c>
      <c r="Y494" s="38"/>
      <c r="Z494" s="38"/>
      <c r="AA494" s="38"/>
      <c r="AB494" s="38"/>
      <c r="AC494" s="38"/>
      <c r="AD494" s="38"/>
      <c r="AE494" s="38"/>
      <c r="AF494" s="38"/>
      <c r="AG494" s="28" t="s">
        <v>5471</v>
      </c>
      <c r="AH494" s="28" t="s">
        <v>462</v>
      </c>
      <c r="AI494" s="28" t="s">
        <v>462</v>
      </c>
      <c r="AJ494" s="28"/>
      <c r="AK494" s="28" t="s">
        <v>663</v>
      </c>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row>
    <row r="495" ht="25.5" customHeight="1">
      <c r="A495" s="28">
        <v>171.0</v>
      </c>
      <c r="B495" s="37" t="b">
        <v>1</v>
      </c>
      <c r="C495" s="38" t="s">
        <v>106</v>
      </c>
      <c r="D495" s="38">
        <v>80.0</v>
      </c>
      <c r="E495" s="13" t="b">
        <v>0</v>
      </c>
      <c r="F495" s="13" t="b">
        <v>1</v>
      </c>
      <c r="G495" s="38" t="s">
        <v>224</v>
      </c>
      <c r="H495" s="38"/>
      <c r="I495" s="38" t="s">
        <v>429</v>
      </c>
      <c r="J495" s="38">
        <v>2.0</v>
      </c>
      <c r="K495" s="38" t="s">
        <v>524</v>
      </c>
      <c r="L495" s="38">
        <v>205.0</v>
      </c>
      <c r="M495" s="38" t="s">
        <v>388</v>
      </c>
      <c r="N495" s="38">
        <v>14000.0</v>
      </c>
      <c r="O495" s="38" t="s">
        <v>224</v>
      </c>
      <c r="P495" s="40"/>
      <c r="Q495" s="38" t="s">
        <v>289</v>
      </c>
      <c r="R495" s="38">
        <v>40.0</v>
      </c>
      <c r="S495" s="38" t="s">
        <v>5234</v>
      </c>
      <c r="T495" s="38" t="s">
        <v>5235</v>
      </c>
      <c r="U495" s="38" t="s">
        <v>5236</v>
      </c>
      <c r="V495" s="38">
        <v>2004.0</v>
      </c>
      <c r="W495" s="38" t="s">
        <v>5239</v>
      </c>
      <c r="X495" s="49" t="str">
        <f>HYPERLINK("https://faculty.chicagobooth.edu/Richard.Thaler/research/pdf/SMarTJPE.pdf","https://faculty.chicagobooth.edu/Richard.Thaler/research/pdf/SMarTJPE.pdf")</f>
        <v>https://faculty.chicagobooth.edu/Richard.Thaler/research/pdf/SMarTJPE.pdf</v>
      </c>
      <c r="Y495" s="38"/>
      <c r="Z495" s="38"/>
      <c r="AA495" s="38"/>
      <c r="AB495" s="38"/>
      <c r="AC495" s="38"/>
      <c r="AD495" s="38"/>
      <c r="AE495" s="38"/>
      <c r="AF495" s="38"/>
      <c r="AG495" s="28"/>
      <c r="AH495" s="28" t="s">
        <v>462</v>
      </c>
      <c r="AI495" s="28" t="s">
        <v>462</v>
      </c>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row>
    <row r="496" ht="25.5" customHeight="1">
      <c r="A496" s="28">
        <v>83.0</v>
      </c>
      <c r="B496" s="37" t="b">
        <v>1</v>
      </c>
      <c r="C496" s="38" t="s">
        <v>106</v>
      </c>
      <c r="D496" s="38">
        <v>80.0</v>
      </c>
      <c r="E496" s="13" t="b">
        <v>0</v>
      </c>
      <c r="F496" s="13" t="b">
        <v>1</v>
      </c>
      <c r="G496" s="38" t="s">
        <v>224</v>
      </c>
      <c r="H496" s="38"/>
      <c r="I496" s="38" t="s">
        <v>887</v>
      </c>
      <c r="J496" s="38">
        <v>9.0</v>
      </c>
      <c r="K496" s="38" t="s">
        <v>224</v>
      </c>
      <c r="L496" s="38"/>
      <c r="M496" s="38" t="s">
        <v>388</v>
      </c>
      <c r="N496" s="38">
        <v>14000.0</v>
      </c>
      <c r="O496" s="38" t="s">
        <v>224</v>
      </c>
      <c r="P496" s="40"/>
      <c r="Q496" s="38" t="s">
        <v>117</v>
      </c>
      <c r="R496" s="38">
        <v>40.0</v>
      </c>
      <c r="S496" s="38" t="s">
        <v>4465</v>
      </c>
      <c r="T496" s="38" t="s">
        <v>4466</v>
      </c>
      <c r="U496" s="38" t="s">
        <v>4467</v>
      </c>
      <c r="V496" s="38">
        <v>1992.0</v>
      </c>
      <c r="W496" s="38" t="s">
        <v>4468</v>
      </c>
      <c r="X496" s="38"/>
      <c r="Y496" s="38"/>
      <c r="Z496" s="38"/>
      <c r="AA496" s="38"/>
      <c r="AB496" s="38"/>
      <c r="AC496" s="38"/>
      <c r="AD496" s="38"/>
      <c r="AE496" s="38"/>
      <c r="AF496" s="38"/>
      <c r="AG496" s="28"/>
      <c r="AH496" s="28" t="s">
        <v>462</v>
      </c>
      <c r="AI496" s="28" t="s">
        <v>462</v>
      </c>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row>
    <row r="497" ht="25.5" customHeight="1">
      <c r="A497" s="28">
        <v>390.0</v>
      </c>
      <c r="B497" s="37" t="b">
        <v>1</v>
      </c>
      <c r="C497" s="38" t="s">
        <v>106</v>
      </c>
      <c r="D497" s="38">
        <v>80.0</v>
      </c>
      <c r="E497" s="13" t="b">
        <v>0</v>
      </c>
      <c r="F497" s="13" t="b">
        <v>1</v>
      </c>
      <c r="G497" s="38" t="s">
        <v>224</v>
      </c>
      <c r="H497" s="38"/>
      <c r="I497" s="38" t="s">
        <v>712</v>
      </c>
      <c r="J497" s="38">
        <v>7.0</v>
      </c>
      <c r="K497" s="38" t="s">
        <v>714</v>
      </c>
      <c r="L497" s="38">
        <v>701.0</v>
      </c>
      <c r="M497" s="38" t="s">
        <v>107</v>
      </c>
      <c r="N497" s="38">
        <v>3000.0</v>
      </c>
      <c r="O497" s="38" t="s">
        <v>470</v>
      </c>
      <c r="P497" s="40"/>
      <c r="Q497" s="38" t="s">
        <v>289</v>
      </c>
      <c r="R497" s="38">
        <v>40.0</v>
      </c>
      <c r="S497" s="38" t="s">
        <v>5496</v>
      </c>
      <c r="T497" s="38" t="s">
        <v>5498</v>
      </c>
      <c r="U497" s="38" t="s">
        <v>5499</v>
      </c>
      <c r="V497" s="38">
        <v>2011.0</v>
      </c>
      <c r="W497" s="38" t="s">
        <v>5503</v>
      </c>
      <c r="X497" s="38"/>
      <c r="Y497" s="38"/>
      <c r="Z497" s="38"/>
      <c r="AA497" s="38"/>
      <c r="AB497" s="38"/>
      <c r="AC497" s="38"/>
      <c r="AD497" s="38"/>
      <c r="AE497" s="38"/>
      <c r="AF497" s="3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row>
    <row r="498" ht="25.5" customHeight="1">
      <c r="A498" s="28">
        <v>372.0</v>
      </c>
      <c r="B498" s="37" t="b">
        <v>1</v>
      </c>
      <c r="C498" s="38" t="s">
        <v>106</v>
      </c>
      <c r="D498" s="38">
        <v>80.0</v>
      </c>
      <c r="E498" s="13" t="b">
        <v>0</v>
      </c>
      <c r="F498" s="13" t="b">
        <v>1</v>
      </c>
      <c r="G498" s="38" t="s">
        <v>224</v>
      </c>
      <c r="H498" s="38"/>
      <c r="I498" s="38" t="s">
        <v>280</v>
      </c>
      <c r="J498" s="38">
        <v>10.0</v>
      </c>
      <c r="K498" s="38" t="s">
        <v>5229</v>
      </c>
      <c r="L498" s="38">
        <v>1001.0</v>
      </c>
      <c r="M498" s="38" t="s">
        <v>5285</v>
      </c>
      <c r="N498" s="38" t="s">
        <v>4589</v>
      </c>
      <c r="O498" s="38" t="s">
        <v>5507</v>
      </c>
      <c r="P498" s="40"/>
      <c r="Q498" s="38" t="s">
        <v>289</v>
      </c>
      <c r="R498" s="38">
        <v>40.0</v>
      </c>
      <c r="S498" s="38" t="s">
        <v>5508</v>
      </c>
      <c r="T498" s="38" t="s">
        <v>5509</v>
      </c>
      <c r="U498" s="38" t="s">
        <v>5510</v>
      </c>
      <c r="V498" s="38">
        <v>2006.0</v>
      </c>
      <c r="W498" s="38" t="s">
        <v>5516</v>
      </c>
      <c r="X498" s="49" t="str">
        <f>HYPERLINK("http://media.cbsm.com/uploads/1/HabitReview.pdf","http://media.cbsm.com/uploads/1/HabitReview.pdf")</f>
        <v>http://media.cbsm.com/uploads/1/HabitReview.pdf</v>
      </c>
      <c r="Y498" s="38"/>
      <c r="Z498" s="38"/>
      <c r="AA498" s="38"/>
      <c r="AB498" s="38"/>
      <c r="AC498" s="38"/>
      <c r="AD498" s="38"/>
      <c r="AE498" s="38"/>
      <c r="AF498" s="38"/>
      <c r="AG498" s="28" t="s">
        <v>5522</v>
      </c>
      <c r="AH498" s="28" t="s">
        <v>462</v>
      </c>
      <c r="AI498" s="28" t="s">
        <v>462</v>
      </c>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row>
    <row r="499" ht="25.5" customHeight="1">
      <c r="A499" s="28">
        <v>72.0</v>
      </c>
      <c r="B499" s="37" t="b">
        <v>1</v>
      </c>
      <c r="C499" s="38" t="s">
        <v>106</v>
      </c>
      <c r="D499" s="38">
        <v>80.0</v>
      </c>
      <c r="E499" s="13" t="b">
        <v>0</v>
      </c>
      <c r="F499" s="13" t="b">
        <v>1</v>
      </c>
      <c r="G499" s="38" t="s">
        <v>224</v>
      </c>
      <c r="H499" s="38"/>
      <c r="I499" s="38" t="s">
        <v>887</v>
      </c>
      <c r="J499" s="38">
        <v>9.0</v>
      </c>
      <c r="K499" s="65" t="s">
        <v>4366</v>
      </c>
      <c r="L499" s="38"/>
      <c r="M499" s="38" t="s">
        <v>388</v>
      </c>
      <c r="N499" s="38">
        <v>14000.0</v>
      </c>
      <c r="O499" s="38" t="s">
        <v>224</v>
      </c>
      <c r="P499" s="40"/>
      <c r="Q499" s="38" t="s">
        <v>95</v>
      </c>
      <c r="R499" s="38">
        <v>41.0</v>
      </c>
      <c r="S499" s="38" t="s">
        <v>4368</v>
      </c>
      <c r="T499" s="38" t="s">
        <v>4369</v>
      </c>
      <c r="U499" s="38" t="s">
        <v>4370</v>
      </c>
      <c r="V499" s="38">
        <v>2009.0</v>
      </c>
      <c r="W499" s="38" t="s">
        <v>4371</v>
      </c>
      <c r="X499" s="38"/>
      <c r="Y499" s="38"/>
      <c r="Z499" s="38"/>
      <c r="AA499" s="38"/>
      <c r="AB499" s="38"/>
      <c r="AC499" s="38"/>
      <c r="AD499" s="38"/>
      <c r="AE499" s="38"/>
      <c r="AF499" s="38"/>
      <c r="AG499" s="28"/>
      <c r="AH499" s="28" t="s">
        <v>462</v>
      </c>
      <c r="AI499" s="28" t="s">
        <v>462</v>
      </c>
      <c r="AJ499" s="28" t="s">
        <v>4344</v>
      </c>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row>
    <row r="500" ht="25.5" customHeight="1">
      <c r="A500" s="28">
        <v>181.0</v>
      </c>
      <c r="B500" s="37" t="b">
        <v>1</v>
      </c>
      <c r="C500" s="38" t="s">
        <v>106</v>
      </c>
      <c r="D500" s="38">
        <v>80.0</v>
      </c>
      <c r="E500" s="13" t="b">
        <v>0</v>
      </c>
      <c r="F500" s="13" t="b">
        <v>1</v>
      </c>
      <c r="G500" s="38" t="s">
        <v>224</v>
      </c>
      <c r="H500" s="38"/>
      <c r="I500" s="38" t="s">
        <v>429</v>
      </c>
      <c r="J500" s="47">
        <v>2.0</v>
      </c>
      <c r="K500" s="38" t="s">
        <v>524</v>
      </c>
      <c r="L500" s="38">
        <v>205.0</v>
      </c>
      <c r="M500" s="38" t="s">
        <v>388</v>
      </c>
      <c r="N500" s="38">
        <v>14000.0</v>
      </c>
      <c r="O500" s="38" t="s">
        <v>224</v>
      </c>
      <c r="P500" s="40"/>
      <c r="Q500" s="38" t="s">
        <v>111</v>
      </c>
      <c r="R500" s="47">
        <v>41.0</v>
      </c>
      <c r="S500" s="38" t="s">
        <v>5320</v>
      </c>
      <c r="T500" s="38" t="s">
        <v>5321</v>
      </c>
      <c r="U500" s="38" t="s">
        <v>5322</v>
      </c>
      <c r="V500" s="38">
        <v>2011.0</v>
      </c>
      <c r="W500" s="38" t="s">
        <v>5323</v>
      </c>
      <c r="X500" s="49" t="str">
        <f>HYPERLINK("http://www.sciencedirect.com/science/article/pii/S0969698911000592","http://www.sciencedirect.com/science/article/pii/S0969698911000592")</f>
        <v>http://www.sciencedirect.com/science/article/pii/S0969698911000592</v>
      </c>
      <c r="Y500" s="38"/>
      <c r="Z500" s="38"/>
      <c r="AA500" s="38"/>
      <c r="AB500" s="38"/>
      <c r="AC500" s="38"/>
      <c r="AD500" s="38"/>
      <c r="AE500" s="38"/>
      <c r="AF500" s="38"/>
      <c r="AG500" s="28"/>
      <c r="AH500" s="28" t="s">
        <v>462</v>
      </c>
      <c r="AI500" s="28" t="s">
        <v>462</v>
      </c>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row>
    <row r="501" ht="25.5" customHeight="1">
      <c r="A501" s="28">
        <v>487.0</v>
      </c>
      <c r="B501" s="37" t="b">
        <v>1</v>
      </c>
      <c r="C501" s="38" t="s">
        <v>106</v>
      </c>
      <c r="D501" s="38">
        <v>80.0</v>
      </c>
      <c r="E501" s="13" t="b">
        <v>0</v>
      </c>
      <c r="F501" s="13" t="b">
        <v>1</v>
      </c>
      <c r="G501" s="38" t="s">
        <v>224</v>
      </c>
      <c r="H501" s="38"/>
      <c r="I501" s="38" t="s">
        <v>5156</v>
      </c>
      <c r="J501" s="47" t="s">
        <v>2783</v>
      </c>
      <c r="K501" s="38"/>
      <c r="L501" s="38"/>
      <c r="M501" s="38" t="s">
        <v>35</v>
      </c>
      <c r="N501" s="38">
        <v>2000.0</v>
      </c>
      <c r="O501" s="38" t="s">
        <v>837</v>
      </c>
      <c r="P501" s="40">
        <v>2001.0</v>
      </c>
      <c r="Q501" s="38" t="s">
        <v>289</v>
      </c>
      <c r="R501" s="47">
        <v>40.0</v>
      </c>
      <c r="S501" s="38" t="s">
        <v>5538</v>
      </c>
      <c r="T501" s="38" t="s">
        <v>5539</v>
      </c>
      <c r="U501" s="38" t="s">
        <v>5540</v>
      </c>
      <c r="V501" s="38">
        <v>2011.0</v>
      </c>
      <c r="W501" s="38" t="s">
        <v>5541</v>
      </c>
      <c r="X501" s="38"/>
      <c r="Y501" s="38"/>
      <c r="Z501" s="38"/>
      <c r="AA501" s="38"/>
      <c r="AB501" s="38"/>
      <c r="AC501" s="38"/>
      <c r="AD501" s="38"/>
      <c r="AE501" s="38"/>
      <c r="AF501" s="38"/>
      <c r="AG501" s="28"/>
      <c r="AH501" s="28" t="s">
        <v>462</v>
      </c>
      <c r="AI501" s="28" t="s">
        <v>462</v>
      </c>
      <c r="AJ501" s="28" t="s">
        <v>428</v>
      </c>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row>
    <row r="502" ht="25.5" customHeight="1">
      <c r="A502" s="28">
        <v>466.0</v>
      </c>
      <c r="B502" s="37" t="b">
        <v>1</v>
      </c>
      <c r="C502" s="38" t="s">
        <v>106</v>
      </c>
      <c r="D502" s="38">
        <v>80.0</v>
      </c>
      <c r="E502" s="13" t="b">
        <v>0</v>
      </c>
      <c r="F502" s="13" t="b">
        <v>1</v>
      </c>
      <c r="G502" s="38" t="s">
        <v>224</v>
      </c>
      <c r="H502" s="38"/>
      <c r="I502" s="38" t="s">
        <v>772</v>
      </c>
      <c r="J502" s="47">
        <v>5.0</v>
      </c>
      <c r="K502" s="38" t="s">
        <v>3504</v>
      </c>
      <c r="L502" s="38">
        <v>505.0</v>
      </c>
      <c r="M502" s="38" t="s">
        <v>35</v>
      </c>
      <c r="N502" s="38">
        <v>2000.0</v>
      </c>
      <c r="O502" s="38" t="s">
        <v>578</v>
      </c>
      <c r="P502" s="40"/>
      <c r="Q502" s="38" t="s">
        <v>111</v>
      </c>
      <c r="R502" s="47">
        <v>41.0</v>
      </c>
      <c r="S502" s="38" t="s">
        <v>5542</v>
      </c>
      <c r="T502" s="38" t="s">
        <v>5543</v>
      </c>
      <c r="U502" s="38" t="s">
        <v>5540</v>
      </c>
      <c r="V502" s="38">
        <v>2009.0</v>
      </c>
      <c r="W502" s="38" t="s">
        <v>5544</v>
      </c>
      <c r="X502" s="38"/>
      <c r="Y502" s="38"/>
      <c r="Z502" s="38"/>
      <c r="AA502" s="38"/>
      <c r="AB502" s="38"/>
      <c r="AC502" s="38"/>
      <c r="AD502" s="38"/>
      <c r="AE502" s="38"/>
      <c r="AF502" s="3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row>
    <row r="503" ht="25.5" customHeight="1">
      <c r="A503" s="28">
        <v>429.0</v>
      </c>
      <c r="B503" s="37" t="b">
        <v>1</v>
      </c>
      <c r="C503" s="38" t="s">
        <v>106</v>
      </c>
      <c r="D503" s="38">
        <v>80.0</v>
      </c>
      <c r="E503" s="13" t="b">
        <v>0</v>
      </c>
      <c r="F503" s="13" t="b">
        <v>1</v>
      </c>
      <c r="G503" s="38" t="s">
        <v>224</v>
      </c>
      <c r="H503" s="38"/>
      <c r="I503" s="38" t="s">
        <v>387</v>
      </c>
      <c r="J503" s="47">
        <v>8.0</v>
      </c>
      <c r="K503" s="38" t="s">
        <v>2072</v>
      </c>
      <c r="L503" s="38">
        <v>801.0</v>
      </c>
      <c r="M503" s="38" t="s">
        <v>5546</v>
      </c>
      <c r="N503" s="38" t="s">
        <v>5548</v>
      </c>
      <c r="O503" s="38" t="s">
        <v>5549</v>
      </c>
      <c r="P503" s="40"/>
      <c r="Q503" s="38" t="s">
        <v>111</v>
      </c>
      <c r="R503" s="47">
        <v>41.0</v>
      </c>
      <c r="S503" s="38" t="s">
        <v>5553</v>
      </c>
      <c r="T503" s="38" t="s">
        <v>4082</v>
      </c>
      <c r="U503" s="38" t="s">
        <v>5540</v>
      </c>
      <c r="V503" s="38">
        <v>2008.0</v>
      </c>
      <c r="W503" s="38" t="s">
        <v>5555</v>
      </c>
      <c r="X503" s="49" t="str">
        <f>HYPERLINK("http://www.tandfonline.com/doi/abs/10.1080/13669870701552235","http://www.tandfonline.com/doi/abs/10.1080/13669870701552235")</f>
        <v>http://www.tandfonline.com/doi/abs/10.1080/13669870701552235</v>
      </c>
      <c r="Y503" s="38"/>
      <c r="Z503" s="38"/>
      <c r="AA503" s="38"/>
      <c r="AB503" s="38"/>
      <c r="AC503" s="38"/>
      <c r="AD503" s="38"/>
      <c r="AE503" s="38"/>
      <c r="AF503" s="38"/>
      <c r="AG503" s="28"/>
      <c r="AH503" s="28" t="s">
        <v>842</v>
      </c>
      <c r="AI503" s="28" t="s">
        <v>842</v>
      </c>
      <c r="AJ503" s="28"/>
      <c r="AK503" s="28"/>
      <c r="AL503" s="28" t="s">
        <v>561</v>
      </c>
      <c r="AM503" s="28" t="s">
        <v>5556</v>
      </c>
      <c r="AN503" s="54">
        <v>42429.0</v>
      </c>
      <c r="AO503" s="28"/>
      <c r="AP503" s="54">
        <v>42597.0</v>
      </c>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row>
    <row r="504" ht="25.5" customHeight="1">
      <c r="A504" s="28">
        <v>494.0</v>
      </c>
      <c r="B504" s="37" t="b">
        <v>1</v>
      </c>
      <c r="C504" s="38" t="s">
        <v>106</v>
      </c>
      <c r="D504" s="38">
        <v>80.0</v>
      </c>
      <c r="E504" s="13" t="b">
        <v>0</v>
      </c>
      <c r="F504" s="13" t="b">
        <v>1</v>
      </c>
      <c r="G504" s="38" t="s">
        <v>224</v>
      </c>
      <c r="H504" s="38"/>
      <c r="I504" s="38" t="s">
        <v>5557</v>
      </c>
      <c r="J504" s="47" t="s">
        <v>5558</v>
      </c>
      <c r="K504" s="38"/>
      <c r="L504" s="38"/>
      <c r="M504" s="38" t="s">
        <v>35</v>
      </c>
      <c r="N504" s="38">
        <v>2000.0</v>
      </c>
      <c r="O504" s="38" t="s">
        <v>1114</v>
      </c>
      <c r="P504" s="40"/>
      <c r="Q504" s="38" t="s">
        <v>289</v>
      </c>
      <c r="R504" s="47">
        <v>40.0</v>
      </c>
      <c r="S504" s="38" t="s">
        <v>5559</v>
      </c>
      <c r="T504" s="38" t="s">
        <v>5560</v>
      </c>
      <c r="U504" s="38" t="s">
        <v>5561</v>
      </c>
      <c r="V504" s="38">
        <v>2000.0</v>
      </c>
      <c r="W504" s="38" t="s">
        <v>5562</v>
      </c>
      <c r="X504" s="38"/>
      <c r="Y504" s="38"/>
      <c r="Z504" s="38"/>
      <c r="AA504" s="38"/>
      <c r="AB504" s="38"/>
      <c r="AC504" s="38"/>
      <c r="AD504" s="38"/>
      <c r="AE504" s="38"/>
      <c r="AF504" s="38"/>
      <c r="AG504" s="28"/>
      <c r="AH504" s="28" t="s">
        <v>462</v>
      </c>
      <c r="AI504" s="28" t="s">
        <v>462</v>
      </c>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row>
    <row r="505" ht="25.5" customHeight="1">
      <c r="A505" s="28">
        <v>211.0</v>
      </c>
      <c r="B505" s="37" t="b">
        <v>1</v>
      </c>
      <c r="C505" s="38" t="s">
        <v>106</v>
      </c>
      <c r="D505" s="38">
        <v>80.0</v>
      </c>
      <c r="E505" s="13" t="b">
        <v>0</v>
      </c>
      <c r="F505" s="13" t="b">
        <v>1</v>
      </c>
      <c r="G505" s="38" t="s">
        <v>224</v>
      </c>
      <c r="H505" s="38"/>
      <c r="I505" s="38" t="s">
        <v>323</v>
      </c>
      <c r="J505" s="47">
        <v>11.0</v>
      </c>
      <c r="K505" s="47" t="s">
        <v>3193</v>
      </c>
      <c r="L505" s="38"/>
      <c r="M505" s="38" t="s">
        <v>107</v>
      </c>
      <c r="N505" s="38">
        <v>3000.0</v>
      </c>
      <c r="O505" s="38" t="s">
        <v>3107</v>
      </c>
      <c r="P505" s="141"/>
      <c r="Q505" s="38" t="s">
        <v>324</v>
      </c>
      <c r="R505" s="47" t="s">
        <v>325</v>
      </c>
      <c r="S505" s="38" t="s">
        <v>5563</v>
      </c>
      <c r="T505" s="38" t="s">
        <v>5564</v>
      </c>
      <c r="U505" s="38" t="s">
        <v>5561</v>
      </c>
      <c r="V505" s="38">
        <v>2000.0</v>
      </c>
      <c r="W505" s="38" t="s">
        <v>5565</v>
      </c>
      <c r="X505" s="38"/>
      <c r="Y505" s="38"/>
      <c r="Z505" s="38"/>
      <c r="AA505" s="38"/>
      <c r="AB505" s="38"/>
      <c r="AC505" s="38"/>
      <c r="AD505" s="38"/>
      <c r="AE505" s="38"/>
      <c r="AF505" s="3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row>
    <row r="506" ht="25.5" customHeight="1">
      <c r="A506" s="28">
        <v>213.0</v>
      </c>
      <c r="B506" s="37" t="b">
        <v>1</v>
      </c>
      <c r="C506" s="38" t="s">
        <v>106</v>
      </c>
      <c r="D506" s="38">
        <v>80.0</v>
      </c>
      <c r="E506" s="13" t="b">
        <v>0</v>
      </c>
      <c r="F506" s="13" t="b">
        <v>1</v>
      </c>
      <c r="G506" s="38" t="s">
        <v>224</v>
      </c>
      <c r="H506" s="38"/>
      <c r="I506" s="38" t="s">
        <v>421</v>
      </c>
      <c r="J506" s="47">
        <v>11.0</v>
      </c>
      <c r="K506" s="38" t="s">
        <v>3193</v>
      </c>
      <c r="L506" s="38"/>
      <c r="M506" s="38" t="s">
        <v>107</v>
      </c>
      <c r="N506" s="38">
        <v>3000.0</v>
      </c>
      <c r="O506" s="38" t="s">
        <v>470</v>
      </c>
      <c r="P506" s="40"/>
      <c r="Q506" s="38" t="s">
        <v>289</v>
      </c>
      <c r="R506" s="47">
        <v>40.0</v>
      </c>
      <c r="S506" s="38" t="s">
        <v>5573</v>
      </c>
      <c r="T506" s="38" t="s">
        <v>5574</v>
      </c>
      <c r="U506" s="38" t="s">
        <v>5561</v>
      </c>
      <c r="V506" s="38">
        <v>2005.0</v>
      </c>
      <c r="W506" s="38" t="s">
        <v>5576</v>
      </c>
      <c r="X506" s="38"/>
      <c r="Y506" s="38"/>
      <c r="Z506" s="38"/>
      <c r="AA506" s="38"/>
      <c r="AB506" s="38"/>
      <c r="AC506" s="38"/>
      <c r="AD506" s="38"/>
      <c r="AE506" s="38"/>
      <c r="AF506" s="3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row>
    <row r="507" ht="25.5" customHeight="1">
      <c r="A507" s="28">
        <v>508.0</v>
      </c>
      <c r="B507" s="37" t="b">
        <v>1</v>
      </c>
      <c r="C507" s="38" t="s">
        <v>106</v>
      </c>
      <c r="D507" s="38">
        <v>80.0</v>
      </c>
      <c r="E507" s="13" t="b">
        <v>0</v>
      </c>
      <c r="F507" s="13" t="b">
        <v>1</v>
      </c>
      <c r="G507" s="38" t="s">
        <v>224</v>
      </c>
      <c r="H507" s="38"/>
      <c r="I507" s="38" t="s">
        <v>387</v>
      </c>
      <c r="J507" s="47">
        <v>8.0</v>
      </c>
      <c r="K507" s="38" t="s">
        <v>3297</v>
      </c>
      <c r="L507" s="38">
        <v>805.0</v>
      </c>
      <c r="M507" s="38" t="s">
        <v>323</v>
      </c>
      <c r="N507" s="38">
        <v>24000.0</v>
      </c>
      <c r="O507" s="38" t="s">
        <v>421</v>
      </c>
      <c r="P507" s="40"/>
      <c r="Q507" s="38" t="s">
        <v>289</v>
      </c>
      <c r="R507" s="47">
        <v>40.0</v>
      </c>
      <c r="S507" s="38" t="s">
        <v>4459</v>
      </c>
      <c r="T507" s="38" t="s">
        <v>5577</v>
      </c>
      <c r="U507" s="38" t="s">
        <v>5578</v>
      </c>
      <c r="V507" s="38">
        <v>2000.0</v>
      </c>
      <c r="W507" s="38" t="s">
        <v>5579</v>
      </c>
      <c r="X507" s="38"/>
      <c r="Y507" s="38"/>
      <c r="Z507" s="38"/>
      <c r="AA507" s="38"/>
      <c r="AB507" s="38"/>
      <c r="AC507" s="38"/>
      <c r="AD507" s="38"/>
      <c r="AE507" s="38"/>
      <c r="AF507" s="38"/>
      <c r="AG507" s="28"/>
      <c r="AH507" s="28" t="s">
        <v>39</v>
      </c>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row>
    <row r="508" ht="25.5" customHeight="1">
      <c r="A508" s="28">
        <v>82.0</v>
      </c>
      <c r="B508" s="37" t="b">
        <v>1</v>
      </c>
      <c r="C508" s="38" t="s">
        <v>106</v>
      </c>
      <c r="D508" s="38">
        <v>80.0</v>
      </c>
      <c r="E508" s="13" t="b">
        <v>0</v>
      </c>
      <c r="F508" s="13" t="b">
        <v>1</v>
      </c>
      <c r="G508" s="38" t="s">
        <v>224</v>
      </c>
      <c r="H508" s="38"/>
      <c r="I508" s="38" t="s">
        <v>887</v>
      </c>
      <c r="J508" s="47">
        <v>9.0</v>
      </c>
      <c r="K508" s="38" t="s">
        <v>224</v>
      </c>
      <c r="L508" s="38"/>
      <c r="M508" s="38" t="s">
        <v>3494</v>
      </c>
      <c r="N508" s="38">
        <v>22000.0</v>
      </c>
      <c r="O508" s="38" t="s">
        <v>3495</v>
      </c>
      <c r="P508" s="40"/>
      <c r="Q508" s="38" t="s">
        <v>289</v>
      </c>
      <c r="R508" s="47">
        <v>40.0</v>
      </c>
      <c r="S508" s="38" t="s">
        <v>4459</v>
      </c>
      <c r="T508" s="38" t="s">
        <v>4460</v>
      </c>
      <c r="U508" s="38" t="s">
        <v>4461</v>
      </c>
      <c r="V508" s="38">
        <v>2000.0</v>
      </c>
      <c r="W508" s="38" t="s">
        <v>4462</v>
      </c>
      <c r="X508" s="38"/>
      <c r="Y508" s="38"/>
      <c r="Z508" s="38"/>
      <c r="AA508" s="38"/>
      <c r="AB508" s="38"/>
      <c r="AC508" s="38"/>
      <c r="AD508" s="38"/>
      <c r="AE508" s="38"/>
      <c r="AF508" s="38"/>
      <c r="AG508" s="28"/>
      <c r="AH508" s="28" t="s">
        <v>462</v>
      </c>
      <c r="AI508" s="28" t="s">
        <v>462</v>
      </c>
      <c r="AJ508" s="28" t="s">
        <v>4444</v>
      </c>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row>
    <row r="509" ht="25.5" customHeight="1">
      <c r="A509" s="28">
        <v>111.0</v>
      </c>
      <c r="B509" s="37" t="b">
        <v>1</v>
      </c>
      <c r="C509" s="38" t="s">
        <v>106</v>
      </c>
      <c r="D509" s="38">
        <v>80.0</v>
      </c>
      <c r="E509" s="13" t="b">
        <v>1</v>
      </c>
      <c r="F509" s="13" t="b">
        <v>0</v>
      </c>
      <c r="G509" s="38" t="s">
        <v>284</v>
      </c>
      <c r="H509" s="38">
        <v>53.0</v>
      </c>
      <c r="I509" s="38" t="s">
        <v>224</v>
      </c>
      <c r="J509" s="47"/>
      <c r="K509" s="38" t="s">
        <v>224</v>
      </c>
      <c r="L509" s="38"/>
      <c r="M509" s="38" t="s">
        <v>35</v>
      </c>
      <c r="N509" s="38">
        <v>2000.0</v>
      </c>
      <c r="O509" s="38" t="s">
        <v>4716</v>
      </c>
      <c r="P509" s="40"/>
      <c r="Q509" s="38" t="s">
        <v>289</v>
      </c>
      <c r="R509" s="47">
        <v>40.0</v>
      </c>
      <c r="S509" s="38" t="s">
        <v>4721</v>
      </c>
      <c r="T509" s="38" t="s">
        <v>4723</v>
      </c>
      <c r="U509" s="38" t="s">
        <v>4724</v>
      </c>
      <c r="V509" s="38">
        <v>2007.0</v>
      </c>
      <c r="W509" s="38" t="s">
        <v>4727</v>
      </c>
      <c r="X509" s="49" t="str">
        <f>HYPERLINK("https://www.google.com/url?sa=t&amp;rct=j&amp;q=&amp;esrc=s&amp;source=web&amp;cd=4&amp;ved=0ahUKEwiU9deG1-zOAhUFymMKHZRKAH8QFggzMAM&amp;url=http%3A%2F%2Fhesg.org.uk%2Fwp-content%2Fplugins%2Fpapers-listing%2Fpublic%2Fdownload.php%3Fid%3D462%26fn%3DBakerNewcastle2005.pdf%26fl%3D00%2F00&amp;usg=AFQjCNFM4xZ6zgALFv7nq7It4as7ObNvTA&amp;sig2=_TnhQ4EeQQ57CTmOG-Fg0w","https://www.google.com/url?sa=t&amp;rct=j&amp;q=&amp;esrc=s&amp;source=web&amp;cd=4&amp;ved=0ahUKEwiU9deG1-zOAhUFymMKHZRKAH8QFggzMAM&amp;url=http%3A%2F%2Fhesg.org.uk%2Fwp-content%2Fplugins%2Fpapers-listing%2Fpublic%2Fdownload.php%3Fid%3D462%26fn%3DBakerNewcastle2005.pdf%26fl%3D00%2F00&amp;usg=AFQjCNFM4xZ6zgALFv7nq7It4as7ObNvTA&amp;sig2=_TnhQ4EeQQ57CTmOG-Fg0w")</f>
        <v>https://www.google.com/url?sa=t&amp;rct=j&amp;q=&amp;esrc=s&amp;source=web&amp;cd=4&amp;ved=0ahUKEwiU9deG1-zOAhUFymMKHZRKAH8QFggzMAM&amp;url=http%3A%2F%2Fhesg.org.uk%2Fwp-content%2Fplugins%2Fpapers-listing%2Fpublic%2Fdownload.php%3Fid%3D462%26fn%3DBakerNewcastle2005.pdf%26fl%3D00%2F00&amp;usg=AFQjCNFM4xZ6zgALFv7nq7It4as7ObNvTA&amp;sig2=_TnhQ4EeQQ57CTmOG-Fg0w</v>
      </c>
      <c r="Y509" s="38"/>
      <c r="Z509" s="38"/>
      <c r="AA509" s="38"/>
      <c r="AB509" s="38"/>
      <c r="AC509" s="38"/>
      <c r="AD509" s="38"/>
      <c r="AE509" s="38"/>
      <c r="AF509" s="3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row>
    <row r="510" ht="25.5" customHeight="1">
      <c r="A510" s="28">
        <v>145.0</v>
      </c>
      <c r="B510" s="37" t="b">
        <v>1</v>
      </c>
      <c r="C510" s="38" t="s">
        <v>106</v>
      </c>
      <c r="D510" s="38">
        <v>80.0</v>
      </c>
      <c r="E510" s="13" t="b">
        <v>1</v>
      </c>
      <c r="F510" s="13" t="b">
        <v>0</v>
      </c>
      <c r="G510" s="38" t="s">
        <v>284</v>
      </c>
      <c r="H510" s="38">
        <v>53.0</v>
      </c>
      <c r="I510" s="38" t="s">
        <v>224</v>
      </c>
      <c r="J510" s="47"/>
      <c r="K510" s="38" t="s">
        <v>224</v>
      </c>
      <c r="L510" s="38"/>
      <c r="M510" s="38" t="s">
        <v>549</v>
      </c>
      <c r="N510" s="38">
        <v>6000.0</v>
      </c>
      <c r="O510" s="38" t="s">
        <v>552</v>
      </c>
      <c r="P510" s="40"/>
      <c r="Q510" s="38" t="s">
        <v>289</v>
      </c>
      <c r="R510" s="47">
        <v>40.0</v>
      </c>
      <c r="S510" s="38" t="s">
        <v>5071</v>
      </c>
      <c r="T510" s="38" t="s">
        <v>5073</v>
      </c>
      <c r="U510" s="38" t="s">
        <v>5075</v>
      </c>
      <c r="V510" s="38">
        <v>2012.0</v>
      </c>
      <c r="W510" s="38" t="s">
        <v>5076</v>
      </c>
      <c r="X510" s="49" t="str">
        <f>HYPERLINK("http://onlinelibrary.wiley.com/doi/10.1111/j.1752-1688.2002.tb04367.x/abstract","http://onlinelibrary.wiley.com/doi/10.1111/j.1752-1688.2002.tb04367.x/abstract")</f>
        <v>http://onlinelibrary.wiley.com/doi/10.1111/j.1752-1688.2002.tb04367.x/abstract</v>
      </c>
      <c r="Y510" s="38"/>
      <c r="Z510" s="38"/>
      <c r="AA510" s="38"/>
      <c r="AB510" s="38"/>
      <c r="AC510" s="38"/>
      <c r="AD510" s="38"/>
      <c r="AE510" s="38"/>
      <c r="AF510" s="3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row>
    <row r="511" ht="25.5" customHeight="1">
      <c r="A511" s="28">
        <v>7.0</v>
      </c>
      <c r="B511" s="37" t="b">
        <v>1</v>
      </c>
      <c r="C511" s="38" t="s">
        <v>106</v>
      </c>
      <c r="D511" s="38">
        <v>80.0</v>
      </c>
      <c r="E511" s="13" t="b">
        <v>0</v>
      </c>
      <c r="F511" s="13" t="b">
        <v>1</v>
      </c>
      <c r="G511" s="38" t="s">
        <v>224</v>
      </c>
      <c r="H511" s="38"/>
      <c r="I511" s="38" t="s">
        <v>574</v>
      </c>
      <c r="J511" s="47">
        <v>4.0</v>
      </c>
      <c r="K511" s="38" t="s">
        <v>3159</v>
      </c>
      <c r="L511" s="38">
        <v>403.0</v>
      </c>
      <c r="M511" s="38" t="s">
        <v>408</v>
      </c>
      <c r="N511" s="38">
        <v>20000.0</v>
      </c>
      <c r="O511" s="38" t="s">
        <v>169</v>
      </c>
      <c r="P511" s="40"/>
      <c r="Q511" s="38" t="s">
        <v>111</v>
      </c>
      <c r="R511" s="47">
        <v>41.0</v>
      </c>
      <c r="S511" s="38" t="s">
        <v>3897</v>
      </c>
      <c r="T511" s="38" t="s">
        <v>3898</v>
      </c>
      <c r="U511" s="38" t="s">
        <v>3899</v>
      </c>
      <c r="V511" s="38">
        <v>2012.0</v>
      </c>
      <c r="W511" s="38" t="s">
        <v>3901</v>
      </c>
      <c r="X511" s="38"/>
      <c r="Y511" s="38"/>
      <c r="Z511" s="38"/>
      <c r="AA511" s="38"/>
      <c r="AB511" s="38"/>
      <c r="AC511" s="38"/>
      <c r="AD511" s="38"/>
      <c r="AE511" s="38"/>
      <c r="AF511" s="38"/>
      <c r="AG511" s="28"/>
      <c r="AH511" s="28"/>
      <c r="AI511" s="28"/>
      <c r="AJ511" s="28" t="s">
        <v>3403</v>
      </c>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row>
    <row r="512" ht="25.5" customHeight="1">
      <c r="A512" s="28">
        <v>293.0</v>
      </c>
      <c r="B512" s="37" t="b">
        <v>1</v>
      </c>
      <c r="C512" s="38" t="s">
        <v>106</v>
      </c>
      <c r="D512" s="38">
        <v>80.0</v>
      </c>
      <c r="E512" s="13" t="b">
        <v>0</v>
      </c>
      <c r="F512" s="13" t="b">
        <v>1</v>
      </c>
      <c r="G512" s="38" t="s">
        <v>224</v>
      </c>
      <c r="H512" s="38"/>
      <c r="I512" s="38" t="s">
        <v>510</v>
      </c>
      <c r="J512" s="47" t="s">
        <v>511</v>
      </c>
      <c r="K512" s="38" t="s">
        <v>5590</v>
      </c>
      <c r="L512" s="38" t="s">
        <v>5591</v>
      </c>
      <c r="M512" s="38" t="s">
        <v>239</v>
      </c>
      <c r="N512" s="38">
        <v>4000.0</v>
      </c>
      <c r="O512" s="38" t="s">
        <v>605</v>
      </c>
      <c r="P512" s="40"/>
      <c r="Q512" s="38" t="s">
        <v>289</v>
      </c>
      <c r="R512" s="47">
        <v>40.0</v>
      </c>
      <c r="S512" s="38" t="s">
        <v>5592</v>
      </c>
      <c r="T512" s="38" t="s">
        <v>5593</v>
      </c>
      <c r="U512" s="38" t="s">
        <v>5594</v>
      </c>
      <c r="V512" s="38">
        <v>2010.0</v>
      </c>
      <c r="W512" s="38" t="s">
        <v>5595</v>
      </c>
      <c r="X512" s="38" t="s">
        <v>5596</v>
      </c>
      <c r="Y512" s="38"/>
      <c r="Z512" s="38"/>
      <c r="AA512" s="38"/>
      <c r="AB512" s="38"/>
      <c r="AC512" s="38"/>
      <c r="AD512" s="38"/>
      <c r="AE512" s="38"/>
      <c r="AF512" s="38"/>
      <c r="AG512" s="28"/>
      <c r="AH512" s="28" t="s">
        <v>613</v>
      </c>
      <c r="AI512" s="28" t="s">
        <v>613</v>
      </c>
      <c r="AJ512" s="28"/>
      <c r="AK512" s="28"/>
      <c r="AL512" s="28"/>
      <c r="AM512" s="28"/>
      <c r="AN512" s="28"/>
      <c r="AO512" s="28"/>
      <c r="AP512" s="28"/>
      <c r="AQ512" s="28"/>
      <c r="AR512" s="28"/>
      <c r="AS512" s="28"/>
      <c r="AT512" s="28"/>
      <c r="AU512" s="28"/>
      <c r="AV512" s="28"/>
      <c r="AW512" s="28"/>
      <c r="AX512" s="28"/>
      <c r="AY512" s="28"/>
      <c r="AZ512" s="28"/>
      <c r="BA512" s="28" t="s">
        <v>1023</v>
      </c>
      <c r="BB512" s="28"/>
      <c r="BC512" s="28"/>
      <c r="BD512" s="28"/>
      <c r="BE512" s="28"/>
      <c r="BF512" s="28"/>
      <c r="BG512" s="28"/>
      <c r="BH512" s="28"/>
      <c r="BI512" s="28"/>
      <c r="BJ512" s="28"/>
      <c r="BK512" s="28"/>
      <c r="BL512" s="28"/>
      <c r="BM512" s="28"/>
      <c r="BN512" s="28"/>
      <c r="BO512" s="28"/>
    </row>
    <row r="513" ht="25.5" customHeight="1">
      <c r="A513" s="28">
        <v>481.0</v>
      </c>
      <c r="B513" s="37" t="b">
        <v>1</v>
      </c>
      <c r="C513" s="38" t="s">
        <v>106</v>
      </c>
      <c r="D513" s="38">
        <v>80.0</v>
      </c>
      <c r="E513" s="13" t="b">
        <v>0</v>
      </c>
      <c r="F513" s="13" t="b">
        <v>1</v>
      </c>
      <c r="G513" s="38" t="s">
        <v>224</v>
      </c>
      <c r="H513" s="38"/>
      <c r="I513" s="38" t="s">
        <v>772</v>
      </c>
      <c r="J513" s="47">
        <v>5.0</v>
      </c>
      <c r="K513" s="38" t="s">
        <v>2927</v>
      </c>
      <c r="L513" s="38">
        <v>506.0</v>
      </c>
      <c r="M513" s="38" t="s">
        <v>35</v>
      </c>
      <c r="N513" s="38">
        <v>2000.0</v>
      </c>
      <c r="O513" s="38" t="s">
        <v>578</v>
      </c>
      <c r="P513" s="40"/>
      <c r="Q513" s="38" t="s">
        <v>289</v>
      </c>
      <c r="R513" s="47">
        <v>40.0</v>
      </c>
      <c r="S513" s="38" t="s">
        <v>5597</v>
      </c>
      <c r="T513" s="62" t="s">
        <v>5598</v>
      </c>
      <c r="U513" s="38" t="s">
        <v>5599</v>
      </c>
      <c r="V513" s="38">
        <v>2013.0</v>
      </c>
      <c r="W513" s="38" t="s">
        <v>5600</v>
      </c>
      <c r="X513" s="38" t="s">
        <v>5601</v>
      </c>
      <c r="Y513" s="38"/>
      <c r="Z513" s="38"/>
      <c r="AA513" s="38"/>
      <c r="AB513" s="38"/>
      <c r="AC513" s="38"/>
      <c r="AD513" s="38"/>
      <c r="AE513" s="38"/>
      <c r="AF513" s="38"/>
      <c r="AG513" s="28"/>
      <c r="AH513" s="28" t="s">
        <v>462</v>
      </c>
      <c r="AI513" s="28" t="s">
        <v>926</v>
      </c>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row>
    <row r="514" ht="25.5" customHeight="1">
      <c r="A514" s="28">
        <v>45.0</v>
      </c>
      <c r="B514" s="37" t="b">
        <v>1</v>
      </c>
      <c r="C514" s="38" t="s">
        <v>106</v>
      </c>
      <c r="D514" s="38">
        <v>80.0</v>
      </c>
      <c r="E514" s="13" t="b">
        <v>0</v>
      </c>
      <c r="F514" s="13" t="b">
        <v>1</v>
      </c>
      <c r="G514" s="38" t="s">
        <v>224</v>
      </c>
      <c r="H514" s="38"/>
      <c r="I514" s="38" t="s">
        <v>4158</v>
      </c>
      <c r="J514" s="47" t="s">
        <v>4159</v>
      </c>
      <c r="K514" s="38" t="s">
        <v>4160</v>
      </c>
      <c r="L514" s="38" t="s">
        <v>5602</v>
      </c>
      <c r="M514" s="38" t="s">
        <v>408</v>
      </c>
      <c r="N514" s="38">
        <v>20000.0</v>
      </c>
      <c r="O514" s="38" t="s">
        <v>169</v>
      </c>
      <c r="P514" s="40"/>
      <c r="Q514" s="38" t="s">
        <v>111</v>
      </c>
      <c r="R514" s="47">
        <v>41.0</v>
      </c>
      <c r="S514" s="38" t="s">
        <v>4165</v>
      </c>
      <c r="T514" s="38" t="s">
        <v>4167</v>
      </c>
      <c r="U514" s="38" t="s">
        <v>4168</v>
      </c>
      <c r="V514" s="38">
        <v>2012.0</v>
      </c>
      <c r="W514" s="38" t="s">
        <v>4169</v>
      </c>
      <c r="X514" s="38"/>
      <c r="Y514" s="38"/>
      <c r="Z514" s="38"/>
      <c r="AA514" s="38"/>
      <c r="AB514" s="38"/>
      <c r="AC514" s="38"/>
      <c r="AD514" s="38"/>
      <c r="AE514" s="38"/>
      <c r="AF514" s="3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row>
    <row r="515" ht="25.5" customHeight="1">
      <c r="A515" s="28">
        <v>349.0</v>
      </c>
      <c r="B515" s="37" t="b">
        <v>1</v>
      </c>
      <c r="C515" s="38" t="s">
        <v>106</v>
      </c>
      <c r="D515" s="38">
        <v>80.0</v>
      </c>
      <c r="E515" s="13" t="b">
        <v>1</v>
      </c>
      <c r="F515" s="13" t="b">
        <v>0</v>
      </c>
      <c r="G515" s="38" t="s">
        <v>224</v>
      </c>
      <c r="H515" s="38"/>
      <c r="I515" s="38" t="s">
        <v>490</v>
      </c>
      <c r="J515" s="47">
        <v>6.0</v>
      </c>
      <c r="K515" s="38" t="s">
        <v>5607</v>
      </c>
      <c r="L515" s="38">
        <v>605.0</v>
      </c>
      <c r="M515" s="38" t="s">
        <v>107</v>
      </c>
      <c r="N515" s="38">
        <v>3000.0</v>
      </c>
      <c r="O515" s="38" t="s">
        <v>1312</v>
      </c>
      <c r="P515" s="40"/>
      <c r="Q515" s="38" t="s">
        <v>3326</v>
      </c>
      <c r="R515" s="47">
        <v>45.0</v>
      </c>
      <c r="S515" s="38" t="s">
        <v>5608</v>
      </c>
      <c r="T515" s="38" t="s">
        <v>5609</v>
      </c>
      <c r="U515" s="38" t="s">
        <v>5425</v>
      </c>
      <c r="V515" s="38">
        <v>2014.0</v>
      </c>
      <c r="W515" s="38" t="s">
        <v>5610</v>
      </c>
      <c r="X515" s="38"/>
      <c r="Y515" s="38"/>
      <c r="Z515" s="38"/>
      <c r="AA515" s="38"/>
      <c r="AB515" s="38"/>
      <c r="AC515" s="38"/>
      <c r="AD515" s="38"/>
      <c r="AE515" s="38"/>
      <c r="AF515" s="38"/>
      <c r="AG515" s="28"/>
      <c r="AH515" s="28"/>
      <c r="AI515" s="28"/>
      <c r="AJ515" s="28" t="s">
        <v>3233</v>
      </c>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row>
    <row r="516" ht="25.5" customHeight="1">
      <c r="A516" s="28">
        <v>194.0</v>
      </c>
      <c r="B516" s="37" t="b">
        <v>1</v>
      </c>
      <c r="C516" s="38" t="s">
        <v>106</v>
      </c>
      <c r="D516" s="38">
        <v>80.0</v>
      </c>
      <c r="E516" s="13" t="b">
        <v>0</v>
      </c>
      <c r="F516" s="13" t="b">
        <v>1</v>
      </c>
      <c r="G516" s="38" t="s">
        <v>224</v>
      </c>
      <c r="H516" s="38"/>
      <c r="I516" s="38" t="s">
        <v>429</v>
      </c>
      <c r="J516" s="47">
        <v>2.0</v>
      </c>
      <c r="K516" s="38" t="s">
        <v>524</v>
      </c>
      <c r="L516" s="62">
        <v>205.0</v>
      </c>
      <c r="M516" s="38" t="s">
        <v>3494</v>
      </c>
      <c r="N516" s="38">
        <v>22000.0</v>
      </c>
      <c r="O516" s="38" t="s">
        <v>4047</v>
      </c>
      <c r="P516" s="40"/>
      <c r="Q516" s="38" t="s">
        <v>5418</v>
      </c>
      <c r="R516" s="47" t="s">
        <v>5419</v>
      </c>
      <c r="S516" s="38" t="s">
        <v>5420</v>
      </c>
      <c r="T516" s="38" t="s">
        <v>5423</v>
      </c>
      <c r="U516" s="38" t="s">
        <v>5425</v>
      </c>
      <c r="V516" s="38">
        <v>2012.0</v>
      </c>
      <c r="W516" s="38" t="s">
        <v>5430</v>
      </c>
      <c r="X516" s="38" t="s">
        <v>4011</v>
      </c>
      <c r="Y516" s="38"/>
      <c r="Z516" s="38"/>
      <c r="AA516" s="38"/>
      <c r="AB516" s="38"/>
      <c r="AC516" s="38"/>
      <c r="AD516" s="38"/>
      <c r="AE516" s="38"/>
      <c r="AF516" s="3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row>
    <row r="517" ht="25.5" customHeight="1">
      <c r="A517" s="28">
        <v>354.0</v>
      </c>
      <c r="B517" s="37" t="b">
        <v>1</v>
      </c>
      <c r="C517" s="38" t="s">
        <v>106</v>
      </c>
      <c r="D517" s="38">
        <v>80.0</v>
      </c>
      <c r="E517" s="13" t="b">
        <v>1</v>
      </c>
      <c r="F517" s="13" t="b">
        <v>1</v>
      </c>
      <c r="G517" s="38" t="s">
        <v>224</v>
      </c>
      <c r="H517" s="38"/>
      <c r="I517" s="38" t="s">
        <v>490</v>
      </c>
      <c r="J517" s="47">
        <v>6.0</v>
      </c>
      <c r="K517" s="38" t="s">
        <v>1154</v>
      </c>
      <c r="L517" s="38">
        <v>603.0</v>
      </c>
      <c r="M517" s="38" t="s">
        <v>35</v>
      </c>
      <c r="N517" s="38">
        <v>2000.0</v>
      </c>
      <c r="O517" s="38" t="s">
        <v>2373</v>
      </c>
      <c r="P517" s="40">
        <v>2001.0</v>
      </c>
      <c r="Q517" s="38" t="s">
        <v>289</v>
      </c>
      <c r="R517" s="47">
        <v>40.0</v>
      </c>
      <c r="S517" s="38" t="s">
        <v>5617</v>
      </c>
      <c r="T517" s="38" t="s">
        <v>5618</v>
      </c>
      <c r="U517" s="38" t="s">
        <v>5356</v>
      </c>
      <c r="V517" s="38">
        <v>2013.0</v>
      </c>
      <c r="W517" s="38" t="s">
        <v>5619</v>
      </c>
      <c r="X517" s="38" t="s">
        <v>5620</v>
      </c>
      <c r="Y517" s="38"/>
      <c r="Z517" s="38"/>
      <c r="AA517" s="38"/>
      <c r="AB517" s="38"/>
      <c r="AC517" s="38"/>
      <c r="AD517" s="38"/>
      <c r="AE517" s="38"/>
      <c r="AF517" s="38"/>
      <c r="AG517" s="28"/>
      <c r="AH517" s="28" t="s">
        <v>428</v>
      </c>
      <c r="AI517" s="28" t="s">
        <v>462</v>
      </c>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row>
    <row r="518" ht="25.5" customHeight="1">
      <c r="A518" s="28">
        <v>188.0</v>
      </c>
      <c r="B518" s="37" t="b">
        <v>1</v>
      </c>
      <c r="C518" s="38" t="s">
        <v>106</v>
      </c>
      <c r="D518" s="38">
        <v>80.0</v>
      </c>
      <c r="E518" s="13" t="b">
        <v>0</v>
      </c>
      <c r="F518" s="13" t="b">
        <v>1</v>
      </c>
      <c r="G518" s="38" t="s">
        <v>224</v>
      </c>
      <c r="H518" s="38"/>
      <c r="I518" s="38" t="s">
        <v>429</v>
      </c>
      <c r="J518" s="47">
        <v>2.0</v>
      </c>
      <c r="K518" s="38" t="s">
        <v>524</v>
      </c>
      <c r="L518" s="38">
        <v>205.0</v>
      </c>
      <c r="M518" s="38" t="s">
        <v>388</v>
      </c>
      <c r="N518" s="38">
        <v>14000.0</v>
      </c>
      <c r="O518" s="38" t="s">
        <v>224</v>
      </c>
      <c r="P518" s="40"/>
      <c r="Q518" s="38" t="s">
        <v>289</v>
      </c>
      <c r="R518" s="47">
        <v>40.0</v>
      </c>
      <c r="S518" s="38" t="s">
        <v>5354</v>
      </c>
      <c r="T518" s="38" t="s">
        <v>5355</v>
      </c>
      <c r="U518" s="38" t="s">
        <v>5356</v>
      </c>
      <c r="V518" s="38">
        <v>2012.0</v>
      </c>
      <c r="W518" s="38" t="s">
        <v>5358</v>
      </c>
      <c r="X518" s="49" t="str">
        <f>HYPERLINK("http://journal.sjdm.org/10/10831a/jdm10831a.html","http://journal.sjdm.org/10/10831a/jdm10831a.html")</f>
        <v>http://journal.sjdm.org/10/10831a/jdm10831a.html</v>
      </c>
      <c r="Y518" s="38"/>
      <c r="Z518" s="38"/>
      <c r="AA518" s="38"/>
      <c r="AB518" s="38"/>
      <c r="AC518" s="38"/>
      <c r="AD518" s="38"/>
      <c r="AE518" s="38"/>
      <c r="AF518" s="38"/>
      <c r="AG518" s="28"/>
      <c r="AH518" s="28" t="s">
        <v>462</v>
      </c>
      <c r="AI518" s="28" t="s">
        <v>462</v>
      </c>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row>
    <row r="519" ht="25.5" customHeight="1">
      <c r="A519" s="28">
        <v>96.0</v>
      </c>
      <c r="B519" s="37" t="b">
        <v>1</v>
      </c>
      <c r="C519" s="38" t="s">
        <v>106</v>
      </c>
      <c r="D519" s="38">
        <v>80.0</v>
      </c>
      <c r="E519" s="13" t="b">
        <v>0</v>
      </c>
      <c r="F519" s="13" t="b">
        <v>1</v>
      </c>
      <c r="G519" s="38" t="s">
        <v>224</v>
      </c>
      <c r="H519" s="38"/>
      <c r="I519" s="38" t="s">
        <v>4566</v>
      </c>
      <c r="J519" s="47" t="s">
        <v>4567</v>
      </c>
      <c r="K519" s="38" t="s">
        <v>224</v>
      </c>
      <c r="L519" s="38"/>
      <c r="M519" s="38" t="s">
        <v>408</v>
      </c>
      <c r="N519" s="38">
        <v>20000.0</v>
      </c>
      <c r="O519" s="38" t="s">
        <v>169</v>
      </c>
      <c r="P519" s="40"/>
      <c r="Q519" s="38" t="s">
        <v>289</v>
      </c>
      <c r="R519" s="47">
        <v>40.0</v>
      </c>
      <c r="S519" s="38" t="s">
        <v>4568</v>
      </c>
      <c r="T519" s="38" t="s">
        <v>4569</v>
      </c>
      <c r="U519" s="38" t="s">
        <v>4570</v>
      </c>
      <c r="V519" s="38">
        <v>2006.0</v>
      </c>
      <c r="W519" s="38" t="s">
        <v>753</v>
      </c>
      <c r="X519" s="38"/>
      <c r="Y519" s="38"/>
      <c r="Z519" s="38"/>
      <c r="AA519" s="38"/>
      <c r="AB519" s="38"/>
      <c r="AC519" s="38"/>
      <c r="AD519" s="38"/>
      <c r="AE519" s="38"/>
      <c r="AF519" s="38"/>
      <c r="AG519" s="28"/>
      <c r="AH519" s="28" t="s">
        <v>462</v>
      </c>
      <c r="AI519" s="28" t="s">
        <v>462</v>
      </c>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row>
    <row r="520" ht="25.5" customHeight="1">
      <c r="A520" s="28">
        <v>75.0</v>
      </c>
      <c r="B520" s="37" t="b">
        <v>1</v>
      </c>
      <c r="C520" s="38" t="s">
        <v>106</v>
      </c>
      <c r="D520" s="38">
        <v>80.0</v>
      </c>
      <c r="E520" s="13" t="b">
        <v>0</v>
      </c>
      <c r="F520" s="13" t="b">
        <v>1</v>
      </c>
      <c r="G520" s="38" t="s">
        <v>224</v>
      </c>
      <c r="H520" s="38"/>
      <c r="I520" s="38" t="s">
        <v>887</v>
      </c>
      <c r="J520" s="47">
        <v>9.0</v>
      </c>
      <c r="K520" s="65" t="s">
        <v>4372</v>
      </c>
      <c r="L520" s="38"/>
      <c r="M520" s="38" t="s">
        <v>388</v>
      </c>
      <c r="N520" s="38">
        <v>14000.0</v>
      </c>
      <c r="O520" s="38" t="s">
        <v>224</v>
      </c>
      <c r="P520" s="40"/>
      <c r="Q520" s="38" t="s">
        <v>152</v>
      </c>
      <c r="R520" s="47">
        <v>42.0</v>
      </c>
      <c r="S520" s="38" t="s">
        <v>4383</v>
      </c>
      <c r="T520" s="38" t="s">
        <v>4384</v>
      </c>
      <c r="U520" s="38" t="s">
        <v>4385</v>
      </c>
      <c r="V520" s="38">
        <v>2011.0</v>
      </c>
      <c r="W520" s="38" t="s">
        <v>4397</v>
      </c>
      <c r="X520" s="38"/>
      <c r="Y520" s="38"/>
      <c r="Z520" s="38"/>
      <c r="AA520" s="38"/>
      <c r="AB520" s="38"/>
      <c r="AC520" s="38"/>
      <c r="AD520" s="38"/>
      <c r="AE520" s="38"/>
      <c r="AF520" s="38"/>
      <c r="AG520" s="28"/>
      <c r="AH520" s="28" t="s">
        <v>462</v>
      </c>
      <c r="AI520" s="28" t="s">
        <v>462</v>
      </c>
      <c r="AJ520" s="28" t="s">
        <v>4344</v>
      </c>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row>
    <row r="521" ht="25.5" customHeight="1">
      <c r="A521" s="28">
        <v>201.0</v>
      </c>
      <c r="B521" s="37" t="b">
        <v>1</v>
      </c>
      <c r="C521" s="38" t="s">
        <v>106</v>
      </c>
      <c r="D521" s="38">
        <v>80.0</v>
      </c>
      <c r="E521" s="13" t="b">
        <v>0</v>
      </c>
      <c r="F521" s="13" t="b">
        <v>1</v>
      </c>
      <c r="G521" s="38" t="s">
        <v>224</v>
      </c>
      <c r="H521" s="38"/>
      <c r="I521" s="38" t="s">
        <v>429</v>
      </c>
      <c r="J521" s="47">
        <v>2.0</v>
      </c>
      <c r="K521" s="38" t="s">
        <v>524</v>
      </c>
      <c r="L521" s="62">
        <v>205.0</v>
      </c>
      <c r="M521" s="38" t="s">
        <v>107</v>
      </c>
      <c r="N521" s="38">
        <v>3000.0</v>
      </c>
      <c r="O521" s="38" t="s">
        <v>5491</v>
      </c>
      <c r="P521" s="40"/>
      <c r="Q521" s="38" t="s">
        <v>289</v>
      </c>
      <c r="R521" s="47">
        <v>40.0</v>
      </c>
      <c r="S521" s="38" t="s">
        <v>5492</v>
      </c>
      <c r="T521" s="38" t="s">
        <v>4230</v>
      </c>
      <c r="U521" s="38" t="s">
        <v>5493</v>
      </c>
      <c r="V521" s="38">
        <v>2013.0</v>
      </c>
      <c r="W521" s="38" t="s">
        <v>753</v>
      </c>
      <c r="X521" s="38"/>
      <c r="Y521" s="38"/>
      <c r="Z521" s="38"/>
      <c r="AA521" s="38"/>
      <c r="AB521" s="38"/>
      <c r="AC521" s="38"/>
      <c r="AD521" s="38"/>
      <c r="AE521" s="38"/>
      <c r="AF521" s="3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row>
    <row r="522" ht="25.5" customHeight="1">
      <c r="A522" s="28">
        <v>130.0</v>
      </c>
      <c r="B522" s="37" t="b">
        <v>1</v>
      </c>
      <c r="C522" s="38" t="s">
        <v>106</v>
      </c>
      <c r="D522" s="38">
        <v>80.0</v>
      </c>
      <c r="E522" s="13" t="b">
        <v>1</v>
      </c>
      <c r="F522" s="13" t="b">
        <v>0</v>
      </c>
      <c r="G522" s="38" t="s">
        <v>284</v>
      </c>
      <c r="H522" s="38">
        <v>53.0</v>
      </c>
      <c r="I522" s="38" t="s">
        <v>224</v>
      </c>
      <c r="J522" s="47"/>
      <c r="K522" s="38" t="s">
        <v>224</v>
      </c>
      <c r="L522" s="38"/>
      <c r="M522" s="38" t="s">
        <v>35</v>
      </c>
      <c r="N522" s="38">
        <v>2000.0</v>
      </c>
      <c r="O522" s="38" t="s">
        <v>837</v>
      </c>
      <c r="P522" s="40">
        <v>2001.0</v>
      </c>
      <c r="Q522" s="38" t="s">
        <v>283</v>
      </c>
      <c r="R522" s="47">
        <v>43.0</v>
      </c>
      <c r="S522" s="38" t="s">
        <v>4916</v>
      </c>
      <c r="T522" s="38" t="s">
        <v>4917</v>
      </c>
      <c r="U522" s="38" t="s">
        <v>4918</v>
      </c>
      <c r="V522" s="38">
        <v>2013.0</v>
      </c>
      <c r="W522" s="38" t="s">
        <v>4921</v>
      </c>
      <c r="X522" s="49" t="str">
        <f>HYPERLINK("https://www.google.com/url?sa=t&amp;rct=j&amp;q=&amp;esrc=s&amp;source=web&amp;cd=2&amp;ved=0ahUKEwj0-ufj8_vOAhUIwmMKHUFpCFQQFgghMAE&amp;url=http%3A%2F%2Ffulltext.study%2Fpreview%2Fpdf%2F93215.pdf&amp;usg=AFQjCNExNId8noqRRzwJwRr46iyJLKRRmg&amp;sig2=RFgZJ5YJ4OXENqr3xrahHA","https://www.google.com/url?sa=t&amp;rct=j&amp;q=&amp;esrc=s&amp;source=web&amp;cd=2&amp;ved=0ahUKEwj0-ufj8_vOAhUIwmMKHUFpCFQQFgghMAE&amp;url=http%3A%2F%2Ffulltext.study%2Fpreview%2Fpdf%2F93215.pdf&amp;usg=AFQjCNExNId8noqRRzwJwRr46iyJLKRRmg&amp;sig2=RFgZJ5YJ4OXENqr3xrahHA")</f>
        <v>https://www.google.com/url?sa=t&amp;rct=j&amp;q=&amp;esrc=s&amp;source=web&amp;cd=2&amp;ved=0ahUKEwj0-ufj8_vOAhUIwmMKHUFpCFQQFgghMAE&amp;url=http%3A%2F%2Ffulltext.study%2Fpreview%2Fpdf%2F93215.pdf&amp;usg=AFQjCNExNId8noqRRzwJwRr46iyJLKRRmg&amp;sig2=RFgZJ5YJ4OXENqr3xrahHA</v>
      </c>
      <c r="Y522" s="38"/>
      <c r="Z522" s="38"/>
      <c r="AA522" s="38"/>
      <c r="AB522" s="38"/>
      <c r="AC522" s="38"/>
      <c r="AD522" s="38"/>
      <c r="AE522" s="38"/>
      <c r="AF522" s="3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row>
    <row r="523" ht="25.5" customHeight="1">
      <c r="A523" s="28">
        <v>10063.0</v>
      </c>
      <c r="B523" s="37" t="b">
        <v>1</v>
      </c>
      <c r="C523" s="38" t="s">
        <v>238</v>
      </c>
      <c r="D523" s="38">
        <v>81.0</v>
      </c>
      <c r="E523" s="13" t="b">
        <v>1</v>
      </c>
      <c r="F523" s="13" t="b">
        <v>0</v>
      </c>
      <c r="G523" s="38" t="s">
        <v>224</v>
      </c>
      <c r="H523" s="38"/>
      <c r="I523" s="38" t="s">
        <v>280</v>
      </c>
      <c r="J523" s="47">
        <v>10.0</v>
      </c>
      <c r="K523" s="38"/>
      <c r="L523" s="38"/>
      <c r="M523" s="38" t="s">
        <v>388</v>
      </c>
      <c r="N523" s="38">
        <v>14000.0</v>
      </c>
      <c r="O523" s="38" t="s">
        <v>224</v>
      </c>
      <c r="P523" s="40"/>
      <c r="Q523" s="38" t="s">
        <v>1976</v>
      </c>
      <c r="R523" s="47">
        <v>44.0</v>
      </c>
      <c r="S523" s="38" t="s">
        <v>1977</v>
      </c>
      <c r="T523" s="38" t="s">
        <v>1978</v>
      </c>
      <c r="U523" s="38" t="s">
        <v>1980</v>
      </c>
      <c r="V523" s="55">
        <v>41052.0</v>
      </c>
      <c r="W523" s="38" t="s">
        <v>1981</v>
      </c>
      <c r="X523" s="38" t="s">
        <v>1982</v>
      </c>
      <c r="Y523" s="38"/>
      <c r="Z523" s="38"/>
      <c r="AA523" s="38"/>
      <c r="AB523" s="38"/>
      <c r="AC523" s="38"/>
      <c r="AD523" s="38"/>
      <c r="AE523" s="38"/>
      <c r="AF523" s="38"/>
      <c r="AG523" s="28" t="s">
        <v>1983</v>
      </c>
      <c r="AH523" s="28"/>
      <c r="AI523" s="28"/>
      <c r="AJ523" s="28"/>
      <c r="AK523" s="28" t="s">
        <v>1984</v>
      </c>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row>
    <row r="524" ht="25.5" customHeight="1">
      <c r="A524" s="28">
        <v>116.0</v>
      </c>
      <c r="B524" s="37" t="b">
        <v>1</v>
      </c>
      <c r="C524" s="38" t="s">
        <v>106</v>
      </c>
      <c r="D524" s="38">
        <v>80.0</v>
      </c>
      <c r="E524" s="13" t="b">
        <v>1</v>
      </c>
      <c r="F524" s="13" t="b">
        <v>0</v>
      </c>
      <c r="G524" s="38" t="s">
        <v>284</v>
      </c>
      <c r="H524" s="38">
        <v>53.0</v>
      </c>
      <c r="I524" s="38" t="s">
        <v>224</v>
      </c>
      <c r="J524" s="47"/>
      <c r="K524" s="38" t="s">
        <v>224</v>
      </c>
      <c r="L524" s="38"/>
      <c r="M524" s="38" t="s">
        <v>1196</v>
      </c>
      <c r="N524" s="38" t="s">
        <v>1197</v>
      </c>
      <c r="O524" s="38" t="s">
        <v>4778</v>
      </c>
      <c r="P524" s="40"/>
      <c r="Q524" s="38" t="s">
        <v>289</v>
      </c>
      <c r="R524" s="47">
        <v>40.0</v>
      </c>
      <c r="S524" s="38" t="s">
        <v>4779</v>
      </c>
      <c r="T524" s="38" t="s">
        <v>2162</v>
      </c>
      <c r="U524" s="38" t="s">
        <v>4780</v>
      </c>
      <c r="V524" s="38">
        <v>2005.0</v>
      </c>
      <c r="W524" s="38" t="s">
        <v>4781</v>
      </c>
      <c r="X524" s="38"/>
      <c r="Y524" s="38"/>
      <c r="Z524" s="38"/>
      <c r="AA524" s="38"/>
      <c r="AB524" s="38"/>
      <c r="AC524" s="38"/>
      <c r="AD524" s="38"/>
      <c r="AE524" s="38"/>
      <c r="AF524" s="3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row>
    <row r="525" ht="25.5" customHeight="1">
      <c r="A525" s="28">
        <v>10145.0</v>
      </c>
      <c r="B525" s="37" t="b">
        <v>1</v>
      </c>
      <c r="C525" s="38" t="s">
        <v>238</v>
      </c>
      <c r="D525" s="38">
        <v>81.0</v>
      </c>
      <c r="E525" s="13" t="b">
        <v>0</v>
      </c>
      <c r="F525" s="13" t="b">
        <v>1</v>
      </c>
      <c r="G525" s="38" t="s">
        <v>224</v>
      </c>
      <c r="H525" s="38"/>
      <c r="I525" s="38" t="s">
        <v>1331</v>
      </c>
      <c r="J525" s="47" t="s">
        <v>1371</v>
      </c>
      <c r="K525" s="38"/>
      <c r="L525" s="38"/>
      <c r="M525" s="38" t="s">
        <v>35</v>
      </c>
      <c r="N525" s="38">
        <v>2000.0</v>
      </c>
      <c r="O525" s="38" t="s">
        <v>1114</v>
      </c>
      <c r="P525" s="40"/>
      <c r="Q525" s="38" t="s">
        <v>289</v>
      </c>
      <c r="R525" s="47">
        <v>40.0</v>
      </c>
      <c r="S525" s="38" t="s">
        <v>410</v>
      </c>
      <c r="T525" s="38" t="s">
        <v>2890</v>
      </c>
      <c r="U525" s="38" t="s">
        <v>2891</v>
      </c>
      <c r="V525" s="55">
        <v>39216.0</v>
      </c>
      <c r="W525" s="38" t="s">
        <v>2892</v>
      </c>
      <c r="X525" s="49" t="str">
        <f>HYPERLINK("http://lesswrong.com/lw/hw/scope_insensitivity/","http://lesswrong.com/lw/hw/scope_insensitivity/")</f>
        <v>http://lesswrong.com/lw/hw/scope_insensitivity/</v>
      </c>
      <c r="Y525" s="38"/>
      <c r="Z525" s="38"/>
      <c r="AA525" s="38"/>
      <c r="AB525" s="38"/>
      <c r="AC525" s="38"/>
      <c r="AD525" s="38"/>
      <c r="AE525" s="38"/>
      <c r="AF525" s="38"/>
      <c r="AG525" s="28"/>
      <c r="AH525" s="28" t="s">
        <v>462</v>
      </c>
      <c r="AI525" s="28" t="s">
        <v>462</v>
      </c>
      <c r="AJ525" s="28"/>
      <c r="AK525" s="28" t="s">
        <v>676</v>
      </c>
      <c r="AL525" s="28" t="s">
        <v>600</v>
      </c>
      <c r="AM525" s="28"/>
      <c r="AN525" s="54"/>
      <c r="AO525" s="54"/>
      <c r="AP525" s="28"/>
      <c r="AQ525" s="28"/>
      <c r="AR525" s="28"/>
      <c r="AS525" s="54"/>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row>
    <row r="526" ht="25.5" customHeight="1">
      <c r="A526" s="28">
        <v>10029.0</v>
      </c>
      <c r="B526" s="37" t="b">
        <v>1</v>
      </c>
      <c r="C526" s="38" t="s">
        <v>238</v>
      </c>
      <c r="D526" s="38">
        <v>81.0</v>
      </c>
      <c r="E526" s="13" t="b">
        <v>1</v>
      </c>
      <c r="F526" s="13" t="b">
        <v>0</v>
      </c>
      <c r="G526" s="38" t="s">
        <v>323</v>
      </c>
      <c r="H526" s="38">
        <v>59.0</v>
      </c>
      <c r="I526" s="38" t="s">
        <v>224</v>
      </c>
      <c r="J526" s="47"/>
      <c r="K526" s="38" t="s">
        <v>224</v>
      </c>
      <c r="L526" s="38"/>
      <c r="M526" s="38" t="s">
        <v>388</v>
      </c>
      <c r="N526" s="38">
        <v>14000.0</v>
      </c>
      <c r="O526" s="38" t="s">
        <v>224</v>
      </c>
      <c r="P526" s="40"/>
      <c r="Q526" s="38" t="s">
        <v>289</v>
      </c>
      <c r="R526" s="47">
        <v>40.0</v>
      </c>
      <c r="S526" s="38" t="s">
        <v>1603</v>
      </c>
      <c r="T526" s="38" t="s">
        <v>1604</v>
      </c>
      <c r="U526" s="38" t="s">
        <v>1605</v>
      </c>
      <c r="V526" s="55">
        <v>42263.0</v>
      </c>
      <c r="W526" s="38" t="s">
        <v>1606</v>
      </c>
      <c r="X526" s="49" t="str">
        <f>HYPERLINK("http://lifehacker.com/this-graphic-explains-20-cognitive-biases-that-affect-y-1730901381?utm_expid=66866090-55.VeucWPObSOiOW4XRx2RJDA.0","http://lifehacker.com/this-graphic-explains-20-cognitive-biases-that-affect-y-1730901381?utm_expid=66866090-55.VeucWPObSOiOW4XRx2RJDA.0")</f>
        <v>http://lifehacker.com/this-graphic-explains-20-cognitive-biases-that-affect-y-1730901381?utm_expid=66866090-55.VeucWPObSOiOW4XRx2RJDA.0</v>
      </c>
      <c r="Y526" s="38"/>
      <c r="Z526" s="38"/>
      <c r="AA526" s="38"/>
      <c r="AB526" s="38"/>
      <c r="AC526" s="38"/>
      <c r="AD526" s="38"/>
      <c r="AE526" s="38"/>
      <c r="AF526" s="38"/>
      <c r="AG526" s="28"/>
      <c r="AH526" s="28" t="s">
        <v>462</v>
      </c>
      <c r="AI526" s="28" t="s">
        <v>462</v>
      </c>
      <c r="AJ526" s="28"/>
      <c r="AK526" s="28" t="s">
        <v>676</v>
      </c>
      <c r="AL526" s="28" t="s">
        <v>769</v>
      </c>
      <c r="AM526" s="28"/>
      <c r="AN526" s="54"/>
      <c r="AO526" s="54"/>
      <c r="AP526" s="28"/>
      <c r="AQ526" s="28" t="s">
        <v>769</v>
      </c>
      <c r="AR526" s="28"/>
      <c r="AS526" s="54"/>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row>
    <row r="527" ht="25.5" customHeight="1">
      <c r="A527" s="28">
        <v>10097.0</v>
      </c>
      <c r="B527" s="37" t="b">
        <v>1</v>
      </c>
      <c r="C527" s="38" t="s">
        <v>238</v>
      </c>
      <c r="D527" s="38">
        <v>81.0</v>
      </c>
      <c r="E527" s="13" t="b">
        <v>0</v>
      </c>
      <c r="F527" s="13" t="b">
        <v>1</v>
      </c>
      <c r="G527" s="38" t="s">
        <v>224</v>
      </c>
      <c r="H527" s="38"/>
      <c r="I527" s="38" t="s">
        <v>1322</v>
      </c>
      <c r="J527" s="47">
        <v>4.0</v>
      </c>
      <c r="K527" s="38"/>
      <c r="L527" s="38"/>
      <c r="M527" s="38" t="s">
        <v>35</v>
      </c>
      <c r="N527" s="38">
        <v>2000.0</v>
      </c>
      <c r="O527" s="38" t="s">
        <v>644</v>
      </c>
      <c r="P527" s="40"/>
      <c r="Q527" s="38" t="s">
        <v>289</v>
      </c>
      <c r="R527" s="47">
        <v>40.0</v>
      </c>
      <c r="S527" s="38" t="s">
        <v>2405</v>
      </c>
      <c r="T527" s="49" t="str">
        <f>HYPERLINK("http://lisabennett.org/author/lisapbennett/","Lisa Bennett")</f>
        <v>Lisa Bennett</v>
      </c>
      <c r="U527" s="38" t="s">
        <v>2406</v>
      </c>
      <c r="V527" s="142" t="str">
        <f>HYPERLINK("http://lisabennett.org/2014/10/31/three-traps-to-avoid-when-speaking-about-the-environment/","31-Oct-14")</f>
        <v>31-Oct-14</v>
      </c>
      <c r="W527" s="38" t="s">
        <v>1510</v>
      </c>
      <c r="X527" s="49" t="str">
        <f>HYPERLINK("http://lisabennett.org/2014/10/31/three-traps-to-avoid-when-speaking-about-the-environment/","http://lisabennett.org/2014/10/31/three-traps-to-avoid-when-speaking-about-the-environment/")</f>
        <v>http://lisabennett.org/2014/10/31/three-traps-to-avoid-when-speaking-about-the-environment/</v>
      </c>
      <c r="Y527" s="38"/>
      <c r="Z527" s="38"/>
      <c r="AA527" s="38"/>
      <c r="AB527" s="38"/>
      <c r="AC527" s="38"/>
      <c r="AD527" s="38"/>
      <c r="AE527" s="38"/>
      <c r="AF527" s="38"/>
      <c r="AG527" s="28"/>
      <c r="AH527" s="28" t="s">
        <v>462</v>
      </c>
      <c r="AI527" s="28" t="s">
        <v>462</v>
      </c>
      <c r="AJ527" s="28"/>
      <c r="AK527" s="28" t="s">
        <v>676</v>
      </c>
      <c r="AL527" s="28" t="s">
        <v>769</v>
      </c>
      <c r="AM527" s="28" t="s">
        <v>2416</v>
      </c>
      <c r="AN527" s="54">
        <v>42173.0</v>
      </c>
      <c r="AO527" s="54"/>
      <c r="AP527" s="54">
        <v>42542.0</v>
      </c>
      <c r="AQ527" s="28"/>
      <c r="AR527" s="28"/>
      <c r="AS527" s="54"/>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row>
    <row r="528" ht="25.5" customHeight="1">
      <c r="A528" s="28">
        <v>10409.0</v>
      </c>
      <c r="B528" s="37" t="b">
        <v>1</v>
      </c>
      <c r="C528" s="38" t="s">
        <v>238</v>
      </c>
      <c r="D528" s="38">
        <v>81.0</v>
      </c>
      <c r="E528" s="13" t="b">
        <v>0</v>
      </c>
      <c r="F528" s="13" t="b">
        <v>1</v>
      </c>
      <c r="G528" s="38" t="s">
        <v>224</v>
      </c>
      <c r="H528" s="38"/>
      <c r="I528" s="38" t="s">
        <v>387</v>
      </c>
      <c r="J528" s="47">
        <v>8.0</v>
      </c>
      <c r="K528" s="38"/>
      <c r="L528" s="38"/>
      <c r="M528" s="38" t="s">
        <v>35</v>
      </c>
      <c r="N528" s="38">
        <v>2000.0</v>
      </c>
      <c r="O528" s="38" t="s">
        <v>644</v>
      </c>
      <c r="P528" s="40"/>
      <c r="Q528" s="38" t="s">
        <v>289</v>
      </c>
      <c r="R528" s="47">
        <v>40.0</v>
      </c>
      <c r="S528" s="61" t="s">
        <v>5164</v>
      </c>
      <c r="T528" s="38" t="s">
        <v>5165</v>
      </c>
      <c r="U528" s="38" t="s">
        <v>2653</v>
      </c>
      <c r="V528" s="55">
        <v>40884.0</v>
      </c>
      <c r="W528" s="38" t="s">
        <v>5166</v>
      </c>
      <c r="X528" s="49" t="str">
        <f>HYPERLINK("http://articles.latimes.com/2011/dec/07/nation/la-na-evangelical-warming-20111207","http://articles.latimes.com/2011/dec/07/nation/la-na-evangelical-warming-20111207")</f>
        <v>http://articles.latimes.com/2011/dec/07/nation/la-na-evangelical-warming-20111207</v>
      </c>
      <c r="Y528" s="38"/>
      <c r="Z528" s="38"/>
      <c r="AA528" s="38"/>
      <c r="AB528" s="38"/>
      <c r="AC528" s="38"/>
      <c r="AD528" s="38"/>
      <c r="AE528" s="38"/>
      <c r="AF528" s="38"/>
      <c r="AG528" s="28"/>
      <c r="AH528" s="28" t="s">
        <v>428</v>
      </c>
      <c r="AI528" s="28"/>
      <c r="AJ528" s="28"/>
      <c r="AK528" s="28"/>
      <c r="AL528" s="28" t="s">
        <v>769</v>
      </c>
      <c r="AM528" s="28" t="s">
        <v>5171</v>
      </c>
      <c r="AN528" s="54">
        <v>42684.0</v>
      </c>
      <c r="AO528" s="54"/>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row>
    <row r="529" ht="25.5" customHeight="1">
      <c r="A529" s="28">
        <v>121.0</v>
      </c>
      <c r="B529" s="37" t="b">
        <v>1</v>
      </c>
      <c r="C529" s="38" t="s">
        <v>106</v>
      </c>
      <c r="D529" s="38">
        <v>80.0</v>
      </c>
      <c r="E529" s="13" t="b">
        <v>1</v>
      </c>
      <c r="F529" s="13" t="b">
        <v>0</v>
      </c>
      <c r="G529" s="38" t="s">
        <v>284</v>
      </c>
      <c r="H529" s="38">
        <v>53.0</v>
      </c>
      <c r="I529" s="38" t="s">
        <v>224</v>
      </c>
      <c r="J529" s="47"/>
      <c r="K529" s="38" t="s">
        <v>224</v>
      </c>
      <c r="L529" s="38"/>
      <c r="M529" s="38" t="s">
        <v>5657</v>
      </c>
      <c r="N529" s="38" t="s">
        <v>4832</v>
      </c>
      <c r="O529" s="38" t="s">
        <v>4831</v>
      </c>
      <c r="P529" s="40"/>
      <c r="Q529" s="38" t="s">
        <v>289</v>
      </c>
      <c r="R529" s="47">
        <v>40.0</v>
      </c>
      <c r="S529" s="38" t="s">
        <v>4833</v>
      </c>
      <c r="T529" s="38" t="s">
        <v>4834</v>
      </c>
      <c r="U529" s="38" t="s">
        <v>4835</v>
      </c>
      <c r="V529" s="38">
        <v>2005.0</v>
      </c>
      <c r="W529" s="38" t="s">
        <v>4840</v>
      </c>
      <c r="X529" s="49" t="str">
        <f>HYPERLINK("https://www.google.com/url?sa=t&amp;rct=j&amp;q=&amp;esrc=s&amp;source=web&amp;cd=1&amp;cad=rja&amp;uact=8&amp;ved=0ahUKEwjm2tHYhe_OAhVEKCYKHQNhBBAQFggeMAA&amp;url=http%3A%2F%2Fetd.lsu.edu%2Fdocs%2Favailable%2Fetd-04142005-104733%2Funrestricted%2FSomers_thesis.pdf&amp;usg=AFQjCNEd_9qSXDBFu1dyxnIHI3Aq_NcSGA&amp;sig2=UzVU__YKggK3vUhevHQhzQ","https://www.google.com/url?sa=t&amp;rct=j&amp;q=&amp;esrc=s&amp;source=web&amp;cd=1&amp;cad=rja&amp;uact=8&amp;ved=0ahUKEwjm2tHYhe_OAhVEKCYKHQNhBBAQFggeMAA&amp;url=http%3A%2F%2Fetd.lsu.edu%2Fdocs%2Favailable%2Fetd-04142005-104733%2Funrestricted%2FSomers_thesis.pdf&amp;usg=AFQjCNEd_9qSXDBFu1dyxnIHI3Aq_NcSGA&amp;sig2=UzVU__YKggK3vUhevHQhzQ")</f>
        <v>https://www.google.com/url?sa=t&amp;rct=j&amp;q=&amp;esrc=s&amp;source=web&amp;cd=1&amp;cad=rja&amp;uact=8&amp;ved=0ahUKEwjm2tHYhe_OAhVEKCYKHQNhBBAQFggeMAA&amp;url=http%3A%2F%2Fetd.lsu.edu%2Fdocs%2Favailable%2Fetd-04142005-104733%2Funrestricted%2FSomers_thesis.pdf&amp;usg=AFQjCNEd_9qSXDBFu1dyxnIHI3Aq_NcSGA&amp;sig2=UzVU__YKggK3vUhevHQhzQ</v>
      </c>
      <c r="Y529" s="38"/>
      <c r="Z529" s="38"/>
      <c r="AA529" s="38"/>
      <c r="AB529" s="38"/>
      <c r="AC529" s="38"/>
      <c r="AD529" s="38"/>
      <c r="AE529" s="38"/>
      <c r="AF529" s="3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row>
    <row r="530" ht="25.5" customHeight="1">
      <c r="A530" s="28">
        <v>10208.0</v>
      </c>
      <c r="B530" s="37" t="b">
        <v>1</v>
      </c>
      <c r="C530" s="38" t="s">
        <v>238</v>
      </c>
      <c r="D530" s="38">
        <v>81.0</v>
      </c>
      <c r="E530" s="13" t="b">
        <v>0</v>
      </c>
      <c r="F530" s="13" t="b">
        <v>1</v>
      </c>
      <c r="G530" s="38" t="s">
        <v>224</v>
      </c>
      <c r="H530" s="38"/>
      <c r="I530" s="38" t="s">
        <v>1857</v>
      </c>
      <c r="J530" s="47">
        <v>1.0</v>
      </c>
      <c r="K530" s="38"/>
      <c r="L530" s="38"/>
      <c r="M530" s="38" t="s">
        <v>419</v>
      </c>
      <c r="N530" s="38">
        <v>23000.0</v>
      </c>
      <c r="O530" s="38" t="s">
        <v>2293</v>
      </c>
      <c r="P530" s="40"/>
      <c r="Q530" s="38" t="s">
        <v>289</v>
      </c>
      <c r="R530" s="47">
        <v>40.0</v>
      </c>
      <c r="S530" s="38" t="s">
        <v>3435</v>
      </c>
      <c r="T530" s="38" t="s">
        <v>3436</v>
      </c>
      <c r="U530" s="38" t="s">
        <v>3438</v>
      </c>
      <c r="V530" s="55">
        <v>42401.0</v>
      </c>
      <c r="W530" s="38" t="s">
        <v>3439</v>
      </c>
      <c r="X530" s="49" t="str">
        <f>HYPERLINK("https://meam.openchannels.org/news/meam/tundi%E2%80%99s-take-marketing-conservation-ocean-serving-or-self-serving","https://meam.openchannels.org/news/meam/tundi%E2%80%99s-take-marketing-conservation-ocean-serving-or-self-serving")</f>
        <v>https://meam.openchannels.org/news/meam/tundi%E2%80%99s-take-marketing-conservation-ocean-serving-or-self-serving</v>
      </c>
      <c r="Y530" s="38"/>
      <c r="Z530" s="38"/>
      <c r="AA530" s="38"/>
      <c r="AB530" s="38"/>
      <c r="AC530" s="38"/>
      <c r="AD530" s="38"/>
      <c r="AE530" s="38"/>
      <c r="AF530" s="38"/>
      <c r="AG530" s="28" t="s">
        <v>3445</v>
      </c>
      <c r="AH530" s="28" t="s">
        <v>462</v>
      </c>
      <c r="AI530" s="28" t="s">
        <v>462</v>
      </c>
      <c r="AJ530" s="28"/>
      <c r="AK530" s="28"/>
      <c r="AL530" s="28" t="s">
        <v>600</v>
      </c>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row>
    <row r="531" ht="25.5" customHeight="1">
      <c r="A531" s="28">
        <v>137.0</v>
      </c>
      <c r="B531" s="37" t="b">
        <v>1</v>
      </c>
      <c r="C531" s="38" t="s">
        <v>106</v>
      </c>
      <c r="D531" s="38">
        <v>80.0</v>
      </c>
      <c r="E531" s="13" t="b">
        <v>1</v>
      </c>
      <c r="F531" s="13" t="b">
        <v>0</v>
      </c>
      <c r="G531" s="38" t="s">
        <v>284</v>
      </c>
      <c r="H531" s="38">
        <v>53.0</v>
      </c>
      <c r="I531" s="38" t="s">
        <v>224</v>
      </c>
      <c r="J531" s="47"/>
      <c r="K531" s="38" t="s">
        <v>224</v>
      </c>
      <c r="L531" s="38"/>
      <c r="M531" s="38" t="s">
        <v>395</v>
      </c>
      <c r="N531" s="38">
        <v>16000.0</v>
      </c>
      <c r="O531" s="38" t="s">
        <v>4972</v>
      </c>
      <c r="P531" s="40"/>
      <c r="Q531" s="38" t="s">
        <v>111</v>
      </c>
      <c r="R531" s="47">
        <v>41.0</v>
      </c>
      <c r="S531" s="38" t="s">
        <v>4974</v>
      </c>
      <c r="T531" s="38" t="s">
        <v>4975</v>
      </c>
      <c r="U531" s="38" t="s">
        <v>4976</v>
      </c>
      <c r="V531" s="38">
        <v>2013.0</v>
      </c>
      <c r="W531" s="38" t="s">
        <v>4980</v>
      </c>
      <c r="X531" s="49" t="str">
        <f>HYPERLINK("https://www.google.com/url?sa=t&amp;rct=j&amp;q=&amp;esrc=s&amp;source=web&amp;cd=2&amp;cad=rja&amp;uact=8&amp;ved=0ahUKEwj2iMTei-_OAhVMHx4KHWEiBxgQFggjMAE&amp;url=https%3A%2F%2Fhalshs.archives-ouvertes.fr%2Fhal-00547701%2Fdocument&amp;usg=AFQjCNEv4NjyfMGOCu4v5tBiVGYEKjlbpg&amp;sig2=yFmBr31wVXuSmZ7z5es1Yw","https://www.google.com/url?sa=t&amp;rct=j&amp;q=&amp;esrc=s&amp;source=web&amp;cd=2&amp;cad=rja&amp;uact=8&amp;ved=0ahUKEwj2iMTei-_OAhVMHx4KHWEiBxgQFggjMAE&amp;url=https%3A%2F%2Fhalshs.archives-ouvertes.fr%2Fhal-00547701%2Fdocument&amp;usg=AFQjCNEv4NjyfMGOCu4v5tBiVGYEKjlbpg&amp;sig2=yFmBr31wVXuSmZ7z5es1Yw")</f>
        <v>https://www.google.com/url?sa=t&amp;rct=j&amp;q=&amp;esrc=s&amp;source=web&amp;cd=2&amp;cad=rja&amp;uact=8&amp;ved=0ahUKEwj2iMTei-_OAhVMHx4KHWEiBxgQFggjMAE&amp;url=https%3A%2F%2Fhalshs.archives-ouvertes.fr%2Fhal-00547701%2Fdocument&amp;usg=AFQjCNEv4NjyfMGOCu4v5tBiVGYEKjlbpg&amp;sig2=yFmBr31wVXuSmZ7z5es1Yw</v>
      </c>
      <c r="Y531" s="38"/>
      <c r="Z531" s="38"/>
      <c r="AA531" s="38"/>
      <c r="AB531" s="38"/>
      <c r="AC531" s="38"/>
      <c r="AD531" s="38"/>
      <c r="AE531" s="38"/>
      <c r="AF531" s="3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row>
    <row r="532" ht="25.5" customHeight="1">
      <c r="A532" s="28">
        <v>10200.0</v>
      </c>
      <c r="B532" s="37" t="b">
        <v>1</v>
      </c>
      <c r="C532" s="38" t="s">
        <v>238</v>
      </c>
      <c r="D532" s="38">
        <v>81.0</v>
      </c>
      <c r="E532" s="13" t="b">
        <v>0</v>
      </c>
      <c r="F532" s="13" t="b">
        <v>1</v>
      </c>
      <c r="G532" s="38" t="s">
        <v>224</v>
      </c>
      <c r="H532" s="38"/>
      <c r="I532" s="38" t="s">
        <v>1857</v>
      </c>
      <c r="J532" s="47">
        <v>1.0</v>
      </c>
      <c r="K532" s="38"/>
      <c r="L532" s="38"/>
      <c r="M532" s="38" t="s">
        <v>35</v>
      </c>
      <c r="N532" s="38">
        <v>2000.0</v>
      </c>
      <c r="O532" s="38" t="s">
        <v>2511</v>
      </c>
      <c r="P532" s="40"/>
      <c r="Q532" s="38" t="s">
        <v>289</v>
      </c>
      <c r="R532" s="47">
        <v>40.0</v>
      </c>
      <c r="S532" s="38" t="s">
        <v>3344</v>
      </c>
      <c r="T532" s="38" t="s">
        <v>3346</v>
      </c>
      <c r="U532" s="38" t="s">
        <v>2616</v>
      </c>
      <c r="V532" s="55">
        <v>42146.0</v>
      </c>
      <c r="W532" s="38" t="s">
        <v>3348</v>
      </c>
      <c r="X532" s="49" t="str">
        <f>HYPERLINK("https://marketinggreen.wordpress.com/2015/05/22/innovative-black-carbon-certificates-fuel-traditional-cookstove-replacement/","https://marketinggreen.wordpress.com/2015/05/22/innovative-black-carbon-certificates-fuel-traditional-cookstove-replacement/")</f>
        <v>https://marketinggreen.wordpress.com/2015/05/22/innovative-black-carbon-certificates-fuel-traditional-cookstove-replacement/</v>
      </c>
      <c r="Y532" s="38"/>
      <c r="Z532" s="38"/>
      <c r="AA532" s="38"/>
      <c r="AB532" s="38"/>
      <c r="AC532" s="38"/>
      <c r="AD532" s="38"/>
      <c r="AE532" s="38"/>
      <c r="AF532" s="38"/>
      <c r="AG532" s="28"/>
      <c r="AH532" s="28" t="s">
        <v>462</v>
      </c>
      <c r="AI532" s="28" t="s">
        <v>462</v>
      </c>
      <c r="AJ532" s="28"/>
      <c r="AK532" s="28" t="s">
        <v>676</v>
      </c>
      <c r="AL532" s="28" t="s">
        <v>769</v>
      </c>
      <c r="AM532" s="28" t="s">
        <v>3353</v>
      </c>
      <c r="AN532" s="54">
        <v>42200.0</v>
      </c>
      <c r="AO532" s="54"/>
      <c r="AP532" s="54">
        <v>42571.0</v>
      </c>
      <c r="AQ532" s="28"/>
      <c r="AR532" s="28"/>
      <c r="AS532" s="54"/>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row>
    <row r="533" ht="25.5" customHeight="1">
      <c r="A533" s="28">
        <v>10218.0</v>
      </c>
      <c r="B533" s="37" t="b">
        <v>1</v>
      </c>
      <c r="C533" s="38" t="s">
        <v>238</v>
      </c>
      <c r="D533" s="38">
        <v>81.0</v>
      </c>
      <c r="E533" s="13" t="b">
        <v>0</v>
      </c>
      <c r="F533" s="13" t="b">
        <v>1</v>
      </c>
      <c r="G533" s="38" t="s">
        <v>224</v>
      </c>
      <c r="H533" s="38"/>
      <c r="I533" s="38" t="s">
        <v>3547</v>
      </c>
      <c r="J533" s="47" t="s">
        <v>3548</v>
      </c>
      <c r="K533" s="47"/>
      <c r="L533" s="38"/>
      <c r="M533" s="38" t="s">
        <v>35</v>
      </c>
      <c r="N533" s="38">
        <v>2000.0</v>
      </c>
      <c r="O533" s="38" t="s">
        <v>644</v>
      </c>
      <c r="P533" s="40"/>
      <c r="Q533" s="38" t="s">
        <v>289</v>
      </c>
      <c r="R533" s="47">
        <v>40.0</v>
      </c>
      <c r="S533" s="38" t="s">
        <v>3551</v>
      </c>
      <c r="T533" s="38" t="s">
        <v>577</v>
      </c>
      <c r="U533" s="38" t="s">
        <v>2616</v>
      </c>
      <c r="V533" s="55">
        <v>41795.0</v>
      </c>
      <c r="W533" s="38"/>
      <c r="X533" s="49" t="str">
        <f>HYPERLINK("https://marketinggreen.wordpress.com/2015/05/22/transforming-the-climate-conversation-through-social-video/","https://marketinggreen.wordpress.com/2015/05/22/transforming-the-climate-conversation-through-social-video/")</f>
        <v>https://marketinggreen.wordpress.com/2015/05/22/transforming-the-climate-conversation-through-social-video/</v>
      </c>
      <c r="Y533" s="38"/>
      <c r="Z533" s="38"/>
      <c r="AA533" s="38"/>
      <c r="AB533" s="38"/>
      <c r="AC533" s="38"/>
      <c r="AD533" s="38"/>
      <c r="AE533" s="38"/>
      <c r="AF533" s="38"/>
      <c r="AG533" s="28"/>
      <c r="AH533" s="28" t="s">
        <v>462</v>
      </c>
      <c r="AI533" s="28" t="s">
        <v>462</v>
      </c>
      <c r="AJ533" s="28"/>
      <c r="AK533" s="28" t="s">
        <v>676</v>
      </c>
      <c r="AL533" s="28" t="s">
        <v>769</v>
      </c>
      <c r="AM533" s="28" t="s">
        <v>3553</v>
      </c>
      <c r="AN533" s="54">
        <v>42200.0</v>
      </c>
      <c r="AO533" s="54"/>
      <c r="AP533" s="54">
        <v>42557.0</v>
      </c>
      <c r="AQ533" s="28"/>
      <c r="AR533" s="28"/>
      <c r="AS533" s="54"/>
      <c r="AT533" s="28"/>
      <c r="AU533" s="28"/>
      <c r="AV533" s="28"/>
      <c r="AW533" s="28"/>
      <c r="AX533" s="28"/>
      <c r="AY533" s="28"/>
      <c r="AZ533" s="28" t="s">
        <v>2670</v>
      </c>
      <c r="BA533" s="28"/>
      <c r="BB533" s="28"/>
      <c r="BC533" s="28"/>
      <c r="BD533" s="28"/>
      <c r="BE533" s="28"/>
      <c r="BF533" s="28"/>
      <c r="BG533" s="28"/>
      <c r="BH533" s="28"/>
      <c r="BI533" s="28"/>
      <c r="BJ533" s="28"/>
      <c r="BK533" s="28"/>
      <c r="BL533" s="28"/>
      <c r="BM533" s="28"/>
      <c r="BN533" s="28"/>
      <c r="BO533" s="28"/>
    </row>
    <row r="534" ht="25.5" customHeight="1">
      <c r="A534" s="28">
        <v>10113.0</v>
      </c>
      <c r="B534" s="37" t="b">
        <v>1</v>
      </c>
      <c r="C534" s="38" t="s">
        <v>238</v>
      </c>
      <c r="D534" s="38">
        <v>81.0</v>
      </c>
      <c r="E534" s="13" t="b">
        <v>0</v>
      </c>
      <c r="F534" s="13" t="b">
        <v>1</v>
      </c>
      <c r="G534" s="38" t="s">
        <v>224</v>
      </c>
      <c r="H534" s="38"/>
      <c r="I534" s="38" t="s">
        <v>2613</v>
      </c>
      <c r="J534" s="47" t="s">
        <v>2614</v>
      </c>
      <c r="K534" s="38"/>
      <c r="L534" s="38"/>
      <c r="M534" s="38" t="s">
        <v>107</v>
      </c>
      <c r="N534" s="38">
        <v>3000.0</v>
      </c>
      <c r="O534" s="38" t="s">
        <v>1223</v>
      </c>
      <c r="P534" s="40"/>
      <c r="Q534" s="38" t="s">
        <v>111</v>
      </c>
      <c r="R534" s="47">
        <v>41.0</v>
      </c>
      <c r="S534" s="38" t="s">
        <v>2615</v>
      </c>
      <c r="T534" s="38" t="s">
        <v>577</v>
      </c>
      <c r="U534" s="38" t="s">
        <v>2616</v>
      </c>
      <c r="V534" s="55">
        <v>41039.0</v>
      </c>
      <c r="W534" s="38" t="s">
        <v>2617</v>
      </c>
      <c r="X534" s="49" t="str">
        <f>HYPERLINK("https://marketinggreen.wordpress.com/2012/05/10/how-to-grow-consumer-attachment-to-green-brands/","https://marketinggreen.wordpress.com/2012/05/10/how-to-grow-consumer-attachment-to-green-brands/")</f>
        <v>https://marketinggreen.wordpress.com/2012/05/10/how-to-grow-consumer-attachment-to-green-brands/</v>
      </c>
      <c r="Y534" s="38"/>
      <c r="Z534" s="38"/>
      <c r="AA534" s="38"/>
      <c r="AB534" s="38"/>
      <c r="AC534" s="38"/>
      <c r="AD534" s="38"/>
      <c r="AE534" s="38"/>
      <c r="AF534" s="38"/>
      <c r="AG534" s="28"/>
      <c r="AH534" s="28" t="s">
        <v>462</v>
      </c>
      <c r="AI534" s="28" t="s">
        <v>462</v>
      </c>
      <c r="AJ534" s="28"/>
      <c r="AK534" s="28" t="s">
        <v>676</v>
      </c>
      <c r="AL534" s="28" t="s">
        <v>769</v>
      </c>
      <c r="AM534" s="28" t="s">
        <v>2626</v>
      </c>
      <c r="AN534" s="54">
        <v>42200.0</v>
      </c>
      <c r="AO534" s="54"/>
      <c r="AP534" s="28"/>
      <c r="AQ534" s="28"/>
      <c r="AR534" s="28"/>
      <c r="AS534" s="54"/>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row>
    <row r="535" ht="25.5" customHeight="1">
      <c r="A535" s="28">
        <v>239.0</v>
      </c>
      <c r="B535" s="37" t="b">
        <v>1</v>
      </c>
      <c r="C535" s="38" t="s">
        <v>106</v>
      </c>
      <c r="D535" s="38">
        <v>80.0</v>
      </c>
      <c r="E535" s="13" t="b">
        <v>1</v>
      </c>
      <c r="F535" s="13" t="b">
        <v>1</v>
      </c>
      <c r="G535" s="38" t="s">
        <v>224</v>
      </c>
      <c r="H535" s="38"/>
      <c r="I535" s="38" t="s">
        <v>5651</v>
      </c>
      <c r="J535" s="47" t="s">
        <v>5652</v>
      </c>
      <c r="K535" s="38" t="s">
        <v>5653</v>
      </c>
      <c r="L535" s="38" t="s">
        <v>5679</v>
      </c>
      <c r="M535" s="38" t="s">
        <v>107</v>
      </c>
      <c r="N535" s="38">
        <v>3000.0</v>
      </c>
      <c r="O535" s="38" t="s">
        <v>1312</v>
      </c>
      <c r="P535" s="40"/>
      <c r="Q535" s="38" t="s">
        <v>289</v>
      </c>
      <c r="R535" s="47">
        <v>40.0</v>
      </c>
      <c r="S535" s="38" t="s">
        <v>5654</v>
      </c>
      <c r="T535" s="38" t="s">
        <v>5655</v>
      </c>
      <c r="U535" s="38" t="s">
        <v>5656</v>
      </c>
      <c r="V535" s="38">
        <v>2008.0</v>
      </c>
      <c r="W535" s="38" t="s">
        <v>5658</v>
      </c>
      <c r="X535" s="49" t="str">
        <f>HYPERLINK("http://apps.olin.wustl.edu/workingpapers/pdf/2008-07-014.pdf","http://apps.olin.wustl.edu/workingpapers/pdf/2008-07-014.pdf")</f>
        <v>http://apps.olin.wustl.edu/workingpapers/pdf/2008-07-014.pdf</v>
      </c>
      <c r="Y535" s="38"/>
      <c r="Z535" s="38"/>
      <c r="AA535" s="38"/>
      <c r="AB535" s="38"/>
      <c r="AC535" s="38"/>
      <c r="AD535" s="38"/>
      <c r="AE535" s="38"/>
      <c r="AF535" s="38"/>
      <c r="AG535" s="28"/>
      <c r="AH535" s="28" t="s">
        <v>462</v>
      </c>
      <c r="AI535" s="28" t="s">
        <v>462</v>
      </c>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row>
    <row r="536" ht="25.5" customHeight="1">
      <c r="A536" s="28">
        <v>10332.0</v>
      </c>
      <c r="B536" s="37" t="b">
        <v>1</v>
      </c>
      <c r="C536" s="38" t="s">
        <v>238</v>
      </c>
      <c r="D536" s="38">
        <v>81.0</v>
      </c>
      <c r="E536" s="13" t="b">
        <v>0</v>
      </c>
      <c r="F536" s="13" t="b">
        <v>1</v>
      </c>
      <c r="G536" s="38" t="s">
        <v>224</v>
      </c>
      <c r="H536" s="38"/>
      <c r="I536" s="38" t="s">
        <v>280</v>
      </c>
      <c r="J536" s="47">
        <v>10.0</v>
      </c>
      <c r="K536" s="47"/>
      <c r="L536" s="38"/>
      <c r="M536" s="45" t="s">
        <v>5684</v>
      </c>
      <c r="N536" s="38" t="s">
        <v>4484</v>
      </c>
      <c r="O536" s="38" t="s">
        <v>4482</v>
      </c>
      <c r="P536" s="40"/>
      <c r="Q536" s="38" t="s">
        <v>289</v>
      </c>
      <c r="R536" s="47">
        <v>40.0</v>
      </c>
      <c r="S536" s="38" t="s">
        <v>4489</v>
      </c>
      <c r="T536" s="38" t="s">
        <v>4491</v>
      </c>
      <c r="U536" s="38" t="s">
        <v>4492</v>
      </c>
      <c r="V536" s="143">
        <v>39661.0</v>
      </c>
      <c r="W536" s="38"/>
      <c r="X536" s="38" t="s">
        <v>4511</v>
      </c>
      <c r="Y536" s="38"/>
      <c r="Z536" s="38"/>
      <c r="AA536" s="38"/>
      <c r="AB536" s="38"/>
      <c r="AC536" s="38"/>
      <c r="AD536" s="38"/>
      <c r="AE536" s="38"/>
      <c r="AF536" s="38"/>
      <c r="AG536" s="28"/>
      <c r="AH536" s="28"/>
      <c r="AI536" s="28"/>
      <c r="AJ536" s="28"/>
      <c r="AK536" s="28"/>
      <c r="AL536" s="28"/>
      <c r="AM536" s="28"/>
      <c r="AN536" s="28"/>
      <c r="AO536" s="28"/>
      <c r="AP536" s="28"/>
      <c r="AQ536" s="28"/>
      <c r="AR536" s="28"/>
      <c r="AS536" s="28"/>
      <c r="AT536" s="28"/>
      <c r="AU536" s="28"/>
      <c r="AV536" s="28"/>
      <c r="AW536" s="28"/>
      <c r="AX536" s="28"/>
      <c r="AY536" s="28"/>
      <c r="AZ536" s="28" t="s">
        <v>4513</v>
      </c>
      <c r="BA536" s="28"/>
      <c r="BB536" s="28"/>
      <c r="BC536" s="28"/>
      <c r="BD536" s="28"/>
      <c r="BE536" s="28"/>
      <c r="BF536" s="28"/>
      <c r="BG536" s="28"/>
      <c r="BH536" s="28"/>
      <c r="BI536" s="28"/>
      <c r="BJ536" s="28"/>
      <c r="BK536" s="28"/>
      <c r="BL536" s="28"/>
      <c r="BM536" s="28"/>
      <c r="BN536" s="28"/>
      <c r="BO536" s="28"/>
    </row>
    <row r="537" ht="25.5" customHeight="1">
      <c r="A537" s="28">
        <v>10221.0</v>
      </c>
      <c r="B537" s="37" t="b">
        <v>1</v>
      </c>
      <c r="C537" s="38" t="s">
        <v>238</v>
      </c>
      <c r="D537" s="38">
        <v>81.0</v>
      </c>
      <c r="E537" s="13" t="b">
        <v>0</v>
      </c>
      <c r="F537" s="13" t="b">
        <v>1</v>
      </c>
      <c r="G537" s="38" t="s">
        <v>224</v>
      </c>
      <c r="H537" s="38"/>
      <c r="I537" s="38" t="s">
        <v>1147</v>
      </c>
      <c r="J537" s="47" t="s">
        <v>1083</v>
      </c>
      <c r="K537" s="38"/>
      <c r="L537" s="38"/>
      <c r="M537" s="38" t="s">
        <v>107</v>
      </c>
      <c r="N537" s="38">
        <v>3000.0</v>
      </c>
      <c r="O537" s="38" t="s">
        <v>116</v>
      </c>
      <c r="P537" s="40"/>
      <c r="Q537" s="38" t="s">
        <v>289</v>
      </c>
      <c r="R537" s="47">
        <v>40.0</v>
      </c>
      <c r="S537" s="38" t="s">
        <v>3578</v>
      </c>
      <c r="T537" s="38" t="s">
        <v>3579</v>
      </c>
      <c r="U537" s="38" t="s">
        <v>3580</v>
      </c>
      <c r="V537" s="55">
        <v>42081.0</v>
      </c>
      <c r="W537" s="38" t="s">
        <v>3581</v>
      </c>
      <c r="X537" s="49" t="str">
        <f>HYPERLINK("http://mavensnotebook.com/2015/03/18/responding-to-drought-options-for-demand-side-management-or-which-water-conservation-programs-actually-work/","http://mavensnotebook.com/2015/03/18/responding-to-drought-options-for-demand-side-management-or-which-water-conservation-programs-actually-work/")</f>
        <v>http://mavensnotebook.com/2015/03/18/responding-to-drought-options-for-demand-side-management-or-which-water-conservation-programs-actually-work/</v>
      </c>
      <c r="Y537" s="38"/>
      <c r="Z537" s="38"/>
      <c r="AA537" s="38"/>
      <c r="AB537" s="38"/>
      <c r="AC537" s="38"/>
      <c r="AD537" s="38"/>
      <c r="AE537" s="38"/>
      <c r="AF537" s="38"/>
      <c r="AG537" s="28" t="s">
        <v>1868</v>
      </c>
      <c r="AH537" s="28" t="s">
        <v>462</v>
      </c>
      <c r="AI537" s="28" t="s">
        <v>462</v>
      </c>
      <c r="AJ537" s="28"/>
      <c r="AK537" s="28"/>
      <c r="AL537" s="28" t="s">
        <v>769</v>
      </c>
      <c r="AM537" s="28" t="s">
        <v>3588</v>
      </c>
      <c r="AN537" s="54">
        <v>42179.0</v>
      </c>
      <c r="AO537" s="54"/>
      <c r="AP537" s="54">
        <v>42528.0</v>
      </c>
      <c r="AQ537" s="28" t="s">
        <v>769</v>
      </c>
      <c r="AR537" s="28"/>
      <c r="AS537" s="54">
        <v>42541.0</v>
      </c>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row>
    <row r="538" ht="25.5" customHeight="1">
      <c r="A538" s="28">
        <v>10188.0</v>
      </c>
      <c r="B538" s="37" t="b">
        <v>1</v>
      </c>
      <c r="C538" s="38" t="s">
        <v>238</v>
      </c>
      <c r="D538" s="38">
        <v>81.0</v>
      </c>
      <c r="E538" s="13" t="b">
        <v>0</v>
      </c>
      <c r="F538" s="13" t="b">
        <v>1</v>
      </c>
      <c r="G538" s="38" t="s">
        <v>224</v>
      </c>
      <c r="H538" s="38"/>
      <c r="I538" s="38" t="s">
        <v>3240</v>
      </c>
      <c r="J538" s="47" t="s">
        <v>3241</v>
      </c>
      <c r="K538" s="38"/>
      <c r="L538" s="38"/>
      <c r="M538" s="38" t="s">
        <v>35</v>
      </c>
      <c r="N538" s="38">
        <v>2000.0</v>
      </c>
      <c r="O538" s="38" t="s">
        <v>1114</v>
      </c>
      <c r="P538" s="40"/>
      <c r="Q538" s="38" t="s">
        <v>289</v>
      </c>
      <c r="R538" s="47">
        <v>40.0</v>
      </c>
      <c r="S538" s="38" t="s">
        <v>3242</v>
      </c>
      <c r="T538" s="38" t="s">
        <v>3243</v>
      </c>
      <c r="U538" s="38" t="s">
        <v>3245</v>
      </c>
      <c r="V538" s="55"/>
      <c r="W538" s="38" t="s">
        <v>3246</v>
      </c>
      <c r="X538" s="49" t="str">
        <f>HYPERLINK("http://voices.mckinseyonsociety.com/how-to-turn-consumers-green/","http://voices.mckinseyonsociety.com/how-to-turn-consumers-green/")</f>
        <v>http://voices.mckinseyonsociety.com/how-to-turn-consumers-green/</v>
      </c>
      <c r="Y538" s="38"/>
      <c r="Z538" s="38"/>
      <c r="AA538" s="38"/>
      <c r="AB538" s="38"/>
      <c r="AC538" s="38"/>
      <c r="AD538" s="38"/>
      <c r="AE538" s="38"/>
      <c r="AF538" s="38"/>
      <c r="AG538" s="28" t="s">
        <v>3247</v>
      </c>
      <c r="AH538" s="28" t="s">
        <v>3248</v>
      </c>
      <c r="AI538" s="28" t="s">
        <v>1810</v>
      </c>
      <c r="AJ538" s="28"/>
      <c r="AK538" s="28"/>
      <c r="AL538" s="28" t="s">
        <v>3249</v>
      </c>
      <c r="AM538" s="28" t="s">
        <v>3250</v>
      </c>
      <c r="AN538" s="54">
        <v>42185.0</v>
      </c>
      <c r="AO538" s="54"/>
      <c r="AP538" s="54">
        <v>42569.0</v>
      </c>
      <c r="AQ538" s="28" t="s">
        <v>3251</v>
      </c>
      <c r="AR538" s="28"/>
      <c r="AS538" s="54">
        <v>42517.0</v>
      </c>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row>
    <row r="539" ht="25.5" customHeight="1">
      <c r="A539" s="28">
        <v>10086.0</v>
      </c>
      <c r="B539" s="37" t="b">
        <v>1</v>
      </c>
      <c r="C539" s="38" t="s">
        <v>238</v>
      </c>
      <c r="D539" s="38">
        <v>81.0</v>
      </c>
      <c r="E539" s="13" t="b">
        <v>0</v>
      </c>
      <c r="F539" s="13" t="b">
        <v>1</v>
      </c>
      <c r="G539" s="38" t="s">
        <v>224</v>
      </c>
      <c r="H539" s="38"/>
      <c r="I539" s="38" t="s">
        <v>574</v>
      </c>
      <c r="J539" s="47">
        <v>4.0</v>
      </c>
      <c r="K539" s="38"/>
      <c r="L539" s="38"/>
      <c r="M539" s="38" t="s">
        <v>35</v>
      </c>
      <c r="N539" s="38">
        <v>2000.0</v>
      </c>
      <c r="O539" s="38" t="s">
        <v>644</v>
      </c>
      <c r="P539" s="40"/>
      <c r="Q539" s="38" t="s">
        <v>289</v>
      </c>
      <c r="R539" s="47">
        <v>40.0</v>
      </c>
      <c r="S539" s="61" t="s">
        <v>2219</v>
      </c>
      <c r="T539" s="38" t="s">
        <v>2220</v>
      </c>
      <c r="U539" s="42" t="s">
        <v>2221</v>
      </c>
      <c r="V539" s="55">
        <v>42224.0</v>
      </c>
      <c r="W539" s="38" t="s">
        <v>2230</v>
      </c>
      <c r="X539" s="49" t="str">
        <f>HYPERLINK("http://www.medicaldaily.com/daily-show-and-colbert-report-may-be-why-so-many-more-people-believe-climate-change-346796","http://www.medicaldaily.com/daily-show-and-colbert-report-may-be-why-so-many-more-people-believe-climate-change-346796")</f>
        <v>http://www.medicaldaily.com/daily-show-and-colbert-report-may-be-why-so-many-more-people-believe-climate-change-346796</v>
      </c>
      <c r="Y539" s="38"/>
      <c r="Z539" s="38"/>
      <c r="AA539" s="38"/>
      <c r="AB539" s="38"/>
      <c r="AC539" s="38"/>
      <c r="AD539" s="38"/>
      <c r="AE539" s="38"/>
      <c r="AF539" s="38"/>
      <c r="AG539" s="28"/>
      <c r="AH539" s="28" t="s">
        <v>428</v>
      </c>
      <c r="AI539" s="28"/>
      <c r="AJ539" s="28"/>
      <c r="AK539" s="28"/>
      <c r="AL539" s="28" t="s">
        <v>769</v>
      </c>
      <c r="AM539" s="28" t="s">
        <v>2238</v>
      </c>
      <c r="AN539" s="54">
        <v>42685.0</v>
      </c>
      <c r="AO539" s="54"/>
      <c r="AP539" s="28"/>
      <c r="AQ539" s="28" t="s">
        <v>769</v>
      </c>
      <c r="AR539" s="54">
        <v>42642.0</v>
      </c>
      <c r="AS539" s="28"/>
      <c r="AT539" s="28"/>
      <c r="AU539" s="28"/>
      <c r="AV539" s="28"/>
      <c r="AW539" s="28"/>
      <c r="AX539" s="28"/>
      <c r="AY539" s="28" t="s">
        <v>428</v>
      </c>
      <c r="AZ539" s="28"/>
      <c r="BA539" s="28"/>
      <c r="BB539" s="28"/>
      <c r="BC539" s="28"/>
      <c r="BD539" s="28"/>
      <c r="BE539" s="28"/>
      <c r="BF539" s="28"/>
      <c r="BG539" s="28"/>
      <c r="BH539" s="28"/>
      <c r="BI539" s="28"/>
      <c r="BJ539" s="28"/>
      <c r="BK539" s="28"/>
      <c r="BL539" s="28"/>
      <c r="BM539" s="28"/>
      <c r="BN539" s="28"/>
      <c r="BO539" s="28"/>
    </row>
    <row r="540" ht="25.5" customHeight="1">
      <c r="A540" s="28">
        <v>10419.0</v>
      </c>
      <c r="B540" s="37" t="b">
        <v>1</v>
      </c>
      <c r="C540" s="38" t="s">
        <v>238</v>
      </c>
      <c r="D540" s="38">
        <v>81.0</v>
      </c>
      <c r="E540" s="13" t="b">
        <v>0</v>
      </c>
      <c r="F540" s="13" t="b">
        <v>1</v>
      </c>
      <c r="G540" s="38" t="s">
        <v>224</v>
      </c>
      <c r="H540" s="38"/>
      <c r="I540" s="38" t="s">
        <v>1480</v>
      </c>
      <c r="J540" s="47">
        <v>8.0</v>
      </c>
      <c r="K540" s="47"/>
      <c r="L540" s="38"/>
      <c r="M540" s="38" t="s">
        <v>107</v>
      </c>
      <c r="N540" s="38">
        <v>3000.0</v>
      </c>
      <c r="O540" s="38" t="s">
        <v>470</v>
      </c>
      <c r="P540" s="40"/>
      <c r="Q540" s="38" t="s">
        <v>289</v>
      </c>
      <c r="R540" s="47">
        <v>40.0</v>
      </c>
      <c r="S540" s="38" t="s">
        <v>5257</v>
      </c>
      <c r="T540" s="38" t="s">
        <v>5258</v>
      </c>
      <c r="U540" s="38" t="s">
        <v>2221</v>
      </c>
      <c r="V540" s="55">
        <v>42016.0</v>
      </c>
      <c r="W540" s="38" t="s">
        <v>5261</v>
      </c>
      <c r="X540" s="49" t="str">
        <f>HYPERLINK("http://www.medicaldaily.com/energy-conservation-lesson-saving-lives-motivates-people-use-less-electricity-317442","http://www.medicaldaily.com/energy-conservation-lesson-saving-lives-motivates-people-use-less-electricity-317442")</f>
        <v>http://www.medicaldaily.com/energy-conservation-lesson-saving-lives-motivates-people-use-less-electricity-317442</v>
      </c>
      <c r="Y540" s="38"/>
      <c r="Z540" s="38"/>
      <c r="AA540" s="38"/>
      <c r="AB540" s="38"/>
      <c r="AC540" s="38"/>
      <c r="AD540" s="38"/>
      <c r="AE540" s="38"/>
      <c r="AF540" s="38"/>
      <c r="AG540" s="28" t="s">
        <v>5266</v>
      </c>
      <c r="AH540" s="28" t="s">
        <v>462</v>
      </c>
      <c r="AI540" s="28" t="s">
        <v>462</v>
      </c>
      <c r="AJ540" s="28"/>
      <c r="AK540" s="28"/>
      <c r="AL540" s="28" t="s">
        <v>769</v>
      </c>
      <c r="AM540" s="28" t="s">
        <v>5267</v>
      </c>
      <c r="AN540" s="54">
        <v>42451.0</v>
      </c>
      <c r="AO540" s="54"/>
      <c r="AP540" s="28"/>
      <c r="AQ540" s="28" t="s">
        <v>769</v>
      </c>
      <c r="AR540" s="28"/>
      <c r="AS540" s="54">
        <v>42040.0</v>
      </c>
      <c r="AT540" s="28" t="s">
        <v>1406</v>
      </c>
      <c r="AU540" s="28"/>
      <c r="AV540" s="28"/>
      <c r="AW540" s="28"/>
      <c r="AX540" s="28" t="s">
        <v>428</v>
      </c>
      <c r="AY540" s="28"/>
      <c r="AZ540" s="28"/>
      <c r="BA540" s="28"/>
      <c r="BB540" s="28"/>
      <c r="BC540" s="28"/>
      <c r="BD540" s="28"/>
      <c r="BE540" s="28"/>
      <c r="BF540" s="28"/>
      <c r="BG540" s="28"/>
      <c r="BH540" s="28"/>
      <c r="BI540" s="28"/>
      <c r="BJ540" s="28"/>
      <c r="BK540" s="28"/>
      <c r="BL540" s="28"/>
      <c r="BM540" s="28"/>
      <c r="BN540" s="28"/>
      <c r="BO540" s="28"/>
    </row>
    <row r="541" ht="25.5" customHeight="1">
      <c r="A541" s="28">
        <v>10172.0</v>
      </c>
      <c r="B541" s="37" t="b">
        <v>1</v>
      </c>
      <c r="C541" s="38" t="s">
        <v>238</v>
      </c>
      <c r="D541" s="38">
        <v>81.0</v>
      </c>
      <c r="E541" s="13" t="b">
        <v>0</v>
      </c>
      <c r="F541" s="13" t="b">
        <v>1</v>
      </c>
      <c r="G541" s="38" t="s">
        <v>224</v>
      </c>
      <c r="H541" s="38"/>
      <c r="I541" s="38" t="s">
        <v>887</v>
      </c>
      <c r="J541" s="47">
        <v>9.0</v>
      </c>
      <c r="K541" s="38"/>
      <c r="L541" s="38"/>
      <c r="M541" s="38" t="s">
        <v>359</v>
      </c>
      <c r="N541" s="38">
        <v>10000.0</v>
      </c>
      <c r="O541" s="38" t="s">
        <v>3109</v>
      </c>
      <c r="P541" s="40"/>
      <c r="Q541" s="38" t="s">
        <v>289</v>
      </c>
      <c r="R541" s="47">
        <v>40.0</v>
      </c>
      <c r="S541" s="38" t="s">
        <v>3113</v>
      </c>
      <c r="T541" s="38" t="s">
        <v>3114</v>
      </c>
      <c r="U541" s="38" t="s">
        <v>3115</v>
      </c>
      <c r="V541" s="55">
        <v>42190.0</v>
      </c>
      <c r="W541" s="38" t="s">
        <v>3113</v>
      </c>
      <c r="X541" s="49" t="str">
        <f>HYPERLINK("http://www.medicaldaily.com/nature-walks-improve-mental-health-helping-people-avoid-rumination-341266","http://www.medicaldaily.com/nature-walks-improve-mental-health-helping-people-avoid-rumination-341266")</f>
        <v>http://www.medicaldaily.com/nature-walks-improve-mental-health-helping-people-avoid-rumination-341266</v>
      </c>
      <c r="Y541" s="38"/>
      <c r="Z541" s="38"/>
      <c r="AA541" s="38"/>
      <c r="AB541" s="38"/>
      <c r="AC541" s="38"/>
      <c r="AD541" s="38"/>
      <c r="AE541" s="38"/>
      <c r="AF541" s="38"/>
      <c r="AG541" s="28"/>
      <c r="AH541" s="28" t="s">
        <v>428</v>
      </c>
      <c r="AI541" s="28" t="s">
        <v>462</v>
      </c>
      <c r="AJ541" s="28"/>
      <c r="AK541" s="28"/>
      <c r="AL541" s="28" t="s">
        <v>600</v>
      </c>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row>
    <row r="542" ht="25.5" customHeight="1">
      <c r="A542" s="28">
        <v>10124.0</v>
      </c>
      <c r="B542" s="37" t="b">
        <v>1</v>
      </c>
      <c r="C542" s="38" t="s">
        <v>238</v>
      </c>
      <c r="D542" s="38">
        <v>81.0</v>
      </c>
      <c r="E542" s="13" t="b">
        <v>0</v>
      </c>
      <c r="F542" s="13" t="b">
        <v>1</v>
      </c>
      <c r="G542" s="38" t="s">
        <v>224</v>
      </c>
      <c r="H542" s="38"/>
      <c r="I542" s="38" t="s">
        <v>2694</v>
      </c>
      <c r="J542" s="47" t="s">
        <v>2695</v>
      </c>
      <c r="K542" s="38"/>
      <c r="L542" s="38"/>
      <c r="M542" s="38" t="s">
        <v>392</v>
      </c>
      <c r="N542" s="38">
        <v>15000.0</v>
      </c>
      <c r="O542" s="38" t="s">
        <v>1882</v>
      </c>
      <c r="P542" s="40"/>
      <c r="Q542" s="38" t="s">
        <v>324</v>
      </c>
      <c r="R542" s="47" t="s">
        <v>325</v>
      </c>
      <c r="S542" s="38" t="s">
        <v>2741</v>
      </c>
      <c r="T542" s="38" t="s">
        <v>2742</v>
      </c>
      <c r="U542" s="38" t="s">
        <v>2743</v>
      </c>
      <c r="V542" s="55">
        <v>41799.0</v>
      </c>
      <c r="W542" s="38" t="s">
        <v>2744</v>
      </c>
      <c r="X542" s="49" t="str">
        <f>HYPERLINK("https://medium.com/@rdearborn/hey-environmentalists-lets-stop-being-so-depressing-c0d28bd7cad5","https://medium.com/@rdearborn/hey-environmentalists-lets-stop-being-so-depressing-c0d28bd7cad5")</f>
        <v>https://medium.com/@rdearborn/hey-environmentalists-lets-stop-being-so-depressing-c0d28bd7cad5</v>
      </c>
      <c r="Y542" s="38"/>
      <c r="Z542" s="38"/>
      <c r="AA542" s="38"/>
      <c r="AB542" s="38"/>
      <c r="AC542" s="38"/>
      <c r="AD542" s="38"/>
      <c r="AE542" s="38"/>
      <c r="AF542" s="38"/>
      <c r="AG542" s="28"/>
      <c r="AH542" s="28" t="s">
        <v>2738</v>
      </c>
      <c r="AI542" s="28" t="s">
        <v>2740</v>
      </c>
      <c r="AJ542" s="28"/>
      <c r="AK542" s="28" t="s">
        <v>663</v>
      </c>
      <c r="AL542" s="28" t="s">
        <v>769</v>
      </c>
      <c r="AM542" s="28" t="s">
        <v>2747</v>
      </c>
      <c r="AN542" s="54">
        <v>42473.0</v>
      </c>
      <c r="AO542" s="54"/>
      <c r="AP542" s="28" t="s">
        <v>2747</v>
      </c>
      <c r="AQ542" s="54" t="s">
        <v>769</v>
      </c>
      <c r="AR542" s="54"/>
      <c r="AS542" s="54">
        <v>42445.0</v>
      </c>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row>
    <row r="543" ht="25.5" customHeight="1">
      <c r="A543" s="28">
        <v>118.0</v>
      </c>
      <c r="B543" s="37" t="b">
        <v>1</v>
      </c>
      <c r="C543" s="38" t="s">
        <v>106</v>
      </c>
      <c r="D543" s="38">
        <v>80.0</v>
      </c>
      <c r="E543" s="13" t="b">
        <v>1</v>
      </c>
      <c r="F543" s="13" t="b">
        <v>0</v>
      </c>
      <c r="G543" s="38" t="s">
        <v>284</v>
      </c>
      <c r="H543" s="38">
        <v>53.0</v>
      </c>
      <c r="I543" s="38" t="s">
        <v>224</v>
      </c>
      <c r="J543" s="47"/>
      <c r="K543" s="38" t="s">
        <v>224</v>
      </c>
      <c r="L543" s="38"/>
      <c r="M543" s="38" t="s">
        <v>35</v>
      </c>
      <c r="N543" s="38">
        <v>2000.0</v>
      </c>
      <c r="O543" s="38" t="s">
        <v>942</v>
      </c>
      <c r="P543" s="40"/>
      <c r="Q543" s="38" t="s">
        <v>289</v>
      </c>
      <c r="R543" s="47">
        <v>40.0</v>
      </c>
      <c r="S543" s="38" t="s">
        <v>4791</v>
      </c>
      <c r="T543" s="38" t="s">
        <v>4793</v>
      </c>
      <c r="U543" s="38" t="s">
        <v>4794</v>
      </c>
      <c r="V543" s="38">
        <v>2008.0</v>
      </c>
      <c r="W543" s="38" t="s">
        <v>4798</v>
      </c>
      <c r="X543" s="49" t="str">
        <f>HYPERLINK("http://www.aere.org/meetings/documents/0608Alberini.pdf","http://www.aere.org/meetings/documents/0608Alberini.pdf")</f>
        <v>http://www.aere.org/meetings/documents/0608Alberini.pdf</v>
      </c>
      <c r="Y543" s="38"/>
      <c r="Z543" s="38"/>
      <c r="AA543" s="38"/>
      <c r="AB543" s="38"/>
      <c r="AC543" s="38"/>
      <c r="AD543" s="38"/>
      <c r="AE543" s="38"/>
      <c r="AF543" s="3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row>
    <row r="544" ht="25.5" customHeight="1">
      <c r="A544" s="28">
        <v>10031.0</v>
      </c>
      <c r="B544" s="37" t="b">
        <v>1</v>
      </c>
      <c r="C544" s="38" t="s">
        <v>238</v>
      </c>
      <c r="D544" s="38">
        <v>81.0</v>
      </c>
      <c r="E544" s="13" t="b">
        <v>1</v>
      </c>
      <c r="F544" s="13" t="b">
        <v>0</v>
      </c>
      <c r="G544" s="38" t="s">
        <v>323</v>
      </c>
      <c r="H544" s="38">
        <v>59.0</v>
      </c>
      <c r="I544" s="38" t="s">
        <v>224</v>
      </c>
      <c r="J544" s="47"/>
      <c r="K544" s="38" t="s">
        <v>224</v>
      </c>
      <c r="L544" s="38"/>
      <c r="M544" s="38" t="s">
        <v>388</v>
      </c>
      <c r="N544" s="38">
        <v>14000.0</v>
      </c>
      <c r="O544" s="38" t="s">
        <v>224</v>
      </c>
      <c r="P544" s="40"/>
      <c r="Q544" s="38" t="s">
        <v>111</v>
      </c>
      <c r="R544" s="47">
        <v>41.0</v>
      </c>
      <c r="S544" s="38" t="s">
        <v>1629</v>
      </c>
      <c r="T544" s="38" t="s">
        <v>1630</v>
      </c>
      <c r="U544" s="38" t="s">
        <v>1631</v>
      </c>
      <c r="V544" s="55"/>
      <c r="W544" s="38" t="s">
        <v>1633</v>
      </c>
      <c r="X544" s="49" t="str">
        <f>HYPERLINK("http://www.mindtools.com/pages/article/avoiding-psychological-bias.htm","http://www.mindtools.com/pages/article/avoiding-psychological-bias.htm")</f>
        <v>http://www.mindtools.com/pages/article/avoiding-psychological-bias.htm</v>
      </c>
      <c r="Y544" s="38"/>
      <c r="Z544" s="38"/>
      <c r="AA544" s="38"/>
      <c r="AB544" s="38"/>
      <c r="AC544" s="38"/>
      <c r="AD544" s="38"/>
      <c r="AE544" s="38"/>
      <c r="AF544" s="38"/>
      <c r="AG544" s="28"/>
      <c r="AH544" s="28" t="s">
        <v>428</v>
      </c>
      <c r="AI544" s="28" t="s">
        <v>462</v>
      </c>
      <c r="AJ544" s="28"/>
      <c r="AK544" s="28"/>
      <c r="AL544" s="28" t="s">
        <v>677</v>
      </c>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row>
    <row r="545" ht="25.5" customHeight="1">
      <c r="A545" s="28">
        <v>485.0</v>
      </c>
      <c r="B545" s="37" t="b">
        <v>1</v>
      </c>
      <c r="C545" s="38" t="s">
        <v>106</v>
      </c>
      <c r="D545" s="38">
        <v>80.0</v>
      </c>
      <c r="E545" s="13" t="b">
        <v>0</v>
      </c>
      <c r="F545" s="13" t="b">
        <v>1</v>
      </c>
      <c r="G545" s="38" t="s">
        <v>224</v>
      </c>
      <c r="H545" s="38"/>
      <c r="I545" s="38" t="s">
        <v>5696</v>
      </c>
      <c r="J545" s="47" t="s">
        <v>5697</v>
      </c>
      <c r="K545" s="47" t="s">
        <v>5698</v>
      </c>
      <c r="L545" s="38" t="s">
        <v>5699</v>
      </c>
      <c r="M545" s="38" t="s">
        <v>107</v>
      </c>
      <c r="N545" s="38">
        <v>3000.0</v>
      </c>
      <c r="O545" s="38" t="s">
        <v>470</v>
      </c>
      <c r="P545" s="40"/>
      <c r="Q545" s="38" t="s">
        <v>289</v>
      </c>
      <c r="R545" s="47">
        <v>40.0</v>
      </c>
      <c r="S545" s="38" t="s">
        <v>5700</v>
      </c>
      <c r="T545" s="38" t="s">
        <v>5701</v>
      </c>
      <c r="U545" s="38" t="s">
        <v>5702</v>
      </c>
      <c r="V545" s="38">
        <v>2009.0</v>
      </c>
      <c r="W545" s="38" t="s">
        <v>5706</v>
      </c>
      <c r="X545" s="49" t="str">
        <f>HYPERLINK("https://www.pca.state.mn.us/sites/default/files/p-ee1-01.pdf","https://www.pca.state.mn.us/sites/default/files/p-ee1-01.pdf")</f>
        <v>https://www.pca.state.mn.us/sites/default/files/p-ee1-01.pdf</v>
      </c>
      <c r="Y545" s="38"/>
      <c r="Z545" s="38"/>
      <c r="AA545" s="38"/>
      <c r="AB545" s="38"/>
      <c r="AC545" s="38"/>
      <c r="AD545" s="38"/>
      <c r="AE545" s="38"/>
      <c r="AF545" s="38"/>
      <c r="AG545" s="28"/>
      <c r="AH545" s="28" t="s">
        <v>5707</v>
      </c>
      <c r="AI545" s="28" t="s">
        <v>1358</v>
      </c>
      <c r="AJ545" s="28"/>
      <c r="AK545" s="28"/>
      <c r="AL545" s="28" t="s">
        <v>677</v>
      </c>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row>
    <row r="546" ht="25.5" customHeight="1">
      <c r="A546" s="28">
        <v>10331.0</v>
      </c>
      <c r="B546" s="37" t="b">
        <v>1</v>
      </c>
      <c r="C546" s="38" t="s">
        <v>238</v>
      </c>
      <c r="D546" s="38">
        <v>81.0</v>
      </c>
      <c r="E546" s="13" t="b">
        <v>0</v>
      </c>
      <c r="F546" s="13" t="b">
        <v>1</v>
      </c>
      <c r="G546" s="38" t="s">
        <v>224</v>
      </c>
      <c r="H546" s="38"/>
      <c r="I546" s="38" t="s">
        <v>280</v>
      </c>
      <c r="J546" s="47">
        <v>10.0</v>
      </c>
      <c r="K546" s="38"/>
      <c r="L546" s="38"/>
      <c r="M546" s="38" t="s">
        <v>4255</v>
      </c>
      <c r="N546" s="38" t="s">
        <v>4256</v>
      </c>
      <c r="O546" s="38" t="s">
        <v>4257</v>
      </c>
      <c r="P546" s="40"/>
      <c r="Q546" s="38" t="s">
        <v>111</v>
      </c>
      <c r="R546" s="47">
        <v>41.0</v>
      </c>
      <c r="S546" s="38" t="s">
        <v>4473</v>
      </c>
      <c r="T546" s="38" t="s">
        <v>4474</v>
      </c>
      <c r="U546" s="38" t="s">
        <v>4475</v>
      </c>
      <c r="V546" s="42">
        <v>42396.0</v>
      </c>
      <c r="W546" s="38" t="s">
        <v>4476</v>
      </c>
      <c r="X546" s="38" t="s">
        <v>4477</v>
      </c>
      <c r="Y546" s="38"/>
      <c r="Z546" s="38"/>
      <c r="AA546" s="38"/>
      <c r="AB546" s="38"/>
      <c r="AC546" s="38"/>
      <c r="AD546" s="38"/>
      <c r="AE546" s="38"/>
      <c r="AF546" s="38"/>
      <c r="AG546" s="28"/>
      <c r="AH546" s="28"/>
      <c r="AI546" s="28"/>
      <c r="AJ546" s="28"/>
      <c r="AK546" s="28"/>
      <c r="AL546" s="28"/>
      <c r="AM546" s="28"/>
      <c r="AN546" s="28"/>
      <c r="AO546" s="28"/>
      <c r="AP546" s="28"/>
      <c r="AQ546" s="28"/>
      <c r="AR546" s="28"/>
      <c r="AS546" s="28"/>
      <c r="AT546" s="28"/>
      <c r="AU546" s="28"/>
      <c r="AV546" s="28"/>
      <c r="AW546" s="28"/>
      <c r="AX546" s="28"/>
      <c r="AY546" s="28"/>
      <c r="AZ546" s="28" t="s">
        <v>2456</v>
      </c>
      <c r="BA546" s="28"/>
      <c r="BB546" s="28"/>
      <c r="BC546" s="28"/>
      <c r="BD546" s="28"/>
      <c r="BE546" s="28"/>
      <c r="BF546" s="28"/>
      <c r="BG546" s="28"/>
      <c r="BH546" s="28"/>
      <c r="BI546" s="28"/>
      <c r="BJ546" s="28"/>
      <c r="BK546" s="28"/>
      <c r="BL546" s="28"/>
      <c r="BM546" s="28"/>
      <c r="BN546" s="28"/>
      <c r="BO546" s="28"/>
    </row>
    <row r="547" ht="25.5" customHeight="1">
      <c r="A547" s="28">
        <v>232.0</v>
      </c>
      <c r="B547" s="37" t="b">
        <v>1</v>
      </c>
      <c r="C547" s="38" t="s">
        <v>106</v>
      </c>
      <c r="D547" s="38">
        <v>80.0</v>
      </c>
      <c r="E547" s="13" t="b">
        <v>0</v>
      </c>
      <c r="F547" s="13" t="b">
        <v>1</v>
      </c>
      <c r="G547" s="38" t="s">
        <v>224</v>
      </c>
      <c r="H547" s="38"/>
      <c r="I547" s="38" t="s">
        <v>3013</v>
      </c>
      <c r="J547" s="47" t="s">
        <v>3014</v>
      </c>
      <c r="K547" s="38" t="s">
        <v>5625</v>
      </c>
      <c r="L547" s="38" t="s">
        <v>5708</v>
      </c>
      <c r="M547" s="38" t="s">
        <v>239</v>
      </c>
      <c r="N547" s="38">
        <v>4000.0</v>
      </c>
      <c r="O547" s="38" t="s">
        <v>605</v>
      </c>
      <c r="P547" s="40"/>
      <c r="Q547" s="38" t="s">
        <v>324</v>
      </c>
      <c r="R547" s="47" t="s">
        <v>325</v>
      </c>
      <c r="S547" s="38" t="s">
        <v>5626</v>
      </c>
      <c r="T547" s="38" t="s">
        <v>5627</v>
      </c>
      <c r="U547" s="38" t="s">
        <v>5628</v>
      </c>
      <c r="V547" s="38">
        <v>2013.0</v>
      </c>
      <c r="W547" s="38" t="s">
        <v>5629</v>
      </c>
      <c r="X547" s="38" t="s">
        <v>5630</v>
      </c>
      <c r="Y547" s="38"/>
      <c r="Z547" s="38"/>
      <c r="AA547" s="38"/>
      <c r="AB547" s="38"/>
      <c r="AC547" s="38"/>
      <c r="AD547" s="38"/>
      <c r="AE547" s="38"/>
      <c r="AF547" s="38"/>
      <c r="AG547" s="28"/>
      <c r="AH547" s="28" t="s">
        <v>462</v>
      </c>
      <c r="AI547" s="28" t="s">
        <v>462</v>
      </c>
      <c r="AJ547" s="28"/>
      <c r="AK547" s="28"/>
      <c r="AL547" s="28"/>
      <c r="AM547" s="28"/>
      <c r="AN547" s="28"/>
      <c r="AO547" s="28"/>
      <c r="AP547" s="28"/>
      <c r="AQ547" s="28"/>
      <c r="AR547" s="28"/>
      <c r="AS547" s="28"/>
      <c r="AT547" s="28"/>
      <c r="AU547" s="28"/>
      <c r="AV547" s="28"/>
      <c r="AW547" s="28"/>
      <c r="AX547" s="28"/>
      <c r="AY547" s="28"/>
      <c r="AZ547" s="28"/>
      <c r="BA547" s="28" t="s">
        <v>1023</v>
      </c>
      <c r="BB547" s="28"/>
      <c r="BC547" s="28"/>
      <c r="BD547" s="28"/>
      <c r="BE547" s="28"/>
      <c r="BF547" s="28"/>
      <c r="BG547" s="28"/>
      <c r="BH547" s="28"/>
      <c r="BI547" s="28"/>
      <c r="BJ547" s="28"/>
      <c r="BK547" s="28"/>
      <c r="BL547" s="28"/>
      <c r="BM547" s="28"/>
      <c r="BN547" s="28"/>
      <c r="BO547" s="28"/>
    </row>
    <row r="548" ht="25.5" customHeight="1">
      <c r="A548" s="28">
        <v>10437.0</v>
      </c>
      <c r="B548" s="37" t="b">
        <v>1</v>
      </c>
      <c r="C548" s="38" t="s">
        <v>238</v>
      </c>
      <c r="D548" s="38">
        <v>81.0</v>
      </c>
      <c r="E548" s="13" t="b">
        <v>0</v>
      </c>
      <c r="F548" s="13" t="b">
        <v>1</v>
      </c>
      <c r="G548" s="38" t="s">
        <v>224</v>
      </c>
      <c r="H548" s="38"/>
      <c r="I548" s="38" t="s">
        <v>772</v>
      </c>
      <c r="J548" s="47">
        <v>5.0</v>
      </c>
      <c r="K548" s="38"/>
      <c r="L548" s="38"/>
      <c r="M548" s="38" t="s">
        <v>107</v>
      </c>
      <c r="N548" s="38">
        <v>3000.0</v>
      </c>
      <c r="O548" s="38" t="s">
        <v>470</v>
      </c>
      <c r="P548" s="40"/>
      <c r="Q548" s="38" t="s">
        <v>324</v>
      </c>
      <c r="R548" s="47" t="s">
        <v>325</v>
      </c>
      <c r="S548" s="61" t="s">
        <v>5371</v>
      </c>
      <c r="T548" s="38" t="s">
        <v>5372</v>
      </c>
      <c r="U548" s="38" t="s">
        <v>5373</v>
      </c>
      <c r="V548" s="55">
        <v>42212.0</v>
      </c>
      <c r="W548" s="38"/>
      <c r="X548" s="49" t="str">
        <f>HYPERLINK("http://www.misbehavingbook.org/blog/2015/7/27/nudgespotting-behaviorally-informed-light-switches","http://www.misbehavingbook.org/blog/2015/7/27/nudgespotting-behaviorally-informed-light-switches")</f>
        <v>http://www.misbehavingbook.org/blog/2015/7/27/nudgespotting-behaviorally-informed-light-switches</v>
      </c>
      <c r="Y548" s="38"/>
      <c r="Z548" s="38"/>
      <c r="AA548" s="38"/>
      <c r="AB548" s="38"/>
      <c r="AC548" s="38"/>
      <c r="AD548" s="38"/>
      <c r="AE548" s="38"/>
      <c r="AF548" s="38"/>
      <c r="AG548" s="28"/>
      <c r="AH548" s="28" t="s">
        <v>462</v>
      </c>
      <c r="AI548" s="28" t="s">
        <v>462</v>
      </c>
      <c r="AJ548" s="28"/>
      <c r="AK548" s="28" t="s">
        <v>676</v>
      </c>
      <c r="AL548" s="28" t="s">
        <v>769</v>
      </c>
      <c r="AM548" s="28" t="s">
        <v>5379</v>
      </c>
      <c r="AN548" s="28"/>
      <c r="AO548" s="28"/>
      <c r="AP548" s="28"/>
      <c r="AQ548" s="28" t="s">
        <v>769</v>
      </c>
      <c r="AR548" s="28" t="s">
        <v>5379</v>
      </c>
      <c r="AS548" s="54">
        <v>42653.0</v>
      </c>
      <c r="AT548" s="28" t="s">
        <v>1088</v>
      </c>
      <c r="AU548" s="28"/>
      <c r="AV548" s="28"/>
      <c r="AW548" s="28"/>
      <c r="AX548" s="28"/>
      <c r="AY548" s="28"/>
      <c r="AZ548" s="28"/>
      <c r="BA548" s="28"/>
      <c r="BB548" s="28"/>
      <c r="BC548" s="28"/>
      <c r="BD548" s="28"/>
      <c r="BE548" s="28"/>
      <c r="BF548" s="28"/>
      <c r="BG548" s="28"/>
      <c r="BH548" s="28"/>
      <c r="BI548" s="28"/>
      <c r="BJ548" s="28"/>
      <c r="BK548" s="28"/>
      <c r="BL548" s="28"/>
      <c r="BM548" s="28"/>
      <c r="BN548" s="28"/>
      <c r="BO548" s="28"/>
    </row>
    <row r="549" ht="25.5" customHeight="1">
      <c r="A549" s="28">
        <v>10363.0</v>
      </c>
      <c r="B549" s="37" t="b">
        <v>1</v>
      </c>
      <c r="C549" s="38" t="s">
        <v>238</v>
      </c>
      <c r="D549" s="38">
        <v>81.0</v>
      </c>
      <c r="E549" s="13" t="b">
        <v>0</v>
      </c>
      <c r="F549" s="13" t="b">
        <v>1</v>
      </c>
      <c r="G549" s="38" t="s">
        <v>224</v>
      </c>
      <c r="H549" s="38"/>
      <c r="I549" s="38" t="s">
        <v>280</v>
      </c>
      <c r="J549" s="47">
        <v>10.0</v>
      </c>
      <c r="K549" s="38"/>
      <c r="L549" s="38"/>
      <c r="M549" s="38" t="s">
        <v>5713</v>
      </c>
      <c r="N549" s="38" t="s">
        <v>4773</v>
      </c>
      <c r="O549" s="38" t="s">
        <v>4772</v>
      </c>
      <c r="P549" s="40"/>
      <c r="Q549" s="38" t="s">
        <v>289</v>
      </c>
      <c r="R549" s="47">
        <v>40.0</v>
      </c>
      <c r="S549" s="38" t="s">
        <v>4774</v>
      </c>
      <c r="T549" s="38" t="s">
        <v>4775</v>
      </c>
      <c r="U549" s="38" t="s">
        <v>4776</v>
      </c>
      <c r="V549" s="55">
        <v>39976.0</v>
      </c>
      <c r="W549" s="38"/>
      <c r="X549" s="38" t="s">
        <v>4777</v>
      </c>
      <c r="Y549" s="38"/>
      <c r="Z549" s="38"/>
      <c r="AA549" s="38"/>
      <c r="AB549" s="38"/>
      <c r="AC549" s="38"/>
      <c r="AD549" s="38"/>
      <c r="AE549" s="38"/>
      <c r="AF549" s="38"/>
      <c r="AG549" s="28"/>
      <c r="AH549" s="28"/>
      <c r="AI549" s="28"/>
      <c r="AJ549" s="28"/>
      <c r="AK549" s="28"/>
      <c r="AL549" s="28"/>
      <c r="AM549" s="28"/>
      <c r="AN549" s="28"/>
      <c r="AO549" s="28"/>
      <c r="AP549" s="28"/>
      <c r="AQ549" s="28"/>
      <c r="AR549" s="28"/>
      <c r="AS549" s="28"/>
      <c r="AT549" s="28"/>
      <c r="AU549" s="28"/>
      <c r="AV549" s="28"/>
      <c r="AW549" s="28"/>
      <c r="AX549" s="28"/>
      <c r="AY549" s="28"/>
      <c r="AZ549" s="28" t="s">
        <v>2456</v>
      </c>
      <c r="BA549" s="28"/>
      <c r="BB549" s="28"/>
      <c r="BC549" s="28"/>
      <c r="BD549" s="28"/>
      <c r="BE549" s="28"/>
      <c r="BF549" s="28"/>
      <c r="BG549" s="28"/>
      <c r="BH549" s="28"/>
      <c r="BI549" s="28"/>
      <c r="BJ549" s="28"/>
      <c r="BK549" s="28"/>
      <c r="BL549" s="28"/>
      <c r="BM549" s="28"/>
      <c r="BN549" s="28"/>
      <c r="BO549" s="28"/>
    </row>
    <row r="550" ht="25.5" customHeight="1">
      <c r="A550" s="28">
        <v>10123.0</v>
      </c>
      <c r="B550" s="37" t="b">
        <v>1</v>
      </c>
      <c r="C550" s="38" t="s">
        <v>238</v>
      </c>
      <c r="D550" s="38">
        <v>81.0</v>
      </c>
      <c r="E550" s="13" t="b">
        <v>0</v>
      </c>
      <c r="F550" s="13" t="b">
        <v>1</v>
      </c>
      <c r="G550" s="38" t="s">
        <v>224</v>
      </c>
      <c r="H550" s="38"/>
      <c r="I550" s="38" t="s">
        <v>2694</v>
      </c>
      <c r="J550" s="47" t="s">
        <v>2695</v>
      </c>
      <c r="K550" s="38"/>
      <c r="L550" s="38"/>
      <c r="M550" s="38" t="s">
        <v>392</v>
      </c>
      <c r="N550" s="38">
        <v>15000.0</v>
      </c>
      <c r="O550" s="38" t="s">
        <v>1882</v>
      </c>
      <c r="P550" s="40"/>
      <c r="Q550" s="38" t="s">
        <v>289</v>
      </c>
      <c r="R550" s="47">
        <v>40.0</v>
      </c>
      <c r="S550" s="38" t="s">
        <v>2734</v>
      </c>
      <c r="T550" s="38" t="s">
        <v>2735</v>
      </c>
      <c r="U550" s="38" t="s">
        <v>2736</v>
      </c>
      <c r="V550" s="55">
        <v>41442.0</v>
      </c>
      <c r="W550" s="38"/>
      <c r="X550" s="49" t="str">
        <f>HYPERLINK("https://mlmlblog.wordpress.com/2013/06/17/beyond-the-obituaries-the-shinning-stars-of-conservation-work/","https://mlmlblog.wordpress.com/2013/06/17/beyond-the-obituaries-the-shinning-stars-of-conservation-work/")</f>
        <v>https://mlmlblog.wordpress.com/2013/06/17/beyond-the-obituaries-the-shinning-stars-of-conservation-work/</v>
      </c>
      <c r="Y550" s="38"/>
      <c r="Z550" s="38"/>
      <c r="AA550" s="38"/>
      <c r="AB550" s="38"/>
      <c r="AC550" s="38"/>
      <c r="AD550" s="38"/>
      <c r="AE550" s="38"/>
      <c r="AF550" s="38"/>
      <c r="AG550" s="28"/>
      <c r="AH550" s="28" t="s">
        <v>2738</v>
      </c>
      <c r="AI550" s="28" t="s">
        <v>2740</v>
      </c>
      <c r="AJ550" s="28"/>
      <c r="AK550" s="28"/>
      <c r="AL550" s="28" t="s">
        <v>600</v>
      </c>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row>
    <row r="551" ht="25.5" customHeight="1">
      <c r="A551" s="28">
        <v>10021.0</v>
      </c>
      <c r="B551" s="37" t="b">
        <v>1</v>
      </c>
      <c r="C551" s="38" t="s">
        <v>238</v>
      </c>
      <c r="D551" s="38">
        <v>81.0</v>
      </c>
      <c r="E551" s="13" t="b">
        <v>1</v>
      </c>
      <c r="F551" s="13" t="b">
        <v>0</v>
      </c>
      <c r="G551" s="38" t="s">
        <v>363</v>
      </c>
      <c r="H551" s="38">
        <v>58.0</v>
      </c>
      <c r="I551" s="38" t="s">
        <v>224</v>
      </c>
      <c r="J551" s="47"/>
      <c r="K551" s="38" t="s">
        <v>224</v>
      </c>
      <c r="L551" s="38"/>
      <c r="M551" s="38" t="s">
        <v>35</v>
      </c>
      <c r="N551" s="38">
        <v>2000.0</v>
      </c>
      <c r="O551" s="38" t="s">
        <v>837</v>
      </c>
      <c r="P551" s="40">
        <v>2001.0</v>
      </c>
      <c r="Q551" s="38" t="s">
        <v>289</v>
      </c>
      <c r="R551" s="47">
        <v>40.0</v>
      </c>
      <c r="S551" s="38" t="s">
        <v>1504</v>
      </c>
      <c r="T551" s="38" t="s">
        <v>1374</v>
      </c>
      <c r="U551" s="38" t="s">
        <v>1505</v>
      </c>
      <c r="V551" s="38">
        <v>2011.0</v>
      </c>
      <c r="W551" s="38"/>
      <c r="X551" s="49" t="str">
        <f>HYPERLINK("http://www.motherjones.com/politics/2011/03/denial-science-chris-mooney","http://www.motherjones.com/politics/2011/03/denial-science-chris-mooney")</f>
        <v>http://www.motherjones.com/politics/2011/03/denial-science-chris-mooney</v>
      </c>
      <c r="Y551" s="38"/>
      <c r="Z551" s="38"/>
      <c r="AA551" s="38"/>
      <c r="AB551" s="38"/>
      <c r="AC551" s="38"/>
      <c r="AD551" s="38"/>
      <c r="AE551" s="38"/>
      <c r="AF551" s="38"/>
      <c r="AG551" s="28"/>
      <c r="AH551" s="28" t="s">
        <v>428</v>
      </c>
      <c r="AI551" s="28" t="s">
        <v>462</v>
      </c>
      <c r="AJ551" s="28"/>
      <c r="AK551" s="28"/>
      <c r="AL551" s="28" t="s">
        <v>600</v>
      </c>
      <c r="AM551" s="28"/>
      <c r="AN551" s="54"/>
      <c r="AO551" s="54"/>
      <c r="AP551" s="28"/>
      <c r="AQ551" s="28"/>
      <c r="AR551" s="28"/>
      <c r="AS551" s="54"/>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row>
    <row r="552" ht="25.5" customHeight="1">
      <c r="A552" s="28">
        <v>10022.0</v>
      </c>
      <c r="B552" s="37" t="b">
        <v>1</v>
      </c>
      <c r="C552" s="38" t="s">
        <v>238</v>
      </c>
      <c r="D552" s="38">
        <v>81.0</v>
      </c>
      <c r="E552" s="13" t="b">
        <v>1</v>
      </c>
      <c r="F552" s="13" t="b">
        <v>0</v>
      </c>
      <c r="G552" s="38" t="s">
        <v>363</v>
      </c>
      <c r="H552" s="38">
        <v>58.0</v>
      </c>
      <c r="I552" s="38" t="s">
        <v>224</v>
      </c>
      <c r="J552" s="47"/>
      <c r="K552" s="38" t="s">
        <v>224</v>
      </c>
      <c r="L552" s="38"/>
      <c r="M552" s="38" t="s">
        <v>388</v>
      </c>
      <c r="N552" s="38">
        <v>14000.0</v>
      </c>
      <c r="O552" s="38" t="s">
        <v>224</v>
      </c>
      <c r="P552" s="40"/>
      <c r="Q552" s="38" t="s">
        <v>289</v>
      </c>
      <c r="R552" s="47">
        <v>40.0</v>
      </c>
      <c r="S552" s="38" t="s">
        <v>1511</v>
      </c>
      <c r="T552" s="38" t="s">
        <v>1374</v>
      </c>
      <c r="U552" s="38" t="s">
        <v>1505</v>
      </c>
      <c r="V552" s="55">
        <v>41521.0</v>
      </c>
      <c r="W552" s="38" t="s">
        <v>1512</v>
      </c>
      <c r="X552" s="49" t="str">
        <f>HYPERLINK("http://www.motherjones.com/politics/2013/09/new-study-politics-makes-you-innumerate","http://www.motherjones.com/politics/2013/09/new-study-politics-makes-you-innumerate")</f>
        <v>http://www.motherjones.com/politics/2013/09/new-study-politics-makes-you-innumerate</v>
      </c>
      <c r="Y552" s="38"/>
      <c r="Z552" s="38"/>
      <c r="AA552" s="38"/>
      <c r="AB552" s="38"/>
      <c r="AC552" s="38"/>
      <c r="AD552" s="38"/>
      <c r="AE552" s="38"/>
      <c r="AF552" s="38"/>
      <c r="AG552" s="28"/>
      <c r="AH552" s="28" t="s">
        <v>462</v>
      </c>
      <c r="AI552" s="28" t="s">
        <v>462</v>
      </c>
      <c r="AJ552" s="28"/>
      <c r="AK552" s="28" t="s">
        <v>676</v>
      </c>
      <c r="AL552" s="28" t="s">
        <v>769</v>
      </c>
      <c r="AM552" s="28" t="s">
        <v>1516</v>
      </c>
      <c r="AN552" s="54">
        <v>41957.0</v>
      </c>
      <c r="AO552" s="54"/>
      <c r="AP552" s="28" t="s">
        <v>1517</v>
      </c>
      <c r="AQ552" s="28" t="s">
        <v>530</v>
      </c>
      <c r="AR552" s="28"/>
      <c r="AS552" s="54"/>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row>
    <row r="553" ht="25.5" customHeight="1">
      <c r="A553" s="28">
        <v>10346.0</v>
      </c>
      <c r="B553" s="37" t="b">
        <v>1</v>
      </c>
      <c r="C553" s="38" t="s">
        <v>238</v>
      </c>
      <c r="D553" s="38">
        <v>81.0</v>
      </c>
      <c r="E553" s="13" t="b">
        <v>0</v>
      </c>
      <c r="F553" s="13" t="b">
        <v>1</v>
      </c>
      <c r="G553" s="38" t="s">
        <v>224</v>
      </c>
      <c r="H553" s="38"/>
      <c r="I553" s="38" t="s">
        <v>280</v>
      </c>
      <c r="J553" s="47">
        <v>10.0</v>
      </c>
      <c r="K553" s="47"/>
      <c r="L553" s="38"/>
      <c r="M553" s="38" t="s">
        <v>4255</v>
      </c>
      <c r="N553" s="38" t="s">
        <v>4256</v>
      </c>
      <c r="O553" s="38" t="s">
        <v>4642</v>
      </c>
      <c r="P553" s="40"/>
      <c r="Q553" s="38" t="s">
        <v>289</v>
      </c>
      <c r="R553" s="47">
        <v>40.0</v>
      </c>
      <c r="S553" s="38" t="s">
        <v>4643</v>
      </c>
      <c r="T553" s="38" t="s">
        <v>4644</v>
      </c>
      <c r="U553" s="38" t="s">
        <v>4645</v>
      </c>
      <c r="V553" s="42">
        <v>42214.0</v>
      </c>
      <c r="W553" s="38"/>
      <c r="X553" s="38" t="s">
        <v>4646</v>
      </c>
      <c r="Y553" s="38"/>
      <c r="Z553" s="38"/>
      <c r="AA553" s="38"/>
      <c r="AB553" s="38"/>
      <c r="AC553" s="38"/>
      <c r="AD553" s="38"/>
      <c r="AE553" s="38"/>
      <c r="AF553" s="38"/>
      <c r="AG553" s="28"/>
      <c r="AH553" s="28"/>
      <c r="AI553" s="28"/>
      <c r="AJ553" s="28"/>
      <c r="AK553" s="28"/>
      <c r="AL553" s="28"/>
      <c r="AM553" s="28"/>
      <c r="AN553" s="28"/>
      <c r="AO553" s="28"/>
      <c r="AP553" s="28"/>
      <c r="AQ553" s="28"/>
      <c r="AR553" s="28"/>
      <c r="AS553" s="28"/>
      <c r="AT553" s="28"/>
      <c r="AU553" s="28"/>
      <c r="AV553" s="28"/>
      <c r="AW553" s="28"/>
      <c r="AX553" s="28"/>
      <c r="AY553" s="28"/>
      <c r="AZ553" s="28" t="s">
        <v>4261</v>
      </c>
      <c r="BA553" s="28"/>
      <c r="BB553" s="28"/>
      <c r="BC553" s="28"/>
      <c r="BD553" s="28"/>
      <c r="BE553" s="28"/>
      <c r="BF553" s="28"/>
      <c r="BG553" s="28"/>
      <c r="BH553" s="28"/>
      <c r="BI553" s="28"/>
      <c r="BJ553" s="28"/>
      <c r="BK553" s="28"/>
      <c r="BL553" s="28"/>
      <c r="BM553" s="28"/>
      <c r="BN553" s="28"/>
      <c r="BO553" s="28"/>
    </row>
    <row r="554" ht="25.5" customHeight="1">
      <c r="A554" s="28">
        <v>10024.0</v>
      </c>
      <c r="B554" s="37" t="b">
        <v>1</v>
      </c>
      <c r="C554" s="38" t="s">
        <v>238</v>
      </c>
      <c r="D554" s="38">
        <v>81.0</v>
      </c>
      <c r="E554" s="13" t="b">
        <v>1</v>
      </c>
      <c r="F554" s="13" t="b">
        <v>0</v>
      </c>
      <c r="G554" s="38" t="s">
        <v>5734</v>
      </c>
      <c r="H554" s="38" t="s">
        <v>5735</v>
      </c>
      <c r="I554" s="38" t="s">
        <v>224</v>
      </c>
      <c r="J554" s="47"/>
      <c r="K554" s="38" t="s">
        <v>224</v>
      </c>
      <c r="L554" s="38"/>
      <c r="M554" s="38" t="s">
        <v>35</v>
      </c>
      <c r="N554" s="38">
        <v>2000.0</v>
      </c>
      <c r="O554" s="38" t="s">
        <v>578</v>
      </c>
      <c r="P554" s="40"/>
      <c r="Q554" s="38" t="s">
        <v>289</v>
      </c>
      <c r="R554" s="47">
        <v>40.0</v>
      </c>
      <c r="S554" s="38" t="s">
        <v>1537</v>
      </c>
      <c r="T554" s="38" t="s">
        <v>1539</v>
      </c>
      <c r="U554" s="38" t="s">
        <v>1540</v>
      </c>
      <c r="V554" s="55">
        <v>42165.0</v>
      </c>
      <c r="W554" s="38"/>
      <c r="X554" s="49" t="str">
        <f>HYPERLINK("http://motherboard.vice.com/read/apocalypse-neuro-why-our-brain-cant-process-the-planets-gravest-threats?utm_source=mbtwitter","http://motherboard.vice.com/read/apocalypse-neuro-why-our-brain-cant-process-the-planets-gravest-threats?utm_source=mbtwitter")</f>
        <v>http://motherboard.vice.com/read/apocalypse-neuro-why-our-brain-cant-process-the-planets-gravest-threats?utm_source=mbtwitter</v>
      </c>
      <c r="Y554" s="38"/>
      <c r="Z554" s="38"/>
      <c r="AA554" s="38"/>
      <c r="AB554" s="38"/>
      <c r="AC554" s="38"/>
      <c r="AD554" s="38"/>
      <c r="AE554" s="38"/>
      <c r="AF554" s="38"/>
      <c r="AG554" s="28" t="s">
        <v>1542</v>
      </c>
      <c r="AH554" s="28" t="s">
        <v>462</v>
      </c>
      <c r="AI554" s="28" t="s">
        <v>462</v>
      </c>
      <c r="AJ554" s="28"/>
      <c r="AK554" s="28" t="s">
        <v>676</v>
      </c>
      <c r="AL554" s="28" t="s">
        <v>769</v>
      </c>
      <c r="AM554" s="28" t="s">
        <v>1544</v>
      </c>
      <c r="AN554" s="54">
        <v>42173.0</v>
      </c>
      <c r="AO554" s="54"/>
      <c r="AP554" s="54">
        <v>42583.0</v>
      </c>
      <c r="AQ554" s="28"/>
      <c r="AR554" s="28"/>
      <c r="AS554" s="54"/>
      <c r="AT554" s="28" t="s">
        <v>1406</v>
      </c>
      <c r="AU554" s="28"/>
      <c r="AV554" s="28"/>
      <c r="AW554" s="28"/>
      <c r="AX554" s="28" t="s">
        <v>428</v>
      </c>
      <c r="AY554" s="28"/>
      <c r="AZ554" s="28"/>
      <c r="BA554" s="28"/>
      <c r="BB554" s="28"/>
      <c r="BC554" s="28"/>
      <c r="BD554" s="28"/>
      <c r="BE554" s="28"/>
      <c r="BF554" s="28"/>
      <c r="BG554" s="28"/>
      <c r="BH554" s="28"/>
      <c r="BI554" s="28"/>
      <c r="BJ554" s="28"/>
      <c r="BK554" s="28"/>
      <c r="BL554" s="28"/>
      <c r="BM554" s="28"/>
      <c r="BN554" s="28"/>
      <c r="BO554" s="28"/>
    </row>
    <row r="555" ht="25.5" customHeight="1">
      <c r="A555" s="28">
        <v>10112.0</v>
      </c>
      <c r="B555" s="37" t="b">
        <v>1</v>
      </c>
      <c r="C555" s="38" t="s">
        <v>238</v>
      </c>
      <c r="D555" s="38">
        <v>81.0</v>
      </c>
      <c r="E555" s="13" t="b">
        <v>0</v>
      </c>
      <c r="F555" s="13" t="b">
        <v>1</v>
      </c>
      <c r="G555" s="38" t="s">
        <v>224</v>
      </c>
      <c r="H555" s="38"/>
      <c r="I555" s="38" t="s">
        <v>1956</v>
      </c>
      <c r="J555" s="47" t="s">
        <v>1957</v>
      </c>
      <c r="K555" s="38"/>
      <c r="L555" s="38"/>
      <c r="M555" s="38" t="s">
        <v>388</v>
      </c>
      <c r="N555" s="38">
        <v>14000.0</v>
      </c>
      <c r="O555" s="38" t="s">
        <v>224</v>
      </c>
      <c r="P555" s="40"/>
      <c r="Q555" s="38" t="s">
        <v>289</v>
      </c>
      <c r="R555" s="47">
        <v>40.0</v>
      </c>
      <c r="S555" s="38" t="s">
        <v>2603</v>
      </c>
      <c r="T555" s="38" t="s">
        <v>2604</v>
      </c>
      <c r="U555" s="38" t="s">
        <v>2605</v>
      </c>
      <c r="V555" s="55">
        <v>41044.0</v>
      </c>
      <c r="W555" s="38" t="s">
        <v>2606</v>
      </c>
      <c r="X555" s="49" t="str">
        <f>HYPERLINK("https://moz.com/ugc/10-psychological-research-studies-to-help-you-tap-into-human-behavior-and-increase-conversions","https://moz.com/ugc/10-psychological-research-studies-to-help-you-tap-into-human-behavior-and-increase-conversions")</f>
        <v>https://moz.com/ugc/10-psychological-research-studies-to-help-you-tap-into-human-behavior-and-increase-conversions</v>
      </c>
      <c r="Y555" s="38"/>
      <c r="Z555" s="38"/>
      <c r="AA555" s="38"/>
      <c r="AB555" s="38"/>
      <c r="AC555" s="38"/>
      <c r="AD555" s="38"/>
      <c r="AE555" s="38"/>
      <c r="AF555" s="38"/>
      <c r="AG555" s="28"/>
      <c r="AH555" s="28" t="s">
        <v>428</v>
      </c>
      <c r="AI555" s="28" t="s">
        <v>462</v>
      </c>
      <c r="AJ555" s="28"/>
      <c r="AK555" s="28"/>
      <c r="AL555" s="28" t="s">
        <v>769</v>
      </c>
      <c r="AM555" s="28" t="s">
        <v>2612</v>
      </c>
      <c r="AN555" s="54">
        <v>42333.0</v>
      </c>
      <c r="AO555" s="54"/>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row>
    <row r="556" ht="25.5" customHeight="1">
      <c r="A556" s="28">
        <v>115.0</v>
      </c>
      <c r="B556" s="37" t="b">
        <v>1</v>
      </c>
      <c r="C556" s="38" t="s">
        <v>106</v>
      </c>
      <c r="D556" s="38">
        <v>80.0</v>
      </c>
      <c r="E556" s="13" t="b">
        <v>1</v>
      </c>
      <c r="F556" s="13" t="b">
        <v>0</v>
      </c>
      <c r="G556" s="38" t="s">
        <v>284</v>
      </c>
      <c r="H556" s="38">
        <v>53.0</v>
      </c>
      <c r="I556" s="38" t="s">
        <v>224</v>
      </c>
      <c r="J556" s="47"/>
      <c r="K556" s="38" t="s">
        <v>224</v>
      </c>
      <c r="L556" s="38"/>
      <c r="M556" s="38" t="s">
        <v>5741</v>
      </c>
      <c r="N556" s="38" t="s">
        <v>4758</v>
      </c>
      <c r="O556" s="38" t="s">
        <v>4757</v>
      </c>
      <c r="P556" s="40"/>
      <c r="Q556" s="38" t="s">
        <v>298</v>
      </c>
      <c r="R556" s="47">
        <v>44.0</v>
      </c>
      <c r="S556" s="38" t="s">
        <v>4759</v>
      </c>
      <c r="T556" s="38" t="s">
        <v>4760</v>
      </c>
      <c r="U556" s="38" t="s">
        <v>4761</v>
      </c>
      <c r="V556" s="38">
        <v>2009.0</v>
      </c>
      <c r="W556" s="38" t="s">
        <v>4762</v>
      </c>
      <c r="X556" s="49" t="str">
        <f>HYPERLINK("http://researchrepository.murdoch.edu.au/2972/","http://researchrepository.murdoch.edu.au/2972/")</f>
        <v>http://researchrepository.murdoch.edu.au/2972/</v>
      </c>
      <c r="Y556" s="38"/>
      <c r="Z556" s="38"/>
      <c r="AA556" s="38"/>
      <c r="AB556" s="38"/>
      <c r="AC556" s="38"/>
      <c r="AD556" s="38"/>
      <c r="AE556" s="38"/>
      <c r="AF556" s="3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row>
    <row r="557" ht="25.5" customHeight="1">
      <c r="A557" s="28">
        <v>10353.0</v>
      </c>
      <c r="B557" s="37" t="b">
        <v>1</v>
      </c>
      <c r="C557" s="38" t="s">
        <v>238</v>
      </c>
      <c r="D557" s="38">
        <v>81.0</v>
      </c>
      <c r="E557" s="13" t="b">
        <v>0</v>
      </c>
      <c r="F557" s="13" t="b">
        <v>1</v>
      </c>
      <c r="G557" s="38" t="s">
        <v>224</v>
      </c>
      <c r="H557" s="38"/>
      <c r="I557" s="38" t="s">
        <v>280</v>
      </c>
      <c r="J557" s="47">
        <v>10.0</v>
      </c>
      <c r="K557" s="47"/>
      <c r="L557" s="38"/>
      <c r="M557" s="38" t="s">
        <v>107</v>
      </c>
      <c r="N557" s="38">
        <v>3000.0</v>
      </c>
      <c r="O557" s="38" t="s">
        <v>116</v>
      </c>
      <c r="P557" s="40"/>
      <c r="Q557" s="38" t="s">
        <v>289</v>
      </c>
      <c r="R557" s="47">
        <v>40.0</v>
      </c>
      <c r="S557" s="38" t="s">
        <v>4707</v>
      </c>
      <c r="T557" s="38" t="s">
        <v>577</v>
      </c>
      <c r="U557" s="38" t="s">
        <v>4708</v>
      </c>
      <c r="V557" s="38"/>
      <c r="W557" s="38" t="s">
        <v>4709</v>
      </c>
      <c r="X557" s="38" t="s">
        <v>4710</v>
      </c>
      <c r="Y557" s="38"/>
      <c r="Z557" s="38"/>
      <c r="AA557" s="38"/>
      <c r="AB557" s="38"/>
      <c r="AC557" s="38"/>
      <c r="AD557" s="38"/>
      <c r="AE557" s="38"/>
      <c r="AF557" s="38"/>
      <c r="AG557" s="28"/>
      <c r="AH557" s="28"/>
      <c r="AI557" s="28"/>
      <c r="AJ557" s="28"/>
      <c r="AK557" s="28"/>
      <c r="AL557" s="28"/>
      <c r="AM557" s="28"/>
      <c r="AN557" s="28"/>
      <c r="AO557" s="28"/>
      <c r="AP557" s="28"/>
      <c r="AQ557" s="28"/>
      <c r="AR557" s="28"/>
      <c r="AS557" s="28"/>
      <c r="AT557" s="28"/>
      <c r="AU557" s="28"/>
      <c r="AV557" s="28"/>
      <c r="AW557" s="28"/>
      <c r="AX557" s="28"/>
      <c r="AY557" s="28"/>
      <c r="AZ557" s="28" t="s">
        <v>1137</v>
      </c>
      <c r="BA557" s="28"/>
      <c r="BB557" s="28"/>
      <c r="BC557" s="28"/>
      <c r="BD557" s="28"/>
      <c r="BE557" s="28"/>
      <c r="BF557" s="28"/>
      <c r="BG557" s="28"/>
      <c r="BH557" s="28"/>
      <c r="BI557" s="28"/>
      <c r="BJ557" s="28"/>
      <c r="BK557" s="28"/>
      <c r="BL557" s="28"/>
      <c r="BM557" s="28"/>
      <c r="BN557" s="28"/>
      <c r="BO557" s="28"/>
    </row>
    <row r="558" ht="25.5" customHeight="1">
      <c r="A558" s="28">
        <v>339.0</v>
      </c>
      <c r="B558" s="37" t="b">
        <v>1</v>
      </c>
      <c r="C558" s="38" t="s">
        <v>106</v>
      </c>
      <c r="D558" s="38">
        <v>80.0</v>
      </c>
      <c r="E558" s="13" t="b">
        <v>0</v>
      </c>
      <c r="F558" s="13" t="b">
        <v>1</v>
      </c>
      <c r="G558" s="38" t="s">
        <v>224</v>
      </c>
      <c r="H558" s="38"/>
      <c r="I558" s="38" t="s">
        <v>490</v>
      </c>
      <c r="J558" s="47">
        <v>6.0</v>
      </c>
      <c r="K558" s="38" t="s">
        <v>491</v>
      </c>
      <c r="L558" s="38">
        <v>605.0</v>
      </c>
      <c r="M558" s="38" t="s">
        <v>388</v>
      </c>
      <c r="N558" s="38">
        <v>14000.0</v>
      </c>
      <c r="O558" s="38" t="s">
        <v>224</v>
      </c>
      <c r="P558" s="40"/>
      <c r="Q558" s="38" t="s">
        <v>111</v>
      </c>
      <c r="R558" s="47">
        <v>41.0</v>
      </c>
      <c r="S558" s="38" t="s">
        <v>5745</v>
      </c>
      <c r="T558" s="38" t="s">
        <v>5747</v>
      </c>
      <c r="U558" s="38" t="s">
        <v>5749</v>
      </c>
      <c r="V558" s="38">
        <v>2006.0</v>
      </c>
      <c r="W558" s="38" t="s">
        <v>5752</v>
      </c>
      <c r="X558" s="38" t="s">
        <v>5754</v>
      </c>
      <c r="Y558" s="38"/>
      <c r="Z558" s="38"/>
      <c r="AA558" s="38"/>
      <c r="AB558" s="38"/>
      <c r="AC558" s="38"/>
      <c r="AD558" s="38"/>
      <c r="AE558" s="38"/>
      <c r="AF558" s="38"/>
      <c r="AG558" s="28" t="s">
        <v>5755</v>
      </c>
      <c r="AH558" s="28" t="s">
        <v>462</v>
      </c>
      <c r="AI558" s="28" t="s">
        <v>462</v>
      </c>
      <c r="AJ558" s="28"/>
      <c r="AK558" s="28" t="s">
        <v>663</v>
      </c>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row>
    <row r="559" ht="25.5" customHeight="1">
      <c r="A559" s="28">
        <v>10251.0</v>
      </c>
      <c r="B559" s="37" t="b">
        <v>1</v>
      </c>
      <c r="C559" s="38" t="s">
        <v>238</v>
      </c>
      <c r="D559" s="38">
        <v>81.0</v>
      </c>
      <c r="E559" s="13" t="b">
        <v>0</v>
      </c>
      <c r="F559" s="13" t="b">
        <v>1</v>
      </c>
      <c r="G559" s="38" t="s">
        <v>224</v>
      </c>
      <c r="H559" s="38"/>
      <c r="I559" s="38" t="s">
        <v>429</v>
      </c>
      <c r="J559" s="47">
        <v>2.0</v>
      </c>
      <c r="K559" s="38"/>
      <c r="L559" s="38"/>
      <c r="M559" s="38" t="s">
        <v>239</v>
      </c>
      <c r="N559" s="38">
        <v>4000.0</v>
      </c>
      <c r="O559" s="38" t="s">
        <v>605</v>
      </c>
      <c r="P559" s="40"/>
      <c r="Q559" s="38" t="s">
        <v>289</v>
      </c>
      <c r="R559" s="47">
        <v>40.0</v>
      </c>
      <c r="S559" s="38" t="s">
        <v>3777</v>
      </c>
      <c r="T559" s="38" t="s">
        <v>3778</v>
      </c>
      <c r="U559" s="38" t="s">
        <v>2338</v>
      </c>
      <c r="V559" s="55">
        <v>41639.0</v>
      </c>
      <c r="W559" s="38" t="s">
        <v>3779</v>
      </c>
      <c r="X559" s="49" t="str">
        <f>HYPERLINK("http://energyblog.nationalgeographic.com/2013/12/31/u-s-phase-out-of-incandescent-light-bulbs-continues-in-2014-with-40-60-watt-varieties/","http://energyblog.nationalgeographic.com/2013/12/31/u-s-phase-out-of-incandescent-light-bulbs-continues-in-2014-with-40-60-watt-varieties/")</f>
        <v>http://energyblog.nationalgeographic.com/2013/12/31/u-s-phase-out-of-incandescent-light-bulbs-continues-in-2014-with-40-60-watt-varieties/</v>
      </c>
      <c r="Y559" s="38"/>
      <c r="Z559" s="38"/>
      <c r="AA559" s="38"/>
      <c r="AB559" s="38"/>
      <c r="AC559" s="38"/>
      <c r="AD559" s="38"/>
      <c r="AE559" s="38"/>
      <c r="AF559" s="38"/>
      <c r="AG559" s="28" t="s">
        <v>3780</v>
      </c>
      <c r="AH559" s="28" t="s">
        <v>462</v>
      </c>
      <c r="AI559" s="28" t="s">
        <v>462</v>
      </c>
      <c r="AJ559" s="28"/>
      <c r="AK559" s="28" t="s">
        <v>1099</v>
      </c>
      <c r="AL559" s="28" t="s">
        <v>600</v>
      </c>
      <c r="AM559" s="28"/>
      <c r="AN559" s="28"/>
      <c r="AO559" s="28"/>
      <c r="AP559" s="28"/>
      <c r="AQ559" s="28"/>
      <c r="AR559" s="28"/>
      <c r="AS559" s="28"/>
      <c r="AT559" s="28"/>
      <c r="AU559" s="28"/>
      <c r="AV559" s="28"/>
      <c r="AW559" s="28"/>
      <c r="AX559" s="28"/>
      <c r="AY559" s="28"/>
      <c r="AZ559" s="28" t="s">
        <v>1101</v>
      </c>
      <c r="BA559" s="28" t="s">
        <v>2425</v>
      </c>
      <c r="BB559" s="28"/>
      <c r="BC559" s="28"/>
      <c r="BD559" s="28"/>
      <c r="BE559" s="28"/>
      <c r="BF559" s="28"/>
      <c r="BG559" s="28"/>
      <c r="BH559" s="28"/>
      <c r="BI559" s="28"/>
      <c r="BJ559" s="28"/>
      <c r="BK559" s="28"/>
      <c r="BL559" s="28"/>
      <c r="BM559" s="28"/>
      <c r="BN559" s="28"/>
      <c r="BO559" s="28"/>
    </row>
    <row r="560" ht="25.5" customHeight="1">
      <c r="A560" s="28">
        <v>10197.0</v>
      </c>
      <c r="B560" s="37" t="b">
        <v>1</v>
      </c>
      <c r="C560" s="38" t="s">
        <v>238</v>
      </c>
      <c r="D560" s="38">
        <v>81.0</v>
      </c>
      <c r="E560" s="13" t="b">
        <v>0</v>
      </c>
      <c r="F560" s="13" t="b">
        <v>1</v>
      </c>
      <c r="G560" s="38" t="s">
        <v>224</v>
      </c>
      <c r="H560" s="38"/>
      <c r="I560" s="38" t="s">
        <v>1857</v>
      </c>
      <c r="J560" s="47">
        <v>1.0</v>
      </c>
      <c r="K560" s="47"/>
      <c r="L560" s="38"/>
      <c r="M560" s="38" t="s">
        <v>392</v>
      </c>
      <c r="N560" s="38">
        <v>15000.0</v>
      </c>
      <c r="O560" s="38" t="s">
        <v>3228</v>
      </c>
      <c r="P560" s="40"/>
      <c r="Q560" s="38" t="s">
        <v>3326</v>
      </c>
      <c r="R560" s="47">
        <v>45.0</v>
      </c>
      <c r="S560" s="38" t="s">
        <v>3327</v>
      </c>
      <c r="T560" s="38" t="s">
        <v>3328</v>
      </c>
      <c r="U560" s="38" t="s">
        <v>2338</v>
      </c>
      <c r="V560" s="55">
        <v>41708.0</v>
      </c>
      <c r="W560" s="38" t="s">
        <v>3329</v>
      </c>
      <c r="X560" s="49" t="str">
        <f>HYPERLINK("http://voices.nationalgeographic.com/2014/03/10/can-behavioral-economics-save-reefs/","http://voices.nationalgeographic.com/2014/03/10/can-behavioral-economics-save-reefs/")</f>
        <v>http://voices.nationalgeographic.com/2014/03/10/can-behavioral-economics-save-reefs/</v>
      </c>
      <c r="Y560" s="38"/>
      <c r="Z560" s="38"/>
      <c r="AA560" s="38"/>
      <c r="AB560" s="38"/>
      <c r="AC560" s="38"/>
      <c r="AD560" s="38"/>
      <c r="AE560" s="38"/>
      <c r="AF560" s="38"/>
      <c r="AG560" s="28"/>
      <c r="AH560" s="28" t="s">
        <v>462</v>
      </c>
      <c r="AI560" s="28" t="s">
        <v>462</v>
      </c>
      <c r="AJ560" s="28"/>
      <c r="AK560" s="28" t="s">
        <v>676</v>
      </c>
      <c r="AL560" s="28" t="s">
        <v>769</v>
      </c>
      <c r="AM560" s="28" t="s">
        <v>3331</v>
      </c>
      <c r="AN560" s="54">
        <v>41732.0</v>
      </c>
      <c r="AO560" s="54"/>
      <c r="AP560" s="54">
        <v>42618.0</v>
      </c>
      <c r="AQ560" s="28" t="s">
        <v>769</v>
      </c>
      <c r="AR560" s="28"/>
      <c r="AS560" s="54">
        <v>41863.0</v>
      </c>
      <c r="AT560" s="28"/>
      <c r="AU560" s="28"/>
      <c r="AV560" s="28"/>
      <c r="AW560" s="28"/>
      <c r="AX560" s="28"/>
      <c r="AY560" s="28"/>
      <c r="AZ560" s="28"/>
      <c r="BA560" s="28" t="s">
        <v>3239</v>
      </c>
      <c r="BB560" s="28"/>
      <c r="BC560" s="28"/>
      <c r="BD560" s="28"/>
      <c r="BE560" s="28"/>
      <c r="BF560" s="28"/>
      <c r="BG560" s="28"/>
      <c r="BH560" s="28"/>
      <c r="BI560" s="28"/>
      <c r="BJ560" s="28"/>
      <c r="BK560" s="28"/>
      <c r="BL560" s="28"/>
      <c r="BM560" s="28"/>
      <c r="BN560" s="28"/>
      <c r="BO560" s="28"/>
    </row>
    <row r="561" ht="25.5" customHeight="1">
      <c r="A561" s="28">
        <v>10288.0</v>
      </c>
      <c r="B561" s="37" t="b">
        <v>1</v>
      </c>
      <c r="C561" s="38" t="s">
        <v>238</v>
      </c>
      <c r="D561" s="38">
        <v>81.0</v>
      </c>
      <c r="E561" s="13" t="b">
        <v>0</v>
      </c>
      <c r="F561" s="13" t="b">
        <v>1</v>
      </c>
      <c r="G561" s="38" t="s">
        <v>224</v>
      </c>
      <c r="H561" s="38"/>
      <c r="I561" s="38" t="s">
        <v>323</v>
      </c>
      <c r="J561" s="47">
        <v>11.0</v>
      </c>
      <c r="K561" s="38"/>
      <c r="L561" s="38"/>
      <c r="M561" s="38" t="s">
        <v>35</v>
      </c>
      <c r="N561" s="38">
        <v>2000.0</v>
      </c>
      <c r="O561" s="38" t="s">
        <v>578</v>
      </c>
      <c r="P561" s="40"/>
      <c r="Q561" s="38" t="s">
        <v>289</v>
      </c>
      <c r="R561" s="47">
        <v>40.0</v>
      </c>
      <c r="S561" s="38" t="s">
        <v>4120</v>
      </c>
      <c r="T561" s="38" t="s">
        <v>4121</v>
      </c>
      <c r="U561" s="38" t="s">
        <v>4122</v>
      </c>
      <c r="V561" s="55">
        <v>42180.0</v>
      </c>
      <c r="W561" s="38" t="s">
        <v>1510</v>
      </c>
      <c r="X561" s="38" t="s">
        <v>4123</v>
      </c>
      <c r="Y561" s="38"/>
      <c r="Z561" s="38"/>
      <c r="AA561" s="38"/>
      <c r="AB561" s="38"/>
      <c r="AC561" s="38"/>
      <c r="AD561" s="38"/>
      <c r="AE561" s="38"/>
      <c r="AF561" s="38"/>
      <c r="AG561" s="28"/>
      <c r="AH561" s="28" t="s">
        <v>462</v>
      </c>
      <c r="AI561" s="28" t="s">
        <v>462</v>
      </c>
      <c r="AJ561" s="28"/>
      <c r="AK561" s="28" t="s">
        <v>676</v>
      </c>
      <c r="AL561" s="28" t="s">
        <v>769</v>
      </c>
      <c r="AM561" s="28" t="s">
        <v>4124</v>
      </c>
      <c r="AN561" s="54">
        <v>42184.0</v>
      </c>
      <c r="AO561" s="54"/>
      <c r="AP561" s="28"/>
      <c r="AQ561" s="28" t="s">
        <v>769</v>
      </c>
      <c r="AR561" s="28"/>
      <c r="AS561" s="54">
        <v>42185.0</v>
      </c>
      <c r="AT561" s="28" t="s">
        <v>1842</v>
      </c>
      <c r="AU561" s="28"/>
      <c r="AV561" s="28" t="s">
        <v>1089</v>
      </c>
      <c r="AW561" s="28"/>
      <c r="AX561" s="28"/>
      <c r="AY561" s="28"/>
      <c r="AZ561" s="28"/>
      <c r="BA561" s="28"/>
      <c r="BB561" s="28"/>
      <c r="BC561" s="28"/>
      <c r="BD561" s="28"/>
      <c r="BE561" s="28"/>
      <c r="BF561" s="28"/>
      <c r="BG561" s="28"/>
      <c r="BH561" s="28"/>
      <c r="BI561" s="28"/>
      <c r="BJ561" s="28"/>
      <c r="BK561" s="28"/>
      <c r="BL561" s="28"/>
      <c r="BM561" s="28"/>
      <c r="BN561" s="28"/>
      <c r="BO561" s="28"/>
    </row>
    <row r="562" ht="25.5" customHeight="1">
      <c r="A562" s="28">
        <v>10374.0</v>
      </c>
      <c r="B562" s="37" t="b">
        <v>1</v>
      </c>
      <c r="C562" s="38" t="s">
        <v>238</v>
      </c>
      <c r="D562" s="38">
        <v>81.0</v>
      </c>
      <c r="E562" s="13" t="b">
        <v>0</v>
      </c>
      <c r="F562" s="13" t="b">
        <v>1</v>
      </c>
      <c r="G562" s="38" t="s">
        <v>224</v>
      </c>
      <c r="H562" s="38"/>
      <c r="I562" s="38" t="s">
        <v>712</v>
      </c>
      <c r="J562" s="47">
        <v>7.0</v>
      </c>
      <c r="K562" s="38"/>
      <c r="L562" s="38"/>
      <c r="M562" s="38" t="s">
        <v>35</v>
      </c>
      <c r="N562" s="38">
        <v>2000.0</v>
      </c>
      <c r="O562" s="38" t="s">
        <v>644</v>
      </c>
      <c r="P562" s="40"/>
      <c r="Q562" s="38" t="s">
        <v>289</v>
      </c>
      <c r="R562" s="47">
        <v>40.0</v>
      </c>
      <c r="S562" s="38" t="s">
        <v>4872</v>
      </c>
      <c r="T562" s="38" t="s">
        <v>4121</v>
      </c>
      <c r="U562" s="38" t="s">
        <v>4122</v>
      </c>
      <c r="V562" s="55">
        <v>42149.0</v>
      </c>
      <c r="W562" s="38" t="s">
        <v>4874</v>
      </c>
      <c r="X562" s="49" t="str">
        <f>HYPERLINK("http://www.sesync.org/news/climate-change-debate-echo-chambers","http://www.sesync.org/news/climate-change-debate-echo-chambers")</f>
        <v>http://www.sesync.org/news/climate-change-debate-echo-chambers</v>
      </c>
      <c r="Y562" s="38"/>
      <c r="Z562" s="38"/>
      <c r="AA562" s="38"/>
      <c r="AB562" s="38"/>
      <c r="AC562" s="38"/>
      <c r="AD562" s="38"/>
      <c r="AE562" s="38"/>
      <c r="AF562" s="38"/>
      <c r="AG562" s="28"/>
      <c r="AH562" s="28" t="s">
        <v>462</v>
      </c>
      <c r="AI562" s="28" t="s">
        <v>462</v>
      </c>
      <c r="AJ562" s="28"/>
      <c r="AK562" s="28" t="s">
        <v>676</v>
      </c>
      <c r="AL562" s="28" t="s">
        <v>769</v>
      </c>
      <c r="AM562" s="28" t="s">
        <v>4876</v>
      </c>
      <c r="AN562" s="54">
        <v>42312.0</v>
      </c>
      <c r="AO562" s="54"/>
      <c r="AP562" s="54">
        <v>42515.0</v>
      </c>
      <c r="AQ562" s="28" t="s">
        <v>769</v>
      </c>
      <c r="AR562" s="28"/>
      <c r="AS562" s="54">
        <v>42464.0</v>
      </c>
      <c r="AT562" s="28"/>
      <c r="AU562" s="28"/>
      <c r="AV562" s="28"/>
      <c r="AW562" s="28"/>
      <c r="AX562" s="28"/>
      <c r="AY562" s="28"/>
      <c r="AZ562" s="28" t="s">
        <v>2670</v>
      </c>
      <c r="BA562" s="28"/>
      <c r="BB562" s="28"/>
      <c r="BC562" s="28"/>
      <c r="BD562" s="28"/>
      <c r="BE562" s="28"/>
      <c r="BF562" s="28"/>
      <c r="BG562" s="28"/>
      <c r="BH562" s="28"/>
      <c r="BI562" s="28"/>
      <c r="BJ562" s="28"/>
      <c r="BK562" s="28"/>
      <c r="BL562" s="28"/>
      <c r="BM562" s="28"/>
      <c r="BN562" s="28"/>
      <c r="BO562" s="28"/>
    </row>
    <row r="563" ht="25.5" customHeight="1">
      <c r="A563" s="28">
        <v>159.0</v>
      </c>
      <c r="B563" s="37" t="b">
        <v>1</v>
      </c>
      <c r="C563" s="38" t="s">
        <v>106</v>
      </c>
      <c r="D563" s="38">
        <v>80.0</v>
      </c>
      <c r="E563" s="13" t="b">
        <v>1</v>
      </c>
      <c r="F563" s="13" t="b">
        <v>0</v>
      </c>
      <c r="G563" s="38" t="s">
        <v>394</v>
      </c>
      <c r="H563" s="38">
        <v>63.0</v>
      </c>
      <c r="I563" s="38" t="s">
        <v>224</v>
      </c>
      <c r="J563" s="47"/>
      <c r="K563" s="38" t="s">
        <v>224</v>
      </c>
      <c r="L563" s="38"/>
      <c r="M563" s="38" t="s">
        <v>5774</v>
      </c>
      <c r="N563" s="38" t="s">
        <v>5133</v>
      </c>
      <c r="O563" s="38" t="s">
        <v>5132</v>
      </c>
      <c r="P563" s="40"/>
      <c r="Q563" s="38" t="s">
        <v>289</v>
      </c>
      <c r="R563" s="47">
        <v>40.0</v>
      </c>
      <c r="S563" s="38" t="s">
        <v>5134</v>
      </c>
      <c r="T563" s="38" t="s">
        <v>5135</v>
      </c>
      <c r="U563" s="38" t="s">
        <v>1592</v>
      </c>
      <c r="V563" s="38">
        <v>2013.0</v>
      </c>
      <c r="W563" s="38" t="s">
        <v>610</v>
      </c>
      <c r="X563" s="38"/>
      <c r="Y563" s="38"/>
      <c r="Z563" s="38"/>
      <c r="AA563" s="38"/>
      <c r="AB563" s="38"/>
      <c r="AC563" s="38"/>
      <c r="AD563" s="38"/>
      <c r="AE563" s="38"/>
      <c r="AF563" s="3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row>
    <row r="564" ht="25.5" customHeight="1">
      <c r="A564" s="28">
        <v>10028.0</v>
      </c>
      <c r="B564" s="37" t="b">
        <v>1</v>
      </c>
      <c r="C564" s="38" t="s">
        <v>238</v>
      </c>
      <c r="D564" s="38">
        <v>81.0</v>
      </c>
      <c r="E564" s="13" t="b">
        <v>1</v>
      </c>
      <c r="F564" s="13" t="b">
        <v>0</v>
      </c>
      <c r="G564" s="38" t="s">
        <v>323</v>
      </c>
      <c r="H564" s="38">
        <v>59.0</v>
      </c>
      <c r="I564" s="38" t="s">
        <v>224</v>
      </c>
      <c r="J564" s="47"/>
      <c r="K564" s="38" t="s">
        <v>224</v>
      </c>
      <c r="L564" s="38"/>
      <c r="M564" s="38" t="s">
        <v>388</v>
      </c>
      <c r="N564" s="38">
        <v>14000.0</v>
      </c>
      <c r="O564" s="38" t="s">
        <v>224</v>
      </c>
      <c r="P564" s="40"/>
      <c r="Q564" s="38" t="s">
        <v>1590</v>
      </c>
      <c r="R564" s="47"/>
      <c r="S564" s="38" t="s">
        <v>1591</v>
      </c>
      <c r="T564" s="38" t="s">
        <v>577</v>
      </c>
      <c r="U564" s="38" t="s">
        <v>1592</v>
      </c>
      <c r="V564" s="55">
        <v>42284.0</v>
      </c>
      <c r="W564" s="38" t="s">
        <v>1593</v>
      </c>
      <c r="X564" s="49" t="str">
        <f>HYPERLINK("http://www.nature.com/news/let-s-think-about-cognitive-bias-1.18520","http://www.nature.com/news/let-s-think-about-cognitive-bias-1.18520")</f>
        <v>http://www.nature.com/news/let-s-think-about-cognitive-bias-1.18520</v>
      </c>
      <c r="Y564" s="38"/>
      <c r="Z564" s="38"/>
      <c r="AA564" s="38"/>
      <c r="AB564" s="38"/>
      <c r="AC564" s="38"/>
      <c r="AD564" s="38"/>
      <c r="AE564" s="38"/>
      <c r="AF564" s="38"/>
      <c r="AG564" s="28" t="s">
        <v>1601</v>
      </c>
      <c r="AH564" s="28" t="s">
        <v>462</v>
      </c>
      <c r="AI564" s="28" t="s">
        <v>462</v>
      </c>
      <c r="AJ564" s="28"/>
      <c r="AK564" s="28" t="s">
        <v>676</v>
      </c>
      <c r="AL564" s="28" t="s">
        <v>769</v>
      </c>
      <c r="AM564" s="28"/>
      <c r="AN564" s="54">
        <v>42340.0</v>
      </c>
      <c r="AO564" s="54"/>
      <c r="AP564" s="28"/>
      <c r="AQ564" s="28"/>
      <c r="AR564" s="28"/>
      <c r="AS564" s="54"/>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row>
    <row r="565" ht="25.5" customHeight="1">
      <c r="A565" s="28">
        <v>129.0</v>
      </c>
      <c r="B565" s="37" t="b">
        <v>1</v>
      </c>
      <c r="C565" s="38" t="s">
        <v>106</v>
      </c>
      <c r="D565" s="38">
        <v>80.0</v>
      </c>
      <c r="E565" s="13" t="b">
        <v>1</v>
      </c>
      <c r="F565" s="13" t="b">
        <v>0</v>
      </c>
      <c r="G565" s="38" t="s">
        <v>284</v>
      </c>
      <c r="H565" s="38">
        <v>53.0</v>
      </c>
      <c r="I565" s="38" t="s">
        <v>224</v>
      </c>
      <c r="J565" s="47"/>
      <c r="K565" s="38" t="s">
        <v>224</v>
      </c>
      <c r="L565" s="38"/>
      <c r="M565" s="38" t="s">
        <v>549</v>
      </c>
      <c r="N565" s="38">
        <v>6000.0</v>
      </c>
      <c r="O565" s="38" t="s">
        <v>552</v>
      </c>
      <c r="P565" s="40"/>
      <c r="Q565" s="38" t="s">
        <v>289</v>
      </c>
      <c r="R565" s="47">
        <v>40.0</v>
      </c>
      <c r="S565" s="38" t="s">
        <v>4908</v>
      </c>
      <c r="T565" s="38" t="s">
        <v>4909</v>
      </c>
      <c r="U565" s="38" t="s">
        <v>4035</v>
      </c>
      <c r="V565" s="38">
        <v>2014.0</v>
      </c>
      <c r="W565" s="38" t="s">
        <v>4911</v>
      </c>
      <c r="X565" s="49" t="str">
        <f>HYPERLINK("http://search.proquest.com/openview/c6b68b3a938920008369c605bd2d7193/1?pq-origsite=gscholar&amp;cbl=1056412","http://search.proquest.com/openview/c6b68b3a938920008369c605bd2d7193/1?pq-origsite=gscholar&amp;cbl=1056412")</f>
        <v>http://search.proquest.com/openview/c6b68b3a938920008369c605bd2d7193/1?pq-origsite=gscholar&amp;cbl=1056412</v>
      </c>
      <c r="Y565" s="38"/>
      <c r="Z565" s="38"/>
      <c r="AA565" s="38"/>
      <c r="AB565" s="38"/>
      <c r="AC565" s="38"/>
      <c r="AD565" s="38"/>
      <c r="AE565" s="38"/>
      <c r="AF565" s="3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row>
    <row r="566" ht="25.5" customHeight="1">
      <c r="A566" s="28">
        <v>22.0</v>
      </c>
      <c r="B566" s="37" t="b">
        <v>1</v>
      </c>
      <c r="C566" s="38" t="s">
        <v>106</v>
      </c>
      <c r="D566" s="38">
        <v>80.0</v>
      </c>
      <c r="E566" s="13" t="b">
        <v>1</v>
      </c>
      <c r="F566" s="13" t="b">
        <v>1</v>
      </c>
      <c r="G566" s="38" t="s">
        <v>224</v>
      </c>
      <c r="H566" s="38"/>
      <c r="I566" s="38" t="s">
        <v>574</v>
      </c>
      <c r="J566" s="47">
        <v>4.0</v>
      </c>
      <c r="K566" s="38" t="s">
        <v>3706</v>
      </c>
      <c r="L566" s="38">
        <v>400.0</v>
      </c>
      <c r="M566" s="47" t="s">
        <v>35</v>
      </c>
      <c r="N566" s="47">
        <v>2000.0</v>
      </c>
      <c r="O566" s="38" t="s">
        <v>2373</v>
      </c>
      <c r="P566" s="40">
        <v>2001.0</v>
      </c>
      <c r="Q566" s="38" t="s">
        <v>289</v>
      </c>
      <c r="R566" s="47">
        <v>40.0</v>
      </c>
      <c r="S566" s="38" t="s">
        <v>4033</v>
      </c>
      <c r="T566" s="38" t="s">
        <v>4034</v>
      </c>
      <c r="U566" s="38" t="s">
        <v>4035</v>
      </c>
      <c r="V566" s="38">
        <v>2012.0</v>
      </c>
      <c r="W566" s="38" t="s">
        <v>4036</v>
      </c>
      <c r="X566" s="49" t="str">
        <f>HYPERLINK("http://www.nature.com/nclimate/journal/v2/n10/full/nclimate1547.html","http://www.nature.com/nclimate/journal/v2/n10/full/nclimate1547.html")</f>
        <v>http://www.nature.com/nclimate/journal/v2/n10/full/nclimate1547.html</v>
      </c>
      <c r="Y566" s="38"/>
      <c r="Z566" s="38"/>
      <c r="AA566" s="38"/>
      <c r="AB566" s="38"/>
      <c r="AC566" s="38"/>
      <c r="AD566" s="38"/>
      <c r="AE566" s="38"/>
      <c r="AF566" s="38"/>
      <c r="AG566" s="28" t="s">
        <v>4040</v>
      </c>
      <c r="AH566" s="28" t="s">
        <v>4041</v>
      </c>
      <c r="AI566" s="28" t="s">
        <v>4042</v>
      </c>
      <c r="AJ566" s="28" t="s">
        <v>4044</v>
      </c>
      <c r="AK566" s="28"/>
      <c r="AL566" s="28" t="s">
        <v>561</v>
      </c>
      <c r="AM566" s="28" t="s">
        <v>4045</v>
      </c>
      <c r="AN566" s="54">
        <v>42436.0</v>
      </c>
      <c r="AO566" s="28"/>
      <c r="AP566" s="54">
        <v>42598.0</v>
      </c>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row>
    <row r="567" ht="25.5" customHeight="1">
      <c r="A567" s="28">
        <v>165.0</v>
      </c>
      <c r="B567" s="37" t="b">
        <v>1</v>
      </c>
      <c r="C567" s="38" t="s">
        <v>106</v>
      </c>
      <c r="D567" s="38">
        <v>80.0</v>
      </c>
      <c r="E567" s="13" t="b">
        <v>1</v>
      </c>
      <c r="F567" s="13" t="b">
        <v>1</v>
      </c>
      <c r="G567" s="38" t="s">
        <v>5789</v>
      </c>
      <c r="H567" s="38" t="s">
        <v>5790</v>
      </c>
      <c r="I567" s="38" t="s">
        <v>224</v>
      </c>
      <c r="J567" s="47"/>
      <c r="K567" s="38" t="s">
        <v>224</v>
      </c>
      <c r="L567" s="38"/>
      <c r="M567" s="38" t="s">
        <v>35</v>
      </c>
      <c r="N567" s="38">
        <v>2000.0</v>
      </c>
      <c r="O567" s="38" t="s">
        <v>644</v>
      </c>
      <c r="P567" s="40"/>
      <c r="Q567" s="38" t="s">
        <v>289</v>
      </c>
      <c r="R567" s="47">
        <v>40.0</v>
      </c>
      <c r="S567" s="38" t="s">
        <v>5180</v>
      </c>
      <c r="T567" s="38" t="s">
        <v>5181</v>
      </c>
      <c r="U567" s="38" t="s">
        <v>4035</v>
      </c>
      <c r="V567" s="38">
        <v>2012.0</v>
      </c>
      <c r="W567" s="99" t="s">
        <v>5183</v>
      </c>
      <c r="X567" s="49" t="str">
        <f>HYPERLINK("http://www.nature.com/nclimate/journal/v2/n4/full/nclimate1378.htmlhttps:/www.dropbox.com/home/Root%20Solutions/Ayana/Mindfulness%20and%20Global%20Warming?preview=Climate+Change+and+Moral+Judgement.pdf","http://www.nature.com/nclimate/journal/v2/n4/full/nclimate1378.htmlhttps://www.dropbox.com/home/Root%20Solutions/Ayana/Mindfulness%20and%20Global%20Warming?preview=Climate+Change+and+Moral+Judgement.pdf")</f>
        <v>http://www.nature.com/nclimate/journal/v2/n4/full/nclimate1378.htmlhttps://www.dropbox.com/home/Root%20Solutions/Ayana/Mindfulness%20and%20Global%20Warming?preview=Climate+Change+and+Moral+Judgement.pdf</v>
      </c>
      <c r="Y567" s="38"/>
      <c r="Z567" s="38"/>
      <c r="AA567" s="38"/>
      <c r="AB567" s="38"/>
      <c r="AC567" s="38"/>
      <c r="AD567" s="38"/>
      <c r="AE567" s="38"/>
      <c r="AF567" s="38"/>
      <c r="AG567" s="28" t="s">
        <v>5192</v>
      </c>
      <c r="AH567" s="28" t="s">
        <v>462</v>
      </c>
      <c r="AI567" s="28" t="s">
        <v>769</v>
      </c>
      <c r="AJ567" s="28"/>
      <c r="AK567" s="28"/>
      <c r="AL567" s="28" t="s">
        <v>530</v>
      </c>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row>
    <row r="568" ht="25.5" customHeight="1">
      <c r="A568" s="28">
        <v>435.0</v>
      </c>
      <c r="B568" s="37" t="b">
        <v>1</v>
      </c>
      <c r="C568" s="38" t="s">
        <v>106</v>
      </c>
      <c r="D568" s="38">
        <v>80.0</v>
      </c>
      <c r="E568" s="13" t="b">
        <v>1</v>
      </c>
      <c r="F568" s="13" t="b">
        <v>1</v>
      </c>
      <c r="G568" s="38" t="s">
        <v>224</v>
      </c>
      <c r="H568" s="38"/>
      <c r="I568" s="38" t="s">
        <v>387</v>
      </c>
      <c r="J568" s="47">
        <v>8.0</v>
      </c>
      <c r="K568" s="38" t="s">
        <v>2072</v>
      </c>
      <c r="L568" s="38">
        <v>801.0</v>
      </c>
      <c r="M568" s="38" t="s">
        <v>1044</v>
      </c>
      <c r="N568" s="38" t="s">
        <v>1045</v>
      </c>
      <c r="O568" s="38" t="s">
        <v>5793</v>
      </c>
      <c r="P568" s="40"/>
      <c r="Q568" s="38" t="s">
        <v>111</v>
      </c>
      <c r="R568" s="47">
        <v>41.0</v>
      </c>
      <c r="S568" s="38" t="s">
        <v>5795</v>
      </c>
      <c r="T568" s="38" t="s">
        <v>5796</v>
      </c>
      <c r="U568" s="38" t="s">
        <v>4035</v>
      </c>
      <c r="V568" s="38">
        <v>2011.0</v>
      </c>
      <c r="W568" s="38" t="s">
        <v>5798</v>
      </c>
      <c r="X568" s="38" t="s">
        <v>5799</v>
      </c>
      <c r="Y568" s="38"/>
      <c r="Z568" s="38"/>
      <c r="AA568" s="38"/>
      <c r="AB568" s="38"/>
      <c r="AC568" s="38"/>
      <c r="AD568" s="38"/>
      <c r="AE568" s="38"/>
      <c r="AF568" s="38"/>
      <c r="AG568" s="71"/>
      <c r="AH568" s="28" t="s">
        <v>462</v>
      </c>
      <c r="AI568" s="28" t="s">
        <v>462</v>
      </c>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row>
    <row r="569" ht="25.5" customHeight="1">
      <c r="A569" s="28">
        <v>63.0</v>
      </c>
      <c r="B569" s="37" t="b">
        <v>1</v>
      </c>
      <c r="C569" s="38" t="s">
        <v>106</v>
      </c>
      <c r="D569" s="38">
        <v>80.0</v>
      </c>
      <c r="E569" s="13" t="b">
        <v>0</v>
      </c>
      <c r="F569" s="13" t="b">
        <v>1</v>
      </c>
      <c r="G569" s="38" t="s">
        <v>224</v>
      </c>
      <c r="H569" s="38"/>
      <c r="I569" s="38" t="s">
        <v>1331</v>
      </c>
      <c r="J569" s="47" t="s">
        <v>1371</v>
      </c>
      <c r="K569" s="38" t="s">
        <v>3193</v>
      </c>
      <c r="L569" s="38"/>
      <c r="M569" s="47" t="s">
        <v>35</v>
      </c>
      <c r="N569" s="47">
        <v>2000.0</v>
      </c>
      <c r="O569" s="47" t="s">
        <v>4115</v>
      </c>
      <c r="P569" s="40"/>
      <c r="Q569" s="38" t="s">
        <v>289</v>
      </c>
      <c r="R569" s="47">
        <v>40.0</v>
      </c>
      <c r="S569" s="38" t="s">
        <v>4275</v>
      </c>
      <c r="T569" s="38" t="s">
        <v>4277</v>
      </c>
      <c r="U569" s="38" t="s">
        <v>4035</v>
      </c>
      <c r="V569" s="38">
        <v>2015.0</v>
      </c>
      <c r="W569" s="38" t="s">
        <v>4278</v>
      </c>
      <c r="X569" s="38"/>
      <c r="Y569" s="38"/>
      <c r="Z569" s="38"/>
      <c r="AA569" s="38"/>
      <c r="AB569" s="38"/>
      <c r="AC569" s="38"/>
      <c r="AD569" s="38"/>
      <c r="AE569" s="38"/>
      <c r="AF569" s="38"/>
      <c r="AG569" s="28"/>
      <c r="AH569" s="28" t="s">
        <v>462</v>
      </c>
      <c r="AI569" s="28" t="s">
        <v>462</v>
      </c>
      <c r="AJ569" s="28" t="s">
        <v>4281</v>
      </c>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row>
    <row r="570" ht="25.5" customHeight="1">
      <c r="A570" s="28">
        <v>505.0</v>
      </c>
      <c r="B570" s="37" t="b">
        <v>1</v>
      </c>
      <c r="C570" s="38" t="s">
        <v>106</v>
      </c>
      <c r="D570" s="38">
        <v>80.0</v>
      </c>
      <c r="E570" s="13" t="b">
        <v>0</v>
      </c>
      <c r="F570" s="13" t="b">
        <v>1</v>
      </c>
      <c r="G570" s="38" t="s">
        <v>224</v>
      </c>
      <c r="H570" s="38"/>
      <c r="I570" s="38" t="s">
        <v>387</v>
      </c>
      <c r="J570" s="47">
        <v>8.0</v>
      </c>
      <c r="K570" s="38" t="s">
        <v>2072</v>
      </c>
      <c r="L570" s="38">
        <v>801.0</v>
      </c>
      <c r="M570" s="47" t="s">
        <v>35</v>
      </c>
      <c r="N570" s="47">
        <v>2000.0</v>
      </c>
      <c r="O570" s="47" t="s">
        <v>837</v>
      </c>
      <c r="P570" s="40">
        <v>2001.0</v>
      </c>
      <c r="Q570" s="38" t="s">
        <v>289</v>
      </c>
      <c r="R570" s="47">
        <v>40.0</v>
      </c>
      <c r="S570" s="38" t="s">
        <v>5804</v>
      </c>
      <c r="T570" s="38" t="s">
        <v>5805</v>
      </c>
      <c r="U570" s="38" t="s">
        <v>4035</v>
      </c>
      <c r="V570" s="38">
        <v>2013.0</v>
      </c>
      <c r="W570" s="38" t="s">
        <v>5808</v>
      </c>
      <c r="X570" s="38"/>
      <c r="Y570" s="38"/>
      <c r="Z570" s="38"/>
      <c r="AA570" s="38"/>
      <c r="AB570" s="38"/>
      <c r="AC570" s="38"/>
      <c r="AD570" s="38"/>
      <c r="AE570" s="38"/>
      <c r="AF570" s="38"/>
      <c r="AG570" s="28"/>
      <c r="AH570" s="28" t="s">
        <v>462</v>
      </c>
      <c r="AI570" s="28" t="s">
        <v>462</v>
      </c>
      <c r="AJ570" s="28" t="s">
        <v>1594</v>
      </c>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row>
    <row r="571" ht="25.5" customHeight="1">
      <c r="A571" s="28">
        <v>480.0</v>
      </c>
      <c r="B571" s="37" t="b">
        <v>1</v>
      </c>
      <c r="C571" s="38" t="s">
        <v>106</v>
      </c>
      <c r="D571" s="38">
        <v>80.0</v>
      </c>
      <c r="E571" s="13" t="b">
        <v>0</v>
      </c>
      <c r="F571" s="13" t="b">
        <v>1</v>
      </c>
      <c r="G571" s="38" t="s">
        <v>224</v>
      </c>
      <c r="H571" s="38"/>
      <c r="I571" s="38" t="s">
        <v>772</v>
      </c>
      <c r="J571" s="47">
        <v>5.0</v>
      </c>
      <c r="K571" s="38" t="s">
        <v>2927</v>
      </c>
      <c r="L571" s="38">
        <v>506.0</v>
      </c>
      <c r="M571" s="47" t="s">
        <v>35</v>
      </c>
      <c r="N571" s="47">
        <v>2000.0</v>
      </c>
      <c r="O571" s="47" t="s">
        <v>578</v>
      </c>
      <c r="P571" s="40"/>
      <c r="Q571" s="38" t="s">
        <v>289</v>
      </c>
      <c r="R571" s="47">
        <v>40.0</v>
      </c>
      <c r="S571" s="38" t="s">
        <v>5822</v>
      </c>
      <c r="T571" s="38" t="s">
        <v>5823</v>
      </c>
      <c r="U571" s="38" t="s">
        <v>4035</v>
      </c>
      <c r="V571" s="38">
        <v>2014.0</v>
      </c>
      <c r="W571" s="38" t="s">
        <v>5824</v>
      </c>
      <c r="X571" s="38"/>
      <c r="Y571" s="38"/>
      <c r="Z571" s="38"/>
      <c r="AA571" s="38"/>
      <c r="AB571" s="38"/>
      <c r="AC571" s="38"/>
      <c r="AD571" s="38"/>
      <c r="AE571" s="38"/>
      <c r="AF571" s="3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row>
    <row r="572" ht="25.5" customHeight="1">
      <c r="A572" s="28">
        <v>284.0</v>
      </c>
      <c r="B572" s="37" t="b">
        <v>1</v>
      </c>
      <c r="C572" s="38" t="s">
        <v>106</v>
      </c>
      <c r="D572" s="38">
        <v>80.0</v>
      </c>
      <c r="E572" s="13" t="b">
        <v>0</v>
      </c>
      <c r="F572" s="13" t="b">
        <v>1</v>
      </c>
      <c r="G572" s="38" t="s">
        <v>224</v>
      </c>
      <c r="H572" s="38"/>
      <c r="I572" s="38" t="s">
        <v>536</v>
      </c>
      <c r="J572" s="47">
        <v>3.0</v>
      </c>
      <c r="K572" s="136" t="s">
        <v>5757</v>
      </c>
      <c r="L572" s="38"/>
      <c r="M572" s="38" t="s">
        <v>411</v>
      </c>
      <c r="N572" s="38">
        <v>21000.0</v>
      </c>
      <c r="O572" s="38" t="s">
        <v>1052</v>
      </c>
      <c r="P572" s="40"/>
      <c r="Q572" s="38" t="s">
        <v>431</v>
      </c>
      <c r="R572" s="47">
        <v>40.0</v>
      </c>
      <c r="S572" s="38" t="s">
        <v>5758</v>
      </c>
      <c r="T572" s="38" t="s">
        <v>5759</v>
      </c>
      <c r="U572" s="38" t="s">
        <v>4035</v>
      </c>
      <c r="V572" s="38">
        <v>2012.0</v>
      </c>
      <c r="W572" s="38" t="s">
        <v>5760</v>
      </c>
      <c r="X572" s="38"/>
      <c r="Y572" s="38"/>
      <c r="Z572" s="38"/>
      <c r="AA572" s="38"/>
      <c r="AB572" s="38"/>
      <c r="AC572" s="38"/>
      <c r="AD572" s="38"/>
      <c r="AE572" s="38"/>
      <c r="AF572" s="38"/>
      <c r="AG572" s="28"/>
      <c r="AH572" s="28"/>
      <c r="AI572" s="28"/>
      <c r="AJ572" s="28" t="s">
        <v>5761</v>
      </c>
      <c r="AK572" s="28"/>
      <c r="AL572" s="54"/>
      <c r="AM572" s="28"/>
      <c r="AN572" s="28"/>
      <c r="AO572" s="54"/>
      <c r="AP572" s="54"/>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row>
    <row r="573" ht="25.5" customHeight="1">
      <c r="A573" s="28">
        <v>345.0</v>
      </c>
      <c r="B573" s="37" t="b">
        <v>1</v>
      </c>
      <c r="C573" s="38" t="s">
        <v>106</v>
      </c>
      <c r="D573" s="38">
        <v>80.0</v>
      </c>
      <c r="E573" s="13" t="b">
        <v>0</v>
      </c>
      <c r="F573" s="13" t="b">
        <v>1</v>
      </c>
      <c r="G573" s="38" t="s">
        <v>224</v>
      </c>
      <c r="H573" s="38"/>
      <c r="I573" s="38" t="s">
        <v>490</v>
      </c>
      <c r="J573" s="47">
        <v>6.0</v>
      </c>
      <c r="K573" s="38" t="s">
        <v>491</v>
      </c>
      <c r="L573" s="38">
        <v>605.0</v>
      </c>
      <c r="M573" s="38" t="s">
        <v>388</v>
      </c>
      <c r="N573" s="38">
        <v>14000.0</v>
      </c>
      <c r="O573" s="38" t="s">
        <v>224</v>
      </c>
      <c r="P573" s="40"/>
      <c r="Q573" s="38" t="s">
        <v>289</v>
      </c>
      <c r="R573" s="47">
        <v>40.0</v>
      </c>
      <c r="S573" s="38" t="s">
        <v>5830</v>
      </c>
      <c r="T573" s="38" t="s">
        <v>5831</v>
      </c>
      <c r="U573" s="38" t="s">
        <v>5832</v>
      </c>
      <c r="V573" s="38">
        <v>2009.0</v>
      </c>
      <c r="W573" s="38" t="s">
        <v>5834</v>
      </c>
      <c r="X573" s="38" t="s">
        <v>5835</v>
      </c>
      <c r="Y573" s="38"/>
      <c r="Z573" s="38"/>
      <c r="AA573" s="38"/>
      <c r="AB573" s="38"/>
      <c r="AC573" s="38"/>
      <c r="AD573" s="38"/>
      <c r="AE573" s="38"/>
      <c r="AF573" s="38"/>
      <c r="AG573" s="28" t="s">
        <v>5836</v>
      </c>
      <c r="AH573" s="28" t="s">
        <v>462</v>
      </c>
      <c r="AI573" s="28" t="s">
        <v>462</v>
      </c>
      <c r="AJ573" s="28"/>
      <c r="AK573" s="28" t="s">
        <v>663</v>
      </c>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row>
    <row r="574" ht="25.5" customHeight="1">
      <c r="A574" s="28">
        <v>10321.0</v>
      </c>
      <c r="B574" s="37" t="b">
        <v>1</v>
      </c>
      <c r="C574" s="38" t="s">
        <v>238</v>
      </c>
      <c r="D574" s="38">
        <v>81.0</v>
      </c>
      <c r="E574" s="13" t="b">
        <v>0</v>
      </c>
      <c r="F574" s="13" t="b">
        <v>1</v>
      </c>
      <c r="G574" s="38" t="s">
        <v>224</v>
      </c>
      <c r="H574" s="38"/>
      <c r="I574" s="38" t="s">
        <v>280</v>
      </c>
      <c r="J574" s="47">
        <v>10.0</v>
      </c>
      <c r="K574" s="38"/>
      <c r="L574" s="38"/>
      <c r="M574" s="38" t="s">
        <v>388</v>
      </c>
      <c r="N574" s="38">
        <v>14000.0</v>
      </c>
      <c r="O574" s="38" t="s">
        <v>224</v>
      </c>
      <c r="P574" s="40"/>
      <c r="Q574" s="38" t="s">
        <v>289</v>
      </c>
      <c r="R574" s="47">
        <v>40.0</v>
      </c>
      <c r="S574" s="38" t="s">
        <v>4401</v>
      </c>
      <c r="T574" s="38" t="s">
        <v>4402</v>
      </c>
      <c r="U574" s="38" t="s">
        <v>4403</v>
      </c>
      <c r="V574" s="42">
        <v>41452.0</v>
      </c>
      <c r="W574" s="38" t="s">
        <v>4404</v>
      </c>
      <c r="X574" s="38" t="s">
        <v>4405</v>
      </c>
      <c r="Y574" s="38"/>
      <c r="Z574" s="38"/>
      <c r="AA574" s="38"/>
      <c r="AB574" s="38"/>
      <c r="AC574" s="38"/>
      <c r="AD574" s="38"/>
      <c r="AE574" s="38"/>
      <c r="AF574" s="38"/>
      <c r="AG574" s="28" t="s">
        <v>4406</v>
      </c>
      <c r="AH574" s="28"/>
      <c r="AI574" s="28"/>
      <c r="AJ574" s="28"/>
      <c r="AK574" s="28" t="s">
        <v>4407</v>
      </c>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row>
    <row r="575" ht="25.5" customHeight="1">
      <c r="A575" s="28">
        <v>428.0</v>
      </c>
      <c r="B575" s="37" t="b">
        <v>1</v>
      </c>
      <c r="C575" s="38" t="s">
        <v>106</v>
      </c>
      <c r="D575" s="38">
        <v>80.0</v>
      </c>
      <c r="E575" s="13" t="b">
        <v>1</v>
      </c>
      <c r="F575" s="13" t="b">
        <v>1</v>
      </c>
      <c r="G575" s="38" t="s">
        <v>224</v>
      </c>
      <c r="H575" s="38"/>
      <c r="I575" s="38" t="s">
        <v>387</v>
      </c>
      <c r="J575" s="47">
        <v>8.0</v>
      </c>
      <c r="K575" s="38" t="s">
        <v>3297</v>
      </c>
      <c r="L575" s="38">
        <v>805.0</v>
      </c>
      <c r="M575" s="38" t="s">
        <v>388</v>
      </c>
      <c r="N575" s="38">
        <v>14000.0</v>
      </c>
      <c r="O575" s="38" t="s">
        <v>224</v>
      </c>
      <c r="P575" s="40"/>
      <c r="Q575" s="38" t="s">
        <v>289</v>
      </c>
      <c r="R575" s="47">
        <v>40.0</v>
      </c>
      <c r="S575" s="38" t="s">
        <v>5839</v>
      </c>
      <c r="T575" s="38" t="s">
        <v>5840</v>
      </c>
      <c r="U575" s="38" t="s">
        <v>5841</v>
      </c>
      <c r="V575" s="38">
        <v>2010.0</v>
      </c>
      <c r="W575" s="38" t="s">
        <v>753</v>
      </c>
      <c r="X575" s="49" t="str">
        <f>HYPERLINK("http://www.nejm.org/doi/full/10.1056/Nejmp1001784","http://www.nejm.org/doi/full/10.1056/Nejmp1001784")</f>
        <v>http://www.nejm.org/doi/full/10.1056/Nejmp1001784</v>
      </c>
      <c r="Y575" s="38"/>
      <c r="Z575" s="38"/>
      <c r="AA575" s="38"/>
      <c r="AB575" s="38"/>
      <c r="AC575" s="38"/>
      <c r="AD575" s="38"/>
      <c r="AE575" s="38"/>
      <c r="AF575" s="38"/>
      <c r="AG575" s="28" t="s">
        <v>5849</v>
      </c>
      <c r="AH575" s="28" t="s">
        <v>462</v>
      </c>
      <c r="AI575" s="28" t="s">
        <v>428</v>
      </c>
      <c r="AJ575" s="28"/>
      <c r="AK575" s="28"/>
      <c r="AL575" s="28"/>
      <c r="AM575" s="28"/>
      <c r="AN575" s="28"/>
      <c r="AO575" s="28"/>
      <c r="AP575" s="28"/>
      <c r="AQ575" s="28"/>
      <c r="AR575" s="28"/>
      <c r="AS575" s="28"/>
      <c r="AT575" s="28"/>
      <c r="AU575" s="28"/>
      <c r="AV575" s="28"/>
      <c r="AW575" s="28"/>
      <c r="AX575" s="28"/>
      <c r="AY575" s="28"/>
      <c r="AZ575" s="28"/>
      <c r="BA575" s="28" t="s">
        <v>5467</v>
      </c>
      <c r="BB575" s="28"/>
      <c r="BC575" s="28"/>
      <c r="BD575" s="28"/>
      <c r="BE575" s="28"/>
      <c r="BF575" s="28"/>
      <c r="BG575" s="28"/>
      <c r="BH575" s="28"/>
      <c r="BI575" s="28"/>
      <c r="BJ575" s="28"/>
      <c r="BK575" s="28"/>
      <c r="BL575" s="28"/>
      <c r="BM575" s="28"/>
      <c r="BN575" s="28"/>
      <c r="BO575" s="28"/>
    </row>
    <row r="576" ht="25.5" customHeight="1">
      <c r="A576" s="28">
        <v>10050.0</v>
      </c>
      <c r="B576" s="37" t="b">
        <v>1</v>
      </c>
      <c r="C576" s="38" t="s">
        <v>238</v>
      </c>
      <c r="D576" s="38">
        <v>81.0</v>
      </c>
      <c r="E576" s="13" t="b">
        <v>1</v>
      </c>
      <c r="F576" s="13" t="b">
        <v>0</v>
      </c>
      <c r="G576" s="38" t="s">
        <v>224</v>
      </c>
      <c r="H576" s="38"/>
      <c r="I576" s="38" t="s">
        <v>323</v>
      </c>
      <c r="J576" s="47">
        <v>11.0</v>
      </c>
      <c r="K576" s="38"/>
      <c r="L576" s="38"/>
      <c r="M576" s="38" t="s">
        <v>388</v>
      </c>
      <c r="N576" s="38">
        <v>14000.0</v>
      </c>
      <c r="O576" s="38" t="s">
        <v>224</v>
      </c>
      <c r="P576" s="40"/>
      <c r="Q576" s="38" t="s">
        <v>1839</v>
      </c>
      <c r="R576" s="47" t="s">
        <v>1840</v>
      </c>
      <c r="S576" s="38" t="s">
        <v>1841</v>
      </c>
      <c r="T576" s="38" t="s">
        <v>1843</v>
      </c>
      <c r="U576" s="38" t="s">
        <v>1844</v>
      </c>
      <c r="V576" s="55">
        <v>40699.0</v>
      </c>
      <c r="W576" s="38" t="s">
        <v>1845</v>
      </c>
      <c r="X576" s="49" t="str">
        <f>HYPERLINK("http://www.newrepublic.com/article/environment-energy/89377/poverty-escape-psychology-self-control","http://www.newrepublic.com/article/environment-energy/89377/poverty-escape-psychology-self-control")</f>
        <v>http://www.newrepublic.com/article/environment-energy/89377/poverty-escape-psychology-self-control</v>
      </c>
      <c r="Y576" s="38"/>
      <c r="Z576" s="38"/>
      <c r="AA576" s="38"/>
      <c r="AB576" s="38"/>
      <c r="AC576" s="38"/>
      <c r="AD576" s="38"/>
      <c r="AE576" s="38"/>
      <c r="AF576" s="38"/>
      <c r="AG576" s="28"/>
      <c r="AH576" s="28" t="s">
        <v>462</v>
      </c>
      <c r="AI576" s="28" t="s">
        <v>462</v>
      </c>
      <c r="AJ576" s="28"/>
      <c r="AK576" s="28" t="s">
        <v>676</v>
      </c>
      <c r="AL576" s="28" t="s">
        <v>677</v>
      </c>
      <c r="AM576" s="28"/>
      <c r="AN576" s="54"/>
      <c r="AO576" s="54"/>
      <c r="AP576" s="28"/>
      <c r="AQ576" s="28"/>
      <c r="AR576" s="28"/>
      <c r="AS576" s="54"/>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row>
    <row r="577" ht="25.5" customHeight="1">
      <c r="A577" s="28">
        <v>10005.0</v>
      </c>
      <c r="B577" s="37" t="b">
        <v>1</v>
      </c>
      <c r="C577" s="38" t="s">
        <v>238</v>
      </c>
      <c r="D577" s="38">
        <v>81.0</v>
      </c>
      <c r="E577" s="13" t="b">
        <v>1</v>
      </c>
      <c r="F577" s="13" t="b">
        <v>0</v>
      </c>
      <c r="G577" s="38" t="s">
        <v>224</v>
      </c>
      <c r="H577" s="38"/>
      <c r="I577" s="38" t="s">
        <v>574</v>
      </c>
      <c r="J577" s="47">
        <v>4.0</v>
      </c>
      <c r="K577" s="38"/>
      <c r="L577" s="38"/>
      <c r="M577" s="38" t="s">
        <v>35</v>
      </c>
      <c r="N577" s="38">
        <v>2000.0</v>
      </c>
      <c r="O577" s="38" t="s">
        <v>837</v>
      </c>
      <c r="P577" s="40">
        <v>2001.0</v>
      </c>
      <c r="Q577" s="38" t="s">
        <v>289</v>
      </c>
      <c r="R577" s="47">
        <v>40.0</v>
      </c>
      <c r="S577" s="38" t="s">
        <v>1295</v>
      </c>
      <c r="T577" s="38" t="s">
        <v>1297</v>
      </c>
      <c r="U577" s="38" t="s">
        <v>1298</v>
      </c>
      <c r="V577" s="55">
        <v>41737.0</v>
      </c>
      <c r="W577" s="38" t="s">
        <v>1299</v>
      </c>
      <c r="X577" s="49" t="str">
        <f>HYPERLINK("http://www.nytimes.com/2014/04/09/opinion/global-warming-scare-tactics.html","http://www.nytimes.com/2014/04/09/opinion/global-warming-scare-tactics.html")</f>
        <v>http://www.nytimes.com/2014/04/09/opinion/global-warming-scare-tactics.html</v>
      </c>
      <c r="Y577" s="38"/>
      <c r="Z577" s="38"/>
      <c r="AA577" s="38"/>
      <c r="AB577" s="38"/>
      <c r="AC577" s="38"/>
      <c r="AD577" s="38"/>
      <c r="AE577" s="38"/>
      <c r="AF577" s="38"/>
      <c r="AG577" s="28"/>
      <c r="AH577" s="28" t="s">
        <v>462</v>
      </c>
      <c r="AI577" s="28" t="s">
        <v>462</v>
      </c>
      <c r="AJ577" s="28"/>
      <c r="AK577" s="28" t="s">
        <v>1099</v>
      </c>
      <c r="AL577" s="28" t="s">
        <v>600</v>
      </c>
      <c r="AM577" s="28"/>
      <c r="AN577" s="28"/>
      <c r="AO577" s="28"/>
      <c r="AP577" s="28"/>
      <c r="AQ577" s="28" t="s">
        <v>561</v>
      </c>
      <c r="AR577" s="28"/>
      <c r="AS577" s="54">
        <v>42384.0</v>
      </c>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row>
    <row r="578" ht="25.5" customHeight="1">
      <c r="A578" s="28">
        <v>10230.0</v>
      </c>
      <c r="B578" s="37" t="b">
        <v>1</v>
      </c>
      <c r="C578" s="38" t="s">
        <v>238</v>
      </c>
      <c r="D578" s="38">
        <v>81.0</v>
      </c>
      <c r="E578" s="13" t="b">
        <v>0</v>
      </c>
      <c r="F578" s="13" t="b">
        <v>1</v>
      </c>
      <c r="G578" s="38" t="s">
        <v>224</v>
      </c>
      <c r="H578" s="38"/>
      <c r="I578" s="38" t="s">
        <v>429</v>
      </c>
      <c r="J578" s="47">
        <v>2.0</v>
      </c>
      <c r="K578" s="38"/>
      <c r="L578" s="38"/>
      <c r="M578" s="38" t="s">
        <v>388</v>
      </c>
      <c r="N578" s="38">
        <v>14000.0</v>
      </c>
      <c r="O578" s="38" t="s">
        <v>224</v>
      </c>
      <c r="P578" s="40"/>
      <c r="Q578" s="38" t="s">
        <v>289</v>
      </c>
      <c r="R578" s="47">
        <v>40.0</v>
      </c>
      <c r="S578" s="38" t="s">
        <v>3657</v>
      </c>
      <c r="T578" s="38" t="s">
        <v>3658</v>
      </c>
      <c r="U578" s="38" t="s">
        <v>1298</v>
      </c>
      <c r="V578" s="55">
        <v>39184.0</v>
      </c>
      <c r="W578" s="38" t="s">
        <v>3659</v>
      </c>
      <c r="X578" s="49" t="str">
        <f>HYPERLINK("http://www.nytimes.com/2007/04/12/opinion/12schwartz.html?pagewanted=2&amp;_r=0&amp;ei=5124&amp;en=5abe7f7de4d088be&amp;ex=1334116800&amp;partner=permalink&amp;exprod=permalink","http://www.nytimes.com/2007/04/12/opinion/12schwartz.html?pagewanted=2&amp;_r=0&amp;ei=5124&amp;en=5abe7f7de4d088be&amp;ex=1334116800&amp;partner=permalink&amp;exprod=permalink")</f>
        <v>http://www.nytimes.com/2007/04/12/opinion/12schwartz.html?pagewanted=2&amp;_r=0&amp;ei=5124&amp;en=5abe7f7de4d088be&amp;ex=1334116800&amp;partner=permalink&amp;exprod=permalink</v>
      </c>
      <c r="Y578" s="38"/>
      <c r="Z578" s="38"/>
      <c r="AA578" s="38"/>
      <c r="AB578" s="38"/>
      <c r="AC578" s="38"/>
      <c r="AD578" s="38"/>
      <c r="AE578" s="38"/>
      <c r="AF578" s="38"/>
      <c r="AG578" s="28"/>
      <c r="AH578" s="28" t="s">
        <v>462</v>
      </c>
      <c r="AI578" s="28" t="s">
        <v>462</v>
      </c>
      <c r="AJ578" s="28"/>
      <c r="AK578" s="28" t="s">
        <v>1099</v>
      </c>
      <c r="AL578" s="28" t="s">
        <v>600</v>
      </c>
      <c r="AM578" s="28"/>
      <c r="AN578" s="28"/>
      <c r="AO578" s="28"/>
      <c r="AP578" s="28"/>
      <c r="AQ578" s="28"/>
      <c r="AR578" s="28"/>
      <c r="AS578" s="28"/>
      <c r="AT578" s="28"/>
      <c r="AU578" s="28"/>
      <c r="AV578" s="28"/>
      <c r="AW578" s="28"/>
      <c r="AX578" s="28"/>
      <c r="AY578" s="28"/>
      <c r="AZ578" s="28" t="s">
        <v>1101</v>
      </c>
      <c r="BA578" s="28"/>
      <c r="BB578" s="28"/>
      <c r="BC578" s="28"/>
      <c r="BD578" s="28"/>
      <c r="BE578" s="28"/>
      <c r="BF578" s="28"/>
      <c r="BG578" s="28"/>
      <c r="BH578" s="28"/>
      <c r="BI578" s="28"/>
      <c r="BJ578" s="28"/>
      <c r="BK578" s="28"/>
      <c r="BL578" s="28"/>
      <c r="BM578" s="28"/>
      <c r="BN578" s="28"/>
      <c r="BO578" s="28"/>
    </row>
    <row r="579" ht="25.5" customHeight="1">
      <c r="A579" s="28">
        <v>10256.0</v>
      </c>
      <c r="B579" s="37" t="b">
        <v>1</v>
      </c>
      <c r="C579" s="38" t="s">
        <v>238</v>
      </c>
      <c r="D579" s="38">
        <v>81.0</v>
      </c>
      <c r="E579" s="13" t="b">
        <v>0</v>
      </c>
      <c r="F579" s="13" t="b">
        <v>1</v>
      </c>
      <c r="G579" s="38" t="s">
        <v>224</v>
      </c>
      <c r="H579" s="38"/>
      <c r="I579" s="38" t="s">
        <v>429</v>
      </c>
      <c r="J579" s="47">
        <v>2.0</v>
      </c>
      <c r="K579" s="38"/>
      <c r="L579" s="38"/>
      <c r="M579" s="38" t="s">
        <v>388</v>
      </c>
      <c r="N579" s="38">
        <v>14000.0</v>
      </c>
      <c r="O579" s="38" t="s">
        <v>224</v>
      </c>
      <c r="P579" s="40"/>
      <c r="Q579" s="38" t="s">
        <v>289</v>
      </c>
      <c r="R579" s="47">
        <v>40.0</v>
      </c>
      <c r="S579" s="38" t="s">
        <v>3816</v>
      </c>
      <c r="T579" s="38" t="s">
        <v>3817</v>
      </c>
      <c r="U579" s="38" t="s">
        <v>1298</v>
      </c>
      <c r="V579" s="55">
        <v>40831.0</v>
      </c>
      <c r="W579" s="38" t="s">
        <v>3818</v>
      </c>
      <c r="X579" s="49" t="str">
        <f>HYPERLINK("http://www.nytimes.com/2011/10/16/technology/default-choices-are-hard-to-resist-online-or-not.html","http://www.nytimes.com/2011/10/16/technology/default-choices-are-hard-to-resist-online-or-not.html")</f>
        <v>http://www.nytimes.com/2011/10/16/technology/default-choices-are-hard-to-resist-online-or-not.html</v>
      </c>
      <c r="Y579" s="38"/>
      <c r="Z579" s="38"/>
      <c r="AA579" s="38"/>
      <c r="AB579" s="38"/>
      <c r="AC579" s="38"/>
      <c r="AD579" s="38"/>
      <c r="AE579" s="38"/>
      <c r="AF579" s="38"/>
      <c r="AG579" s="28"/>
      <c r="AH579" s="28" t="s">
        <v>462</v>
      </c>
      <c r="AI579" s="28" t="s">
        <v>462</v>
      </c>
      <c r="AJ579" s="28"/>
      <c r="AK579" s="28" t="s">
        <v>1099</v>
      </c>
      <c r="AL579" s="28" t="s">
        <v>769</v>
      </c>
      <c r="AM579" s="28" t="s">
        <v>3823</v>
      </c>
      <c r="AN579" s="54">
        <v>42431.0</v>
      </c>
      <c r="AO579" s="54"/>
      <c r="AP579" s="54">
        <v>42606.0</v>
      </c>
      <c r="AQ579" s="28"/>
      <c r="AR579" s="28"/>
      <c r="AS579" s="54"/>
      <c r="AT579" s="28"/>
      <c r="AU579" s="28"/>
      <c r="AV579" s="28"/>
      <c r="AW579" s="28"/>
      <c r="AX579" s="28"/>
      <c r="AY579" s="28"/>
      <c r="AZ579" s="28" t="s">
        <v>1101</v>
      </c>
      <c r="BA579" s="28"/>
      <c r="BB579" s="28"/>
      <c r="BC579" s="28"/>
      <c r="BD579" s="28"/>
      <c r="BE579" s="28"/>
      <c r="BF579" s="28"/>
      <c r="BG579" s="28"/>
      <c r="BH579" s="28"/>
      <c r="BI579" s="28"/>
      <c r="BJ579" s="28"/>
      <c r="BK579" s="28"/>
      <c r="BL579" s="28"/>
      <c r="BM579" s="28"/>
      <c r="BN579" s="28"/>
      <c r="BO579" s="28"/>
    </row>
    <row r="580" ht="25.5" customHeight="1">
      <c r="A580" s="28">
        <v>10257.0</v>
      </c>
      <c r="B580" s="37" t="b">
        <v>1</v>
      </c>
      <c r="C580" s="38" t="s">
        <v>238</v>
      </c>
      <c r="D580" s="38">
        <v>81.0</v>
      </c>
      <c r="E580" s="13" t="b">
        <v>0</v>
      </c>
      <c r="F580" s="13" t="b">
        <v>1</v>
      </c>
      <c r="G580" s="38" t="s">
        <v>224</v>
      </c>
      <c r="H580" s="38"/>
      <c r="I580" s="38" t="s">
        <v>429</v>
      </c>
      <c r="J580" s="47">
        <v>2.0</v>
      </c>
      <c r="K580" s="38"/>
      <c r="L580" s="38"/>
      <c r="M580" s="38" t="s">
        <v>408</v>
      </c>
      <c r="N580" s="38">
        <v>20000.0</v>
      </c>
      <c r="O580" s="38" t="s">
        <v>1138</v>
      </c>
      <c r="P580" s="40"/>
      <c r="Q580" s="38" t="s">
        <v>111</v>
      </c>
      <c r="R580" s="47">
        <v>41.0</v>
      </c>
      <c r="S580" s="38" t="s">
        <v>3824</v>
      </c>
      <c r="T580" s="38" t="s">
        <v>3825</v>
      </c>
      <c r="U580" s="38" t="s">
        <v>1298</v>
      </c>
      <c r="V580" s="55">
        <v>39642.0</v>
      </c>
      <c r="W580" s="38" t="s">
        <v>3826</v>
      </c>
      <c r="X580" s="49" t="str">
        <f>HYPERLINK("http://www.nytimes.com/2008/07/13/world/europe/13paris.html?pagewanted=all","http://www.nytimes.com/2008/07/13/world/europe/13paris.html?pagewanted=all")</f>
        <v>http://www.nytimes.com/2008/07/13/world/europe/13paris.html?pagewanted=all</v>
      </c>
      <c r="Y580" s="38"/>
      <c r="Z580" s="38"/>
      <c r="AA580" s="38"/>
      <c r="AB580" s="38"/>
      <c r="AC580" s="38"/>
      <c r="AD580" s="38"/>
      <c r="AE580" s="38"/>
      <c r="AF580" s="38"/>
      <c r="AG580" s="28"/>
      <c r="AH580" s="28" t="s">
        <v>428</v>
      </c>
      <c r="AI580" s="28" t="s">
        <v>462</v>
      </c>
      <c r="AJ580" s="28"/>
      <c r="AK580" s="28"/>
      <c r="AL580" s="28" t="s">
        <v>600</v>
      </c>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row>
    <row r="581" ht="25.5" customHeight="1">
      <c r="A581" s="28">
        <v>10247.0</v>
      </c>
      <c r="B581" s="37" t="b">
        <v>1</v>
      </c>
      <c r="C581" s="38" t="s">
        <v>238</v>
      </c>
      <c r="D581" s="38">
        <v>81.0</v>
      </c>
      <c r="E581" s="13" t="b">
        <v>0</v>
      </c>
      <c r="F581" s="13" t="b">
        <v>1</v>
      </c>
      <c r="G581" s="38" t="s">
        <v>224</v>
      </c>
      <c r="H581" s="38"/>
      <c r="I581" s="38" t="s">
        <v>429</v>
      </c>
      <c r="J581" s="38">
        <v>2.0</v>
      </c>
      <c r="K581" s="38"/>
      <c r="L581" s="38"/>
      <c r="M581" s="38" t="s">
        <v>321</v>
      </c>
      <c r="N581" s="38">
        <v>7000.0</v>
      </c>
      <c r="O581" s="38" t="s">
        <v>445</v>
      </c>
      <c r="P581" s="40"/>
      <c r="Q581" s="38" t="s">
        <v>111</v>
      </c>
      <c r="R581" s="38">
        <v>41.0</v>
      </c>
      <c r="S581" s="38" t="s">
        <v>3760</v>
      </c>
      <c r="T581" s="38" t="s">
        <v>577</v>
      </c>
      <c r="U581" s="38" t="s">
        <v>3761</v>
      </c>
      <c r="V581" s="55">
        <v>41233.0</v>
      </c>
      <c r="W581" s="38" t="s">
        <v>3762</v>
      </c>
      <c r="X581" s="49" t="str">
        <f>HYPERLINK("http://www.newsinenglish.no/2012/11/20/smaller-plates-less-waste/","http://www.newsinenglish.no/2012/11/20/smaller-plates-less-waste/")</f>
        <v>http://www.newsinenglish.no/2012/11/20/smaller-plates-less-waste/</v>
      </c>
      <c r="Y581" s="38"/>
      <c r="Z581" s="38"/>
      <c r="AA581" s="38"/>
      <c r="AB581" s="38"/>
      <c r="AC581" s="38"/>
      <c r="AD581" s="38"/>
      <c r="AE581" s="38"/>
      <c r="AF581" s="38"/>
      <c r="AG581" s="28"/>
      <c r="AH581" s="28" t="s">
        <v>462</v>
      </c>
      <c r="AI581" s="28" t="s">
        <v>462</v>
      </c>
      <c r="AJ581" s="28"/>
      <c r="AK581" s="28" t="s">
        <v>1099</v>
      </c>
      <c r="AL581" s="28" t="s">
        <v>769</v>
      </c>
      <c r="AM581" s="28" t="s">
        <v>3763</v>
      </c>
      <c r="AN581" s="54">
        <v>42327.0</v>
      </c>
      <c r="AO581" s="54"/>
      <c r="AP581" s="54">
        <v>42464.0</v>
      </c>
      <c r="AQ581" s="28"/>
      <c r="AR581" s="28"/>
      <c r="AS581" s="54"/>
      <c r="AT581" s="28"/>
      <c r="AU581" s="54"/>
      <c r="AV581" s="28"/>
      <c r="AW581" s="28"/>
      <c r="AX581" s="28"/>
      <c r="AY581" s="28"/>
      <c r="AZ581" s="28" t="s">
        <v>1101</v>
      </c>
      <c r="BA581" s="28"/>
      <c r="BB581" s="28"/>
      <c r="BC581" s="28"/>
      <c r="BD581" s="28"/>
      <c r="BE581" s="28"/>
      <c r="BF581" s="28"/>
      <c r="BG581" s="28"/>
      <c r="BH581" s="28"/>
      <c r="BI581" s="28"/>
      <c r="BJ581" s="28"/>
      <c r="BK581" s="28"/>
      <c r="BL581" s="28"/>
      <c r="BM581" s="28"/>
      <c r="BN581" s="28"/>
      <c r="BO581" s="28"/>
    </row>
    <row r="582" ht="25.5" customHeight="1">
      <c r="A582" s="28">
        <v>10056.0</v>
      </c>
      <c r="B582" s="37" t="b">
        <v>1</v>
      </c>
      <c r="C582" s="38" t="s">
        <v>238</v>
      </c>
      <c r="D582" s="38">
        <v>81.0</v>
      </c>
      <c r="E582" s="13" t="b">
        <v>1</v>
      </c>
      <c r="F582" s="13" t="b">
        <v>0</v>
      </c>
      <c r="G582" s="38" t="s">
        <v>224</v>
      </c>
      <c r="H582" s="38"/>
      <c r="I582" s="38" t="s">
        <v>490</v>
      </c>
      <c r="J582" s="38">
        <v>6.0</v>
      </c>
      <c r="K582" s="38"/>
      <c r="L582" s="38"/>
      <c r="M582" s="38" t="s">
        <v>388</v>
      </c>
      <c r="N582" s="38">
        <v>14000.0</v>
      </c>
      <c r="O582" s="38" t="s">
        <v>224</v>
      </c>
      <c r="P582" s="40"/>
      <c r="Q582" s="38" t="s">
        <v>289</v>
      </c>
      <c r="R582" s="38">
        <v>40.0</v>
      </c>
      <c r="S582" s="38" t="s">
        <v>1908</v>
      </c>
      <c r="T582" s="38" t="s">
        <v>1909</v>
      </c>
      <c r="U582" s="38" t="s">
        <v>1910</v>
      </c>
      <c r="V582" s="55">
        <v>40105.0</v>
      </c>
      <c r="W582" s="38" t="s">
        <v>1912</v>
      </c>
      <c r="X582" s="49" t="str">
        <f>HYPERLINK("http://www.newsweek.com/our-brains-are-wired-hypocrisy-begley-80941","http://www.newsweek.com/our-brains-are-wired-hypocrisy-begley-80941")</f>
        <v>http://www.newsweek.com/our-brains-are-wired-hypocrisy-begley-80941</v>
      </c>
      <c r="Y582" s="38"/>
      <c r="Z582" s="38"/>
      <c r="AA582" s="38"/>
      <c r="AB582" s="38"/>
      <c r="AC582" s="38"/>
      <c r="AD582" s="38"/>
      <c r="AE582" s="38"/>
      <c r="AF582" s="38"/>
      <c r="AG582" s="28"/>
      <c r="AH582" s="28" t="s">
        <v>462</v>
      </c>
      <c r="AI582" s="28" t="s">
        <v>462</v>
      </c>
      <c r="AJ582" s="28"/>
      <c r="AK582" s="28"/>
      <c r="AL582" s="28" t="s">
        <v>769</v>
      </c>
      <c r="AM582" s="28" t="s">
        <v>1918</v>
      </c>
      <c r="AN582" s="54">
        <v>42333.0</v>
      </c>
      <c r="AO582" s="54"/>
      <c r="AP582" s="28"/>
      <c r="AQ582" s="28" t="s">
        <v>769</v>
      </c>
      <c r="AR582" s="28"/>
      <c r="AS582" s="54">
        <v>42534.0</v>
      </c>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row>
    <row r="583" ht="25.5" customHeight="1">
      <c r="A583" s="28">
        <v>10177.0</v>
      </c>
      <c r="B583" s="37" t="b">
        <v>1</v>
      </c>
      <c r="C583" s="38" t="s">
        <v>238</v>
      </c>
      <c r="D583" s="38">
        <v>81.0</v>
      </c>
      <c r="E583" s="13" t="b">
        <v>0</v>
      </c>
      <c r="F583" s="13" t="b">
        <v>1</v>
      </c>
      <c r="G583" s="38" t="s">
        <v>224</v>
      </c>
      <c r="H583" s="38"/>
      <c r="I583" s="38" t="s">
        <v>887</v>
      </c>
      <c r="J583" s="38">
        <v>9.0</v>
      </c>
      <c r="K583" s="38"/>
      <c r="L583" s="38"/>
      <c r="M583" s="38" t="s">
        <v>107</v>
      </c>
      <c r="N583" s="38">
        <v>3000.0</v>
      </c>
      <c r="O583" s="38" t="s">
        <v>1223</v>
      </c>
      <c r="P583" s="40"/>
      <c r="Q583" s="38" t="s">
        <v>1590</v>
      </c>
      <c r="R583" s="38"/>
      <c r="S583" s="61" t="s">
        <v>3153</v>
      </c>
      <c r="T583" s="38" t="s">
        <v>577</v>
      </c>
      <c r="U583" s="38" t="s">
        <v>3154</v>
      </c>
      <c r="V583" s="55">
        <v>42313.0</v>
      </c>
      <c r="W583" s="38" t="s">
        <v>3155</v>
      </c>
      <c r="X583" s="49" t="str">
        <f>HYPERLINK("http://www.nielsen.com/us/en/insights/news/2015/green-generation-millennials-say-sustainability-is-a-shopping-priority.html","http://www.nielsen.com/us/en/insights/news/2015/green-generation-millennials-say-sustainability-is-a-shopping-priority.html")</f>
        <v>http://www.nielsen.com/us/en/insights/news/2015/green-generation-millennials-say-sustainability-is-a-shopping-priority.html</v>
      </c>
      <c r="Y583" s="38"/>
      <c r="Z583" s="38"/>
      <c r="AA583" s="38"/>
      <c r="AB583" s="38"/>
      <c r="AC583" s="38"/>
      <c r="AD583" s="38"/>
      <c r="AE583" s="38"/>
      <c r="AF583" s="38"/>
      <c r="AG583" s="28"/>
      <c r="AH583" s="28"/>
      <c r="AI583" s="28"/>
      <c r="AJ583" s="28"/>
      <c r="AK583" s="28"/>
      <c r="AL583" s="28" t="s">
        <v>3158</v>
      </c>
      <c r="AM583" s="28"/>
      <c r="AN583" s="28"/>
      <c r="AO583" s="28"/>
      <c r="AP583" s="28"/>
      <c r="AQ583" s="28"/>
      <c r="AR583" s="28"/>
      <c r="AS583" s="28"/>
      <c r="AT583" s="28"/>
      <c r="AU583" s="28"/>
      <c r="AV583" s="28"/>
      <c r="AW583" s="28"/>
      <c r="AX583" s="28"/>
      <c r="AY583" s="28" t="s">
        <v>428</v>
      </c>
      <c r="AZ583" s="28"/>
      <c r="BA583" s="28"/>
      <c r="BB583" s="28"/>
      <c r="BC583" s="28"/>
      <c r="BD583" s="28"/>
      <c r="BE583" s="28"/>
      <c r="BF583" s="28"/>
      <c r="BG583" s="28"/>
      <c r="BH583" s="28"/>
      <c r="BI583" s="28"/>
      <c r="BJ583" s="28"/>
      <c r="BK583" s="28"/>
      <c r="BL583" s="28"/>
      <c r="BM583" s="28"/>
      <c r="BN583" s="28"/>
      <c r="BO583" s="28"/>
    </row>
    <row r="584" ht="25.5" customHeight="1">
      <c r="A584" s="28">
        <v>282.0</v>
      </c>
      <c r="B584" s="37" t="b">
        <v>1</v>
      </c>
      <c r="C584" s="38" t="s">
        <v>106</v>
      </c>
      <c r="D584" s="38">
        <v>80.0</v>
      </c>
      <c r="E584" s="13" t="b">
        <v>0</v>
      </c>
      <c r="F584" s="13" t="b">
        <v>1</v>
      </c>
      <c r="G584" s="38" t="s">
        <v>224</v>
      </c>
      <c r="H584" s="38"/>
      <c r="I584" s="38" t="s">
        <v>536</v>
      </c>
      <c r="J584" s="38">
        <v>3.0</v>
      </c>
      <c r="K584" s="38" t="s">
        <v>603</v>
      </c>
      <c r="L584" s="38">
        <v>304.0</v>
      </c>
      <c r="M584" s="38" t="s">
        <v>239</v>
      </c>
      <c r="N584" s="38">
        <v>4000.0</v>
      </c>
      <c r="O584" s="38" t="s">
        <v>605</v>
      </c>
      <c r="P584" s="40"/>
      <c r="Q584" s="38" t="s">
        <v>289</v>
      </c>
      <c r="R584" s="38">
        <v>40.0</v>
      </c>
      <c r="S584" s="38" t="s">
        <v>5746</v>
      </c>
      <c r="T584" s="38" t="s">
        <v>5748</v>
      </c>
      <c r="U584" s="38" t="s">
        <v>610</v>
      </c>
      <c r="V584" s="38">
        <v>2009.0</v>
      </c>
      <c r="W584" s="38" t="s">
        <v>610</v>
      </c>
      <c r="X584" s="38" t="s">
        <v>5750</v>
      </c>
      <c r="Y584" s="38"/>
      <c r="Z584" s="38"/>
      <c r="AA584" s="38"/>
      <c r="AB584" s="38"/>
      <c r="AC584" s="38"/>
      <c r="AD584" s="38"/>
      <c r="AE584" s="38"/>
      <c r="AF584" s="38"/>
      <c r="AG584" s="28"/>
      <c r="AH584" s="28" t="s">
        <v>428</v>
      </c>
      <c r="AI584" s="28" t="s">
        <v>462</v>
      </c>
      <c r="AJ584" s="28"/>
      <c r="AK584" s="28"/>
      <c r="AL584" s="28"/>
      <c r="AM584" s="28"/>
      <c r="AN584" s="28"/>
      <c r="AO584" s="28"/>
      <c r="AP584" s="28"/>
      <c r="AQ584" s="28"/>
      <c r="AR584" s="28"/>
      <c r="AS584" s="28"/>
      <c r="AT584" s="28"/>
      <c r="AU584" s="28"/>
      <c r="AV584" s="28"/>
      <c r="AW584" s="28"/>
      <c r="AX584" s="28"/>
      <c r="AY584" s="28"/>
      <c r="AZ584" s="28"/>
      <c r="BA584" s="28" t="s">
        <v>1023</v>
      </c>
      <c r="BB584" s="28"/>
      <c r="BC584" s="28"/>
      <c r="BD584" s="28"/>
      <c r="BE584" s="28"/>
      <c r="BF584" s="28"/>
      <c r="BG584" s="28"/>
      <c r="BH584" s="28"/>
      <c r="BI584" s="28"/>
      <c r="BJ584" s="28"/>
      <c r="BK584" s="28"/>
      <c r="BL584" s="28"/>
      <c r="BM584" s="28"/>
      <c r="BN584" s="28"/>
      <c r="BO584" s="28"/>
    </row>
    <row r="585" ht="25.5" customHeight="1">
      <c r="A585" s="28">
        <v>187.0</v>
      </c>
      <c r="B585" s="37" t="b">
        <v>1</v>
      </c>
      <c r="C585" s="38" t="s">
        <v>106</v>
      </c>
      <c r="D585" s="38">
        <v>80.0</v>
      </c>
      <c r="E585" s="13" t="b">
        <v>0</v>
      </c>
      <c r="F585" s="13" t="b">
        <v>1</v>
      </c>
      <c r="G585" s="38" t="s">
        <v>224</v>
      </c>
      <c r="H585" s="38"/>
      <c r="I585" s="38" t="s">
        <v>429</v>
      </c>
      <c r="J585" s="38">
        <v>2.0</v>
      </c>
      <c r="K585" s="38" t="s">
        <v>524</v>
      </c>
      <c r="L585" s="62">
        <v>205.0</v>
      </c>
      <c r="M585" s="38" t="s">
        <v>388</v>
      </c>
      <c r="N585" s="38">
        <v>14000.0</v>
      </c>
      <c r="O585" s="38" t="s">
        <v>224</v>
      </c>
      <c r="P585" s="40"/>
      <c r="Q585" s="38" t="s">
        <v>111</v>
      </c>
      <c r="R585" s="38">
        <v>41.0</v>
      </c>
      <c r="S585" s="38" t="s">
        <v>5344</v>
      </c>
      <c r="T585" s="38" t="s">
        <v>5345</v>
      </c>
      <c r="U585" s="38" t="s">
        <v>610</v>
      </c>
      <c r="V585" s="38">
        <v>2013.0</v>
      </c>
      <c r="W585" s="38" t="s">
        <v>5346</v>
      </c>
      <c r="X585" s="49" t="str">
        <f>HYPERLINK("http://ftp.iza.org/dp7610.pdf","http://ftp.iza.org/dp7610.pdf")</f>
        <v>http://ftp.iza.org/dp7610.pdf</v>
      </c>
      <c r="Y585" s="38"/>
      <c r="Z585" s="38"/>
      <c r="AA585" s="38"/>
      <c r="AB585" s="38"/>
      <c r="AC585" s="38"/>
      <c r="AD585" s="38"/>
      <c r="AE585" s="38"/>
      <c r="AF585" s="38"/>
      <c r="AG585" s="28"/>
      <c r="AH585" s="28" t="s">
        <v>462</v>
      </c>
      <c r="AI585" s="28" t="s">
        <v>462</v>
      </c>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row>
    <row r="586" ht="25.5" customHeight="1">
      <c r="A586" s="28">
        <v>202.0</v>
      </c>
      <c r="B586" s="37" t="b">
        <v>1</v>
      </c>
      <c r="C586" s="38" t="s">
        <v>106</v>
      </c>
      <c r="D586" s="38">
        <v>80.0</v>
      </c>
      <c r="E586" s="13" t="b">
        <v>0</v>
      </c>
      <c r="F586" s="13" t="b">
        <v>1</v>
      </c>
      <c r="G586" s="38" t="s">
        <v>224</v>
      </c>
      <c r="H586" s="38"/>
      <c r="I586" s="38" t="s">
        <v>429</v>
      </c>
      <c r="J586" s="38">
        <v>2.0</v>
      </c>
      <c r="K586" s="38" t="s">
        <v>524</v>
      </c>
      <c r="L586" s="62">
        <v>205.0</v>
      </c>
      <c r="M586" s="38" t="s">
        <v>388</v>
      </c>
      <c r="N586" s="38">
        <v>14000.0</v>
      </c>
      <c r="O586" s="38" t="s">
        <v>224</v>
      </c>
      <c r="P586" s="40"/>
      <c r="Q586" s="38" t="s">
        <v>289</v>
      </c>
      <c r="R586" s="38">
        <v>40.0</v>
      </c>
      <c r="S586" s="38" t="s">
        <v>5494</v>
      </c>
      <c r="T586" s="38" t="s">
        <v>5495</v>
      </c>
      <c r="U586" s="38" t="s">
        <v>610</v>
      </c>
      <c r="V586" s="38">
        <v>2016.0</v>
      </c>
      <c r="W586" s="38" t="s">
        <v>5501</v>
      </c>
      <c r="X586" s="49" t="str">
        <f>HYPERLINK("http://home.uchicago.edu/davetannenbaum/documents/default%20information%20asymmetries.pdf","http://home.uchicago.edu/davetannenbaum/documents/default%20information%20asymmetries.pdf")</f>
        <v>http://home.uchicago.edu/davetannenbaum/documents/default%20information%20asymmetries.pdf</v>
      </c>
      <c r="Y586" s="38"/>
      <c r="Z586" s="38"/>
      <c r="AA586" s="38"/>
      <c r="AB586" s="38"/>
      <c r="AC586" s="38"/>
      <c r="AD586" s="38"/>
      <c r="AE586" s="38"/>
      <c r="AF586" s="38"/>
      <c r="AG586" s="28"/>
      <c r="AH586" s="28" t="s">
        <v>462</v>
      </c>
      <c r="AI586" s="28" t="s">
        <v>462</v>
      </c>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row>
    <row r="587" ht="25.5" customHeight="1">
      <c r="A587" s="28">
        <v>401.0</v>
      </c>
      <c r="B587" s="37" t="b">
        <v>1</v>
      </c>
      <c r="C587" s="38" t="s">
        <v>106</v>
      </c>
      <c r="D587" s="38">
        <v>80.0</v>
      </c>
      <c r="E587" s="13" t="b">
        <v>0</v>
      </c>
      <c r="F587" s="13" t="b">
        <v>1</v>
      </c>
      <c r="G587" s="38" t="s">
        <v>224</v>
      </c>
      <c r="H587" s="38"/>
      <c r="I587" s="38" t="s">
        <v>712</v>
      </c>
      <c r="J587" s="38">
        <v>7.0</v>
      </c>
      <c r="K587" s="38" t="s">
        <v>731</v>
      </c>
      <c r="L587" s="38">
        <v>700.0</v>
      </c>
      <c r="M587" s="38" t="s">
        <v>411</v>
      </c>
      <c r="N587" s="38">
        <v>21000.0</v>
      </c>
      <c r="O587" s="38" t="s">
        <v>1052</v>
      </c>
      <c r="P587" s="40"/>
      <c r="Q587" s="38" t="s">
        <v>289</v>
      </c>
      <c r="R587" s="38">
        <v>40.0</v>
      </c>
      <c r="S587" s="38" t="s">
        <v>5906</v>
      </c>
      <c r="T587" s="38" t="s">
        <v>5907</v>
      </c>
      <c r="U587" s="38" t="s">
        <v>753</v>
      </c>
      <c r="V587" s="38">
        <v>2003.0</v>
      </c>
      <c r="W587" s="38" t="s">
        <v>610</v>
      </c>
      <c r="X587" s="49" t="str">
        <f>HYPERLINK("http://www.acetiassociates.com/pubs/doverreport.pdf","http://www.acetiassociates.com/pubs/doverreport.pdf")</f>
        <v>http://www.acetiassociates.com/pubs/doverreport.pdf</v>
      </c>
      <c r="Y587" s="38"/>
      <c r="Z587" s="38"/>
      <c r="AA587" s="38"/>
      <c r="AB587" s="38"/>
      <c r="AC587" s="38"/>
      <c r="AD587" s="38"/>
      <c r="AE587" s="38"/>
      <c r="AF587" s="38"/>
      <c r="AG587" s="28"/>
      <c r="AH587" s="28" t="s">
        <v>428</v>
      </c>
      <c r="AI587" s="28" t="s">
        <v>462</v>
      </c>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row>
    <row r="588" ht="25.5" customHeight="1">
      <c r="A588" s="28">
        <v>10052.0</v>
      </c>
      <c r="B588" s="37" t="b">
        <v>1</v>
      </c>
      <c r="C588" s="38" t="s">
        <v>238</v>
      </c>
      <c r="D588" s="38">
        <v>81.0</v>
      </c>
      <c r="E588" s="13" t="b">
        <v>1</v>
      </c>
      <c r="F588" s="13" t="b">
        <v>0</v>
      </c>
      <c r="G588" s="38" t="s">
        <v>224</v>
      </c>
      <c r="H588" s="38"/>
      <c r="I588" s="38" t="s">
        <v>323</v>
      </c>
      <c r="J588" s="38">
        <v>11.0</v>
      </c>
      <c r="K588" s="38"/>
      <c r="L588" s="38"/>
      <c r="M588" s="38" t="s">
        <v>107</v>
      </c>
      <c r="N588" s="38">
        <v>3000.0</v>
      </c>
      <c r="O588" s="38" t="s">
        <v>116</v>
      </c>
      <c r="P588" s="40"/>
      <c r="Q588" s="38" t="s">
        <v>289</v>
      </c>
      <c r="R588" s="38">
        <v>40.0</v>
      </c>
      <c r="S588" s="38" t="s">
        <v>1862</v>
      </c>
      <c r="T588" s="38" t="s">
        <v>1429</v>
      </c>
      <c r="U588" s="38" t="s">
        <v>1430</v>
      </c>
      <c r="V588" s="55">
        <v>42129.0</v>
      </c>
      <c r="W588" s="38" t="s">
        <v>1864</v>
      </c>
      <c r="X588" s="49" t="str">
        <f>HYPERLINK("http://www.npr.org/2015/05/05/404352534/blame-cognitive-biases-when-efforts-to-conserve-water-aren-t-effective","http://www.npr.org/2015/05/05/404352534/blame-cognitive-biases-when-efforts-to-conserve-water-aren-t-effective")</f>
        <v>http://www.npr.org/2015/05/05/404352534/blame-cognitive-biases-when-efforts-to-conserve-water-aren-t-effective</v>
      </c>
      <c r="Y588" s="38"/>
      <c r="Z588" s="38"/>
      <c r="AA588" s="38"/>
      <c r="AB588" s="38"/>
      <c r="AC588" s="38"/>
      <c r="AD588" s="38"/>
      <c r="AE588" s="38"/>
      <c r="AF588" s="38"/>
      <c r="AG588" s="28" t="s">
        <v>1868</v>
      </c>
      <c r="AH588" s="28" t="s">
        <v>462</v>
      </c>
      <c r="AI588" s="28" t="s">
        <v>462</v>
      </c>
      <c r="AJ588" s="28"/>
      <c r="AK588" s="28" t="s">
        <v>676</v>
      </c>
      <c r="AL588" s="28" t="s">
        <v>769</v>
      </c>
      <c r="AM588" s="28" t="s">
        <v>1870</v>
      </c>
      <c r="AN588" s="54">
        <v>42160.0</v>
      </c>
      <c r="AO588" s="54"/>
      <c r="AP588" s="54">
        <v>42513.0</v>
      </c>
      <c r="AQ588" s="28" t="s">
        <v>769</v>
      </c>
      <c r="AR588" s="28"/>
      <c r="AS588" s="54">
        <v>42130.0</v>
      </c>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row>
    <row r="589" ht="25.5" customHeight="1">
      <c r="A589" s="28">
        <v>10039.0</v>
      </c>
      <c r="B589" s="37" t="b">
        <v>1</v>
      </c>
      <c r="C589" s="38" t="s">
        <v>238</v>
      </c>
      <c r="D589" s="38">
        <v>81.0</v>
      </c>
      <c r="E589" s="13" t="b">
        <v>1</v>
      </c>
      <c r="F589" s="13" t="b">
        <v>0</v>
      </c>
      <c r="G589" s="38" t="s">
        <v>2566</v>
      </c>
      <c r="H589" s="38">
        <v>63.0</v>
      </c>
      <c r="I589" s="38" t="s">
        <v>224</v>
      </c>
      <c r="J589" s="38"/>
      <c r="K589" s="38" t="s">
        <v>224</v>
      </c>
      <c r="L589" s="38"/>
      <c r="M589" s="38" t="s">
        <v>388</v>
      </c>
      <c r="N589" s="38">
        <v>14000.0</v>
      </c>
      <c r="O589" s="38" t="s">
        <v>224</v>
      </c>
      <c r="P589" s="40"/>
      <c r="Q589" s="38" t="s">
        <v>289</v>
      </c>
      <c r="R589" s="38">
        <v>40.0</v>
      </c>
      <c r="S589" s="38" t="s">
        <v>1716</v>
      </c>
      <c r="T589" s="38" t="s">
        <v>1717</v>
      </c>
      <c r="U589" s="38" t="s">
        <v>1430</v>
      </c>
      <c r="V589" s="55">
        <v>41904.0</v>
      </c>
      <c r="W589" s="38" t="s">
        <v>1719</v>
      </c>
      <c r="X589" s="49" t="str">
        <f>HYPERLINK("http://www.npr.org/blogs/13.7/2014/09/22/350519216/being-good-isnt-zero-sum?utm_source=facebook.com&amp;utm_medium=social&amp;utm_campaign=npr&amp;utm_term=nprnews&amp;utm_content=20140922","http://www.npr.org/blogs/13.7/2014/09/22/350519216/being-good-isnt-zero-sum?utm_source=facebook.com&amp;utm_medium=social&amp;utm_campaign=npr&amp;utm_term=nprnews&amp;utm_content=20140922")</f>
        <v>http://www.npr.org/blogs/13.7/2014/09/22/350519216/being-good-isnt-zero-sum?utm_source=facebook.com&amp;utm_medium=social&amp;utm_campaign=npr&amp;utm_term=nprnews&amp;utm_content=20140922</v>
      </c>
      <c r="Y589" s="38"/>
      <c r="Z589" s="38"/>
      <c r="AA589" s="38"/>
      <c r="AB589" s="38"/>
      <c r="AC589" s="38"/>
      <c r="AD589" s="38"/>
      <c r="AE589" s="38"/>
      <c r="AF589" s="38"/>
      <c r="AG589" s="28"/>
      <c r="AH589" s="28" t="s">
        <v>462</v>
      </c>
      <c r="AI589" s="28" t="s">
        <v>462</v>
      </c>
      <c r="AJ589" s="28"/>
      <c r="AK589" s="28" t="s">
        <v>676</v>
      </c>
      <c r="AL589" s="28" t="s">
        <v>600</v>
      </c>
      <c r="AM589" s="28" t="s">
        <v>1105</v>
      </c>
      <c r="AN589" s="54" t="s">
        <v>1105</v>
      </c>
      <c r="AO589" s="54"/>
      <c r="AP589" s="28"/>
      <c r="AQ589" s="28" t="s">
        <v>769</v>
      </c>
      <c r="AR589" s="28"/>
      <c r="AS589" s="54">
        <v>41905.0</v>
      </c>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row>
    <row r="590" ht="25.5" customHeight="1">
      <c r="A590" s="28">
        <v>10051.0</v>
      </c>
      <c r="B590" s="37" t="b">
        <v>1</v>
      </c>
      <c r="C590" s="38" t="s">
        <v>238</v>
      </c>
      <c r="D590" s="38">
        <v>81.0</v>
      </c>
      <c r="E590" s="13" t="b">
        <v>1</v>
      </c>
      <c r="F590" s="13" t="b">
        <v>0</v>
      </c>
      <c r="G590" s="38" t="s">
        <v>224</v>
      </c>
      <c r="H590" s="38"/>
      <c r="I590" s="38" t="s">
        <v>323</v>
      </c>
      <c r="J590" s="38">
        <v>11.0</v>
      </c>
      <c r="K590" s="38"/>
      <c r="L590" s="38"/>
      <c r="M590" s="38" t="s">
        <v>411</v>
      </c>
      <c r="N590" s="38">
        <v>21000.0</v>
      </c>
      <c r="O590" s="38" t="s">
        <v>1203</v>
      </c>
      <c r="P590" s="40"/>
      <c r="Q590" s="38" t="s">
        <v>289</v>
      </c>
      <c r="R590" s="38">
        <v>40.0</v>
      </c>
      <c r="S590" s="38" t="s">
        <v>1852</v>
      </c>
      <c r="T590" s="38" t="s">
        <v>1853</v>
      </c>
      <c r="U590" s="38" t="s">
        <v>1430</v>
      </c>
      <c r="V590" s="55">
        <v>41544.0</v>
      </c>
      <c r="W590" s="38" t="s">
        <v>1854</v>
      </c>
      <c r="X590" s="49" t="str">
        <f>HYPERLINK("http://www.npr.org/2013/09/27/226580668/how-recycling-bias-affects-what-you-toss-where","http://www.npr.org/2013/09/27/226580668/how-recycling-bias-affects-what-you-toss-where")</f>
        <v>http://www.npr.org/2013/09/27/226580668/how-recycling-bias-affects-what-you-toss-where</v>
      </c>
      <c r="Y590" s="38"/>
      <c r="Z590" s="38"/>
      <c r="AA590" s="38"/>
      <c r="AB590" s="38"/>
      <c r="AC590" s="38"/>
      <c r="AD590" s="38"/>
      <c r="AE590" s="38"/>
      <c r="AF590" s="38"/>
      <c r="AG590" s="28" t="s">
        <v>1859</v>
      </c>
      <c r="AH590" s="28" t="s">
        <v>462</v>
      </c>
      <c r="AI590" s="28" t="s">
        <v>462</v>
      </c>
      <c r="AJ590" s="28"/>
      <c r="AK590" s="28"/>
      <c r="AL590" s="28" t="s">
        <v>769</v>
      </c>
      <c r="AM590" s="28" t="s">
        <v>1861</v>
      </c>
      <c r="AN590" s="54">
        <v>42466.0</v>
      </c>
      <c r="AO590" s="54"/>
      <c r="AP590" s="54">
        <v>42606.0</v>
      </c>
      <c r="AQ590" s="28" t="s">
        <v>769</v>
      </c>
      <c r="AR590" s="28"/>
      <c r="AS590" s="54">
        <v>41948.0</v>
      </c>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row>
    <row r="591" ht="25.5" customHeight="1">
      <c r="A591" s="28">
        <v>10360.0</v>
      </c>
      <c r="B591" s="37" t="b">
        <v>1</v>
      </c>
      <c r="C591" s="38" t="s">
        <v>238</v>
      </c>
      <c r="D591" s="38">
        <v>81.0</v>
      </c>
      <c r="E591" s="13" t="b">
        <v>0</v>
      </c>
      <c r="F591" s="13" t="b">
        <v>1</v>
      </c>
      <c r="G591" s="38" t="s">
        <v>224</v>
      </c>
      <c r="H591" s="38"/>
      <c r="I591" s="38" t="s">
        <v>280</v>
      </c>
      <c r="J591" s="38">
        <v>10.0</v>
      </c>
      <c r="K591" s="38"/>
      <c r="L591" s="38"/>
      <c r="M591" s="38" t="s">
        <v>35</v>
      </c>
      <c r="N591" s="38">
        <v>2000.0</v>
      </c>
      <c r="O591" s="38" t="s">
        <v>644</v>
      </c>
      <c r="P591" s="40"/>
      <c r="Q591" s="38" t="s">
        <v>289</v>
      </c>
      <c r="R591" s="38">
        <v>40.0</v>
      </c>
      <c r="S591" s="38" t="s">
        <v>4755</v>
      </c>
      <c r="T591" s="38" t="s">
        <v>1717</v>
      </c>
      <c r="U591" s="38" t="s">
        <v>1430</v>
      </c>
      <c r="V591" s="55">
        <v>41897.0</v>
      </c>
      <c r="W591" s="38" t="s">
        <v>4756</v>
      </c>
      <c r="X591" s="49" t="str">
        <f>HYPERLINK("http://www.npr.org/blogs/13.7/2014/09/15/348629576/how-not-to-teach-climate-change?utm_source=facebook.com&amp;utm_medium=social&amp;utm_campaign=npr&amp;utm_term=nprnews&amp;utm_content=20140915","http://www.npr.org/blogs/13.7/2014/09/15/348629576/how-not-to-teach-climate-change?utm_source=facebook.com&amp;utm_medium=social&amp;utm_campaign=npr&amp;utm_term=nprnews&amp;utm_content=20140915")</f>
        <v>http://www.npr.org/blogs/13.7/2014/09/15/348629576/how-not-to-teach-climate-change?utm_source=facebook.com&amp;utm_medium=social&amp;utm_campaign=npr&amp;utm_term=nprnews&amp;utm_content=20140915</v>
      </c>
      <c r="Y591" s="38"/>
      <c r="Z591" s="38"/>
      <c r="AA591" s="38"/>
      <c r="AB591" s="38"/>
      <c r="AC591" s="38"/>
      <c r="AD591" s="38"/>
      <c r="AE591" s="38"/>
      <c r="AF591" s="38"/>
      <c r="AG591" s="28"/>
      <c r="AH591" s="28" t="s">
        <v>462</v>
      </c>
      <c r="AI591" s="28" t="s">
        <v>462</v>
      </c>
      <c r="AJ591" s="28"/>
      <c r="AK591" s="28" t="s">
        <v>676</v>
      </c>
      <c r="AL591" s="28" t="s">
        <v>600</v>
      </c>
      <c r="AM591" s="28" t="s">
        <v>1105</v>
      </c>
      <c r="AN591" s="54" t="s">
        <v>1105</v>
      </c>
      <c r="AO591" s="54"/>
      <c r="AP591" s="28"/>
      <c r="AQ591" s="28" t="s">
        <v>769</v>
      </c>
      <c r="AR591" s="28"/>
      <c r="AS591" s="54">
        <v>41898.0</v>
      </c>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row>
    <row r="592" ht="25.5" customHeight="1">
      <c r="A592" s="28">
        <v>10181.0</v>
      </c>
      <c r="B592" s="37" t="b">
        <v>1</v>
      </c>
      <c r="C592" s="38" t="s">
        <v>238</v>
      </c>
      <c r="D592" s="38">
        <v>81.0</v>
      </c>
      <c r="E592" s="13" t="b">
        <v>0</v>
      </c>
      <c r="F592" s="13" t="b">
        <v>1</v>
      </c>
      <c r="G592" s="38" t="s">
        <v>224</v>
      </c>
      <c r="H592" s="38"/>
      <c r="I592" s="38" t="s">
        <v>265</v>
      </c>
      <c r="J592" s="38">
        <v>9.0</v>
      </c>
      <c r="K592" s="38"/>
      <c r="L592" s="38"/>
      <c r="M592" s="38" t="s">
        <v>388</v>
      </c>
      <c r="N592" s="38">
        <v>14000.0</v>
      </c>
      <c r="O592" s="38" t="s">
        <v>224</v>
      </c>
      <c r="P592" s="40"/>
      <c r="Q592" s="38" t="s">
        <v>289</v>
      </c>
      <c r="R592" s="38">
        <v>40.0</v>
      </c>
      <c r="S592" s="38" t="s">
        <v>3184</v>
      </c>
      <c r="T592" s="38" t="s">
        <v>3185</v>
      </c>
      <c r="U592" s="38" t="s">
        <v>1430</v>
      </c>
      <c r="V592" s="55">
        <v>40518.0</v>
      </c>
      <c r="W592" s="38"/>
      <c r="X592" s="38" t="s">
        <v>3186</v>
      </c>
      <c r="Y592" s="38"/>
      <c r="Z592" s="38"/>
      <c r="AA592" s="38"/>
      <c r="AB592" s="38"/>
      <c r="AC592" s="38"/>
      <c r="AD592" s="38"/>
      <c r="AE592" s="38"/>
      <c r="AF592" s="38"/>
      <c r="AG592" s="28"/>
      <c r="AH592" s="28" t="s">
        <v>462</v>
      </c>
      <c r="AI592" s="28" t="s">
        <v>462</v>
      </c>
      <c r="AJ592" s="28"/>
      <c r="AK592" s="28"/>
      <c r="AL592" s="28"/>
      <c r="AM592" s="28"/>
      <c r="AN592" s="54"/>
      <c r="AO592" s="54"/>
      <c r="AP592" s="54"/>
      <c r="AQ592" s="28"/>
      <c r="AR592" s="28"/>
      <c r="AS592" s="54"/>
      <c r="AT592" s="28"/>
      <c r="AU592" s="28"/>
      <c r="AV592" s="28"/>
      <c r="AW592" s="28"/>
      <c r="AX592" s="28"/>
      <c r="AY592" s="28"/>
      <c r="AZ592" s="28" t="s">
        <v>3187</v>
      </c>
      <c r="BA592" s="28"/>
      <c r="BB592" s="28"/>
      <c r="BC592" s="28"/>
      <c r="BD592" s="28"/>
      <c r="BE592" s="28"/>
      <c r="BF592" s="28"/>
      <c r="BG592" s="28"/>
      <c r="BH592" s="28"/>
      <c r="BI592" s="28"/>
      <c r="BJ592" s="28"/>
      <c r="BK592" s="28"/>
      <c r="BL592" s="28"/>
      <c r="BM592" s="28"/>
      <c r="BN592" s="28"/>
      <c r="BO592" s="28"/>
    </row>
    <row r="593" ht="25.5" customHeight="1">
      <c r="A593" s="28">
        <v>10268.0</v>
      </c>
      <c r="B593" s="37" t="b">
        <v>1</v>
      </c>
      <c r="C593" s="38" t="s">
        <v>238</v>
      </c>
      <c r="D593" s="38">
        <v>81.0</v>
      </c>
      <c r="E593" s="13" t="b">
        <v>0</v>
      </c>
      <c r="F593" s="13" t="b">
        <v>1</v>
      </c>
      <c r="G593" s="38" t="s">
        <v>224</v>
      </c>
      <c r="H593" s="38"/>
      <c r="I593" s="38" t="s">
        <v>3930</v>
      </c>
      <c r="J593" s="38" t="s">
        <v>467</v>
      </c>
      <c r="K593" s="38"/>
      <c r="L593" s="38"/>
      <c r="M593" s="38" t="s">
        <v>388</v>
      </c>
      <c r="N593" s="38">
        <v>14000.0</v>
      </c>
      <c r="O593" s="38" t="s">
        <v>224</v>
      </c>
      <c r="P593" s="40"/>
      <c r="Q593" s="38" t="s">
        <v>687</v>
      </c>
      <c r="R593" s="38" t="s">
        <v>688</v>
      </c>
      <c r="S593" s="38" t="s">
        <v>3934</v>
      </c>
      <c r="T593" s="38" t="s">
        <v>3936</v>
      </c>
      <c r="U593" s="38" t="s">
        <v>1430</v>
      </c>
      <c r="V593" s="55">
        <v>42009.0</v>
      </c>
      <c r="W593" s="38" t="s">
        <v>3938</v>
      </c>
      <c r="X593" s="49" t="str">
        <f>HYPERLINK("http://www.npr.org/blogs/health/2015/01/05/371894919/what-heroin-addiction-tells-us-about-changing-bad-habits?utm_source=facebook.com&amp;utm_medium=social&amp;utm_campaign=npr&amp;utm_term=nprnews&amp;utm_content=20150105","http://www.npr.org/blogs/health/2015/01/05/371894919/what-heroin-addiction-tells-us-about-changing-bad-habits?utm_source=facebook.com&amp;utm_medium=social&amp;utm_campaign=npr&amp;utm_term=nprnews&amp;utm_content=20150105")</f>
        <v>http://www.npr.org/blogs/health/2015/01/05/371894919/what-heroin-addiction-tells-us-about-changing-bad-habits?utm_source=facebook.com&amp;utm_medium=social&amp;utm_campaign=npr&amp;utm_term=nprnews&amp;utm_content=20150105</v>
      </c>
      <c r="Y593" s="38"/>
      <c r="Z593" s="38"/>
      <c r="AA593" s="38"/>
      <c r="AB593" s="38"/>
      <c r="AC593" s="38"/>
      <c r="AD593" s="38"/>
      <c r="AE593" s="38"/>
      <c r="AF593" s="38"/>
      <c r="AG593" s="28"/>
      <c r="AH593" s="28" t="s">
        <v>3942</v>
      </c>
      <c r="AI593" s="28" t="s">
        <v>3942</v>
      </c>
      <c r="AJ593" s="28"/>
      <c r="AK593" s="28"/>
      <c r="AL593" s="28" t="s">
        <v>677</v>
      </c>
      <c r="AM593" s="28"/>
      <c r="AN593" s="54"/>
      <c r="AO593" s="54"/>
      <c r="AP593" s="28"/>
      <c r="AQ593" s="28"/>
      <c r="AR593" s="28"/>
      <c r="AS593" s="54"/>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row>
    <row r="594" ht="25.5" customHeight="1">
      <c r="A594" s="28">
        <v>10269.0</v>
      </c>
      <c r="B594" s="37" t="b">
        <v>1</v>
      </c>
      <c r="C594" s="38" t="s">
        <v>238</v>
      </c>
      <c r="D594" s="38">
        <v>81.0</v>
      </c>
      <c r="E594" s="13" t="b">
        <v>0</v>
      </c>
      <c r="F594" s="13" t="b">
        <v>1</v>
      </c>
      <c r="G594" s="38" t="s">
        <v>224</v>
      </c>
      <c r="H594" s="38"/>
      <c r="I594" s="38" t="s">
        <v>3930</v>
      </c>
      <c r="J594" s="38" t="s">
        <v>467</v>
      </c>
      <c r="K594" s="38"/>
      <c r="L594" s="38"/>
      <c r="M594" s="38" t="s">
        <v>388</v>
      </c>
      <c r="N594" s="38">
        <v>14000.0</v>
      </c>
      <c r="O594" s="38" t="s">
        <v>224</v>
      </c>
      <c r="P594" s="40"/>
      <c r="Q594" s="38" t="s">
        <v>289</v>
      </c>
      <c r="R594" s="38">
        <v>40.0</v>
      </c>
      <c r="S594" s="38" t="s">
        <v>3943</v>
      </c>
      <c r="T594" s="38" t="s">
        <v>3944</v>
      </c>
      <c r="U594" s="38" t="s">
        <v>1430</v>
      </c>
      <c r="V594" s="55">
        <v>40973.0</v>
      </c>
      <c r="W594" s="38" t="s">
        <v>3945</v>
      </c>
      <c r="X594" s="49" t="str">
        <f>HYPERLINK("http://www.npr.org/2012/03/05/147192599/habits-how-they-form-and-how-to-break-them","http://www.npr.org/2012/03/05/147192599/habits-how-they-form-and-how-to-break-them")</f>
        <v>http://www.npr.org/2012/03/05/147192599/habits-how-they-form-and-how-to-break-them</v>
      </c>
      <c r="Y594" s="38"/>
      <c r="Z594" s="38"/>
      <c r="AA594" s="38"/>
      <c r="AB594" s="38"/>
      <c r="AC594" s="38"/>
      <c r="AD594" s="38"/>
      <c r="AE594" s="38"/>
      <c r="AF594" s="38"/>
      <c r="AG594" s="28"/>
      <c r="AH594" s="28" t="s">
        <v>3946</v>
      </c>
      <c r="AI594" s="28" t="s">
        <v>3947</v>
      </c>
      <c r="AJ594" s="28"/>
      <c r="AK594" s="28"/>
      <c r="AL594" s="28" t="s">
        <v>677</v>
      </c>
      <c r="AM594" s="28"/>
      <c r="AN594" s="54"/>
      <c r="AO594" s="54"/>
      <c r="AP594" s="28"/>
      <c r="AQ594" s="28"/>
      <c r="AR594" s="28"/>
      <c r="AS594" s="54"/>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row>
    <row r="595" ht="25.5" customHeight="1">
      <c r="A595" s="28">
        <v>10378.0</v>
      </c>
      <c r="B595" s="37" t="b">
        <v>1</v>
      </c>
      <c r="C595" s="38" t="s">
        <v>238</v>
      </c>
      <c r="D595" s="38">
        <v>81.0</v>
      </c>
      <c r="E595" s="13" t="b">
        <v>0</v>
      </c>
      <c r="F595" s="13" t="b">
        <v>1</v>
      </c>
      <c r="G595" s="38" t="s">
        <v>224</v>
      </c>
      <c r="H595" s="38"/>
      <c r="I595" s="38" t="s">
        <v>712</v>
      </c>
      <c r="J595" s="38">
        <v>7.0</v>
      </c>
      <c r="K595" s="38"/>
      <c r="L595" s="38"/>
      <c r="M595" s="38" t="s">
        <v>388</v>
      </c>
      <c r="N595" s="38">
        <v>14000.0</v>
      </c>
      <c r="O595" s="38" t="s">
        <v>224</v>
      </c>
      <c r="P595" s="40"/>
      <c r="Q595" s="38" t="s">
        <v>289</v>
      </c>
      <c r="R595" s="38">
        <v>40.0</v>
      </c>
      <c r="S595" s="38" t="s">
        <v>4907</v>
      </c>
      <c r="T595" s="38" t="s">
        <v>1429</v>
      </c>
      <c r="U595" s="38" t="s">
        <v>1430</v>
      </c>
      <c r="V595" s="55">
        <v>42060.0</v>
      </c>
      <c r="W595" s="38" t="s">
        <v>4910</v>
      </c>
      <c r="X595" s="49" t="str">
        <f>HYPERLINK("http://www.npr.org/2015/02/25/388902014/peer-pressure-may-encourage-tax-delinquents-to-pay-up?sc=17?f=&amp;utm_source=iosnewsapp&amp;utm_medium=Email&amp;utm_campaign=app","http://www.npr.org/2015/02/25/388902014/peer-pressure-may-encourage-tax-delinquents-to-pay-up?sc=17?f=&amp;utm_source=iosnewsapp&amp;utm_medium=Email&amp;utm_campaign=app")</f>
        <v>http://www.npr.org/2015/02/25/388902014/peer-pressure-may-encourage-tax-delinquents-to-pay-up?sc=17?f=&amp;utm_source=iosnewsapp&amp;utm_medium=Email&amp;utm_campaign=app</v>
      </c>
      <c r="Y595" s="38"/>
      <c r="Z595" s="38"/>
      <c r="AA595" s="38"/>
      <c r="AB595" s="38"/>
      <c r="AC595" s="38"/>
      <c r="AD595" s="38"/>
      <c r="AE595" s="38"/>
      <c r="AF595" s="38"/>
      <c r="AG595" s="28"/>
      <c r="AH595" s="28" t="s">
        <v>462</v>
      </c>
      <c r="AI595" s="28" t="s">
        <v>462</v>
      </c>
      <c r="AJ595" s="28"/>
      <c r="AK595" s="28"/>
      <c r="AL595" s="28" t="s">
        <v>677</v>
      </c>
      <c r="AM595" s="28"/>
      <c r="AN595" s="54"/>
      <c r="AO595" s="54"/>
      <c r="AP595" s="28"/>
      <c r="AQ595" s="28"/>
      <c r="AR595" s="28"/>
      <c r="AS595" s="54"/>
      <c r="AT595" s="28"/>
      <c r="AU595" s="28"/>
      <c r="AV595" s="28"/>
      <c r="AW595" s="28"/>
      <c r="AX595" s="28"/>
      <c r="AY595" s="28"/>
      <c r="AZ595" s="28" t="s">
        <v>991</v>
      </c>
      <c r="BA595" s="28"/>
      <c r="BB595" s="28"/>
      <c r="BC595" s="28"/>
      <c r="BD595" s="28"/>
      <c r="BE595" s="28"/>
      <c r="BF595" s="28"/>
      <c r="BG595" s="28"/>
      <c r="BH595" s="28"/>
      <c r="BI595" s="28"/>
      <c r="BJ595" s="28"/>
      <c r="BK595" s="28"/>
      <c r="BL595" s="28"/>
      <c r="BM595" s="28"/>
      <c r="BN595" s="28"/>
      <c r="BO595" s="28"/>
    </row>
    <row r="596" ht="25.5" customHeight="1">
      <c r="A596" s="28">
        <v>10424.0</v>
      </c>
      <c r="B596" s="37" t="b">
        <v>1</v>
      </c>
      <c r="C596" s="38" t="s">
        <v>238</v>
      </c>
      <c r="D596" s="38">
        <v>81.0</v>
      </c>
      <c r="E596" s="13" t="b">
        <v>0</v>
      </c>
      <c r="F596" s="13" t="b">
        <v>1</v>
      </c>
      <c r="G596" s="38" t="s">
        <v>224</v>
      </c>
      <c r="H596" s="38"/>
      <c r="I596" s="38" t="s">
        <v>772</v>
      </c>
      <c r="J596" s="38">
        <v>5.0</v>
      </c>
      <c r="K596" s="38"/>
      <c r="L596" s="38"/>
      <c r="M596" s="38" t="s">
        <v>388</v>
      </c>
      <c r="N596" s="38">
        <v>14000.0</v>
      </c>
      <c r="O596" s="38" t="s">
        <v>224</v>
      </c>
      <c r="P596" s="40"/>
      <c r="Q596" s="38" t="s">
        <v>289</v>
      </c>
      <c r="R596" s="38">
        <v>40.0</v>
      </c>
      <c r="S596" s="38" t="s">
        <v>5307</v>
      </c>
      <c r="T596" s="38" t="s">
        <v>3936</v>
      </c>
      <c r="U596" s="38" t="s">
        <v>1430</v>
      </c>
      <c r="V596" s="55">
        <v>41736.0</v>
      </c>
      <c r="W596" s="38"/>
      <c r="X596" s="49" t="str">
        <f>HYPERLINK("http://www.npr.org/blogs/health/2014/04/07/300178813/play-it-again-and-again-sam","http://www.npr.org/blogs/health/2014/04/07/300178813/play-it-again-and-again-sam")</f>
        <v>http://www.npr.org/blogs/health/2014/04/07/300178813/play-it-again-and-again-sam</v>
      </c>
      <c r="Y596" s="38"/>
      <c r="Z596" s="38"/>
      <c r="AA596" s="38"/>
      <c r="AB596" s="38"/>
      <c r="AC596" s="38"/>
      <c r="AD596" s="38"/>
      <c r="AE596" s="38"/>
      <c r="AF596" s="38"/>
      <c r="AG596" s="28"/>
      <c r="AH596" s="28" t="s">
        <v>462</v>
      </c>
      <c r="AI596" s="28" t="s">
        <v>462</v>
      </c>
      <c r="AJ596" s="28"/>
      <c r="AK596" s="28"/>
      <c r="AL596" s="28" t="s">
        <v>677</v>
      </c>
      <c r="AM596" s="28"/>
      <c r="AN596" s="54"/>
      <c r="AO596" s="54"/>
      <c r="AP596" s="28"/>
      <c r="AQ596" s="28"/>
      <c r="AR596" s="28"/>
      <c r="AS596" s="54"/>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row>
    <row r="597" ht="25.5" customHeight="1">
      <c r="A597" s="28">
        <v>10444.0</v>
      </c>
      <c r="B597" s="37" t="b">
        <v>1</v>
      </c>
      <c r="C597" s="38" t="s">
        <v>238</v>
      </c>
      <c r="D597" s="38">
        <v>81.0</v>
      </c>
      <c r="E597" s="13" t="b">
        <v>0</v>
      </c>
      <c r="F597" s="13" t="b">
        <v>1</v>
      </c>
      <c r="G597" s="38" t="s">
        <v>224</v>
      </c>
      <c r="H597" s="38"/>
      <c r="I597" s="38" t="s">
        <v>772</v>
      </c>
      <c r="J597" s="38">
        <v>5.0</v>
      </c>
      <c r="K597" s="38"/>
      <c r="L597" s="38"/>
      <c r="M597" s="38" t="s">
        <v>388</v>
      </c>
      <c r="N597" s="38">
        <v>14000.0</v>
      </c>
      <c r="O597" s="38" t="s">
        <v>224</v>
      </c>
      <c r="P597" s="40"/>
      <c r="Q597" s="38" t="s">
        <v>289</v>
      </c>
      <c r="R597" s="38">
        <v>40.0</v>
      </c>
      <c r="S597" s="38" t="s">
        <v>5447</v>
      </c>
      <c r="T597" s="38" t="s">
        <v>215</v>
      </c>
      <c r="U597" s="38" t="s">
        <v>1430</v>
      </c>
      <c r="V597" s="55">
        <v>42015.0</v>
      </c>
      <c r="W597" s="38"/>
      <c r="X597" s="49" t="str">
        <f>HYPERLINK("http://www.npr.org/2015/01/11/376496332/the-more-the-better-repetition-propels-songs-up-the-charts","http://www.npr.org/2015/01/11/376496332/the-more-the-better-repetition-propels-songs-up-the-charts")</f>
        <v>http://www.npr.org/2015/01/11/376496332/the-more-the-better-repetition-propels-songs-up-the-charts</v>
      </c>
      <c r="Y597" s="38"/>
      <c r="Z597" s="38"/>
      <c r="AA597" s="38"/>
      <c r="AB597" s="38"/>
      <c r="AC597" s="38"/>
      <c r="AD597" s="38"/>
      <c r="AE597" s="38"/>
      <c r="AF597" s="38"/>
      <c r="AG597" s="28"/>
      <c r="AH597" s="28" t="s">
        <v>462</v>
      </c>
      <c r="AI597" s="28" t="s">
        <v>462</v>
      </c>
      <c r="AJ597" s="28"/>
      <c r="AK597" s="28" t="s">
        <v>676</v>
      </c>
      <c r="AL597" s="28" t="s">
        <v>677</v>
      </c>
      <c r="AM597" s="28"/>
      <c r="AN597" s="54"/>
      <c r="AO597" s="54"/>
      <c r="AP597" s="28"/>
      <c r="AQ597" s="28"/>
      <c r="AR597" s="28"/>
      <c r="AS597" s="54"/>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row>
    <row r="598" ht="25.5" customHeight="1">
      <c r="A598" s="28">
        <v>10091.0</v>
      </c>
      <c r="B598" s="37" t="b">
        <v>1</v>
      </c>
      <c r="C598" s="38" t="s">
        <v>238</v>
      </c>
      <c r="D598" s="38">
        <v>81.0</v>
      </c>
      <c r="E598" s="13" t="b">
        <v>0</v>
      </c>
      <c r="F598" s="13" t="b">
        <v>1</v>
      </c>
      <c r="G598" s="38" t="s">
        <v>224</v>
      </c>
      <c r="H598" s="38"/>
      <c r="I598" s="38" t="s">
        <v>574</v>
      </c>
      <c r="J598" s="38">
        <v>4.0</v>
      </c>
      <c r="K598" s="38"/>
      <c r="L598" s="38"/>
      <c r="M598" s="38" t="s">
        <v>419</v>
      </c>
      <c r="N598" s="38">
        <v>23000.0</v>
      </c>
      <c r="O598" s="38" t="s">
        <v>2293</v>
      </c>
      <c r="P598" s="40"/>
      <c r="Q598" s="38" t="s">
        <v>289</v>
      </c>
      <c r="R598" s="38">
        <v>40.0</v>
      </c>
      <c r="S598" s="38" t="s">
        <v>2294</v>
      </c>
      <c r="T598" s="38" t="s">
        <v>2296</v>
      </c>
      <c r="U598" s="38" t="s">
        <v>1430</v>
      </c>
      <c r="V598" s="55">
        <v>41699.0</v>
      </c>
      <c r="W598" s="38" t="s">
        <v>2297</v>
      </c>
      <c r="X598" s="49" t="str">
        <f>HYPERLINK("http://www.npr.org/blogs/krulwich/2014/03/01/283993033/polar-bear-flip-flop-people-hated-then-loved-these-photos-what-changed","http://www.npr.org/blogs/krulwich/2014/03/01/283993033/polar-bear-flip-flop-people-hated-then-loved-these-photos-what-changed")</f>
        <v>http://www.npr.org/blogs/krulwich/2014/03/01/283993033/polar-bear-flip-flop-people-hated-then-loved-these-photos-what-changed</v>
      </c>
      <c r="Y598" s="38"/>
      <c r="Z598" s="38"/>
      <c r="AA598" s="38"/>
      <c r="AB598" s="38"/>
      <c r="AC598" s="38"/>
      <c r="AD598" s="38"/>
      <c r="AE598" s="38"/>
      <c r="AF598" s="38"/>
      <c r="AG598" s="28" t="s">
        <v>2306</v>
      </c>
      <c r="AH598" s="28" t="s">
        <v>462</v>
      </c>
      <c r="AI598" s="28" t="s">
        <v>462</v>
      </c>
      <c r="AJ598" s="28"/>
      <c r="AK598" s="28" t="s">
        <v>676</v>
      </c>
      <c r="AL598" s="28" t="s">
        <v>769</v>
      </c>
      <c r="AM598" s="28" t="s">
        <v>2307</v>
      </c>
      <c r="AN598" s="54">
        <v>42170.0</v>
      </c>
      <c r="AO598" s="54"/>
      <c r="AP598" s="54">
        <v>42563.0</v>
      </c>
      <c r="AQ598" s="28" t="s">
        <v>769</v>
      </c>
      <c r="AR598" s="28"/>
      <c r="AS598" s="54">
        <v>42177.0</v>
      </c>
      <c r="AT598" s="28"/>
      <c r="AU598" s="28"/>
      <c r="AV598" s="28"/>
      <c r="AW598" s="28"/>
      <c r="AX598" s="28"/>
      <c r="AY598" s="28"/>
      <c r="AZ598" s="28"/>
      <c r="BA598" s="28" t="s">
        <v>2312</v>
      </c>
      <c r="BB598" s="28"/>
      <c r="BC598" s="28"/>
      <c r="BD598" s="28"/>
      <c r="BE598" s="28"/>
      <c r="BF598" s="28"/>
      <c r="BG598" s="28"/>
      <c r="BH598" s="28"/>
      <c r="BI598" s="28"/>
      <c r="BJ598" s="28"/>
      <c r="BK598" s="28"/>
      <c r="BL598" s="28"/>
      <c r="BM598" s="28"/>
      <c r="BN598" s="28"/>
      <c r="BO598" s="28"/>
    </row>
    <row r="599" ht="25.5" customHeight="1">
      <c r="A599" s="28">
        <v>10058.0</v>
      </c>
      <c r="B599" s="37" t="b">
        <v>1</v>
      </c>
      <c r="C599" s="38" t="s">
        <v>238</v>
      </c>
      <c r="D599" s="38">
        <v>81.0</v>
      </c>
      <c r="E599" s="13" t="b">
        <v>1</v>
      </c>
      <c r="F599" s="13" t="b">
        <v>0</v>
      </c>
      <c r="G599" s="38" t="s">
        <v>224</v>
      </c>
      <c r="H599" s="38"/>
      <c r="I599" s="38" t="s">
        <v>1153</v>
      </c>
      <c r="J599" s="38">
        <v>6.0</v>
      </c>
      <c r="K599" s="38"/>
      <c r="L599" s="38"/>
      <c r="M599" s="38" t="s">
        <v>388</v>
      </c>
      <c r="N599" s="38">
        <v>14000.0</v>
      </c>
      <c r="O599" s="38" t="s">
        <v>224</v>
      </c>
      <c r="P599" s="40"/>
      <c r="Q599" s="38" t="s">
        <v>289</v>
      </c>
      <c r="R599" s="38">
        <v>40.0</v>
      </c>
      <c r="S599" s="38" t="s">
        <v>1932</v>
      </c>
      <c r="T599" s="38" t="s">
        <v>1933</v>
      </c>
      <c r="U599" s="38" t="s">
        <v>1934</v>
      </c>
      <c r="V599" s="55">
        <v>41623.0</v>
      </c>
      <c r="W599" s="38" t="s">
        <v>1706</v>
      </c>
      <c r="X599" s="49" t="str">
        <f>HYPERLINK("http://www.npr.org/blogs/itsallpolitics/2013/12/15/250735621/another-partisan-divide-mitt-romneys-looks","http://www.npr.org/blogs/itsallpolitics/2013/12/15/250735621/another-partisan-divide-mitt-romneys-looks")</f>
        <v>http://www.npr.org/blogs/itsallpolitics/2013/12/15/250735621/another-partisan-divide-mitt-romneys-looks</v>
      </c>
      <c r="Y599" s="38"/>
      <c r="Z599" s="38"/>
      <c r="AA599" s="38"/>
      <c r="AB599" s="38"/>
      <c r="AC599" s="38"/>
      <c r="AD599" s="38"/>
      <c r="AE599" s="38"/>
      <c r="AF599" s="38"/>
      <c r="AG599" s="28"/>
      <c r="AH599" s="28" t="s">
        <v>462</v>
      </c>
      <c r="AI599" s="28" t="s">
        <v>462</v>
      </c>
      <c r="AJ599" s="28"/>
      <c r="AK599" s="28" t="s">
        <v>676</v>
      </c>
      <c r="AL599" s="28" t="s">
        <v>677</v>
      </c>
      <c r="AM599" s="28"/>
      <c r="AN599" s="54"/>
      <c r="AO599" s="54"/>
      <c r="AP599" s="28"/>
      <c r="AQ599" s="28"/>
      <c r="AR599" s="28"/>
      <c r="AS599" s="54"/>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row>
    <row r="600" ht="25.5" customHeight="1">
      <c r="A600" s="28">
        <v>10447.0</v>
      </c>
      <c r="B600" s="37" t="b">
        <v>1</v>
      </c>
      <c r="C600" s="38" t="s">
        <v>238</v>
      </c>
      <c r="D600" s="38">
        <v>81.0</v>
      </c>
      <c r="E600" s="13" t="b">
        <v>0</v>
      </c>
      <c r="F600" s="13" t="b">
        <v>1</v>
      </c>
      <c r="G600" s="38" t="s">
        <v>224</v>
      </c>
      <c r="H600" s="38"/>
      <c r="I600" s="38" t="s">
        <v>772</v>
      </c>
      <c r="J600" s="38">
        <v>5.0</v>
      </c>
      <c r="K600" s="38"/>
      <c r="L600" s="38"/>
      <c r="M600" s="38" t="s">
        <v>388</v>
      </c>
      <c r="N600" s="38">
        <v>14000.0</v>
      </c>
      <c r="O600" s="38" t="s">
        <v>224</v>
      </c>
      <c r="P600" s="40"/>
      <c r="Q600" s="38" t="s">
        <v>111</v>
      </c>
      <c r="R600" s="38">
        <v>41.0</v>
      </c>
      <c r="S600" s="38" t="s">
        <v>5470</v>
      </c>
      <c r="T600" s="38" t="s">
        <v>5472</v>
      </c>
      <c r="U600" s="38" t="s">
        <v>4039</v>
      </c>
      <c r="V600" s="55"/>
      <c r="W600" s="38" t="s">
        <v>4039</v>
      </c>
      <c r="X600" s="49" t="str">
        <f>HYPERLINK("https://nudges.wordpress.com/the-amsterdam-urinals/","https://nudges.wordpress.com/the-amsterdam-urinals/")</f>
        <v>https://nudges.wordpress.com/the-amsterdam-urinals/</v>
      </c>
      <c r="Y600" s="38"/>
      <c r="Z600" s="38"/>
      <c r="AA600" s="38"/>
      <c r="AB600" s="38"/>
      <c r="AC600" s="38"/>
      <c r="AD600" s="38"/>
      <c r="AE600" s="38"/>
      <c r="AF600" s="38"/>
      <c r="AG600" s="28"/>
      <c r="AH600" s="28" t="s">
        <v>428</v>
      </c>
      <c r="AI600" s="28" t="s">
        <v>462</v>
      </c>
      <c r="AJ600" s="28"/>
      <c r="AK600" s="28"/>
      <c r="AL600" s="28" t="s">
        <v>769</v>
      </c>
      <c r="AM600" s="28" t="s">
        <v>5473</v>
      </c>
      <c r="AN600" s="54">
        <v>42320.0</v>
      </c>
      <c r="AO600" s="54"/>
      <c r="AP600" s="54"/>
      <c r="AQ600" s="28" t="s">
        <v>769</v>
      </c>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row>
    <row r="601" ht="25.5" customHeight="1">
      <c r="A601" s="32">
        <v>20036.0</v>
      </c>
      <c r="B601" s="37" t="b">
        <v>1</v>
      </c>
      <c r="C601" s="62" t="s">
        <v>274</v>
      </c>
      <c r="D601" s="62">
        <v>82.0</v>
      </c>
      <c r="E601" s="13" t="b">
        <v>1</v>
      </c>
      <c r="F601" s="13" t="b">
        <v>0</v>
      </c>
      <c r="G601" s="62" t="s">
        <v>224</v>
      </c>
      <c r="H601" s="62"/>
      <c r="I601" s="62" t="s">
        <v>490</v>
      </c>
      <c r="J601" s="67">
        <v>6.0</v>
      </c>
      <c r="K601" s="62" t="s">
        <v>491</v>
      </c>
      <c r="L601" s="38">
        <v>605.0</v>
      </c>
      <c r="M601" s="62" t="s">
        <v>388</v>
      </c>
      <c r="N601" s="38">
        <v>14000.0</v>
      </c>
      <c r="O601" s="62" t="s">
        <v>388</v>
      </c>
      <c r="P601" s="58"/>
      <c r="Q601" s="62" t="s">
        <v>431</v>
      </c>
      <c r="R601" s="67"/>
      <c r="S601" s="62"/>
      <c r="T601" s="72" t="s">
        <v>752</v>
      </c>
      <c r="U601" s="72" t="s">
        <v>754</v>
      </c>
      <c r="V601" s="74">
        <v>41767.0</v>
      </c>
      <c r="W601" s="62"/>
      <c r="X601" s="49" t="str">
        <f>HYPERLINK("http://www.nytimes.com/2014/05/09/upshot/vaccine-opponents-can-be-immune-to-education.html?partner=rss&amp;emc=rss&amp;smid=tw-upshot&amp;_r=1&amp;abt=0002&amp;abg=0","http://www.nytimes.com/2014/05/09/upshot/vaccine-opponents-can-be-immune-to-education.html?partner=rss&amp;emc=rss&amp;smid=tw-upshot&amp;_r=1&amp;abt=0002&amp;abg=0 ")</f>
        <v>http://www.nytimes.com/2014/05/09/upshot/vaccine-opponents-can-be-immune-to-education.html?partner=rss&amp;emc=rss&amp;smid=tw-upshot&amp;_r=1&amp;abt=0002&amp;abg=0 </v>
      </c>
      <c r="Y601" s="62" t="s">
        <v>747</v>
      </c>
      <c r="Z601" s="62" t="s">
        <v>749</v>
      </c>
      <c r="AA601" s="62" t="s">
        <v>751</v>
      </c>
      <c r="AB601" s="49"/>
      <c r="AC601" s="62"/>
      <c r="AD601" s="62"/>
      <c r="AE601" s="62"/>
      <c r="AF601" s="6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v>3.0</v>
      </c>
      <c r="BD601" s="32" t="s">
        <v>760</v>
      </c>
      <c r="BE601" s="32" t="s">
        <v>114</v>
      </c>
      <c r="BF601" s="32"/>
      <c r="BG601" s="32"/>
      <c r="BH601" s="32"/>
      <c r="BI601" s="32"/>
      <c r="BJ601" s="32"/>
      <c r="BK601" s="32"/>
      <c r="BL601" s="32"/>
      <c r="BM601" s="32"/>
      <c r="BN601" s="32"/>
      <c r="BO601" s="32"/>
    </row>
    <row r="602" ht="25.5" customHeight="1">
      <c r="A602" s="28">
        <v>10324.0</v>
      </c>
      <c r="B602" s="37" t="b">
        <v>1</v>
      </c>
      <c r="C602" s="38" t="s">
        <v>238</v>
      </c>
      <c r="D602" s="38">
        <v>81.0</v>
      </c>
      <c r="E602" s="13" t="b">
        <v>0</v>
      </c>
      <c r="F602" s="13" t="b">
        <v>1</v>
      </c>
      <c r="G602" s="38" t="s">
        <v>224</v>
      </c>
      <c r="H602" s="38"/>
      <c r="I602" s="38" t="s">
        <v>280</v>
      </c>
      <c r="J602" s="38">
        <v>10.0</v>
      </c>
      <c r="K602" s="38"/>
      <c r="L602" s="38"/>
      <c r="M602" s="38" t="s">
        <v>388</v>
      </c>
      <c r="N602" s="38">
        <v>14000.0</v>
      </c>
      <c r="O602" s="38" t="s">
        <v>224</v>
      </c>
      <c r="P602" s="40"/>
      <c r="Q602" s="38" t="s">
        <v>3835</v>
      </c>
      <c r="R602" s="38" t="s">
        <v>3836</v>
      </c>
      <c r="S602" s="38" t="s">
        <v>4426</v>
      </c>
      <c r="T602" s="38" t="s">
        <v>3944</v>
      </c>
      <c r="U602" s="38" t="s">
        <v>754</v>
      </c>
      <c r="V602" s="42">
        <v>39642.0</v>
      </c>
      <c r="W602" s="38" t="s">
        <v>4427</v>
      </c>
      <c r="X602" s="38" t="s">
        <v>4429</v>
      </c>
      <c r="Y602" s="38"/>
      <c r="Z602" s="38"/>
      <c r="AA602" s="38"/>
      <c r="AB602" s="38"/>
      <c r="AC602" s="38"/>
      <c r="AD602" s="38"/>
      <c r="AE602" s="38"/>
      <c r="AF602" s="38"/>
      <c r="AG602" s="28" t="s">
        <v>4432</v>
      </c>
      <c r="AH602" s="28"/>
      <c r="AI602" s="28" t="s">
        <v>769</v>
      </c>
      <c r="AJ602" s="28"/>
      <c r="AK602" s="28" t="s">
        <v>915</v>
      </c>
      <c r="AL602" s="28"/>
      <c r="AM602" s="28"/>
      <c r="AN602" s="28"/>
      <c r="AO602" s="28"/>
      <c r="AP602" s="28"/>
      <c r="AQ602" s="28"/>
      <c r="AR602" s="28"/>
      <c r="AS602" s="28"/>
      <c r="AT602" s="28"/>
      <c r="AU602" s="28"/>
      <c r="AV602" s="28"/>
      <c r="AW602" s="28"/>
      <c r="AX602" s="28"/>
      <c r="AY602" s="28"/>
      <c r="AZ602" s="28" t="s">
        <v>998</v>
      </c>
      <c r="BA602" s="28"/>
      <c r="BB602" s="28"/>
      <c r="BC602" s="28"/>
      <c r="BD602" s="28"/>
      <c r="BE602" s="28"/>
      <c r="BF602" s="28"/>
      <c r="BG602" s="28"/>
      <c r="BH602" s="28"/>
      <c r="BI602" s="28"/>
      <c r="BJ602" s="28"/>
      <c r="BK602" s="28"/>
      <c r="BL602" s="28"/>
      <c r="BM602" s="28"/>
      <c r="BN602" s="28"/>
      <c r="BO602" s="28"/>
    </row>
    <row r="603" ht="25.5" customHeight="1">
      <c r="A603" s="28">
        <v>10121.0</v>
      </c>
      <c r="B603" s="37" t="b">
        <v>1</v>
      </c>
      <c r="C603" s="38" t="s">
        <v>238</v>
      </c>
      <c r="D603" s="38">
        <v>81.0</v>
      </c>
      <c r="E603" s="13" t="b">
        <v>0</v>
      </c>
      <c r="F603" s="13" t="b">
        <v>1</v>
      </c>
      <c r="G603" s="38" t="s">
        <v>224</v>
      </c>
      <c r="H603" s="38"/>
      <c r="I603" s="38" t="s">
        <v>2694</v>
      </c>
      <c r="J603" s="38" t="s">
        <v>2695</v>
      </c>
      <c r="K603" s="38"/>
      <c r="L603" s="38"/>
      <c r="M603" s="38" t="s">
        <v>35</v>
      </c>
      <c r="N603" s="38">
        <v>2000.0</v>
      </c>
      <c r="O603" s="38" t="s">
        <v>644</v>
      </c>
      <c r="P603" s="40"/>
      <c r="Q603" s="38" t="s">
        <v>289</v>
      </c>
      <c r="R603" s="38">
        <v>40.0</v>
      </c>
      <c r="S603" s="49" t="str">
        <f>HYPERLINK("http://www.stern.nyu.edu/experience-stern/news-events/hershfield-climate-change","To Encourage Positive Environmental Outcomes, Emphasize a Long Future, Not Impending Doom")</f>
        <v>To Encourage Positive Environmental Outcomes, Emphasize a Long Future, Not Impending Doom</v>
      </c>
      <c r="T603" s="38" t="s">
        <v>2699</v>
      </c>
      <c r="U603" s="38" t="s">
        <v>2715</v>
      </c>
      <c r="V603" s="55">
        <v>41543.0</v>
      </c>
      <c r="W603" s="38"/>
      <c r="X603" s="49" t="str">
        <f>HYPERLINK("http://www.stern.nyu.edu/experience-stern/news-events/hershfield-climate-change","http://www.stern.nyu.edu/experience-stern/news-events/hershfield-climate-change")</f>
        <v>http://www.stern.nyu.edu/experience-stern/news-events/hershfield-climate-change</v>
      </c>
      <c r="Y603" s="38"/>
      <c r="Z603" s="38"/>
      <c r="AA603" s="38"/>
      <c r="AB603" s="38"/>
      <c r="AC603" s="38"/>
      <c r="AD603" s="38"/>
      <c r="AE603" s="38"/>
      <c r="AF603" s="38"/>
      <c r="AG603" s="28"/>
      <c r="AH603" s="28" t="s">
        <v>1380</v>
      </c>
      <c r="AI603" s="28" t="s">
        <v>1381</v>
      </c>
      <c r="AJ603" s="28"/>
      <c r="AK603" s="28"/>
      <c r="AL603" s="28" t="s">
        <v>600</v>
      </c>
      <c r="AM603" s="28"/>
      <c r="AN603" s="54"/>
      <c r="AO603" s="54"/>
      <c r="AP603" s="54"/>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row>
    <row r="604" ht="25.5" customHeight="1">
      <c r="A604" s="28">
        <v>71.0</v>
      </c>
      <c r="B604" s="37" t="b">
        <v>1</v>
      </c>
      <c r="C604" s="38" t="s">
        <v>106</v>
      </c>
      <c r="D604" s="38">
        <v>80.0</v>
      </c>
      <c r="E604" s="13" t="b">
        <v>0</v>
      </c>
      <c r="F604" s="13" t="b">
        <v>1</v>
      </c>
      <c r="G604" s="38" t="s">
        <v>224</v>
      </c>
      <c r="H604" s="38"/>
      <c r="I604" s="38" t="s">
        <v>887</v>
      </c>
      <c r="J604" s="38">
        <v>9.0</v>
      </c>
      <c r="K604" s="38" t="s">
        <v>960</v>
      </c>
      <c r="L604" s="38">
        <v>904.0</v>
      </c>
      <c r="M604" s="38" t="s">
        <v>107</v>
      </c>
      <c r="N604" s="38">
        <v>3000.0</v>
      </c>
      <c r="O604" s="38" t="s">
        <v>470</v>
      </c>
      <c r="P604" s="40"/>
      <c r="Q604" s="38" t="s">
        <v>289</v>
      </c>
      <c r="R604" s="38">
        <v>40.0</v>
      </c>
      <c r="S604" s="38" t="s">
        <v>4352</v>
      </c>
      <c r="T604" s="38" t="s">
        <v>4353</v>
      </c>
      <c r="U604" s="38" t="s">
        <v>4355</v>
      </c>
      <c r="V604" s="38" t="s">
        <v>4356</v>
      </c>
      <c r="W604" s="38" t="s">
        <v>4359</v>
      </c>
      <c r="X604" s="38" t="s">
        <v>4361</v>
      </c>
      <c r="Y604" s="38"/>
      <c r="Z604" s="38"/>
      <c r="AA604" s="38"/>
      <c r="AB604" s="38"/>
      <c r="AC604" s="38"/>
      <c r="AD604" s="38"/>
      <c r="AE604" s="38"/>
      <c r="AF604" s="38"/>
      <c r="AG604" s="28" t="s">
        <v>4364</v>
      </c>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row>
    <row r="605" ht="25.5" customHeight="1">
      <c r="A605" s="28">
        <v>10367.0</v>
      </c>
      <c r="B605" s="37" t="b">
        <v>1</v>
      </c>
      <c r="C605" s="38" t="s">
        <v>238</v>
      </c>
      <c r="D605" s="38">
        <v>81.0</v>
      </c>
      <c r="E605" s="13" t="b">
        <v>0</v>
      </c>
      <c r="F605" s="13" t="b">
        <v>1</v>
      </c>
      <c r="G605" s="38" t="s">
        <v>224</v>
      </c>
      <c r="H605" s="38"/>
      <c r="I605" s="38" t="s">
        <v>4799</v>
      </c>
      <c r="J605" s="38" t="s">
        <v>4800</v>
      </c>
      <c r="K605" s="38"/>
      <c r="L605" s="38"/>
      <c r="M605" s="38" t="s">
        <v>107</v>
      </c>
      <c r="N605" s="38">
        <v>3000.0</v>
      </c>
      <c r="O605" s="38" t="s">
        <v>470</v>
      </c>
      <c r="P605" s="40"/>
      <c r="Q605" s="38" t="s">
        <v>289</v>
      </c>
      <c r="R605" s="38">
        <v>40.0</v>
      </c>
      <c r="S605" s="38" t="s">
        <v>4352</v>
      </c>
      <c r="T605" s="38" t="s">
        <v>4801</v>
      </c>
      <c r="U605" s="38" t="s">
        <v>4355</v>
      </c>
      <c r="V605" s="55"/>
      <c r="W605" s="38" t="s">
        <v>4364</v>
      </c>
      <c r="X605" s="38" t="s">
        <v>4361</v>
      </c>
      <c r="Y605" s="38"/>
      <c r="Z605" s="38"/>
      <c r="AA605" s="38"/>
      <c r="AB605" s="38"/>
      <c r="AC605" s="38"/>
      <c r="AD605" s="38"/>
      <c r="AE605" s="38"/>
      <c r="AF605" s="38"/>
      <c r="AG605" s="28"/>
      <c r="AH605" s="28" t="s">
        <v>428</v>
      </c>
      <c r="AI605" s="28"/>
      <c r="AJ605" s="28"/>
      <c r="AK605" s="28"/>
      <c r="AL605" s="28"/>
      <c r="AM605" s="28"/>
      <c r="AN605" s="28"/>
      <c r="AO605" s="28"/>
      <c r="AP605" s="28"/>
      <c r="AQ605" s="28"/>
      <c r="AR605" s="28"/>
      <c r="AS605" s="28"/>
      <c r="AT605" s="28"/>
      <c r="AU605" s="28"/>
      <c r="AV605" s="28"/>
      <c r="AW605" s="28"/>
      <c r="AX605" s="28"/>
      <c r="AY605" s="28"/>
      <c r="AZ605" s="28" t="s">
        <v>998</v>
      </c>
      <c r="BA605" s="28"/>
      <c r="BB605" s="28"/>
      <c r="BC605" s="28"/>
      <c r="BD605" s="28"/>
      <c r="BE605" s="28"/>
      <c r="BF605" s="28"/>
      <c r="BG605" s="28"/>
      <c r="BH605" s="28"/>
      <c r="BI605" s="28"/>
      <c r="BJ605" s="28"/>
      <c r="BK605" s="28"/>
      <c r="BL605" s="28"/>
      <c r="BM605" s="28"/>
      <c r="BN605" s="28"/>
      <c r="BO605" s="28"/>
    </row>
    <row r="606" ht="25.5" customHeight="1">
      <c r="A606" s="28">
        <v>150.0</v>
      </c>
      <c r="B606" s="37" t="b">
        <v>1</v>
      </c>
      <c r="C606" s="38" t="s">
        <v>106</v>
      </c>
      <c r="D606" s="38">
        <v>80.0</v>
      </c>
      <c r="E606" s="13" t="b">
        <v>1</v>
      </c>
      <c r="F606" s="13" t="b">
        <v>0</v>
      </c>
      <c r="G606" s="38" t="s">
        <v>284</v>
      </c>
      <c r="H606" s="38">
        <v>53.0</v>
      </c>
      <c r="I606" s="38" t="s">
        <v>224</v>
      </c>
      <c r="J606" s="38"/>
      <c r="K606" s="38" t="s">
        <v>224</v>
      </c>
      <c r="L606" s="38"/>
      <c r="M606" s="38" t="s">
        <v>419</v>
      </c>
      <c r="N606" s="38">
        <v>23000.0</v>
      </c>
      <c r="O606" s="38" t="s">
        <v>2293</v>
      </c>
      <c r="P606" s="40"/>
      <c r="Q606" s="38" t="s">
        <v>289</v>
      </c>
      <c r="R606" s="38">
        <v>40.0</v>
      </c>
      <c r="S606" s="38" t="s">
        <v>5099</v>
      </c>
      <c r="T606" s="38" t="s">
        <v>5100</v>
      </c>
      <c r="U606" s="38" t="s">
        <v>5101</v>
      </c>
      <c r="V606" s="38">
        <v>2012.0</v>
      </c>
      <c r="W606" s="38" t="s">
        <v>5103</v>
      </c>
      <c r="X606" s="49" t="str">
        <f>HYPERLINK("https://www.fws.gov/uploadedFiles/myer_thesis_2012.pdf","https://www.fws.gov/uploadedFiles/myer_thesis_2012.pdf")</f>
        <v>https://www.fws.gov/uploadedFiles/myer_thesis_2012.pdf</v>
      </c>
      <c r="Y606" s="38"/>
      <c r="Z606" s="38"/>
      <c r="AA606" s="38"/>
      <c r="AB606" s="38"/>
      <c r="AC606" s="38"/>
      <c r="AD606" s="38"/>
      <c r="AE606" s="38"/>
      <c r="AF606" s="3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row>
    <row r="607" ht="25.5" customHeight="1">
      <c r="A607" s="28">
        <v>10439.0</v>
      </c>
      <c r="B607" s="37" t="b">
        <v>1</v>
      </c>
      <c r="C607" s="38" t="s">
        <v>238</v>
      </c>
      <c r="D607" s="38">
        <v>81.0</v>
      </c>
      <c r="E607" s="13" t="b">
        <v>0</v>
      </c>
      <c r="F607" s="13" t="b">
        <v>1</v>
      </c>
      <c r="G607" s="38" t="s">
        <v>224</v>
      </c>
      <c r="H607" s="38"/>
      <c r="I607" s="38" t="s">
        <v>772</v>
      </c>
      <c r="J607" s="38">
        <v>5.0</v>
      </c>
      <c r="K607" s="38"/>
      <c r="L607" s="38"/>
      <c r="M607" s="38" t="s">
        <v>411</v>
      </c>
      <c r="N607" s="38">
        <v>21000.0</v>
      </c>
      <c r="O607" s="38" t="s">
        <v>789</v>
      </c>
      <c r="P607" s="40"/>
      <c r="Q607" s="38" t="s">
        <v>272</v>
      </c>
      <c r="R607" s="38">
        <v>42.0</v>
      </c>
      <c r="S607" s="38" t="s">
        <v>5383</v>
      </c>
      <c r="T607" s="38" t="s">
        <v>5384</v>
      </c>
      <c r="U607" s="38" t="s">
        <v>5385</v>
      </c>
      <c r="V607" s="55">
        <v>42009.0</v>
      </c>
      <c r="W607" s="38" t="s">
        <v>5386</v>
      </c>
      <c r="X607" s="49" t="str">
        <f>HYPERLINK("http://www.onegreenplanet.org/environment/are-you-a-litter-bug-how-that-can-change-with-an-extra-set-of-eyes/","http://www.onegreenplanet.org/environment/are-you-a-litter-bug-how-that-can-change-with-an-extra-set-of-eyes/")</f>
        <v>http://www.onegreenplanet.org/environment/are-you-a-litter-bug-how-that-can-change-with-an-extra-set-of-eyes/</v>
      </c>
      <c r="Y607" s="38"/>
      <c r="Z607" s="38"/>
      <c r="AA607" s="38"/>
      <c r="AB607" s="38"/>
      <c r="AC607" s="38"/>
      <c r="AD607" s="38"/>
      <c r="AE607" s="38"/>
      <c r="AF607" s="38"/>
      <c r="AG607" s="28"/>
      <c r="AH607" s="28" t="s">
        <v>462</v>
      </c>
      <c r="AI607" s="28" t="s">
        <v>462</v>
      </c>
      <c r="AJ607" s="28"/>
      <c r="AK607" s="28"/>
      <c r="AL607" s="28" t="s">
        <v>769</v>
      </c>
      <c r="AM607" s="28" t="s">
        <v>5387</v>
      </c>
      <c r="AN607" s="54">
        <v>42102.0</v>
      </c>
      <c r="AO607" s="54"/>
      <c r="AP607" s="54">
        <v>42508.0</v>
      </c>
      <c r="AQ607" s="28" t="s">
        <v>769</v>
      </c>
      <c r="AR607" s="28"/>
      <c r="AS607" s="54">
        <v>42028.0</v>
      </c>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row>
    <row r="608" ht="25.5" customHeight="1">
      <c r="A608" s="28">
        <v>10319.0</v>
      </c>
      <c r="B608" s="37" t="b">
        <v>1</v>
      </c>
      <c r="C608" s="38" t="s">
        <v>238</v>
      </c>
      <c r="D608" s="38">
        <v>81.0</v>
      </c>
      <c r="E608" s="13" t="b">
        <v>0</v>
      </c>
      <c r="F608" s="13" t="b">
        <v>1</v>
      </c>
      <c r="G608" s="38" t="s">
        <v>224</v>
      </c>
      <c r="H608" s="38"/>
      <c r="I608" s="38" t="s">
        <v>280</v>
      </c>
      <c r="J608" s="38">
        <v>10.0</v>
      </c>
      <c r="K608" s="38"/>
      <c r="L608" s="38"/>
      <c r="M608" s="38" t="s">
        <v>107</v>
      </c>
      <c r="N608" s="38">
        <v>3000.0</v>
      </c>
      <c r="O608" s="38" t="s">
        <v>470</v>
      </c>
      <c r="P608" s="40"/>
      <c r="Q608" s="38" t="s">
        <v>687</v>
      </c>
      <c r="R608" s="38" t="s">
        <v>688</v>
      </c>
      <c r="S608" s="38" t="s">
        <v>4377</v>
      </c>
      <c r="T608" s="38" t="s">
        <v>4378</v>
      </c>
      <c r="U608" s="38" t="s">
        <v>1363</v>
      </c>
      <c r="V608" s="55">
        <v>42013.0</v>
      </c>
      <c r="W608" s="38" t="s">
        <v>1435</v>
      </c>
      <c r="X608" s="49" t="str">
        <f>HYPERLINK("http://blog.opower.com/2015/01/us-drivers-13-less-energy/","http://blog.opower.com/2015/01/us-drivers-13-less-energy/")</f>
        <v>http://blog.opower.com/2015/01/us-drivers-13-less-energy/</v>
      </c>
      <c r="Y608" s="38"/>
      <c r="Z608" s="38"/>
      <c r="AA608" s="38"/>
      <c r="AB608" s="38"/>
      <c r="AC608" s="38"/>
      <c r="AD608" s="38"/>
      <c r="AE608" s="38"/>
      <c r="AF608" s="38"/>
      <c r="AG608" s="28"/>
      <c r="AH608" s="28" t="s">
        <v>462</v>
      </c>
      <c r="AI608" s="28" t="s">
        <v>462</v>
      </c>
      <c r="AJ608" s="28"/>
      <c r="AK608" s="28"/>
      <c r="AL608" s="28" t="s">
        <v>600</v>
      </c>
      <c r="AM608" s="28"/>
      <c r="AN608" s="28"/>
      <c r="AO608" s="28"/>
      <c r="AP608" s="28"/>
      <c r="AQ608" s="28"/>
      <c r="AR608" s="28"/>
      <c r="AS608" s="28"/>
      <c r="AT608" s="28"/>
      <c r="AU608" s="28"/>
      <c r="AV608" s="28"/>
      <c r="AW608" s="28"/>
      <c r="AX608" s="28"/>
      <c r="AY608" s="28"/>
      <c r="AZ608" s="28" t="s">
        <v>678</v>
      </c>
      <c r="BA608" s="28"/>
      <c r="BB608" s="28"/>
      <c r="BC608" s="28"/>
      <c r="BD608" s="28"/>
      <c r="BE608" s="28"/>
      <c r="BF608" s="28"/>
      <c r="BG608" s="28"/>
      <c r="BH608" s="28"/>
      <c r="BI608" s="28"/>
      <c r="BJ608" s="28"/>
      <c r="BK608" s="28"/>
      <c r="BL608" s="28"/>
      <c r="BM608" s="28"/>
      <c r="BN608" s="28"/>
      <c r="BO608" s="28"/>
    </row>
    <row r="609" ht="25.5" customHeight="1">
      <c r="A609" s="28">
        <v>214.0</v>
      </c>
      <c r="B609" s="37" t="b">
        <v>1</v>
      </c>
      <c r="C609" s="38" t="s">
        <v>106</v>
      </c>
      <c r="D609" s="38">
        <v>80.0</v>
      </c>
      <c r="E609" s="13" t="b">
        <v>0</v>
      </c>
      <c r="F609" s="13" t="b">
        <v>1</v>
      </c>
      <c r="G609" s="38" t="s">
        <v>224</v>
      </c>
      <c r="H609" s="38"/>
      <c r="I609" s="38" t="s">
        <v>5580</v>
      </c>
      <c r="J609" s="38" t="s">
        <v>2595</v>
      </c>
      <c r="K609" s="38" t="s">
        <v>5581</v>
      </c>
      <c r="L609" s="38"/>
      <c r="M609" s="38" t="s">
        <v>2904</v>
      </c>
      <c r="N609" s="38" t="s">
        <v>2905</v>
      </c>
      <c r="O609" s="38" t="s">
        <v>5582</v>
      </c>
      <c r="P609" s="40"/>
      <c r="Q609" s="38" t="s">
        <v>289</v>
      </c>
      <c r="R609" s="38">
        <v>40.0</v>
      </c>
      <c r="S609" s="38" t="s">
        <v>5583</v>
      </c>
      <c r="T609" s="38" t="s">
        <v>5584</v>
      </c>
      <c r="U609" s="38" t="s">
        <v>5585</v>
      </c>
      <c r="V609" s="38">
        <v>2008.0</v>
      </c>
      <c r="W609" s="38" t="s">
        <v>5586</v>
      </c>
      <c r="X609" s="38"/>
      <c r="Y609" s="38"/>
      <c r="Z609" s="38"/>
      <c r="AA609" s="38"/>
      <c r="AB609" s="38"/>
      <c r="AC609" s="38"/>
      <c r="AD609" s="38"/>
      <c r="AE609" s="38"/>
      <c r="AF609" s="3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row>
    <row r="610" ht="25.5" customHeight="1">
      <c r="A610" s="28">
        <v>356.0</v>
      </c>
      <c r="B610" s="37" t="b">
        <v>1</v>
      </c>
      <c r="C610" s="38" t="s">
        <v>106</v>
      </c>
      <c r="D610" s="38">
        <v>80.0</v>
      </c>
      <c r="E610" s="13" t="b">
        <v>0</v>
      </c>
      <c r="F610" s="13" t="b">
        <v>1</v>
      </c>
      <c r="G610" s="38" t="s">
        <v>224</v>
      </c>
      <c r="H610" s="38"/>
      <c r="I610" s="38" t="s">
        <v>490</v>
      </c>
      <c r="J610" s="38">
        <v>6.0</v>
      </c>
      <c r="K610" s="38" t="s">
        <v>1154</v>
      </c>
      <c r="L610" s="38">
        <v>603.0</v>
      </c>
      <c r="M610" s="38" t="s">
        <v>35</v>
      </c>
      <c r="N610" s="38">
        <v>2000.0</v>
      </c>
      <c r="O610" s="38" t="s">
        <v>6020</v>
      </c>
      <c r="P610" s="40"/>
      <c r="Q610" s="38" t="s">
        <v>289</v>
      </c>
      <c r="R610" s="38">
        <v>40.0</v>
      </c>
      <c r="S610" s="38" t="s">
        <v>6023</v>
      </c>
      <c r="T610" s="38" t="s">
        <v>6024</v>
      </c>
      <c r="U610" s="38" t="s">
        <v>3883</v>
      </c>
      <c r="V610" s="38">
        <v>2008.0</v>
      </c>
      <c r="W610" s="38" t="s">
        <v>6026</v>
      </c>
      <c r="X610" s="38" t="s">
        <v>6028</v>
      </c>
      <c r="Y610" s="38"/>
      <c r="Z610" s="38"/>
      <c r="AA610" s="38"/>
      <c r="AB610" s="38"/>
      <c r="AC610" s="38"/>
      <c r="AD610" s="38"/>
      <c r="AE610" s="38"/>
      <c r="AF610" s="38"/>
      <c r="AG610" s="28" t="s">
        <v>6029</v>
      </c>
      <c r="AH610" s="28" t="s">
        <v>428</v>
      </c>
      <c r="AI610" s="28" t="s">
        <v>462</v>
      </c>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row>
    <row r="611" ht="25.5" customHeight="1">
      <c r="A611" s="28">
        <v>5.0</v>
      </c>
      <c r="B611" s="37" t="b">
        <v>1</v>
      </c>
      <c r="C611" s="38" t="s">
        <v>106</v>
      </c>
      <c r="D611" s="38">
        <v>80.0</v>
      </c>
      <c r="E611" s="13" t="b">
        <v>0</v>
      </c>
      <c r="F611" s="13" t="b">
        <v>1</v>
      </c>
      <c r="G611" s="38" t="s">
        <v>224</v>
      </c>
      <c r="H611" s="38"/>
      <c r="I611" s="38" t="s">
        <v>574</v>
      </c>
      <c r="J611" s="38">
        <v>4.0</v>
      </c>
      <c r="K611" s="38" t="s">
        <v>3159</v>
      </c>
      <c r="L611" s="38">
        <v>403.0</v>
      </c>
      <c r="M611" s="38" t="s">
        <v>549</v>
      </c>
      <c r="N611" s="38">
        <v>5000.0</v>
      </c>
      <c r="O611" s="38" t="s">
        <v>3511</v>
      </c>
      <c r="P611" s="40"/>
      <c r="Q611" s="38" t="s">
        <v>289</v>
      </c>
      <c r="R611" s="38">
        <v>40.0</v>
      </c>
      <c r="S611" s="38" t="s">
        <v>3881</v>
      </c>
      <c r="T611" s="38" t="s">
        <v>3882</v>
      </c>
      <c r="U611" s="38" t="s">
        <v>3883</v>
      </c>
      <c r="V611" s="38">
        <v>2009.0</v>
      </c>
      <c r="W611" s="38" t="s">
        <v>3885</v>
      </c>
      <c r="X611" s="38" t="s">
        <v>3886</v>
      </c>
      <c r="Y611" s="38"/>
      <c r="Z611" s="38"/>
      <c r="AA611" s="38"/>
      <c r="AB611" s="38"/>
      <c r="AC611" s="38"/>
      <c r="AD611" s="38"/>
      <c r="AE611" s="38"/>
      <c r="AF611" s="38"/>
      <c r="AG611" s="28"/>
      <c r="AH611" s="28" t="s">
        <v>462</v>
      </c>
      <c r="AI611" s="28" t="s">
        <v>462</v>
      </c>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row>
    <row r="612" ht="25.5" customHeight="1">
      <c r="A612" s="28">
        <v>10066.0</v>
      </c>
      <c r="B612" s="37" t="b">
        <v>1</v>
      </c>
      <c r="C612" s="38" t="s">
        <v>238</v>
      </c>
      <c r="D612" s="38">
        <v>81.0</v>
      </c>
      <c r="E612" s="13" t="b">
        <v>1</v>
      </c>
      <c r="F612" s="13" t="b">
        <v>0</v>
      </c>
      <c r="G612" s="38" t="s">
        <v>224</v>
      </c>
      <c r="H612" s="38"/>
      <c r="I612" s="38" t="s">
        <v>1153</v>
      </c>
      <c r="J612" s="38">
        <v>6.0</v>
      </c>
      <c r="K612" s="38"/>
      <c r="L612" s="38"/>
      <c r="M612" s="38" t="s">
        <v>388</v>
      </c>
      <c r="N612" s="38">
        <v>14000.0</v>
      </c>
      <c r="O612" s="38" t="s">
        <v>224</v>
      </c>
      <c r="P612" s="40"/>
      <c r="Q612" s="38" t="s">
        <v>2012</v>
      </c>
      <c r="R612" s="38" t="s">
        <v>2013</v>
      </c>
      <c r="S612" s="38" t="s">
        <v>2014</v>
      </c>
      <c r="T612" s="38" t="s">
        <v>2015</v>
      </c>
      <c r="U612" s="38" t="s">
        <v>2017</v>
      </c>
      <c r="V612" s="55">
        <v>41330.0</v>
      </c>
      <c r="W612" s="38" t="s">
        <v>2021</v>
      </c>
      <c r="X612" s="49" t="str">
        <f>HYPERLINK("http://www.psmag.com/books-and-culture/joe-henrich-weird-ultimatum-game-shaking-up-psychology-economics-53135","http://www.psmag.com/books-and-culture/joe-henrich-weird-ultimatum-game-shaking-up-psychology-economics-53135")</f>
        <v>http://www.psmag.com/books-and-culture/joe-henrich-weird-ultimatum-game-shaking-up-psychology-economics-53135</v>
      </c>
      <c r="Y612" s="38"/>
      <c r="Z612" s="38"/>
      <c r="AA612" s="38"/>
      <c r="AB612" s="38"/>
      <c r="AC612" s="38"/>
      <c r="AD612" s="38"/>
      <c r="AE612" s="38"/>
      <c r="AF612" s="38"/>
      <c r="AG612" s="28"/>
      <c r="AH612" s="28" t="s">
        <v>462</v>
      </c>
      <c r="AI612" s="28" t="s">
        <v>462</v>
      </c>
      <c r="AJ612" s="28"/>
      <c r="AK612" s="28"/>
      <c r="AL612" s="28" t="s">
        <v>677</v>
      </c>
      <c r="AM612" s="28"/>
      <c r="AN612" s="54"/>
      <c r="AO612" s="54"/>
      <c r="AP612" s="28"/>
      <c r="AQ612" s="28"/>
      <c r="AR612" s="28"/>
      <c r="AS612" s="54"/>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row>
    <row r="613" ht="25.5" customHeight="1">
      <c r="A613" s="28">
        <v>10094.0</v>
      </c>
      <c r="B613" s="37" t="b">
        <v>1</v>
      </c>
      <c r="C613" s="38" t="s">
        <v>238</v>
      </c>
      <c r="D613" s="38">
        <v>81.0</v>
      </c>
      <c r="E613" s="13" t="b">
        <v>0</v>
      </c>
      <c r="F613" s="13" t="b">
        <v>1</v>
      </c>
      <c r="G613" s="38" t="s">
        <v>224</v>
      </c>
      <c r="H613" s="38"/>
      <c r="I613" s="38" t="s">
        <v>574</v>
      </c>
      <c r="J613" s="38">
        <v>4.0</v>
      </c>
      <c r="K613" s="38"/>
      <c r="L613" s="38"/>
      <c r="M613" s="38" t="s">
        <v>35</v>
      </c>
      <c r="N613" s="38">
        <v>2000.0</v>
      </c>
      <c r="O613" s="38" t="s">
        <v>1114</v>
      </c>
      <c r="P613" s="40"/>
      <c r="Q613" s="38" t="s">
        <v>111</v>
      </c>
      <c r="R613" s="38">
        <v>41.0</v>
      </c>
      <c r="S613" s="38" t="s">
        <v>2339</v>
      </c>
      <c r="T613" s="38" t="s">
        <v>2340</v>
      </c>
      <c r="U613" s="38" t="s">
        <v>2017</v>
      </c>
      <c r="V613" s="55">
        <v>42039.0</v>
      </c>
      <c r="W613" s="38" t="s">
        <v>2341</v>
      </c>
      <c r="X613" s="49" t="str">
        <f>HYPERLINK("http://www.psmag.com/business-economics/time-as-money-mindset-decreases-green-behaviors","http://www.psmag.com/business-economics/time-as-money-mindset-decreases-green-behaviors")</f>
        <v>http://www.psmag.com/business-economics/time-as-money-mindset-decreases-green-behaviors</v>
      </c>
      <c r="Y613" s="38"/>
      <c r="Z613" s="38"/>
      <c r="AA613" s="38"/>
      <c r="AB613" s="38"/>
      <c r="AC613" s="38"/>
      <c r="AD613" s="38"/>
      <c r="AE613" s="38"/>
      <c r="AF613" s="38"/>
      <c r="AG613" s="28"/>
      <c r="AH613" s="28" t="s">
        <v>428</v>
      </c>
      <c r="AI613" s="28" t="s">
        <v>462</v>
      </c>
      <c r="AJ613" s="28"/>
      <c r="AK613" s="28" t="s">
        <v>1099</v>
      </c>
      <c r="AL613" s="28" t="s">
        <v>769</v>
      </c>
      <c r="AM613" s="28" t="s">
        <v>2352</v>
      </c>
      <c r="AN613" s="54">
        <v>42052.0</v>
      </c>
      <c r="AO613" s="54"/>
      <c r="AP613" s="103" t="str">
        <f>HYPERLINK("http://t.co/vaoSsFfjeg","6/22/2016")</f>
        <v>6/22/2016</v>
      </c>
      <c r="AQ613" s="28" t="s">
        <v>769</v>
      </c>
      <c r="AR613" s="28"/>
      <c r="AS613" s="54">
        <v>42061.0</v>
      </c>
      <c r="AT613" s="28" t="s">
        <v>2363</v>
      </c>
      <c r="AU613" s="28"/>
      <c r="AV613" s="28"/>
      <c r="AW613" s="28"/>
      <c r="AX613" s="28" t="s">
        <v>428</v>
      </c>
      <c r="AY613" s="28"/>
      <c r="AZ613" s="28"/>
      <c r="BA613" s="28"/>
      <c r="BB613" s="28"/>
      <c r="BC613" s="28"/>
      <c r="BD613" s="28"/>
      <c r="BE613" s="28"/>
      <c r="BF613" s="28"/>
      <c r="BG613" s="28"/>
      <c r="BH613" s="28"/>
      <c r="BI613" s="28"/>
      <c r="BJ613" s="28"/>
      <c r="BK613" s="28"/>
      <c r="BL613" s="28"/>
      <c r="BM613" s="28"/>
      <c r="BN613" s="28"/>
      <c r="BO613" s="28"/>
    </row>
    <row r="614" ht="25.5" customHeight="1">
      <c r="A614" s="28">
        <v>10413.0</v>
      </c>
      <c r="B614" s="37" t="b">
        <v>1</v>
      </c>
      <c r="C614" s="38" t="s">
        <v>238</v>
      </c>
      <c r="D614" s="38">
        <v>81.0</v>
      </c>
      <c r="E614" s="13" t="b">
        <v>0</v>
      </c>
      <c r="F614" s="13" t="b">
        <v>1</v>
      </c>
      <c r="G614" s="38" t="s">
        <v>224</v>
      </c>
      <c r="H614" s="38"/>
      <c r="I614" s="38" t="s">
        <v>387</v>
      </c>
      <c r="J614" s="38">
        <v>8.0</v>
      </c>
      <c r="K614" s="38"/>
      <c r="L614" s="38"/>
      <c r="M614" s="38" t="s">
        <v>388</v>
      </c>
      <c r="N614" s="38">
        <v>14000.0</v>
      </c>
      <c r="O614" s="38" t="s">
        <v>224</v>
      </c>
      <c r="P614" s="40"/>
      <c r="Q614" s="38" t="s">
        <v>324</v>
      </c>
      <c r="R614" s="38" t="s">
        <v>325</v>
      </c>
      <c r="S614" s="61" t="s">
        <v>5199</v>
      </c>
      <c r="T614" s="38" t="s">
        <v>2340</v>
      </c>
      <c r="U614" s="38" t="s">
        <v>2017</v>
      </c>
      <c r="V614" s="55">
        <v>42107.0</v>
      </c>
      <c r="W614" s="38" t="s">
        <v>3813</v>
      </c>
      <c r="X614" s="49" t="str">
        <f>HYPERLINK("https://psmag.com/from-humbug-to-humble-the-power-of-the-scrooge-effect-18275f5059d1#.naruae2of","https://psmag.com/from-humbug-to-humble-the-power-of-the-scrooge-effect-18275f5059d1#.naruae2of")</f>
        <v>https://psmag.com/from-humbug-to-humble-the-power-of-the-scrooge-effect-18275f5059d1#.naruae2of</v>
      </c>
      <c r="Y614" s="38"/>
      <c r="Z614" s="38"/>
      <c r="AA614" s="38"/>
      <c r="AB614" s="38"/>
      <c r="AC614" s="38"/>
      <c r="AD614" s="38"/>
      <c r="AE614" s="38"/>
      <c r="AF614" s="38"/>
      <c r="AG614" s="28"/>
      <c r="AH614" s="28" t="s">
        <v>428</v>
      </c>
      <c r="AI614" s="28"/>
      <c r="AJ614" s="28"/>
      <c r="AK614" s="28"/>
      <c r="AL614" s="28" t="s">
        <v>769</v>
      </c>
      <c r="AM614" s="28" t="s">
        <v>5207</v>
      </c>
      <c r="AN614" s="54">
        <v>42683.0</v>
      </c>
      <c r="AO614" s="54"/>
      <c r="AP614" s="28"/>
      <c r="AQ614" s="28" t="s">
        <v>769</v>
      </c>
      <c r="AR614" s="54">
        <v>42662.0</v>
      </c>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row>
    <row r="615" ht="25.5" customHeight="1">
      <c r="A615" s="28">
        <v>304.0</v>
      </c>
      <c r="B615" s="37" t="b">
        <v>1</v>
      </c>
      <c r="C615" s="38" t="s">
        <v>106</v>
      </c>
      <c r="D615" s="38">
        <v>80.0</v>
      </c>
      <c r="E615" s="13" t="b">
        <v>0</v>
      </c>
      <c r="F615" s="13" t="b">
        <v>1</v>
      </c>
      <c r="G615" s="38" t="s">
        <v>224</v>
      </c>
      <c r="H615" s="38"/>
      <c r="I615" s="38" t="s">
        <v>712</v>
      </c>
      <c r="J615" s="38">
        <v>7.0</v>
      </c>
      <c r="K615" s="38" t="s">
        <v>5842</v>
      </c>
      <c r="L615" s="38">
        <v>701.0</v>
      </c>
      <c r="M615" s="38" t="s">
        <v>419</v>
      </c>
      <c r="N615" s="38">
        <v>23000.0</v>
      </c>
      <c r="O615" s="38" t="s">
        <v>2293</v>
      </c>
      <c r="P615" s="40"/>
      <c r="Q615" s="38" t="s">
        <v>289</v>
      </c>
      <c r="R615" s="38">
        <v>40.0</v>
      </c>
      <c r="S615" s="38" t="s">
        <v>5843</v>
      </c>
      <c r="T615" s="38" t="s">
        <v>5844</v>
      </c>
      <c r="U615" s="38" t="s">
        <v>5845</v>
      </c>
      <c r="V615" s="38">
        <v>2005.0</v>
      </c>
      <c r="W615" s="38" t="s">
        <v>610</v>
      </c>
      <c r="X615" s="49" t="str">
        <f>HYPERLINK("http://www.nature.nps.gov/ParkScience/Archive/PDF/Article_PDFs/ParkScience25(1)Summer2008_34-35_Winter_2588.pdf","http://www.nature.nps.gov/ParkScience/Archive/PDF/Article_PDFs/ParkScience25(1)Summer2008_34-35_Winter_2588.pdf")</f>
        <v>http://www.nature.nps.gov/ParkScience/Archive/PDF/Article_PDFs/ParkScience25(1)Summer2008_34-35_Winter_2588.pdf</v>
      </c>
      <c r="Y615" s="38"/>
      <c r="Z615" s="38"/>
      <c r="AA615" s="38"/>
      <c r="AB615" s="38"/>
      <c r="AC615" s="38"/>
      <c r="AD615" s="38"/>
      <c r="AE615" s="38"/>
      <c r="AF615" s="38"/>
      <c r="AG615" s="28" t="s">
        <v>428</v>
      </c>
      <c r="AH615" s="28" t="s">
        <v>428</v>
      </c>
      <c r="AI615" s="28"/>
      <c r="AJ615" s="28"/>
      <c r="AK615" s="28" t="s">
        <v>600</v>
      </c>
      <c r="AL615" s="28"/>
      <c r="AM615" s="28"/>
      <c r="AN615" s="28"/>
      <c r="AO615" s="28"/>
      <c r="AP615" s="28"/>
      <c r="AQ615" s="28"/>
      <c r="AR615" s="28"/>
      <c r="AS615" s="28"/>
      <c r="AT615" s="28"/>
      <c r="AU615" s="28"/>
      <c r="AV615" s="28"/>
      <c r="AW615" s="28"/>
      <c r="AX615" s="28"/>
      <c r="AY615" s="28"/>
      <c r="AZ615" s="28"/>
      <c r="BA615" s="28" t="s">
        <v>5850</v>
      </c>
      <c r="BB615" s="28"/>
      <c r="BC615" s="28"/>
      <c r="BD615" s="28"/>
      <c r="BE615" s="28"/>
      <c r="BF615" s="28"/>
      <c r="BG615" s="28"/>
      <c r="BH615" s="28"/>
      <c r="BI615" s="28"/>
      <c r="BJ615" s="28"/>
      <c r="BK615" s="28"/>
      <c r="BL615" s="28"/>
      <c r="BM615" s="28"/>
      <c r="BN615" s="28"/>
      <c r="BO615" s="28"/>
    </row>
    <row r="616" ht="25.5" customHeight="1">
      <c r="A616" s="28">
        <v>10291.0</v>
      </c>
      <c r="B616" s="37" t="b">
        <v>1</v>
      </c>
      <c r="C616" s="38" t="s">
        <v>238</v>
      </c>
      <c r="D616" s="38">
        <v>81.0</v>
      </c>
      <c r="E616" s="13" t="b">
        <v>0</v>
      </c>
      <c r="F616" s="13" t="b">
        <v>1</v>
      </c>
      <c r="G616" s="38" t="s">
        <v>224</v>
      </c>
      <c r="H616" s="38"/>
      <c r="I616" s="38" t="s">
        <v>536</v>
      </c>
      <c r="J616" s="38">
        <v>3.0</v>
      </c>
      <c r="K616" s="38"/>
      <c r="L616" s="38"/>
      <c r="M616" s="38" t="s">
        <v>107</v>
      </c>
      <c r="N616" s="38">
        <v>3000.0</v>
      </c>
      <c r="O616" s="38" t="s">
        <v>470</v>
      </c>
      <c r="P616" s="40"/>
      <c r="Q616" s="38" t="s">
        <v>289</v>
      </c>
      <c r="R616" s="38">
        <v>40.0</v>
      </c>
      <c r="S616" s="61" t="s">
        <v>4138</v>
      </c>
      <c r="T616" s="38" t="s">
        <v>577</v>
      </c>
      <c r="U616" s="38" t="s">
        <v>4139</v>
      </c>
      <c r="V616" s="55"/>
      <c r="W616" s="49" t="str">
        <f>HYPERLINK("http://studiolab.psu.edu/projects/energy-behavior-change","Saving energy in your office is not the most exciting pastime, but the creators of Energy Chickens are hoping to change that. In this virtual game, several chickens represent different office appliances for which a player is responsible, and the player’s energy consumption directly affects the health of their chickens. Energy Chickens is an attempt to make mundane activities fun, in a behavior change strategy known as gamification, which can help players to better comprehend the impact of their actions over time. ")</f>
        <v>Saving energy in your office is not the most exciting pastime, but the creators of Energy Chickens are hoping to change that. In this virtual game, several chickens represent different office appliances for which a player is responsible, and the player’s energy consumption directly affects the health of their chickens. Energy Chickens is an attempt to make mundane activities fun, in a behavior change strategy known as gamification, which can help players to better comprehend the impact of their actions over time. </v>
      </c>
      <c r="X616" s="49" t="str">
        <f>HYPERLINK("http://studiolab.psu.edu/projects/energy-behavior-change","http://studiolab.psu.edu/projects/energy-behavior-change")</f>
        <v>http://studiolab.psu.edu/projects/energy-behavior-change</v>
      </c>
      <c r="Y616" s="38"/>
      <c r="Z616" s="38"/>
      <c r="AA616" s="38"/>
      <c r="AB616" s="38"/>
      <c r="AC616" s="38"/>
      <c r="AD616" s="38"/>
      <c r="AE616" s="38"/>
      <c r="AF616" s="38"/>
      <c r="AG616" s="28"/>
      <c r="AH616" s="28"/>
      <c r="AI616" s="28"/>
      <c r="AJ616" s="28"/>
      <c r="AK616" s="28"/>
      <c r="AL616" s="28" t="s">
        <v>677</v>
      </c>
      <c r="AM616" s="28"/>
      <c r="AN616" s="28"/>
      <c r="AO616" s="28"/>
      <c r="AP616" s="28"/>
      <c r="AQ616" s="28"/>
      <c r="AR616" s="28"/>
      <c r="AS616" s="28"/>
      <c r="AT616" s="28"/>
      <c r="AU616" s="28"/>
      <c r="AV616" s="28"/>
      <c r="AW616" s="28"/>
      <c r="AX616" s="28"/>
      <c r="AY616" s="28"/>
      <c r="AZ616" s="28" t="s">
        <v>678</v>
      </c>
      <c r="BA616" s="28"/>
      <c r="BB616" s="28"/>
      <c r="BC616" s="28"/>
      <c r="BD616" s="28"/>
      <c r="BE616" s="28"/>
      <c r="BF616" s="28"/>
      <c r="BG616" s="28"/>
      <c r="BH616" s="28"/>
      <c r="BI616" s="28"/>
      <c r="BJ616" s="28"/>
      <c r="BK616" s="28"/>
      <c r="BL616" s="28"/>
      <c r="BM616" s="28"/>
      <c r="BN616" s="28"/>
      <c r="BO616" s="28"/>
    </row>
    <row r="617" ht="25.5" customHeight="1">
      <c r="A617" s="28">
        <v>10241.0</v>
      </c>
      <c r="B617" s="37" t="b">
        <v>1</v>
      </c>
      <c r="C617" s="38" t="s">
        <v>238</v>
      </c>
      <c r="D617" s="38">
        <v>81.0</v>
      </c>
      <c r="E617" s="13" t="b">
        <v>0</v>
      </c>
      <c r="F617" s="13" t="b">
        <v>1</v>
      </c>
      <c r="G617" s="38" t="s">
        <v>224</v>
      </c>
      <c r="H617" s="38"/>
      <c r="I617" s="38" t="s">
        <v>429</v>
      </c>
      <c r="J617" s="38">
        <v>2.0</v>
      </c>
      <c r="K617" s="38"/>
      <c r="L617" s="38"/>
      <c r="M617" s="38" t="s">
        <v>388</v>
      </c>
      <c r="N617" s="38">
        <v>14000.0</v>
      </c>
      <c r="O617" s="38" t="s">
        <v>224</v>
      </c>
      <c r="P617" s="40"/>
      <c r="Q617" s="38" t="s">
        <v>289</v>
      </c>
      <c r="R617" s="38">
        <v>40.0</v>
      </c>
      <c r="S617" s="38" t="s">
        <v>3713</v>
      </c>
      <c r="T617" s="38" t="s">
        <v>2378</v>
      </c>
      <c r="U617" s="38" t="s">
        <v>3714</v>
      </c>
      <c r="V617" s="55"/>
      <c r="W617" s="38" t="s">
        <v>3715</v>
      </c>
      <c r="X617" s="49" t="str">
        <f>HYPERLINK("http://jamesclear.com/design-default","http://jamesclear.com/design-default")</f>
        <v>http://jamesclear.com/design-default</v>
      </c>
      <c r="Y617" s="38"/>
      <c r="Z617" s="38"/>
      <c r="AA617" s="38"/>
      <c r="AB617" s="38"/>
      <c r="AC617" s="38"/>
      <c r="AD617" s="38"/>
      <c r="AE617" s="38"/>
      <c r="AF617" s="38"/>
      <c r="AG617" s="28"/>
      <c r="AH617" s="28" t="s">
        <v>462</v>
      </c>
      <c r="AI617" s="28" t="s">
        <v>462</v>
      </c>
      <c r="AJ617" s="28"/>
      <c r="AK617" s="28" t="s">
        <v>1099</v>
      </c>
      <c r="AL617" s="28" t="s">
        <v>677</v>
      </c>
      <c r="AM617" s="28"/>
      <c r="AN617" s="28"/>
      <c r="AO617" s="28"/>
      <c r="AP617" s="28"/>
      <c r="AQ617" s="28"/>
      <c r="AR617" s="28"/>
      <c r="AS617" s="28"/>
      <c r="AT617" s="28"/>
      <c r="AU617" s="28"/>
      <c r="AV617" s="28"/>
      <c r="AW617" s="28"/>
      <c r="AX617" s="28"/>
      <c r="AY617" s="28"/>
      <c r="AZ617" s="28" t="s">
        <v>1101</v>
      </c>
      <c r="BA617" s="28"/>
      <c r="BB617" s="28"/>
      <c r="BC617" s="28"/>
      <c r="BD617" s="28"/>
      <c r="BE617" s="28"/>
      <c r="BF617" s="28"/>
      <c r="BG617" s="28"/>
      <c r="BH617" s="28"/>
      <c r="BI617" s="28"/>
      <c r="BJ617" s="28"/>
      <c r="BK617" s="28"/>
      <c r="BL617" s="28"/>
      <c r="BM617" s="28"/>
      <c r="BN617" s="28"/>
      <c r="BO617" s="28"/>
    </row>
    <row r="618" ht="25.5" customHeight="1">
      <c r="A618" s="28">
        <v>323.0</v>
      </c>
      <c r="B618" s="37" t="b">
        <v>1</v>
      </c>
      <c r="C618" s="38" t="s">
        <v>106</v>
      </c>
      <c r="D618" s="38">
        <v>80.0</v>
      </c>
      <c r="E618" s="13" t="b">
        <v>0</v>
      </c>
      <c r="F618" s="13" t="b">
        <v>1</v>
      </c>
      <c r="G618" s="38" t="s">
        <v>224</v>
      </c>
      <c r="H618" s="38"/>
      <c r="I618" s="38" t="s">
        <v>490</v>
      </c>
      <c r="J618" s="38">
        <v>6.0</v>
      </c>
      <c r="K618" s="38" t="s">
        <v>776</v>
      </c>
      <c r="L618" s="38">
        <v>602.0</v>
      </c>
      <c r="M618" s="38" t="s">
        <v>3072</v>
      </c>
      <c r="N618" s="38" t="s">
        <v>3073</v>
      </c>
      <c r="O618" s="38" t="s">
        <v>127</v>
      </c>
      <c r="P618" s="40"/>
      <c r="Q618" s="38" t="s">
        <v>289</v>
      </c>
      <c r="R618" s="38">
        <v>40.0</v>
      </c>
      <c r="S618" s="38" t="s">
        <v>5911</v>
      </c>
      <c r="T618" s="38" t="s">
        <v>5912</v>
      </c>
      <c r="U618" s="38" t="s">
        <v>5913</v>
      </c>
      <c r="V618" s="38">
        <v>1976.0</v>
      </c>
      <c r="W618" s="38" t="s">
        <v>5914</v>
      </c>
      <c r="X618" s="38" t="s">
        <v>5915</v>
      </c>
      <c r="Y618" s="38"/>
      <c r="Z618" s="38"/>
      <c r="AA618" s="38"/>
      <c r="AB618" s="38"/>
      <c r="AC618" s="38"/>
      <c r="AD618" s="38"/>
      <c r="AE618" s="38"/>
      <c r="AF618" s="38"/>
      <c r="AG618" s="28" t="s">
        <v>5916</v>
      </c>
      <c r="AH618" s="28" t="s">
        <v>428</v>
      </c>
      <c r="AI618" s="28" t="s">
        <v>462</v>
      </c>
      <c r="AJ618" s="28"/>
      <c r="AK618" s="28" t="s">
        <v>663</v>
      </c>
      <c r="AL618" s="28" t="s">
        <v>561</v>
      </c>
      <c r="AM618" s="28" t="s">
        <v>5917</v>
      </c>
      <c r="AN618" s="54">
        <v>42458.0</v>
      </c>
      <c r="AO618" s="28" t="s">
        <v>5918</v>
      </c>
      <c r="AP618" s="54">
        <v>42032.0</v>
      </c>
      <c r="AQ618" s="28"/>
      <c r="AR618" s="28"/>
      <c r="AS618" s="28"/>
      <c r="AT618" s="28"/>
      <c r="AU618" s="28"/>
      <c r="AV618" s="28"/>
      <c r="AW618" s="28"/>
      <c r="AX618" s="28"/>
      <c r="AY618" s="28"/>
      <c r="AZ618" s="28"/>
      <c r="BA618" s="28" t="s">
        <v>1023</v>
      </c>
      <c r="BB618" s="28"/>
      <c r="BC618" s="28"/>
      <c r="BD618" s="28"/>
      <c r="BE618" s="28"/>
      <c r="BF618" s="28"/>
      <c r="BG618" s="28"/>
      <c r="BH618" s="28"/>
      <c r="BI618" s="28"/>
      <c r="BJ618" s="28"/>
      <c r="BK618" s="28"/>
      <c r="BL618" s="28"/>
      <c r="BM618" s="28"/>
      <c r="BN618" s="28"/>
      <c r="BO618" s="28"/>
    </row>
    <row r="619" ht="25.5" customHeight="1">
      <c r="A619" s="28">
        <v>342.0</v>
      </c>
      <c r="B619" s="37" t="b">
        <v>1</v>
      </c>
      <c r="C619" s="38" t="s">
        <v>106</v>
      </c>
      <c r="D619" s="38">
        <v>80.0</v>
      </c>
      <c r="E619" s="13" t="b">
        <v>1</v>
      </c>
      <c r="F619" s="13" t="b">
        <v>0</v>
      </c>
      <c r="G619" s="38" t="s">
        <v>224</v>
      </c>
      <c r="H619" s="38"/>
      <c r="I619" s="38" t="s">
        <v>490</v>
      </c>
      <c r="J619" s="38">
        <v>6.0</v>
      </c>
      <c r="K619" s="38" t="s">
        <v>491</v>
      </c>
      <c r="L619" s="38">
        <v>605.0</v>
      </c>
      <c r="M619" s="38" t="s">
        <v>388</v>
      </c>
      <c r="N619" s="38">
        <v>14000.0</v>
      </c>
      <c r="O619" s="38" t="s">
        <v>224</v>
      </c>
      <c r="P619" s="40"/>
      <c r="Q619" s="38" t="s">
        <v>289</v>
      </c>
      <c r="R619" s="38">
        <v>40.0</v>
      </c>
      <c r="S619" s="38" t="s">
        <v>5972</v>
      </c>
      <c r="T619" s="38" t="s">
        <v>5973</v>
      </c>
      <c r="U619" s="38" t="s">
        <v>5974</v>
      </c>
      <c r="V619" s="38">
        <v>1995.0</v>
      </c>
      <c r="W619" s="38" t="s">
        <v>5975</v>
      </c>
      <c r="X619" s="38" t="s">
        <v>5976</v>
      </c>
      <c r="Y619" s="38"/>
      <c r="Z619" s="38"/>
      <c r="AA619" s="38"/>
      <c r="AB619" s="38"/>
      <c r="AC619" s="38"/>
      <c r="AD619" s="38"/>
      <c r="AE619" s="38"/>
      <c r="AF619" s="38"/>
      <c r="AG619" s="28" t="s">
        <v>5978</v>
      </c>
      <c r="AH619" s="28" t="s">
        <v>428</v>
      </c>
      <c r="AI619" s="28" t="s">
        <v>462</v>
      </c>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row>
    <row r="620" ht="25.5" customHeight="1">
      <c r="A620" s="28">
        <v>404.0</v>
      </c>
      <c r="B620" s="37" t="b">
        <v>1</v>
      </c>
      <c r="C620" s="38" t="s">
        <v>106</v>
      </c>
      <c r="D620" s="38">
        <v>80.0</v>
      </c>
      <c r="E620" s="13" t="b">
        <v>0</v>
      </c>
      <c r="F620" s="13" t="b">
        <v>1</v>
      </c>
      <c r="G620" s="38" t="s">
        <v>224</v>
      </c>
      <c r="H620" s="38"/>
      <c r="I620" s="38" t="s">
        <v>712</v>
      </c>
      <c r="J620" s="38">
        <v>7.0</v>
      </c>
      <c r="K620" s="38" t="s">
        <v>731</v>
      </c>
      <c r="L620" s="38">
        <v>700.0</v>
      </c>
      <c r="M620" s="38" t="s">
        <v>107</v>
      </c>
      <c r="N620" s="38">
        <v>3000.0</v>
      </c>
      <c r="O620" s="38" t="s">
        <v>470</v>
      </c>
      <c r="P620" s="40"/>
      <c r="Q620" s="38" t="s">
        <v>289</v>
      </c>
      <c r="R620" s="38">
        <v>40.0</v>
      </c>
      <c r="S620" s="38" t="s">
        <v>6086</v>
      </c>
      <c r="T620" s="38" t="s">
        <v>6088</v>
      </c>
      <c r="U620" s="38" t="s">
        <v>5974</v>
      </c>
      <c r="V620" s="38">
        <v>2008.0</v>
      </c>
      <c r="W620" s="38" t="s">
        <v>6090</v>
      </c>
      <c r="X620" s="38" t="s">
        <v>6091</v>
      </c>
      <c r="Y620" s="38"/>
      <c r="Z620" s="38"/>
      <c r="AA620" s="38"/>
      <c r="AB620" s="38"/>
      <c r="AC620" s="38"/>
      <c r="AD620" s="38"/>
      <c r="AE620" s="38"/>
      <c r="AF620" s="38"/>
      <c r="AG620" s="28"/>
      <c r="AH620" s="28" t="s">
        <v>6092</v>
      </c>
      <c r="AI620" s="28" t="s">
        <v>6093</v>
      </c>
      <c r="AJ620" s="28"/>
      <c r="AK620" s="28"/>
      <c r="AL620" s="28" t="s">
        <v>6094</v>
      </c>
      <c r="AM620" s="28" t="s">
        <v>6095</v>
      </c>
      <c r="AN620" s="54" t="s">
        <v>6096</v>
      </c>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row>
    <row r="621" ht="25.5" customHeight="1">
      <c r="A621" s="28">
        <v>365.0</v>
      </c>
      <c r="B621" s="37" t="b">
        <v>1</v>
      </c>
      <c r="C621" s="38" t="s">
        <v>106</v>
      </c>
      <c r="D621" s="38">
        <v>80.0</v>
      </c>
      <c r="E621" s="13" t="b">
        <v>0</v>
      </c>
      <c r="F621" s="13" t="b">
        <v>1</v>
      </c>
      <c r="G621" s="38" t="s">
        <v>224</v>
      </c>
      <c r="H621" s="38"/>
      <c r="I621" s="38" t="s">
        <v>928</v>
      </c>
      <c r="J621" s="38" t="s">
        <v>929</v>
      </c>
      <c r="K621" s="38" t="s">
        <v>6097</v>
      </c>
      <c r="L621" s="38" t="s">
        <v>6098</v>
      </c>
      <c r="M621" s="38" t="s">
        <v>411</v>
      </c>
      <c r="N621" s="38">
        <v>21000.0</v>
      </c>
      <c r="O621" s="38" t="s">
        <v>3451</v>
      </c>
      <c r="P621" s="40"/>
      <c r="Q621" s="38" t="s">
        <v>289</v>
      </c>
      <c r="R621" s="38">
        <v>40.0</v>
      </c>
      <c r="S621" s="38" t="s">
        <v>6099</v>
      </c>
      <c r="T621" s="38" t="s">
        <v>6100</v>
      </c>
      <c r="U621" s="38" t="s">
        <v>5974</v>
      </c>
      <c r="V621" s="38">
        <v>2000.0</v>
      </c>
      <c r="W621" s="38" t="s">
        <v>6101</v>
      </c>
      <c r="X621" s="38" t="s">
        <v>6102</v>
      </c>
      <c r="Y621" s="38"/>
      <c r="Z621" s="38"/>
      <c r="AA621" s="38"/>
      <c r="AB621" s="38"/>
      <c r="AC621" s="38"/>
      <c r="AD621" s="38"/>
      <c r="AE621" s="38"/>
      <c r="AF621" s="38"/>
      <c r="AG621" s="28"/>
      <c r="AH621" s="28" t="s">
        <v>428</v>
      </c>
      <c r="AI621" s="28" t="s">
        <v>462</v>
      </c>
      <c r="AJ621" s="28"/>
      <c r="AK621" s="28"/>
      <c r="AL621" s="28" t="s">
        <v>561</v>
      </c>
      <c r="AM621" s="28" t="s">
        <v>6103</v>
      </c>
      <c r="AN621" s="54">
        <v>42501.0</v>
      </c>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row>
    <row r="622" ht="25.5" customHeight="1">
      <c r="A622" s="28">
        <v>108.0</v>
      </c>
      <c r="B622" s="37" t="b">
        <v>1</v>
      </c>
      <c r="C622" s="38" t="s">
        <v>106</v>
      </c>
      <c r="D622" s="38">
        <v>80.0</v>
      </c>
      <c r="E622" s="13" t="b">
        <v>1</v>
      </c>
      <c r="F622" s="13" t="b">
        <v>0</v>
      </c>
      <c r="G622" s="38" t="s">
        <v>112</v>
      </c>
      <c r="H622" s="38">
        <v>51.0</v>
      </c>
      <c r="I622" s="38" t="s">
        <v>224</v>
      </c>
      <c r="J622" s="38"/>
      <c r="K622" s="38" t="s">
        <v>224</v>
      </c>
      <c r="L622" s="38"/>
      <c r="M622" s="38" t="s">
        <v>388</v>
      </c>
      <c r="N622" s="38">
        <v>14000.0</v>
      </c>
      <c r="O622" s="38" t="s">
        <v>224</v>
      </c>
      <c r="P622" s="40"/>
      <c r="Q622" s="38" t="s">
        <v>289</v>
      </c>
      <c r="R622" s="38">
        <v>40.0</v>
      </c>
      <c r="S622" s="38" t="s">
        <v>4682</v>
      </c>
      <c r="T622" s="38" t="s">
        <v>4683</v>
      </c>
      <c r="U622" s="38" t="s">
        <v>4684</v>
      </c>
      <c r="V622" s="38">
        <v>1996.0</v>
      </c>
      <c r="W622" s="38" t="s">
        <v>4687</v>
      </c>
      <c r="X622" s="38" t="s">
        <v>4688</v>
      </c>
      <c r="Y622" s="38"/>
      <c r="Z622" s="38"/>
      <c r="AA622" s="38"/>
      <c r="AB622" s="38"/>
      <c r="AC622" s="38"/>
      <c r="AD622" s="38"/>
      <c r="AE622" s="38"/>
      <c r="AF622" s="38"/>
      <c r="AG622" s="28" t="s">
        <v>4689</v>
      </c>
      <c r="AH622" s="28" t="s">
        <v>428</v>
      </c>
      <c r="AI622" s="28" t="s">
        <v>462</v>
      </c>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row>
    <row r="623" ht="25.5" customHeight="1">
      <c r="A623" s="28">
        <v>332.0</v>
      </c>
      <c r="B623" s="37" t="b">
        <v>1</v>
      </c>
      <c r="C623" s="38" t="s">
        <v>106</v>
      </c>
      <c r="D623" s="38">
        <v>80.0</v>
      </c>
      <c r="E623" s="13" t="b">
        <v>0</v>
      </c>
      <c r="F623" s="13" t="b">
        <v>1</v>
      </c>
      <c r="G623" s="38" t="s">
        <v>224</v>
      </c>
      <c r="H623" s="38"/>
      <c r="I623" s="38" t="s">
        <v>490</v>
      </c>
      <c r="J623" s="38">
        <v>6.0</v>
      </c>
      <c r="K623" s="38" t="s">
        <v>776</v>
      </c>
      <c r="L623" s="38">
        <v>602.0</v>
      </c>
      <c r="M623" s="38" t="s">
        <v>388</v>
      </c>
      <c r="N623" s="38">
        <v>14000.0</v>
      </c>
      <c r="O623" s="38" t="s">
        <v>224</v>
      </c>
      <c r="P623" s="40"/>
      <c r="Q623" s="38" t="s">
        <v>324</v>
      </c>
      <c r="R623" s="38" t="s">
        <v>325</v>
      </c>
      <c r="S623" s="38" t="s">
        <v>5946</v>
      </c>
      <c r="T623" s="38" t="s">
        <v>5947</v>
      </c>
      <c r="U623" s="38" t="s">
        <v>4684</v>
      </c>
      <c r="V623" s="38">
        <v>1999.0</v>
      </c>
      <c r="W623" s="38" t="s">
        <v>5949</v>
      </c>
      <c r="X623" s="38" t="s">
        <v>5950</v>
      </c>
      <c r="Y623" s="38"/>
      <c r="Z623" s="38"/>
      <c r="AA623" s="38"/>
      <c r="AB623" s="38"/>
      <c r="AC623" s="38"/>
      <c r="AD623" s="38"/>
      <c r="AE623" s="38"/>
      <c r="AF623" s="38"/>
      <c r="AG623" s="28" t="s">
        <v>5951</v>
      </c>
      <c r="AH623" s="28" t="s">
        <v>428</v>
      </c>
      <c r="AI623" s="28" t="s">
        <v>462</v>
      </c>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row>
    <row r="624" ht="25.5" customHeight="1">
      <c r="A624" s="28">
        <v>179.0</v>
      </c>
      <c r="B624" s="37" t="b">
        <v>1</v>
      </c>
      <c r="C624" s="38" t="s">
        <v>106</v>
      </c>
      <c r="D624" s="38">
        <v>80.0</v>
      </c>
      <c r="E624" s="13" t="b">
        <v>0</v>
      </c>
      <c r="F624" s="13" t="b">
        <v>1</v>
      </c>
      <c r="G624" s="38" t="s">
        <v>224</v>
      </c>
      <c r="H624" s="38"/>
      <c r="I624" s="38" t="s">
        <v>429</v>
      </c>
      <c r="J624" s="38">
        <v>2.0</v>
      </c>
      <c r="K624" s="38" t="s">
        <v>524</v>
      </c>
      <c r="L624" s="62">
        <v>205.0</v>
      </c>
      <c r="M624" s="38" t="s">
        <v>388</v>
      </c>
      <c r="N624" s="38">
        <v>14000.0</v>
      </c>
      <c r="O624" s="38" t="s">
        <v>224</v>
      </c>
      <c r="P624" s="40"/>
      <c r="Q624" s="38" t="s">
        <v>289</v>
      </c>
      <c r="R624" s="38">
        <v>40.0</v>
      </c>
      <c r="S624" s="38" t="s">
        <v>5303</v>
      </c>
      <c r="T624" s="38" t="s">
        <v>5304</v>
      </c>
      <c r="U624" s="38" t="s">
        <v>5305</v>
      </c>
      <c r="V624" s="38">
        <v>2001.0</v>
      </c>
      <c r="W624" s="38" t="s">
        <v>5306</v>
      </c>
      <c r="X624" s="49" t="str">
        <f>HYPERLINK("http://www.nber.org/papers/w8651.pdf","http://www.nber.org/papers/w8651.pdf")</f>
        <v>http://www.nber.org/papers/w8651.pdf</v>
      </c>
      <c r="Y624" s="38"/>
      <c r="Z624" s="38"/>
      <c r="AA624" s="38"/>
      <c r="AB624" s="38"/>
      <c r="AC624" s="38"/>
      <c r="AD624" s="38"/>
      <c r="AE624" s="38"/>
      <c r="AF624" s="38"/>
      <c r="AG624" s="28"/>
      <c r="AH624" s="28" t="s">
        <v>462</v>
      </c>
      <c r="AI624" s="28" t="s">
        <v>462</v>
      </c>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row>
    <row r="625" ht="25.5" customHeight="1">
      <c r="A625" s="28">
        <v>92.0</v>
      </c>
      <c r="B625" s="37" t="b">
        <v>1</v>
      </c>
      <c r="C625" s="38" t="s">
        <v>106</v>
      </c>
      <c r="D625" s="38">
        <v>80.0</v>
      </c>
      <c r="E625" s="13" t="b">
        <v>0</v>
      </c>
      <c r="F625" s="13" t="b">
        <v>1</v>
      </c>
      <c r="G625" s="38" t="s">
        <v>224</v>
      </c>
      <c r="H625" s="38"/>
      <c r="I625" s="38" t="s">
        <v>4528</v>
      </c>
      <c r="J625" s="38" t="s">
        <v>4529</v>
      </c>
      <c r="K625" s="38" t="s">
        <v>4530</v>
      </c>
      <c r="L625" s="38" t="s">
        <v>6106</v>
      </c>
      <c r="M625" s="38" t="s">
        <v>35</v>
      </c>
      <c r="N625" s="38">
        <v>2000.0</v>
      </c>
      <c r="O625" s="38" t="s">
        <v>2059</v>
      </c>
      <c r="P625" s="40"/>
      <c r="Q625" s="38" t="s">
        <v>289</v>
      </c>
      <c r="R625" s="38">
        <v>40.0</v>
      </c>
      <c r="S625" s="38" t="s">
        <v>4531</v>
      </c>
      <c r="T625" s="38" t="s">
        <v>4532</v>
      </c>
      <c r="U625" s="38" t="s">
        <v>4533</v>
      </c>
      <c r="V625" s="38">
        <v>2015.0</v>
      </c>
      <c r="W625" s="38" t="s">
        <v>4540</v>
      </c>
      <c r="X625" s="38"/>
      <c r="Y625" s="38"/>
      <c r="Z625" s="38"/>
      <c r="AA625" s="38"/>
      <c r="AB625" s="38"/>
      <c r="AC625" s="38"/>
      <c r="AD625" s="38"/>
      <c r="AE625" s="38"/>
      <c r="AF625" s="38"/>
      <c r="AG625" s="28"/>
      <c r="AH625" s="28" t="s">
        <v>462</v>
      </c>
      <c r="AI625" s="28" t="s">
        <v>462</v>
      </c>
      <c r="AJ625" s="28" t="s">
        <v>3403</v>
      </c>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row>
    <row r="626" ht="25.5" customHeight="1">
      <c r="A626" s="28">
        <v>10096.0</v>
      </c>
      <c r="B626" s="37" t="b">
        <v>1</v>
      </c>
      <c r="C626" s="38" t="s">
        <v>238</v>
      </c>
      <c r="D626" s="38">
        <v>81.0</v>
      </c>
      <c r="E626" s="13" t="b">
        <v>0</v>
      </c>
      <c r="F626" s="13" t="b">
        <v>1</v>
      </c>
      <c r="G626" s="38" t="s">
        <v>224</v>
      </c>
      <c r="H626" s="38"/>
      <c r="I626" s="38" t="s">
        <v>574</v>
      </c>
      <c r="J626" s="38">
        <v>4.0</v>
      </c>
      <c r="K626" s="38"/>
      <c r="L626" s="38"/>
      <c r="M626" s="38" t="s">
        <v>35</v>
      </c>
      <c r="N626" s="38">
        <v>2000.0</v>
      </c>
      <c r="O626" s="38" t="s">
        <v>837</v>
      </c>
      <c r="P626" s="40">
        <v>2001.0</v>
      </c>
      <c r="Q626" s="38" t="s">
        <v>289</v>
      </c>
      <c r="R626" s="38">
        <v>40.0</v>
      </c>
      <c r="S626" s="38" t="s">
        <v>2383</v>
      </c>
      <c r="T626" s="38" t="s">
        <v>2384</v>
      </c>
      <c r="U626" s="38" t="s">
        <v>2385</v>
      </c>
      <c r="V626" s="55">
        <v>42058.0</v>
      </c>
      <c r="W626" s="38" t="s">
        <v>2387</v>
      </c>
      <c r="X626" s="49" t="str">
        <f>HYPERLINK("http://phys.org/news/2015-02-climate-science-literacy-unrelated-human-caused.html","http://phys.org/news/2015-02-climate-science-literacy-unrelated-human-caused.html")</f>
        <v>http://phys.org/news/2015-02-climate-science-literacy-unrelated-human-caused.html</v>
      </c>
      <c r="Y626" s="38"/>
      <c r="Z626" s="38"/>
      <c r="AA626" s="38"/>
      <c r="AB626" s="38"/>
      <c r="AC626" s="38"/>
      <c r="AD626" s="38"/>
      <c r="AE626" s="38"/>
      <c r="AF626" s="38"/>
      <c r="AG626" s="28"/>
      <c r="AH626" s="28" t="s">
        <v>462</v>
      </c>
      <c r="AI626" s="28" t="s">
        <v>462</v>
      </c>
      <c r="AJ626" s="28"/>
      <c r="AK626" s="28" t="s">
        <v>676</v>
      </c>
      <c r="AL626" s="28" t="s">
        <v>769</v>
      </c>
      <c r="AM626" s="28" t="s">
        <v>2392</v>
      </c>
      <c r="AN626" s="54">
        <v>42060.0</v>
      </c>
      <c r="AO626" s="54"/>
      <c r="AP626" s="95" t="str">
        <f>HYPERLINK("http://t.co/rEgh7oYsaQ","bit.ly/17vb4wM ")</f>
        <v>bit.ly/17vb4wM </v>
      </c>
      <c r="AQ626" s="28"/>
      <c r="AR626" s="28"/>
      <c r="AS626" s="54"/>
      <c r="AT626" s="28" t="s">
        <v>2045</v>
      </c>
      <c r="AU626" s="28"/>
      <c r="AV626" s="28"/>
      <c r="AW626" s="28"/>
      <c r="AX626" s="28"/>
      <c r="AY626" s="28"/>
      <c r="AZ626" s="28"/>
      <c r="BA626" s="28"/>
      <c r="BB626" s="28"/>
      <c r="BC626" s="28"/>
      <c r="BD626" s="28"/>
      <c r="BE626" s="28"/>
      <c r="BF626" s="28"/>
      <c r="BG626" s="28"/>
      <c r="BH626" s="28"/>
      <c r="BI626" s="28"/>
      <c r="BJ626" s="28"/>
      <c r="BK626" s="28"/>
      <c r="BL626" s="28"/>
      <c r="BM626" s="28"/>
      <c r="BN626" s="28"/>
      <c r="BO626" s="28"/>
    </row>
    <row r="627" ht="25.5" customHeight="1">
      <c r="A627" s="32">
        <v>20010.0</v>
      </c>
      <c r="B627" s="37" t="b">
        <v>1</v>
      </c>
      <c r="C627" s="62" t="s">
        <v>274</v>
      </c>
      <c r="D627" s="62">
        <v>82.0</v>
      </c>
      <c r="E627" s="13" t="b">
        <v>0</v>
      </c>
      <c r="F627" s="13" t="b">
        <v>1</v>
      </c>
      <c r="G627" s="62" t="s">
        <v>224</v>
      </c>
      <c r="H627" s="62"/>
      <c r="I627" s="62" t="s">
        <v>196</v>
      </c>
      <c r="J627" s="67">
        <v>1.0</v>
      </c>
      <c r="K627" s="62" t="s">
        <v>219</v>
      </c>
      <c r="L627" s="62">
        <v>105.0</v>
      </c>
      <c r="M627" s="38" t="s">
        <v>411</v>
      </c>
      <c r="N627" s="38">
        <v>21000.0</v>
      </c>
      <c r="O627" s="62" t="s">
        <v>247</v>
      </c>
      <c r="P627" s="58"/>
      <c r="Q627" s="62" t="s">
        <v>152</v>
      </c>
      <c r="R627" s="67"/>
      <c r="S627" s="62" t="s">
        <v>251</v>
      </c>
      <c r="T627" s="62" t="s">
        <v>253</v>
      </c>
      <c r="U627" s="62" t="s">
        <v>254</v>
      </c>
      <c r="V627" s="68">
        <v>42193.0</v>
      </c>
      <c r="W627" s="62"/>
      <c r="X627" s="62" t="s">
        <v>255</v>
      </c>
      <c r="Y627" s="62" t="s">
        <v>249</v>
      </c>
      <c r="Z627" s="62"/>
      <c r="AA627" s="62"/>
      <c r="AB627" s="62" t="s">
        <v>256</v>
      </c>
      <c r="AC627" s="62" t="s">
        <v>257</v>
      </c>
      <c r="AD627" s="62" t="s">
        <v>258</v>
      </c>
      <c r="AE627" s="68">
        <v>41094.0</v>
      </c>
      <c r="AF627" s="62" t="s">
        <v>259</v>
      </c>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t="s">
        <v>260</v>
      </c>
      <c r="BD627" s="32" t="s">
        <v>261</v>
      </c>
      <c r="BE627" s="32" t="s">
        <v>263</v>
      </c>
      <c r="BF627" s="32"/>
      <c r="BG627" s="32"/>
      <c r="BH627" s="32"/>
      <c r="BI627" s="32"/>
      <c r="BJ627" s="32"/>
      <c r="BK627" s="32"/>
      <c r="BL627" s="32"/>
      <c r="BM627" s="32"/>
      <c r="BN627" s="32"/>
      <c r="BO627" s="32"/>
    </row>
    <row r="628" ht="25.5" customHeight="1">
      <c r="A628" s="28">
        <v>430.0</v>
      </c>
      <c r="B628" s="37" t="b">
        <v>1</v>
      </c>
      <c r="C628" s="38" t="s">
        <v>106</v>
      </c>
      <c r="D628" s="38">
        <v>80.0</v>
      </c>
      <c r="E628" s="13" t="b">
        <v>0</v>
      </c>
      <c r="F628" s="13" t="b">
        <v>1</v>
      </c>
      <c r="G628" s="38" t="s">
        <v>224</v>
      </c>
      <c r="H628" s="38"/>
      <c r="I628" s="38" t="s">
        <v>387</v>
      </c>
      <c r="J628" s="38">
        <v>8.0</v>
      </c>
      <c r="K628" s="38" t="s">
        <v>2072</v>
      </c>
      <c r="L628" s="38">
        <v>801.0</v>
      </c>
      <c r="M628" s="38" t="s">
        <v>35</v>
      </c>
      <c r="N628" s="38">
        <v>2000.0</v>
      </c>
      <c r="O628" s="38" t="s">
        <v>1332</v>
      </c>
      <c r="P628" s="40"/>
      <c r="Q628" s="38" t="s">
        <v>289</v>
      </c>
      <c r="R628" s="38">
        <v>40.0</v>
      </c>
      <c r="S628" s="38" t="s">
        <v>6109</v>
      </c>
      <c r="T628" s="38" t="s">
        <v>6110</v>
      </c>
      <c r="U628" s="38" t="s">
        <v>6111</v>
      </c>
      <c r="V628" s="38">
        <v>2012.0</v>
      </c>
      <c r="W628" s="38" t="s">
        <v>6112</v>
      </c>
      <c r="X628" s="49" t="str">
        <f>HYPERLINK("http://journals.plos.org/plosone/article?id=10.1371/journal.pone.0052882","http://journals.plos.org/plosone/article?id=10.1371/journal.pone.0052882")</f>
        <v>http://journals.plos.org/plosone/article?id=10.1371/journal.pone.0052882</v>
      </c>
      <c r="Y628" s="38"/>
      <c r="Z628" s="38"/>
      <c r="AA628" s="38"/>
      <c r="AB628" s="38"/>
      <c r="AC628" s="38"/>
      <c r="AD628" s="38"/>
      <c r="AE628" s="38"/>
      <c r="AF628" s="38"/>
      <c r="AG628" s="28" t="s">
        <v>6113</v>
      </c>
      <c r="AH628" s="28" t="s">
        <v>842</v>
      </c>
      <c r="AI628" s="28" t="s">
        <v>428</v>
      </c>
      <c r="AJ628" s="28"/>
      <c r="AK628" s="28"/>
      <c r="AL628" s="28" t="s">
        <v>561</v>
      </c>
      <c r="AM628" s="28" t="s">
        <v>6114</v>
      </c>
      <c r="AN628" s="54">
        <v>42432.0</v>
      </c>
      <c r="AO628" s="28"/>
      <c r="AP628" s="54">
        <v>42598.0</v>
      </c>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row>
    <row r="629" ht="25.5" customHeight="1">
      <c r="A629" s="28">
        <v>434.0</v>
      </c>
      <c r="B629" s="37" t="b">
        <v>1</v>
      </c>
      <c r="C629" s="38" t="s">
        <v>106</v>
      </c>
      <c r="D629" s="38">
        <v>80.0</v>
      </c>
      <c r="E629" s="13" t="b">
        <v>0</v>
      </c>
      <c r="F629" s="13" t="b">
        <v>1</v>
      </c>
      <c r="G629" s="38" t="s">
        <v>224</v>
      </c>
      <c r="H629" s="38"/>
      <c r="I629" s="38" t="s">
        <v>387</v>
      </c>
      <c r="J629" s="38">
        <v>8.0</v>
      </c>
      <c r="K629" s="38" t="s">
        <v>2072</v>
      </c>
      <c r="L629" s="38">
        <v>801.0</v>
      </c>
      <c r="M629" s="38" t="s">
        <v>35</v>
      </c>
      <c r="N629" s="38">
        <v>2000.0</v>
      </c>
      <c r="O629" s="38" t="s">
        <v>3887</v>
      </c>
      <c r="P629" s="40"/>
      <c r="Q629" s="38" t="s">
        <v>111</v>
      </c>
      <c r="R629" s="38">
        <v>41.0</v>
      </c>
      <c r="S629" s="38" t="s">
        <v>6116</v>
      </c>
      <c r="T629" s="49" t="str">
        <f>HYPERLINK("http://www.ncbi.nlm.nih.gov/pubmed/?term=Blennow%20K%5Bauth%5D","Blennow, K., Persson, J., Tóme, M., &amp; Hanewinkel, M.")</f>
        <v>Blennow, K., Persson, J., Tóme, M., &amp; Hanewinkel, M.</v>
      </c>
      <c r="U629" s="38" t="s">
        <v>6111</v>
      </c>
      <c r="V629" s="38">
        <v>2012.0</v>
      </c>
      <c r="W629" s="38" t="s">
        <v>6121</v>
      </c>
      <c r="X629" s="49" t="str">
        <f>HYPERLINK("http://www.ncbi.nlm.nih.gov/pmc/articles/PMC3504002/","http://www.ncbi.nlm.nih.gov/pmc/articles/PMC3504002/")</f>
        <v>http://www.ncbi.nlm.nih.gov/pmc/articles/PMC3504002/</v>
      </c>
      <c r="Y629" s="38"/>
      <c r="Z629" s="38"/>
      <c r="AA629" s="38"/>
      <c r="AB629" s="38"/>
      <c r="AC629" s="38"/>
      <c r="AD629" s="38"/>
      <c r="AE629" s="38"/>
      <c r="AF629" s="38"/>
      <c r="AG629" s="28"/>
      <c r="AH629" s="28" t="s">
        <v>926</v>
      </c>
      <c r="AI629" s="28" t="s">
        <v>462</v>
      </c>
      <c r="AJ629" s="28"/>
      <c r="AK629" s="28"/>
      <c r="AL629" s="28"/>
      <c r="AM629" s="28"/>
      <c r="AN629" s="28"/>
      <c r="AO629" s="28"/>
      <c r="AP629" s="28"/>
      <c r="AQ629" s="28"/>
      <c r="AR629" s="28"/>
      <c r="AS629" s="28"/>
      <c r="AT629" s="28"/>
      <c r="AU629" s="28"/>
      <c r="AV629" s="28"/>
      <c r="AW629" s="28"/>
      <c r="AX629" s="28"/>
      <c r="AY629" s="28"/>
      <c r="AZ629" s="28"/>
      <c r="BA629" s="28" t="s">
        <v>3315</v>
      </c>
      <c r="BB629" s="28"/>
      <c r="BC629" s="28"/>
      <c r="BD629" s="28"/>
      <c r="BE629" s="28"/>
      <c r="BF629" s="28"/>
      <c r="BG629" s="28"/>
      <c r="BH629" s="28"/>
      <c r="BI629" s="28"/>
      <c r="BJ629" s="28"/>
      <c r="BK629" s="28"/>
      <c r="BL629" s="28"/>
      <c r="BM629" s="28"/>
      <c r="BN629" s="28"/>
      <c r="BO629" s="28"/>
    </row>
    <row r="630" ht="25.5" customHeight="1">
      <c r="A630" s="28">
        <v>79.0</v>
      </c>
      <c r="B630" s="37" t="b">
        <v>1</v>
      </c>
      <c r="C630" s="38" t="s">
        <v>106</v>
      </c>
      <c r="D630" s="38">
        <v>80.0</v>
      </c>
      <c r="E630" s="13" t="b">
        <v>0</v>
      </c>
      <c r="F630" s="13" t="b">
        <v>1</v>
      </c>
      <c r="G630" s="38" t="s">
        <v>224</v>
      </c>
      <c r="H630" s="38"/>
      <c r="I630" s="38" t="s">
        <v>887</v>
      </c>
      <c r="J630" s="38">
        <v>9.0</v>
      </c>
      <c r="K630" s="38" t="s">
        <v>3007</v>
      </c>
      <c r="L630" s="38">
        <v>905.0</v>
      </c>
      <c r="M630" s="38" t="s">
        <v>388</v>
      </c>
      <c r="N630" s="38">
        <v>14000.0</v>
      </c>
      <c r="O630" s="38" t="s">
        <v>224</v>
      </c>
      <c r="P630" s="40"/>
      <c r="Q630" s="38" t="s">
        <v>289</v>
      </c>
      <c r="R630" s="38">
        <v>40.0</v>
      </c>
      <c r="S630" s="38" t="s">
        <v>4428</v>
      </c>
      <c r="T630" s="38" t="s">
        <v>4430</v>
      </c>
      <c r="U630" s="38" t="s">
        <v>4431</v>
      </c>
      <c r="V630" s="38">
        <v>2008.0</v>
      </c>
      <c r="W630" s="38" t="s">
        <v>4435</v>
      </c>
      <c r="X630" s="38"/>
      <c r="Y630" s="38"/>
      <c r="Z630" s="38"/>
      <c r="AA630" s="38"/>
      <c r="AB630" s="38"/>
      <c r="AC630" s="38"/>
      <c r="AD630" s="38"/>
      <c r="AE630" s="38"/>
      <c r="AF630" s="38"/>
      <c r="AG630" s="28"/>
      <c r="AH630" s="28" t="s">
        <v>462</v>
      </c>
      <c r="AI630" s="28" t="s">
        <v>462</v>
      </c>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row>
    <row r="631" ht="25.5" customHeight="1">
      <c r="A631" s="28">
        <v>483.0</v>
      </c>
      <c r="B631" s="37" t="b">
        <v>1</v>
      </c>
      <c r="C631" s="38" t="s">
        <v>106</v>
      </c>
      <c r="D631" s="38">
        <v>80.0</v>
      </c>
      <c r="E631" s="13" t="b">
        <v>0</v>
      </c>
      <c r="F631" s="13" t="b">
        <v>1</v>
      </c>
      <c r="G631" s="38" t="s">
        <v>224</v>
      </c>
      <c r="H631" s="38"/>
      <c r="I631" s="38" t="s">
        <v>772</v>
      </c>
      <c r="J631" s="38">
        <v>5.0</v>
      </c>
      <c r="K631" s="38" t="s">
        <v>2927</v>
      </c>
      <c r="L631" s="38">
        <v>506.0</v>
      </c>
      <c r="M631" s="38" t="s">
        <v>388</v>
      </c>
      <c r="N631" s="38">
        <v>14000.0</v>
      </c>
      <c r="O631" s="38" t="s">
        <v>224</v>
      </c>
      <c r="P631" s="40"/>
      <c r="Q631" s="38" t="s">
        <v>111</v>
      </c>
      <c r="R631" s="38">
        <v>41.0</v>
      </c>
      <c r="S631" s="38" t="s">
        <v>6124</v>
      </c>
      <c r="T631" s="38" t="s">
        <v>6125</v>
      </c>
      <c r="U631" s="38" t="s">
        <v>6111</v>
      </c>
      <c r="V631" s="38">
        <v>2012.0</v>
      </c>
      <c r="W631" s="38" t="s">
        <v>6126</v>
      </c>
      <c r="X631" s="38" t="s">
        <v>6127</v>
      </c>
      <c r="Y631" s="38"/>
      <c r="Z631" s="38"/>
      <c r="AA631" s="38"/>
      <c r="AB631" s="38"/>
      <c r="AC631" s="38"/>
      <c r="AD631" s="38"/>
      <c r="AE631" s="38"/>
      <c r="AF631" s="38"/>
      <c r="AG631" s="28" t="s">
        <v>6128</v>
      </c>
      <c r="AH631" s="28" t="s">
        <v>1648</v>
      </c>
      <c r="AI631" s="28" t="s">
        <v>1648</v>
      </c>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row>
    <row r="632" ht="25.5" customHeight="1">
      <c r="A632" s="28">
        <v>23.0</v>
      </c>
      <c r="B632" s="37" t="b">
        <v>1</v>
      </c>
      <c r="C632" s="38" t="s">
        <v>106</v>
      </c>
      <c r="D632" s="38">
        <v>80.0</v>
      </c>
      <c r="E632" s="13" t="b">
        <v>1</v>
      </c>
      <c r="F632" s="13" t="b">
        <v>0</v>
      </c>
      <c r="G632" s="38" t="s">
        <v>224</v>
      </c>
      <c r="H632" s="38"/>
      <c r="I632" s="38" t="s">
        <v>574</v>
      </c>
      <c r="J632" s="38">
        <v>4.0</v>
      </c>
      <c r="K632" s="38" t="s">
        <v>3706</v>
      </c>
      <c r="L632" s="38">
        <v>400.0</v>
      </c>
      <c r="M632" s="38" t="s">
        <v>3494</v>
      </c>
      <c r="N632" s="38">
        <v>22000.0</v>
      </c>
      <c r="O632" s="38" t="s">
        <v>4047</v>
      </c>
      <c r="P632" s="40"/>
      <c r="Q632" s="38" t="s">
        <v>289</v>
      </c>
      <c r="R632" s="38">
        <v>40.0</v>
      </c>
      <c r="S632" s="38" t="s">
        <v>4048</v>
      </c>
      <c r="T632" s="38" t="s">
        <v>4049</v>
      </c>
      <c r="U632" s="38" t="s">
        <v>4050</v>
      </c>
      <c r="V632" s="38">
        <v>2013.0</v>
      </c>
      <c r="W632" s="38" t="s">
        <v>4054</v>
      </c>
      <c r="X632" s="38" t="s">
        <v>4055</v>
      </c>
      <c r="Y632" s="38"/>
      <c r="Z632" s="38"/>
      <c r="AA632" s="38"/>
      <c r="AB632" s="38"/>
      <c r="AC632" s="38"/>
      <c r="AD632" s="38"/>
      <c r="AE632" s="38"/>
      <c r="AF632" s="38"/>
      <c r="AG632" s="28"/>
      <c r="AH632" s="28" t="s">
        <v>428</v>
      </c>
      <c r="AI632" s="28" t="s">
        <v>462</v>
      </c>
      <c r="AJ632" s="28"/>
      <c r="AK632" s="28"/>
      <c r="AL632" s="54"/>
      <c r="AM632" s="28"/>
      <c r="AN632" s="28"/>
      <c r="AO632" s="54"/>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row>
    <row r="633" ht="25.5" customHeight="1">
      <c r="A633" s="28">
        <v>200.0</v>
      </c>
      <c r="B633" s="37" t="b">
        <v>1</v>
      </c>
      <c r="C633" s="38" t="s">
        <v>106</v>
      </c>
      <c r="D633" s="38">
        <v>80.0</v>
      </c>
      <c r="E633" s="13" t="b">
        <v>0</v>
      </c>
      <c r="F633" s="13" t="b">
        <v>1</v>
      </c>
      <c r="G633" s="38" t="s">
        <v>224</v>
      </c>
      <c r="H633" s="38"/>
      <c r="I633" s="38" t="s">
        <v>429</v>
      </c>
      <c r="J633" s="38">
        <v>2.0</v>
      </c>
      <c r="K633" s="38" t="s">
        <v>524</v>
      </c>
      <c r="L633" s="38">
        <v>205.0</v>
      </c>
      <c r="M633" s="38" t="s">
        <v>388</v>
      </c>
      <c r="N633" s="38">
        <v>14000.0</v>
      </c>
      <c r="O633" s="38" t="s">
        <v>224</v>
      </c>
      <c r="P633" s="40"/>
      <c r="Q633" s="38" t="s">
        <v>289</v>
      </c>
      <c r="R633" s="38">
        <v>40.0</v>
      </c>
      <c r="S633" s="38" t="s">
        <v>5485</v>
      </c>
      <c r="T633" s="38" t="s">
        <v>5486</v>
      </c>
      <c r="U633" s="38" t="s">
        <v>5487</v>
      </c>
      <c r="V633" s="38">
        <v>2003.0</v>
      </c>
      <c r="W633" s="38" t="s">
        <v>5489</v>
      </c>
      <c r="X633" s="38" t="s">
        <v>5490</v>
      </c>
      <c r="Y633" s="38"/>
      <c r="Z633" s="38"/>
      <c r="AA633" s="38"/>
      <c r="AB633" s="38"/>
      <c r="AC633" s="38"/>
      <c r="AD633" s="38"/>
      <c r="AE633" s="38"/>
      <c r="AF633" s="38"/>
      <c r="AG633" s="28"/>
      <c r="AH633" s="28" t="s">
        <v>428</v>
      </c>
      <c r="AI633" s="28" t="s">
        <v>428</v>
      </c>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row>
    <row r="634" ht="25.5" customHeight="1">
      <c r="A634" s="28">
        <v>328.0</v>
      </c>
      <c r="B634" s="37" t="b">
        <v>1</v>
      </c>
      <c r="C634" s="38" t="s">
        <v>106</v>
      </c>
      <c r="D634" s="38">
        <v>80.0</v>
      </c>
      <c r="E634" s="13" t="b">
        <v>0</v>
      </c>
      <c r="F634" s="13" t="b">
        <v>1</v>
      </c>
      <c r="G634" s="38" t="s">
        <v>224</v>
      </c>
      <c r="H634" s="38"/>
      <c r="I634" s="38" t="s">
        <v>490</v>
      </c>
      <c r="J634" s="38">
        <v>6.0</v>
      </c>
      <c r="K634" s="38" t="s">
        <v>776</v>
      </c>
      <c r="L634" s="38">
        <v>602.0</v>
      </c>
      <c r="M634" s="38" t="s">
        <v>239</v>
      </c>
      <c r="N634" s="38">
        <v>4000.0</v>
      </c>
      <c r="O634" s="38" t="s">
        <v>5924</v>
      </c>
      <c r="P634" s="40"/>
      <c r="Q634" s="38" t="s">
        <v>289</v>
      </c>
      <c r="R634" s="38">
        <v>40.0</v>
      </c>
      <c r="S634" s="38" t="s">
        <v>5925</v>
      </c>
      <c r="T634" s="38" t="s">
        <v>5927</v>
      </c>
      <c r="U634" s="38" t="s">
        <v>5928</v>
      </c>
      <c r="V634" s="38">
        <v>1980.0</v>
      </c>
      <c r="W634" s="38" t="s">
        <v>5914</v>
      </c>
      <c r="X634" s="38" t="s">
        <v>5929</v>
      </c>
      <c r="Y634" s="38"/>
      <c r="Z634" s="38"/>
      <c r="AA634" s="38"/>
      <c r="AB634" s="38"/>
      <c r="AC634" s="38"/>
      <c r="AD634" s="38"/>
      <c r="AE634" s="38"/>
      <c r="AF634" s="38"/>
      <c r="AG634" s="28" t="s">
        <v>5930</v>
      </c>
      <c r="AH634" s="28" t="s">
        <v>428</v>
      </c>
      <c r="AI634" s="28" t="s">
        <v>462</v>
      </c>
      <c r="AJ634" s="28"/>
      <c r="AK634" s="28"/>
      <c r="AL634" s="28" t="s">
        <v>561</v>
      </c>
      <c r="AM634" s="28" t="s">
        <v>5931</v>
      </c>
      <c r="AN634" s="54">
        <v>42460.0</v>
      </c>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row>
    <row r="635" ht="25.5" customHeight="1">
      <c r="A635" s="28">
        <v>285.0</v>
      </c>
      <c r="B635" s="37" t="b">
        <v>1</v>
      </c>
      <c r="C635" s="38" t="s">
        <v>106</v>
      </c>
      <c r="D635" s="38">
        <v>80.0</v>
      </c>
      <c r="E635" s="13" t="b">
        <v>0</v>
      </c>
      <c r="F635" s="13" t="b">
        <v>1</v>
      </c>
      <c r="G635" s="38" t="s">
        <v>224</v>
      </c>
      <c r="H635" s="38"/>
      <c r="I635" s="38" t="s">
        <v>536</v>
      </c>
      <c r="J635" s="38">
        <v>3.0</v>
      </c>
      <c r="K635" s="65" t="s">
        <v>5757</v>
      </c>
      <c r="L635" s="38"/>
      <c r="M635" s="38" t="s">
        <v>419</v>
      </c>
      <c r="N635" s="38">
        <v>23000.0</v>
      </c>
      <c r="O635" s="38" t="s">
        <v>2293</v>
      </c>
      <c r="P635" s="40"/>
      <c r="Q635" s="38" t="s">
        <v>289</v>
      </c>
      <c r="R635" s="38">
        <v>40.0</v>
      </c>
      <c r="S635" s="38" t="s">
        <v>5762</v>
      </c>
      <c r="T635" s="38" t="s">
        <v>5763</v>
      </c>
      <c r="U635" s="38" t="s">
        <v>5764</v>
      </c>
      <c r="V635" s="38">
        <v>2006.0</v>
      </c>
      <c r="W635" s="38" t="s">
        <v>5765</v>
      </c>
      <c r="X635" s="38"/>
      <c r="Y635" s="38"/>
      <c r="Z635" s="38"/>
      <c r="AA635" s="38"/>
      <c r="AB635" s="38"/>
      <c r="AC635" s="38"/>
      <c r="AD635" s="38"/>
      <c r="AE635" s="38"/>
      <c r="AF635" s="3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row>
    <row r="636" ht="25.5" customHeight="1">
      <c r="A636" s="28">
        <v>358.0</v>
      </c>
      <c r="B636" s="37" t="b">
        <v>1</v>
      </c>
      <c r="C636" s="38" t="s">
        <v>106</v>
      </c>
      <c r="D636" s="38">
        <v>80.0</v>
      </c>
      <c r="E636" s="13" t="b">
        <v>0</v>
      </c>
      <c r="F636" s="13" t="b">
        <v>1</v>
      </c>
      <c r="G636" s="38" t="s">
        <v>224</v>
      </c>
      <c r="H636" s="38"/>
      <c r="I636" s="38" t="s">
        <v>490</v>
      </c>
      <c r="J636" s="38">
        <v>6.0</v>
      </c>
      <c r="K636" s="38" t="s">
        <v>224</v>
      </c>
      <c r="L636" s="38"/>
      <c r="M636" s="38" t="s">
        <v>107</v>
      </c>
      <c r="N636" s="38">
        <v>3000.0</v>
      </c>
      <c r="O636" s="38" t="s">
        <v>470</v>
      </c>
      <c r="P636" s="40"/>
      <c r="Q636" s="38" t="s">
        <v>117</v>
      </c>
      <c r="R636" s="38">
        <v>40.0</v>
      </c>
      <c r="S636" s="38" t="s">
        <v>6076</v>
      </c>
      <c r="T636" s="38" t="s">
        <v>6077</v>
      </c>
      <c r="U636" s="38" t="s">
        <v>6078</v>
      </c>
      <c r="V636" s="38">
        <v>1980.0</v>
      </c>
      <c r="W636" s="38" t="s">
        <v>6079</v>
      </c>
      <c r="X636" s="38" t="s">
        <v>6080</v>
      </c>
      <c r="Y636" s="38"/>
      <c r="Z636" s="38"/>
      <c r="AA636" s="38"/>
      <c r="AB636" s="38"/>
      <c r="AC636" s="38"/>
      <c r="AD636" s="38"/>
      <c r="AE636" s="38"/>
      <c r="AF636" s="38"/>
      <c r="AG636" s="28"/>
      <c r="AH636" s="28"/>
      <c r="AI636" s="28"/>
      <c r="AJ636" s="28"/>
      <c r="AK636" s="28"/>
      <c r="AL636" s="28"/>
      <c r="AM636" s="28"/>
      <c r="AN636" s="28"/>
      <c r="AO636" s="28"/>
      <c r="AP636" s="54"/>
      <c r="AQ636" s="28"/>
      <c r="AR636" s="28"/>
      <c r="AS636" s="28"/>
      <c r="AT636" s="28"/>
      <c r="AU636" s="54"/>
      <c r="AV636" s="28"/>
      <c r="AW636" s="28"/>
      <c r="AX636" s="28"/>
      <c r="AY636" s="28"/>
      <c r="AZ636" s="28"/>
      <c r="BA636" s="28"/>
      <c r="BB636" s="28"/>
      <c r="BC636" s="28"/>
      <c r="BD636" s="28"/>
      <c r="BE636" s="28"/>
      <c r="BF636" s="28"/>
      <c r="BG636" s="28"/>
      <c r="BH636" s="28"/>
      <c r="BI636" s="28"/>
      <c r="BJ636" s="28"/>
      <c r="BK636" s="28"/>
      <c r="BL636" s="28"/>
      <c r="BM636" s="28"/>
      <c r="BN636" s="28"/>
      <c r="BO636" s="28"/>
    </row>
    <row r="637" ht="25.5" customHeight="1">
      <c r="A637" s="28">
        <v>512.0</v>
      </c>
      <c r="B637" s="37" t="b">
        <v>1</v>
      </c>
      <c r="C637" s="38" t="s">
        <v>106</v>
      </c>
      <c r="D637" s="38">
        <v>80.0</v>
      </c>
      <c r="E637" s="13" t="b">
        <v>0</v>
      </c>
      <c r="F637" s="13" t="b">
        <v>1</v>
      </c>
      <c r="G637" s="38" t="s">
        <v>224</v>
      </c>
      <c r="H637" s="38"/>
      <c r="I637" s="38" t="s">
        <v>387</v>
      </c>
      <c r="J637" s="38">
        <v>8.0</v>
      </c>
      <c r="K637" s="38" t="s">
        <v>3862</v>
      </c>
      <c r="L637" s="38">
        <v>804.0</v>
      </c>
      <c r="M637" s="38" t="s">
        <v>388</v>
      </c>
      <c r="N637" s="38">
        <v>14000.0</v>
      </c>
      <c r="O637" s="38" t="s">
        <v>224</v>
      </c>
      <c r="P637" s="40"/>
      <c r="Q637" s="38" t="s">
        <v>289</v>
      </c>
      <c r="R637" s="38">
        <v>40.0</v>
      </c>
      <c r="S637" s="38" t="s">
        <v>6139</v>
      </c>
      <c r="T637" s="38" t="s">
        <v>6140</v>
      </c>
      <c r="U637" s="38" t="s">
        <v>6141</v>
      </c>
      <c r="V637" s="38">
        <v>2003.0</v>
      </c>
      <c r="W637" s="38" t="s">
        <v>6143</v>
      </c>
      <c r="X637" s="38"/>
      <c r="Y637" s="38"/>
      <c r="Z637" s="38"/>
      <c r="AA637" s="38"/>
      <c r="AB637" s="38"/>
      <c r="AC637" s="38"/>
      <c r="AD637" s="38"/>
      <c r="AE637" s="38"/>
      <c r="AF637" s="38"/>
      <c r="AG637" s="28"/>
      <c r="AH637" s="28" t="s">
        <v>39</v>
      </c>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row>
    <row r="638" ht="25.5" customHeight="1">
      <c r="A638" s="28">
        <v>10148.0</v>
      </c>
      <c r="B638" s="37" t="b">
        <v>1</v>
      </c>
      <c r="C638" s="38" t="s">
        <v>238</v>
      </c>
      <c r="D638" s="38">
        <v>81.0</v>
      </c>
      <c r="E638" s="13" t="b">
        <v>0</v>
      </c>
      <c r="F638" s="13" t="b">
        <v>1</v>
      </c>
      <c r="G638" s="38" t="s">
        <v>224</v>
      </c>
      <c r="H638" s="38"/>
      <c r="I638" s="38" t="s">
        <v>1331</v>
      </c>
      <c r="J638" s="38" t="s">
        <v>1371</v>
      </c>
      <c r="K638" s="38"/>
      <c r="L638" s="38"/>
      <c r="M638" s="38" t="s">
        <v>35</v>
      </c>
      <c r="N638" s="38">
        <v>2000.0</v>
      </c>
      <c r="O638" s="38" t="s">
        <v>644</v>
      </c>
      <c r="P638" s="40"/>
      <c r="Q638" s="38" t="s">
        <v>289</v>
      </c>
      <c r="R638" s="38">
        <v>40.0</v>
      </c>
      <c r="S638" s="61" t="s">
        <v>2910</v>
      </c>
      <c r="T638" s="38" t="s">
        <v>2911</v>
      </c>
      <c r="U638" s="38" t="s">
        <v>2912</v>
      </c>
      <c r="V638" s="55">
        <v>41823.0</v>
      </c>
      <c r="W638" s="38" t="s">
        <v>2558</v>
      </c>
      <c r="X638" s="49" t="str">
        <f>HYPERLINK("http://www.popsci.com/article/science/meet-scientist-who-might-end-climate-culture-wars","http://www.popsci.com/article/science/meet-scientist-who-might-end-climate-culture-wars")</f>
        <v>http://www.popsci.com/article/science/meet-scientist-who-might-end-climate-culture-wars</v>
      </c>
      <c r="Y638" s="38"/>
      <c r="Z638" s="38"/>
      <c r="AA638" s="38"/>
      <c r="AB638" s="38"/>
      <c r="AC638" s="38"/>
      <c r="AD638" s="38"/>
      <c r="AE638" s="38"/>
      <c r="AF638" s="38"/>
      <c r="AG638" s="28"/>
      <c r="AH638" s="28" t="s">
        <v>428</v>
      </c>
      <c r="AI638" s="28"/>
      <c r="AJ638" s="28"/>
      <c r="AK638" s="28"/>
      <c r="AL638" s="28" t="s">
        <v>769</v>
      </c>
      <c r="AM638" s="28" t="s">
        <v>2913</v>
      </c>
      <c r="AN638" s="54">
        <v>42695.0</v>
      </c>
      <c r="AO638" s="54"/>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row>
    <row r="639" ht="25.5" customHeight="1">
      <c r="A639" s="28">
        <v>10343.0</v>
      </c>
      <c r="B639" s="37" t="b">
        <v>1</v>
      </c>
      <c r="C639" s="38" t="s">
        <v>238</v>
      </c>
      <c r="D639" s="38">
        <v>81.0</v>
      </c>
      <c r="E639" s="13" t="b">
        <v>0</v>
      </c>
      <c r="F639" s="13" t="b">
        <v>1</v>
      </c>
      <c r="G639" s="38" t="s">
        <v>224</v>
      </c>
      <c r="H639" s="38"/>
      <c r="I639" s="38" t="s">
        <v>280</v>
      </c>
      <c r="J639" s="38">
        <v>10.0</v>
      </c>
      <c r="K639" s="38"/>
      <c r="L639" s="38"/>
      <c r="M639" s="38" t="s">
        <v>35</v>
      </c>
      <c r="N639" s="38">
        <v>2000.0</v>
      </c>
      <c r="O639" s="38" t="s">
        <v>1114</v>
      </c>
      <c r="P639" s="40"/>
      <c r="Q639" s="38" t="s">
        <v>289</v>
      </c>
      <c r="R639" s="38">
        <v>40.0</v>
      </c>
      <c r="S639" s="38" t="s">
        <v>4633</v>
      </c>
      <c r="T639" s="38" t="s">
        <v>4634</v>
      </c>
      <c r="U639" s="38" t="s">
        <v>4635</v>
      </c>
      <c r="V639" s="55">
        <v>42202.0</v>
      </c>
      <c r="W639" s="38" t="s">
        <v>4636</v>
      </c>
      <c r="X639" s="49" t="str">
        <f>HYPERLINK("https://www.positive.news/2015/perspective/18138/restoration-vs-preservation-psychology-nature-conservation/","https://www.positive.news/2015/perspective/18138/restoration-vs-preservation-psychology-nature-conservation/")</f>
        <v>https://www.positive.news/2015/perspective/18138/restoration-vs-preservation-psychology-nature-conservation/</v>
      </c>
      <c r="Y639" s="38"/>
      <c r="Z639" s="38"/>
      <c r="AA639" s="38"/>
      <c r="AB639" s="38"/>
      <c r="AC639" s="38"/>
      <c r="AD639" s="38"/>
      <c r="AE639" s="38"/>
      <c r="AF639" s="38"/>
      <c r="AG639" s="28"/>
      <c r="AH639" s="28" t="s">
        <v>462</v>
      </c>
      <c r="AI639" s="28" t="s">
        <v>462</v>
      </c>
      <c r="AJ639" s="28"/>
      <c r="AK639" s="28" t="s">
        <v>676</v>
      </c>
      <c r="AL639" s="28" t="s">
        <v>600</v>
      </c>
      <c r="AM639" s="28"/>
      <c r="AN639" s="54"/>
      <c r="AO639" s="54"/>
      <c r="AP639" s="66"/>
      <c r="AQ639" s="28"/>
      <c r="AR639" s="28"/>
      <c r="AS639" s="54"/>
      <c r="AT639" s="28" t="s">
        <v>1088</v>
      </c>
      <c r="AU639" s="28"/>
      <c r="AV639" s="28"/>
      <c r="AW639" s="28"/>
      <c r="AX639" s="28"/>
      <c r="AY639" s="28"/>
      <c r="AZ639" s="28"/>
      <c r="BA639" s="28"/>
      <c r="BB639" s="28"/>
      <c r="BC639" s="28"/>
      <c r="BD639" s="28"/>
      <c r="BE639" s="28"/>
      <c r="BF639" s="28"/>
      <c r="BG639" s="28"/>
      <c r="BH639" s="28"/>
      <c r="BI639" s="28"/>
      <c r="BJ639" s="28"/>
      <c r="BK639" s="28"/>
      <c r="BL639" s="28"/>
      <c r="BM639" s="28"/>
      <c r="BN639" s="28"/>
      <c r="BO639" s="28"/>
    </row>
    <row r="640" ht="25.5" customHeight="1">
      <c r="A640" s="28">
        <v>446.0</v>
      </c>
      <c r="B640" s="37" t="b">
        <v>1</v>
      </c>
      <c r="C640" s="38" t="s">
        <v>106</v>
      </c>
      <c r="D640" s="38">
        <v>80.0</v>
      </c>
      <c r="E640" s="13" t="b">
        <v>0</v>
      </c>
      <c r="F640" s="13" t="b">
        <v>1</v>
      </c>
      <c r="G640" s="38" t="s">
        <v>224</v>
      </c>
      <c r="H640" s="38"/>
      <c r="I640" s="38" t="s">
        <v>387</v>
      </c>
      <c r="J640" s="38">
        <v>8.0</v>
      </c>
      <c r="K640" s="38" t="s">
        <v>822</v>
      </c>
      <c r="L640" s="38">
        <v>803.0</v>
      </c>
      <c r="M640" s="38" t="s">
        <v>388</v>
      </c>
      <c r="N640" s="38">
        <v>14000.0</v>
      </c>
      <c r="O640" s="38" t="s">
        <v>224</v>
      </c>
      <c r="P640" s="40"/>
      <c r="Q640" s="38" t="s">
        <v>289</v>
      </c>
      <c r="R640" s="38">
        <v>40.0</v>
      </c>
      <c r="S640" s="38" t="s">
        <v>6149</v>
      </c>
      <c r="T640" s="38" t="s">
        <v>6151</v>
      </c>
      <c r="U640" s="38" t="s">
        <v>6152</v>
      </c>
      <c r="V640" s="38">
        <v>2007.0</v>
      </c>
      <c r="W640" s="38" t="s">
        <v>6156</v>
      </c>
      <c r="X640" s="49" t="str">
        <f>HYPERLINK("http://www.sciencedirect.com/science/article/pii/S0091743507002502","http://www.sciencedirect.com/science/article/pii/S0091743507002502")</f>
        <v>http://www.sciencedirect.com/science/article/pii/S0091743507002502</v>
      </c>
      <c r="Y640" s="38"/>
      <c r="Z640" s="38"/>
      <c r="AA640" s="38"/>
      <c r="AB640" s="38"/>
      <c r="AC640" s="38"/>
      <c r="AD640" s="38"/>
      <c r="AE640" s="38"/>
      <c r="AF640" s="38"/>
      <c r="AG640" s="28" t="s">
        <v>841</v>
      </c>
      <c r="AH640" s="28" t="s">
        <v>842</v>
      </c>
      <c r="AI640" s="28" t="s">
        <v>462</v>
      </c>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row>
    <row r="641" ht="25.5" customHeight="1">
      <c r="A641" s="28">
        <v>40.0</v>
      </c>
      <c r="B641" s="37" t="b">
        <v>1</v>
      </c>
      <c r="C641" s="38" t="s">
        <v>106</v>
      </c>
      <c r="D641" s="38">
        <v>80.0</v>
      </c>
      <c r="E641" s="13" t="b">
        <v>0</v>
      </c>
      <c r="F641" s="13" t="b">
        <v>1</v>
      </c>
      <c r="G641" s="38" t="s">
        <v>224</v>
      </c>
      <c r="H641" s="38"/>
      <c r="I641" s="38" t="s">
        <v>4130</v>
      </c>
      <c r="J641" s="38" t="s">
        <v>2534</v>
      </c>
      <c r="K641" s="38" t="s">
        <v>4131</v>
      </c>
      <c r="L641" s="38" t="s">
        <v>6165</v>
      </c>
      <c r="M641" s="38" t="s">
        <v>107</v>
      </c>
      <c r="N641" s="38">
        <v>3000.0</v>
      </c>
      <c r="O641" s="38" t="s">
        <v>3334</v>
      </c>
      <c r="P641" s="40"/>
      <c r="Q641" s="38" t="s">
        <v>289</v>
      </c>
      <c r="R641" s="38">
        <v>40.0</v>
      </c>
      <c r="S641" s="38" t="s">
        <v>4132</v>
      </c>
      <c r="T641" s="38" t="s">
        <v>4133</v>
      </c>
      <c r="U641" s="38" t="s">
        <v>4134</v>
      </c>
      <c r="V641" s="38">
        <v>2013.0</v>
      </c>
      <c r="W641" s="38" t="s">
        <v>4135</v>
      </c>
      <c r="X641" s="38" t="s">
        <v>4136</v>
      </c>
      <c r="Y641" s="38"/>
      <c r="Z641" s="38"/>
      <c r="AA641" s="38"/>
      <c r="AB641" s="38"/>
      <c r="AC641" s="38"/>
      <c r="AD641" s="38"/>
      <c r="AE641" s="38"/>
      <c r="AF641" s="38"/>
      <c r="AG641" s="28"/>
      <c r="AH641" s="28" t="s">
        <v>769</v>
      </c>
      <c r="AI641" s="28"/>
      <c r="AJ641" s="28"/>
      <c r="AK641" s="28"/>
      <c r="AL641" s="28"/>
      <c r="AM641" s="28"/>
      <c r="AN641" s="28"/>
      <c r="AO641" s="28"/>
      <c r="AP641" s="28"/>
      <c r="AQ641" s="28"/>
      <c r="AR641" s="28"/>
      <c r="AS641" s="28"/>
      <c r="AT641" s="28"/>
      <c r="AU641" s="28"/>
      <c r="AV641" s="28"/>
      <c r="AW641" s="28"/>
      <c r="AX641" s="28"/>
      <c r="AY641" s="28"/>
      <c r="AZ641" s="28"/>
      <c r="BA641" s="28" t="s">
        <v>4137</v>
      </c>
      <c r="BB641" s="28"/>
      <c r="BC641" s="28"/>
      <c r="BD641" s="28"/>
      <c r="BE641" s="28"/>
      <c r="BF641" s="28"/>
      <c r="BG641" s="28"/>
      <c r="BH641" s="28"/>
      <c r="BI641" s="28"/>
      <c r="BJ641" s="28"/>
      <c r="BK641" s="28"/>
      <c r="BL641" s="28"/>
      <c r="BM641" s="28"/>
      <c r="BN641" s="28"/>
      <c r="BO641" s="28"/>
    </row>
    <row r="642" ht="25.5" customHeight="1">
      <c r="A642" s="28">
        <v>275.0</v>
      </c>
      <c r="B642" s="37" t="b">
        <v>1</v>
      </c>
      <c r="C642" s="38" t="s">
        <v>106</v>
      </c>
      <c r="D642" s="38">
        <v>80.0</v>
      </c>
      <c r="E642" s="13" t="b">
        <v>0</v>
      </c>
      <c r="F642" s="13" t="b">
        <v>1</v>
      </c>
      <c r="G642" s="38" t="s">
        <v>224</v>
      </c>
      <c r="H642" s="38"/>
      <c r="I642" s="38" t="s">
        <v>536</v>
      </c>
      <c r="J642" s="38">
        <v>3.0</v>
      </c>
      <c r="K642" s="38" t="s">
        <v>603</v>
      </c>
      <c r="L642" s="38">
        <v>304.0</v>
      </c>
      <c r="M642" s="38" t="s">
        <v>239</v>
      </c>
      <c r="N642" s="38">
        <v>4000.0</v>
      </c>
      <c r="O642" s="38" t="s">
        <v>70</v>
      </c>
      <c r="P642" s="40"/>
      <c r="Q642" s="38" t="s">
        <v>289</v>
      </c>
      <c r="R642" s="38">
        <v>40.0</v>
      </c>
      <c r="S642" s="38" t="s">
        <v>5730</v>
      </c>
      <c r="T642" s="38" t="s">
        <v>5731</v>
      </c>
      <c r="U642" s="38" t="s">
        <v>5732</v>
      </c>
      <c r="V642" s="38">
        <v>1992.0</v>
      </c>
      <c r="W642" s="38" t="s">
        <v>610</v>
      </c>
      <c r="X642" s="38" t="s">
        <v>5733</v>
      </c>
      <c r="Y642" s="38"/>
      <c r="Z642" s="38"/>
      <c r="AA642" s="38"/>
      <c r="AB642" s="38"/>
      <c r="AC642" s="38"/>
      <c r="AD642" s="38"/>
      <c r="AE642" s="38"/>
      <c r="AF642" s="38"/>
      <c r="AG642" s="28"/>
      <c r="AH642" s="28" t="s">
        <v>428</v>
      </c>
      <c r="AI642" s="28" t="s">
        <v>462</v>
      </c>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row>
    <row r="643" ht="25.5" customHeight="1">
      <c r="A643" s="28">
        <v>126.0</v>
      </c>
      <c r="B643" s="37" t="b">
        <v>1</v>
      </c>
      <c r="C643" s="38" t="s">
        <v>106</v>
      </c>
      <c r="D643" s="38">
        <v>80.0</v>
      </c>
      <c r="E643" s="13" t="b">
        <v>1</v>
      </c>
      <c r="F643" s="13" t="b">
        <v>0</v>
      </c>
      <c r="G643" s="38" t="s">
        <v>284</v>
      </c>
      <c r="H643" s="38">
        <v>53.0</v>
      </c>
      <c r="I643" s="38" t="s">
        <v>224</v>
      </c>
      <c r="J643" s="38"/>
      <c r="K643" s="38" t="s">
        <v>224</v>
      </c>
      <c r="L643" s="38"/>
      <c r="M643" s="38" t="s">
        <v>107</v>
      </c>
      <c r="N643" s="38">
        <v>3000.0</v>
      </c>
      <c r="O643" s="38" t="s">
        <v>470</v>
      </c>
      <c r="P643" s="40"/>
      <c r="Q643" s="38" t="s">
        <v>289</v>
      </c>
      <c r="R643" s="38">
        <v>40.0</v>
      </c>
      <c r="S643" s="38" t="s">
        <v>4886</v>
      </c>
      <c r="T643" s="38" t="s">
        <v>4653</v>
      </c>
      <c r="U643" s="38" t="s">
        <v>4381</v>
      </c>
      <c r="V643" s="38">
        <v>2010.0</v>
      </c>
      <c r="W643" s="38" t="s">
        <v>4888</v>
      </c>
      <c r="X643" s="49" t="str">
        <f>HYPERLINK("http://www.pnas.org/content/107/37/16054.abstract","http://www.pnas.org/content/107/37/16054.abstract")</f>
        <v>http://www.pnas.org/content/107/37/16054.abstract</v>
      </c>
      <c r="Y643" s="38"/>
      <c r="Z643" s="38"/>
      <c r="AA643" s="38"/>
      <c r="AB643" s="38"/>
      <c r="AC643" s="38"/>
      <c r="AD643" s="38"/>
      <c r="AE643" s="38"/>
      <c r="AF643" s="3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row>
    <row r="644" ht="25.5" customHeight="1">
      <c r="A644" s="28">
        <v>105.0</v>
      </c>
      <c r="B644" s="37" t="b">
        <v>1</v>
      </c>
      <c r="C644" s="38" t="s">
        <v>106</v>
      </c>
      <c r="D644" s="38">
        <v>80.0</v>
      </c>
      <c r="E644" s="13" t="b">
        <v>1</v>
      </c>
      <c r="F644" s="13" t="b">
        <v>0</v>
      </c>
      <c r="G644" s="38" t="s">
        <v>6183</v>
      </c>
      <c r="H644" s="38">
        <v>50.0</v>
      </c>
      <c r="I644" s="38" t="s">
        <v>224</v>
      </c>
      <c r="J644" s="38"/>
      <c r="K644" s="38" t="s">
        <v>224</v>
      </c>
      <c r="L644" s="38"/>
      <c r="M644" s="38" t="s">
        <v>239</v>
      </c>
      <c r="N644" s="38">
        <v>4000.0</v>
      </c>
      <c r="O644" s="38" t="s">
        <v>605</v>
      </c>
      <c r="P644" s="40"/>
      <c r="Q644" s="38" t="s">
        <v>289</v>
      </c>
      <c r="R644" s="38">
        <v>40.0</v>
      </c>
      <c r="S644" s="38" t="s">
        <v>4652</v>
      </c>
      <c r="T644" s="38" t="s">
        <v>4653</v>
      </c>
      <c r="U644" s="38" t="s">
        <v>4381</v>
      </c>
      <c r="V644" s="38">
        <v>2011.0</v>
      </c>
      <c r="W644" s="38" t="s">
        <v>610</v>
      </c>
      <c r="X644" s="38"/>
      <c r="Y644" s="38"/>
      <c r="Z644" s="38"/>
      <c r="AA644" s="38"/>
      <c r="AB644" s="38"/>
      <c r="AC644" s="38"/>
      <c r="AD644" s="38"/>
      <c r="AE644" s="38"/>
      <c r="AF644" s="38"/>
      <c r="AG644" s="28"/>
      <c r="AH644" s="28" t="s">
        <v>530</v>
      </c>
      <c r="AI644" s="28" t="s">
        <v>530</v>
      </c>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row>
    <row r="645" ht="25.5" customHeight="1">
      <c r="A645" s="28">
        <v>101.0</v>
      </c>
      <c r="B645" s="37" t="b">
        <v>1</v>
      </c>
      <c r="C645" s="38" t="s">
        <v>106</v>
      </c>
      <c r="D645" s="38">
        <v>80.0</v>
      </c>
      <c r="E645" s="13" t="b">
        <v>0</v>
      </c>
      <c r="F645" s="13" t="b">
        <v>1</v>
      </c>
      <c r="G645" s="38" t="s">
        <v>224</v>
      </c>
      <c r="H645" s="38"/>
      <c r="I645" s="38" t="s">
        <v>1014</v>
      </c>
      <c r="J645" s="38" t="s">
        <v>1015</v>
      </c>
      <c r="K645" s="38" t="s">
        <v>4625</v>
      </c>
      <c r="L645" s="38">
        <v>704.0</v>
      </c>
      <c r="M645" s="38" t="s">
        <v>35</v>
      </c>
      <c r="N645" s="38">
        <v>2000.0</v>
      </c>
      <c r="O645" s="38" t="s">
        <v>3259</v>
      </c>
      <c r="P645" s="40"/>
      <c r="Q645" s="38" t="s">
        <v>289</v>
      </c>
      <c r="R645" s="38">
        <v>40.0</v>
      </c>
      <c r="S645" s="38" t="s">
        <v>4626</v>
      </c>
      <c r="T645" s="38" t="s">
        <v>4627</v>
      </c>
      <c r="U645" s="38" t="s">
        <v>4381</v>
      </c>
      <c r="V645" s="38">
        <v>2009.0</v>
      </c>
      <c r="W645" s="38" t="s">
        <v>4631</v>
      </c>
      <c r="X645" s="38"/>
      <c r="Y645" s="38"/>
      <c r="Z645" s="38"/>
      <c r="AA645" s="38"/>
      <c r="AB645" s="38"/>
      <c r="AC645" s="38"/>
      <c r="AD645" s="38"/>
      <c r="AE645" s="38"/>
      <c r="AF645" s="38"/>
      <c r="AG645" s="28"/>
      <c r="AH645" s="28" t="s">
        <v>462</v>
      </c>
      <c r="AI645" s="28" t="s">
        <v>462</v>
      </c>
      <c r="AJ645" s="28" t="s">
        <v>39</v>
      </c>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row>
    <row r="646" ht="25.5" customHeight="1">
      <c r="A646" s="28">
        <v>439.0</v>
      </c>
      <c r="B646" s="37" t="b">
        <v>1</v>
      </c>
      <c r="C646" s="38" t="s">
        <v>106</v>
      </c>
      <c r="D646" s="38">
        <v>80.0</v>
      </c>
      <c r="E646" s="13" t="b">
        <v>0</v>
      </c>
      <c r="F646" s="13" t="b">
        <v>1</v>
      </c>
      <c r="G646" s="38" t="s">
        <v>224</v>
      </c>
      <c r="H646" s="38"/>
      <c r="I646" s="38" t="s">
        <v>387</v>
      </c>
      <c r="J646" s="38">
        <v>8.0</v>
      </c>
      <c r="K646" s="38" t="s">
        <v>1113</v>
      </c>
      <c r="L646" s="38">
        <v>800.0</v>
      </c>
      <c r="M646" s="38" t="s">
        <v>107</v>
      </c>
      <c r="N646" s="38">
        <v>3000.0</v>
      </c>
      <c r="O646" s="38" t="s">
        <v>470</v>
      </c>
      <c r="P646" s="40"/>
      <c r="Q646" s="38" t="s">
        <v>289</v>
      </c>
      <c r="R646" s="38">
        <v>40.0</v>
      </c>
      <c r="S646" s="38" t="s">
        <v>6190</v>
      </c>
      <c r="T646" s="38" t="s">
        <v>6191</v>
      </c>
      <c r="U646" s="38" t="s">
        <v>4381</v>
      </c>
      <c r="V646" s="61">
        <v>2015.0</v>
      </c>
      <c r="W646" s="38" t="s">
        <v>6192</v>
      </c>
      <c r="X646" s="38"/>
      <c r="Y646" s="38"/>
      <c r="Z646" s="38"/>
      <c r="AA646" s="38"/>
      <c r="AB646" s="38"/>
      <c r="AC646" s="38"/>
      <c r="AD646" s="38"/>
      <c r="AE646" s="38"/>
      <c r="AF646" s="38"/>
      <c r="AG646" s="28"/>
      <c r="AH646" s="28"/>
      <c r="AI646" s="28"/>
      <c r="AJ646" s="28" t="s">
        <v>3403</v>
      </c>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row>
    <row r="647" ht="25.5" customHeight="1">
      <c r="A647" s="28">
        <v>74.0</v>
      </c>
      <c r="B647" s="37" t="b">
        <v>1</v>
      </c>
      <c r="C647" s="38" t="s">
        <v>106</v>
      </c>
      <c r="D647" s="38">
        <v>80.0</v>
      </c>
      <c r="E647" s="13" t="b">
        <v>0</v>
      </c>
      <c r="F647" s="13" t="b">
        <v>1</v>
      </c>
      <c r="G647" s="38" t="s">
        <v>224</v>
      </c>
      <c r="H647" s="38"/>
      <c r="I647" s="38" t="s">
        <v>887</v>
      </c>
      <c r="J647" s="38">
        <v>9.0</v>
      </c>
      <c r="K647" s="65" t="s">
        <v>4372</v>
      </c>
      <c r="L647" s="38"/>
      <c r="M647" s="38" t="s">
        <v>388</v>
      </c>
      <c r="N647" s="38">
        <v>14000.0</v>
      </c>
      <c r="O647" s="38" t="s">
        <v>224</v>
      </c>
      <c r="P647" s="40"/>
      <c r="Q647" s="38" t="s">
        <v>289</v>
      </c>
      <c r="R647" s="38">
        <v>40.0</v>
      </c>
      <c r="S647" s="38" t="s">
        <v>4379</v>
      </c>
      <c r="T647" s="38" t="s">
        <v>4380</v>
      </c>
      <c r="U647" s="38" t="s">
        <v>4381</v>
      </c>
      <c r="V647" s="38">
        <v>2007.0</v>
      </c>
      <c r="W647" s="38" t="s">
        <v>4382</v>
      </c>
      <c r="X647" s="38"/>
      <c r="Y647" s="38"/>
      <c r="Z647" s="38"/>
      <c r="AA647" s="38"/>
      <c r="AB647" s="38"/>
      <c r="AC647" s="38"/>
      <c r="AD647" s="38"/>
      <c r="AE647" s="38"/>
      <c r="AF647" s="38"/>
      <c r="AG647" s="28"/>
      <c r="AH647" s="28" t="s">
        <v>39</v>
      </c>
      <c r="AI647" s="28" t="s">
        <v>462</v>
      </c>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row>
    <row r="648" ht="25.5" customHeight="1">
      <c r="A648" s="28">
        <v>353.0</v>
      </c>
      <c r="B648" s="37" t="b">
        <v>1</v>
      </c>
      <c r="C648" s="38" t="s">
        <v>106</v>
      </c>
      <c r="D648" s="38">
        <v>80.0</v>
      </c>
      <c r="E648" s="13" t="b">
        <v>0</v>
      </c>
      <c r="F648" s="13" t="b">
        <v>1</v>
      </c>
      <c r="G648" s="38" t="s">
        <v>224</v>
      </c>
      <c r="H648" s="38"/>
      <c r="I648" s="38" t="s">
        <v>490</v>
      </c>
      <c r="J648" s="38">
        <v>6.0</v>
      </c>
      <c r="K648" s="38" t="s">
        <v>3900</v>
      </c>
      <c r="L648" s="38">
        <v>600.0</v>
      </c>
      <c r="M648" s="38" t="s">
        <v>388</v>
      </c>
      <c r="N648" s="38">
        <v>14000.0</v>
      </c>
      <c r="O648" s="38" t="s">
        <v>224</v>
      </c>
      <c r="P648" s="40"/>
      <c r="Q648" s="38" t="s">
        <v>289</v>
      </c>
      <c r="R648" s="38">
        <v>40.0</v>
      </c>
      <c r="S648" s="38" t="s">
        <v>6030</v>
      </c>
      <c r="T648" s="38" t="s">
        <v>6032</v>
      </c>
      <c r="U648" s="38" t="s">
        <v>4381</v>
      </c>
      <c r="V648" s="38">
        <v>2011.0</v>
      </c>
      <c r="W648" s="38" t="s">
        <v>6036</v>
      </c>
      <c r="X648" s="49" t="str">
        <f>HYPERLINK("http://www.pnas.org/content/108/31/12653.full","http://www.pnas.org/content/108/31/12653.full")</f>
        <v>http://www.pnas.org/content/108/31/12653.full</v>
      </c>
      <c r="Y648" s="38"/>
      <c r="Z648" s="38"/>
      <c r="AA648" s="38"/>
      <c r="AB648" s="38"/>
      <c r="AC648" s="38"/>
      <c r="AD648" s="38"/>
      <c r="AE648" s="38"/>
      <c r="AF648" s="38"/>
      <c r="AG648" s="28" t="s">
        <v>6043</v>
      </c>
      <c r="AH648" s="28" t="s">
        <v>428</v>
      </c>
      <c r="AI648" s="28" t="s">
        <v>462</v>
      </c>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row>
    <row r="649" ht="25.5" customHeight="1">
      <c r="A649" s="28">
        <v>411.0</v>
      </c>
      <c r="B649" s="37" t="b">
        <v>1</v>
      </c>
      <c r="C649" s="38" t="s">
        <v>106</v>
      </c>
      <c r="D649" s="38">
        <v>80.0</v>
      </c>
      <c r="E649" s="13" t="b">
        <v>0</v>
      </c>
      <c r="F649" s="13" t="b">
        <v>1</v>
      </c>
      <c r="G649" s="38" t="s">
        <v>224</v>
      </c>
      <c r="H649" s="38"/>
      <c r="I649" s="38" t="s">
        <v>712</v>
      </c>
      <c r="J649" s="38">
        <v>7.0</v>
      </c>
      <c r="K649" s="38" t="s">
        <v>5068</v>
      </c>
      <c r="L649" s="38">
        <v>702.0</v>
      </c>
      <c r="M649" s="38" t="s">
        <v>3494</v>
      </c>
      <c r="N649" s="38">
        <v>22000.0</v>
      </c>
      <c r="O649" s="38" t="s">
        <v>3495</v>
      </c>
      <c r="P649" s="40"/>
      <c r="Q649" s="38" t="s">
        <v>272</v>
      </c>
      <c r="R649" s="38">
        <v>42.0</v>
      </c>
      <c r="S649" s="38" t="s">
        <v>6195</v>
      </c>
      <c r="T649" s="38" t="s">
        <v>6196</v>
      </c>
      <c r="U649" s="38" t="s">
        <v>4381</v>
      </c>
      <c r="V649" s="38">
        <v>2008.0</v>
      </c>
      <c r="W649" s="38" t="s">
        <v>6201</v>
      </c>
      <c r="X649" s="38" t="s">
        <v>6203</v>
      </c>
      <c r="Y649" s="38"/>
      <c r="Z649" s="38"/>
      <c r="AA649" s="38"/>
      <c r="AB649" s="38"/>
      <c r="AC649" s="38"/>
      <c r="AD649" s="38"/>
      <c r="AE649" s="38"/>
      <c r="AF649" s="38"/>
      <c r="AG649" s="28"/>
      <c r="AH649" s="28" t="s">
        <v>428</v>
      </c>
      <c r="AI649" s="28" t="s">
        <v>462</v>
      </c>
      <c r="AJ649" s="28"/>
      <c r="AK649" s="28"/>
      <c r="AL649" s="28" t="s">
        <v>561</v>
      </c>
      <c r="AM649" s="28" t="s">
        <v>6205</v>
      </c>
      <c r="AN649" s="54">
        <v>42403.0</v>
      </c>
      <c r="AO649" s="28"/>
      <c r="AP649" s="28"/>
      <c r="AQ649" s="28"/>
      <c r="AR649" s="28"/>
      <c r="AS649" s="28"/>
      <c r="AT649" s="28"/>
      <c r="AU649" s="28"/>
      <c r="AV649" s="28"/>
      <c r="AW649" s="28"/>
      <c r="AX649" s="28"/>
      <c r="AY649" s="28"/>
      <c r="AZ649" s="28"/>
      <c r="BA649" s="28" t="s">
        <v>6206</v>
      </c>
      <c r="BB649" s="28"/>
      <c r="BC649" s="28"/>
      <c r="BD649" s="28"/>
      <c r="BE649" s="28"/>
      <c r="BF649" s="28"/>
      <c r="BG649" s="28"/>
      <c r="BH649" s="28"/>
      <c r="BI649" s="28"/>
      <c r="BJ649" s="28"/>
      <c r="BK649" s="28"/>
      <c r="BL649" s="28"/>
      <c r="BM649" s="28"/>
      <c r="BN649" s="28"/>
      <c r="BO649" s="28"/>
    </row>
    <row r="650" ht="25.5" customHeight="1">
      <c r="A650" s="28">
        <v>502.0</v>
      </c>
      <c r="B650" s="37" t="b">
        <v>1</v>
      </c>
      <c r="C650" s="38" t="s">
        <v>106</v>
      </c>
      <c r="D650" s="38">
        <v>80.0</v>
      </c>
      <c r="E650" s="13" t="b">
        <v>0</v>
      </c>
      <c r="F650" s="13" t="b">
        <v>1</v>
      </c>
      <c r="G650" s="38" t="s">
        <v>224</v>
      </c>
      <c r="H650" s="38"/>
      <c r="I650" s="38" t="s">
        <v>1153</v>
      </c>
      <c r="J650" s="38">
        <v>6.0</v>
      </c>
      <c r="K650" s="38" t="s">
        <v>491</v>
      </c>
      <c r="L650" s="38">
        <v>605.0</v>
      </c>
      <c r="M650" s="38" t="s">
        <v>411</v>
      </c>
      <c r="N650" s="38">
        <v>21000.0</v>
      </c>
      <c r="O650" s="38" t="s">
        <v>1052</v>
      </c>
      <c r="P650" s="40"/>
      <c r="Q650" s="38" t="s">
        <v>289</v>
      </c>
      <c r="R650" s="38">
        <v>40.0</v>
      </c>
      <c r="S650" s="38" t="s">
        <v>6207</v>
      </c>
      <c r="T650" s="38" t="s">
        <v>6208</v>
      </c>
      <c r="U650" s="38" t="s">
        <v>6209</v>
      </c>
      <c r="V650" s="38">
        <v>1994.0</v>
      </c>
      <c r="W650" s="38" t="s">
        <v>6213</v>
      </c>
      <c r="X650" s="38"/>
      <c r="Y650" s="38"/>
      <c r="Z650" s="38"/>
      <c r="AA650" s="38"/>
      <c r="AB650" s="38"/>
      <c r="AC650" s="38"/>
      <c r="AD650" s="38"/>
      <c r="AE650" s="38"/>
      <c r="AF650" s="38"/>
      <c r="AG650" s="28"/>
      <c r="AH650" s="28" t="s">
        <v>462</v>
      </c>
      <c r="AI650" s="28" t="s">
        <v>462</v>
      </c>
      <c r="AJ650" s="28" t="s">
        <v>3233</v>
      </c>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row>
    <row r="651" ht="25.5" customHeight="1">
      <c r="A651" s="28">
        <v>292.0</v>
      </c>
      <c r="B651" s="37" t="b">
        <v>1</v>
      </c>
      <c r="C651" s="38" t="s">
        <v>106</v>
      </c>
      <c r="D651" s="38">
        <v>80.0</v>
      </c>
      <c r="E651" s="13" t="b">
        <v>1</v>
      </c>
      <c r="F651" s="13" t="b">
        <v>0</v>
      </c>
      <c r="G651" s="38" t="s">
        <v>224</v>
      </c>
      <c r="H651" s="38"/>
      <c r="I651" s="38" t="s">
        <v>3200</v>
      </c>
      <c r="J651" s="38">
        <v>3.0</v>
      </c>
      <c r="K651" s="38" t="s">
        <v>5779</v>
      </c>
      <c r="L651" s="38">
        <v>301.0</v>
      </c>
      <c r="M651" s="38" t="s">
        <v>35</v>
      </c>
      <c r="N651" s="38">
        <v>2000.0</v>
      </c>
      <c r="O651" s="38" t="s">
        <v>644</v>
      </c>
      <c r="P651" s="40"/>
      <c r="Q651" s="38" t="s">
        <v>289</v>
      </c>
      <c r="R651" s="38">
        <v>40.0</v>
      </c>
      <c r="S651" s="38" t="s">
        <v>5780</v>
      </c>
      <c r="T651" s="38" t="s">
        <v>4008</v>
      </c>
      <c r="U651" s="38" t="s">
        <v>3953</v>
      </c>
      <c r="V651" s="38">
        <v>2010.0</v>
      </c>
      <c r="W651" s="38" t="s">
        <v>5781</v>
      </c>
      <c r="X651" s="38" t="s">
        <v>5782</v>
      </c>
      <c r="Y651" s="38"/>
      <c r="Z651" s="38"/>
      <c r="AA651" s="38"/>
      <c r="AB651" s="38"/>
      <c r="AC651" s="38"/>
      <c r="AD651" s="38"/>
      <c r="AE651" s="38"/>
      <c r="AF651" s="38"/>
      <c r="AG651" s="28"/>
      <c r="AH651" s="28" t="s">
        <v>926</v>
      </c>
      <c r="AI651" s="28" t="s">
        <v>462</v>
      </c>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row>
    <row r="652" ht="25.5" customHeight="1">
      <c r="A652" s="28">
        <v>160.0</v>
      </c>
      <c r="B652" s="37" t="b">
        <v>1</v>
      </c>
      <c r="C652" s="38" t="s">
        <v>106</v>
      </c>
      <c r="D652" s="38">
        <v>80.0</v>
      </c>
      <c r="E652" s="13" t="b">
        <v>1</v>
      </c>
      <c r="F652" s="13" t="b">
        <v>0</v>
      </c>
      <c r="G652" s="38" t="s">
        <v>394</v>
      </c>
      <c r="H652" s="38">
        <v>63.0</v>
      </c>
      <c r="I652" s="38" t="s">
        <v>224</v>
      </c>
      <c r="J652" s="38"/>
      <c r="K652" s="38" t="s">
        <v>224</v>
      </c>
      <c r="L652" s="38"/>
      <c r="M652" s="38" t="s">
        <v>35</v>
      </c>
      <c r="N652" s="38">
        <v>2000.0</v>
      </c>
      <c r="O652" s="38" t="s">
        <v>1114</v>
      </c>
      <c r="P652" s="40"/>
      <c r="Q652" s="38" t="s">
        <v>289</v>
      </c>
      <c r="R652" s="38">
        <v>40.0</v>
      </c>
      <c r="S652" s="38" t="s">
        <v>5137</v>
      </c>
      <c r="T652" s="38" t="s">
        <v>5138</v>
      </c>
      <c r="U652" s="38" t="s">
        <v>3953</v>
      </c>
      <c r="V652" s="38">
        <v>2009.0</v>
      </c>
      <c r="W652" s="38" t="s">
        <v>5139</v>
      </c>
      <c r="X652" s="38"/>
      <c r="Y652" s="38"/>
      <c r="Z652" s="38"/>
      <c r="AA652" s="38"/>
      <c r="AB652" s="38"/>
      <c r="AC652" s="38"/>
      <c r="AD652" s="38"/>
      <c r="AE652" s="38"/>
      <c r="AF652" s="3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row>
    <row r="653" ht="25.5" customHeight="1">
      <c r="A653" s="28">
        <v>157.0</v>
      </c>
      <c r="B653" s="37" t="b">
        <v>1</v>
      </c>
      <c r="C653" s="38" t="s">
        <v>106</v>
      </c>
      <c r="D653" s="38">
        <v>80.0</v>
      </c>
      <c r="E653" s="13" t="b">
        <v>1</v>
      </c>
      <c r="F653" s="13" t="b">
        <v>0</v>
      </c>
      <c r="G653" s="38" t="s">
        <v>394</v>
      </c>
      <c r="H653" s="38">
        <v>63.0</v>
      </c>
      <c r="I653" s="38" t="s">
        <v>224</v>
      </c>
      <c r="J653" s="38"/>
      <c r="K653" s="38" t="s">
        <v>224</v>
      </c>
      <c r="L653" s="38"/>
      <c r="M653" s="38" t="s">
        <v>107</v>
      </c>
      <c r="N653" s="38">
        <v>3000.0</v>
      </c>
      <c r="O653" s="38" t="s">
        <v>1223</v>
      </c>
      <c r="P653" s="40"/>
      <c r="Q653" s="38" t="s">
        <v>289</v>
      </c>
      <c r="R653" s="38">
        <v>40.0</v>
      </c>
      <c r="S653" s="38" t="s">
        <v>5125</v>
      </c>
      <c r="T653" s="38" t="s">
        <v>5126</v>
      </c>
      <c r="U653" s="38" t="s">
        <v>3953</v>
      </c>
      <c r="V653" s="38">
        <v>2010.0</v>
      </c>
      <c r="W653" s="38" t="s">
        <v>5127</v>
      </c>
      <c r="X653" s="38"/>
      <c r="Y653" s="38"/>
      <c r="Z653" s="38"/>
      <c r="AA653" s="38"/>
      <c r="AB653" s="38"/>
      <c r="AC653" s="38"/>
      <c r="AD653" s="38"/>
      <c r="AE653" s="38"/>
      <c r="AF653" s="3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row>
    <row r="654" ht="25.5" customHeight="1">
      <c r="A654" s="28">
        <v>228.0</v>
      </c>
      <c r="B654" s="37" t="b">
        <v>1</v>
      </c>
      <c r="C654" s="38" t="s">
        <v>106</v>
      </c>
      <c r="D654" s="38">
        <v>80.0</v>
      </c>
      <c r="E654" s="13" t="b">
        <v>1</v>
      </c>
      <c r="F654" s="13" t="b">
        <v>0</v>
      </c>
      <c r="G654" s="38" t="s">
        <v>224</v>
      </c>
      <c r="H654" s="38"/>
      <c r="I654" s="38" t="s">
        <v>376</v>
      </c>
      <c r="J654" s="38">
        <v>2.0</v>
      </c>
      <c r="K654" s="38" t="s">
        <v>892</v>
      </c>
      <c r="L654" s="38">
        <v>204.0</v>
      </c>
      <c r="M654" s="38" t="s">
        <v>321</v>
      </c>
      <c r="N654" s="38">
        <v>7000.0</v>
      </c>
      <c r="O654" s="38" t="s">
        <v>1490</v>
      </c>
      <c r="P654" s="40"/>
      <c r="Q654" s="38" t="s">
        <v>289</v>
      </c>
      <c r="R654" s="38">
        <v>40.0</v>
      </c>
      <c r="S654" s="38" t="s">
        <v>5621</v>
      </c>
      <c r="T654" s="38" t="s">
        <v>5622</v>
      </c>
      <c r="U654" s="38" t="s">
        <v>3953</v>
      </c>
      <c r="V654" s="38">
        <v>2006.0</v>
      </c>
      <c r="W654" s="38" t="s">
        <v>5623</v>
      </c>
      <c r="X654" s="49" t="str">
        <f>HYPERLINK("http://www.ncbi.nlm.nih.gov/pubmed/16771803","http://www.ncbi.nlm.nih.gov/pubmed/16771803")</f>
        <v>http://www.ncbi.nlm.nih.gov/pubmed/16771803</v>
      </c>
      <c r="Y654" s="38"/>
      <c r="Z654" s="38"/>
      <c r="AA654" s="38"/>
      <c r="AB654" s="38"/>
      <c r="AC654" s="38"/>
      <c r="AD654" s="38"/>
      <c r="AE654" s="38"/>
      <c r="AF654" s="38"/>
      <c r="AG654" s="28"/>
      <c r="AH654" s="28" t="s">
        <v>462</v>
      </c>
      <c r="AI654" s="28" t="s">
        <v>462</v>
      </c>
      <c r="AJ654" s="28" t="s">
        <v>5624</v>
      </c>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row>
    <row r="655" ht="25.5" customHeight="1">
      <c r="A655" s="28">
        <v>27.0</v>
      </c>
      <c r="B655" s="37" t="b">
        <v>1</v>
      </c>
      <c r="C655" s="38" t="s">
        <v>106</v>
      </c>
      <c r="D655" s="38">
        <v>80.0</v>
      </c>
      <c r="E655" s="13" t="b">
        <v>1</v>
      </c>
      <c r="F655" s="13" t="b">
        <v>1</v>
      </c>
      <c r="G655" s="38" t="s">
        <v>224</v>
      </c>
      <c r="H655" s="38"/>
      <c r="I655" s="38" t="s">
        <v>574</v>
      </c>
      <c r="J655" s="38">
        <v>4.0</v>
      </c>
      <c r="K655" s="38" t="s">
        <v>1896</v>
      </c>
      <c r="L655" s="38">
        <v>402.0</v>
      </c>
      <c r="M655" s="38" t="s">
        <v>35</v>
      </c>
      <c r="N655" s="38">
        <v>2000.0</v>
      </c>
      <c r="O655" s="38" t="s">
        <v>644</v>
      </c>
      <c r="P655" s="40"/>
      <c r="Q655" s="38" t="s">
        <v>4074</v>
      </c>
      <c r="R655" s="38" t="s">
        <v>4075</v>
      </c>
      <c r="S655" s="38" t="s">
        <v>4076</v>
      </c>
      <c r="T655" s="38" t="s">
        <v>4077</v>
      </c>
      <c r="U655" s="38" t="s">
        <v>3953</v>
      </c>
      <c r="V655" s="38">
        <v>2014.0</v>
      </c>
      <c r="W655" s="38" t="s">
        <v>4078</v>
      </c>
      <c r="X655" s="38" t="s">
        <v>4079</v>
      </c>
      <c r="Y655" s="38"/>
      <c r="Z655" s="38"/>
      <c r="AA655" s="38"/>
      <c r="AB655" s="38"/>
      <c r="AC655" s="38"/>
      <c r="AD655" s="38"/>
      <c r="AE655" s="38"/>
      <c r="AF655" s="38"/>
      <c r="AG655" s="28"/>
      <c r="AH655" s="28" t="s">
        <v>2437</v>
      </c>
      <c r="AI655" s="28" t="s">
        <v>2438</v>
      </c>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row>
    <row r="656" ht="25.5" customHeight="1">
      <c r="A656" s="28">
        <v>14.0</v>
      </c>
      <c r="B656" s="37" t="b">
        <v>1</v>
      </c>
      <c r="C656" s="38" t="s">
        <v>106</v>
      </c>
      <c r="D656" s="38">
        <v>80.0</v>
      </c>
      <c r="E656" s="13" t="b">
        <v>0</v>
      </c>
      <c r="F656" s="13" t="b">
        <v>1</v>
      </c>
      <c r="G656" s="38" t="s">
        <v>224</v>
      </c>
      <c r="H656" s="38"/>
      <c r="I656" s="38" t="s">
        <v>574</v>
      </c>
      <c r="J656" s="38">
        <v>4.0</v>
      </c>
      <c r="K656" s="38" t="s">
        <v>879</v>
      </c>
      <c r="L656" s="38">
        <v>401.0</v>
      </c>
      <c r="M656" s="38" t="s">
        <v>35</v>
      </c>
      <c r="N656" s="38">
        <v>2000.0</v>
      </c>
      <c r="O656" s="38" t="s">
        <v>644</v>
      </c>
      <c r="P656" s="40"/>
      <c r="Q656" s="38" t="s">
        <v>289</v>
      </c>
      <c r="R656" s="38">
        <v>40.0</v>
      </c>
      <c r="S656" s="38" t="s">
        <v>3963</v>
      </c>
      <c r="T656" s="38" t="s">
        <v>3964</v>
      </c>
      <c r="U656" s="38" t="s">
        <v>3953</v>
      </c>
      <c r="V656" s="38">
        <v>2015.0</v>
      </c>
      <c r="W656" s="38" t="s">
        <v>3967</v>
      </c>
      <c r="X656" s="38" t="s">
        <v>3968</v>
      </c>
      <c r="Y656" s="38"/>
      <c r="Z656" s="38"/>
      <c r="AA656" s="38"/>
      <c r="AB656" s="38"/>
      <c r="AC656" s="38"/>
      <c r="AD656" s="38"/>
      <c r="AE656" s="38"/>
      <c r="AF656" s="38"/>
      <c r="AG656" s="28"/>
      <c r="AH656" s="28" t="s">
        <v>2437</v>
      </c>
      <c r="AI656" s="28" t="s">
        <v>2438</v>
      </c>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row>
    <row r="657" ht="25.5" customHeight="1">
      <c r="A657" s="28">
        <v>18.0</v>
      </c>
      <c r="B657" s="37" t="b">
        <v>1</v>
      </c>
      <c r="C657" s="38" t="s">
        <v>106</v>
      </c>
      <c r="D657" s="38">
        <v>80.0</v>
      </c>
      <c r="E657" s="13" t="b">
        <v>0</v>
      </c>
      <c r="F657" s="13" t="b">
        <v>1</v>
      </c>
      <c r="G657" s="38" t="s">
        <v>224</v>
      </c>
      <c r="H657" s="38"/>
      <c r="I657" s="38" t="s">
        <v>574</v>
      </c>
      <c r="J657" s="38">
        <v>4.0</v>
      </c>
      <c r="K657" s="38" t="s">
        <v>3706</v>
      </c>
      <c r="L657" s="38">
        <v>400.0</v>
      </c>
      <c r="M657" s="38" t="s">
        <v>35</v>
      </c>
      <c r="N657" s="38">
        <v>2000.0</v>
      </c>
      <c r="O657" s="38" t="s">
        <v>4006</v>
      </c>
      <c r="P657" s="40"/>
      <c r="Q657" s="38" t="s">
        <v>289</v>
      </c>
      <c r="R657" s="38">
        <v>40.0</v>
      </c>
      <c r="S657" s="38" t="s">
        <v>4007</v>
      </c>
      <c r="T657" s="38" t="s">
        <v>4008</v>
      </c>
      <c r="U657" s="38" t="s">
        <v>3953</v>
      </c>
      <c r="V657" s="38">
        <v>2013.0</v>
      </c>
      <c r="W657" s="38" t="s">
        <v>4010</v>
      </c>
      <c r="X657" s="38" t="s">
        <v>4011</v>
      </c>
      <c r="Y657" s="38"/>
      <c r="Z657" s="38"/>
      <c r="AA657" s="38"/>
      <c r="AB657" s="38"/>
      <c r="AC657" s="38"/>
      <c r="AD657" s="38"/>
      <c r="AE657" s="38"/>
      <c r="AF657" s="38"/>
      <c r="AG657" s="28"/>
      <c r="AH657" s="28" t="s">
        <v>428</v>
      </c>
      <c r="AI657" s="28" t="s">
        <v>462</v>
      </c>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row>
    <row r="658" ht="25.5" customHeight="1">
      <c r="A658" s="28">
        <v>476.0</v>
      </c>
      <c r="B658" s="37" t="b">
        <v>1</v>
      </c>
      <c r="C658" s="38" t="s">
        <v>106</v>
      </c>
      <c r="D658" s="38">
        <v>80.0</v>
      </c>
      <c r="E658" s="13" t="b">
        <v>0</v>
      </c>
      <c r="F658" s="13" t="b">
        <v>1</v>
      </c>
      <c r="G658" s="38" t="s">
        <v>224</v>
      </c>
      <c r="H658" s="38"/>
      <c r="I658" s="38" t="s">
        <v>772</v>
      </c>
      <c r="J658" s="38">
        <v>5.0</v>
      </c>
      <c r="K658" s="38" t="s">
        <v>1063</v>
      </c>
      <c r="L658" s="38">
        <v>506.0</v>
      </c>
      <c r="M658" s="38" t="s">
        <v>35</v>
      </c>
      <c r="N658" s="38">
        <v>2000.0</v>
      </c>
      <c r="O658" s="38" t="s">
        <v>837</v>
      </c>
      <c r="P658" s="40">
        <v>2001.0</v>
      </c>
      <c r="Q658" s="38" t="s">
        <v>3028</v>
      </c>
      <c r="R658" s="38" t="s">
        <v>3030</v>
      </c>
      <c r="S658" s="38" t="s">
        <v>6242</v>
      </c>
      <c r="T658" s="38" t="s">
        <v>6243</v>
      </c>
      <c r="U658" s="38" t="s">
        <v>3953</v>
      </c>
      <c r="V658" s="38">
        <v>2011.0</v>
      </c>
      <c r="W658" s="38" t="s">
        <v>6245</v>
      </c>
      <c r="X658" s="49" t="str">
        <f>HYPERLINK("http://pss.sagepub.com/content/22/4/454","http://pss.sagepub.com/content/22/4/454")</f>
        <v>http://pss.sagepub.com/content/22/4/454</v>
      </c>
      <c r="Y658" s="38"/>
      <c r="Z658" s="38"/>
      <c r="AA658" s="38"/>
      <c r="AB658" s="38"/>
      <c r="AC658" s="38"/>
      <c r="AD658" s="38"/>
      <c r="AE658" s="38"/>
      <c r="AF658" s="38"/>
      <c r="AG658" s="28" t="s">
        <v>5182</v>
      </c>
      <c r="AH658" s="28" t="s">
        <v>428</v>
      </c>
      <c r="AI658" s="28" t="s">
        <v>462</v>
      </c>
      <c r="AJ658" s="28"/>
      <c r="AK658" s="28"/>
      <c r="AL658" s="28" t="s">
        <v>561</v>
      </c>
      <c r="AM658" s="28" t="s">
        <v>6249</v>
      </c>
      <c r="AN658" s="54">
        <v>42438.0</v>
      </c>
      <c r="AO658" s="28"/>
      <c r="AP658" s="54">
        <v>42599.0</v>
      </c>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row>
    <row r="659" ht="25.5" customHeight="1">
      <c r="A659" s="28">
        <v>388.0</v>
      </c>
      <c r="B659" s="37" t="b">
        <v>1</v>
      </c>
      <c r="C659" s="38" t="s">
        <v>106</v>
      </c>
      <c r="D659" s="38">
        <v>80.0</v>
      </c>
      <c r="E659" s="13" t="b">
        <v>0</v>
      </c>
      <c r="F659" s="13" t="b">
        <v>1</v>
      </c>
      <c r="G659" s="38" t="s">
        <v>224</v>
      </c>
      <c r="H659" s="38"/>
      <c r="I659" s="38" t="s">
        <v>712</v>
      </c>
      <c r="J659" s="38">
        <v>7.0</v>
      </c>
      <c r="K659" s="38" t="s">
        <v>714</v>
      </c>
      <c r="L659" s="38">
        <v>701.0</v>
      </c>
      <c r="M659" s="38" t="s">
        <v>239</v>
      </c>
      <c r="N659" s="38">
        <v>4000.0</v>
      </c>
      <c r="O659" s="38" t="s">
        <v>605</v>
      </c>
      <c r="P659" s="40"/>
      <c r="Q659" s="38" t="s">
        <v>289</v>
      </c>
      <c r="R659" s="38">
        <v>40.0</v>
      </c>
      <c r="S659" s="38" t="s">
        <v>6198</v>
      </c>
      <c r="T659" s="38" t="s">
        <v>6199</v>
      </c>
      <c r="U659" s="38" t="s">
        <v>3953</v>
      </c>
      <c r="V659" s="38">
        <v>2007.0</v>
      </c>
      <c r="W659" s="38" t="s">
        <v>6200</v>
      </c>
      <c r="X659" s="38" t="s">
        <v>6204</v>
      </c>
      <c r="Y659" s="38"/>
      <c r="Z659" s="38"/>
      <c r="AA659" s="38"/>
      <c r="AB659" s="38"/>
      <c r="AC659" s="38"/>
      <c r="AD659" s="38"/>
      <c r="AE659" s="38"/>
      <c r="AF659" s="38"/>
      <c r="AG659" s="28"/>
      <c r="AH659" s="28" t="s">
        <v>5456</v>
      </c>
      <c r="AI659" s="28" t="s">
        <v>5457</v>
      </c>
      <c r="AJ659" s="28"/>
      <c r="AK659" s="28" t="s">
        <v>663</v>
      </c>
      <c r="AL659" s="28"/>
      <c r="AM659" s="28"/>
      <c r="AN659" s="28"/>
      <c r="AO659" s="28"/>
      <c r="AP659" s="28"/>
      <c r="AQ659" s="28"/>
      <c r="AR659" s="28"/>
      <c r="AS659" s="28"/>
      <c r="AT659" s="28"/>
      <c r="AU659" s="28"/>
      <c r="AV659" s="28"/>
      <c r="AW659" s="28"/>
      <c r="AX659" s="28"/>
      <c r="AY659" s="28"/>
      <c r="AZ659" s="28"/>
      <c r="BA659" s="28" t="s">
        <v>1023</v>
      </c>
      <c r="BB659" s="28"/>
      <c r="BC659" s="28"/>
      <c r="BD659" s="28"/>
      <c r="BE659" s="28"/>
      <c r="BF659" s="28"/>
      <c r="BG659" s="28"/>
      <c r="BH659" s="28"/>
      <c r="BI659" s="28"/>
      <c r="BJ659" s="28"/>
      <c r="BK659" s="28"/>
      <c r="BL659" s="28"/>
      <c r="BM659" s="28"/>
      <c r="BN659" s="28"/>
      <c r="BO659" s="28"/>
    </row>
    <row r="660" ht="25.5" customHeight="1">
      <c r="A660" s="28">
        <v>219.0</v>
      </c>
      <c r="B660" s="37" t="b">
        <v>1</v>
      </c>
      <c r="C660" s="38" t="s">
        <v>106</v>
      </c>
      <c r="D660" s="38">
        <v>80.0</v>
      </c>
      <c r="E660" s="13" t="b">
        <v>0</v>
      </c>
      <c r="F660" s="13" t="b">
        <v>1</v>
      </c>
      <c r="G660" s="38" t="s">
        <v>224</v>
      </c>
      <c r="H660" s="38"/>
      <c r="I660" s="38" t="s">
        <v>429</v>
      </c>
      <c r="J660" s="38">
        <v>2.0</v>
      </c>
      <c r="K660" s="38" t="s">
        <v>378</v>
      </c>
      <c r="L660" s="38">
        <v>200.0</v>
      </c>
      <c r="M660" s="38" t="s">
        <v>359</v>
      </c>
      <c r="N660" s="38">
        <v>10000.0</v>
      </c>
      <c r="O660" s="38" t="s">
        <v>918</v>
      </c>
      <c r="P660" s="40"/>
      <c r="Q660" s="38" t="s">
        <v>324</v>
      </c>
      <c r="R660" s="38" t="s">
        <v>325</v>
      </c>
      <c r="S660" s="38" t="s">
        <v>5587</v>
      </c>
      <c r="T660" s="38" t="s">
        <v>5588</v>
      </c>
      <c r="U660" s="38" t="s">
        <v>3953</v>
      </c>
      <c r="V660" s="38">
        <v>2003.0</v>
      </c>
      <c r="W660" s="38" t="s">
        <v>5589</v>
      </c>
      <c r="X660" s="49" t="str">
        <f>HYPERLINK("http://www.ncbi.nlm.nih.gov/pubmed/12930475","http://www.ncbi.nlm.nih.gov/pubmed/12930475")</f>
        <v>http://www.ncbi.nlm.nih.gov/pubmed/12930475</v>
      </c>
      <c r="Y660" s="38"/>
      <c r="Z660" s="38"/>
      <c r="AA660" s="38"/>
      <c r="AB660" s="38"/>
      <c r="AC660" s="38"/>
      <c r="AD660" s="38"/>
      <c r="AE660" s="38"/>
      <c r="AF660" s="38"/>
      <c r="AG660" s="28"/>
      <c r="AH660" s="28" t="s">
        <v>462</v>
      </c>
      <c r="AI660" s="28" t="s">
        <v>462</v>
      </c>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row>
    <row r="661" ht="25.5" customHeight="1">
      <c r="A661" s="28">
        <v>12.0</v>
      </c>
      <c r="B661" s="37" t="b">
        <v>1</v>
      </c>
      <c r="C661" s="38" t="s">
        <v>106</v>
      </c>
      <c r="D661" s="38">
        <v>80.0</v>
      </c>
      <c r="E661" s="13" t="b">
        <v>0</v>
      </c>
      <c r="F661" s="13" t="b">
        <v>1</v>
      </c>
      <c r="G661" s="38" t="s">
        <v>224</v>
      </c>
      <c r="H661" s="38"/>
      <c r="I661" s="38" t="s">
        <v>574</v>
      </c>
      <c r="J661" s="38">
        <v>4.0</v>
      </c>
      <c r="K661" s="38" t="s">
        <v>879</v>
      </c>
      <c r="L661" s="38">
        <v>401.0</v>
      </c>
      <c r="M661" s="38" t="s">
        <v>388</v>
      </c>
      <c r="N661" s="38">
        <v>14000.0</v>
      </c>
      <c r="O661" s="38" t="s">
        <v>224</v>
      </c>
      <c r="P661" s="40"/>
      <c r="Q661" s="38" t="s">
        <v>289</v>
      </c>
      <c r="R661" s="38">
        <v>40.0</v>
      </c>
      <c r="S661" s="49" t="str">
        <f>HYPERLINK("http://pss.sagepub.com/content/early/2012/03/16/0956797611429579","Cuing Consumerism: Situational Materialism Undermines Relatable and Social Well-Being")</f>
        <v>Cuing Consumerism: Situational Materialism Undermines Relatable and Social Well-Being</v>
      </c>
      <c r="T661" s="38" t="s">
        <v>3952</v>
      </c>
      <c r="U661" s="38" t="s">
        <v>3953</v>
      </c>
      <c r="V661" s="38">
        <v>2012.0</v>
      </c>
      <c r="W661" s="38" t="s">
        <v>3954</v>
      </c>
      <c r="X661" s="38" t="s">
        <v>3955</v>
      </c>
      <c r="Y661" s="38"/>
      <c r="Z661" s="38"/>
      <c r="AA661" s="38"/>
      <c r="AB661" s="38"/>
      <c r="AC661" s="38"/>
      <c r="AD661" s="38"/>
      <c r="AE661" s="38"/>
      <c r="AF661" s="38"/>
      <c r="AG661" s="28" t="s">
        <v>3956</v>
      </c>
      <c r="AH661" s="28" t="s">
        <v>2437</v>
      </c>
      <c r="AI661" s="28" t="s">
        <v>2438</v>
      </c>
      <c r="AJ661" s="28"/>
      <c r="AK661" s="28"/>
      <c r="AL661" s="28"/>
      <c r="AM661" s="28"/>
      <c r="AN661" s="54"/>
      <c r="AO661" s="28"/>
      <c r="AP661" s="54"/>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row>
    <row r="662" ht="25.5" customHeight="1">
      <c r="A662" s="28">
        <v>184.0</v>
      </c>
      <c r="B662" s="37" t="b">
        <v>1</v>
      </c>
      <c r="C662" s="38" t="s">
        <v>106</v>
      </c>
      <c r="D662" s="38">
        <v>80.0</v>
      </c>
      <c r="E662" s="13" t="b">
        <v>0</v>
      </c>
      <c r="F662" s="13" t="b">
        <v>1</v>
      </c>
      <c r="G662" s="38" t="s">
        <v>224</v>
      </c>
      <c r="H662" s="38"/>
      <c r="I662" s="38" t="s">
        <v>429</v>
      </c>
      <c r="J662" s="38">
        <v>2.0</v>
      </c>
      <c r="K662" s="38" t="s">
        <v>524</v>
      </c>
      <c r="L662" s="62">
        <v>205.0</v>
      </c>
      <c r="M662" s="38" t="s">
        <v>388</v>
      </c>
      <c r="N662" s="38">
        <v>14000.0</v>
      </c>
      <c r="O662" s="38" t="s">
        <v>224</v>
      </c>
      <c r="P662" s="40"/>
      <c r="Q662" s="38" t="s">
        <v>289</v>
      </c>
      <c r="R662" s="38">
        <v>40.0</v>
      </c>
      <c r="S662" s="38" t="s">
        <v>5332</v>
      </c>
      <c r="T662" s="38" t="s">
        <v>5333</v>
      </c>
      <c r="U662" s="38" t="s">
        <v>3953</v>
      </c>
      <c r="V662" s="38">
        <v>2005.0</v>
      </c>
      <c r="W662" s="38" t="s">
        <v>5336</v>
      </c>
      <c r="X662" s="49" t="str">
        <f>HYPERLINK("http://psy2.ucsd.edu/~mckenzie/McKenzieetal2006PsychSci.pdf","http://psy2.ucsd.edu/~mckenzie/McKenzieetal2006PsychSci.pdf")</f>
        <v>http://psy2.ucsd.edu/~mckenzie/McKenzieetal2006PsychSci.pdf</v>
      </c>
      <c r="Y662" s="38"/>
      <c r="Z662" s="38"/>
      <c r="AA662" s="38"/>
      <c r="AB662" s="38"/>
      <c r="AC662" s="38"/>
      <c r="AD662" s="38"/>
      <c r="AE662" s="38"/>
      <c r="AF662" s="38"/>
      <c r="AG662" s="28"/>
      <c r="AH662" s="28" t="s">
        <v>462</v>
      </c>
      <c r="AI662" s="28" t="s">
        <v>462</v>
      </c>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row>
    <row r="663" ht="25.5" customHeight="1">
      <c r="A663" s="28">
        <v>10162.0</v>
      </c>
      <c r="B663" s="37" t="b">
        <v>1</v>
      </c>
      <c r="C663" s="38" t="s">
        <v>238</v>
      </c>
      <c r="D663" s="38">
        <v>81.0</v>
      </c>
      <c r="E663" s="13" t="b">
        <v>0</v>
      </c>
      <c r="F663" s="13" t="b">
        <v>1</v>
      </c>
      <c r="G663" s="38" t="s">
        <v>224</v>
      </c>
      <c r="H663" s="38"/>
      <c r="I663" s="38" t="s">
        <v>1767</v>
      </c>
      <c r="J663" s="38" t="s">
        <v>1768</v>
      </c>
      <c r="K663" s="38"/>
      <c r="L663" s="38"/>
      <c r="M663" s="38" t="s">
        <v>35</v>
      </c>
      <c r="N663" s="38">
        <v>2000.0</v>
      </c>
      <c r="O663" s="38" t="s">
        <v>837</v>
      </c>
      <c r="P663" s="40">
        <v>2001.0</v>
      </c>
      <c r="Q663" s="38" t="s">
        <v>289</v>
      </c>
      <c r="R663" s="38">
        <v>40.0</v>
      </c>
      <c r="S663" s="38" t="s">
        <v>3019</v>
      </c>
      <c r="T663" s="38" t="s">
        <v>3020</v>
      </c>
      <c r="U663" s="38" t="s">
        <v>3021</v>
      </c>
      <c r="V663" s="55">
        <v>40669.0</v>
      </c>
      <c r="W663" s="38" t="s">
        <v>3022</v>
      </c>
      <c r="X663" s="49" t="str">
        <f>HYPERLINK("https://www.psychologytoday.com/blog/ulterior-motives/201105/why-is-the-belief-in-global-warming-affected-temperature","https://www.psychologytoday.com/blog/ulterior-motives/201105/why-is-the-belief-in-global-warming-affected-temperature")</f>
        <v>https://www.psychologytoday.com/blog/ulterior-motives/201105/why-is-the-belief-in-global-warming-affected-temperature</v>
      </c>
      <c r="Y663" s="38"/>
      <c r="Z663" s="38"/>
      <c r="AA663" s="38"/>
      <c r="AB663" s="38"/>
      <c r="AC663" s="38"/>
      <c r="AD663" s="38"/>
      <c r="AE663" s="38"/>
      <c r="AF663" s="38"/>
      <c r="AG663" s="28"/>
      <c r="AH663" s="28" t="s">
        <v>3024</v>
      </c>
      <c r="AI663" s="28" t="s">
        <v>3025</v>
      </c>
      <c r="AJ663" s="28"/>
      <c r="AK663" s="28"/>
      <c r="AL663" s="28" t="s">
        <v>769</v>
      </c>
      <c r="AM663" s="28" t="s">
        <v>3026</v>
      </c>
      <c r="AN663" s="54">
        <v>42331.0</v>
      </c>
      <c r="AO663" s="54"/>
      <c r="AP663" s="54">
        <v>42527.0</v>
      </c>
      <c r="AQ663" s="28"/>
      <c r="AR663" s="28"/>
      <c r="AS663" s="54"/>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row>
    <row r="664" ht="25.5" customHeight="1">
      <c r="A664" s="28">
        <v>10163.0</v>
      </c>
      <c r="B664" s="37" t="b">
        <v>1</v>
      </c>
      <c r="C664" s="38" t="s">
        <v>238</v>
      </c>
      <c r="D664" s="38">
        <v>81.0</v>
      </c>
      <c r="E664" s="13" t="b">
        <v>0</v>
      </c>
      <c r="F664" s="13" t="b">
        <v>1</v>
      </c>
      <c r="G664" s="38" t="s">
        <v>224</v>
      </c>
      <c r="H664" s="38"/>
      <c r="I664" s="38" t="s">
        <v>1767</v>
      </c>
      <c r="J664" s="38" t="s">
        <v>1768</v>
      </c>
      <c r="K664" s="38"/>
      <c r="L664" s="38"/>
      <c r="M664" s="38" t="s">
        <v>35</v>
      </c>
      <c r="N664" s="38">
        <v>2000.0</v>
      </c>
      <c r="O664" s="38" t="s">
        <v>837</v>
      </c>
      <c r="P664" s="40">
        <v>2001.0</v>
      </c>
      <c r="Q664" s="38" t="s">
        <v>3028</v>
      </c>
      <c r="R664" s="38" t="s">
        <v>3030</v>
      </c>
      <c r="S664" s="38" t="s">
        <v>3031</v>
      </c>
      <c r="T664" s="38" t="s">
        <v>3020</v>
      </c>
      <c r="U664" s="38" t="s">
        <v>3021</v>
      </c>
      <c r="V664" s="55">
        <v>40662.0</v>
      </c>
      <c r="W664" s="38" t="s">
        <v>3022</v>
      </c>
      <c r="X664" s="49" t="str">
        <f>HYPERLINK("https://www.psychologytoday.com/blog/ulterior-motives/201104/global-warming-politics-is-local","https://www.psychologytoday.com/blog/ulterior-motives/201104/global-warming-politics-is-local")</f>
        <v>https://www.psychologytoday.com/blog/ulterior-motives/201104/global-warming-politics-is-local</v>
      </c>
      <c r="Y664" s="38"/>
      <c r="Z664" s="38"/>
      <c r="AA664" s="38"/>
      <c r="AB664" s="38"/>
      <c r="AC664" s="38"/>
      <c r="AD664" s="38"/>
      <c r="AE664" s="38"/>
      <c r="AF664" s="38"/>
      <c r="AG664" s="28"/>
      <c r="AH664" s="28" t="s">
        <v>3036</v>
      </c>
      <c r="AI664" s="28" t="s">
        <v>3037</v>
      </c>
      <c r="AJ664" s="28"/>
      <c r="AK664" s="28"/>
      <c r="AL664" s="28" t="s">
        <v>769</v>
      </c>
      <c r="AM664" s="28"/>
      <c r="AN664" s="54"/>
      <c r="AO664" s="54"/>
      <c r="AP664" s="28"/>
      <c r="AQ664" s="28"/>
      <c r="AR664" s="28"/>
      <c r="AS664" s="54"/>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row>
    <row r="665" ht="25.5" customHeight="1">
      <c r="A665" s="28">
        <v>10382.0</v>
      </c>
      <c r="B665" s="37" t="b">
        <v>1</v>
      </c>
      <c r="C665" s="38" t="s">
        <v>238</v>
      </c>
      <c r="D665" s="38">
        <v>81.0</v>
      </c>
      <c r="E665" s="13" t="b">
        <v>0</v>
      </c>
      <c r="F665" s="13" t="b">
        <v>1</v>
      </c>
      <c r="G665" s="38" t="s">
        <v>224</v>
      </c>
      <c r="H665" s="38"/>
      <c r="I665" s="38" t="s">
        <v>712</v>
      </c>
      <c r="J665" s="38">
        <v>7.0</v>
      </c>
      <c r="K665" s="38"/>
      <c r="L665" s="38"/>
      <c r="M665" s="38" t="s">
        <v>388</v>
      </c>
      <c r="N665" s="38">
        <v>14000.0</v>
      </c>
      <c r="O665" s="38" t="s">
        <v>224</v>
      </c>
      <c r="P665" s="40"/>
      <c r="Q665" s="38" t="s">
        <v>111</v>
      </c>
      <c r="R665" s="38">
        <v>41.0</v>
      </c>
      <c r="S665" s="38" t="s">
        <v>4940</v>
      </c>
      <c r="T665" s="38" t="s">
        <v>2366</v>
      </c>
      <c r="U665" s="38" t="s">
        <v>4941</v>
      </c>
      <c r="V665" s="55">
        <v>42062.0</v>
      </c>
      <c r="W665" s="38" t="s">
        <v>4942</v>
      </c>
      <c r="X665" s="49" t="str">
        <f>HYPERLINK("http://www.psychologicalscience.org/index.php/news/were-only-human/the-perils-of-adolescence.html","http://www.psychologicalscience.org/index.php/news/were-only-human/the-perils-of-adolescence.html")</f>
        <v>http://www.psychologicalscience.org/index.php/news/were-only-human/the-perils-of-adolescence.html</v>
      </c>
      <c r="Y665" s="38"/>
      <c r="Z665" s="38"/>
      <c r="AA665" s="38"/>
      <c r="AB665" s="38"/>
      <c r="AC665" s="38"/>
      <c r="AD665" s="38"/>
      <c r="AE665" s="38"/>
      <c r="AF665" s="38"/>
      <c r="AG665" s="28" t="s">
        <v>3928</v>
      </c>
      <c r="AH665" s="28" t="s">
        <v>462</v>
      </c>
      <c r="AI665" s="28" t="s">
        <v>462</v>
      </c>
      <c r="AJ665" s="28"/>
      <c r="AK665" s="28" t="s">
        <v>676</v>
      </c>
      <c r="AL665" s="28" t="s">
        <v>677</v>
      </c>
      <c r="AM665" s="28"/>
      <c r="AN665" s="54"/>
      <c r="AO665" s="54"/>
      <c r="AP665" s="28"/>
      <c r="AQ665" s="28"/>
      <c r="AR665" s="28"/>
      <c r="AS665" s="54"/>
      <c r="AT665" s="28"/>
      <c r="AU665" s="28"/>
      <c r="AV665" s="28"/>
      <c r="AW665" s="28"/>
      <c r="AX665" s="28"/>
      <c r="AY665" s="28"/>
      <c r="AZ665" s="28" t="s">
        <v>991</v>
      </c>
      <c r="BA665" s="28"/>
      <c r="BB665" s="28"/>
      <c r="BC665" s="28"/>
      <c r="BD665" s="28"/>
      <c r="BE665" s="28"/>
      <c r="BF665" s="28"/>
      <c r="BG665" s="28"/>
      <c r="BH665" s="28"/>
      <c r="BI665" s="28"/>
      <c r="BJ665" s="28"/>
      <c r="BK665" s="28"/>
      <c r="BL665" s="28"/>
      <c r="BM665" s="28"/>
      <c r="BN665" s="28"/>
      <c r="BO665" s="28"/>
    </row>
    <row r="666" ht="25.5" customHeight="1">
      <c r="A666" s="28">
        <v>363.0</v>
      </c>
      <c r="B666" s="37" t="b">
        <v>1</v>
      </c>
      <c r="C666" s="38" t="s">
        <v>106</v>
      </c>
      <c r="D666" s="38">
        <v>80.0</v>
      </c>
      <c r="E666" s="13" t="b">
        <v>0</v>
      </c>
      <c r="F666" s="13" t="b">
        <v>1</v>
      </c>
      <c r="G666" s="38" t="s">
        <v>224</v>
      </c>
      <c r="H666" s="38"/>
      <c r="I666" s="38" t="s">
        <v>1292</v>
      </c>
      <c r="J666" s="38" t="s">
        <v>1293</v>
      </c>
      <c r="K666" s="38" t="s">
        <v>6081</v>
      </c>
      <c r="L666" s="38" t="s">
        <v>6269</v>
      </c>
      <c r="M666" s="38" t="s">
        <v>107</v>
      </c>
      <c r="N666" s="38">
        <v>3000.0</v>
      </c>
      <c r="O666" s="38" t="s">
        <v>893</v>
      </c>
      <c r="P666" s="40"/>
      <c r="Q666" s="38" t="s">
        <v>111</v>
      </c>
      <c r="R666" s="38">
        <v>41.0</v>
      </c>
      <c r="S666" s="38" t="s">
        <v>6082</v>
      </c>
      <c r="T666" s="38" t="s">
        <v>6083</v>
      </c>
      <c r="U666" s="38" t="s">
        <v>6084</v>
      </c>
      <c r="V666" s="38">
        <v>2007.0</v>
      </c>
      <c r="W666" s="38" t="s">
        <v>6085</v>
      </c>
      <c r="X666" s="38" t="s">
        <v>6087</v>
      </c>
      <c r="Y666" s="38"/>
      <c r="Z666" s="38"/>
      <c r="AA666" s="38"/>
      <c r="AB666" s="38"/>
      <c r="AC666" s="38"/>
      <c r="AD666" s="38"/>
      <c r="AE666" s="38"/>
      <c r="AF666" s="38"/>
      <c r="AG666" s="28" t="s">
        <v>6089</v>
      </c>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row>
    <row r="667" ht="25.5" customHeight="1">
      <c r="A667" s="28">
        <v>208.0</v>
      </c>
      <c r="B667" s="37" t="b">
        <v>1</v>
      </c>
      <c r="C667" s="38" t="s">
        <v>106</v>
      </c>
      <c r="D667" s="38">
        <v>80.0</v>
      </c>
      <c r="E667" s="13" t="b">
        <v>0</v>
      </c>
      <c r="F667" s="13" t="b">
        <v>1</v>
      </c>
      <c r="G667" s="38" t="s">
        <v>224</v>
      </c>
      <c r="H667" s="38"/>
      <c r="I667" s="38" t="s">
        <v>429</v>
      </c>
      <c r="J667" s="38">
        <v>2.0</v>
      </c>
      <c r="K667" s="38" t="s">
        <v>5545</v>
      </c>
      <c r="L667" s="38"/>
      <c r="M667" s="38" t="s">
        <v>107</v>
      </c>
      <c r="N667" s="38">
        <v>3000.0</v>
      </c>
      <c r="O667" s="38" t="s">
        <v>5547</v>
      </c>
      <c r="P667" s="40"/>
      <c r="Q667" s="38" t="s">
        <v>111</v>
      </c>
      <c r="R667" s="38">
        <v>41.0</v>
      </c>
      <c r="S667" s="38" t="s">
        <v>5550</v>
      </c>
      <c r="T667" s="38" t="s">
        <v>5551</v>
      </c>
      <c r="U667" s="38" t="s">
        <v>5552</v>
      </c>
      <c r="V667" s="38">
        <v>2003.0</v>
      </c>
      <c r="W667" s="38" t="s">
        <v>5554</v>
      </c>
      <c r="X667" s="38"/>
      <c r="Y667" s="38"/>
      <c r="Z667" s="38"/>
      <c r="AA667" s="38"/>
      <c r="AB667" s="38"/>
      <c r="AC667" s="38"/>
      <c r="AD667" s="38"/>
      <c r="AE667" s="38"/>
      <c r="AF667" s="3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row>
    <row r="668" ht="25.5" customHeight="1">
      <c r="A668" s="28">
        <v>10320.0</v>
      </c>
      <c r="B668" s="37" t="b">
        <v>1</v>
      </c>
      <c r="C668" s="38" t="s">
        <v>238</v>
      </c>
      <c r="D668" s="38">
        <v>81.0</v>
      </c>
      <c r="E668" s="13" t="b">
        <v>0</v>
      </c>
      <c r="F668" s="13" t="b">
        <v>1</v>
      </c>
      <c r="G668" s="38" t="s">
        <v>224</v>
      </c>
      <c r="H668" s="38"/>
      <c r="I668" s="38" t="s">
        <v>280</v>
      </c>
      <c r="J668" s="38">
        <v>10.0</v>
      </c>
      <c r="K668" s="38"/>
      <c r="L668" s="38"/>
      <c r="M668" s="38" t="s">
        <v>388</v>
      </c>
      <c r="N668" s="38">
        <v>14000.0</v>
      </c>
      <c r="O668" s="38" t="s">
        <v>224</v>
      </c>
      <c r="P668" s="40"/>
      <c r="Q668" s="38" t="s">
        <v>289</v>
      </c>
      <c r="R668" s="38">
        <v>40.0</v>
      </c>
      <c r="S668" s="38" t="s">
        <v>4391</v>
      </c>
      <c r="T668" s="38" t="s">
        <v>4392</v>
      </c>
      <c r="U668" s="38" t="s">
        <v>4394</v>
      </c>
      <c r="V668" s="38"/>
      <c r="W668" s="38" t="s">
        <v>4396</v>
      </c>
      <c r="X668" s="38" t="s">
        <v>4398</v>
      </c>
      <c r="Y668" s="38"/>
      <c r="Z668" s="38"/>
      <c r="AA668" s="38"/>
      <c r="AB668" s="38"/>
      <c r="AC668" s="38"/>
      <c r="AD668" s="38"/>
      <c r="AE668" s="38"/>
      <c r="AF668" s="38"/>
      <c r="AG668" s="28" t="s">
        <v>4399</v>
      </c>
      <c r="AH668" s="28"/>
      <c r="AI668" s="28"/>
      <c r="AJ668" s="28"/>
      <c r="AK668" s="28"/>
      <c r="AL668" s="28"/>
      <c r="AM668" s="28"/>
      <c r="AN668" s="28"/>
      <c r="AO668" s="28"/>
      <c r="AP668" s="28"/>
      <c r="AQ668" s="28"/>
      <c r="AR668" s="28"/>
      <c r="AS668" s="28"/>
      <c r="AT668" s="28"/>
      <c r="AU668" s="28"/>
      <c r="AV668" s="28"/>
      <c r="AW668" s="28"/>
      <c r="AX668" s="28"/>
      <c r="AY668" s="28"/>
      <c r="AZ668" s="28" t="s">
        <v>4400</v>
      </c>
      <c r="BA668" s="28"/>
      <c r="BB668" s="28"/>
      <c r="BC668" s="28"/>
      <c r="BD668" s="28"/>
      <c r="BE668" s="28"/>
      <c r="BF668" s="28"/>
      <c r="BG668" s="28"/>
      <c r="BH668" s="28"/>
      <c r="BI668" s="28"/>
      <c r="BJ668" s="28"/>
      <c r="BK668" s="28"/>
      <c r="BL668" s="28"/>
      <c r="BM668" s="28"/>
      <c r="BN668" s="28"/>
      <c r="BO668" s="28"/>
    </row>
    <row r="669" ht="25.5" customHeight="1">
      <c r="A669" s="28">
        <v>10368.0</v>
      </c>
      <c r="B669" s="37" t="b">
        <v>1</v>
      </c>
      <c r="C669" s="38" t="s">
        <v>238</v>
      </c>
      <c r="D669" s="38">
        <v>81.0</v>
      </c>
      <c r="E669" s="13" t="b">
        <v>0</v>
      </c>
      <c r="F669" s="13" t="b">
        <v>1</v>
      </c>
      <c r="G669" s="38" t="s">
        <v>224</v>
      </c>
      <c r="H669" s="38"/>
      <c r="I669" s="38" t="s">
        <v>4799</v>
      </c>
      <c r="J669" s="38" t="s">
        <v>4800</v>
      </c>
      <c r="K669" s="38"/>
      <c r="L669" s="38"/>
      <c r="M669" s="38" t="s">
        <v>388</v>
      </c>
      <c r="N669" s="38">
        <v>14000.0</v>
      </c>
      <c r="O669" s="38" t="s">
        <v>224</v>
      </c>
      <c r="P669" s="40"/>
      <c r="Q669" s="38" t="s">
        <v>289</v>
      </c>
      <c r="R669" s="38">
        <v>40.0</v>
      </c>
      <c r="S669" s="38" t="s">
        <v>4804</v>
      </c>
      <c r="T669" s="38" t="s">
        <v>2389</v>
      </c>
      <c r="U669" s="38" t="s">
        <v>4806</v>
      </c>
      <c r="V669" s="38">
        <v>2015.0</v>
      </c>
      <c r="W669" s="38" t="s">
        <v>4809</v>
      </c>
      <c r="X669" s="49" t="str">
        <f>HYPERLINK("http://psychologyofeating.com/simple-psychology-habits/","http://psychologyofeating.com/simple-psychology-habits/")</f>
        <v>http://psychologyofeating.com/simple-psychology-habits/</v>
      </c>
      <c r="Y669" s="38"/>
      <c r="Z669" s="38"/>
      <c r="AA669" s="38"/>
      <c r="AB669" s="38"/>
      <c r="AC669" s="38"/>
      <c r="AD669" s="38"/>
      <c r="AE669" s="38"/>
      <c r="AF669" s="38"/>
      <c r="AG669" s="28" t="s">
        <v>4813</v>
      </c>
      <c r="AH669" s="28"/>
      <c r="AI669" s="28"/>
      <c r="AJ669" s="28"/>
      <c r="AK669" s="28" t="s">
        <v>2322</v>
      </c>
      <c r="AL669" s="28"/>
      <c r="AM669" s="28"/>
      <c r="AN669" s="28"/>
      <c r="AO669" s="28"/>
      <c r="AP669" s="28"/>
      <c r="AQ669" s="28"/>
      <c r="AR669" s="28"/>
      <c r="AS669" s="28"/>
      <c r="AT669" s="28"/>
      <c r="AU669" s="28"/>
      <c r="AV669" s="28"/>
      <c r="AW669" s="28"/>
      <c r="AX669" s="28"/>
      <c r="AY669" s="28"/>
      <c r="AZ669" s="28" t="s">
        <v>998</v>
      </c>
      <c r="BA669" s="28"/>
      <c r="BB669" s="28"/>
      <c r="BC669" s="28"/>
      <c r="BD669" s="28"/>
      <c r="BE669" s="28"/>
      <c r="BF669" s="28"/>
      <c r="BG669" s="28"/>
      <c r="BH669" s="28"/>
      <c r="BI669" s="28"/>
      <c r="BJ669" s="28"/>
      <c r="BK669" s="28"/>
      <c r="BL669" s="28"/>
      <c r="BM669" s="28"/>
      <c r="BN669" s="28"/>
      <c r="BO669" s="28"/>
    </row>
    <row r="670" ht="25.5" customHeight="1">
      <c r="A670" s="28">
        <v>410.0</v>
      </c>
      <c r="B670" s="37" t="b">
        <v>1</v>
      </c>
      <c r="C670" s="38" t="s">
        <v>106</v>
      </c>
      <c r="D670" s="38">
        <v>80.0</v>
      </c>
      <c r="E670" s="13" t="b">
        <v>0</v>
      </c>
      <c r="F670" s="13" t="b">
        <v>1</v>
      </c>
      <c r="G670" s="38" t="s">
        <v>224</v>
      </c>
      <c r="H670" s="38"/>
      <c r="I670" s="38" t="s">
        <v>712</v>
      </c>
      <c r="J670" s="38">
        <v>7.0</v>
      </c>
      <c r="K670" s="38" t="s">
        <v>6279</v>
      </c>
      <c r="L670" s="38" t="s">
        <v>6280</v>
      </c>
      <c r="M670" s="38" t="s">
        <v>107</v>
      </c>
      <c r="N670" s="38">
        <v>3000.0</v>
      </c>
      <c r="O670" s="38" t="s">
        <v>116</v>
      </c>
      <c r="P670" s="40"/>
      <c r="Q670" s="38" t="s">
        <v>289</v>
      </c>
      <c r="R670" s="38">
        <v>40.0</v>
      </c>
      <c r="S670" s="38" t="s">
        <v>6281</v>
      </c>
      <c r="T670" s="38" t="s">
        <v>6282</v>
      </c>
      <c r="U670" s="38" t="s">
        <v>6283</v>
      </c>
      <c r="V670" s="38">
        <v>2008.0</v>
      </c>
      <c r="W670" s="38" t="s">
        <v>6284</v>
      </c>
      <c r="X670" s="38" t="s">
        <v>6285</v>
      </c>
      <c r="Y670" s="38"/>
      <c r="Z670" s="38"/>
      <c r="AA670" s="38"/>
      <c r="AB670" s="38"/>
      <c r="AC670" s="38"/>
      <c r="AD670" s="38"/>
      <c r="AE670" s="38"/>
      <c r="AF670" s="38"/>
      <c r="AG670" s="28"/>
      <c r="AH670" s="28" t="s">
        <v>428</v>
      </c>
      <c r="AI670" s="28" t="s">
        <v>462</v>
      </c>
      <c r="AJ670" s="28"/>
      <c r="AK670" s="28"/>
      <c r="AL670" s="28"/>
      <c r="AM670" s="28"/>
      <c r="AN670" s="28"/>
      <c r="AO670" s="28"/>
      <c r="AP670" s="28"/>
      <c r="AQ670" s="28"/>
      <c r="AR670" s="28"/>
      <c r="AS670" s="28"/>
      <c r="AT670" s="28"/>
      <c r="AU670" s="28"/>
      <c r="AV670" s="28"/>
      <c r="AW670" s="28"/>
      <c r="AX670" s="28"/>
      <c r="AY670" s="28"/>
      <c r="AZ670" s="28"/>
      <c r="BA670" s="28" t="s">
        <v>6286</v>
      </c>
      <c r="BB670" s="28"/>
      <c r="BC670" s="28"/>
      <c r="BD670" s="28"/>
      <c r="BE670" s="28"/>
      <c r="BF670" s="28"/>
      <c r="BG670" s="28"/>
      <c r="BH670" s="28"/>
      <c r="BI670" s="28"/>
      <c r="BJ670" s="28"/>
      <c r="BK670" s="28"/>
      <c r="BL670" s="28"/>
      <c r="BM670" s="28"/>
      <c r="BN670" s="28"/>
      <c r="BO670" s="28"/>
    </row>
    <row r="671" ht="25.5" customHeight="1">
      <c r="A671" s="28">
        <v>10055.0</v>
      </c>
      <c r="B671" s="37" t="b">
        <v>1</v>
      </c>
      <c r="C671" s="38" t="s">
        <v>238</v>
      </c>
      <c r="D671" s="38">
        <v>81.0</v>
      </c>
      <c r="E671" s="13" t="b">
        <v>1</v>
      </c>
      <c r="F671" s="13" t="b">
        <v>0</v>
      </c>
      <c r="G671" s="38" t="s">
        <v>224</v>
      </c>
      <c r="H671" s="38"/>
      <c r="I671" s="38" t="s">
        <v>490</v>
      </c>
      <c r="J671" s="38">
        <v>6.0</v>
      </c>
      <c r="K671" s="38"/>
      <c r="L671" s="38"/>
      <c r="M671" s="38" t="s">
        <v>388</v>
      </c>
      <c r="N671" s="38">
        <v>14000.0</v>
      </c>
      <c r="O671" s="38" t="s">
        <v>224</v>
      </c>
      <c r="P671" s="40"/>
      <c r="Q671" s="38" t="s">
        <v>1590</v>
      </c>
      <c r="R671" s="38"/>
      <c r="S671" s="38" t="s">
        <v>1893</v>
      </c>
      <c r="T671" s="38" t="s">
        <v>1894</v>
      </c>
      <c r="U671" s="38" t="s">
        <v>1571</v>
      </c>
      <c r="V671" s="55">
        <v>74324.0</v>
      </c>
      <c r="W671" s="38"/>
      <c r="X671" s="49" t="str">
        <f>HYPERLINK("https://www.psychologytoday.com/blog/culture-conscious/201306/is-cognitive-dissonance-universal","https://www.psychologytoday.com/blog/culture-conscious/201306/is-cognitive-dissonance-universal")</f>
        <v>https://www.psychologytoday.com/blog/culture-conscious/201306/is-cognitive-dissonance-universal</v>
      </c>
      <c r="Y671" s="38"/>
      <c r="Z671" s="38"/>
      <c r="AA671" s="38"/>
      <c r="AB671" s="38"/>
      <c r="AC671" s="38"/>
      <c r="AD671" s="38"/>
      <c r="AE671" s="38"/>
      <c r="AF671" s="38"/>
      <c r="AG671" s="28"/>
      <c r="AH671" s="28"/>
      <c r="AI671" s="28"/>
      <c r="AJ671" s="28"/>
      <c r="AK671" s="28"/>
      <c r="AL671" s="28"/>
      <c r="AM671" s="70"/>
      <c r="AN671" s="28"/>
      <c r="AO671" s="28"/>
      <c r="AP671" s="28"/>
      <c r="AQ671" s="28"/>
      <c r="AR671" s="28"/>
      <c r="AS671" s="28"/>
      <c r="AT671" s="28"/>
      <c r="AU671" s="28"/>
      <c r="AV671" s="28"/>
      <c r="AW671" s="28"/>
      <c r="AX671" s="28"/>
      <c r="AY671" s="28"/>
      <c r="AZ671" s="28" t="s">
        <v>491</v>
      </c>
      <c r="BA671" s="28"/>
      <c r="BB671" s="28"/>
      <c r="BC671" s="28"/>
      <c r="BD671" s="28"/>
      <c r="BE671" s="28"/>
      <c r="BF671" s="28"/>
      <c r="BG671" s="28"/>
      <c r="BH671" s="28"/>
      <c r="BI671" s="28"/>
      <c r="BJ671" s="28"/>
      <c r="BK671" s="28"/>
      <c r="BL671" s="28"/>
      <c r="BM671" s="28"/>
      <c r="BN671" s="28"/>
      <c r="BO671" s="28"/>
    </row>
    <row r="672" ht="25.5" customHeight="1">
      <c r="A672" s="28">
        <v>10026.0</v>
      </c>
      <c r="B672" s="37" t="b">
        <v>1</v>
      </c>
      <c r="C672" s="38" t="s">
        <v>238</v>
      </c>
      <c r="D672" s="38">
        <v>81.0</v>
      </c>
      <c r="E672" s="13" t="b">
        <v>1</v>
      </c>
      <c r="F672" s="13" t="b">
        <v>0</v>
      </c>
      <c r="G672" s="38" t="s">
        <v>323</v>
      </c>
      <c r="H672" s="38">
        <v>59.0</v>
      </c>
      <c r="I672" s="38" t="s">
        <v>224</v>
      </c>
      <c r="J672" s="38"/>
      <c r="K672" s="38" t="s">
        <v>224</v>
      </c>
      <c r="L672" s="38"/>
      <c r="M672" s="38" t="s">
        <v>388</v>
      </c>
      <c r="N672" s="38">
        <v>14000.0</v>
      </c>
      <c r="O672" s="38" t="s">
        <v>224</v>
      </c>
      <c r="P672" s="40"/>
      <c r="Q672" s="38" t="s">
        <v>111</v>
      </c>
      <c r="R672" s="38">
        <v>41.0</v>
      </c>
      <c r="S672" s="38" t="s">
        <v>1569</v>
      </c>
      <c r="T672" s="38" t="s">
        <v>1570</v>
      </c>
      <c r="U672" s="38" t="s">
        <v>1571</v>
      </c>
      <c r="V672" s="55">
        <v>41414.0</v>
      </c>
      <c r="W672" s="38" t="s">
        <v>1435</v>
      </c>
      <c r="X672" s="49" t="str">
        <f>HYPERLINK("https://www.psychologytoday.com/blog/the-power-prime/201305/cognitive-biases-are-bad-business","https://www.psychologytoday.com/blog/the-power-prime/201305/cognitive-biases-are-bad-business")</f>
        <v>https://www.psychologytoday.com/blog/the-power-prime/201305/cognitive-biases-are-bad-business</v>
      </c>
      <c r="Y672" s="38"/>
      <c r="Z672" s="38"/>
      <c r="AA672" s="38"/>
      <c r="AB672" s="38"/>
      <c r="AC672" s="38"/>
      <c r="AD672" s="38"/>
      <c r="AE672" s="38"/>
      <c r="AF672" s="38"/>
      <c r="AG672" s="28"/>
      <c r="AH672" s="28" t="s">
        <v>462</v>
      </c>
      <c r="AI672" s="28" t="s">
        <v>462</v>
      </c>
      <c r="AJ672" s="28"/>
      <c r="AK672" s="28" t="s">
        <v>676</v>
      </c>
      <c r="AL672" s="28" t="s">
        <v>769</v>
      </c>
      <c r="AM672" s="28" t="s">
        <v>1574</v>
      </c>
      <c r="AN672" s="54">
        <v>42311.0</v>
      </c>
      <c r="AO672" s="54"/>
      <c r="AP672" s="28"/>
      <c r="AQ672" s="28"/>
      <c r="AR672" s="28"/>
      <c r="AS672" s="54"/>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row>
    <row r="673" ht="25.5" customHeight="1">
      <c r="A673" s="28">
        <v>10315.0</v>
      </c>
      <c r="B673" s="37" t="b">
        <v>1</v>
      </c>
      <c r="C673" s="38" t="s">
        <v>238</v>
      </c>
      <c r="D673" s="38">
        <v>81.0</v>
      </c>
      <c r="E673" s="13" t="b">
        <v>0</v>
      </c>
      <c r="F673" s="13" t="b">
        <v>1</v>
      </c>
      <c r="G673" s="38" t="s">
        <v>224</v>
      </c>
      <c r="H673" s="38"/>
      <c r="I673" s="38" t="s">
        <v>4330</v>
      </c>
      <c r="J673" s="38" t="s">
        <v>1293</v>
      </c>
      <c r="K673" s="38"/>
      <c r="L673" s="38"/>
      <c r="M673" s="38" t="s">
        <v>35</v>
      </c>
      <c r="N673" s="38">
        <v>2000.0</v>
      </c>
      <c r="O673" s="38" t="s">
        <v>1114</v>
      </c>
      <c r="P673" s="40"/>
      <c r="Q673" s="38" t="s">
        <v>289</v>
      </c>
      <c r="R673" s="38">
        <v>40.0</v>
      </c>
      <c r="S673" s="38" t="s">
        <v>4337</v>
      </c>
      <c r="T673" s="38" t="s">
        <v>4339</v>
      </c>
      <c r="U673" s="38" t="s">
        <v>1571</v>
      </c>
      <c r="V673" s="55">
        <v>41403.0</v>
      </c>
      <c r="W673" s="38" t="s">
        <v>4340</v>
      </c>
      <c r="X673" s="49" t="str">
        <f>HYPERLINK("https://www.psychologytoday.com/blog/presence-mind/201305/are-you-sustainability-hypocrite","https://www.psychologytoday.com/blog/presence-mind/201305/are-you-sustainability-hypocrite")</f>
        <v>https://www.psychologytoday.com/blog/presence-mind/201305/are-you-sustainability-hypocrite</v>
      </c>
      <c r="Y673" s="38"/>
      <c r="Z673" s="38"/>
      <c r="AA673" s="38"/>
      <c r="AB673" s="38"/>
      <c r="AC673" s="38"/>
      <c r="AD673" s="38"/>
      <c r="AE673" s="38"/>
      <c r="AF673" s="38"/>
      <c r="AG673" s="28"/>
      <c r="AH673" s="28" t="s">
        <v>428</v>
      </c>
      <c r="AI673" s="28" t="s">
        <v>462</v>
      </c>
      <c r="AJ673" s="28"/>
      <c r="AK673" s="28"/>
      <c r="AL673" s="28" t="s">
        <v>600</v>
      </c>
      <c r="AM673" s="28"/>
      <c r="AN673" s="54"/>
      <c r="AO673" s="54"/>
      <c r="AP673" s="54"/>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row>
    <row r="674" ht="25.5" customHeight="1">
      <c r="A674" s="28">
        <v>10131.0</v>
      </c>
      <c r="B674" s="37" t="b">
        <v>1</v>
      </c>
      <c r="C674" s="38" t="s">
        <v>238</v>
      </c>
      <c r="D674" s="38">
        <v>81.0</v>
      </c>
      <c r="E674" s="13" t="b">
        <v>0</v>
      </c>
      <c r="F674" s="13" t="b">
        <v>1</v>
      </c>
      <c r="G674" s="38" t="s">
        <v>224</v>
      </c>
      <c r="H674" s="38"/>
      <c r="I674" s="38" t="s">
        <v>2782</v>
      </c>
      <c r="J674" s="38" t="s">
        <v>2783</v>
      </c>
      <c r="K674" s="38"/>
      <c r="L674" s="38"/>
      <c r="M674" s="38" t="s">
        <v>388</v>
      </c>
      <c r="N674" s="38">
        <v>14000.0</v>
      </c>
      <c r="O674" s="38" t="s">
        <v>224</v>
      </c>
      <c r="P674" s="40"/>
      <c r="Q674" s="38" t="s">
        <v>289</v>
      </c>
      <c r="R674" s="38">
        <v>40.0</v>
      </c>
      <c r="S674" s="38" t="s">
        <v>2792</v>
      </c>
      <c r="T674" s="38" t="s">
        <v>2793</v>
      </c>
      <c r="U674" s="38" t="s">
        <v>1571</v>
      </c>
      <c r="V674" s="55">
        <v>40199.0</v>
      </c>
      <c r="W674" s="38" t="s">
        <v>2795</v>
      </c>
      <c r="X674" s="49" t="str">
        <f>HYPERLINK("https://www.psychologytoday.com/blog/dont-delay/201001/implementation-intentions-facilitate-action-control","https://www.psychologytoday.com/blog/dont-delay/201001/implementation-intentions-facilitate-action-control")</f>
        <v>https://www.psychologytoday.com/blog/dont-delay/201001/implementation-intentions-facilitate-action-control</v>
      </c>
      <c r="Y674" s="38"/>
      <c r="Z674" s="38"/>
      <c r="AA674" s="38"/>
      <c r="AB674" s="38"/>
      <c r="AC674" s="38"/>
      <c r="AD674" s="38"/>
      <c r="AE674" s="38"/>
      <c r="AF674" s="38"/>
      <c r="AG674" s="28"/>
      <c r="AH674" s="28" t="s">
        <v>2797</v>
      </c>
      <c r="AI674" s="28" t="s">
        <v>2798</v>
      </c>
      <c r="AJ674" s="28"/>
      <c r="AK674" s="28"/>
      <c r="AL674" s="28" t="s">
        <v>677</v>
      </c>
      <c r="AM674" s="28"/>
      <c r="AN674" s="54"/>
      <c r="AO674" s="54"/>
      <c r="AP674" s="28"/>
      <c r="AQ674" s="28"/>
      <c r="AR674" s="28"/>
      <c r="AS674" s="54"/>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row>
    <row r="675" ht="25.5" customHeight="1">
      <c r="A675" s="28">
        <v>10171.0</v>
      </c>
      <c r="B675" s="37" t="b">
        <v>1</v>
      </c>
      <c r="C675" s="38" t="s">
        <v>238</v>
      </c>
      <c r="D675" s="38">
        <v>81.0</v>
      </c>
      <c r="E675" s="13" t="b">
        <v>0</v>
      </c>
      <c r="F675" s="13" t="b">
        <v>1</v>
      </c>
      <c r="G675" s="38" t="s">
        <v>224</v>
      </c>
      <c r="H675" s="38"/>
      <c r="I675" s="38" t="s">
        <v>887</v>
      </c>
      <c r="J675" s="38">
        <v>9.0</v>
      </c>
      <c r="K675" s="38"/>
      <c r="L675" s="38"/>
      <c r="M675" s="38" t="s">
        <v>388</v>
      </c>
      <c r="N675" s="38">
        <v>14000.0</v>
      </c>
      <c r="O675" s="38" t="s">
        <v>224</v>
      </c>
      <c r="P675" s="40"/>
      <c r="Q675" s="38" t="s">
        <v>111</v>
      </c>
      <c r="R675" s="38">
        <v>41.0</v>
      </c>
      <c r="S675" s="38" t="s">
        <v>3101</v>
      </c>
      <c r="T675" s="38" t="s">
        <v>3102</v>
      </c>
      <c r="U675" s="38" t="s">
        <v>1571</v>
      </c>
      <c r="V675" s="55">
        <v>41322.0</v>
      </c>
      <c r="W675" s="38" t="s">
        <v>3103</v>
      </c>
      <c r="X675" s="49" t="str">
        <f>HYPERLINK("https://www.psychologytoday.com/blog/happiness-in-world/201302/how-ensure-youre-almost-always-right","https://www.psychologytoday.com/blog/happiness-in-world/201302/how-ensure-youre-almost-always-right")</f>
        <v>https://www.psychologytoday.com/blog/happiness-in-world/201302/how-ensure-youre-almost-always-right</v>
      </c>
      <c r="Y675" s="38"/>
      <c r="Z675" s="38"/>
      <c r="AA675" s="38"/>
      <c r="AB675" s="38"/>
      <c r="AC675" s="38"/>
      <c r="AD675" s="38"/>
      <c r="AE675" s="38"/>
      <c r="AF675" s="38"/>
      <c r="AG675" s="28"/>
      <c r="AH675" s="28" t="s">
        <v>428</v>
      </c>
      <c r="AI675" s="28" t="s">
        <v>462</v>
      </c>
      <c r="AJ675" s="28"/>
      <c r="AK675" s="28"/>
      <c r="AL675" s="28" t="s">
        <v>677</v>
      </c>
      <c r="AM675" s="28"/>
      <c r="AN675" s="28"/>
      <c r="AO675" s="28"/>
      <c r="AP675" s="28"/>
      <c r="AQ675" s="28"/>
      <c r="AR675" s="28"/>
      <c r="AS675" s="28"/>
      <c r="AT675" s="28"/>
      <c r="AU675" s="28"/>
      <c r="AV675" s="28"/>
      <c r="AW675" s="28"/>
      <c r="AX675" s="28"/>
      <c r="AY675" s="28"/>
      <c r="AZ675" s="28" t="s">
        <v>3106</v>
      </c>
      <c r="BA675" s="28"/>
      <c r="BB675" s="28"/>
      <c r="BC675" s="28"/>
      <c r="BD675" s="28"/>
      <c r="BE675" s="28"/>
      <c r="BF675" s="28"/>
      <c r="BG675" s="28"/>
      <c r="BH675" s="28"/>
      <c r="BI675" s="28"/>
      <c r="BJ675" s="28"/>
      <c r="BK675" s="28"/>
      <c r="BL675" s="28"/>
      <c r="BM675" s="28"/>
      <c r="BN675" s="28"/>
      <c r="BO675" s="28"/>
    </row>
    <row r="676" ht="25.5" customHeight="1">
      <c r="A676" s="28">
        <v>10313.0</v>
      </c>
      <c r="B676" s="37" t="b">
        <v>1</v>
      </c>
      <c r="C676" s="38" t="s">
        <v>238</v>
      </c>
      <c r="D676" s="38">
        <v>81.0</v>
      </c>
      <c r="E676" s="13" t="b">
        <v>0</v>
      </c>
      <c r="F676" s="13" t="b">
        <v>1</v>
      </c>
      <c r="G676" s="38" t="s">
        <v>224</v>
      </c>
      <c r="H676" s="38"/>
      <c r="I676" s="38" t="s">
        <v>490</v>
      </c>
      <c r="J676" s="38">
        <v>6.0</v>
      </c>
      <c r="K676" s="38"/>
      <c r="L676" s="38"/>
      <c r="M676" s="38" t="s">
        <v>388</v>
      </c>
      <c r="N676" s="38">
        <v>14000.0</v>
      </c>
      <c r="O676" s="38" t="s">
        <v>224</v>
      </c>
      <c r="P676" s="40"/>
      <c r="Q676" s="38" t="s">
        <v>324</v>
      </c>
      <c r="R676" s="38" t="s">
        <v>325</v>
      </c>
      <c r="S676" s="38" t="s">
        <v>4317</v>
      </c>
      <c r="T676" s="38" t="s">
        <v>4318</v>
      </c>
      <c r="U676" s="38" t="s">
        <v>1571</v>
      </c>
      <c r="V676" s="55">
        <v>41138.0</v>
      </c>
      <c r="W676" s="38" t="s">
        <v>4319</v>
      </c>
      <c r="X676" s="49" t="str">
        <f>HYPERLINK("https://www.psychologytoday.com/blog/dont-delay/201208/the-power-hypocrisy","https://www.psychologytoday.com/blog/dont-delay/201208/the-power-hypocrisy")</f>
        <v>https://www.psychologytoday.com/blog/dont-delay/201208/the-power-hypocrisy</v>
      </c>
      <c r="Y676" s="38"/>
      <c r="Z676" s="38"/>
      <c r="AA676" s="38"/>
      <c r="AB676" s="38"/>
      <c r="AC676" s="38"/>
      <c r="AD676" s="38"/>
      <c r="AE676" s="38"/>
      <c r="AF676" s="38"/>
      <c r="AG676" s="28"/>
      <c r="AH676" s="28" t="s">
        <v>462</v>
      </c>
      <c r="AI676" s="28" t="s">
        <v>462</v>
      </c>
      <c r="AJ676" s="28"/>
      <c r="AK676" s="28"/>
      <c r="AL676" s="28" t="s">
        <v>677</v>
      </c>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row>
    <row r="677" ht="25.5" customHeight="1">
      <c r="A677" s="28">
        <v>10339.0</v>
      </c>
      <c r="B677" s="37" t="b">
        <v>1</v>
      </c>
      <c r="C677" s="38" t="s">
        <v>238</v>
      </c>
      <c r="D677" s="38">
        <v>81.0</v>
      </c>
      <c r="E677" s="13" t="b">
        <v>0</v>
      </c>
      <c r="F677" s="13" t="b">
        <v>1</v>
      </c>
      <c r="G677" s="38" t="s">
        <v>224</v>
      </c>
      <c r="H677" s="38"/>
      <c r="I677" s="38" t="s">
        <v>280</v>
      </c>
      <c r="J677" s="38">
        <v>10.0</v>
      </c>
      <c r="K677" s="38"/>
      <c r="L677" s="38"/>
      <c r="M677" s="38" t="s">
        <v>35</v>
      </c>
      <c r="N677" s="38">
        <v>2000.0</v>
      </c>
      <c r="O677" s="38" t="s">
        <v>578</v>
      </c>
      <c r="P677" s="40"/>
      <c r="Q677" s="38" t="s">
        <v>324</v>
      </c>
      <c r="R677" s="38" t="s">
        <v>325</v>
      </c>
      <c r="S677" s="61" t="s">
        <v>4590</v>
      </c>
      <c r="T677" s="38" t="s">
        <v>4591</v>
      </c>
      <c r="U677" s="38" t="s">
        <v>4593</v>
      </c>
      <c r="V677" s="55">
        <v>41587.0</v>
      </c>
      <c r="W677" s="38" t="s">
        <v>4594</v>
      </c>
      <c r="X677" s="49" t="str">
        <f>HYPERLINK("https://www.psychologytoday.com/blog/the-green-mind/201311/despair-courage-hope-in-age-environmental-turmoil","https://www.psychologytoday.com/blog/the-green-mind/201311/despair-courage-hope-in-age-environmental-turmoil")</f>
        <v>https://www.psychologytoday.com/blog/the-green-mind/201311/despair-courage-hope-in-age-environmental-turmoil</v>
      </c>
      <c r="Y677" s="38"/>
      <c r="Z677" s="38"/>
      <c r="AA677" s="38"/>
      <c r="AB677" s="38"/>
      <c r="AC677" s="38"/>
      <c r="AD677" s="38"/>
      <c r="AE677" s="38"/>
      <c r="AF677" s="38"/>
      <c r="AG677" s="28"/>
      <c r="AH677" s="28"/>
      <c r="AI677" s="28"/>
      <c r="AJ677" s="28"/>
      <c r="AK677" s="28"/>
      <c r="AL677" s="28" t="s">
        <v>600</v>
      </c>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row>
    <row r="678" ht="25.5" customHeight="1">
      <c r="A678" s="28">
        <v>10099.0</v>
      </c>
      <c r="B678" s="37" t="b">
        <v>1</v>
      </c>
      <c r="C678" s="38" t="s">
        <v>238</v>
      </c>
      <c r="D678" s="38">
        <v>81.0</v>
      </c>
      <c r="E678" s="13" t="b">
        <v>0</v>
      </c>
      <c r="F678" s="13" t="b">
        <v>1</v>
      </c>
      <c r="G678" s="38" t="s">
        <v>224</v>
      </c>
      <c r="H678" s="38"/>
      <c r="I678" s="38" t="s">
        <v>1595</v>
      </c>
      <c r="J678" s="38" t="s">
        <v>2417</v>
      </c>
      <c r="K678" s="38"/>
      <c r="L678" s="38"/>
      <c r="M678" s="38" t="s">
        <v>35</v>
      </c>
      <c r="N678" s="38">
        <v>2000.0</v>
      </c>
      <c r="O678" s="38" t="s">
        <v>2373</v>
      </c>
      <c r="P678" s="40">
        <v>2001.0</v>
      </c>
      <c r="Q678" s="38" t="s">
        <v>111</v>
      </c>
      <c r="R678" s="38">
        <v>41.0</v>
      </c>
      <c r="S678" s="38" t="s">
        <v>2428</v>
      </c>
      <c r="T678" s="38" t="s">
        <v>2429</v>
      </c>
      <c r="U678" s="38" t="s">
        <v>2431</v>
      </c>
      <c r="V678" s="38">
        <v>2012.0</v>
      </c>
      <c r="W678" s="38" t="s">
        <v>2433</v>
      </c>
      <c r="X678" s="49" t="str">
        <f>HYPERLINK("http://valuesandframes.org/initiative/nature/","http://valuesandframes.org/initiative/nature/")</f>
        <v>http://valuesandframes.org/initiative/nature/</v>
      </c>
      <c r="Y678" s="38"/>
      <c r="Z678" s="38"/>
      <c r="AA678" s="38"/>
      <c r="AB678" s="38"/>
      <c r="AC678" s="38"/>
      <c r="AD678" s="38"/>
      <c r="AE678" s="38"/>
      <c r="AF678" s="38"/>
      <c r="AG678" s="28"/>
      <c r="AH678" s="28" t="s">
        <v>2437</v>
      </c>
      <c r="AI678" s="28" t="s">
        <v>2438</v>
      </c>
      <c r="AJ678" s="28"/>
      <c r="AK678" s="28"/>
      <c r="AL678" s="28"/>
      <c r="AM678" s="28"/>
      <c r="AN678" s="28"/>
      <c r="AO678" s="28"/>
      <c r="AP678" s="28"/>
      <c r="AQ678" s="28"/>
      <c r="AR678" s="28"/>
      <c r="AS678" s="28"/>
      <c r="AT678" s="28"/>
      <c r="AU678" s="28"/>
      <c r="AV678" s="28"/>
      <c r="AW678" s="28"/>
      <c r="AX678" s="28"/>
      <c r="AY678" s="28"/>
      <c r="AZ678" s="28" t="s">
        <v>2439</v>
      </c>
      <c r="BA678" s="28"/>
      <c r="BB678" s="28"/>
      <c r="BC678" s="28"/>
      <c r="BD678" s="28"/>
      <c r="BE678" s="28"/>
      <c r="BF678" s="28"/>
      <c r="BG678" s="28"/>
      <c r="BH678" s="28"/>
      <c r="BI678" s="28"/>
      <c r="BJ678" s="28"/>
      <c r="BK678" s="28"/>
      <c r="BL678" s="28"/>
      <c r="BM678" s="28"/>
      <c r="BN678" s="28"/>
      <c r="BO678" s="28"/>
    </row>
    <row r="679" ht="25.5" customHeight="1">
      <c r="A679" s="28">
        <v>28.0</v>
      </c>
      <c r="B679" s="37" t="b">
        <v>1</v>
      </c>
      <c r="C679" s="38" t="s">
        <v>106</v>
      </c>
      <c r="D679" s="38">
        <v>80.0</v>
      </c>
      <c r="E679" s="13" t="b">
        <v>0</v>
      </c>
      <c r="F679" s="13" t="b">
        <v>1</v>
      </c>
      <c r="G679" s="38" t="s">
        <v>224</v>
      </c>
      <c r="H679" s="38"/>
      <c r="I679" s="38" t="s">
        <v>574</v>
      </c>
      <c r="J679" s="38">
        <v>4.0</v>
      </c>
      <c r="K679" s="38" t="s">
        <v>1896</v>
      </c>
      <c r="L679" s="38">
        <v>402.0</v>
      </c>
      <c r="M679" s="38" t="s">
        <v>35</v>
      </c>
      <c r="N679" s="38">
        <v>2000.0</v>
      </c>
      <c r="O679" s="38" t="s">
        <v>578</v>
      </c>
      <c r="P679" s="40"/>
      <c r="Q679" s="38" t="s">
        <v>111</v>
      </c>
      <c r="R679" s="38">
        <v>41.0</v>
      </c>
      <c r="S679" s="38" t="s">
        <v>4081</v>
      </c>
      <c r="T679" s="38" t="s">
        <v>4082</v>
      </c>
      <c r="U679" s="38" t="s">
        <v>4083</v>
      </c>
      <c r="V679" s="38">
        <v>2009.0</v>
      </c>
      <c r="W679" s="38" t="s">
        <v>4084</v>
      </c>
      <c r="X679" s="38"/>
      <c r="Y679" s="38"/>
      <c r="Z679" s="38"/>
      <c r="AA679" s="38"/>
      <c r="AB679" s="38"/>
      <c r="AC679" s="38"/>
      <c r="AD679" s="38"/>
      <c r="AE679" s="38"/>
      <c r="AF679" s="38"/>
      <c r="AG679" s="28"/>
      <c r="AH679" s="28" t="s">
        <v>462</v>
      </c>
      <c r="AI679" s="28" t="s">
        <v>462</v>
      </c>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row>
    <row r="680" ht="25.5" customHeight="1">
      <c r="A680" s="28">
        <v>34.0</v>
      </c>
      <c r="B680" s="37" t="b">
        <v>1</v>
      </c>
      <c r="C680" s="38" t="s">
        <v>106</v>
      </c>
      <c r="D680" s="38">
        <v>80.0</v>
      </c>
      <c r="E680" s="13" t="b">
        <v>0</v>
      </c>
      <c r="F680" s="13" t="b">
        <v>1</v>
      </c>
      <c r="G680" s="38" t="s">
        <v>224</v>
      </c>
      <c r="H680" s="38"/>
      <c r="I680" s="38" t="s">
        <v>574</v>
      </c>
      <c r="J680" s="38">
        <v>4.0</v>
      </c>
      <c r="K680" s="38" t="s">
        <v>224</v>
      </c>
      <c r="L680" s="38"/>
      <c r="M680" s="38" t="s">
        <v>35</v>
      </c>
      <c r="N680" s="38">
        <v>2000.0</v>
      </c>
      <c r="O680" s="38" t="s">
        <v>578</v>
      </c>
      <c r="P680" s="40"/>
      <c r="Q680" s="38" t="s">
        <v>3326</v>
      </c>
      <c r="R680" s="38">
        <v>45.0</v>
      </c>
      <c r="S680" s="38" t="s">
        <v>4104</v>
      </c>
      <c r="T680" s="38" t="s">
        <v>4105</v>
      </c>
      <c r="U680" s="38" t="s">
        <v>4083</v>
      </c>
      <c r="V680" s="38">
        <v>2010.0</v>
      </c>
      <c r="W680" s="38" t="s">
        <v>4109</v>
      </c>
      <c r="X680" s="38"/>
      <c r="Y680" s="38"/>
      <c r="Z680" s="38"/>
      <c r="AA680" s="38"/>
      <c r="AB680" s="38"/>
      <c r="AC680" s="38"/>
      <c r="AD680" s="38"/>
      <c r="AE680" s="38"/>
      <c r="AF680" s="38"/>
      <c r="AG680" s="28"/>
      <c r="AH680" s="28" t="s">
        <v>462</v>
      </c>
      <c r="AI680" s="28" t="s">
        <v>462</v>
      </c>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row>
    <row r="681" ht="25.5" customHeight="1">
      <c r="A681" s="28">
        <v>192.0</v>
      </c>
      <c r="B681" s="37" t="b">
        <v>1</v>
      </c>
      <c r="C681" s="38" t="s">
        <v>106</v>
      </c>
      <c r="D681" s="38">
        <v>80.0</v>
      </c>
      <c r="E681" s="13" t="b">
        <v>0</v>
      </c>
      <c r="F681" s="13" t="b">
        <v>1</v>
      </c>
      <c r="G681" s="38" t="s">
        <v>224</v>
      </c>
      <c r="H681" s="38"/>
      <c r="I681" s="38" t="s">
        <v>429</v>
      </c>
      <c r="J681" s="38">
        <v>2.0</v>
      </c>
      <c r="K681" s="38" t="s">
        <v>524</v>
      </c>
      <c r="L681" s="38">
        <v>205.0</v>
      </c>
      <c r="M681" s="38" t="s">
        <v>388</v>
      </c>
      <c r="N681" s="38">
        <v>14000.0</v>
      </c>
      <c r="O681" s="38" t="s">
        <v>224</v>
      </c>
      <c r="P681" s="40"/>
      <c r="Q681" s="38" t="s">
        <v>2012</v>
      </c>
      <c r="R681" s="38" t="s">
        <v>2013</v>
      </c>
      <c r="S681" s="38" t="s">
        <v>5388</v>
      </c>
      <c r="T681" s="38" t="s">
        <v>5389</v>
      </c>
      <c r="U681" s="38" t="s">
        <v>5390</v>
      </c>
      <c r="V681" s="38">
        <v>2001.0</v>
      </c>
      <c r="W681" s="38" t="s">
        <v>5406</v>
      </c>
      <c r="X681" s="49" t="str">
        <f>HYPERLINK("http://www.retirementmadesimpler.org/Library/The%20Power%20of%20Suggestion-%20Inertia%20in%20401(k).pdf","http://www.retirementmadesimpler.org/Library/The%20Power%20of%20Suggestion-%20Inertia%20in%20401(k).pdf")</f>
        <v>http://www.retirementmadesimpler.org/Library/The%20Power%20of%20Suggestion-%20Inertia%20in%20401(k).pdf</v>
      </c>
      <c r="Y681" s="38"/>
      <c r="Z681" s="38"/>
      <c r="AA681" s="38"/>
      <c r="AB681" s="38"/>
      <c r="AC681" s="38"/>
      <c r="AD681" s="38"/>
      <c r="AE681" s="38"/>
      <c r="AF681" s="38"/>
      <c r="AG681" s="28"/>
      <c r="AH681" s="28" t="s">
        <v>462</v>
      </c>
      <c r="AI681" s="28" t="s">
        <v>462</v>
      </c>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row>
    <row r="682" ht="25.5" customHeight="1">
      <c r="A682" s="28">
        <v>199.0</v>
      </c>
      <c r="B682" s="37" t="b">
        <v>1</v>
      </c>
      <c r="C682" s="38" t="s">
        <v>106</v>
      </c>
      <c r="D682" s="38">
        <v>80.0</v>
      </c>
      <c r="E682" s="13" t="b">
        <v>0</v>
      </c>
      <c r="F682" s="13" t="b">
        <v>1</v>
      </c>
      <c r="G682" s="38" t="s">
        <v>224</v>
      </c>
      <c r="H682" s="38"/>
      <c r="I682" s="38" t="s">
        <v>429</v>
      </c>
      <c r="J682" s="38">
        <v>2.0</v>
      </c>
      <c r="K682" s="38" t="s">
        <v>524</v>
      </c>
      <c r="L682" s="62">
        <v>205.0</v>
      </c>
      <c r="M682" s="38" t="s">
        <v>388</v>
      </c>
      <c r="N682" s="38">
        <v>14000.0</v>
      </c>
      <c r="O682" s="38" t="s">
        <v>224</v>
      </c>
      <c r="P682" s="40"/>
      <c r="Q682" s="38" t="s">
        <v>289</v>
      </c>
      <c r="R682" s="38">
        <v>40.0</v>
      </c>
      <c r="S682" s="38" t="s">
        <v>5474</v>
      </c>
      <c r="T682" s="38" t="s">
        <v>5477</v>
      </c>
      <c r="U682" s="38" t="s">
        <v>5390</v>
      </c>
      <c r="V682" s="38">
        <v>2009.0</v>
      </c>
      <c r="W682" s="38" t="s">
        <v>5479</v>
      </c>
      <c r="X682" s="38" t="s">
        <v>5480</v>
      </c>
      <c r="Y682" s="38"/>
      <c r="Z682" s="38"/>
      <c r="AA682" s="38"/>
      <c r="AB682" s="38"/>
      <c r="AC682" s="38"/>
      <c r="AD682" s="38"/>
      <c r="AE682" s="38"/>
      <c r="AF682" s="38"/>
      <c r="AG682" s="28"/>
      <c r="AH682" s="28" t="s">
        <v>462</v>
      </c>
      <c r="AI682" s="28" t="s">
        <v>462</v>
      </c>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row>
    <row r="683" ht="25.5" customHeight="1">
      <c r="A683" s="28">
        <v>94.0</v>
      </c>
      <c r="B683" s="37" t="b">
        <v>1</v>
      </c>
      <c r="C683" s="38" t="s">
        <v>106</v>
      </c>
      <c r="D683" s="38">
        <v>80.0</v>
      </c>
      <c r="E683" s="13" t="b">
        <v>0</v>
      </c>
      <c r="F683" s="13" t="b">
        <v>1</v>
      </c>
      <c r="G683" s="38" t="s">
        <v>224</v>
      </c>
      <c r="H683" s="38"/>
      <c r="I683" s="38" t="s">
        <v>756</v>
      </c>
      <c r="J683" s="38" t="s">
        <v>757</v>
      </c>
      <c r="K683" s="38" t="s">
        <v>224</v>
      </c>
      <c r="L683" s="38"/>
      <c r="M683" s="38" t="s">
        <v>107</v>
      </c>
      <c r="N683" s="38">
        <v>3000.0</v>
      </c>
      <c r="O683" s="38" t="s">
        <v>470</v>
      </c>
      <c r="P683" s="40"/>
      <c r="Q683" s="38" t="s">
        <v>289</v>
      </c>
      <c r="R683" s="38">
        <v>40.0</v>
      </c>
      <c r="S683" s="38" t="s">
        <v>4543</v>
      </c>
      <c r="T683" s="38" t="s">
        <v>4544</v>
      </c>
      <c r="U683" s="38" t="s">
        <v>4545</v>
      </c>
      <c r="V683" s="61">
        <v>2008.0</v>
      </c>
      <c r="W683" s="38" t="s">
        <v>4547</v>
      </c>
      <c r="X683" s="38" t="s">
        <v>4549</v>
      </c>
      <c r="Y683" s="38"/>
      <c r="Z683" s="38"/>
      <c r="AA683" s="38"/>
      <c r="AB683" s="38"/>
      <c r="AC683" s="38"/>
      <c r="AD683" s="38"/>
      <c r="AE683" s="38"/>
      <c r="AF683" s="3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row>
    <row r="684" ht="25.5" customHeight="1">
      <c r="A684" s="28">
        <v>238.0</v>
      </c>
      <c r="B684" s="37" t="b">
        <v>1</v>
      </c>
      <c r="C684" s="38" t="s">
        <v>106</v>
      </c>
      <c r="D684" s="38">
        <v>80.0</v>
      </c>
      <c r="E684" s="13" t="b">
        <v>0</v>
      </c>
      <c r="F684" s="13" t="b">
        <v>1</v>
      </c>
      <c r="G684" s="38" t="s">
        <v>224</v>
      </c>
      <c r="H684" s="38"/>
      <c r="I684" s="38" t="s">
        <v>5644</v>
      </c>
      <c r="J684" s="38" t="s">
        <v>3347</v>
      </c>
      <c r="K684" s="38" t="s">
        <v>5645</v>
      </c>
      <c r="L684" s="38" t="s">
        <v>6351</v>
      </c>
      <c r="M684" s="38" t="s">
        <v>3494</v>
      </c>
      <c r="N684" s="38">
        <v>22000.0</v>
      </c>
      <c r="O684" s="38" t="s">
        <v>3495</v>
      </c>
      <c r="P684" s="40"/>
      <c r="Q684" s="38" t="s">
        <v>289</v>
      </c>
      <c r="R684" s="38">
        <v>40.0</v>
      </c>
      <c r="S684" s="38" t="s">
        <v>5646</v>
      </c>
      <c r="T684" s="38" t="s">
        <v>5647</v>
      </c>
      <c r="U684" s="38" t="s">
        <v>5648</v>
      </c>
      <c r="V684" s="38">
        <v>1993.0</v>
      </c>
      <c r="W684" s="38" t="s">
        <v>5649</v>
      </c>
      <c r="X684" s="38" t="s">
        <v>5650</v>
      </c>
      <c r="Y684" s="38"/>
      <c r="Z684" s="38"/>
      <c r="AA684" s="38"/>
      <c r="AB684" s="38"/>
      <c r="AC684" s="38"/>
      <c r="AD684" s="38"/>
      <c r="AE684" s="38"/>
      <c r="AF684" s="38"/>
      <c r="AG684" s="28"/>
      <c r="AH684" s="28" t="s">
        <v>462</v>
      </c>
      <c r="AI684" s="28" t="s">
        <v>462</v>
      </c>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row>
    <row r="685" ht="25.5" customHeight="1">
      <c r="A685" s="28">
        <v>10245.0</v>
      </c>
      <c r="B685" s="37" t="b">
        <v>1</v>
      </c>
      <c r="C685" s="38" t="s">
        <v>238</v>
      </c>
      <c r="D685" s="38">
        <v>81.0</v>
      </c>
      <c r="E685" s="13" t="b">
        <v>0</v>
      </c>
      <c r="F685" s="13" t="b">
        <v>1</v>
      </c>
      <c r="G685" s="38" t="s">
        <v>224</v>
      </c>
      <c r="H685" s="38"/>
      <c r="I685" s="38" t="s">
        <v>429</v>
      </c>
      <c r="J685" s="38">
        <v>2.0</v>
      </c>
      <c r="K685" s="38"/>
      <c r="L685" s="38"/>
      <c r="M685" s="38" t="s">
        <v>388</v>
      </c>
      <c r="N685" s="38">
        <v>14000.0</v>
      </c>
      <c r="O685" s="38" t="s">
        <v>224</v>
      </c>
      <c r="P685" s="40"/>
      <c r="Q685" s="38" t="s">
        <v>289</v>
      </c>
      <c r="R685" s="38">
        <v>40.0</v>
      </c>
      <c r="S685" s="38" t="s">
        <v>3749</v>
      </c>
      <c r="T685" s="38" t="s">
        <v>3750</v>
      </c>
      <c r="U685" s="38" t="s">
        <v>3751</v>
      </c>
      <c r="V685" s="55">
        <v>42137.0</v>
      </c>
      <c r="W685" s="38" t="s">
        <v>1124</v>
      </c>
      <c r="X685" s="49" t="str">
        <f>HYPERLINK("http://www.regblog.org/2015/05/13/punchak-behavioral-science/","http://www.regblog.org/2015/05/13/punchak-behavioral-science/")</f>
        <v>http://www.regblog.org/2015/05/13/punchak-behavioral-science/</v>
      </c>
      <c r="Y685" s="38"/>
      <c r="Z685" s="38"/>
      <c r="AA685" s="38"/>
      <c r="AB685" s="38"/>
      <c r="AC685" s="38"/>
      <c r="AD685" s="38"/>
      <c r="AE685" s="38"/>
      <c r="AF685" s="38"/>
      <c r="AG685" s="28"/>
      <c r="AH685" s="28" t="s">
        <v>462</v>
      </c>
      <c r="AI685" s="28" t="s">
        <v>462</v>
      </c>
      <c r="AJ685" s="28"/>
      <c r="AK685" s="28" t="s">
        <v>676</v>
      </c>
      <c r="AL685" s="28" t="s">
        <v>769</v>
      </c>
      <c r="AM685" s="28" t="s">
        <v>3753</v>
      </c>
      <c r="AN685" s="54">
        <v>42213.0</v>
      </c>
      <c r="AO685" s="54"/>
      <c r="AP685" s="54">
        <v>42577.0</v>
      </c>
      <c r="AQ685" s="28" t="s">
        <v>769</v>
      </c>
      <c r="AR685" s="28"/>
      <c r="AS685" s="54">
        <v>42208.0</v>
      </c>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row>
    <row r="686" ht="25.5" customHeight="1">
      <c r="A686" s="28">
        <v>263.0</v>
      </c>
      <c r="B686" s="37" t="b">
        <v>1</v>
      </c>
      <c r="C686" s="38" t="s">
        <v>106</v>
      </c>
      <c r="D686" s="38">
        <v>80.0</v>
      </c>
      <c r="E686" s="13" t="b">
        <v>0</v>
      </c>
      <c r="F686" s="13" t="b">
        <v>1</v>
      </c>
      <c r="G686" s="38" t="s">
        <v>224</v>
      </c>
      <c r="H686" s="38"/>
      <c r="I686" s="38" t="s">
        <v>536</v>
      </c>
      <c r="J686" s="38">
        <v>3.0</v>
      </c>
      <c r="K686" s="38" t="s">
        <v>603</v>
      </c>
      <c r="L686" s="38">
        <v>304.0</v>
      </c>
      <c r="M686" s="38" t="s">
        <v>107</v>
      </c>
      <c r="N686" s="38">
        <v>3000.0</v>
      </c>
      <c r="O686" s="38" t="s">
        <v>470</v>
      </c>
      <c r="P686" s="40"/>
      <c r="Q686" s="38" t="s">
        <v>289</v>
      </c>
      <c r="R686" s="38">
        <v>40.0</v>
      </c>
      <c r="S686" s="38" t="s">
        <v>5693</v>
      </c>
      <c r="T686" s="38" t="s">
        <v>5694</v>
      </c>
      <c r="U686" s="38" t="s">
        <v>5695</v>
      </c>
      <c r="V686" s="38">
        <v>2011.0</v>
      </c>
      <c r="W686" s="38" t="s">
        <v>5703</v>
      </c>
      <c r="X686" s="38" t="s">
        <v>5704</v>
      </c>
      <c r="Y686" s="38"/>
      <c r="Z686" s="38"/>
      <c r="AA686" s="38"/>
      <c r="AB686" s="38"/>
      <c r="AC686" s="38"/>
      <c r="AD686" s="38"/>
      <c r="AE686" s="38"/>
      <c r="AF686" s="38"/>
      <c r="AG686" s="28" t="s">
        <v>5705</v>
      </c>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row>
    <row r="687" ht="25.5" customHeight="1">
      <c r="A687" s="28">
        <v>10369.0</v>
      </c>
      <c r="B687" s="37" t="b">
        <v>1</v>
      </c>
      <c r="C687" s="38" t="s">
        <v>238</v>
      </c>
      <c r="D687" s="38">
        <v>81.0</v>
      </c>
      <c r="E687" s="13" t="b">
        <v>0</v>
      </c>
      <c r="F687" s="13" t="b">
        <v>1</v>
      </c>
      <c r="G687" s="38" t="s">
        <v>224</v>
      </c>
      <c r="H687" s="38"/>
      <c r="I687" s="38" t="s">
        <v>712</v>
      </c>
      <c r="J687" s="38">
        <v>7.0</v>
      </c>
      <c r="K687" s="38"/>
      <c r="L687" s="38"/>
      <c r="M687" s="38" t="s">
        <v>388</v>
      </c>
      <c r="N687" s="38">
        <v>14000.0</v>
      </c>
      <c r="O687" s="38" t="s">
        <v>224</v>
      </c>
      <c r="P687" s="40"/>
      <c r="Q687" s="38" t="s">
        <v>324</v>
      </c>
      <c r="R687" s="38" t="s">
        <v>325</v>
      </c>
      <c r="S687" s="38" t="s">
        <v>4815</v>
      </c>
      <c r="T687" s="38" t="s">
        <v>4816</v>
      </c>
      <c r="U687" s="38" t="s">
        <v>4817</v>
      </c>
      <c r="V687" s="55">
        <v>41887.0</v>
      </c>
      <c r="W687" s="38" t="s">
        <v>4819</v>
      </c>
      <c r="X687" s="49" t="str">
        <f>HYPERLINK("http://www.research-live.com/features/motivations-and-money-raising-in-a-social-media-world/4012202.article","http://www.research-live.com/features/motivations-and-money-raising-in-a-social-media-world/4012202.article")</f>
        <v>http://www.research-live.com/features/motivations-and-money-raising-in-a-social-media-world/4012202.article</v>
      </c>
      <c r="Y687" s="38"/>
      <c r="Z687" s="38"/>
      <c r="AA687" s="38"/>
      <c r="AB687" s="38"/>
      <c r="AC687" s="38"/>
      <c r="AD687" s="38"/>
      <c r="AE687" s="38"/>
      <c r="AF687" s="38"/>
      <c r="AG687" s="28"/>
      <c r="AH687" s="28" t="s">
        <v>462</v>
      </c>
      <c r="AI687" s="28" t="s">
        <v>462</v>
      </c>
      <c r="AJ687" s="28"/>
      <c r="AK687" s="28"/>
      <c r="AL687" s="28" t="s">
        <v>769</v>
      </c>
      <c r="AM687" s="28" t="s">
        <v>4824</v>
      </c>
      <c r="AN687" s="54">
        <v>41900.0</v>
      </c>
      <c r="AO687" s="54"/>
      <c r="AP687" s="28"/>
      <c r="AQ687" s="28" t="s">
        <v>530</v>
      </c>
      <c r="AR687" s="28"/>
      <c r="AS687" s="54"/>
      <c r="AT687" s="28"/>
      <c r="AU687" s="28"/>
      <c r="AV687" s="28"/>
      <c r="AW687" s="28"/>
      <c r="AX687" s="28"/>
      <c r="AY687" s="28"/>
      <c r="AZ687" s="28" t="s">
        <v>2670</v>
      </c>
      <c r="BA687" s="28"/>
      <c r="BB687" s="28"/>
      <c r="BC687" s="28"/>
      <c r="BD687" s="28"/>
      <c r="BE687" s="28"/>
      <c r="BF687" s="28"/>
      <c r="BG687" s="28"/>
      <c r="BH687" s="28"/>
      <c r="BI687" s="28"/>
      <c r="BJ687" s="28"/>
      <c r="BK687" s="28"/>
      <c r="BL687" s="28"/>
      <c r="BM687" s="28"/>
      <c r="BN687" s="28"/>
      <c r="BO687" s="28"/>
    </row>
    <row r="688" ht="25.5" customHeight="1">
      <c r="A688" s="28">
        <v>423.0</v>
      </c>
      <c r="B688" s="37" t="b">
        <v>1</v>
      </c>
      <c r="C688" s="38" t="s">
        <v>106</v>
      </c>
      <c r="D688" s="38">
        <v>80.0</v>
      </c>
      <c r="E688" s="13" t="b">
        <v>0</v>
      </c>
      <c r="F688" s="13" t="b">
        <v>1</v>
      </c>
      <c r="G688" s="38" t="s">
        <v>224</v>
      </c>
      <c r="H688" s="38"/>
      <c r="I688" s="38" t="s">
        <v>387</v>
      </c>
      <c r="J688" s="38">
        <v>8.0</v>
      </c>
      <c r="K688" s="38" t="s">
        <v>6342</v>
      </c>
      <c r="L688" s="38" t="s">
        <v>6369</v>
      </c>
      <c r="M688" s="38" t="s">
        <v>239</v>
      </c>
      <c r="N688" s="38">
        <v>4000.0</v>
      </c>
      <c r="O688" s="38" t="s">
        <v>605</v>
      </c>
      <c r="P688" s="40"/>
      <c r="Q688" s="38" t="s">
        <v>289</v>
      </c>
      <c r="R688" s="38">
        <v>40.0</v>
      </c>
      <c r="S688" s="38" t="s">
        <v>6343</v>
      </c>
      <c r="T688" s="38" t="s">
        <v>188</v>
      </c>
      <c r="U688" s="38" t="s">
        <v>2108</v>
      </c>
      <c r="V688" s="38">
        <v>2015.0</v>
      </c>
      <c r="W688" s="38" t="s">
        <v>753</v>
      </c>
      <c r="X688" s="38" t="s">
        <v>6346</v>
      </c>
      <c r="Y688" s="38"/>
      <c r="Z688" s="38"/>
      <c r="AA688" s="38"/>
      <c r="AB688" s="38"/>
      <c r="AC688" s="38"/>
      <c r="AD688" s="38"/>
      <c r="AE688" s="38"/>
      <c r="AF688" s="38"/>
      <c r="AG688" s="28"/>
      <c r="AH688" s="28" t="s">
        <v>6347</v>
      </c>
      <c r="AI688" s="28"/>
      <c r="AJ688" s="28"/>
      <c r="AK688" s="28" t="s">
        <v>3156</v>
      </c>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row>
    <row r="689" ht="25.5" customHeight="1">
      <c r="A689" s="28">
        <v>450.0</v>
      </c>
      <c r="B689" s="37" t="b">
        <v>1</v>
      </c>
      <c r="C689" s="38" t="s">
        <v>106</v>
      </c>
      <c r="D689" s="38">
        <v>80.0</v>
      </c>
      <c r="E689" s="13" t="b">
        <v>0</v>
      </c>
      <c r="F689" s="13" t="b">
        <v>1</v>
      </c>
      <c r="G689" s="38" t="s">
        <v>224</v>
      </c>
      <c r="H689" s="38"/>
      <c r="I689" s="38" t="s">
        <v>387</v>
      </c>
      <c r="J689" s="38">
        <v>8.0</v>
      </c>
      <c r="K689" s="65" t="s">
        <v>6375</v>
      </c>
      <c r="L689" s="38">
        <v>806.0</v>
      </c>
      <c r="M689" s="38" t="s">
        <v>388</v>
      </c>
      <c r="N689" s="38">
        <v>14000.0</v>
      </c>
      <c r="O689" s="38" t="s">
        <v>224</v>
      </c>
      <c r="P689" s="40"/>
      <c r="Q689" s="38" t="s">
        <v>289</v>
      </c>
      <c r="R689" s="38">
        <v>40.0</v>
      </c>
      <c r="S689" s="38" t="s">
        <v>6376</v>
      </c>
      <c r="T689" s="38" t="s">
        <v>188</v>
      </c>
      <c r="U689" s="38" t="s">
        <v>2108</v>
      </c>
      <c r="V689" s="61">
        <v>2013.0</v>
      </c>
      <c r="W689" s="38" t="s">
        <v>6377</v>
      </c>
      <c r="X689" s="38" t="s">
        <v>6378</v>
      </c>
      <c r="Y689" s="38"/>
      <c r="Z689" s="38"/>
      <c r="AA689" s="38"/>
      <c r="AB689" s="38"/>
      <c r="AC689" s="38"/>
      <c r="AD689" s="38"/>
      <c r="AE689" s="38"/>
      <c r="AF689" s="3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row>
    <row r="690" ht="25.5" customHeight="1">
      <c r="A690" s="28">
        <v>10083.0</v>
      </c>
      <c r="B690" s="37" t="b">
        <v>1</v>
      </c>
      <c r="C690" s="38" t="s">
        <v>238</v>
      </c>
      <c r="D690" s="38">
        <v>81.0</v>
      </c>
      <c r="E690" s="13" t="b">
        <v>0</v>
      </c>
      <c r="F690" s="13" t="b">
        <v>1</v>
      </c>
      <c r="G690" s="38" t="s">
        <v>224</v>
      </c>
      <c r="H690" s="38"/>
      <c r="I690" s="38" t="s">
        <v>574</v>
      </c>
      <c r="J690" s="38">
        <v>4.0</v>
      </c>
      <c r="K690" s="38"/>
      <c r="L690" s="38"/>
      <c r="M690" s="38" t="s">
        <v>6379</v>
      </c>
      <c r="N690" s="38" t="s">
        <v>2189</v>
      </c>
      <c r="O690" s="38" t="s">
        <v>2188</v>
      </c>
      <c r="P690" s="40"/>
      <c r="Q690" s="38" t="s">
        <v>289</v>
      </c>
      <c r="R690" s="38">
        <v>40.0</v>
      </c>
      <c r="S690" s="38" t="s">
        <v>2190</v>
      </c>
      <c r="T690" s="38" t="s">
        <v>2191</v>
      </c>
      <c r="U690" s="38" t="s">
        <v>2108</v>
      </c>
      <c r="V690" s="55">
        <v>41990.0</v>
      </c>
      <c r="W690" s="38" t="s">
        <v>2192</v>
      </c>
      <c r="X690" s="49" t="str">
        <f>HYPERLINK("http://www.resource-media.org/3-lessons-from-testing-images-and-appeals-for-online-action-in-2014/","http://www.resource-media.org/3-lessons-from-testing-images-and-appeals-for-online-action-in-2014/")</f>
        <v>http://www.resource-media.org/3-lessons-from-testing-images-and-appeals-for-online-action-in-2014/</v>
      </c>
      <c r="Y690" s="38"/>
      <c r="Z690" s="38"/>
      <c r="AA690" s="38"/>
      <c r="AB690" s="38"/>
      <c r="AC690" s="38"/>
      <c r="AD690" s="38"/>
      <c r="AE690" s="38"/>
      <c r="AF690" s="38"/>
      <c r="AG690" s="28"/>
      <c r="AH690" s="28" t="s">
        <v>462</v>
      </c>
      <c r="AI690" s="28" t="s">
        <v>462</v>
      </c>
      <c r="AJ690" s="28"/>
      <c r="AK690" s="28" t="s">
        <v>1099</v>
      </c>
      <c r="AL690" s="28" t="s">
        <v>600</v>
      </c>
      <c r="AM690" s="28"/>
      <c r="AN690" s="28"/>
      <c r="AO690" s="28"/>
      <c r="AP690" s="28"/>
      <c r="AQ690" s="28"/>
      <c r="AR690" s="28"/>
      <c r="AS690" s="28"/>
      <c r="AT690" s="28"/>
      <c r="AU690" s="28"/>
      <c r="AV690" s="28"/>
      <c r="AW690" s="28"/>
      <c r="AX690" s="28"/>
      <c r="AY690" s="28"/>
      <c r="AZ690" s="28"/>
      <c r="BA690" s="28" t="s">
        <v>2197</v>
      </c>
      <c r="BB690" s="28"/>
      <c r="BC690" s="28"/>
      <c r="BD690" s="28"/>
      <c r="BE690" s="28"/>
      <c r="BF690" s="28"/>
      <c r="BG690" s="28"/>
      <c r="BH690" s="28"/>
      <c r="BI690" s="28"/>
      <c r="BJ690" s="28"/>
      <c r="BK690" s="28"/>
      <c r="BL690" s="28"/>
      <c r="BM690" s="28"/>
      <c r="BN690" s="28"/>
      <c r="BO690" s="28"/>
    </row>
    <row r="691" ht="25.5" customHeight="1">
      <c r="A691" s="28">
        <v>10075.0</v>
      </c>
      <c r="B691" s="37" t="b">
        <v>1</v>
      </c>
      <c r="C691" s="38" t="s">
        <v>238</v>
      </c>
      <c r="D691" s="38">
        <v>81.0</v>
      </c>
      <c r="E691" s="13" t="b">
        <v>0</v>
      </c>
      <c r="F691" s="13" t="b">
        <v>1</v>
      </c>
      <c r="G691" s="38" t="s">
        <v>224</v>
      </c>
      <c r="H691" s="38"/>
      <c r="I691" s="38" t="s">
        <v>574</v>
      </c>
      <c r="J691" s="38">
        <v>4.0</v>
      </c>
      <c r="K691" s="38"/>
      <c r="L691" s="38"/>
      <c r="M691" s="38" t="s">
        <v>321</v>
      </c>
      <c r="N691" s="38">
        <v>7000.0</v>
      </c>
      <c r="O691" s="38" t="s">
        <v>2103</v>
      </c>
      <c r="P691" s="40"/>
      <c r="Q691" s="38" t="s">
        <v>289</v>
      </c>
      <c r="R691" s="38">
        <v>40.0</v>
      </c>
      <c r="S691" s="61" t="s">
        <v>2105</v>
      </c>
      <c r="T691" s="38" t="s">
        <v>2107</v>
      </c>
      <c r="U691" s="38" t="s">
        <v>2108</v>
      </c>
      <c r="V691" s="55">
        <v>42342.0</v>
      </c>
      <c r="W691" s="38" t="s">
        <v>2109</v>
      </c>
      <c r="X691" s="49" t="str">
        <f>HYPERLINK("http://www.resource-media.org/moving-beyond-organic-versus-conventional-when-it-comes-to-feeding-the-world/#.V09S1fkrLIU","http://www.resource-media.org/moving-beyond-organic-versus-conventional-when-it-comes-to-feeding-the-world/#.V09S1fkrLIU")</f>
        <v>http://www.resource-media.org/moving-beyond-organic-versus-conventional-when-it-comes-to-feeding-the-world/#.V09S1fkrLIU</v>
      </c>
      <c r="Y691" s="38"/>
      <c r="Z691" s="38"/>
      <c r="AA691" s="38"/>
      <c r="AB691" s="38"/>
      <c r="AC691" s="38"/>
      <c r="AD691" s="38"/>
      <c r="AE691" s="38"/>
      <c r="AF691" s="38"/>
      <c r="AG691" s="28"/>
      <c r="AH691" s="28"/>
      <c r="AI691" s="28"/>
      <c r="AJ691" s="28"/>
      <c r="AK691" s="28"/>
      <c r="AL691" s="28" t="s">
        <v>769</v>
      </c>
      <c r="AM691" s="28" t="s">
        <v>2114</v>
      </c>
      <c r="AN691" s="54">
        <v>42691.0</v>
      </c>
      <c r="AO691" s="54"/>
      <c r="AP691" s="28"/>
      <c r="AQ691" s="28"/>
      <c r="AR691" s="28"/>
      <c r="AS691" s="28"/>
      <c r="AT691" s="28"/>
      <c r="AU691" s="28"/>
      <c r="AV691" s="28"/>
      <c r="AW691" s="28"/>
      <c r="AX691" s="28"/>
      <c r="AY691" s="28" t="s">
        <v>428</v>
      </c>
      <c r="AZ691" s="28"/>
      <c r="BA691" s="28"/>
      <c r="BB691" s="28"/>
      <c r="BC691" s="28"/>
      <c r="BD691" s="28"/>
      <c r="BE691" s="28"/>
      <c r="BF691" s="28"/>
      <c r="BG691" s="28"/>
      <c r="BH691" s="28"/>
      <c r="BI691" s="28"/>
      <c r="BJ691" s="28"/>
      <c r="BK691" s="28"/>
      <c r="BL691" s="28"/>
      <c r="BM691" s="28"/>
      <c r="BN691" s="28"/>
      <c r="BO691" s="28"/>
    </row>
    <row r="692" ht="25.5" customHeight="1">
      <c r="A692" s="28">
        <v>10253.0</v>
      </c>
      <c r="B692" s="37" t="b">
        <v>1</v>
      </c>
      <c r="C692" s="38" t="s">
        <v>238</v>
      </c>
      <c r="D692" s="38">
        <v>81.0</v>
      </c>
      <c r="E692" s="13" t="b">
        <v>0</v>
      </c>
      <c r="F692" s="13" t="b">
        <v>1</v>
      </c>
      <c r="G692" s="38" t="s">
        <v>224</v>
      </c>
      <c r="H692" s="38"/>
      <c r="I692" s="38" t="s">
        <v>429</v>
      </c>
      <c r="J692" s="38">
        <v>2.0</v>
      </c>
      <c r="K692" s="38"/>
      <c r="L692" s="38"/>
      <c r="M692" s="38" t="s">
        <v>321</v>
      </c>
      <c r="N692" s="38">
        <v>7000.0</v>
      </c>
      <c r="O692" s="38" t="s">
        <v>445</v>
      </c>
      <c r="P692" s="40"/>
      <c r="Q692" s="38" t="s">
        <v>289</v>
      </c>
      <c r="R692" s="38">
        <v>40.0</v>
      </c>
      <c r="S692" s="61" t="s">
        <v>3788</v>
      </c>
      <c r="T692" s="38" t="s">
        <v>3789</v>
      </c>
      <c r="U692" s="38" t="s">
        <v>2108</v>
      </c>
      <c r="V692" s="55">
        <v>42284.0</v>
      </c>
      <c r="W692" s="38" t="s">
        <v>3790</v>
      </c>
      <c r="X692" s="49" t="str">
        <f>HYPERLINK("http://www.resource-media.org/universities-leading-the-charge-on-food-waste/#.V09TIvkrLIU","http://www.resource-media.org/universities-leading-the-charge-on-food-waste/#.V09TIvkrLIU")</f>
        <v>http://www.resource-media.org/universities-leading-the-charge-on-food-waste/#.V09TIvkrLIU</v>
      </c>
      <c r="Y692" s="38"/>
      <c r="Z692" s="38"/>
      <c r="AA692" s="38"/>
      <c r="AB692" s="38"/>
      <c r="AC692" s="38"/>
      <c r="AD692" s="38"/>
      <c r="AE692" s="38"/>
      <c r="AF692" s="38"/>
      <c r="AG692" s="28"/>
      <c r="AH692" s="28"/>
      <c r="AI692" s="28"/>
      <c r="AJ692" s="28"/>
      <c r="AK692" s="28"/>
      <c r="AL692" s="28" t="s">
        <v>769</v>
      </c>
      <c r="AM692" s="28" t="s">
        <v>3791</v>
      </c>
      <c r="AN692" s="54">
        <v>42677.0</v>
      </c>
      <c r="AO692" s="54"/>
      <c r="AP692" s="28"/>
      <c r="AQ692" s="28"/>
      <c r="AR692" s="28"/>
      <c r="AS692" s="28"/>
      <c r="AT692" s="28"/>
      <c r="AU692" s="28"/>
      <c r="AV692" s="28"/>
      <c r="AW692" s="28"/>
      <c r="AX692" s="28"/>
      <c r="AY692" s="28" t="s">
        <v>428</v>
      </c>
      <c r="AZ692" s="28" t="s">
        <v>1101</v>
      </c>
      <c r="BA692" s="28"/>
      <c r="BB692" s="28"/>
      <c r="BC692" s="28"/>
      <c r="BD692" s="28"/>
      <c r="BE692" s="28"/>
      <c r="BF692" s="28"/>
      <c r="BG692" s="28"/>
      <c r="BH692" s="28"/>
      <c r="BI692" s="28"/>
      <c r="BJ692" s="28"/>
      <c r="BK692" s="28"/>
      <c r="BL692" s="28"/>
      <c r="BM692" s="28"/>
      <c r="BN692" s="28"/>
      <c r="BO692" s="28"/>
    </row>
    <row r="693" ht="25.5" customHeight="1">
      <c r="A693" s="28">
        <v>10393.0</v>
      </c>
      <c r="B693" s="37" t="b">
        <v>1</v>
      </c>
      <c r="C693" s="38" t="s">
        <v>238</v>
      </c>
      <c r="D693" s="38">
        <v>81.0</v>
      </c>
      <c r="E693" s="13" t="b">
        <v>0</v>
      </c>
      <c r="F693" s="13" t="b">
        <v>1</v>
      </c>
      <c r="G693" s="38" t="s">
        <v>224</v>
      </c>
      <c r="H693" s="38"/>
      <c r="I693" s="38" t="s">
        <v>3651</v>
      </c>
      <c r="J693" s="38" t="s">
        <v>1231</v>
      </c>
      <c r="K693" s="38"/>
      <c r="L693" s="38"/>
      <c r="M693" s="38" t="s">
        <v>321</v>
      </c>
      <c r="N693" s="38">
        <v>7000.0</v>
      </c>
      <c r="O693" s="38" t="s">
        <v>445</v>
      </c>
      <c r="P693" s="40"/>
      <c r="Q693" s="38" t="s">
        <v>289</v>
      </c>
      <c r="R693" s="38">
        <v>40.0</v>
      </c>
      <c r="S693" s="61" t="s">
        <v>5052</v>
      </c>
      <c r="T693" s="38" t="s">
        <v>3789</v>
      </c>
      <c r="U693" s="38" t="s">
        <v>2108</v>
      </c>
      <c r="V693" s="55">
        <v>42289.0</v>
      </c>
      <c r="W693" s="38" t="s">
        <v>5053</v>
      </c>
      <c r="X693" s="49" t="str">
        <f>HYPERLINK("http://www.resource-media.org/food-waste-on-twitter-lots-of-talk-but-can-we-get-some-action/#.V09TH_krLIU","http://www.resource-media.org/food-waste-on-twitter-lots-of-talk-but-can-we-get-some-action/#.V09TH_krLIU")</f>
        <v>http://www.resource-media.org/food-waste-on-twitter-lots-of-talk-but-can-we-get-some-action/#.V09TH_krLIU</v>
      </c>
      <c r="Y693" s="38"/>
      <c r="Z693" s="38"/>
      <c r="AA693" s="38"/>
      <c r="AB693" s="38"/>
      <c r="AC693" s="38"/>
      <c r="AD693" s="38"/>
      <c r="AE693" s="38"/>
      <c r="AF693" s="38"/>
      <c r="AG693" s="28"/>
      <c r="AH693" s="28"/>
      <c r="AI693" s="28"/>
      <c r="AJ693" s="28"/>
      <c r="AK693" s="28"/>
      <c r="AL693" s="28" t="s">
        <v>769</v>
      </c>
      <c r="AM693" s="28" t="s">
        <v>5065</v>
      </c>
      <c r="AN693" s="54">
        <v>42677.0</v>
      </c>
      <c r="AO693" s="54"/>
      <c r="AP693" s="28"/>
      <c r="AQ693" s="28"/>
      <c r="AR693" s="28"/>
      <c r="AS693" s="28"/>
      <c r="AT693" s="28"/>
      <c r="AU693" s="28"/>
      <c r="AV693" s="28"/>
      <c r="AW693" s="28"/>
      <c r="AX693" s="28"/>
      <c r="AY693" s="28" t="s">
        <v>428</v>
      </c>
      <c r="AZ693" s="28" t="s">
        <v>2670</v>
      </c>
      <c r="BA693" s="28"/>
      <c r="BB693" s="28"/>
      <c r="BC693" s="28"/>
      <c r="BD693" s="28"/>
      <c r="BE693" s="28"/>
      <c r="BF693" s="28"/>
      <c r="BG693" s="28"/>
      <c r="BH693" s="28"/>
      <c r="BI693" s="28"/>
      <c r="BJ693" s="28"/>
      <c r="BK693" s="28"/>
      <c r="BL693" s="28"/>
      <c r="BM693" s="28"/>
      <c r="BN693" s="28"/>
      <c r="BO693" s="28"/>
    </row>
    <row r="694" ht="25.5" customHeight="1">
      <c r="A694" s="28">
        <v>10440.0</v>
      </c>
      <c r="B694" s="37" t="b">
        <v>1</v>
      </c>
      <c r="C694" s="38" t="s">
        <v>238</v>
      </c>
      <c r="D694" s="38">
        <v>81.0</v>
      </c>
      <c r="E694" s="13" t="b">
        <v>0</v>
      </c>
      <c r="F694" s="13" t="b">
        <v>1</v>
      </c>
      <c r="G694" s="38" t="s">
        <v>224</v>
      </c>
      <c r="H694" s="38"/>
      <c r="I694" s="38" t="s">
        <v>772</v>
      </c>
      <c r="J694" s="38">
        <v>5.0</v>
      </c>
      <c r="K694" s="38"/>
      <c r="L694" s="38"/>
      <c r="M694" s="38" t="s">
        <v>321</v>
      </c>
      <c r="N694" s="38">
        <v>7000.0</v>
      </c>
      <c r="O694" s="38" t="s">
        <v>445</v>
      </c>
      <c r="P694" s="40"/>
      <c r="Q694" s="38" t="s">
        <v>289</v>
      </c>
      <c r="R694" s="38">
        <v>40.0</v>
      </c>
      <c r="S694" s="61" t="s">
        <v>5391</v>
      </c>
      <c r="T694" s="38" t="s">
        <v>5392</v>
      </c>
      <c r="U694" s="38" t="s">
        <v>2108</v>
      </c>
      <c r="V694" s="55">
        <v>42279.0</v>
      </c>
      <c r="W694" s="38" t="s">
        <v>5393</v>
      </c>
      <c r="X694" s="49" t="str">
        <f>HYPERLINK("http://www.resource-media.org/visualizing-food-waste/#.V09TKPkrLIU","http://www.resource-media.org/visualizing-food-waste/#.V09TKPkrLIU")</f>
        <v>http://www.resource-media.org/visualizing-food-waste/#.V09TKPkrLIU</v>
      </c>
      <c r="Y694" s="38"/>
      <c r="Z694" s="38"/>
      <c r="AA694" s="38"/>
      <c r="AB694" s="38"/>
      <c r="AC694" s="38"/>
      <c r="AD694" s="38"/>
      <c r="AE694" s="38"/>
      <c r="AF694" s="38"/>
      <c r="AG694" s="28"/>
      <c r="AH694" s="28"/>
      <c r="AI694" s="28"/>
      <c r="AJ694" s="28"/>
      <c r="AK694" s="28"/>
      <c r="AL694" s="28" t="s">
        <v>769</v>
      </c>
      <c r="AM694" s="28" t="s">
        <v>5396</v>
      </c>
      <c r="AN694" s="54">
        <v>42692.0</v>
      </c>
      <c r="AO694" s="54"/>
      <c r="AP694" s="28"/>
      <c r="AQ694" s="28"/>
      <c r="AR694" s="28"/>
      <c r="AS694" s="28"/>
      <c r="AT694" s="28"/>
      <c r="AU694" s="28"/>
      <c r="AV694" s="28"/>
      <c r="AW694" s="28"/>
      <c r="AX694" s="28"/>
      <c r="AY694" s="28" t="s">
        <v>428</v>
      </c>
      <c r="AZ694" s="28"/>
      <c r="BA694" s="28"/>
      <c r="BB694" s="28"/>
      <c r="BC694" s="28"/>
      <c r="BD694" s="28"/>
      <c r="BE694" s="28"/>
      <c r="BF694" s="28"/>
      <c r="BG694" s="28"/>
      <c r="BH694" s="28"/>
      <c r="BI694" s="28"/>
      <c r="BJ694" s="28"/>
      <c r="BK694" s="28"/>
      <c r="BL694" s="28"/>
      <c r="BM694" s="28"/>
      <c r="BN694" s="28"/>
      <c r="BO694" s="28"/>
    </row>
    <row r="695" ht="25.5" customHeight="1">
      <c r="A695" s="28">
        <v>10375.0</v>
      </c>
      <c r="B695" s="37" t="b">
        <v>1</v>
      </c>
      <c r="C695" s="38" t="s">
        <v>238</v>
      </c>
      <c r="D695" s="38">
        <v>81.0</v>
      </c>
      <c r="E695" s="13" t="b">
        <v>0</v>
      </c>
      <c r="F695" s="13" t="b">
        <v>1</v>
      </c>
      <c r="G695" s="38" t="s">
        <v>224</v>
      </c>
      <c r="H695" s="38"/>
      <c r="I695" s="38" t="s">
        <v>712</v>
      </c>
      <c r="J695" s="38">
        <v>7.0</v>
      </c>
      <c r="K695" s="38"/>
      <c r="L695" s="38"/>
      <c r="M695" s="38" t="s">
        <v>335</v>
      </c>
      <c r="N695" s="38">
        <v>8000.0</v>
      </c>
      <c r="O695" s="38" t="s">
        <v>4877</v>
      </c>
      <c r="P695" s="40"/>
      <c r="Q695" s="38" t="s">
        <v>289</v>
      </c>
      <c r="R695" s="38">
        <v>40.0</v>
      </c>
      <c r="S695" s="61" t="s">
        <v>4878</v>
      </c>
      <c r="T695" s="38" t="s">
        <v>2632</v>
      </c>
      <c r="U695" s="38" t="s">
        <v>2108</v>
      </c>
      <c r="V695" s="55">
        <v>42200.0</v>
      </c>
      <c r="W695" s="38" t="s">
        <v>4879</v>
      </c>
      <c r="X695" s="49" t="str">
        <f>HYPERLINK("http://www.resource-media.org/mainstreaming-water-conservation-lessons-from-energy-efficiency/#.V090i_krLIU","http://www.resource-media.org/mainstreaming-water-conservation-lessons-from-energy-efficiency/#.V090i_krLIU")</f>
        <v>http://www.resource-media.org/mainstreaming-water-conservation-lessons-from-energy-efficiency/#.V090i_krLIU</v>
      </c>
      <c r="Y695" s="38"/>
      <c r="Z695" s="38"/>
      <c r="AA695" s="38"/>
      <c r="AB695" s="38"/>
      <c r="AC695" s="38"/>
      <c r="AD695" s="38"/>
      <c r="AE695" s="38"/>
      <c r="AF695" s="38"/>
      <c r="AG695" s="28"/>
      <c r="AH695" s="28"/>
      <c r="AI695" s="28"/>
      <c r="AJ695" s="28"/>
      <c r="AK695" s="28"/>
      <c r="AL695" s="28" t="s">
        <v>769</v>
      </c>
      <c r="AM695" s="28" t="s">
        <v>4885</v>
      </c>
      <c r="AN695" s="54">
        <v>42691.0</v>
      </c>
      <c r="AO695" s="54"/>
      <c r="AP695" s="28"/>
      <c r="AQ695" s="28"/>
      <c r="AR695" s="28"/>
      <c r="AS695" s="28"/>
      <c r="AT695" s="28"/>
      <c r="AU695" s="28"/>
      <c r="AV695" s="28"/>
      <c r="AW695" s="28"/>
      <c r="AX695" s="28"/>
      <c r="AY695" s="28" t="s">
        <v>428</v>
      </c>
      <c r="AZ695" s="28" t="s">
        <v>1680</v>
      </c>
      <c r="BA695" s="28"/>
      <c r="BB695" s="28"/>
      <c r="BC695" s="28"/>
      <c r="BD695" s="28"/>
      <c r="BE695" s="28"/>
      <c r="BF695" s="28"/>
      <c r="BG695" s="28"/>
      <c r="BH695" s="28"/>
      <c r="BI695" s="28"/>
      <c r="BJ695" s="28"/>
      <c r="BK695" s="28"/>
      <c r="BL695" s="28"/>
      <c r="BM695" s="28"/>
      <c r="BN695" s="28"/>
      <c r="BO695" s="28"/>
    </row>
    <row r="696" ht="25.5" customHeight="1">
      <c r="A696" s="28">
        <v>10115.0</v>
      </c>
      <c r="B696" s="37" t="b">
        <v>1</v>
      </c>
      <c r="C696" s="38" t="s">
        <v>238</v>
      </c>
      <c r="D696" s="38">
        <v>81.0</v>
      </c>
      <c r="E696" s="13" t="b">
        <v>0</v>
      </c>
      <c r="F696" s="13" t="b">
        <v>1</v>
      </c>
      <c r="G696" s="38" t="s">
        <v>224</v>
      </c>
      <c r="H696" s="38"/>
      <c r="I696" s="38" t="s">
        <v>2594</v>
      </c>
      <c r="J696" s="38" t="s">
        <v>2595</v>
      </c>
      <c r="K696" s="38"/>
      <c r="L696" s="38"/>
      <c r="M696" s="38" t="s">
        <v>392</v>
      </c>
      <c r="N696" s="38">
        <v>15000.0</v>
      </c>
      <c r="O696" s="38" t="s">
        <v>1882</v>
      </c>
      <c r="P696" s="40"/>
      <c r="Q696" s="38" t="s">
        <v>289</v>
      </c>
      <c r="R696" s="38">
        <v>40.0</v>
      </c>
      <c r="S696" s="61" t="s">
        <v>2631</v>
      </c>
      <c r="T696" s="38" t="s">
        <v>2632</v>
      </c>
      <c r="U696" s="38" t="s">
        <v>2108</v>
      </c>
      <c r="V696" s="55">
        <v>42250.0</v>
      </c>
      <c r="W696" s="38" t="s">
        <v>2633</v>
      </c>
      <c r="X696" s="49" t="str">
        <f>HYPERLINK("http://www.resource-media.org/building-support-for-coastal-resilience-top-5-tips/#.V09f__krLIU","http://www.resource-media.org/building-support-for-coastal-resilience-top-5-tips/#.V09f__krLIU")</f>
        <v>http://www.resource-media.org/building-support-for-coastal-resilience-top-5-tips/#.V09f__krLIU</v>
      </c>
      <c r="Y696" s="38"/>
      <c r="Z696" s="38"/>
      <c r="AA696" s="38"/>
      <c r="AB696" s="38"/>
      <c r="AC696" s="38"/>
      <c r="AD696" s="38"/>
      <c r="AE696" s="38"/>
      <c r="AF696" s="38"/>
      <c r="AG696" s="28" t="s">
        <v>2639</v>
      </c>
      <c r="AH696" s="28"/>
      <c r="AI696" s="28"/>
      <c r="AJ696" s="28"/>
      <c r="AK696" s="28"/>
      <c r="AL696" s="28" t="s">
        <v>769</v>
      </c>
      <c r="AM696" s="28" t="s">
        <v>2640</v>
      </c>
      <c r="AN696" s="54">
        <v>42678.0</v>
      </c>
      <c r="AO696" s="54"/>
      <c r="AP696" s="28"/>
      <c r="AQ696" s="28"/>
      <c r="AR696" s="28"/>
      <c r="AS696" s="28"/>
      <c r="AT696" s="28"/>
      <c r="AU696" s="28"/>
      <c r="AV696" s="28"/>
      <c r="AW696" s="28"/>
      <c r="AX696" s="28"/>
      <c r="AY696" s="28" t="s">
        <v>428</v>
      </c>
      <c r="AZ696" s="28"/>
      <c r="BA696" s="28"/>
      <c r="BB696" s="28"/>
      <c r="BC696" s="28"/>
      <c r="BD696" s="28"/>
      <c r="BE696" s="28"/>
      <c r="BF696" s="28"/>
      <c r="BG696" s="28"/>
      <c r="BH696" s="28"/>
      <c r="BI696" s="28"/>
      <c r="BJ696" s="28"/>
      <c r="BK696" s="28"/>
      <c r="BL696" s="28"/>
      <c r="BM696" s="28"/>
      <c r="BN696" s="28"/>
      <c r="BO696" s="28"/>
    </row>
    <row r="697" ht="25.5" customHeight="1">
      <c r="A697" s="28">
        <v>10421.0</v>
      </c>
      <c r="B697" s="37" t="b">
        <v>1</v>
      </c>
      <c r="C697" s="38" t="s">
        <v>238</v>
      </c>
      <c r="D697" s="38">
        <v>81.0</v>
      </c>
      <c r="E697" s="13" t="b">
        <v>0</v>
      </c>
      <c r="F697" s="13" t="b">
        <v>1</v>
      </c>
      <c r="G697" s="38" t="s">
        <v>224</v>
      </c>
      <c r="H697" s="38"/>
      <c r="I697" s="38" t="s">
        <v>1715</v>
      </c>
      <c r="J697" s="38" t="s">
        <v>1724</v>
      </c>
      <c r="K697" s="38"/>
      <c r="L697" s="38"/>
      <c r="M697" s="38" t="s">
        <v>392</v>
      </c>
      <c r="N697" s="38">
        <v>15000.0</v>
      </c>
      <c r="O697" s="38" t="s">
        <v>1882</v>
      </c>
      <c r="P697" s="40"/>
      <c r="Q697" s="38" t="s">
        <v>289</v>
      </c>
      <c r="R697" s="38">
        <v>40.0</v>
      </c>
      <c r="S697" s="61" t="s">
        <v>5282</v>
      </c>
      <c r="T697" s="38" t="s">
        <v>3789</v>
      </c>
      <c r="U697" s="38" t="s">
        <v>2108</v>
      </c>
      <c r="V697" s="55">
        <v>42215.0</v>
      </c>
      <c r="W697" s="38" t="s">
        <v>5283</v>
      </c>
      <c r="X697" s="49" t="str">
        <f>HYPERLINK("http://www.resource-media.org/here-now-us-actualizes-climate-change-for-marin-county/#.V09gBvkrLIU","http://www.resource-media.org/here-now-us-actualizes-climate-change-for-marin-county/#.V09gBvkrLIU")</f>
        <v>http://www.resource-media.org/here-now-us-actualizes-climate-change-for-marin-county/#.V09gBvkrLIU</v>
      </c>
      <c r="Y697" s="38"/>
      <c r="Z697" s="38"/>
      <c r="AA697" s="38"/>
      <c r="AB697" s="38"/>
      <c r="AC697" s="38"/>
      <c r="AD697" s="38"/>
      <c r="AE697" s="38"/>
      <c r="AF697" s="38"/>
      <c r="AG697" s="28" t="s">
        <v>5288</v>
      </c>
      <c r="AH697" s="28"/>
      <c r="AI697" s="28"/>
      <c r="AJ697" s="28"/>
      <c r="AK697" s="28"/>
      <c r="AL697" s="28" t="s">
        <v>769</v>
      </c>
      <c r="AM697" s="28" t="s">
        <v>5290</v>
      </c>
      <c r="AN697" s="54">
        <v>42681.0</v>
      </c>
      <c r="AO697" s="54"/>
      <c r="AP697" s="28"/>
      <c r="AQ697" s="28"/>
      <c r="AR697" s="28"/>
      <c r="AS697" s="28"/>
      <c r="AT697" s="28"/>
      <c r="AU697" s="28"/>
      <c r="AV697" s="28"/>
      <c r="AW697" s="28"/>
      <c r="AX697" s="28"/>
      <c r="AY697" s="28" t="s">
        <v>428</v>
      </c>
      <c r="AZ697" s="28"/>
      <c r="BA697" s="28"/>
      <c r="BB697" s="28"/>
      <c r="BC697" s="28"/>
      <c r="BD697" s="28"/>
      <c r="BE697" s="28"/>
      <c r="BF697" s="28"/>
      <c r="BG697" s="28"/>
      <c r="BH697" s="28"/>
      <c r="BI697" s="28"/>
      <c r="BJ697" s="28"/>
      <c r="BK697" s="28"/>
      <c r="BL697" s="28"/>
      <c r="BM697" s="28"/>
      <c r="BN697" s="28"/>
      <c r="BO697" s="28"/>
    </row>
    <row r="698" ht="25.5" customHeight="1">
      <c r="A698" s="28">
        <v>10202.0</v>
      </c>
      <c r="B698" s="37" t="b">
        <v>1</v>
      </c>
      <c r="C698" s="38" t="s">
        <v>238</v>
      </c>
      <c r="D698" s="38">
        <v>81.0</v>
      </c>
      <c r="E698" s="13" t="b">
        <v>0</v>
      </c>
      <c r="F698" s="13" t="b">
        <v>1</v>
      </c>
      <c r="G698" s="38" t="s">
        <v>224</v>
      </c>
      <c r="H698" s="38"/>
      <c r="I698" s="38" t="s">
        <v>1857</v>
      </c>
      <c r="J698" s="38">
        <v>1.0</v>
      </c>
      <c r="K698" s="38"/>
      <c r="L698" s="38"/>
      <c r="M698" s="38" t="s">
        <v>107</v>
      </c>
      <c r="N698" s="38">
        <v>3000.0</v>
      </c>
      <c r="O698" s="38" t="s">
        <v>470</v>
      </c>
      <c r="P698" s="40"/>
      <c r="Q698" s="38" t="s">
        <v>289</v>
      </c>
      <c r="R698" s="38">
        <v>40.0</v>
      </c>
      <c r="S698" s="38" t="s">
        <v>3365</v>
      </c>
      <c r="T698" s="38" t="s">
        <v>3366</v>
      </c>
      <c r="U698" s="38" t="s">
        <v>3367</v>
      </c>
      <c r="V698" s="55">
        <v>40277.0</v>
      </c>
      <c r="W698" s="38" t="s">
        <v>3370</v>
      </c>
      <c r="X698" s="49" t="str">
        <f>HYPERLINK("http://www.rff.org/Publications/WPC/Pages/What-Behavioral-Science-Has-to-Say-About-Energy-Conservation.aspx","http://www.rff.org/Publications/WPC/Pages/What-Behavioral-Science-Has-to-Say-About-Energy-Conservation.aspx")</f>
        <v>http://www.rff.org/Publications/WPC/Pages/What-Behavioral-Science-Has-to-Say-About-Energy-Conservation.aspx</v>
      </c>
      <c r="Y698" s="38"/>
      <c r="Z698" s="38"/>
      <c r="AA698" s="38"/>
      <c r="AB698" s="38"/>
      <c r="AC698" s="38"/>
      <c r="AD698" s="38"/>
      <c r="AE698" s="38"/>
      <c r="AF698" s="38"/>
      <c r="AG698" s="28"/>
      <c r="AH698" s="28" t="s">
        <v>462</v>
      </c>
      <c r="AI698" s="28" t="s">
        <v>428</v>
      </c>
      <c r="AJ698" s="28"/>
      <c r="AK698" s="28" t="s">
        <v>663</v>
      </c>
      <c r="AL698" s="28" t="s">
        <v>769</v>
      </c>
      <c r="AM698" s="28" t="s">
        <v>3372</v>
      </c>
      <c r="AN698" s="54">
        <v>42339.0</v>
      </c>
      <c r="AO698" s="54"/>
      <c r="AP698" s="28"/>
      <c r="AQ698" s="28" t="s">
        <v>769</v>
      </c>
      <c r="AR698" s="28"/>
      <c r="AS698" s="54">
        <v>42340.0</v>
      </c>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row>
    <row r="699" ht="25.5" customHeight="1">
      <c r="A699" s="28">
        <v>471.0</v>
      </c>
      <c r="B699" s="37" t="b">
        <v>1</v>
      </c>
      <c r="C699" s="38" t="s">
        <v>106</v>
      </c>
      <c r="D699" s="38">
        <v>80.0</v>
      </c>
      <c r="E699" s="13" t="b">
        <v>0</v>
      </c>
      <c r="F699" s="13" t="b">
        <v>1</v>
      </c>
      <c r="G699" s="38" t="s">
        <v>224</v>
      </c>
      <c r="H699" s="38"/>
      <c r="I699" s="38" t="s">
        <v>772</v>
      </c>
      <c r="J699" s="38">
        <v>5.0</v>
      </c>
      <c r="K699" s="38" t="s">
        <v>6433</v>
      </c>
      <c r="L699" s="38">
        <v>502.0</v>
      </c>
      <c r="M699" s="38" t="s">
        <v>107</v>
      </c>
      <c r="N699" s="38">
        <v>3000.0</v>
      </c>
      <c r="O699" s="38" t="s">
        <v>116</v>
      </c>
      <c r="P699" s="40"/>
      <c r="Q699" s="38" t="s">
        <v>298</v>
      </c>
      <c r="R699" s="38">
        <v>44.0</v>
      </c>
      <c r="S699" s="38" t="s">
        <v>6434</v>
      </c>
      <c r="T699" s="38" t="s">
        <v>6435</v>
      </c>
      <c r="U699" s="49" t="str">
        <f>HYPERLINK("http://www.sciencedirect.com/science/journal/09213449","Resources, Conservation and Recycling")</f>
        <v>Resources, Conservation and Recycling</v>
      </c>
      <c r="V699" s="38">
        <v>2010.0</v>
      </c>
      <c r="W699" s="38" t="s">
        <v>6439</v>
      </c>
      <c r="X699" s="38" t="s">
        <v>6440</v>
      </c>
      <c r="Y699" s="38"/>
      <c r="Z699" s="38"/>
      <c r="AA699" s="38"/>
      <c r="AB699" s="38"/>
      <c r="AC699" s="38"/>
      <c r="AD699" s="38"/>
      <c r="AE699" s="38"/>
      <c r="AF699" s="38"/>
      <c r="AG699" s="28"/>
      <c r="AH699" s="28" t="s">
        <v>926</v>
      </c>
      <c r="AI699" s="28" t="s">
        <v>462</v>
      </c>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row>
    <row r="700" ht="25.5" customHeight="1">
      <c r="A700" s="28">
        <v>212.0</v>
      </c>
      <c r="B700" s="37" t="b">
        <v>1</v>
      </c>
      <c r="C700" s="38" t="s">
        <v>106</v>
      </c>
      <c r="D700" s="38">
        <v>80.0</v>
      </c>
      <c r="E700" s="13" t="b">
        <v>0</v>
      </c>
      <c r="F700" s="13" t="b">
        <v>1</v>
      </c>
      <c r="G700" s="38" t="s">
        <v>224</v>
      </c>
      <c r="H700" s="38"/>
      <c r="I700" s="38" t="s">
        <v>5566</v>
      </c>
      <c r="J700" s="38" t="s">
        <v>5567</v>
      </c>
      <c r="K700" s="38" t="s">
        <v>5568</v>
      </c>
      <c r="L700" s="38"/>
      <c r="M700" s="38" t="s">
        <v>3605</v>
      </c>
      <c r="N700" s="38" t="s">
        <v>3606</v>
      </c>
      <c r="O700" s="38" t="s">
        <v>5569</v>
      </c>
      <c r="P700" s="40"/>
      <c r="Q700" s="38" t="s">
        <v>289</v>
      </c>
      <c r="R700" s="38">
        <v>40.0</v>
      </c>
      <c r="S700" s="38" t="s">
        <v>5570</v>
      </c>
      <c r="T700" s="38" t="s">
        <v>5571</v>
      </c>
      <c r="U700" s="38" t="s">
        <v>5572</v>
      </c>
      <c r="V700" s="38">
        <v>1990.0</v>
      </c>
      <c r="W700" s="38" t="s">
        <v>5575</v>
      </c>
      <c r="X700" s="38"/>
      <c r="Y700" s="38"/>
      <c r="Z700" s="38"/>
      <c r="AA700" s="38"/>
      <c r="AB700" s="38"/>
      <c r="AC700" s="38"/>
      <c r="AD700" s="38"/>
      <c r="AE700" s="38"/>
      <c r="AF700" s="3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row>
    <row r="701" ht="25.5" customHeight="1">
      <c r="A701" s="28">
        <v>408.0</v>
      </c>
      <c r="B701" s="37" t="b">
        <v>1</v>
      </c>
      <c r="C701" s="38" t="s">
        <v>106</v>
      </c>
      <c r="D701" s="38">
        <v>80.0</v>
      </c>
      <c r="E701" s="13" t="b">
        <v>0</v>
      </c>
      <c r="F701" s="13" t="b">
        <v>1</v>
      </c>
      <c r="G701" s="38" t="s">
        <v>224</v>
      </c>
      <c r="H701" s="38"/>
      <c r="I701" s="38" t="s">
        <v>712</v>
      </c>
      <c r="J701" s="38">
        <v>7.0</v>
      </c>
      <c r="K701" s="38" t="s">
        <v>3333</v>
      </c>
      <c r="L701" s="38">
        <v>700.0</v>
      </c>
      <c r="M701" s="38" t="s">
        <v>107</v>
      </c>
      <c r="N701" s="38">
        <v>3000.0</v>
      </c>
      <c r="O701" s="38" t="s">
        <v>116</v>
      </c>
      <c r="P701" s="40"/>
      <c r="Q701" s="38" t="s">
        <v>289</v>
      </c>
      <c r="R701" s="38">
        <v>40.0</v>
      </c>
      <c r="S701" s="38" t="s">
        <v>6287</v>
      </c>
      <c r="T701" s="38" t="s">
        <v>735</v>
      </c>
      <c r="U701" s="38" t="s">
        <v>6288</v>
      </c>
      <c r="V701" s="38">
        <v>2013.0</v>
      </c>
      <c r="W701" s="38" t="s">
        <v>6290</v>
      </c>
      <c r="X701" s="38" t="s">
        <v>6291</v>
      </c>
      <c r="Y701" s="38"/>
      <c r="Z701" s="38"/>
      <c r="AA701" s="38"/>
      <c r="AB701" s="38"/>
      <c r="AC701" s="38"/>
      <c r="AD701" s="38"/>
      <c r="AE701" s="38"/>
      <c r="AF701" s="38"/>
      <c r="AG701" s="28"/>
      <c r="AH701" s="28" t="s">
        <v>428</v>
      </c>
      <c r="AI701" s="28" t="s">
        <v>462</v>
      </c>
      <c r="AJ701" s="28"/>
      <c r="AK701" s="28"/>
      <c r="AL701" s="28" t="s">
        <v>561</v>
      </c>
      <c r="AM701" s="28" t="s">
        <v>6292</v>
      </c>
      <c r="AN701" s="54">
        <v>42411.0</v>
      </c>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row>
    <row r="702" ht="25.5" customHeight="1">
      <c r="A702" s="28">
        <v>254.0</v>
      </c>
      <c r="B702" s="37" t="b">
        <v>1</v>
      </c>
      <c r="C702" s="38" t="s">
        <v>106</v>
      </c>
      <c r="D702" s="38">
        <v>80.0</v>
      </c>
      <c r="E702" s="13" t="b">
        <v>0</v>
      </c>
      <c r="F702" s="13" t="b">
        <v>1</v>
      </c>
      <c r="G702" s="38" t="s">
        <v>224</v>
      </c>
      <c r="H702" s="38"/>
      <c r="I702" s="38" t="s">
        <v>421</v>
      </c>
      <c r="J702" s="38">
        <v>11.0</v>
      </c>
      <c r="K702" s="38" t="s">
        <v>224</v>
      </c>
      <c r="L702" s="38"/>
      <c r="M702" s="38" t="s">
        <v>388</v>
      </c>
      <c r="N702" s="38">
        <v>14000.0</v>
      </c>
      <c r="O702" s="38" t="s">
        <v>224</v>
      </c>
      <c r="P702" s="40"/>
      <c r="Q702" s="38" t="s">
        <v>3835</v>
      </c>
      <c r="R702" s="38" t="s">
        <v>3836</v>
      </c>
      <c r="S702" s="38" t="s">
        <v>5688</v>
      </c>
      <c r="T702" s="38" t="s">
        <v>5689</v>
      </c>
      <c r="U702" s="38" t="s">
        <v>5690</v>
      </c>
      <c r="V702" s="61">
        <v>2014.0</v>
      </c>
      <c r="W702" s="38" t="s">
        <v>5691</v>
      </c>
      <c r="X702" s="38" t="s">
        <v>5692</v>
      </c>
      <c r="Y702" s="38"/>
      <c r="Z702" s="38"/>
      <c r="AA702" s="38"/>
      <c r="AB702" s="38"/>
      <c r="AC702" s="38"/>
      <c r="AD702" s="38"/>
      <c r="AE702" s="38"/>
      <c r="AF702" s="38"/>
      <c r="AG702" s="28"/>
      <c r="AH702" s="28"/>
      <c r="AI702" s="28"/>
      <c r="AJ702" s="28" t="s">
        <v>1594</v>
      </c>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row>
    <row r="703" ht="25.5" customHeight="1">
      <c r="A703" s="28">
        <v>482.0</v>
      </c>
      <c r="B703" s="37" t="b">
        <v>1</v>
      </c>
      <c r="C703" s="38" t="s">
        <v>106</v>
      </c>
      <c r="D703" s="38">
        <v>80.0</v>
      </c>
      <c r="E703" s="13" t="b">
        <v>0</v>
      </c>
      <c r="F703" s="13" t="b">
        <v>1</v>
      </c>
      <c r="G703" s="38" t="s">
        <v>224</v>
      </c>
      <c r="H703" s="38"/>
      <c r="I703" s="38" t="s">
        <v>772</v>
      </c>
      <c r="J703" s="38">
        <v>5.0</v>
      </c>
      <c r="K703" s="38" t="s">
        <v>2927</v>
      </c>
      <c r="L703" s="38">
        <v>506.0</v>
      </c>
      <c r="M703" s="38" t="s">
        <v>3605</v>
      </c>
      <c r="N703" s="38" t="s">
        <v>3606</v>
      </c>
      <c r="O703" s="38" t="s">
        <v>5569</v>
      </c>
      <c r="P703" s="40"/>
      <c r="Q703" s="38" t="s">
        <v>289</v>
      </c>
      <c r="R703" s="38">
        <v>40.0</v>
      </c>
      <c r="S703" s="38" t="s">
        <v>6459</v>
      </c>
      <c r="T703" s="38" t="s">
        <v>6461</v>
      </c>
      <c r="U703" s="38" t="s">
        <v>6462</v>
      </c>
      <c r="V703" s="38">
        <v>2014.0</v>
      </c>
      <c r="W703" s="38" t="s">
        <v>6464</v>
      </c>
      <c r="X703" s="38"/>
      <c r="Y703" s="38"/>
      <c r="Z703" s="38"/>
      <c r="AA703" s="38"/>
      <c r="AB703" s="38"/>
      <c r="AC703" s="38"/>
      <c r="AD703" s="38"/>
      <c r="AE703" s="38"/>
      <c r="AF703" s="3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row>
    <row r="704" ht="25.5" customHeight="1">
      <c r="A704" s="28">
        <v>421.0</v>
      </c>
      <c r="B704" s="37" t="b">
        <v>1</v>
      </c>
      <c r="C704" s="38" t="s">
        <v>106</v>
      </c>
      <c r="D704" s="38">
        <v>80.0</v>
      </c>
      <c r="E704" s="13" t="b">
        <v>0</v>
      </c>
      <c r="F704" s="13" t="b">
        <v>1</v>
      </c>
      <c r="G704" s="38" t="s">
        <v>224</v>
      </c>
      <c r="H704" s="38"/>
      <c r="I704" s="38" t="s">
        <v>387</v>
      </c>
      <c r="J704" s="38">
        <v>8.0</v>
      </c>
      <c r="K704" s="38" t="s">
        <v>389</v>
      </c>
      <c r="L704" s="38">
        <v>802.0</v>
      </c>
      <c r="M704" s="38" t="s">
        <v>35</v>
      </c>
      <c r="N704" s="38">
        <v>2000.0</v>
      </c>
      <c r="O704" s="38" t="s">
        <v>2373</v>
      </c>
      <c r="P704" s="40">
        <v>2001.0</v>
      </c>
      <c r="Q704" s="38" t="s">
        <v>111</v>
      </c>
      <c r="R704" s="38">
        <v>41.0</v>
      </c>
      <c r="S704" s="38" t="s">
        <v>6325</v>
      </c>
      <c r="T704" s="38" t="s">
        <v>6326</v>
      </c>
      <c r="U704" s="38" t="s">
        <v>6327</v>
      </c>
      <c r="V704" s="38">
        <v>2012.0</v>
      </c>
      <c r="W704" s="38" t="s">
        <v>6329</v>
      </c>
      <c r="X704" s="49" t="str">
        <f>HYPERLINK("http://onlinelibrary.wiley.com/doi/10.1111/j.1539-6924.2011.01695.x/abstract","http://onlinelibrary.wiley.com/doi/10.1111/j.1539-6924.2011.01695.x/abstract")</f>
        <v>http://onlinelibrary.wiley.com/doi/10.1111/j.1539-6924.2011.01695.x/abstract</v>
      </c>
      <c r="Y704" s="38"/>
      <c r="Z704" s="38"/>
      <c r="AA704" s="38"/>
      <c r="AB704" s="38"/>
      <c r="AC704" s="38"/>
      <c r="AD704" s="38"/>
      <c r="AE704" s="38"/>
      <c r="AF704" s="38"/>
      <c r="AG704" s="28" t="s">
        <v>6331</v>
      </c>
      <c r="AH704" s="28" t="s">
        <v>428</v>
      </c>
      <c r="AI704" s="28" t="s">
        <v>842</v>
      </c>
      <c r="AJ704" s="28"/>
      <c r="AK704" s="28"/>
      <c r="AL704" s="28" t="s">
        <v>561</v>
      </c>
      <c r="AM704" s="28" t="s">
        <v>6332</v>
      </c>
      <c r="AN704" s="54">
        <v>42424.0</v>
      </c>
      <c r="AO704" s="28"/>
      <c r="AP704" s="54">
        <v>42593.0</v>
      </c>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row>
    <row r="705" ht="25.5" customHeight="1">
      <c r="A705" s="28">
        <v>110.0</v>
      </c>
      <c r="B705" s="37" t="b">
        <v>1</v>
      </c>
      <c r="C705" s="38" t="s">
        <v>106</v>
      </c>
      <c r="D705" s="38">
        <v>80.0</v>
      </c>
      <c r="E705" s="13" t="b">
        <v>1</v>
      </c>
      <c r="F705" s="13" t="b">
        <v>1</v>
      </c>
      <c r="G705" s="38" t="s">
        <v>6474</v>
      </c>
      <c r="H705" s="38" t="s">
        <v>6475</v>
      </c>
      <c r="I705" s="38" t="s">
        <v>887</v>
      </c>
      <c r="J705" s="38">
        <v>9.0</v>
      </c>
      <c r="K705" s="38" t="s">
        <v>4436</v>
      </c>
      <c r="L705" s="38">
        <v>902.0</v>
      </c>
      <c r="M705" s="38" t="s">
        <v>6477</v>
      </c>
      <c r="N705" s="38" t="s">
        <v>4703</v>
      </c>
      <c r="O705" s="38" t="s">
        <v>4702</v>
      </c>
      <c r="P705" s="40"/>
      <c r="Q705" s="38" t="s">
        <v>289</v>
      </c>
      <c r="R705" s="38">
        <v>40.0</v>
      </c>
      <c r="S705" s="38" t="s">
        <v>4704</v>
      </c>
      <c r="T705" s="38" t="s">
        <v>4705</v>
      </c>
      <c r="U705" s="38" t="s">
        <v>4706</v>
      </c>
      <c r="V705" s="38">
        <v>2011.0</v>
      </c>
      <c r="W705" s="38" t="s">
        <v>4711</v>
      </c>
      <c r="X705" s="38" t="s">
        <v>4712</v>
      </c>
      <c r="Y705" s="38"/>
      <c r="Z705" s="38"/>
      <c r="AA705" s="38"/>
      <c r="AB705" s="38"/>
      <c r="AC705" s="38"/>
      <c r="AD705" s="38"/>
      <c r="AE705" s="38"/>
      <c r="AF705" s="38"/>
      <c r="AG705" s="28" t="s">
        <v>2925</v>
      </c>
      <c r="AH705" s="28" t="s">
        <v>769</v>
      </c>
      <c r="AI705" s="28" t="s">
        <v>462</v>
      </c>
      <c r="AJ705" s="28" t="s">
        <v>428</v>
      </c>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row>
    <row r="706" ht="25.5" customHeight="1">
      <c r="A706" s="28">
        <v>10358.0</v>
      </c>
      <c r="B706" s="37" t="b">
        <v>1</v>
      </c>
      <c r="C706" s="38" t="s">
        <v>238</v>
      </c>
      <c r="D706" s="38">
        <v>81.0</v>
      </c>
      <c r="E706" s="13" t="b">
        <v>0</v>
      </c>
      <c r="F706" s="13" t="b">
        <v>1</v>
      </c>
      <c r="G706" s="38" t="s">
        <v>224</v>
      </c>
      <c r="H706" s="38"/>
      <c r="I706" s="38" t="s">
        <v>280</v>
      </c>
      <c r="J706" s="38">
        <v>10.0</v>
      </c>
      <c r="K706" s="38"/>
      <c r="L706" s="38"/>
      <c r="M706" s="38" t="s">
        <v>107</v>
      </c>
      <c r="N706" s="38">
        <v>3000.0</v>
      </c>
      <c r="O706" s="38" t="s">
        <v>470</v>
      </c>
      <c r="P706" s="40"/>
      <c r="Q706" s="38" t="s">
        <v>283</v>
      </c>
      <c r="R706" s="38">
        <v>43.0</v>
      </c>
      <c r="S706" s="38" t="s">
        <v>4741</v>
      </c>
      <c r="T706" s="38" t="s">
        <v>4743</v>
      </c>
      <c r="U706" s="38" t="s">
        <v>4744</v>
      </c>
      <c r="V706" s="42">
        <v>42152.0</v>
      </c>
      <c r="W706" s="38" t="s">
        <v>4745</v>
      </c>
      <c r="X706" s="38" t="s">
        <v>4747</v>
      </c>
      <c r="Y706" s="38"/>
      <c r="Z706" s="38"/>
      <c r="AA706" s="38"/>
      <c r="AB706" s="38"/>
      <c r="AC706" s="38"/>
      <c r="AD706" s="38"/>
      <c r="AE706" s="38"/>
      <c r="AF706" s="38"/>
      <c r="AG706" s="28"/>
      <c r="AH706" s="28"/>
      <c r="AI706" s="28"/>
      <c r="AJ706" s="28"/>
      <c r="AK706" s="28"/>
      <c r="AL706" s="28"/>
      <c r="AM706" s="28"/>
      <c r="AN706" s="28"/>
      <c r="AO706" s="28"/>
      <c r="AP706" s="28"/>
      <c r="AQ706" s="28"/>
      <c r="AR706" s="28"/>
      <c r="AS706" s="28"/>
      <c r="AT706" s="28"/>
      <c r="AU706" s="28"/>
      <c r="AV706" s="28"/>
      <c r="AW706" s="28"/>
      <c r="AX706" s="28"/>
      <c r="AY706" s="28"/>
      <c r="AZ706" s="28" t="s">
        <v>1137</v>
      </c>
      <c r="BA706" s="28"/>
      <c r="BB706" s="28"/>
      <c r="BC706" s="28"/>
      <c r="BD706" s="28"/>
      <c r="BE706" s="28"/>
      <c r="BF706" s="28"/>
      <c r="BG706" s="28"/>
      <c r="BH706" s="28"/>
      <c r="BI706" s="28"/>
      <c r="BJ706" s="28"/>
      <c r="BK706" s="28"/>
      <c r="BL706" s="28"/>
      <c r="BM706" s="28"/>
      <c r="BN706" s="28"/>
      <c r="BO706" s="28"/>
    </row>
    <row r="707" ht="25.5" customHeight="1">
      <c r="A707" s="28">
        <v>240.0</v>
      </c>
      <c r="B707" s="37" t="b">
        <v>1</v>
      </c>
      <c r="C707" s="38" t="s">
        <v>106</v>
      </c>
      <c r="D707" s="38">
        <v>80.0</v>
      </c>
      <c r="E707" s="13" t="b">
        <v>1</v>
      </c>
      <c r="F707" s="13" t="b">
        <v>0</v>
      </c>
      <c r="G707" s="38" t="s">
        <v>224</v>
      </c>
      <c r="H707" s="38"/>
      <c r="I707" s="38" t="s">
        <v>5651</v>
      </c>
      <c r="J707" s="38" t="s">
        <v>5652</v>
      </c>
      <c r="K707" s="65" t="s">
        <v>5659</v>
      </c>
      <c r="L707" s="38" t="s">
        <v>6480</v>
      </c>
      <c r="M707" s="38" t="s">
        <v>35</v>
      </c>
      <c r="N707" s="38">
        <v>2000.0</v>
      </c>
      <c r="O707" s="38" t="s">
        <v>2373</v>
      </c>
      <c r="P707" s="40">
        <v>2001.0</v>
      </c>
      <c r="Q707" s="38" t="s">
        <v>289</v>
      </c>
      <c r="R707" s="38">
        <v>40.0</v>
      </c>
      <c r="S707" s="38" t="s">
        <v>5660</v>
      </c>
      <c r="T707" s="38" t="s">
        <v>5618</v>
      </c>
      <c r="U707" s="38" t="s">
        <v>5661</v>
      </c>
      <c r="V707" s="38">
        <v>2013.0</v>
      </c>
      <c r="W707" s="38" t="s">
        <v>5662</v>
      </c>
      <c r="X707" s="38" t="s">
        <v>5663</v>
      </c>
      <c r="Y707" s="38"/>
      <c r="Z707" s="38"/>
      <c r="AA707" s="38"/>
      <c r="AB707" s="38"/>
      <c r="AC707" s="38"/>
      <c r="AD707" s="38"/>
      <c r="AE707" s="38"/>
      <c r="AF707" s="38"/>
      <c r="AG707" s="28"/>
      <c r="AH707" s="28"/>
      <c r="AI707" s="28"/>
      <c r="AJ707" s="28" t="s">
        <v>5664</v>
      </c>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row>
    <row r="708" ht="25.5" customHeight="1">
      <c r="A708" s="28">
        <v>405.0</v>
      </c>
      <c r="B708" s="37" t="b">
        <v>1</v>
      </c>
      <c r="C708" s="38" t="s">
        <v>106</v>
      </c>
      <c r="D708" s="38">
        <v>80.0</v>
      </c>
      <c r="E708" s="13" t="b">
        <v>0</v>
      </c>
      <c r="F708" s="13" t="b">
        <v>1</v>
      </c>
      <c r="G708" s="38" t="s">
        <v>224</v>
      </c>
      <c r="H708" s="38"/>
      <c r="I708" s="38" t="s">
        <v>712</v>
      </c>
      <c r="J708" s="38">
        <v>7.0</v>
      </c>
      <c r="K708" s="38" t="s">
        <v>731</v>
      </c>
      <c r="L708" s="38">
        <v>700.0</v>
      </c>
      <c r="M708" s="38" t="s">
        <v>239</v>
      </c>
      <c r="N708" s="38">
        <v>4000.0</v>
      </c>
      <c r="O708" s="38" t="s">
        <v>605</v>
      </c>
      <c r="P708" s="40"/>
      <c r="Q708" s="38" t="s">
        <v>289</v>
      </c>
      <c r="R708" s="38">
        <v>40.0</v>
      </c>
      <c r="S708" s="38" t="s">
        <v>6274</v>
      </c>
      <c r="T708" s="38" t="s">
        <v>6275</v>
      </c>
      <c r="U708" s="38" t="s">
        <v>5894</v>
      </c>
      <c r="V708" s="38">
        <v>2008.0</v>
      </c>
      <c r="W708" s="38" t="s">
        <v>6090</v>
      </c>
      <c r="X708" s="49" t="str">
        <f>HYPERLINK("https://www.researchgate.net/publication/5305895_'Normative_Social_Influence_Is_Underdetected","https://www.researchgate.net/publication/5305895_'Normative_Social_Influence_Is_Underdetected")</f>
        <v>https://www.researchgate.net/publication/5305895_'Normative_Social_Influence_Is_Underdetected</v>
      </c>
      <c r="Y708" s="38"/>
      <c r="Z708" s="38"/>
      <c r="AA708" s="38"/>
      <c r="AB708" s="38"/>
      <c r="AC708" s="38"/>
      <c r="AD708" s="38"/>
      <c r="AE708" s="38"/>
      <c r="AF708" s="38"/>
      <c r="AG708" s="28"/>
      <c r="AH708" s="28" t="s">
        <v>428</v>
      </c>
      <c r="AI708" s="28" t="s">
        <v>462</v>
      </c>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row>
    <row r="709" ht="25.5" customHeight="1">
      <c r="A709" s="28">
        <v>341.0</v>
      </c>
      <c r="B709" s="37" t="b">
        <v>1</v>
      </c>
      <c r="C709" s="38" t="s">
        <v>106</v>
      </c>
      <c r="D709" s="38">
        <v>80.0</v>
      </c>
      <c r="E709" s="13" t="b">
        <v>0</v>
      </c>
      <c r="F709" s="13" t="b">
        <v>1</v>
      </c>
      <c r="G709" s="38" t="s">
        <v>224</v>
      </c>
      <c r="H709" s="38"/>
      <c r="I709" s="38" t="s">
        <v>490</v>
      </c>
      <c r="J709" s="38">
        <v>6.0</v>
      </c>
      <c r="K709" s="38" t="s">
        <v>491</v>
      </c>
      <c r="L709" s="38">
        <v>605.0</v>
      </c>
      <c r="M709" s="38" t="s">
        <v>388</v>
      </c>
      <c r="N709" s="38">
        <v>14000.0</v>
      </c>
      <c r="O709" s="38" t="s">
        <v>224</v>
      </c>
      <c r="P709" s="40"/>
      <c r="Q709" s="38" t="s">
        <v>289</v>
      </c>
      <c r="R709" s="38">
        <v>40.0</v>
      </c>
      <c r="S709" s="38" t="s">
        <v>5967</v>
      </c>
      <c r="T709" s="38" t="s">
        <v>5968</v>
      </c>
      <c r="U709" s="38" t="s">
        <v>5969</v>
      </c>
      <c r="V709" s="38">
        <v>2002.0</v>
      </c>
      <c r="W709" s="38" t="s">
        <v>610</v>
      </c>
      <c r="X709" s="38" t="s">
        <v>5970</v>
      </c>
      <c r="Y709" s="38"/>
      <c r="Z709" s="38"/>
      <c r="AA709" s="38"/>
      <c r="AB709" s="38"/>
      <c r="AC709" s="38"/>
      <c r="AD709" s="38"/>
      <c r="AE709" s="38"/>
      <c r="AF709" s="38"/>
      <c r="AG709" s="28" t="s">
        <v>5971</v>
      </c>
      <c r="AH709" s="28" t="s">
        <v>462</v>
      </c>
      <c r="AI709" s="28" t="s">
        <v>462</v>
      </c>
      <c r="AJ709" s="28"/>
      <c r="AK709" s="28" t="s">
        <v>663</v>
      </c>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row>
    <row r="710" ht="25.5" customHeight="1">
      <c r="A710" s="28">
        <v>10295.0</v>
      </c>
      <c r="B710" s="37" t="b">
        <v>1</v>
      </c>
      <c r="C710" s="38" t="s">
        <v>238</v>
      </c>
      <c r="D710" s="38">
        <v>81.0</v>
      </c>
      <c r="E710" s="13" t="b">
        <v>0</v>
      </c>
      <c r="F710" s="13" t="b">
        <v>1</v>
      </c>
      <c r="G710" s="38" t="s">
        <v>224</v>
      </c>
      <c r="H710" s="38"/>
      <c r="I710" s="38" t="s">
        <v>4176</v>
      </c>
      <c r="J710" s="38" t="s">
        <v>4177</v>
      </c>
      <c r="K710" s="38"/>
      <c r="L710" s="38"/>
      <c r="M710" s="38" t="s">
        <v>388</v>
      </c>
      <c r="N710" s="38">
        <v>14000.0</v>
      </c>
      <c r="O710" s="38" t="s">
        <v>224</v>
      </c>
      <c r="P710" s="40"/>
      <c r="Q710" s="38" t="s">
        <v>289</v>
      </c>
      <c r="R710" s="38">
        <v>40.0</v>
      </c>
      <c r="S710" s="38" t="s">
        <v>4179</v>
      </c>
      <c r="T710" s="38" t="s">
        <v>4180</v>
      </c>
      <c r="U710" s="38" t="s">
        <v>1734</v>
      </c>
      <c r="V710" s="55">
        <v>41826.0</v>
      </c>
      <c r="W710" s="38" t="s">
        <v>4181</v>
      </c>
      <c r="X710" s="49" t="str">
        <f>HYPERLINK("http://www.salon.com/2014/07/06/comedy_vs_anti_science_10_amazing_videos_that_show_how_humor_can_make_a_difference/","http://www.salon.com/2014/07/06/comedy_vs_anti_science_10_amazing_videos_that_show_how_humor_can_make_a_difference/")</f>
        <v>http://www.salon.com/2014/07/06/comedy_vs_anti_science_10_amazing_videos_that_show_how_humor_can_make_a_difference/</v>
      </c>
      <c r="Y710" s="38"/>
      <c r="Z710" s="38"/>
      <c r="AA710" s="38"/>
      <c r="AB710" s="38"/>
      <c r="AC710" s="38"/>
      <c r="AD710" s="38"/>
      <c r="AE710" s="38"/>
      <c r="AF710" s="38"/>
      <c r="AG710" s="28"/>
      <c r="AH710" s="28" t="s">
        <v>462</v>
      </c>
      <c r="AI710" s="28" t="s">
        <v>462</v>
      </c>
      <c r="AJ710" s="28"/>
      <c r="AK710" s="28" t="s">
        <v>676</v>
      </c>
      <c r="AL710" s="28" t="s">
        <v>769</v>
      </c>
      <c r="AM710" s="28" t="s">
        <v>4190</v>
      </c>
      <c r="AN710" s="54">
        <v>42522.0</v>
      </c>
      <c r="AO710" s="54"/>
      <c r="AP710" s="54"/>
      <c r="AQ710" s="28" t="s">
        <v>769</v>
      </c>
      <c r="AR710" s="28"/>
      <c r="AS710" s="54">
        <v>42254.0</v>
      </c>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row>
    <row r="711" ht="25.5" customHeight="1">
      <c r="A711" s="28">
        <v>10305.0</v>
      </c>
      <c r="B711" s="37" t="b">
        <v>1</v>
      </c>
      <c r="C711" s="38" t="s">
        <v>238</v>
      </c>
      <c r="D711" s="38">
        <v>81.0</v>
      </c>
      <c r="E711" s="13" t="b">
        <v>0</v>
      </c>
      <c r="F711" s="13" t="b">
        <v>1</v>
      </c>
      <c r="G711" s="38" t="s">
        <v>224</v>
      </c>
      <c r="H711" s="38"/>
      <c r="I711" s="38" t="s">
        <v>490</v>
      </c>
      <c r="J711" s="38">
        <v>6.0</v>
      </c>
      <c r="K711" s="38"/>
      <c r="L711" s="38"/>
      <c r="M711" s="38" t="s">
        <v>388</v>
      </c>
      <c r="N711" s="38">
        <v>14000.0</v>
      </c>
      <c r="O711" s="38" t="s">
        <v>224</v>
      </c>
      <c r="P711" s="40"/>
      <c r="Q711" s="38" t="s">
        <v>289</v>
      </c>
      <c r="R711" s="38">
        <v>40.0</v>
      </c>
      <c r="S711" s="38" t="s">
        <v>4248</v>
      </c>
      <c r="T711" s="38" t="s">
        <v>4249</v>
      </c>
      <c r="U711" s="38" t="s">
        <v>4250</v>
      </c>
      <c r="V711" s="55">
        <v>42004.0</v>
      </c>
      <c r="W711" s="38"/>
      <c r="X711" s="49" t="str">
        <f>HYPERLINK("http://www.mercurynews.com/bay-area-living/ci_27229262/heres-secret-sticking-new-years-resolutions","http://www.mercurynews.com/bay-area-living/ci_27229262/heres-secret-sticking-new-years-resolutions")</f>
        <v>http://www.mercurynews.com/bay-area-living/ci_27229262/heres-secret-sticking-new-years-resolutions</v>
      </c>
      <c r="Y711" s="38"/>
      <c r="Z711" s="38"/>
      <c r="AA711" s="38"/>
      <c r="AB711" s="38"/>
      <c r="AC711" s="38"/>
      <c r="AD711" s="38"/>
      <c r="AE711" s="38"/>
      <c r="AF711" s="38"/>
      <c r="AG711" s="28" t="s">
        <v>2717</v>
      </c>
      <c r="AH711" s="28" t="s">
        <v>462</v>
      </c>
      <c r="AI711" s="28" t="s">
        <v>462</v>
      </c>
      <c r="AJ711" s="28"/>
      <c r="AK711" s="28"/>
      <c r="AL711" s="28" t="s">
        <v>677</v>
      </c>
      <c r="AM711" s="28"/>
      <c r="AN711" s="54"/>
      <c r="AO711" s="54"/>
      <c r="AP711" s="28"/>
      <c r="AQ711" s="28"/>
      <c r="AR711" s="28"/>
      <c r="AS711" s="54"/>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row>
    <row r="712" ht="25.5" customHeight="1">
      <c r="A712" s="28">
        <v>38.0</v>
      </c>
      <c r="B712" s="37" t="b">
        <v>1</v>
      </c>
      <c r="C712" s="38" t="s">
        <v>106</v>
      </c>
      <c r="D712" s="38">
        <v>80.0</v>
      </c>
      <c r="E712" s="13" t="b">
        <v>0</v>
      </c>
      <c r="F712" s="13" t="b">
        <v>1</v>
      </c>
      <c r="G712" s="38" t="s">
        <v>224</v>
      </c>
      <c r="H712" s="38"/>
      <c r="I712" s="38" t="s">
        <v>574</v>
      </c>
      <c r="J712" s="38">
        <v>4.0</v>
      </c>
      <c r="K712" s="38" t="s">
        <v>879</v>
      </c>
      <c r="L712" s="38">
        <v>401.0</v>
      </c>
      <c r="M712" s="38" t="s">
        <v>35</v>
      </c>
      <c r="N712" s="38">
        <v>2000.0</v>
      </c>
      <c r="O712" s="38" t="s">
        <v>644</v>
      </c>
      <c r="P712" s="40"/>
      <c r="Q712" s="38" t="s">
        <v>111</v>
      </c>
      <c r="R712" s="38">
        <v>41.0</v>
      </c>
      <c r="S712" s="38" t="s">
        <v>4125</v>
      </c>
      <c r="T712" s="38" t="s">
        <v>4126</v>
      </c>
      <c r="U712" s="38" t="s">
        <v>4127</v>
      </c>
      <c r="V712" s="38">
        <v>2009.0</v>
      </c>
      <c r="W712" s="38" t="s">
        <v>4128</v>
      </c>
      <c r="X712" s="38" t="s">
        <v>4129</v>
      </c>
      <c r="Y712" s="38"/>
      <c r="Z712" s="38"/>
      <c r="AA712" s="38"/>
      <c r="AB712" s="38"/>
      <c r="AC712" s="38"/>
      <c r="AD712" s="38"/>
      <c r="AE712" s="38"/>
      <c r="AF712" s="38"/>
      <c r="AG712" s="28"/>
      <c r="AH712" s="28" t="s">
        <v>926</v>
      </c>
      <c r="AI712" s="28" t="s">
        <v>462</v>
      </c>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row>
    <row r="713" ht="25.5" customHeight="1">
      <c r="A713" s="28">
        <v>452.0</v>
      </c>
      <c r="B713" s="37" t="b">
        <v>1</v>
      </c>
      <c r="C713" s="38" t="s">
        <v>106</v>
      </c>
      <c r="D713" s="38">
        <v>80.0</v>
      </c>
      <c r="E713" s="13" t="b">
        <v>0</v>
      </c>
      <c r="F713" s="13" t="b">
        <v>1</v>
      </c>
      <c r="G713" s="38" t="s">
        <v>224</v>
      </c>
      <c r="H713" s="38"/>
      <c r="I713" s="38" t="s">
        <v>387</v>
      </c>
      <c r="J713" s="38">
        <v>8.0</v>
      </c>
      <c r="K713" s="38" t="s">
        <v>3862</v>
      </c>
      <c r="L713" s="38">
        <v>804.0</v>
      </c>
      <c r="M713" s="38" t="s">
        <v>35</v>
      </c>
      <c r="N713" s="38">
        <v>2000.0</v>
      </c>
      <c r="O713" s="38" t="s">
        <v>1332</v>
      </c>
      <c r="P713" s="40"/>
      <c r="Q713" s="38" t="s">
        <v>289</v>
      </c>
      <c r="R713" s="38">
        <v>40.0</v>
      </c>
      <c r="S713" s="61" t="s">
        <v>6532</v>
      </c>
      <c r="T713" s="38" t="s">
        <v>6533</v>
      </c>
      <c r="U713" s="38" t="s">
        <v>4127</v>
      </c>
      <c r="V713" s="38">
        <v>2015.0</v>
      </c>
      <c r="W713" s="38" t="s">
        <v>6535</v>
      </c>
      <c r="X713" s="38" t="s">
        <v>6538</v>
      </c>
      <c r="Y713" s="38"/>
      <c r="Z713" s="38"/>
      <c r="AA713" s="38"/>
      <c r="AB713" s="38"/>
      <c r="AC713" s="38"/>
      <c r="AD713" s="38"/>
      <c r="AE713" s="38"/>
      <c r="AF713" s="38"/>
      <c r="AG713" s="28"/>
      <c r="AH713" s="28" t="s">
        <v>428</v>
      </c>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row>
    <row r="714" ht="25.5" customHeight="1">
      <c r="A714" s="28">
        <v>10084.0</v>
      </c>
      <c r="B714" s="37" t="b">
        <v>1</v>
      </c>
      <c r="C714" s="38" t="s">
        <v>238</v>
      </c>
      <c r="D714" s="38">
        <v>81.0</v>
      </c>
      <c r="E714" s="13" t="b">
        <v>0</v>
      </c>
      <c r="F714" s="13" t="b">
        <v>1</v>
      </c>
      <c r="G714" s="38" t="s">
        <v>224</v>
      </c>
      <c r="H714" s="38"/>
      <c r="I714" s="38" t="s">
        <v>574</v>
      </c>
      <c r="J714" s="38">
        <v>4.0</v>
      </c>
      <c r="K714" s="38"/>
      <c r="L714" s="38"/>
      <c r="M714" s="38" t="s">
        <v>35</v>
      </c>
      <c r="N714" s="38">
        <v>2000.0</v>
      </c>
      <c r="O714" s="38" t="s">
        <v>644</v>
      </c>
      <c r="P714" s="40"/>
      <c r="Q714" s="38" t="s">
        <v>289</v>
      </c>
      <c r="R714" s="38">
        <v>40.0</v>
      </c>
      <c r="S714" s="38" t="s">
        <v>2198</v>
      </c>
      <c r="T714" s="38" t="s">
        <v>2200</v>
      </c>
      <c r="U714" s="38" t="s">
        <v>2201</v>
      </c>
      <c r="V714" s="55">
        <v>41913.0</v>
      </c>
      <c r="W714" s="38" t="s">
        <v>2202</v>
      </c>
      <c r="X714" s="49" t="str">
        <f>HYPERLINK("http://nymag.com/scienceofus/2014/09/how-to-convince-conservatives-on-climate-change.html?utm_content=buffercaf8d&amp;utm_medium=social&amp;utm_source=twitter.com&amp;utm_campaign=buffer","http://nymag.com/scienceofus/2014/09/how-to-convince-conservatives-on-climate-change.html?utm_content=buffercaf8d&amp;utm_medium=social&amp;utm_source=twitter.com&amp;utm_campaign=buffer")</f>
        <v>http://nymag.com/scienceofus/2014/09/how-to-convince-conservatives-on-climate-change.html?utm_content=buffercaf8d&amp;utm_medium=social&amp;utm_source=twitter.com&amp;utm_campaign=buffer</v>
      </c>
      <c r="Y714" s="38"/>
      <c r="Z714" s="38"/>
      <c r="AA714" s="38"/>
      <c r="AB714" s="38"/>
      <c r="AC714" s="38"/>
      <c r="AD714" s="38"/>
      <c r="AE714" s="38"/>
      <c r="AF714" s="38"/>
      <c r="AG714" s="28"/>
      <c r="AH714" s="28" t="s">
        <v>462</v>
      </c>
      <c r="AI714" s="28" t="s">
        <v>462</v>
      </c>
      <c r="AJ714" s="28"/>
      <c r="AK714" s="28"/>
      <c r="AL714" s="28" t="s">
        <v>600</v>
      </c>
      <c r="AM714" s="28"/>
      <c r="AN714" s="54"/>
      <c r="AO714" s="54"/>
      <c r="AP714" s="28"/>
      <c r="AQ714" s="28"/>
      <c r="AR714" s="28"/>
      <c r="AS714" s="54"/>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row>
    <row r="715" ht="25.5" customHeight="1">
      <c r="A715" s="28">
        <v>10183.0</v>
      </c>
      <c r="B715" s="37" t="b">
        <v>1</v>
      </c>
      <c r="C715" s="38" t="s">
        <v>238</v>
      </c>
      <c r="D715" s="38">
        <v>81.0</v>
      </c>
      <c r="E715" s="13" t="b">
        <v>0</v>
      </c>
      <c r="F715" s="13" t="b">
        <v>1</v>
      </c>
      <c r="G715" s="38" t="s">
        <v>224</v>
      </c>
      <c r="H715" s="38"/>
      <c r="I715" s="38" t="s">
        <v>265</v>
      </c>
      <c r="J715" s="38">
        <v>9.0</v>
      </c>
      <c r="K715" s="38"/>
      <c r="L715" s="38"/>
      <c r="M715" s="38" t="s">
        <v>388</v>
      </c>
      <c r="N715" s="38">
        <v>14000.0</v>
      </c>
      <c r="O715" s="38" t="s">
        <v>224</v>
      </c>
      <c r="P715" s="40"/>
      <c r="Q715" s="38" t="s">
        <v>289</v>
      </c>
      <c r="R715" s="38">
        <v>40.0</v>
      </c>
      <c r="S715" s="38" t="s">
        <v>3196</v>
      </c>
      <c r="T715" s="38" t="s">
        <v>3197</v>
      </c>
      <c r="U715" s="38" t="s">
        <v>2201</v>
      </c>
      <c r="V715" s="55">
        <v>42018.0</v>
      </c>
      <c r="W715" s="38" t="s">
        <v>3198</v>
      </c>
      <c r="X715" s="49" t="str">
        <f>HYPERLINK("http://nymag.com/scienceofus/2015/01/time-to-get-acquainted-with-future-you.html?mid=twitter_scienceofus","http://nymag.com/scienceofus/2015/01/time-to-get-acquainted-with-future-you.html?mid=twitter_scienceofus")</f>
        <v>http://nymag.com/scienceofus/2015/01/time-to-get-acquainted-with-future-you.html?mid=twitter_scienceofus</v>
      </c>
      <c r="Y715" s="38"/>
      <c r="Z715" s="38"/>
      <c r="AA715" s="38"/>
      <c r="AB715" s="38"/>
      <c r="AC715" s="38"/>
      <c r="AD715" s="38"/>
      <c r="AE715" s="38"/>
      <c r="AF715" s="38"/>
      <c r="AG715" s="28"/>
      <c r="AH715" s="28" t="s">
        <v>462</v>
      </c>
      <c r="AI715" s="28" t="s">
        <v>462</v>
      </c>
      <c r="AJ715" s="28"/>
      <c r="AK715" s="28"/>
      <c r="AL715" s="28" t="s">
        <v>769</v>
      </c>
      <c r="AM715" s="28" t="s">
        <v>3203</v>
      </c>
      <c r="AN715" s="54">
        <v>42125.0</v>
      </c>
      <c r="AO715" s="54"/>
      <c r="AP715" s="103" t="str">
        <f>HYPERLINK("http://sciof.us/1bWlybo","7/21/2016")</f>
        <v>7/21/2016</v>
      </c>
      <c r="AQ715" s="28" t="s">
        <v>769</v>
      </c>
      <c r="AR715" s="28"/>
      <c r="AS715" s="54">
        <v>42135.0</v>
      </c>
      <c r="AT715" s="28"/>
      <c r="AU715" s="28"/>
      <c r="AV715" s="28"/>
      <c r="AW715" s="28"/>
      <c r="AX715" s="28"/>
      <c r="AY715" s="28"/>
      <c r="AZ715" s="28" t="s">
        <v>3106</v>
      </c>
      <c r="BA715" s="28"/>
      <c r="BB715" s="28"/>
      <c r="BC715" s="28"/>
      <c r="BD715" s="28"/>
      <c r="BE715" s="28"/>
      <c r="BF715" s="28"/>
      <c r="BG715" s="28"/>
      <c r="BH715" s="28"/>
      <c r="BI715" s="28"/>
      <c r="BJ715" s="28"/>
      <c r="BK715" s="28"/>
      <c r="BL715" s="28"/>
      <c r="BM715" s="28"/>
      <c r="BN715" s="28"/>
      <c r="BO715" s="28"/>
    </row>
    <row r="716" ht="25.5" customHeight="1">
      <c r="A716" s="28">
        <v>10314.0</v>
      </c>
      <c r="B716" s="37" t="b">
        <v>1</v>
      </c>
      <c r="C716" s="38" t="s">
        <v>238</v>
      </c>
      <c r="D716" s="38">
        <v>81.0</v>
      </c>
      <c r="E716" s="13" t="b">
        <v>0</v>
      </c>
      <c r="F716" s="13" t="b">
        <v>1</v>
      </c>
      <c r="G716" s="38" t="s">
        <v>224</v>
      </c>
      <c r="H716" s="38"/>
      <c r="I716" s="38" t="s">
        <v>1292</v>
      </c>
      <c r="J716" s="38" t="s">
        <v>1293</v>
      </c>
      <c r="K716" s="38"/>
      <c r="L716" s="38"/>
      <c r="M716" s="38" t="s">
        <v>388</v>
      </c>
      <c r="N716" s="38">
        <v>14000.0</v>
      </c>
      <c r="O716" s="38" t="s">
        <v>224</v>
      </c>
      <c r="P716" s="40"/>
      <c r="Q716" s="38" t="s">
        <v>289</v>
      </c>
      <c r="R716" s="38">
        <v>40.0</v>
      </c>
      <c r="S716" s="38" t="s">
        <v>4321</v>
      </c>
      <c r="T716" s="38" t="s">
        <v>3197</v>
      </c>
      <c r="U716" s="38" t="s">
        <v>2201</v>
      </c>
      <c r="V716" s="55">
        <v>42024.0</v>
      </c>
      <c r="W716" s="38" t="s">
        <v>4322</v>
      </c>
      <c r="X716" s="49" t="str">
        <f>HYPERLINK("http://nymag.com/scienceofus/2015/01/changing-a-habit-can-mess-with-your-identity.html","http://nymag.com/scienceofus/2015/01/changing-a-habit-can-mess-with-your-identity.html")</f>
        <v>http://nymag.com/scienceofus/2015/01/changing-a-habit-can-mess-with-your-identity.html</v>
      </c>
      <c r="Y716" s="38"/>
      <c r="Z716" s="38"/>
      <c r="AA716" s="38"/>
      <c r="AB716" s="38"/>
      <c r="AC716" s="38"/>
      <c r="AD716" s="38"/>
      <c r="AE716" s="38"/>
      <c r="AF716" s="38"/>
      <c r="AG716" s="28" t="s">
        <v>4326</v>
      </c>
      <c r="AH716" s="28" t="s">
        <v>428</v>
      </c>
      <c r="AI716" s="28" t="s">
        <v>462</v>
      </c>
      <c r="AJ716" s="28"/>
      <c r="AK716" s="28"/>
      <c r="AL716" s="28" t="s">
        <v>677</v>
      </c>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row>
    <row r="717" ht="25.5" customHeight="1">
      <c r="A717" s="28">
        <v>10234.0</v>
      </c>
      <c r="B717" s="37" t="b">
        <v>1</v>
      </c>
      <c r="C717" s="38" t="s">
        <v>238</v>
      </c>
      <c r="D717" s="38">
        <v>81.0</v>
      </c>
      <c r="E717" s="13" t="b">
        <v>0</v>
      </c>
      <c r="F717" s="13" t="b">
        <v>1</v>
      </c>
      <c r="G717" s="38" t="s">
        <v>224</v>
      </c>
      <c r="H717" s="38"/>
      <c r="I717" s="38" t="s">
        <v>429</v>
      </c>
      <c r="J717" s="38">
        <v>2.0</v>
      </c>
      <c r="K717" s="38"/>
      <c r="L717" s="38"/>
      <c r="M717" s="38" t="s">
        <v>107</v>
      </c>
      <c r="N717" s="38">
        <v>3000.0</v>
      </c>
      <c r="O717" s="38" t="s">
        <v>470</v>
      </c>
      <c r="P717" s="40"/>
      <c r="Q717" s="38" t="s">
        <v>111</v>
      </c>
      <c r="R717" s="38">
        <v>41.0</v>
      </c>
      <c r="S717" s="38" t="s">
        <v>3675</v>
      </c>
      <c r="T717" s="38" t="s">
        <v>3676</v>
      </c>
      <c r="U717" s="38" t="s">
        <v>3677</v>
      </c>
      <c r="V717" s="55">
        <v>42177.0</v>
      </c>
      <c r="W717" s="38" t="s">
        <v>3679</v>
      </c>
      <c r="X717" s="49" t="str">
        <f>HYPERLINK("http://sciencenordic.com/how-nudge-consumers-make-greener-choices","http://sciencenordic.com/how-nudge-consumers-make-greener-choices")</f>
        <v>http://sciencenordic.com/how-nudge-consumers-make-greener-choices</v>
      </c>
      <c r="Y717" s="38"/>
      <c r="Z717" s="38"/>
      <c r="AA717" s="38"/>
      <c r="AB717" s="38"/>
      <c r="AC717" s="38"/>
      <c r="AD717" s="38"/>
      <c r="AE717" s="38"/>
      <c r="AF717" s="38"/>
      <c r="AG717" s="28"/>
      <c r="AH717" s="28" t="s">
        <v>462</v>
      </c>
      <c r="AI717" s="28" t="s">
        <v>462</v>
      </c>
      <c r="AJ717" s="28"/>
      <c r="AK717" s="28" t="s">
        <v>1099</v>
      </c>
      <c r="AL717" s="28" t="s">
        <v>769</v>
      </c>
      <c r="AM717" s="28" t="s">
        <v>3682</v>
      </c>
      <c r="AN717" s="54">
        <v>42194.0</v>
      </c>
      <c r="AO717" s="54"/>
      <c r="AP717" s="54">
        <v>42563.0</v>
      </c>
      <c r="AQ717" s="28" t="s">
        <v>769</v>
      </c>
      <c r="AR717" s="28"/>
      <c r="AS717" s="54">
        <v>42212.0</v>
      </c>
      <c r="AT717" s="28" t="s">
        <v>1842</v>
      </c>
      <c r="AU717" s="28"/>
      <c r="AV717" s="28"/>
      <c r="AW717" s="28"/>
      <c r="AX717" s="28"/>
      <c r="AY717" s="28"/>
      <c r="AZ717" s="28" t="s">
        <v>1101</v>
      </c>
      <c r="BA717" s="28"/>
      <c r="BB717" s="28"/>
      <c r="BC717" s="28"/>
      <c r="BD717" s="28"/>
      <c r="BE717" s="28"/>
      <c r="BF717" s="28"/>
      <c r="BG717" s="28"/>
      <c r="BH717" s="28"/>
      <c r="BI717" s="28"/>
      <c r="BJ717" s="28"/>
      <c r="BK717" s="28"/>
      <c r="BL717" s="28"/>
      <c r="BM717" s="28"/>
      <c r="BN717" s="28"/>
      <c r="BO717" s="28"/>
    </row>
    <row r="718" ht="25.5" customHeight="1">
      <c r="A718" s="32">
        <v>20062.0</v>
      </c>
      <c r="B718" s="37" t="b">
        <v>1</v>
      </c>
      <c r="C718" s="62" t="s">
        <v>274</v>
      </c>
      <c r="D718" s="62">
        <v>82.0</v>
      </c>
      <c r="E718" s="13" t="b">
        <v>0</v>
      </c>
      <c r="F718" s="13" t="b">
        <v>1</v>
      </c>
      <c r="G718" s="62" t="s">
        <v>224</v>
      </c>
      <c r="H718" s="62"/>
      <c r="I718" s="62" t="s">
        <v>387</v>
      </c>
      <c r="J718" s="67">
        <v>8.0</v>
      </c>
      <c r="K718" s="133" t="s">
        <v>571</v>
      </c>
      <c r="L718" s="62">
        <v>800.0</v>
      </c>
      <c r="M718" s="62" t="s">
        <v>35</v>
      </c>
      <c r="N718" s="38">
        <v>2000.0</v>
      </c>
      <c r="O718" s="62" t="s">
        <v>587</v>
      </c>
      <c r="P718" s="58"/>
      <c r="Q718" s="62" t="s">
        <v>431</v>
      </c>
      <c r="R718" s="67"/>
      <c r="S718" s="62" t="s">
        <v>590</v>
      </c>
      <c r="T718" s="62" t="s">
        <v>591</v>
      </c>
      <c r="U718" s="62" t="s">
        <v>592</v>
      </c>
      <c r="V718" s="68">
        <v>42032.0</v>
      </c>
      <c r="W718" s="62"/>
      <c r="X718" s="49" t="str">
        <f>HYPERLINK("http://www.scientificamerican.com/article/what-do-farmers-think-about-climate-change/","http://www.scientificamerican.com/article/what-do-farmers-think-about-climate-change/")</f>
        <v>http://www.scientificamerican.com/article/what-do-farmers-think-about-climate-change/</v>
      </c>
      <c r="Y718" s="62" t="s">
        <v>588</v>
      </c>
      <c r="Z718" s="62" t="s">
        <v>589</v>
      </c>
      <c r="AA718" s="62"/>
      <c r="AB718" s="49"/>
      <c r="AC718" s="62"/>
      <c r="AD718" s="62"/>
      <c r="AE718" s="62"/>
      <c r="AF718" s="6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v>4.0</v>
      </c>
      <c r="BD718" s="32" t="s">
        <v>593</v>
      </c>
      <c r="BE718" s="32" t="s">
        <v>114</v>
      </c>
      <c r="BF718" s="32"/>
      <c r="BG718" s="32"/>
      <c r="BH718" s="32"/>
      <c r="BI718" s="32"/>
      <c r="BJ718" s="32"/>
      <c r="BK718" s="32"/>
      <c r="BL718" s="32"/>
      <c r="BM718" s="32"/>
      <c r="BN718" s="32"/>
      <c r="BO718" s="32"/>
    </row>
    <row r="719" ht="25.5" customHeight="1">
      <c r="A719" s="28">
        <v>10000.0</v>
      </c>
      <c r="B719" s="37" t="b">
        <v>1</v>
      </c>
      <c r="C719" s="38" t="s">
        <v>238</v>
      </c>
      <c r="D719" s="38">
        <v>81.0</v>
      </c>
      <c r="E719" s="13" t="b">
        <v>1</v>
      </c>
      <c r="F719" s="13" t="b">
        <v>0</v>
      </c>
      <c r="G719" s="38" t="s">
        <v>224</v>
      </c>
      <c r="H719" s="38"/>
      <c r="I719" s="38" t="s">
        <v>574</v>
      </c>
      <c r="J719" s="38">
        <v>4.0</v>
      </c>
      <c r="K719" s="38"/>
      <c r="L719" s="38"/>
      <c r="M719" s="38" t="s">
        <v>35</v>
      </c>
      <c r="N719" s="38">
        <v>2000.0</v>
      </c>
      <c r="O719" s="38" t="s">
        <v>837</v>
      </c>
      <c r="P719" s="40">
        <v>2001.0</v>
      </c>
      <c r="Q719" s="38" t="s">
        <v>289</v>
      </c>
      <c r="R719" s="38">
        <v>40.0</v>
      </c>
      <c r="S719" s="38" t="s">
        <v>1237</v>
      </c>
      <c r="T719" s="38" t="s">
        <v>1238</v>
      </c>
      <c r="U719" s="38" t="s">
        <v>592</v>
      </c>
      <c r="V719" s="55">
        <v>42069.0</v>
      </c>
      <c r="W719" s="38" t="s">
        <v>1245</v>
      </c>
      <c r="X719" s="49" t="str">
        <f>HYPERLINK("http://www.scientificamerican.com/article/how-to-win-friends-and-bamboozle-people-about-climate-change/","http://www.scientificamerican.com/article/how-to-win-friends-and-bamboozle-people-about-climate-change/")</f>
        <v>http://www.scientificamerican.com/article/how-to-win-friends-and-bamboozle-people-about-climate-change/</v>
      </c>
      <c r="Y719" s="38"/>
      <c r="Z719" s="38"/>
      <c r="AA719" s="38"/>
      <c r="AB719" s="38"/>
      <c r="AC719" s="38"/>
      <c r="AD719" s="38"/>
      <c r="AE719" s="38"/>
      <c r="AF719" s="38"/>
      <c r="AG719" s="28"/>
      <c r="AH719" s="28" t="s">
        <v>462</v>
      </c>
      <c r="AI719" s="28" t="s">
        <v>462</v>
      </c>
      <c r="AJ719" s="28"/>
      <c r="AK719" s="28" t="s">
        <v>676</v>
      </c>
      <c r="AL719" s="28" t="s">
        <v>600</v>
      </c>
      <c r="AM719" s="28"/>
      <c r="AN719" s="54"/>
      <c r="AO719" s="54"/>
      <c r="AP719" s="28"/>
      <c r="AQ719" s="28"/>
      <c r="AR719" s="28"/>
      <c r="AS719" s="54"/>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row>
    <row r="720" ht="25.5" customHeight="1">
      <c r="A720" s="28">
        <v>10023.0</v>
      </c>
      <c r="B720" s="37" t="b">
        <v>1</v>
      </c>
      <c r="C720" s="38" t="s">
        <v>238</v>
      </c>
      <c r="D720" s="38">
        <v>81.0</v>
      </c>
      <c r="E720" s="13" t="b">
        <v>1</v>
      </c>
      <c r="F720" s="13" t="b">
        <v>0</v>
      </c>
      <c r="G720" s="38" t="s">
        <v>363</v>
      </c>
      <c r="H720" s="38">
        <v>58.0</v>
      </c>
      <c r="I720" s="38" t="s">
        <v>224</v>
      </c>
      <c r="J720" s="38"/>
      <c r="K720" s="38" t="s">
        <v>224</v>
      </c>
      <c r="L720" s="38"/>
      <c r="M720" s="38" t="s">
        <v>388</v>
      </c>
      <c r="N720" s="38">
        <v>14000.0</v>
      </c>
      <c r="O720" s="38" t="s">
        <v>224</v>
      </c>
      <c r="P720" s="40"/>
      <c r="Q720" s="38" t="s">
        <v>289</v>
      </c>
      <c r="R720" s="38">
        <v>40.0</v>
      </c>
      <c r="S720" s="38" t="s">
        <v>1520</v>
      </c>
      <c r="T720" s="38" t="s">
        <v>1521</v>
      </c>
      <c r="U720" s="38" t="s">
        <v>592</v>
      </c>
      <c r="V720" s="55">
        <v>42066.0</v>
      </c>
      <c r="W720" s="38" t="s">
        <v>1522</v>
      </c>
      <c r="X720" s="49" t="str">
        <f>HYPERLINK("http://www.scientificamerican.com/article/why-people-fly-from-facts/","http://www.scientificamerican.com/article/why-people-fly-from-facts/")</f>
        <v>http://www.scientificamerican.com/article/why-people-fly-from-facts/</v>
      </c>
      <c r="Y720" s="38"/>
      <c r="Z720" s="38"/>
      <c r="AA720" s="38"/>
      <c r="AB720" s="38"/>
      <c r="AC720" s="38"/>
      <c r="AD720" s="38"/>
      <c r="AE720" s="38"/>
      <c r="AF720" s="38"/>
      <c r="AG720" s="28"/>
      <c r="AH720" s="28" t="s">
        <v>462</v>
      </c>
      <c r="AI720" s="28" t="s">
        <v>462</v>
      </c>
      <c r="AJ720" s="28"/>
      <c r="AK720" s="28" t="s">
        <v>676</v>
      </c>
      <c r="AL720" s="28" t="s">
        <v>769</v>
      </c>
      <c r="AM720" s="28" t="s">
        <v>1529</v>
      </c>
      <c r="AN720" s="54">
        <v>42193.0</v>
      </c>
      <c r="AO720" s="54"/>
      <c r="AP720" s="28"/>
      <c r="AQ720" s="28" t="s">
        <v>769</v>
      </c>
      <c r="AR720" s="28"/>
      <c r="AS720" s="54">
        <v>42204.0</v>
      </c>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row>
    <row r="721" ht="25.5" customHeight="1">
      <c r="A721" s="28">
        <v>10264.0</v>
      </c>
      <c r="B721" s="37" t="b">
        <v>1</v>
      </c>
      <c r="C721" s="38" t="s">
        <v>238</v>
      </c>
      <c r="D721" s="38">
        <v>81.0</v>
      </c>
      <c r="E721" s="13" t="b">
        <v>0</v>
      </c>
      <c r="F721" s="13" t="b">
        <v>1</v>
      </c>
      <c r="G721" s="38" t="s">
        <v>224</v>
      </c>
      <c r="H721" s="38"/>
      <c r="I721" s="38" t="s">
        <v>3013</v>
      </c>
      <c r="J721" s="38" t="s">
        <v>3014</v>
      </c>
      <c r="K721" s="38"/>
      <c r="L721" s="38"/>
      <c r="M721" s="38" t="s">
        <v>35</v>
      </c>
      <c r="N721" s="38">
        <v>2000.0</v>
      </c>
      <c r="O721" s="38" t="s">
        <v>1114</v>
      </c>
      <c r="P721" s="40"/>
      <c r="Q721" s="38" t="s">
        <v>289</v>
      </c>
      <c r="R721" s="38">
        <v>40.0</v>
      </c>
      <c r="S721" s="38" t="s">
        <v>3880</v>
      </c>
      <c r="T721" s="38" t="s">
        <v>1238</v>
      </c>
      <c r="U721" s="38" t="s">
        <v>592</v>
      </c>
      <c r="V721" s="55">
        <v>40253.0</v>
      </c>
      <c r="W721" s="38" t="s">
        <v>3884</v>
      </c>
      <c r="X721" s="49" t="str">
        <f>HYPERLINK("http://www.scientificamerican.com/article/overconsumption-consumer-green/","http://www.scientificamerican.com/article/overconsumption-consumer-green/")</f>
        <v>http://www.scientificamerican.com/article/overconsumption-consumer-green/</v>
      </c>
      <c r="Y721" s="38"/>
      <c r="Z721" s="38"/>
      <c r="AA721" s="38"/>
      <c r="AB721" s="38"/>
      <c r="AC721" s="38"/>
      <c r="AD721" s="38"/>
      <c r="AE721" s="38"/>
      <c r="AF721" s="38"/>
      <c r="AG721" s="28" t="s">
        <v>3892</v>
      </c>
      <c r="AH721" s="28" t="s">
        <v>3893</v>
      </c>
      <c r="AI721" s="28" t="s">
        <v>3893</v>
      </c>
      <c r="AJ721" s="28"/>
      <c r="AK721" s="28" t="s">
        <v>663</v>
      </c>
      <c r="AL721" s="28" t="s">
        <v>769</v>
      </c>
      <c r="AM721" s="28" t="s">
        <v>3894</v>
      </c>
      <c r="AN721" s="54">
        <v>42338.0</v>
      </c>
      <c r="AO721" s="54"/>
      <c r="AP721" s="54"/>
      <c r="AQ721" s="28" t="s">
        <v>561</v>
      </c>
      <c r="AR721" s="28"/>
      <c r="AS721" s="54">
        <v>42431.0</v>
      </c>
      <c r="AT721" s="70"/>
      <c r="AU721" s="28"/>
      <c r="AV721" s="28"/>
      <c r="AW721" s="28"/>
      <c r="AX721" s="28"/>
      <c r="AY721" s="28"/>
      <c r="AZ721" s="28" t="s">
        <v>3895</v>
      </c>
      <c r="BA721" s="28"/>
      <c r="BB721" s="28"/>
      <c r="BC721" s="28"/>
      <c r="BD721" s="28"/>
      <c r="BE721" s="28"/>
      <c r="BF721" s="28"/>
      <c r="BG721" s="28"/>
      <c r="BH721" s="28"/>
      <c r="BI721" s="28"/>
      <c r="BJ721" s="28"/>
      <c r="BK721" s="28"/>
      <c r="BL721" s="28"/>
      <c r="BM721" s="28"/>
      <c r="BN721" s="28"/>
      <c r="BO721" s="28"/>
    </row>
    <row r="722" ht="25.5" customHeight="1">
      <c r="A722" s="28">
        <v>10156.0</v>
      </c>
      <c r="B722" s="37" t="b">
        <v>1</v>
      </c>
      <c r="C722" s="38" t="s">
        <v>238</v>
      </c>
      <c r="D722" s="38">
        <v>81.0</v>
      </c>
      <c r="E722" s="13" t="b">
        <v>0</v>
      </c>
      <c r="F722" s="13" t="b">
        <v>1</v>
      </c>
      <c r="G722" s="38" t="s">
        <v>224</v>
      </c>
      <c r="H722" s="38"/>
      <c r="I722" s="38" t="s">
        <v>1331</v>
      </c>
      <c r="J722" s="38" t="s">
        <v>1371</v>
      </c>
      <c r="K722" s="38"/>
      <c r="L722" s="38"/>
      <c r="M722" s="38" t="s">
        <v>367</v>
      </c>
      <c r="N722" s="38">
        <v>11000.0</v>
      </c>
      <c r="O722" s="38" t="s">
        <v>2957</v>
      </c>
      <c r="P722" s="40"/>
      <c r="Q722" s="38" t="s">
        <v>289</v>
      </c>
      <c r="R722" s="38">
        <v>40.0</v>
      </c>
      <c r="S722" s="38" t="s">
        <v>2958</v>
      </c>
      <c r="T722" s="38" t="s">
        <v>591</v>
      </c>
      <c r="U722" s="38" t="s">
        <v>592</v>
      </c>
      <c r="V722" s="55">
        <v>42032.0</v>
      </c>
      <c r="W722" s="38" t="s">
        <v>2960</v>
      </c>
      <c r="X722" s="49" t="str">
        <f>HYPERLINK("http://www.scientificamerican.com/article/what-do-farmers-think-about-climate-change/","http://www.scientificamerican.com/article/what-do-farmers-think-about-climate-change/")</f>
        <v>http://www.scientificamerican.com/article/what-do-farmers-think-about-climate-change/</v>
      </c>
      <c r="Y722" s="38"/>
      <c r="Z722" s="38"/>
      <c r="AA722" s="38"/>
      <c r="AB722" s="38"/>
      <c r="AC722" s="38"/>
      <c r="AD722" s="38"/>
      <c r="AE722" s="38"/>
      <c r="AF722" s="38"/>
      <c r="AG722" s="28"/>
      <c r="AH722" s="28" t="s">
        <v>1316</v>
      </c>
      <c r="AI722" s="28" t="s">
        <v>1317</v>
      </c>
      <c r="AJ722" s="28"/>
      <c r="AK722" s="28" t="s">
        <v>1099</v>
      </c>
      <c r="AL722" s="28" t="s">
        <v>2965</v>
      </c>
      <c r="AM722" s="28"/>
      <c r="AN722" s="28"/>
      <c r="AO722" s="28"/>
      <c r="AP722" s="28"/>
      <c r="AQ722" s="28" t="s">
        <v>769</v>
      </c>
      <c r="AR722" s="28"/>
      <c r="AS722" s="54">
        <v>42056.0</v>
      </c>
      <c r="AT722" s="28" t="s">
        <v>1321</v>
      </c>
      <c r="AU722" s="28"/>
      <c r="AV722" s="28"/>
      <c r="AW722" s="28"/>
      <c r="AX722" s="28"/>
      <c r="AY722" s="28"/>
      <c r="AZ722" s="28"/>
      <c r="BA722" s="28"/>
      <c r="BB722" s="28"/>
      <c r="BC722" s="28"/>
      <c r="BD722" s="28"/>
      <c r="BE722" s="28"/>
      <c r="BF722" s="28"/>
      <c r="BG722" s="28"/>
      <c r="BH722" s="28"/>
      <c r="BI722" s="28"/>
      <c r="BJ722" s="28"/>
      <c r="BK722" s="28"/>
      <c r="BL722" s="28"/>
      <c r="BM722" s="28"/>
      <c r="BN722" s="28"/>
      <c r="BO722" s="28"/>
    </row>
    <row r="723" ht="25.5" customHeight="1">
      <c r="A723" s="28">
        <v>10342.0</v>
      </c>
      <c r="B723" s="37" t="b">
        <v>1</v>
      </c>
      <c r="C723" s="38" t="s">
        <v>238</v>
      </c>
      <c r="D723" s="38">
        <v>81.0</v>
      </c>
      <c r="E723" s="13" t="b">
        <v>0</v>
      </c>
      <c r="F723" s="13" t="b">
        <v>1</v>
      </c>
      <c r="G723" s="38" t="s">
        <v>224</v>
      </c>
      <c r="H723" s="38"/>
      <c r="I723" s="38" t="s">
        <v>280</v>
      </c>
      <c r="J723" s="38">
        <v>10.0</v>
      </c>
      <c r="K723" s="38"/>
      <c r="L723" s="38"/>
      <c r="M723" s="38" t="s">
        <v>3494</v>
      </c>
      <c r="N723" s="38">
        <v>22000.0</v>
      </c>
      <c r="O723" s="38" t="s">
        <v>4607</v>
      </c>
      <c r="P723" s="40"/>
      <c r="Q723" s="38" t="s">
        <v>289</v>
      </c>
      <c r="R723" s="38">
        <v>40.0</v>
      </c>
      <c r="S723" s="38" t="s">
        <v>4628</v>
      </c>
      <c r="T723" s="38" t="s">
        <v>4629</v>
      </c>
      <c r="U723" s="38" t="s">
        <v>592</v>
      </c>
      <c r="V723" s="55">
        <v>42053.0</v>
      </c>
      <c r="W723" s="38" t="s">
        <v>4630</v>
      </c>
      <c r="X723" s="49" t="str">
        <f>HYPERLINK("http://www.scientificamerican.com/article/games-help-save-energy/","http://www.scientificamerican.com/article/games-help-save-energy/")</f>
        <v>http://www.scientificamerican.com/article/games-help-save-energy/</v>
      </c>
      <c r="Y723" s="38"/>
      <c r="Z723" s="38"/>
      <c r="AA723" s="38"/>
      <c r="AB723" s="38"/>
      <c r="AC723" s="38"/>
      <c r="AD723" s="38"/>
      <c r="AE723" s="38"/>
      <c r="AF723" s="38"/>
      <c r="AG723" s="28"/>
      <c r="AH723" s="28" t="s">
        <v>462</v>
      </c>
      <c r="AI723" s="28" t="s">
        <v>428</v>
      </c>
      <c r="AJ723" s="28"/>
      <c r="AK723" s="28" t="s">
        <v>663</v>
      </c>
      <c r="AL723" s="28" t="s">
        <v>769</v>
      </c>
      <c r="AM723" s="28" t="s">
        <v>4632</v>
      </c>
      <c r="AN723" s="54">
        <v>42458.0</v>
      </c>
      <c r="AO723" s="54"/>
      <c r="AP723" s="28"/>
      <c r="AQ723" s="28" t="s">
        <v>769</v>
      </c>
      <c r="AR723" s="28"/>
      <c r="AS723" s="54">
        <v>42078.0</v>
      </c>
      <c r="AT723" s="28"/>
      <c r="AU723" s="28"/>
      <c r="AV723" s="28"/>
      <c r="AW723" s="28"/>
      <c r="AX723" s="28"/>
      <c r="AY723" s="28"/>
      <c r="AZ723" s="28" t="s">
        <v>678</v>
      </c>
      <c r="BA723" s="28"/>
      <c r="BB723" s="28"/>
      <c r="BC723" s="28"/>
      <c r="BD723" s="28"/>
      <c r="BE723" s="28"/>
      <c r="BF723" s="28"/>
      <c r="BG723" s="28"/>
      <c r="BH723" s="28"/>
      <c r="BI723" s="28"/>
      <c r="BJ723" s="28"/>
      <c r="BK723" s="28"/>
      <c r="BL723" s="28"/>
      <c r="BM723" s="28"/>
      <c r="BN723" s="28"/>
      <c r="BO723" s="28"/>
    </row>
    <row r="724" ht="25.5" customHeight="1">
      <c r="A724" s="28">
        <v>10427.0</v>
      </c>
      <c r="B724" s="37" t="b">
        <v>1</v>
      </c>
      <c r="C724" s="38" t="s">
        <v>238</v>
      </c>
      <c r="D724" s="38">
        <v>81.0</v>
      </c>
      <c r="E724" s="13" t="b">
        <v>0</v>
      </c>
      <c r="F724" s="13" t="b">
        <v>1</v>
      </c>
      <c r="G724" s="38" t="s">
        <v>224</v>
      </c>
      <c r="H724" s="38"/>
      <c r="I724" s="38" t="s">
        <v>772</v>
      </c>
      <c r="J724" s="38">
        <v>5.0</v>
      </c>
      <c r="K724" s="38"/>
      <c r="L724" s="38"/>
      <c r="M724" s="38" t="s">
        <v>1641</v>
      </c>
      <c r="N724" s="38" t="s">
        <v>1642</v>
      </c>
      <c r="O724" s="38" t="s">
        <v>1643</v>
      </c>
      <c r="P724" s="40"/>
      <c r="Q724" s="38" t="s">
        <v>289</v>
      </c>
      <c r="R724" s="38">
        <v>40.0</v>
      </c>
      <c r="S724" s="61" t="s">
        <v>5324</v>
      </c>
      <c r="T724" s="38" t="s">
        <v>5325</v>
      </c>
      <c r="U724" s="38" t="s">
        <v>5326</v>
      </c>
      <c r="V724" s="55">
        <v>42261.0</v>
      </c>
      <c r="W724" s="38" t="s">
        <v>5327</v>
      </c>
      <c r="X724" s="49" t="str">
        <f>HYPERLINK("http://www.scientificamerican.com/article/virtual-reality-viewfinders-show-sea-level-rise-and-what-to-do-about-it/","http://www.scientificamerican.com/article/virtual-reality-viewfinders-show-sea-level-rise-and-what-to-do-about-it/")</f>
        <v>http://www.scientificamerican.com/article/virtual-reality-viewfinders-show-sea-level-rise-and-what-to-do-about-it/</v>
      </c>
      <c r="Y724" s="38"/>
      <c r="Z724" s="38"/>
      <c r="AA724" s="38"/>
      <c r="AB724" s="38"/>
      <c r="AC724" s="38"/>
      <c r="AD724" s="38"/>
      <c r="AE724" s="38"/>
      <c r="AF724" s="38"/>
      <c r="AG724" s="28"/>
      <c r="AH724" s="28"/>
      <c r="AI724" s="28"/>
      <c r="AJ724" s="28"/>
      <c r="AK724" s="28"/>
      <c r="AL724" s="28"/>
      <c r="AM724" s="28"/>
      <c r="AN724" s="28"/>
      <c r="AO724" s="28"/>
      <c r="AP724" s="28"/>
      <c r="AQ724" s="28"/>
      <c r="AR724" s="28"/>
      <c r="AS724" s="28"/>
      <c r="AT724" s="28"/>
      <c r="AU724" s="28"/>
      <c r="AV724" s="28"/>
      <c r="AW724" s="28"/>
      <c r="AX724" s="28"/>
      <c r="AY724" s="28" t="s">
        <v>428</v>
      </c>
      <c r="AZ724" s="28"/>
      <c r="BA724" s="28"/>
      <c r="BB724" s="28"/>
      <c r="BC724" s="28"/>
      <c r="BD724" s="28"/>
      <c r="BE724" s="28"/>
      <c r="BF724" s="28"/>
      <c r="BG724" s="28"/>
      <c r="BH724" s="28"/>
      <c r="BI724" s="28"/>
      <c r="BJ724" s="28"/>
      <c r="BK724" s="28"/>
      <c r="BL724" s="28"/>
      <c r="BM724" s="28"/>
      <c r="BN724" s="28"/>
      <c r="BO724" s="28"/>
    </row>
    <row r="725" ht="25.5" customHeight="1">
      <c r="A725" s="28">
        <v>10326.0</v>
      </c>
      <c r="B725" s="37" t="b">
        <v>1</v>
      </c>
      <c r="C725" s="38" t="s">
        <v>238</v>
      </c>
      <c r="D725" s="38">
        <v>81.0</v>
      </c>
      <c r="E725" s="13" t="b">
        <v>0</v>
      </c>
      <c r="F725" s="13" t="b">
        <v>1</v>
      </c>
      <c r="G725" s="38" t="s">
        <v>224</v>
      </c>
      <c r="H725" s="38"/>
      <c r="I725" s="38" t="s">
        <v>280</v>
      </c>
      <c r="J725" s="38">
        <v>10.0</v>
      </c>
      <c r="K725" s="38"/>
      <c r="L725" s="38"/>
      <c r="M725" s="38" t="s">
        <v>388</v>
      </c>
      <c r="N725" s="38">
        <v>14000.0</v>
      </c>
      <c r="O725" s="38" t="s">
        <v>224</v>
      </c>
      <c r="P725" s="40"/>
      <c r="Q725" s="38" t="s">
        <v>289</v>
      </c>
      <c r="R725" s="38">
        <v>40.0</v>
      </c>
      <c r="S725" s="38" t="s">
        <v>4447</v>
      </c>
      <c r="T725" s="38" t="s">
        <v>3944</v>
      </c>
      <c r="U725" s="38" t="s">
        <v>4448</v>
      </c>
      <c r="V725" s="55">
        <v>41026.0</v>
      </c>
      <c r="W725" s="38" t="s">
        <v>4449</v>
      </c>
      <c r="X725" s="38" t="s">
        <v>4450</v>
      </c>
      <c r="Y725" s="38"/>
      <c r="Z725" s="38"/>
      <c r="AA725" s="38"/>
      <c r="AB725" s="38"/>
      <c r="AC725" s="38"/>
      <c r="AD725" s="38"/>
      <c r="AE725" s="38"/>
      <c r="AF725" s="38"/>
      <c r="AG725" s="28" t="s">
        <v>4451</v>
      </c>
      <c r="AH725" s="28"/>
      <c r="AI725" s="28"/>
      <c r="AJ725" s="28"/>
      <c r="AK725" s="28" t="s">
        <v>1984</v>
      </c>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row>
    <row r="726" ht="25.5" customHeight="1">
      <c r="A726" s="28">
        <v>10273.0</v>
      </c>
      <c r="B726" s="37" t="b">
        <v>1</v>
      </c>
      <c r="C726" s="38" t="s">
        <v>238</v>
      </c>
      <c r="D726" s="38">
        <v>81.0</v>
      </c>
      <c r="E726" s="13" t="b">
        <v>0</v>
      </c>
      <c r="F726" s="13" t="b">
        <v>1</v>
      </c>
      <c r="G726" s="38" t="s">
        <v>224</v>
      </c>
      <c r="H726" s="38"/>
      <c r="I726" s="38" t="s">
        <v>2664</v>
      </c>
      <c r="J726" s="38" t="s">
        <v>2666</v>
      </c>
      <c r="K726" s="38"/>
      <c r="L726" s="38"/>
      <c r="M726" s="38" t="s">
        <v>388</v>
      </c>
      <c r="N726" s="38">
        <v>14000.0</v>
      </c>
      <c r="O726" s="38" t="s">
        <v>224</v>
      </c>
      <c r="P726" s="40"/>
      <c r="Q726" s="38" t="s">
        <v>289</v>
      </c>
      <c r="R726" s="38">
        <v>40.0</v>
      </c>
      <c r="S726" s="38" t="s">
        <v>3973</v>
      </c>
      <c r="T726" s="38" t="s">
        <v>3974</v>
      </c>
      <c r="U726" s="38" t="s">
        <v>3975</v>
      </c>
      <c r="V726" s="55">
        <v>42077.0</v>
      </c>
      <c r="W726" s="38" t="s">
        <v>3977</v>
      </c>
      <c r="X726" s="49" t="str">
        <f>HYPERLINK("http://www.searchenginejournal.com/7-principles-changing-behavior-danielpink-sxswi-2015-recap/128239/","http://www.searchenginejournal.com/7-principles-changing-behavior-danielpink-sxswi-2015-recap/128239/")</f>
        <v>http://www.searchenginejournal.com/7-principles-changing-behavior-danielpink-sxswi-2015-recap/128239/</v>
      </c>
      <c r="Y726" s="38"/>
      <c r="Z726" s="38"/>
      <c r="AA726" s="38"/>
      <c r="AB726" s="38"/>
      <c r="AC726" s="38"/>
      <c r="AD726" s="38"/>
      <c r="AE726" s="38"/>
      <c r="AF726" s="38"/>
      <c r="AG726" s="28"/>
      <c r="AH726" s="28" t="s">
        <v>462</v>
      </c>
      <c r="AI726" s="28" t="s">
        <v>462</v>
      </c>
      <c r="AJ726" s="28"/>
      <c r="AK726" s="28" t="s">
        <v>676</v>
      </c>
      <c r="AL726" s="28" t="s">
        <v>1659</v>
      </c>
      <c r="AM726" s="28"/>
      <c r="AN726" s="54"/>
      <c r="AO726" s="54"/>
      <c r="AP726" s="28"/>
      <c r="AQ726" s="28" t="s">
        <v>769</v>
      </c>
      <c r="AR726" s="28"/>
      <c r="AS726" s="54">
        <v>42127.0</v>
      </c>
      <c r="AT726" s="28"/>
      <c r="AU726" s="28"/>
      <c r="AV726" s="28"/>
      <c r="AW726" s="28"/>
      <c r="AX726" s="28"/>
      <c r="AY726" s="28"/>
      <c r="AZ726" s="28" t="s">
        <v>731</v>
      </c>
      <c r="BA726" s="28"/>
      <c r="BB726" s="28"/>
      <c r="BC726" s="28"/>
      <c r="BD726" s="28"/>
      <c r="BE726" s="28"/>
      <c r="BF726" s="28"/>
      <c r="BG726" s="28"/>
      <c r="BH726" s="28"/>
      <c r="BI726" s="28"/>
      <c r="BJ726" s="28"/>
      <c r="BK726" s="28"/>
      <c r="BL726" s="28"/>
      <c r="BM726" s="28"/>
      <c r="BN726" s="28"/>
      <c r="BO726" s="28"/>
    </row>
    <row r="727" ht="25.5" customHeight="1">
      <c r="A727" s="28">
        <v>478.0</v>
      </c>
      <c r="B727" s="37" t="b">
        <v>1</v>
      </c>
      <c r="C727" s="38" t="s">
        <v>106</v>
      </c>
      <c r="D727" s="38">
        <v>80.0</v>
      </c>
      <c r="E727" s="13" t="b">
        <v>0</v>
      </c>
      <c r="F727" s="13" t="b">
        <v>1</v>
      </c>
      <c r="G727" s="38" t="s">
        <v>224</v>
      </c>
      <c r="H727" s="38"/>
      <c r="I727" s="38" t="s">
        <v>772</v>
      </c>
      <c r="J727" s="38">
        <v>5.0</v>
      </c>
      <c r="K727" s="38" t="s">
        <v>1063</v>
      </c>
      <c r="L727" s="38">
        <v>506.0</v>
      </c>
      <c r="M727" s="38" t="s">
        <v>35</v>
      </c>
      <c r="N727" s="38">
        <v>2000.0</v>
      </c>
      <c r="O727" s="38" t="s">
        <v>578</v>
      </c>
      <c r="P727" s="40"/>
      <c r="Q727" s="38" t="s">
        <v>289</v>
      </c>
      <c r="R727" s="38">
        <v>40.0</v>
      </c>
      <c r="S727" s="38" t="s">
        <v>6698</v>
      </c>
      <c r="T727" s="38" t="s">
        <v>6699</v>
      </c>
      <c r="U727" s="38" t="s">
        <v>6700</v>
      </c>
      <c r="V727" s="38">
        <v>2012.0</v>
      </c>
      <c r="W727" s="38" t="s">
        <v>6702</v>
      </c>
      <c r="X727" s="38"/>
      <c r="Y727" s="38"/>
      <c r="Z727" s="38"/>
      <c r="AA727" s="38"/>
      <c r="AB727" s="38"/>
      <c r="AC727" s="38"/>
      <c r="AD727" s="38"/>
      <c r="AE727" s="38"/>
      <c r="AF727" s="3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row>
    <row r="728" ht="25.5" customHeight="1">
      <c r="A728" s="28">
        <v>10103.0</v>
      </c>
      <c r="B728" s="37" t="b">
        <v>1</v>
      </c>
      <c r="C728" s="38" t="s">
        <v>238</v>
      </c>
      <c r="D728" s="38">
        <v>81.0</v>
      </c>
      <c r="E728" s="13" t="b">
        <v>0</v>
      </c>
      <c r="F728" s="13" t="b">
        <v>1</v>
      </c>
      <c r="G728" s="38" t="s">
        <v>224</v>
      </c>
      <c r="H728" s="38"/>
      <c r="I728" s="38" t="s">
        <v>2484</v>
      </c>
      <c r="J728" s="38" t="s">
        <v>2485</v>
      </c>
      <c r="K728" s="38"/>
      <c r="L728" s="38"/>
      <c r="M728" s="38" t="s">
        <v>35</v>
      </c>
      <c r="N728" s="38">
        <v>2000.0</v>
      </c>
      <c r="O728" s="38" t="s">
        <v>644</v>
      </c>
      <c r="P728" s="40"/>
      <c r="Q728" s="38" t="s">
        <v>289</v>
      </c>
      <c r="R728" s="38">
        <v>40.0</v>
      </c>
      <c r="S728" s="38" t="s">
        <v>2487</v>
      </c>
      <c r="T728" s="38" t="s">
        <v>2489</v>
      </c>
      <c r="U728" s="38" t="s">
        <v>2491</v>
      </c>
      <c r="V728" s="55">
        <v>41710.0</v>
      </c>
      <c r="W728" s="38" t="s">
        <v>2493</v>
      </c>
      <c r="X728" s="49" t="str">
        <f>HYPERLINK("http://daily.sightline.org/2014/03/12/breaking-the-climate-fear-taboo/","http://daily.sightline.org/2014/03/12/breaking-the-climate-fear-taboo/")</f>
        <v>http://daily.sightline.org/2014/03/12/breaking-the-climate-fear-taboo/</v>
      </c>
      <c r="Y728" s="38"/>
      <c r="Z728" s="38"/>
      <c r="AA728" s="38"/>
      <c r="AB728" s="38"/>
      <c r="AC728" s="38"/>
      <c r="AD728" s="38"/>
      <c r="AE728" s="38"/>
      <c r="AF728" s="38"/>
      <c r="AG728" s="28" t="s">
        <v>2494</v>
      </c>
      <c r="AH728" s="28" t="s">
        <v>2495</v>
      </c>
      <c r="AI728" s="28" t="s">
        <v>2495</v>
      </c>
      <c r="AJ728" s="28"/>
      <c r="AK728" s="28" t="s">
        <v>663</v>
      </c>
      <c r="AL728" s="28" t="s">
        <v>769</v>
      </c>
      <c r="AM728" s="28" t="s">
        <v>2497</v>
      </c>
      <c r="AN728" s="54">
        <v>42348.0</v>
      </c>
      <c r="AO728" s="54"/>
      <c r="AP728" s="54"/>
      <c r="AQ728" s="28" t="s">
        <v>769</v>
      </c>
      <c r="AR728" s="28"/>
      <c r="AS728" s="54">
        <v>42359.0</v>
      </c>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row>
    <row r="729" ht="25.5" customHeight="1">
      <c r="A729" s="28">
        <v>10153.0</v>
      </c>
      <c r="B729" s="37" t="b">
        <v>1</v>
      </c>
      <c r="C729" s="38" t="s">
        <v>238</v>
      </c>
      <c r="D729" s="38">
        <v>81.0</v>
      </c>
      <c r="E729" s="13" t="b">
        <v>0</v>
      </c>
      <c r="F729" s="13" t="b">
        <v>1</v>
      </c>
      <c r="G729" s="38" t="s">
        <v>224</v>
      </c>
      <c r="H729" s="38"/>
      <c r="I729" s="38" t="s">
        <v>1331</v>
      </c>
      <c r="J729" s="38" t="s">
        <v>1371</v>
      </c>
      <c r="K729" s="38"/>
      <c r="L729" s="38"/>
      <c r="M729" s="38" t="s">
        <v>35</v>
      </c>
      <c r="N729" s="38">
        <v>2000.0</v>
      </c>
      <c r="O729" s="38" t="s">
        <v>837</v>
      </c>
      <c r="P729" s="40">
        <v>2001.0</v>
      </c>
      <c r="Q729" s="38" t="s">
        <v>289</v>
      </c>
      <c r="R729" s="38">
        <v>40.0</v>
      </c>
      <c r="S729" s="38" t="s">
        <v>2938</v>
      </c>
      <c r="T729" s="38" t="s">
        <v>2939</v>
      </c>
      <c r="U729" s="38" t="s">
        <v>2940</v>
      </c>
      <c r="V729" s="55">
        <v>41793.0</v>
      </c>
      <c r="W729" s="38" t="s">
        <v>2941</v>
      </c>
      <c r="X729" s="49" t="str">
        <f>HYPERLINK("http://www.slate.com/articles/news_and_politics/politics/2014/06/epa_emissions_regulations_and_climate_change_why_the_white_house_is_talking.html","http://www.slate.com/articles/news_and_politics/politics/2014/06/epa_emissions_regulations_and_climate_change_why_the_white_house_is_talking.html")</f>
        <v>http://www.slate.com/articles/news_and_politics/politics/2014/06/epa_emissions_regulations_and_climate_change_why_the_white_house_is_talking.html</v>
      </c>
      <c r="Y729" s="38"/>
      <c r="Z729" s="38"/>
      <c r="AA729" s="38"/>
      <c r="AB729" s="38"/>
      <c r="AC729" s="38"/>
      <c r="AD729" s="38"/>
      <c r="AE729" s="38"/>
      <c r="AF729" s="38"/>
      <c r="AG729" s="28" t="s">
        <v>2942</v>
      </c>
      <c r="AH729" s="28" t="s">
        <v>462</v>
      </c>
      <c r="AI729" s="28" t="s">
        <v>462</v>
      </c>
      <c r="AJ729" s="28"/>
      <c r="AK729" s="28" t="s">
        <v>1099</v>
      </c>
      <c r="AL729" s="28" t="s">
        <v>600</v>
      </c>
      <c r="AM729" s="28"/>
      <c r="AN729" s="54"/>
      <c r="AO729" s="54"/>
      <c r="AP729" s="28"/>
      <c r="AQ729" s="28" t="s">
        <v>769</v>
      </c>
      <c r="AR729" s="28"/>
      <c r="AS729" s="54">
        <v>42354.0</v>
      </c>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row>
    <row r="730" ht="25.5" customHeight="1">
      <c r="A730" s="28">
        <v>10169.0</v>
      </c>
      <c r="B730" s="37" t="b">
        <v>1</v>
      </c>
      <c r="C730" s="38" t="s">
        <v>238</v>
      </c>
      <c r="D730" s="38">
        <v>81.0</v>
      </c>
      <c r="E730" s="13" t="b">
        <v>0</v>
      </c>
      <c r="F730" s="13" t="b">
        <v>1</v>
      </c>
      <c r="G730" s="38" t="s">
        <v>224</v>
      </c>
      <c r="H730" s="38"/>
      <c r="I730" s="38" t="s">
        <v>1361</v>
      </c>
      <c r="J730" s="38" t="s">
        <v>1383</v>
      </c>
      <c r="K730" s="38"/>
      <c r="L730" s="38"/>
      <c r="M730" s="38" t="s">
        <v>35</v>
      </c>
      <c r="N730" s="38">
        <v>2000.0</v>
      </c>
      <c r="O730" s="38" t="s">
        <v>578</v>
      </c>
      <c r="P730" s="40"/>
      <c r="Q730" s="38" t="s">
        <v>289</v>
      </c>
      <c r="R730" s="38">
        <v>40.0</v>
      </c>
      <c r="S730" s="38" t="s">
        <v>3080</v>
      </c>
      <c r="T730" s="38" t="s">
        <v>3081</v>
      </c>
      <c r="U730" s="38" t="s">
        <v>2940</v>
      </c>
      <c r="V730" s="55">
        <v>41613.0</v>
      </c>
      <c r="W730" s="38"/>
      <c r="X730" s="49" t="str">
        <f>HYPERLINK("http://www.slate.com/blogs/the_world_/2013/12/05/do_older_countries_care_more_about_the_environment_nbsp.html","http://www.slate.com/blogs/the_world_/2013/12/05/do_older_countries_care_more_about_the_environment_nbsp.html")</f>
        <v>http://www.slate.com/blogs/the_world_/2013/12/05/do_older_countries_care_more_about_the_environment_nbsp.html</v>
      </c>
      <c r="Y730" s="38"/>
      <c r="Z730" s="38"/>
      <c r="AA730" s="38"/>
      <c r="AB730" s="38"/>
      <c r="AC730" s="38"/>
      <c r="AD730" s="38"/>
      <c r="AE730" s="38"/>
      <c r="AF730" s="38"/>
      <c r="AG730" s="28"/>
      <c r="AH730" s="28" t="s">
        <v>1380</v>
      </c>
      <c r="AI730" s="28" t="s">
        <v>1381</v>
      </c>
      <c r="AJ730" s="28"/>
      <c r="AK730" s="28"/>
      <c r="AL730" s="28" t="s">
        <v>600</v>
      </c>
      <c r="AM730" s="28"/>
      <c r="AN730" s="54"/>
      <c r="AO730" s="54"/>
      <c r="AP730" s="28"/>
      <c r="AQ730" s="28"/>
      <c r="AR730" s="28"/>
      <c r="AS730" s="54"/>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row>
    <row r="731" ht="25.5" customHeight="1">
      <c r="A731" s="28">
        <v>10453.0</v>
      </c>
      <c r="B731" s="37" t="b">
        <v>1</v>
      </c>
      <c r="C731" s="38" t="s">
        <v>238</v>
      </c>
      <c r="D731" s="38">
        <v>81.0</v>
      </c>
      <c r="E731" s="13" t="b">
        <v>0</v>
      </c>
      <c r="F731" s="13" t="b">
        <v>1</v>
      </c>
      <c r="G731" s="38" t="s">
        <v>224</v>
      </c>
      <c r="H731" s="38"/>
      <c r="I731" s="38" t="s">
        <v>376</v>
      </c>
      <c r="J731" s="38">
        <v>2.0</v>
      </c>
      <c r="K731" s="38"/>
      <c r="L731" s="38"/>
      <c r="M731" s="38" t="s">
        <v>388</v>
      </c>
      <c r="N731" s="38">
        <v>14000.0</v>
      </c>
      <c r="O731" s="38" t="s">
        <v>224</v>
      </c>
      <c r="P731" s="40"/>
      <c r="Q731" s="38" t="s">
        <v>289</v>
      </c>
      <c r="R731" s="38">
        <v>40.0</v>
      </c>
      <c r="S731" s="38" t="s">
        <v>5511</v>
      </c>
      <c r="T731" s="38" t="s">
        <v>3020</v>
      </c>
      <c r="U731" s="38" t="s">
        <v>5512</v>
      </c>
      <c r="V731" s="55">
        <v>41858.0</v>
      </c>
      <c r="W731" s="38" t="s">
        <v>5513</v>
      </c>
      <c r="X731" s="49" t="str">
        <f>HYPERLINK("http://www.smartthinkingbook.com/2014/08/do-you-prefer-more-choice-or-less-it.html","http://www.smartthinkingbook.com/2014/08/do-you-prefer-more-choice-or-less-it.html")</f>
        <v>http://www.smartthinkingbook.com/2014/08/do-you-prefer-more-choice-or-less-it.html</v>
      </c>
      <c r="Y731" s="38"/>
      <c r="Z731" s="38"/>
      <c r="AA731" s="38"/>
      <c r="AB731" s="38"/>
      <c r="AC731" s="38"/>
      <c r="AD731" s="38"/>
      <c r="AE731" s="38"/>
      <c r="AF731" s="38"/>
      <c r="AG731" s="28"/>
      <c r="AH731" s="28" t="s">
        <v>462</v>
      </c>
      <c r="AI731" s="28" t="s">
        <v>462</v>
      </c>
      <c r="AJ731" s="28"/>
      <c r="AK731" s="28" t="s">
        <v>676</v>
      </c>
      <c r="AL731" s="28" t="s">
        <v>769</v>
      </c>
      <c r="AM731" s="28"/>
      <c r="AN731" s="54">
        <v>42156.0</v>
      </c>
      <c r="AO731" s="54"/>
      <c r="AP731" s="28"/>
      <c r="AQ731" s="28"/>
      <c r="AR731" s="28"/>
      <c r="AS731" s="54"/>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row>
    <row r="732" ht="25.5" customHeight="1">
      <c r="A732" s="28">
        <v>10178.0</v>
      </c>
      <c r="B732" s="37" t="b">
        <v>1</v>
      </c>
      <c r="C732" s="38" t="s">
        <v>238</v>
      </c>
      <c r="D732" s="38">
        <v>81.0</v>
      </c>
      <c r="E732" s="13" t="b">
        <v>0</v>
      </c>
      <c r="F732" s="13" t="b">
        <v>1</v>
      </c>
      <c r="G732" s="38" t="s">
        <v>224</v>
      </c>
      <c r="H732" s="38"/>
      <c r="I732" s="38" t="s">
        <v>265</v>
      </c>
      <c r="J732" s="38">
        <v>9.0</v>
      </c>
      <c r="K732" s="38"/>
      <c r="L732" s="38"/>
      <c r="M732" s="38" t="s">
        <v>388</v>
      </c>
      <c r="N732" s="38">
        <v>14000.0</v>
      </c>
      <c r="O732" s="38" t="s">
        <v>224</v>
      </c>
      <c r="P732" s="40"/>
      <c r="Q732" s="38" t="s">
        <v>3028</v>
      </c>
      <c r="R732" s="38" t="s">
        <v>3030</v>
      </c>
      <c r="S732" s="38" t="s">
        <v>3161</v>
      </c>
      <c r="T732" s="38" t="s">
        <v>3163</v>
      </c>
      <c r="U732" s="38" t="s">
        <v>3164</v>
      </c>
      <c r="V732" s="55">
        <v>42187.0</v>
      </c>
      <c r="W732" s="38"/>
      <c r="X732" s="49" t="str">
        <f>HYPERLINK("http://www.smithsonianmag.com/science-nature/can-science-help-people-unlearn-their-unconscious-biases-180955789/?no-ist","http://www.smithsonianmag.com/science-nature/can-science-help-people-unlearn-their-unconscious-biases-180955789/?no-ist")</f>
        <v>http://www.smithsonianmag.com/science-nature/can-science-help-people-unlearn-their-unconscious-biases-180955789/?no-ist</v>
      </c>
      <c r="Y732" s="38"/>
      <c r="Z732" s="38"/>
      <c r="AA732" s="38"/>
      <c r="AB732" s="38"/>
      <c r="AC732" s="38"/>
      <c r="AD732" s="38"/>
      <c r="AE732" s="38"/>
      <c r="AF732" s="38"/>
      <c r="AG732" s="28"/>
      <c r="AH732" s="28" t="s">
        <v>462</v>
      </c>
      <c r="AI732" s="28" t="s">
        <v>462</v>
      </c>
      <c r="AJ732" s="28"/>
      <c r="AK732" s="28" t="s">
        <v>1355</v>
      </c>
      <c r="AL732" s="28" t="s">
        <v>677</v>
      </c>
      <c r="AM732" s="54" t="s">
        <v>3167</v>
      </c>
      <c r="AN732" s="54">
        <v>42375.0</v>
      </c>
      <c r="AO732" s="54"/>
      <c r="AP732" s="54"/>
      <c r="AQ732" s="28" t="s">
        <v>561</v>
      </c>
      <c r="AR732" s="28"/>
      <c r="AS732" s="54">
        <v>42395.0</v>
      </c>
      <c r="AT732" s="28"/>
      <c r="AU732" s="28"/>
      <c r="AV732" s="28"/>
      <c r="AW732" s="28"/>
      <c r="AX732" s="28"/>
      <c r="AY732" s="28"/>
      <c r="AZ732" s="28" t="s">
        <v>3168</v>
      </c>
      <c r="BA732" s="28"/>
      <c r="BB732" s="28"/>
      <c r="BC732" s="28"/>
      <c r="BD732" s="28"/>
      <c r="BE732" s="28"/>
      <c r="BF732" s="28"/>
      <c r="BG732" s="28"/>
      <c r="BH732" s="28"/>
      <c r="BI732" s="28"/>
      <c r="BJ732" s="28"/>
      <c r="BK732" s="28"/>
      <c r="BL732" s="28"/>
      <c r="BM732" s="28"/>
      <c r="BN732" s="28"/>
      <c r="BO732" s="28"/>
    </row>
    <row r="733" ht="25.5" customHeight="1">
      <c r="A733" s="28">
        <v>10252.0</v>
      </c>
      <c r="B733" s="37" t="b">
        <v>1</v>
      </c>
      <c r="C733" s="38" t="s">
        <v>238</v>
      </c>
      <c r="D733" s="38">
        <v>81.0</v>
      </c>
      <c r="E733" s="13" t="b">
        <v>0</v>
      </c>
      <c r="F733" s="13" t="b">
        <v>1</v>
      </c>
      <c r="G733" s="38" t="s">
        <v>224</v>
      </c>
      <c r="H733" s="38"/>
      <c r="I733" s="38" t="s">
        <v>429</v>
      </c>
      <c r="J733" s="38">
        <v>2.0</v>
      </c>
      <c r="K733" s="38"/>
      <c r="L733" s="38"/>
      <c r="M733" s="38" t="s">
        <v>35</v>
      </c>
      <c r="N733" s="38">
        <v>2000.0</v>
      </c>
      <c r="O733" s="38" t="s">
        <v>1114</v>
      </c>
      <c r="P733" s="40"/>
      <c r="Q733" s="38" t="s">
        <v>3781</v>
      </c>
      <c r="R733" s="38" t="s">
        <v>3782</v>
      </c>
      <c r="S733" s="38" t="s">
        <v>3783</v>
      </c>
      <c r="T733" s="38" t="s">
        <v>3784</v>
      </c>
      <c r="U733" s="38" t="s">
        <v>3785</v>
      </c>
      <c r="V733" s="55">
        <v>41666.0</v>
      </c>
      <c r="W733" s="38" t="s">
        <v>3786</v>
      </c>
      <c r="X733" s="49" t="str">
        <f>HYPERLINK("http://www.snap.is/magazine/paul-ferraro-sustainability-nudges-conservation/","http://www.snap.is/magazine/paul-ferraro-sustainability-nudges-conservation/")</f>
        <v>http://www.snap.is/magazine/paul-ferraro-sustainability-nudges-conservation/</v>
      </c>
      <c r="Y733" s="38"/>
      <c r="Z733" s="38"/>
      <c r="AA733" s="38"/>
      <c r="AB733" s="38"/>
      <c r="AC733" s="38"/>
      <c r="AD733" s="38"/>
      <c r="AE733" s="38"/>
      <c r="AF733" s="38"/>
      <c r="AG733" s="28" t="s">
        <v>3787</v>
      </c>
      <c r="AH733" s="28" t="s">
        <v>462</v>
      </c>
      <c r="AI733" s="28" t="s">
        <v>462</v>
      </c>
      <c r="AJ733" s="28"/>
      <c r="AK733" s="28"/>
      <c r="AL733" s="28" t="s">
        <v>769</v>
      </c>
      <c r="AM733" s="28"/>
      <c r="AN733" s="54">
        <v>42134.0</v>
      </c>
      <c r="AO733" s="54"/>
      <c r="AP733" s="28"/>
      <c r="AQ733" s="28" t="s">
        <v>769</v>
      </c>
      <c r="AR733" s="28"/>
      <c r="AS733" s="54">
        <v>42167.0</v>
      </c>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row>
    <row r="734" ht="25.5" customHeight="1">
      <c r="A734" s="28">
        <v>346.0</v>
      </c>
      <c r="B734" s="37" t="b">
        <v>1</v>
      </c>
      <c r="C734" s="38" t="s">
        <v>106</v>
      </c>
      <c r="D734" s="38">
        <v>80.0</v>
      </c>
      <c r="E734" s="13" t="b">
        <v>0</v>
      </c>
      <c r="F734" s="13" t="b">
        <v>1</v>
      </c>
      <c r="G734" s="38" t="s">
        <v>224</v>
      </c>
      <c r="H734" s="38"/>
      <c r="I734" s="38" t="s">
        <v>490</v>
      </c>
      <c r="J734" s="38">
        <v>6.0</v>
      </c>
      <c r="K734" s="38" t="s">
        <v>491</v>
      </c>
      <c r="L734" s="38">
        <v>605.0</v>
      </c>
      <c r="M734" s="38" t="s">
        <v>107</v>
      </c>
      <c r="N734" s="38">
        <v>3000.0</v>
      </c>
      <c r="O734" s="38" t="s">
        <v>116</v>
      </c>
      <c r="P734" s="40"/>
      <c r="Q734" s="38" t="s">
        <v>289</v>
      </c>
      <c r="R734" s="38">
        <v>40.0</v>
      </c>
      <c r="S734" s="38" t="s">
        <v>5996</v>
      </c>
      <c r="T734" s="38" t="s">
        <v>5997</v>
      </c>
      <c r="U734" s="38" t="s">
        <v>5998</v>
      </c>
      <c r="V734" s="38">
        <v>2008.0</v>
      </c>
      <c r="W734" s="38" t="s">
        <v>5999</v>
      </c>
      <c r="X734" s="38" t="s">
        <v>6000</v>
      </c>
      <c r="Y734" s="38"/>
      <c r="Z734" s="38"/>
      <c r="AA734" s="38"/>
      <c r="AB734" s="38"/>
      <c r="AC734" s="38"/>
      <c r="AD734" s="38"/>
      <c r="AE734" s="38"/>
      <c r="AF734" s="38"/>
      <c r="AG734" s="28" t="s">
        <v>6001</v>
      </c>
      <c r="AH734" s="28" t="s">
        <v>428</v>
      </c>
      <c r="AI734" s="28" t="s">
        <v>462</v>
      </c>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row>
    <row r="735" ht="25.5" customHeight="1">
      <c r="A735" s="28">
        <v>68.0</v>
      </c>
      <c r="B735" s="37" t="b">
        <v>1</v>
      </c>
      <c r="C735" s="38" t="s">
        <v>106</v>
      </c>
      <c r="D735" s="38">
        <v>80.0</v>
      </c>
      <c r="E735" s="13" t="b">
        <v>0</v>
      </c>
      <c r="F735" s="13" t="b">
        <v>1</v>
      </c>
      <c r="G735" s="38" t="s">
        <v>224</v>
      </c>
      <c r="H735" s="38"/>
      <c r="I735" s="38" t="s">
        <v>887</v>
      </c>
      <c r="J735" s="38">
        <v>9.0</v>
      </c>
      <c r="K735" s="38" t="s">
        <v>3385</v>
      </c>
      <c r="L735" s="38">
        <v>906.0</v>
      </c>
      <c r="M735" s="38" t="s">
        <v>3494</v>
      </c>
      <c r="N735" s="38">
        <v>22000.0</v>
      </c>
      <c r="O735" s="38" t="s">
        <v>3495</v>
      </c>
      <c r="P735" s="40"/>
      <c r="Q735" s="38" t="s">
        <v>117</v>
      </c>
      <c r="R735" s="38">
        <v>40.0</v>
      </c>
      <c r="S735" s="38" t="s">
        <v>4323</v>
      </c>
      <c r="T735" s="38" t="s">
        <v>4324</v>
      </c>
      <c r="U735" s="38" t="s">
        <v>4325</v>
      </c>
      <c r="V735" s="38">
        <v>2005.0</v>
      </c>
      <c r="W735" s="38" t="s">
        <v>4327</v>
      </c>
      <c r="X735" s="38"/>
      <c r="Y735" s="38"/>
      <c r="Z735" s="38"/>
      <c r="AA735" s="38"/>
      <c r="AB735" s="38"/>
      <c r="AC735" s="38"/>
      <c r="AD735" s="38"/>
      <c r="AE735" s="38"/>
      <c r="AF735" s="38"/>
      <c r="AG735" s="28"/>
      <c r="AH735" s="28" t="s">
        <v>462</v>
      </c>
      <c r="AI735" s="28" t="s">
        <v>462</v>
      </c>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row>
    <row r="736" ht="25.5" customHeight="1">
      <c r="A736" s="28">
        <v>389.0</v>
      </c>
      <c r="B736" s="37" t="b">
        <v>1</v>
      </c>
      <c r="C736" s="38" t="s">
        <v>106</v>
      </c>
      <c r="D736" s="38">
        <v>80.0</v>
      </c>
      <c r="E736" s="13" t="b">
        <v>0</v>
      </c>
      <c r="F736" s="13" t="b">
        <v>1</v>
      </c>
      <c r="G736" s="38" t="s">
        <v>224</v>
      </c>
      <c r="H736" s="38"/>
      <c r="I736" s="38" t="s">
        <v>712</v>
      </c>
      <c r="J736" s="38">
        <v>7.0</v>
      </c>
      <c r="K736" s="38" t="s">
        <v>714</v>
      </c>
      <c r="L736" s="38">
        <v>701.0</v>
      </c>
      <c r="M736" s="38" t="s">
        <v>419</v>
      </c>
      <c r="N736" s="38">
        <v>23000.0</v>
      </c>
      <c r="O736" s="38" t="s">
        <v>2293</v>
      </c>
      <c r="P736" s="40"/>
      <c r="Q736" s="38" t="s">
        <v>289</v>
      </c>
      <c r="R736" s="38">
        <v>40.0</v>
      </c>
      <c r="S736" s="38" t="s">
        <v>6210</v>
      </c>
      <c r="T736" s="38" t="s">
        <v>6211</v>
      </c>
      <c r="U736" s="38" t="s">
        <v>6212</v>
      </c>
      <c r="V736" s="38">
        <v>2006.0</v>
      </c>
      <c r="W736" s="38" t="s">
        <v>6216</v>
      </c>
      <c r="X736" s="38" t="s">
        <v>6217</v>
      </c>
      <c r="Y736" s="38"/>
      <c r="Z736" s="38"/>
      <c r="AA736" s="38"/>
      <c r="AB736" s="38"/>
      <c r="AC736" s="38"/>
      <c r="AD736" s="38"/>
      <c r="AE736" s="38"/>
      <c r="AF736" s="38"/>
      <c r="AG736" s="28"/>
      <c r="AH736" s="28" t="s">
        <v>462</v>
      </c>
      <c r="AI736" s="28" t="s">
        <v>428</v>
      </c>
      <c r="AJ736" s="28"/>
      <c r="AK736" s="28"/>
      <c r="AL736" s="28"/>
      <c r="AM736" s="28"/>
      <c r="AN736" s="28"/>
      <c r="AO736" s="28"/>
      <c r="AP736" s="28"/>
      <c r="AQ736" s="28"/>
      <c r="AR736" s="28"/>
      <c r="AS736" s="28"/>
      <c r="AT736" s="28"/>
      <c r="AU736" s="28"/>
      <c r="AV736" s="28"/>
      <c r="AW736" s="28"/>
      <c r="AX736" s="28"/>
      <c r="AY736" s="28"/>
      <c r="AZ736" s="28"/>
      <c r="BA736" s="28" t="s">
        <v>5850</v>
      </c>
      <c r="BB736" s="28"/>
      <c r="BC736" s="28"/>
      <c r="BD736" s="28"/>
      <c r="BE736" s="28"/>
      <c r="BF736" s="28"/>
      <c r="BG736" s="28"/>
      <c r="BH736" s="28"/>
      <c r="BI736" s="28"/>
      <c r="BJ736" s="28"/>
      <c r="BK736" s="28"/>
      <c r="BL736" s="28"/>
      <c r="BM736" s="28"/>
      <c r="BN736" s="28"/>
      <c r="BO736" s="28"/>
    </row>
    <row r="737" ht="25.5" customHeight="1">
      <c r="A737" s="28">
        <v>10311.0</v>
      </c>
      <c r="B737" s="37" t="b">
        <v>1</v>
      </c>
      <c r="C737" s="38" t="s">
        <v>238</v>
      </c>
      <c r="D737" s="38">
        <v>81.0</v>
      </c>
      <c r="E737" s="13" t="b">
        <v>0</v>
      </c>
      <c r="F737" s="13" t="b">
        <v>1</v>
      </c>
      <c r="G737" s="38" t="s">
        <v>224</v>
      </c>
      <c r="H737" s="38"/>
      <c r="I737" s="38" t="s">
        <v>490</v>
      </c>
      <c r="J737" s="38">
        <v>6.0</v>
      </c>
      <c r="K737" s="38"/>
      <c r="L737" s="38"/>
      <c r="M737" s="38" t="s">
        <v>107</v>
      </c>
      <c r="N737" s="38">
        <v>3000.0</v>
      </c>
      <c r="O737" s="38" t="s">
        <v>116</v>
      </c>
      <c r="P737" s="40"/>
      <c r="Q737" s="38" t="s">
        <v>289</v>
      </c>
      <c r="R737" s="38">
        <v>40.0</v>
      </c>
      <c r="S737" s="38" t="s">
        <v>4287</v>
      </c>
      <c r="T737" s="38" t="s">
        <v>577</v>
      </c>
      <c r="U737" s="38" t="s">
        <v>4288</v>
      </c>
      <c r="V737" s="55"/>
      <c r="W737" s="38" t="s">
        <v>4289</v>
      </c>
      <c r="X737" s="49" t="str">
        <f>HYPERLINK("https://sparq.stanford.edu/solutions/revealing-hypocrisy-boosts-water-conservation","https://sparq.stanford.edu/solutions/revealing-hypocrisy-boosts-water-conservation")</f>
        <v>https://sparq.stanford.edu/solutions/revealing-hypocrisy-boosts-water-conservation</v>
      </c>
      <c r="Y737" s="38"/>
      <c r="Z737" s="38"/>
      <c r="AA737" s="38"/>
      <c r="AB737" s="38"/>
      <c r="AC737" s="38"/>
      <c r="AD737" s="38"/>
      <c r="AE737" s="38"/>
      <c r="AF737" s="38"/>
      <c r="AG737" s="28"/>
      <c r="AH737" s="28" t="s">
        <v>428</v>
      </c>
      <c r="AI737" s="28" t="s">
        <v>462</v>
      </c>
      <c r="AJ737" s="28"/>
      <c r="AK737" s="28"/>
      <c r="AL737" s="28" t="s">
        <v>600</v>
      </c>
      <c r="AM737" s="28"/>
      <c r="AN737" s="54"/>
      <c r="AO737" s="54"/>
      <c r="AP737" s="28"/>
      <c r="AQ737" s="28"/>
      <c r="AR737" s="28"/>
      <c r="AS737" s="54"/>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row>
    <row r="738" ht="25.5" customHeight="1">
      <c r="A738" s="28">
        <v>451.0</v>
      </c>
      <c r="B738" s="37" t="b">
        <v>1</v>
      </c>
      <c r="C738" s="38" t="s">
        <v>106</v>
      </c>
      <c r="D738" s="38">
        <v>80.0</v>
      </c>
      <c r="E738" s="13" t="b">
        <v>0</v>
      </c>
      <c r="F738" s="13" t="b">
        <v>1</v>
      </c>
      <c r="G738" s="38" t="s">
        <v>224</v>
      </c>
      <c r="H738" s="38"/>
      <c r="I738" s="38" t="s">
        <v>387</v>
      </c>
      <c r="J738" s="38">
        <v>8.0</v>
      </c>
      <c r="K738" s="38" t="s">
        <v>3862</v>
      </c>
      <c r="L738" s="38">
        <v>804.0</v>
      </c>
      <c r="M738" s="38" t="s">
        <v>35</v>
      </c>
      <c r="N738" s="38">
        <v>2000.0</v>
      </c>
      <c r="O738" s="38" t="s">
        <v>1332</v>
      </c>
      <c r="P738" s="40"/>
      <c r="Q738" s="38" t="s">
        <v>289</v>
      </c>
      <c r="R738" s="38">
        <v>40.0</v>
      </c>
      <c r="S738" s="61" t="s">
        <v>6519</v>
      </c>
      <c r="T738" s="38" t="s">
        <v>6521</v>
      </c>
      <c r="U738" s="38" t="s">
        <v>6522</v>
      </c>
      <c r="V738" s="38">
        <v>2011.0</v>
      </c>
      <c r="W738" s="38" t="s">
        <v>6530</v>
      </c>
      <c r="X738" s="38" t="s">
        <v>6531</v>
      </c>
      <c r="Y738" s="38"/>
      <c r="Z738" s="38"/>
      <c r="AA738" s="38"/>
      <c r="AB738" s="38"/>
      <c r="AC738" s="38"/>
      <c r="AD738" s="38"/>
      <c r="AE738" s="38"/>
      <c r="AF738" s="38"/>
      <c r="AG738" s="28"/>
      <c r="AH738" s="28" t="s">
        <v>428</v>
      </c>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row>
    <row r="739" ht="25.5" customHeight="1">
      <c r="A739" s="28">
        <v>112.0</v>
      </c>
      <c r="B739" s="37" t="b">
        <v>1</v>
      </c>
      <c r="C739" s="38" t="s">
        <v>106</v>
      </c>
      <c r="D739" s="38">
        <v>80.0</v>
      </c>
      <c r="E739" s="13" t="b">
        <v>1</v>
      </c>
      <c r="F739" s="13" t="b">
        <v>0</v>
      </c>
      <c r="G739" s="38" t="s">
        <v>284</v>
      </c>
      <c r="H739" s="38">
        <v>53.0</v>
      </c>
      <c r="I739" s="38" t="s">
        <v>224</v>
      </c>
      <c r="J739" s="38"/>
      <c r="K739" s="38" t="s">
        <v>224</v>
      </c>
      <c r="L739" s="38"/>
      <c r="M739" s="38" t="s">
        <v>6844</v>
      </c>
      <c r="N739" s="38" t="s">
        <v>4732</v>
      </c>
      <c r="O739" s="38" t="s">
        <v>4731</v>
      </c>
      <c r="P739" s="40"/>
      <c r="Q739" s="38" t="s">
        <v>289</v>
      </c>
      <c r="R739" s="38">
        <v>40.0</v>
      </c>
      <c r="S739" s="38" t="s">
        <v>4733</v>
      </c>
      <c r="T739" s="38" t="s">
        <v>4734</v>
      </c>
      <c r="U739" s="38" t="s">
        <v>4735</v>
      </c>
      <c r="V739" s="38">
        <v>1998.0</v>
      </c>
      <c r="W739" s="38" t="s">
        <v>4737</v>
      </c>
      <c r="X739" s="38" t="s">
        <v>4739</v>
      </c>
      <c r="Y739" s="38"/>
      <c r="Z739" s="38"/>
      <c r="AA739" s="38"/>
      <c r="AB739" s="38"/>
      <c r="AC739" s="38"/>
      <c r="AD739" s="38"/>
      <c r="AE739" s="38"/>
      <c r="AF739" s="38"/>
      <c r="AG739" s="28"/>
      <c r="AH739" s="28" t="s">
        <v>462</v>
      </c>
      <c r="AI739" s="28" t="s">
        <v>462</v>
      </c>
      <c r="AJ739" s="28"/>
      <c r="AK739" s="28" t="s">
        <v>3156</v>
      </c>
      <c r="AL739" s="28"/>
      <c r="AM739" s="28"/>
      <c r="AN739" s="54"/>
      <c r="AO739" s="28"/>
      <c r="AP739" s="28"/>
      <c r="AQ739" s="54"/>
      <c r="AR739" s="54"/>
      <c r="AS739" s="28"/>
      <c r="AT739" s="28"/>
      <c r="AU739" s="28"/>
      <c r="AV739" s="28"/>
      <c r="AW739" s="28"/>
      <c r="AX739" s="28"/>
      <c r="AY739" s="28"/>
      <c r="AZ739" s="28"/>
      <c r="BA739" s="28" t="s">
        <v>4746</v>
      </c>
      <c r="BB739" s="28"/>
      <c r="BC739" s="28"/>
      <c r="BD739" s="28"/>
      <c r="BE739" s="28"/>
      <c r="BF739" s="28"/>
      <c r="BG739" s="28"/>
      <c r="BH739" s="28"/>
      <c r="BI739" s="28"/>
      <c r="BJ739" s="28"/>
      <c r="BK739" s="28"/>
      <c r="BL739" s="28"/>
      <c r="BM739" s="28"/>
      <c r="BN739" s="28"/>
      <c r="BO739" s="28"/>
    </row>
    <row r="740" ht="25.5" customHeight="1">
      <c r="A740" s="28">
        <v>107.0</v>
      </c>
      <c r="B740" s="37" t="b">
        <v>1</v>
      </c>
      <c r="C740" s="38" t="s">
        <v>106</v>
      </c>
      <c r="D740" s="38">
        <v>80.0</v>
      </c>
      <c r="E740" s="13" t="b">
        <v>1</v>
      </c>
      <c r="F740" s="13" t="b">
        <v>0</v>
      </c>
      <c r="G740" s="38" t="s">
        <v>112</v>
      </c>
      <c r="H740" s="38">
        <v>51.0</v>
      </c>
      <c r="I740" s="38" t="s">
        <v>224</v>
      </c>
      <c r="J740" s="38"/>
      <c r="K740" s="38" t="s">
        <v>224</v>
      </c>
      <c r="L740" s="38"/>
      <c r="M740" s="38" t="s">
        <v>35</v>
      </c>
      <c r="N740" s="38">
        <v>2000.0</v>
      </c>
      <c r="O740" s="38" t="s">
        <v>837</v>
      </c>
      <c r="P740" s="40">
        <v>2001.0</v>
      </c>
      <c r="Q740" s="38" t="s">
        <v>289</v>
      </c>
      <c r="R740" s="38">
        <v>40.0</v>
      </c>
      <c r="S740" s="38" t="s">
        <v>4661</v>
      </c>
      <c r="T740" s="38" t="s">
        <v>4663</v>
      </c>
      <c r="U740" s="38" t="s">
        <v>4664</v>
      </c>
      <c r="V740" s="38">
        <v>2011.0</v>
      </c>
      <c r="W740" s="38" t="s">
        <v>4671</v>
      </c>
      <c r="X740" s="49" t="str">
        <f>HYPERLINK("http://papers.ssrn.com/sol3/papers.cfm?abstract_id=1871503","http://papers.ssrn.com/sol3/papers.cfm?abstract_id=1871503")</f>
        <v>http://papers.ssrn.com/sol3/papers.cfm?abstract_id=1871503</v>
      </c>
      <c r="Y740" s="38"/>
      <c r="Z740" s="38"/>
      <c r="AA740" s="38"/>
      <c r="AB740" s="38"/>
      <c r="AC740" s="38"/>
      <c r="AD740" s="38"/>
      <c r="AE740" s="38"/>
      <c r="AF740" s="38"/>
      <c r="AG740" s="28" t="s">
        <v>4679</v>
      </c>
      <c r="AH740" s="28" t="s">
        <v>842</v>
      </c>
      <c r="AI740" s="28" t="s">
        <v>462</v>
      </c>
      <c r="AJ740" s="28"/>
      <c r="AK740" s="28"/>
      <c r="AL740" s="28" t="s">
        <v>561</v>
      </c>
      <c r="AM740" s="28" t="s">
        <v>4680</v>
      </c>
      <c r="AN740" s="54">
        <v>42437.0</v>
      </c>
      <c r="AO740" s="28"/>
      <c r="AP740" s="54">
        <v>42598.0</v>
      </c>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row>
    <row r="741" ht="25.5" customHeight="1">
      <c r="A741" s="28">
        <v>10015.0</v>
      </c>
      <c r="B741" s="37" t="b">
        <v>1</v>
      </c>
      <c r="C741" s="38" t="s">
        <v>238</v>
      </c>
      <c r="D741" s="38">
        <v>81.0</v>
      </c>
      <c r="E741" s="13" t="b">
        <v>1</v>
      </c>
      <c r="F741" s="13" t="b">
        <v>0</v>
      </c>
      <c r="G741" s="38" t="s">
        <v>224</v>
      </c>
      <c r="H741" s="38"/>
      <c r="I741" s="38" t="s">
        <v>1422</v>
      </c>
      <c r="J741" s="38">
        <v>9.0</v>
      </c>
      <c r="K741" s="38"/>
      <c r="L741" s="38"/>
      <c r="M741" s="38" t="s">
        <v>388</v>
      </c>
      <c r="N741" s="38">
        <v>14000.0</v>
      </c>
      <c r="O741" s="38" t="s">
        <v>224</v>
      </c>
      <c r="P741" s="40"/>
      <c r="Q741" s="38" t="s">
        <v>289</v>
      </c>
      <c r="R741" s="38">
        <v>40.0</v>
      </c>
      <c r="S741" s="38" t="s">
        <v>1433</v>
      </c>
      <c r="T741" s="38" t="s">
        <v>188</v>
      </c>
      <c r="U741" s="38" t="s">
        <v>1434</v>
      </c>
      <c r="V741" s="55">
        <v>40087.0</v>
      </c>
      <c r="W741" s="38" t="s">
        <v>1435</v>
      </c>
      <c r="X741" s="49" t="str">
        <f>HYPERLINK("http://www.brainfacts.org/sensing-thinking-behaving/awareness-and-attention/articles/2009/decision-making/","http://www.brainfacts.org/sensing-thinking-behaving/awareness-and-attention/articles/2009/decision-making/")</f>
        <v>http://www.brainfacts.org/sensing-thinking-behaving/awareness-and-attention/articles/2009/decision-making/</v>
      </c>
      <c r="Y741" s="38"/>
      <c r="Z741" s="38"/>
      <c r="AA741" s="38"/>
      <c r="AB741" s="38"/>
      <c r="AC741" s="38"/>
      <c r="AD741" s="38"/>
      <c r="AE741" s="38"/>
      <c r="AF741" s="38"/>
      <c r="AG741" s="28"/>
      <c r="AH741" s="28" t="s">
        <v>462</v>
      </c>
      <c r="AI741" s="28" t="s">
        <v>462</v>
      </c>
      <c r="AJ741" s="28"/>
      <c r="AK741" s="28" t="s">
        <v>676</v>
      </c>
      <c r="AL741" s="28" t="s">
        <v>769</v>
      </c>
      <c r="AM741" s="28" t="s">
        <v>1442</v>
      </c>
      <c r="AN741" s="54">
        <v>42306.0</v>
      </c>
      <c r="AO741" s="54"/>
      <c r="AP741" s="54">
        <v>42637.0</v>
      </c>
      <c r="AQ741" s="28"/>
      <c r="AR741" s="28"/>
      <c r="AS741" s="54"/>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row>
    <row r="742" ht="25.5" customHeight="1">
      <c r="A742" s="28">
        <v>97.0</v>
      </c>
      <c r="B742" s="37" t="b">
        <v>1</v>
      </c>
      <c r="C742" s="38" t="s">
        <v>106</v>
      </c>
      <c r="D742" s="38">
        <v>80.0</v>
      </c>
      <c r="E742" s="13" t="b">
        <v>0</v>
      </c>
      <c r="F742" s="13" t="b">
        <v>1</v>
      </c>
      <c r="G742" s="38" t="s">
        <v>224</v>
      </c>
      <c r="H742" s="38"/>
      <c r="I742" s="38" t="s">
        <v>3499</v>
      </c>
      <c r="J742" s="38" t="s">
        <v>3500</v>
      </c>
      <c r="K742" s="38" t="s">
        <v>4575</v>
      </c>
      <c r="L742" s="38" t="s">
        <v>6882</v>
      </c>
      <c r="M742" s="38" t="s">
        <v>239</v>
      </c>
      <c r="N742" s="38">
        <v>4000.0</v>
      </c>
      <c r="O742" s="38" t="s">
        <v>605</v>
      </c>
      <c r="P742" s="40"/>
      <c r="Q742" s="38" t="s">
        <v>289</v>
      </c>
      <c r="R742" s="38">
        <v>40.0</v>
      </c>
      <c r="S742" s="38" t="s">
        <v>4576</v>
      </c>
      <c r="T742" s="38" t="s">
        <v>4577</v>
      </c>
      <c r="U742" s="38" t="s">
        <v>4578</v>
      </c>
      <c r="V742" s="38">
        <v>1989.0</v>
      </c>
      <c r="W742" s="38" t="s">
        <v>4580</v>
      </c>
      <c r="X742" s="49" t="str">
        <f>HYPERLINK("http://www.nrel.gov/docs/legosti/old/3386.pdf","http://www.nrel.gov/docs/legosti/old/3386.pdf")</f>
        <v>http://www.nrel.gov/docs/legosti/old/3386.pdf</v>
      </c>
      <c r="Y742" s="38"/>
      <c r="Z742" s="38"/>
      <c r="AA742" s="38"/>
      <c r="AB742" s="38"/>
      <c r="AC742" s="38"/>
      <c r="AD742" s="38"/>
      <c r="AE742" s="38"/>
      <c r="AF742" s="38"/>
      <c r="AG742" s="28"/>
      <c r="AH742" s="28" t="s">
        <v>613</v>
      </c>
      <c r="AI742" s="28" t="s">
        <v>613</v>
      </c>
      <c r="AJ742" s="28"/>
      <c r="AK742" s="28"/>
      <c r="AL742" s="28"/>
      <c r="AM742" s="28"/>
      <c r="AN742" s="28"/>
      <c r="AO742" s="28"/>
      <c r="AP742" s="28"/>
      <c r="AQ742" s="28"/>
      <c r="AR742" s="28"/>
      <c r="AS742" s="28"/>
      <c r="AT742" s="28"/>
      <c r="AU742" s="28"/>
      <c r="AV742" s="28"/>
      <c r="AW742" s="28"/>
      <c r="AX742" s="28"/>
      <c r="AY742" s="28"/>
      <c r="AZ742" s="28"/>
      <c r="BA742" s="28" t="s">
        <v>1023</v>
      </c>
      <c r="BB742" s="28"/>
      <c r="BC742" s="28"/>
      <c r="BD742" s="28"/>
      <c r="BE742" s="28"/>
      <c r="BF742" s="28"/>
      <c r="BG742" s="28"/>
      <c r="BH742" s="28"/>
      <c r="BI742" s="28"/>
      <c r="BJ742" s="28"/>
      <c r="BK742" s="28"/>
      <c r="BL742" s="28"/>
      <c r="BM742" s="28"/>
      <c r="BN742" s="28"/>
      <c r="BO742" s="28"/>
    </row>
    <row r="743" ht="25.5" customHeight="1">
      <c r="A743" s="28">
        <v>205.0</v>
      </c>
      <c r="B743" s="37" t="b">
        <v>1</v>
      </c>
      <c r="C743" s="38" t="s">
        <v>106</v>
      </c>
      <c r="D743" s="38">
        <v>80.0</v>
      </c>
      <c r="E743" s="13" t="b">
        <v>0</v>
      </c>
      <c r="F743" s="13" t="b">
        <v>1</v>
      </c>
      <c r="G743" s="38" t="s">
        <v>224</v>
      </c>
      <c r="H743" s="38"/>
      <c r="I743" s="38" t="s">
        <v>429</v>
      </c>
      <c r="J743" s="38">
        <v>2.0</v>
      </c>
      <c r="K743" s="38" t="s">
        <v>3415</v>
      </c>
      <c r="L743" s="38">
        <v>203.0</v>
      </c>
      <c r="M743" s="38" t="s">
        <v>6898</v>
      </c>
      <c r="N743" s="38" t="s">
        <v>5528</v>
      </c>
      <c r="O743" s="38" t="s">
        <v>5527</v>
      </c>
      <c r="P743" s="40"/>
      <c r="Q743" s="38" t="s">
        <v>4386</v>
      </c>
      <c r="R743" s="38" t="s">
        <v>4387</v>
      </c>
      <c r="S743" s="38" t="s">
        <v>5530</v>
      </c>
      <c r="T743" s="38" t="s">
        <v>5531</v>
      </c>
      <c r="U743" s="38" t="s">
        <v>5533</v>
      </c>
      <c r="V743" s="38">
        <v>2014.0</v>
      </c>
      <c r="W743" s="38" t="s">
        <v>5535</v>
      </c>
      <c r="X743" s="38" t="s">
        <v>5536</v>
      </c>
      <c r="Y743" s="38"/>
      <c r="Z743" s="38"/>
      <c r="AA743" s="38"/>
      <c r="AB743" s="38"/>
      <c r="AC743" s="38"/>
      <c r="AD743" s="38"/>
      <c r="AE743" s="38"/>
      <c r="AF743" s="38"/>
      <c r="AG743" s="28"/>
      <c r="AH743" s="28" t="s">
        <v>462</v>
      </c>
      <c r="AI743" s="28" t="s">
        <v>462</v>
      </c>
      <c r="AJ743" s="28"/>
      <c r="AK743" s="28"/>
      <c r="AL743" s="28" t="s">
        <v>561</v>
      </c>
      <c r="AM743" s="28" t="s">
        <v>5537</v>
      </c>
      <c r="AN743" s="54">
        <v>42499.0</v>
      </c>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row>
    <row r="744" ht="25.5" customHeight="1">
      <c r="A744" s="28">
        <v>427.0</v>
      </c>
      <c r="B744" s="37" t="b">
        <v>1</v>
      </c>
      <c r="C744" s="38" t="s">
        <v>106</v>
      </c>
      <c r="D744" s="38">
        <v>80.0</v>
      </c>
      <c r="E744" s="13" t="b">
        <v>0</v>
      </c>
      <c r="F744" s="13" t="b">
        <v>1</v>
      </c>
      <c r="G744" s="38" t="s">
        <v>224</v>
      </c>
      <c r="H744" s="38"/>
      <c r="I744" s="38" t="s">
        <v>387</v>
      </c>
      <c r="J744" s="38">
        <v>8.0</v>
      </c>
      <c r="K744" s="38" t="s">
        <v>3297</v>
      </c>
      <c r="L744" s="38">
        <v>805.0</v>
      </c>
      <c r="M744" s="38" t="s">
        <v>2546</v>
      </c>
      <c r="N744" s="38">
        <v>13000.0</v>
      </c>
      <c r="O744" s="38" t="s">
        <v>6358</v>
      </c>
      <c r="P744" s="40"/>
      <c r="Q744" s="38" t="s">
        <v>289</v>
      </c>
      <c r="R744" s="38">
        <v>40.0</v>
      </c>
      <c r="S744" s="38" t="s">
        <v>6359</v>
      </c>
      <c r="T744" s="38" t="s">
        <v>6360</v>
      </c>
      <c r="U744" s="38" t="s">
        <v>6361</v>
      </c>
      <c r="V744" s="38">
        <v>2007.0</v>
      </c>
      <c r="W744" s="38" t="s">
        <v>6362</v>
      </c>
      <c r="X744" s="49" t="str">
        <f>HYPERLINK("http://papers.ssrn.com/sol3/papers.cfm?abstract_id=1843402","http://papers.ssrn.com/sol3/papers.cfm?abstract_id=1843402")</f>
        <v>http://papers.ssrn.com/sol3/papers.cfm?abstract_id=1843402</v>
      </c>
      <c r="Y744" s="38"/>
      <c r="Z744" s="38"/>
      <c r="AA744" s="38"/>
      <c r="AB744" s="38"/>
      <c r="AC744" s="38"/>
      <c r="AD744" s="38"/>
      <c r="AE744" s="38"/>
      <c r="AF744" s="38"/>
      <c r="AG744" s="28" t="s">
        <v>5849</v>
      </c>
      <c r="AH744" s="28" t="s">
        <v>462</v>
      </c>
      <c r="AI744" s="28" t="s">
        <v>428</v>
      </c>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row>
    <row r="745" ht="25.5" customHeight="1">
      <c r="A745" s="28">
        <v>10137.0</v>
      </c>
      <c r="B745" s="37" t="b">
        <v>1</v>
      </c>
      <c r="C745" s="38" t="s">
        <v>238</v>
      </c>
      <c r="D745" s="38">
        <v>81.0</v>
      </c>
      <c r="E745" s="13" t="b">
        <v>0</v>
      </c>
      <c r="F745" s="13" t="b">
        <v>1</v>
      </c>
      <c r="G745" s="38" t="s">
        <v>224</v>
      </c>
      <c r="H745" s="38"/>
      <c r="I745" s="38" t="s">
        <v>1331</v>
      </c>
      <c r="J745" s="38" t="s">
        <v>1371</v>
      </c>
      <c r="K745" s="38"/>
      <c r="L745" s="38"/>
      <c r="M745" s="38" t="s">
        <v>35</v>
      </c>
      <c r="N745" s="38">
        <v>2000.0</v>
      </c>
      <c r="O745" s="38" t="s">
        <v>644</v>
      </c>
      <c r="P745" s="40"/>
      <c r="Q745" s="38" t="s">
        <v>289</v>
      </c>
      <c r="R745" s="38">
        <v>40.0</v>
      </c>
      <c r="S745" s="38" t="s">
        <v>2844</v>
      </c>
      <c r="T745" s="38" t="s">
        <v>2845</v>
      </c>
      <c r="U745" s="38" t="s">
        <v>2846</v>
      </c>
      <c r="V745" s="55">
        <v>42021.0</v>
      </c>
      <c r="W745" s="38" t="s">
        <v>108</v>
      </c>
      <c r="X745" s="49" t="str">
        <f>HYPERLINK("http://www.southernfriedscience.com/?p=18074","http://www.southernfriedscience.com/?p=18074")</f>
        <v>http://www.southernfriedscience.com/?p=18074</v>
      </c>
      <c r="Y745" s="38"/>
      <c r="Z745" s="38"/>
      <c r="AA745" s="38"/>
      <c r="AB745" s="38"/>
      <c r="AC745" s="38"/>
      <c r="AD745" s="38"/>
      <c r="AE745" s="38"/>
      <c r="AF745" s="38"/>
      <c r="AG745" s="28"/>
      <c r="AH745" s="28" t="s">
        <v>462</v>
      </c>
      <c r="AI745" s="28" t="s">
        <v>462</v>
      </c>
      <c r="AJ745" s="28"/>
      <c r="AK745" s="28" t="s">
        <v>676</v>
      </c>
      <c r="AL745" s="54" t="s">
        <v>769</v>
      </c>
      <c r="AM745" s="28" t="s">
        <v>2852</v>
      </c>
      <c r="AN745" s="54">
        <v>42493.0</v>
      </c>
      <c r="AO745" s="54"/>
      <c r="AP745" s="28"/>
      <c r="AQ745" s="28"/>
      <c r="AR745" s="28"/>
      <c r="AS745" s="54"/>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row>
    <row r="746" ht="25.5" customHeight="1">
      <c r="A746" s="28">
        <v>245.0</v>
      </c>
      <c r="B746" s="37" t="b">
        <v>1</v>
      </c>
      <c r="C746" s="38" t="s">
        <v>106</v>
      </c>
      <c r="D746" s="38">
        <v>80.0</v>
      </c>
      <c r="E746" s="13" t="b">
        <v>0</v>
      </c>
      <c r="F746" s="13" t="b">
        <v>1</v>
      </c>
      <c r="G746" s="38" t="s">
        <v>224</v>
      </c>
      <c r="H746" s="38"/>
      <c r="I746" s="38" t="s">
        <v>4014</v>
      </c>
      <c r="J746" s="38" t="s">
        <v>4015</v>
      </c>
      <c r="K746" s="38" t="s">
        <v>224</v>
      </c>
      <c r="L746" s="38"/>
      <c r="M746" s="38" t="s">
        <v>549</v>
      </c>
      <c r="N746" s="38">
        <v>6000.0</v>
      </c>
      <c r="O746" s="38" t="s">
        <v>552</v>
      </c>
      <c r="P746" s="40"/>
      <c r="Q746" s="38" t="s">
        <v>324</v>
      </c>
      <c r="R746" s="38" t="s">
        <v>325</v>
      </c>
      <c r="S746" s="38" t="s">
        <v>5676</v>
      </c>
      <c r="T746" s="38" t="s">
        <v>5677</v>
      </c>
      <c r="U746" s="38" t="s">
        <v>5678</v>
      </c>
      <c r="V746" s="38">
        <v>2016.0</v>
      </c>
      <c r="W746" s="38" t="s">
        <v>610</v>
      </c>
      <c r="X746" s="38" t="s">
        <v>5680</v>
      </c>
      <c r="Y746" s="38"/>
      <c r="Z746" s="38"/>
      <c r="AA746" s="38"/>
      <c r="AB746" s="38"/>
      <c r="AC746" s="38"/>
      <c r="AD746" s="38"/>
      <c r="AE746" s="38"/>
      <c r="AF746" s="38"/>
      <c r="AG746" s="28"/>
      <c r="AH746" s="28"/>
      <c r="AI746" s="28"/>
      <c r="AJ746" s="28"/>
      <c r="AK746" s="28"/>
      <c r="AL746" s="28"/>
      <c r="AM746" s="28"/>
      <c r="AN746" s="54"/>
      <c r="AO746" s="28"/>
      <c r="AP746" s="54"/>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row>
    <row r="747" ht="25.5" customHeight="1">
      <c r="A747" s="28">
        <v>457.0</v>
      </c>
      <c r="B747" s="37" t="b">
        <v>1</v>
      </c>
      <c r="C747" s="38" t="s">
        <v>106</v>
      </c>
      <c r="D747" s="38">
        <v>80.0</v>
      </c>
      <c r="E747" s="13" t="b">
        <v>0</v>
      </c>
      <c r="F747" s="13" t="b">
        <v>1</v>
      </c>
      <c r="G747" s="38" t="s">
        <v>224</v>
      </c>
      <c r="H747" s="38"/>
      <c r="I747" s="38" t="s">
        <v>1715</v>
      </c>
      <c r="J747" s="38" t="s">
        <v>1724</v>
      </c>
      <c r="K747" s="38" t="s">
        <v>6584</v>
      </c>
      <c r="L747" s="38" t="s">
        <v>6959</v>
      </c>
      <c r="M747" s="38" t="s">
        <v>549</v>
      </c>
      <c r="N747" s="38">
        <v>6000.0</v>
      </c>
      <c r="O747" s="38" t="s">
        <v>552</v>
      </c>
      <c r="P747" s="40"/>
      <c r="Q747" s="38" t="s">
        <v>6585</v>
      </c>
      <c r="R747" s="38" t="s">
        <v>6586</v>
      </c>
      <c r="S747" s="38" t="s">
        <v>6587</v>
      </c>
      <c r="T747" s="38" t="s">
        <v>6588</v>
      </c>
      <c r="U747" s="38" t="s">
        <v>6237</v>
      </c>
      <c r="V747" s="38">
        <v>2002.0</v>
      </c>
      <c r="W747" s="38" t="s">
        <v>6590</v>
      </c>
      <c r="X747" s="38"/>
      <c r="Y747" s="38"/>
      <c r="Z747" s="38"/>
      <c r="AA747" s="38"/>
      <c r="AB747" s="38"/>
      <c r="AC747" s="38"/>
      <c r="AD747" s="38"/>
      <c r="AE747" s="38"/>
      <c r="AF747" s="3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row>
    <row r="748" ht="25.5" customHeight="1">
      <c r="A748" s="28">
        <v>393.0</v>
      </c>
      <c r="B748" s="37" t="b">
        <v>1</v>
      </c>
      <c r="C748" s="38" t="s">
        <v>106</v>
      </c>
      <c r="D748" s="38">
        <v>80.0</v>
      </c>
      <c r="E748" s="13" t="b">
        <v>0</v>
      </c>
      <c r="F748" s="13" t="b">
        <v>1</v>
      </c>
      <c r="G748" s="38" t="s">
        <v>224</v>
      </c>
      <c r="H748" s="38"/>
      <c r="I748" s="38" t="s">
        <v>712</v>
      </c>
      <c r="J748" s="38">
        <v>7.0</v>
      </c>
      <c r="K748" s="38" t="s">
        <v>6233</v>
      </c>
      <c r="L748" s="38" t="s">
        <v>1802</v>
      </c>
      <c r="M748" s="38" t="s">
        <v>411</v>
      </c>
      <c r="N748" s="38">
        <v>21000.0</v>
      </c>
      <c r="O748" s="38" t="s">
        <v>1052</v>
      </c>
      <c r="P748" s="40"/>
      <c r="Q748" s="38" t="s">
        <v>431</v>
      </c>
      <c r="R748" s="38">
        <v>40.0</v>
      </c>
      <c r="S748" s="38" t="s">
        <v>6235</v>
      </c>
      <c r="T748" s="38" t="s">
        <v>6236</v>
      </c>
      <c r="U748" s="38" t="s">
        <v>6237</v>
      </c>
      <c r="V748" s="38">
        <v>2014.0</v>
      </c>
      <c r="W748" s="38" t="s">
        <v>6238</v>
      </c>
      <c r="X748" s="38"/>
      <c r="Y748" s="38"/>
      <c r="Z748" s="38"/>
      <c r="AA748" s="38"/>
      <c r="AB748" s="38"/>
      <c r="AC748" s="38"/>
      <c r="AD748" s="38"/>
      <c r="AE748" s="38"/>
      <c r="AF748" s="38"/>
      <c r="AG748" s="28"/>
      <c r="AH748" s="28"/>
      <c r="AI748" s="28"/>
      <c r="AJ748" s="28"/>
      <c r="AK748" s="28"/>
      <c r="AL748" s="28"/>
      <c r="AM748" s="28"/>
      <c r="AN748" s="54"/>
      <c r="AO748" s="28"/>
      <c r="AP748" s="54"/>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row>
    <row r="749" ht="25.5" customHeight="1">
      <c r="A749" s="28">
        <v>10237.0</v>
      </c>
      <c r="B749" s="37" t="b">
        <v>1</v>
      </c>
      <c r="C749" s="38" t="s">
        <v>238</v>
      </c>
      <c r="D749" s="38">
        <v>81.0</v>
      </c>
      <c r="E749" s="13" t="b">
        <v>0</v>
      </c>
      <c r="F749" s="13" t="b">
        <v>1</v>
      </c>
      <c r="G749" s="38" t="s">
        <v>224</v>
      </c>
      <c r="H749" s="38"/>
      <c r="I749" s="38" t="s">
        <v>429</v>
      </c>
      <c r="J749" s="38">
        <v>2.0</v>
      </c>
      <c r="K749" s="38"/>
      <c r="L749" s="38"/>
      <c r="M749" s="38" t="s">
        <v>239</v>
      </c>
      <c r="N749" s="38">
        <v>4000.0</v>
      </c>
      <c r="O749" s="38" t="s">
        <v>623</v>
      </c>
      <c r="P749" s="40"/>
      <c r="Q749" s="38" t="s">
        <v>289</v>
      </c>
      <c r="R749" s="38">
        <v>40.0</v>
      </c>
      <c r="S749" s="38" t="s">
        <v>3695</v>
      </c>
      <c r="T749" s="38" t="s">
        <v>1374</v>
      </c>
      <c r="U749" s="38" t="s">
        <v>3696</v>
      </c>
      <c r="V749" s="55">
        <v>42028.0</v>
      </c>
      <c r="W749" s="38" t="s">
        <v>3697</v>
      </c>
      <c r="X749" s="49" t="str">
        <f>HYPERLINK("http://www.standard.net/Business/2015/01/24/The-next-energy-revolution-won-t-be-in-wind-or-solar-but-in-human-behavior.html","http://www.standard.net/Business/2015/01/24/The-next-energy-revolution-won-t-be-in-wind-or-solar-but-in-human-behavior.html")</f>
        <v>http://www.standard.net/Business/2015/01/24/The-next-energy-revolution-won-t-be-in-wind-or-solar-but-in-human-behavior.html</v>
      </c>
      <c r="Y749" s="38"/>
      <c r="Z749" s="38"/>
      <c r="AA749" s="38"/>
      <c r="AB749" s="38"/>
      <c r="AC749" s="38"/>
      <c r="AD749" s="38"/>
      <c r="AE749" s="38"/>
      <c r="AF749" s="38"/>
      <c r="AG749" s="28" t="s">
        <v>3698</v>
      </c>
      <c r="AH749" s="28" t="s">
        <v>462</v>
      </c>
      <c r="AI749" s="28" t="s">
        <v>462</v>
      </c>
      <c r="AJ749" s="28"/>
      <c r="AK749" s="28" t="s">
        <v>676</v>
      </c>
      <c r="AL749" s="28" t="s">
        <v>600</v>
      </c>
      <c r="AM749" s="28"/>
      <c r="AN749" s="54"/>
      <c r="AO749" s="54"/>
      <c r="AP749" s="28"/>
      <c r="AQ749" s="28" t="s">
        <v>769</v>
      </c>
      <c r="AR749" s="28"/>
      <c r="AS749" s="54">
        <v>42051.0</v>
      </c>
      <c r="AT749" s="28" t="s">
        <v>1321</v>
      </c>
      <c r="AU749" s="28"/>
      <c r="AV749" s="28"/>
      <c r="AW749" s="28"/>
      <c r="AX749" s="28" t="s">
        <v>428</v>
      </c>
      <c r="AY749" s="28"/>
      <c r="AZ749" s="28"/>
      <c r="BA749" s="28"/>
      <c r="BB749" s="28"/>
      <c r="BC749" s="28"/>
      <c r="BD749" s="28"/>
      <c r="BE749" s="28"/>
      <c r="BF749" s="28"/>
      <c r="BG749" s="28"/>
      <c r="BH749" s="28"/>
      <c r="BI749" s="28"/>
      <c r="BJ749" s="28"/>
      <c r="BK749" s="28"/>
      <c r="BL749" s="28"/>
      <c r="BM749" s="28"/>
      <c r="BN749" s="28"/>
      <c r="BO749" s="28"/>
    </row>
    <row r="750" ht="25.5" customHeight="1">
      <c r="A750" s="28">
        <v>10107.0</v>
      </c>
      <c r="B750" s="37" t="b">
        <v>1</v>
      </c>
      <c r="C750" s="38" t="s">
        <v>238</v>
      </c>
      <c r="D750" s="38">
        <v>81.0</v>
      </c>
      <c r="E750" s="13" t="b">
        <v>0</v>
      </c>
      <c r="F750" s="13" t="b">
        <v>1</v>
      </c>
      <c r="G750" s="38" t="s">
        <v>224</v>
      </c>
      <c r="H750" s="38"/>
      <c r="I750" s="38" t="s">
        <v>2548</v>
      </c>
      <c r="J750" s="38" t="s">
        <v>2549</v>
      </c>
      <c r="K750" s="38"/>
      <c r="L750" s="38"/>
      <c r="M750" s="38" t="s">
        <v>408</v>
      </c>
      <c r="N750" s="38">
        <v>20000.0</v>
      </c>
      <c r="O750" s="38" t="s">
        <v>169</v>
      </c>
      <c r="P750" s="40"/>
      <c r="Q750" s="38" t="s">
        <v>289</v>
      </c>
      <c r="R750" s="38">
        <v>40.0</v>
      </c>
      <c r="S750" s="38" t="s">
        <v>2551</v>
      </c>
      <c r="T750" s="38" t="s">
        <v>2552</v>
      </c>
      <c r="U750" s="38" t="s">
        <v>2553</v>
      </c>
      <c r="V750" s="55">
        <v>41709.0</v>
      </c>
      <c r="W750" s="38" t="s">
        <v>2554</v>
      </c>
      <c r="X750" s="49" t="str">
        <f>HYPERLINK("http://blogs.ei.columbia.edu/2014/03/11/using-fuel-economy-labels-to-help-consumers-save-money-and-the-environment/","http://blogs.ei.columbia.edu/2014/03/11/using-fuel-economy-labels-to-help-consumers-save-money-and-the-environment/")</f>
        <v>http://blogs.ei.columbia.edu/2014/03/11/using-fuel-economy-labels-to-help-consumers-save-money-and-the-environment/</v>
      </c>
      <c r="Y750" s="38"/>
      <c r="Z750" s="38"/>
      <c r="AA750" s="38"/>
      <c r="AB750" s="38"/>
      <c r="AC750" s="38"/>
      <c r="AD750" s="38"/>
      <c r="AE750" s="38"/>
      <c r="AF750" s="38"/>
      <c r="AG750" s="28"/>
      <c r="AH750" s="28" t="s">
        <v>462</v>
      </c>
      <c r="AI750" s="28" t="s">
        <v>462</v>
      </c>
      <c r="AJ750" s="28"/>
      <c r="AK750" s="28" t="s">
        <v>676</v>
      </c>
      <c r="AL750" s="28" t="s">
        <v>769</v>
      </c>
      <c r="AM750" s="28" t="s">
        <v>2559</v>
      </c>
      <c r="AN750" s="54">
        <v>41732.0</v>
      </c>
      <c r="AO750" s="54"/>
      <c r="AP750" s="54">
        <v>42556.0</v>
      </c>
      <c r="AQ750" s="28" t="s">
        <v>530</v>
      </c>
      <c r="AR750" s="28"/>
      <c r="AS750" s="54"/>
      <c r="AT750" s="28"/>
      <c r="AU750" s="28"/>
      <c r="AV750" s="28"/>
      <c r="AW750" s="28"/>
      <c r="AX750" s="28"/>
      <c r="AY750" s="28"/>
      <c r="AZ750" s="28"/>
      <c r="BA750" s="28" t="s">
        <v>2561</v>
      </c>
      <c r="BB750" s="28"/>
      <c r="BC750" s="28"/>
      <c r="BD750" s="28"/>
      <c r="BE750" s="28"/>
      <c r="BF750" s="28"/>
      <c r="BG750" s="28"/>
      <c r="BH750" s="28"/>
      <c r="BI750" s="28"/>
      <c r="BJ750" s="28"/>
      <c r="BK750" s="28"/>
      <c r="BL750" s="28"/>
      <c r="BM750" s="28"/>
      <c r="BN750" s="28"/>
      <c r="BO750" s="28"/>
    </row>
    <row r="751" ht="25.5" customHeight="1">
      <c r="A751" s="28">
        <v>10400.0</v>
      </c>
      <c r="B751" s="37" t="b">
        <v>1</v>
      </c>
      <c r="C751" s="38" t="s">
        <v>238</v>
      </c>
      <c r="D751" s="38">
        <v>81.0</v>
      </c>
      <c r="E751" s="13" t="b">
        <v>0</v>
      </c>
      <c r="F751" s="13" t="b">
        <v>1</v>
      </c>
      <c r="G751" s="38" t="s">
        <v>224</v>
      </c>
      <c r="H751" s="38"/>
      <c r="I751" s="38" t="s">
        <v>387</v>
      </c>
      <c r="J751" s="38">
        <v>8.0</v>
      </c>
      <c r="K751" s="38"/>
      <c r="L751" s="38"/>
      <c r="M751" s="38" t="s">
        <v>35</v>
      </c>
      <c r="N751" s="38">
        <v>2000.0</v>
      </c>
      <c r="O751" s="38" t="s">
        <v>837</v>
      </c>
      <c r="P751" s="40">
        <v>2001.0</v>
      </c>
      <c r="Q751" s="38" t="s">
        <v>1877</v>
      </c>
      <c r="R751" s="38" t="s">
        <v>1878</v>
      </c>
      <c r="S751" s="61" t="s">
        <v>5102</v>
      </c>
      <c r="T751" s="38" t="s">
        <v>5104</v>
      </c>
      <c r="U751" s="38" t="s">
        <v>5105</v>
      </c>
      <c r="V751" s="55">
        <v>42212.0</v>
      </c>
      <c r="W751" s="38" t="s">
        <v>5106</v>
      </c>
      <c r="X751" s="49" t="str">
        <f>HYPERLINK("http://blogs.ei.columbia.edu/2015/07/27/what-the-world-thinks-of-climate-change/","http://blogs.ei.columbia.edu/2015/07/27/what-the-world-thinks-of-climate-change/")</f>
        <v>http://blogs.ei.columbia.edu/2015/07/27/what-the-world-thinks-of-climate-change/</v>
      </c>
      <c r="Y751" s="38"/>
      <c r="Z751" s="38"/>
      <c r="AA751" s="38"/>
      <c r="AB751" s="38"/>
      <c r="AC751" s="38"/>
      <c r="AD751" s="38"/>
      <c r="AE751" s="38"/>
      <c r="AF751" s="38"/>
      <c r="AG751" s="28"/>
      <c r="AH751" s="28"/>
      <c r="AI751" s="28"/>
      <c r="AJ751" s="28"/>
      <c r="AK751" s="28"/>
      <c r="AL751" s="28" t="s">
        <v>769</v>
      </c>
      <c r="AM751" s="28" t="s">
        <v>5114</v>
      </c>
      <c r="AN751" s="54">
        <v>42709.0</v>
      </c>
      <c r="AO751" s="54"/>
      <c r="AP751" s="28"/>
      <c r="AQ751" s="28"/>
      <c r="AR751" s="28"/>
      <c r="AS751" s="28"/>
      <c r="AT751" s="28"/>
      <c r="AU751" s="28"/>
      <c r="AV751" s="28"/>
      <c r="AW751" s="28"/>
      <c r="AX751" s="28"/>
      <c r="AY751" s="28" t="s">
        <v>428</v>
      </c>
      <c r="AZ751" s="28"/>
      <c r="BA751" s="28"/>
      <c r="BB751" s="28"/>
      <c r="BC751" s="28"/>
      <c r="BD751" s="28"/>
      <c r="BE751" s="28"/>
      <c r="BF751" s="28"/>
      <c r="BG751" s="28"/>
      <c r="BH751" s="28"/>
      <c r="BI751" s="28"/>
      <c r="BJ751" s="28"/>
      <c r="BK751" s="28"/>
      <c r="BL751" s="28"/>
      <c r="BM751" s="28"/>
      <c r="BN751" s="28"/>
      <c r="BO751" s="28"/>
    </row>
    <row r="752" ht="25.5" customHeight="1">
      <c r="A752" s="28">
        <v>10165.0</v>
      </c>
      <c r="B752" s="37" t="b">
        <v>1</v>
      </c>
      <c r="C752" s="38" t="s">
        <v>238</v>
      </c>
      <c r="D752" s="38">
        <v>81.0</v>
      </c>
      <c r="E752" s="13" t="b">
        <v>0</v>
      </c>
      <c r="F752" s="13" t="b">
        <v>1</v>
      </c>
      <c r="G752" s="38" t="s">
        <v>224</v>
      </c>
      <c r="H752" s="38"/>
      <c r="I752" s="38" t="s">
        <v>1767</v>
      </c>
      <c r="J752" s="38" t="s">
        <v>1768</v>
      </c>
      <c r="K752" s="38"/>
      <c r="L752" s="38"/>
      <c r="M752" s="38" t="s">
        <v>35</v>
      </c>
      <c r="N752" s="38">
        <v>2000.0</v>
      </c>
      <c r="O752" s="38" t="s">
        <v>578</v>
      </c>
      <c r="P752" s="40"/>
      <c r="Q752" s="38" t="s">
        <v>289</v>
      </c>
      <c r="R752" s="38">
        <v>40.0</v>
      </c>
      <c r="S752" s="38" t="s">
        <v>3047</v>
      </c>
      <c r="T752" s="38" t="s">
        <v>3048</v>
      </c>
      <c r="U752" s="38" t="s">
        <v>3049</v>
      </c>
      <c r="V752" s="55">
        <v>42012.0</v>
      </c>
      <c r="W752" s="38" t="s">
        <v>3050</v>
      </c>
      <c r="X752" s="49" t="str">
        <f>HYPERLINK("http://blogs.ei.columbia.edu/2015/01/08/what-will-you-leave-behind-how-personal-legacy-affects-pro-environmental-behavior/","http://blogs.ei.columbia.edu/2015/01/08/what-will-you-leave-behind-how-personal-legacy-affects-pro-environmental-behavior/")</f>
        <v>http://blogs.ei.columbia.edu/2015/01/08/what-will-you-leave-behind-how-personal-legacy-affects-pro-environmental-behavior/</v>
      </c>
      <c r="Y752" s="38"/>
      <c r="Z752" s="38"/>
      <c r="AA752" s="38"/>
      <c r="AB752" s="38"/>
      <c r="AC752" s="38"/>
      <c r="AD752" s="38"/>
      <c r="AE752" s="38"/>
      <c r="AF752" s="38"/>
      <c r="AG752" s="28"/>
      <c r="AH752" s="28" t="s">
        <v>1316</v>
      </c>
      <c r="AI752" s="28" t="s">
        <v>1317</v>
      </c>
      <c r="AJ752" s="28"/>
      <c r="AK752" s="28" t="s">
        <v>1099</v>
      </c>
      <c r="AL752" s="28" t="s">
        <v>769</v>
      </c>
      <c r="AM752" s="28" t="s">
        <v>3055</v>
      </c>
      <c r="AN752" s="54">
        <v>42353.0</v>
      </c>
      <c r="AO752" s="54"/>
      <c r="AP752" s="54">
        <v>42508.0</v>
      </c>
      <c r="AQ752" s="28"/>
      <c r="AR752" s="28"/>
      <c r="AS752" s="28"/>
      <c r="AT752" s="28"/>
      <c r="AU752" s="28"/>
      <c r="AV752" s="28"/>
      <c r="AW752" s="28"/>
      <c r="AX752" s="28" t="s">
        <v>428</v>
      </c>
      <c r="AY752" s="28"/>
      <c r="AZ752" s="28"/>
      <c r="BA752" s="28"/>
      <c r="BB752" s="28"/>
      <c r="BC752" s="28"/>
      <c r="BD752" s="28"/>
      <c r="BE752" s="28"/>
      <c r="BF752" s="28"/>
      <c r="BG752" s="28"/>
      <c r="BH752" s="28"/>
      <c r="BI752" s="28"/>
      <c r="BJ752" s="28"/>
      <c r="BK752" s="28"/>
      <c r="BL752" s="28"/>
      <c r="BM752" s="28"/>
      <c r="BN752" s="28"/>
      <c r="BO752" s="28"/>
    </row>
    <row r="753" ht="25.5" customHeight="1">
      <c r="A753" s="28">
        <v>10260.0</v>
      </c>
      <c r="B753" s="37" t="b">
        <v>1</v>
      </c>
      <c r="C753" s="38" t="s">
        <v>238</v>
      </c>
      <c r="D753" s="38">
        <v>81.0</v>
      </c>
      <c r="E753" s="13" t="b">
        <v>0</v>
      </c>
      <c r="F753" s="13" t="b">
        <v>1</v>
      </c>
      <c r="G753" s="38" t="s">
        <v>224</v>
      </c>
      <c r="H753" s="38"/>
      <c r="I753" s="38" t="s">
        <v>376</v>
      </c>
      <c r="J753" s="38">
        <v>2.0</v>
      </c>
      <c r="K753" s="38"/>
      <c r="L753" s="38"/>
      <c r="M753" s="38" t="s">
        <v>388</v>
      </c>
      <c r="N753" s="38">
        <v>14000.0</v>
      </c>
      <c r="O753" s="38" t="s">
        <v>224</v>
      </c>
      <c r="P753" s="40"/>
      <c r="Q753" s="38" t="s">
        <v>3835</v>
      </c>
      <c r="R753" s="38" t="s">
        <v>3836</v>
      </c>
      <c r="S753" s="38" t="s">
        <v>3837</v>
      </c>
      <c r="T753" s="38" t="s">
        <v>3839</v>
      </c>
      <c r="U753" s="38" t="s">
        <v>2665</v>
      </c>
      <c r="V753" s="55">
        <v>41626.0</v>
      </c>
      <c r="W753" s="38" t="s">
        <v>3840</v>
      </c>
      <c r="X753" s="49" t="str">
        <f>HYPERLINK("http://economicspsychologypolicy.blogspot.ie/2013/12/the-15-best-behavioural-science-graphs.html?m=1%C2%A0%E2%80%A6","http://economicspsychologypolicy.blogspot.ie/2013/12/the-15-best-behavioural-science-graphs.html?m=1 …")</f>
        <v>http://economicspsychologypolicy.blogspot.ie/2013/12/the-15-best-behavioural-science-graphs.html?m=1 …</v>
      </c>
      <c r="Y753" s="38"/>
      <c r="Z753" s="38"/>
      <c r="AA753" s="38"/>
      <c r="AB753" s="38"/>
      <c r="AC753" s="38"/>
      <c r="AD753" s="38"/>
      <c r="AE753" s="38"/>
      <c r="AF753" s="38"/>
      <c r="AG753" s="28"/>
      <c r="AH753" s="28" t="s">
        <v>462</v>
      </c>
      <c r="AI753" s="28" t="s">
        <v>462</v>
      </c>
      <c r="AJ753" s="28"/>
      <c r="AK753" s="28"/>
      <c r="AL753" s="28" t="s">
        <v>769</v>
      </c>
      <c r="AM753" s="28" t="s">
        <v>3841</v>
      </c>
      <c r="AN753" s="54">
        <v>41992.0</v>
      </c>
      <c r="AO753" s="54"/>
      <c r="AP753" s="28"/>
      <c r="AQ753" s="28" t="s">
        <v>530</v>
      </c>
      <c r="AR753" s="28"/>
      <c r="AS753" s="54"/>
      <c r="AT753" s="28"/>
      <c r="AU753" s="54"/>
      <c r="AV753" s="28"/>
      <c r="AW753" s="28"/>
      <c r="AX753" s="28"/>
      <c r="AY753" s="28"/>
      <c r="AZ753" s="28"/>
      <c r="BA753" s="28"/>
      <c r="BB753" s="28"/>
      <c r="BC753" s="28"/>
      <c r="BD753" s="28"/>
      <c r="BE753" s="28"/>
      <c r="BF753" s="28"/>
      <c r="BG753" s="28"/>
      <c r="BH753" s="28"/>
      <c r="BI753" s="28"/>
      <c r="BJ753" s="28"/>
      <c r="BK753" s="28"/>
      <c r="BL753" s="28"/>
      <c r="BM753" s="28"/>
      <c r="BN753" s="28"/>
      <c r="BO753" s="28"/>
    </row>
    <row r="754" ht="25.5" customHeight="1">
      <c r="A754" s="28">
        <v>175.0</v>
      </c>
      <c r="B754" s="37" t="b">
        <v>1</v>
      </c>
      <c r="C754" s="38" t="s">
        <v>106</v>
      </c>
      <c r="D754" s="38">
        <v>80.0</v>
      </c>
      <c r="E754" s="13" t="b">
        <v>0</v>
      </c>
      <c r="F754" s="13" t="b">
        <v>1</v>
      </c>
      <c r="G754" s="38" t="s">
        <v>224</v>
      </c>
      <c r="H754" s="38"/>
      <c r="I754" s="38" t="s">
        <v>429</v>
      </c>
      <c r="J754" s="38">
        <v>2.0</v>
      </c>
      <c r="K754" s="38" t="s">
        <v>524</v>
      </c>
      <c r="L754" s="62">
        <v>205.0</v>
      </c>
      <c r="M754" s="38" t="s">
        <v>3605</v>
      </c>
      <c r="N754" s="38" t="s">
        <v>3606</v>
      </c>
      <c r="O754" s="38" t="s">
        <v>798</v>
      </c>
      <c r="P754" s="40"/>
      <c r="Q754" s="38" t="s">
        <v>289</v>
      </c>
      <c r="R754" s="38">
        <v>40.0</v>
      </c>
      <c r="S754" s="38" t="s">
        <v>5276</v>
      </c>
      <c r="T754" s="38" t="s">
        <v>5278</v>
      </c>
      <c r="U754" s="38" t="s">
        <v>5279</v>
      </c>
      <c r="V754" s="38">
        <v>2013.0</v>
      </c>
      <c r="W754" s="38" t="s">
        <v>5286</v>
      </c>
      <c r="X754" s="38" t="s">
        <v>5287</v>
      </c>
      <c r="Y754" s="38"/>
      <c r="Z754" s="38"/>
      <c r="AA754" s="38"/>
      <c r="AB754" s="38"/>
      <c r="AC754" s="38"/>
      <c r="AD754" s="38"/>
      <c r="AE754" s="38"/>
      <c r="AF754" s="38"/>
      <c r="AG754" s="28"/>
      <c r="AH754" s="28"/>
      <c r="AI754" s="28"/>
      <c r="AJ754" s="28"/>
      <c r="AK754" s="28"/>
      <c r="AL754" s="28"/>
      <c r="AM754" s="28"/>
      <c r="AN754" s="28"/>
      <c r="AO754" s="28"/>
      <c r="AP754" s="28"/>
      <c r="AQ754" s="28"/>
      <c r="AR754" s="28"/>
      <c r="AS754" s="28"/>
      <c r="AT754" s="28"/>
      <c r="AU754" s="28"/>
      <c r="AV754" s="28"/>
      <c r="AW754" s="28"/>
      <c r="AX754" s="28"/>
      <c r="AY754" s="28"/>
      <c r="AZ754" s="28"/>
      <c r="BA754" s="28" t="s">
        <v>5289</v>
      </c>
      <c r="BB754" s="28"/>
      <c r="BC754" s="28"/>
      <c r="BD754" s="28"/>
      <c r="BE754" s="28"/>
      <c r="BF754" s="28"/>
      <c r="BG754" s="28"/>
      <c r="BH754" s="28"/>
      <c r="BI754" s="28"/>
      <c r="BJ754" s="28"/>
      <c r="BK754" s="28"/>
      <c r="BL754" s="28"/>
      <c r="BM754" s="28"/>
      <c r="BN754" s="28"/>
      <c r="BO754" s="28"/>
    </row>
    <row r="755" ht="25.5" customHeight="1">
      <c r="A755" s="28">
        <v>10053.0</v>
      </c>
      <c r="B755" s="37" t="b">
        <v>1</v>
      </c>
      <c r="C755" s="38" t="s">
        <v>238</v>
      </c>
      <c r="D755" s="38">
        <v>81.0</v>
      </c>
      <c r="E755" s="13" t="b">
        <v>1</v>
      </c>
      <c r="F755" s="13" t="b">
        <v>0</v>
      </c>
      <c r="G755" s="38" t="s">
        <v>224</v>
      </c>
      <c r="H755" s="38"/>
      <c r="I755" s="38" t="s">
        <v>1875</v>
      </c>
      <c r="J755" s="38" t="s">
        <v>1876</v>
      </c>
      <c r="K755" s="38"/>
      <c r="L755" s="38"/>
      <c r="M755" s="38" t="s">
        <v>35</v>
      </c>
      <c r="N755" s="38">
        <v>2000.0</v>
      </c>
      <c r="O755" s="38" t="s">
        <v>1114</v>
      </c>
      <c r="P755" s="40"/>
      <c r="Q755" s="38" t="s">
        <v>1877</v>
      </c>
      <c r="R755" s="38" t="s">
        <v>1878</v>
      </c>
      <c r="S755" s="38" t="s">
        <v>1880</v>
      </c>
      <c r="T755" s="38" t="s">
        <v>1722</v>
      </c>
      <c r="U755" s="38" t="s">
        <v>1722</v>
      </c>
      <c r="V755" s="55">
        <v>41908.0</v>
      </c>
      <c r="W755" s="38" t="s">
        <v>1881</v>
      </c>
      <c r="X755" s="49" t="str">
        <f>HYPERLINK("http://www.sustainablebrands.com/news_and_views/new_metrics/sustainable_brands/new_metrics_%E2%80%9914_increased_fears_about_environment_not_?utm_source=Twitter&amp;utm_medium=schtweets&amp;utm_campaign=editorial","http://www.sustainablebrands.com/news_and_views/new_metrics/sustainable_brands/new_metrics_%E2%80%9914_increased_fears_about_environment_not_?utm_source=Twitter&amp;utm_medium=schtweets&amp;utm_campaign=editorial")</f>
        <v>http://www.sustainablebrands.com/news_and_views/new_metrics/sustainable_brands/new_metrics_%E2%80%9914_increased_fears_about_environment_not_?utm_source=Twitter&amp;utm_medium=schtweets&amp;utm_campaign=editorial</v>
      </c>
      <c r="Y755" s="38"/>
      <c r="Z755" s="38"/>
      <c r="AA755" s="38"/>
      <c r="AB755" s="38"/>
      <c r="AC755" s="38"/>
      <c r="AD755" s="38"/>
      <c r="AE755" s="38"/>
      <c r="AF755" s="38"/>
      <c r="AG755" s="28"/>
      <c r="AH755" s="28" t="s">
        <v>462</v>
      </c>
      <c r="AI755" s="28" t="s">
        <v>462</v>
      </c>
      <c r="AJ755" s="28"/>
      <c r="AK755" s="28" t="s">
        <v>676</v>
      </c>
      <c r="AL755" s="28" t="s">
        <v>600</v>
      </c>
      <c r="AM755" s="28"/>
      <c r="AN755" s="54"/>
      <c r="AO755" s="54"/>
      <c r="AP755" s="28"/>
      <c r="AQ755" s="28"/>
      <c r="AR755" s="28"/>
      <c r="AS755" s="54"/>
      <c r="AT755" s="28"/>
      <c r="AU755" s="28"/>
      <c r="AV755" s="28"/>
      <c r="AW755" s="28"/>
      <c r="AX755" s="28"/>
      <c r="AY755" s="28"/>
      <c r="AZ755" s="28" t="s">
        <v>678</v>
      </c>
      <c r="BA755" s="28"/>
      <c r="BB755" s="28"/>
      <c r="BC755" s="28"/>
      <c r="BD755" s="28"/>
      <c r="BE755" s="28"/>
      <c r="BF755" s="28"/>
      <c r="BG755" s="28"/>
      <c r="BH755" s="28"/>
      <c r="BI755" s="28"/>
      <c r="BJ755" s="28"/>
      <c r="BK755" s="28"/>
      <c r="BL755" s="28"/>
      <c r="BM755" s="28"/>
      <c r="BN755" s="28"/>
      <c r="BO755" s="28"/>
    </row>
    <row r="756" ht="25.5" customHeight="1">
      <c r="A756" s="28">
        <v>10072.0</v>
      </c>
      <c r="B756" s="37" t="b">
        <v>1</v>
      </c>
      <c r="C756" s="38" t="s">
        <v>238</v>
      </c>
      <c r="D756" s="38">
        <v>81.0</v>
      </c>
      <c r="E756" s="13" t="b">
        <v>0</v>
      </c>
      <c r="F756" s="13" t="b">
        <v>1</v>
      </c>
      <c r="G756" s="38" t="s">
        <v>224</v>
      </c>
      <c r="H756" s="38"/>
      <c r="I756" s="38" t="s">
        <v>574</v>
      </c>
      <c r="J756" s="38">
        <v>4.0</v>
      </c>
      <c r="K756" s="38"/>
      <c r="L756" s="38"/>
      <c r="M756" s="38" t="s">
        <v>335</v>
      </c>
      <c r="N756" s="38">
        <v>8000.0</v>
      </c>
      <c r="O756" s="38" t="s">
        <v>2078</v>
      </c>
      <c r="P756" s="40"/>
      <c r="Q756" s="38" t="s">
        <v>289</v>
      </c>
      <c r="R756" s="38">
        <v>40.0</v>
      </c>
      <c r="S756" s="38" t="s">
        <v>2079</v>
      </c>
      <c r="T756" s="38" t="s">
        <v>2080</v>
      </c>
      <c r="U756" s="38" t="s">
        <v>1722</v>
      </c>
      <c r="V756" s="55">
        <v>42159.0</v>
      </c>
      <c r="W756" s="38" t="s">
        <v>2081</v>
      </c>
      <c r="X756" s="49" t="str">
        <f>HYPERLINK("http://www.sustainablebrands.com/news_and_views/marketing_comms/brynn_mcnally/how_successfully_engage_consumers_around_water_sustaina?utm_source=Twitter&amp;utm_medium=schtweets&amp;utm_campaign=social","http://www.sustainablebrands.com/news_and_views/marketing_comms/brynn_mcnally/how_successfully_engage_consumers_around_water_sustaina?utm_source=Twitter&amp;utm_medium=schtweets&amp;utm_campaign=social")</f>
        <v>http://www.sustainablebrands.com/news_and_views/marketing_comms/brynn_mcnally/how_successfully_engage_consumers_around_water_sustaina?utm_source=Twitter&amp;utm_medium=schtweets&amp;utm_campaign=social</v>
      </c>
      <c r="Y756" s="38"/>
      <c r="Z756" s="38"/>
      <c r="AA756" s="38"/>
      <c r="AB756" s="38"/>
      <c r="AC756" s="38"/>
      <c r="AD756" s="38"/>
      <c r="AE756" s="38"/>
      <c r="AF756" s="38"/>
      <c r="AG756" s="28"/>
      <c r="AH756" s="28" t="s">
        <v>462</v>
      </c>
      <c r="AI756" s="28" t="s">
        <v>462</v>
      </c>
      <c r="AJ756" s="28"/>
      <c r="AK756" s="28" t="s">
        <v>676</v>
      </c>
      <c r="AL756" s="28" t="s">
        <v>769</v>
      </c>
      <c r="AM756" s="28" t="s">
        <v>2084</v>
      </c>
      <c r="AN756" s="54">
        <v>42194.0</v>
      </c>
      <c r="AO756" s="54"/>
      <c r="AP756" s="54">
        <v>42564.0</v>
      </c>
      <c r="AQ756" s="28"/>
      <c r="AR756" s="28"/>
      <c r="AS756" s="54"/>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row>
    <row r="757" ht="25.5" customHeight="1">
      <c r="A757" s="28">
        <v>10201.0</v>
      </c>
      <c r="B757" s="37" t="b">
        <v>1</v>
      </c>
      <c r="C757" s="38" t="s">
        <v>238</v>
      </c>
      <c r="D757" s="38">
        <v>81.0</v>
      </c>
      <c r="E757" s="13" t="b">
        <v>0</v>
      </c>
      <c r="F757" s="13" t="b">
        <v>1</v>
      </c>
      <c r="G757" s="38" t="s">
        <v>224</v>
      </c>
      <c r="H757" s="38"/>
      <c r="I757" s="38" t="s">
        <v>1857</v>
      </c>
      <c r="J757" s="38">
        <v>1.0</v>
      </c>
      <c r="K757" s="38"/>
      <c r="L757" s="38"/>
      <c r="M757" s="38" t="s">
        <v>411</v>
      </c>
      <c r="N757" s="38">
        <v>21000.0</v>
      </c>
      <c r="O757" s="38" t="s">
        <v>3354</v>
      </c>
      <c r="P757" s="40"/>
      <c r="Q757" s="38" t="s">
        <v>687</v>
      </c>
      <c r="R757" s="38" t="s">
        <v>688</v>
      </c>
      <c r="S757" s="61" t="s">
        <v>3356</v>
      </c>
      <c r="T757" s="38" t="s">
        <v>3357</v>
      </c>
      <c r="U757" s="38" t="s">
        <v>1722</v>
      </c>
      <c r="V757" s="55">
        <v>42500.0</v>
      </c>
      <c r="W757" s="38" t="s">
        <v>3360</v>
      </c>
      <c r="X757" s="49" t="str">
        <f>HYPERLINK("http://www.sustainablebrands.com/news_and_views/waste_not/hannah_furlong/trending_schemes_nyc_south_korea_helping_business_residents_?utm_source=Facebook&amp;utm_medium=posts&amp;utm_campaign=social","http://www.sustainablebrands.com/news_and_views/waste_not/hannah_furlong/trending_schemes_nyc_south_korea_helping_business_residents_?utm_source=Facebook&amp;utm_medium=posts&amp;utm_campaign=social")</f>
        <v>http://www.sustainablebrands.com/news_and_views/waste_not/hannah_furlong/trending_schemes_nyc_south_korea_helping_business_residents_?utm_source=Facebook&amp;utm_medium=posts&amp;utm_campaign=social</v>
      </c>
      <c r="Y757" s="38"/>
      <c r="Z757" s="38"/>
      <c r="AA757" s="38"/>
      <c r="AB757" s="38"/>
      <c r="AC757" s="38"/>
      <c r="AD757" s="38"/>
      <c r="AE757" s="38"/>
      <c r="AF757" s="38"/>
      <c r="AG757" s="28"/>
      <c r="AH757" s="28"/>
      <c r="AI757" s="28"/>
      <c r="AJ757" s="28"/>
      <c r="AK757" s="28"/>
      <c r="AL757" s="28" t="s">
        <v>769</v>
      </c>
      <c r="AM757" s="28" t="s">
        <v>3363</v>
      </c>
      <c r="AN757" s="54">
        <v>42676.0</v>
      </c>
      <c r="AO757" s="54"/>
      <c r="AP757" s="28"/>
      <c r="AQ757" s="28"/>
      <c r="AR757" s="28"/>
      <c r="AS757" s="28"/>
      <c r="AT757" s="28"/>
      <c r="AU757" s="28"/>
      <c r="AV757" s="28"/>
      <c r="AW757" s="28"/>
      <c r="AX757" s="28"/>
      <c r="AY757" s="28" t="s">
        <v>428</v>
      </c>
      <c r="AZ757" s="28"/>
      <c r="BA757" s="28"/>
      <c r="BB757" s="28"/>
      <c r="BC757" s="28"/>
      <c r="BD757" s="28"/>
      <c r="BE757" s="28"/>
      <c r="BF757" s="28"/>
      <c r="BG757" s="28"/>
      <c r="BH757" s="28"/>
      <c r="BI757" s="28"/>
      <c r="BJ757" s="28"/>
      <c r="BK757" s="28"/>
      <c r="BL757" s="28"/>
      <c r="BM757" s="28"/>
      <c r="BN757" s="28"/>
      <c r="BO757" s="28"/>
    </row>
    <row r="758" ht="25.5" customHeight="1">
      <c r="A758" s="28">
        <v>10449.0</v>
      </c>
      <c r="B758" s="37" t="b">
        <v>1</v>
      </c>
      <c r="C758" s="38" t="s">
        <v>238</v>
      </c>
      <c r="D758" s="38">
        <v>81.0</v>
      </c>
      <c r="E758" s="13" t="b">
        <v>0</v>
      </c>
      <c r="F758" s="13" t="b">
        <v>1</v>
      </c>
      <c r="G758" s="38" t="s">
        <v>224</v>
      </c>
      <c r="H758" s="38"/>
      <c r="I758" s="38" t="s">
        <v>772</v>
      </c>
      <c r="J758" s="38">
        <v>5.0</v>
      </c>
      <c r="K758" s="38"/>
      <c r="L758" s="38"/>
      <c r="M758" s="38" t="s">
        <v>392</v>
      </c>
      <c r="N758" s="38">
        <v>15000.0</v>
      </c>
      <c r="O758" s="38" t="s">
        <v>1882</v>
      </c>
      <c r="P758" s="40"/>
      <c r="Q758" s="38" t="s">
        <v>289</v>
      </c>
      <c r="R758" s="38">
        <v>40.0</v>
      </c>
      <c r="S758" s="38" t="s">
        <v>5481</v>
      </c>
      <c r="T758" s="38" t="s">
        <v>5482</v>
      </c>
      <c r="U758" s="38" t="s">
        <v>5483</v>
      </c>
      <c r="V758" s="55">
        <v>42200.0</v>
      </c>
      <c r="W758" s="38" t="s">
        <v>5484</v>
      </c>
      <c r="X758" s="49" t="str">
        <f>HYPERLINK("http://www.takepart.com/article/2015/07/15/what-sea-level-rise-looks-america-coast?cmpid=organic-share-twitter","http://www.takepart.com/article/2015/07/15/what-sea-level-rise-looks-america-coast?cmpid=organic-share-twitter")</f>
        <v>http://www.takepart.com/article/2015/07/15/what-sea-level-rise-looks-america-coast?cmpid=organic-share-twitter</v>
      </c>
      <c r="Y758" s="38"/>
      <c r="Z758" s="38"/>
      <c r="AA758" s="38"/>
      <c r="AB758" s="38"/>
      <c r="AC758" s="38"/>
      <c r="AD758" s="38"/>
      <c r="AE758" s="38"/>
      <c r="AF758" s="38"/>
      <c r="AG758" s="28"/>
      <c r="AH758" s="28" t="s">
        <v>462</v>
      </c>
      <c r="AI758" s="28" t="s">
        <v>462</v>
      </c>
      <c r="AJ758" s="28"/>
      <c r="AK758" s="28"/>
      <c r="AL758" s="28" t="s">
        <v>769</v>
      </c>
      <c r="AM758" s="28" t="s">
        <v>5488</v>
      </c>
      <c r="AN758" s="54">
        <v>42313.0</v>
      </c>
      <c r="AO758" s="54"/>
      <c r="AP758" s="54">
        <v>42618.0</v>
      </c>
      <c r="AQ758" s="28" t="s">
        <v>769</v>
      </c>
      <c r="AR758" s="28"/>
      <c r="AS758" s="54"/>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row>
    <row r="759" ht="25.5" customHeight="1">
      <c r="A759" s="28">
        <v>10122.0</v>
      </c>
      <c r="B759" s="37" t="b">
        <v>1</v>
      </c>
      <c r="C759" s="38" t="s">
        <v>238</v>
      </c>
      <c r="D759" s="38">
        <v>81.0</v>
      </c>
      <c r="E759" s="13" t="b">
        <v>0</v>
      </c>
      <c r="F759" s="13" t="b">
        <v>1</v>
      </c>
      <c r="G759" s="38" t="s">
        <v>224</v>
      </c>
      <c r="H759" s="38"/>
      <c r="I759" s="38" t="s">
        <v>2694</v>
      </c>
      <c r="J759" s="38" t="s">
        <v>2695</v>
      </c>
      <c r="K759" s="38"/>
      <c r="L759" s="38"/>
      <c r="M759" s="38" t="s">
        <v>35</v>
      </c>
      <c r="N759" s="38">
        <v>2000.0</v>
      </c>
      <c r="O759" s="38" t="s">
        <v>837</v>
      </c>
      <c r="P759" s="40">
        <v>2001.0</v>
      </c>
      <c r="Q759" s="38" t="s">
        <v>111</v>
      </c>
      <c r="R759" s="38">
        <v>41.0</v>
      </c>
      <c r="S759" s="38" t="s">
        <v>2722</v>
      </c>
      <c r="T759" s="38" t="s">
        <v>2723</v>
      </c>
      <c r="U759" s="38" t="s">
        <v>2724</v>
      </c>
      <c r="V759" s="55">
        <v>42112.0</v>
      </c>
      <c r="W759" s="38" t="s">
        <v>2725</v>
      </c>
      <c r="X759" s="49" t="str">
        <f>HYPERLINK("http://talkingclimate.org/bypass-the-hang-ups-with-the-preparation-frame/","http://talkingclimate.org/bypass-the-hang-ups-with-the-preparation-frame/")</f>
        <v>http://talkingclimate.org/bypass-the-hang-ups-with-the-preparation-frame/</v>
      </c>
      <c r="Y759" s="38"/>
      <c r="Z759" s="38"/>
      <c r="AA759" s="38"/>
      <c r="AB759" s="38"/>
      <c r="AC759" s="38"/>
      <c r="AD759" s="38"/>
      <c r="AE759" s="38"/>
      <c r="AF759" s="38"/>
      <c r="AG759" s="28"/>
      <c r="AH759" s="28" t="s">
        <v>462</v>
      </c>
      <c r="AI759" s="28" t="s">
        <v>462</v>
      </c>
      <c r="AJ759" s="28"/>
      <c r="AK759" s="28" t="s">
        <v>1099</v>
      </c>
      <c r="AL759" s="28" t="s">
        <v>769</v>
      </c>
      <c r="AM759" s="28"/>
      <c r="AN759" s="54">
        <v>42185.0</v>
      </c>
      <c r="AO759" s="54"/>
      <c r="AP759" s="54"/>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row>
    <row r="760" ht="25.5" customHeight="1">
      <c r="A760" s="28">
        <v>10395.0</v>
      </c>
      <c r="B760" s="37" t="b">
        <v>1</v>
      </c>
      <c r="C760" s="38" t="s">
        <v>238</v>
      </c>
      <c r="D760" s="38">
        <v>81.0</v>
      </c>
      <c r="E760" s="13" t="b">
        <v>0</v>
      </c>
      <c r="F760" s="13" t="b">
        <v>1</v>
      </c>
      <c r="G760" s="38" t="s">
        <v>224</v>
      </c>
      <c r="H760" s="38"/>
      <c r="I760" s="38" t="s">
        <v>387</v>
      </c>
      <c r="J760" s="38">
        <v>8.0</v>
      </c>
      <c r="K760" s="38"/>
      <c r="L760" s="38"/>
      <c r="M760" s="38" t="s">
        <v>35</v>
      </c>
      <c r="N760" s="38">
        <v>2000.0</v>
      </c>
      <c r="O760" s="38" t="s">
        <v>644</v>
      </c>
      <c r="P760" s="40"/>
      <c r="Q760" s="38" t="s">
        <v>324</v>
      </c>
      <c r="R760" s="38" t="s">
        <v>325</v>
      </c>
      <c r="S760" s="38" t="s">
        <v>5081</v>
      </c>
      <c r="T760" s="38" t="s">
        <v>2746</v>
      </c>
      <c r="U760" s="38" t="s">
        <v>2724</v>
      </c>
      <c r="V760" s="55">
        <v>42068.0</v>
      </c>
      <c r="W760" s="38"/>
      <c r="X760" s="49" t="str">
        <f>HYPERLINK("http://talkingclimate.org/personal-climate-stories/","http://talkingclimate.org/personal-climate-stories/")</f>
        <v>http://talkingclimate.org/personal-climate-stories/</v>
      </c>
      <c r="Y760" s="38"/>
      <c r="Z760" s="38"/>
      <c r="AA760" s="38"/>
      <c r="AB760" s="38"/>
      <c r="AC760" s="38"/>
      <c r="AD760" s="38"/>
      <c r="AE760" s="38"/>
      <c r="AF760" s="38"/>
      <c r="AG760" s="28"/>
      <c r="AH760" s="28" t="s">
        <v>462</v>
      </c>
      <c r="AI760" s="28" t="s">
        <v>462</v>
      </c>
      <c r="AJ760" s="28"/>
      <c r="AK760" s="28"/>
      <c r="AL760" s="28" t="s">
        <v>769</v>
      </c>
      <c r="AM760" s="28" t="s">
        <v>5085</v>
      </c>
      <c r="AN760" s="54">
        <v>42215.0</v>
      </c>
      <c r="AO760" s="54"/>
      <c r="AP760" s="54">
        <v>42579.0</v>
      </c>
      <c r="AQ760" s="28" t="s">
        <v>769</v>
      </c>
      <c r="AR760" s="28"/>
      <c r="AS760" s="54">
        <v>42215.0</v>
      </c>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row>
    <row r="761" ht="25.5" customHeight="1">
      <c r="A761" s="28">
        <v>10117.0</v>
      </c>
      <c r="B761" s="37" t="b">
        <v>1</v>
      </c>
      <c r="C761" s="38" t="s">
        <v>238</v>
      </c>
      <c r="D761" s="38">
        <v>81.0</v>
      </c>
      <c r="E761" s="13" t="b">
        <v>0</v>
      </c>
      <c r="F761" s="13" t="b">
        <v>1</v>
      </c>
      <c r="G761" s="38" t="s">
        <v>224</v>
      </c>
      <c r="H761" s="38"/>
      <c r="I761" s="38" t="s">
        <v>2654</v>
      </c>
      <c r="J761" s="38" t="s">
        <v>2656</v>
      </c>
      <c r="K761" s="38"/>
      <c r="L761" s="38"/>
      <c r="M761" s="38" t="s">
        <v>35</v>
      </c>
      <c r="N761" s="38">
        <v>2000.0</v>
      </c>
      <c r="O761" s="38" t="s">
        <v>644</v>
      </c>
      <c r="P761" s="40"/>
      <c r="Q761" s="38" t="s">
        <v>111</v>
      </c>
      <c r="R761" s="38">
        <v>41.0</v>
      </c>
      <c r="S761" s="61" t="s">
        <v>2657</v>
      </c>
      <c r="T761" s="38" t="s">
        <v>2658</v>
      </c>
      <c r="U761" s="38" t="s">
        <v>2659</v>
      </c>
      <c r="V761" s="55">
        <v>41877.0</v>
      </c>
      <c r="W761" s="38" t="s">
        <v>2660</v>
      </c>
      <c r="X761" s="49" t="str">
        <f>HYPERLINK("http://talkingclimate.org/5-strategies/","http://talkingclimate.org/5-strategies/")</f>
        <v>http://talkingclimate.org/5-strategies/</v>
      </c>
      <c r="Y761" s="38"/>
      <c r="Z761" s="38"/>
      <c r="AA761" s="38"/>
      <c r="AB761" s="38"/>
      <c r="AC761" s="38"/>
      <c r="AD761" s="38"/>
      <c r="AE761" s="38"/>
      <c r="AF761" s="38"/>
      <c r="AG761" s="28"/>
      <c r="AH761" s="28"/>
      <c r="AI761" s="28"/>
      <c r="AJ761" s="28"/>
      <c r="AK761" s="28"/>
      <c r="AL761" s="28" t="s">
        <v>769</v>
      </c>
      <c r="AM761" s="28" t="s">
        <v>2668</v>
      </c>
      <c r="AN761" s="54">
        <v>42668.0</v>
      </c>
      <c r="AO761" s="54"/>
      <c r="AP761" s="28"/>
      <c r="AQ761" s="28"/>
      <c r="AR761" s="28"/>
      <c r="AS761" s="28"/>
      <c r="AT761" s="28"/>
      <c r="AU761" s="28"/>
      <c r="AV761" s="28"/>
      <c r="AW761" s="28"/>
      <c r="AX761" s="28"/>
      <c r="AY761" s="28" t="s">
        <v>428</v>
      </c>
      <c r="AZ761" s="28" t="s">
        <v>2670</v>
      </c>
      <c r="BA761" s="28"/>
      <c r="BB761" s="28"/>
      <c r="BC761" s="28"/>
      <c r="BD761" s="28"/>
      <c r="BE761" s="28"/>
      <c r="BF761" s="28"/>
      <c r="BG761" s="28"/>
      <c r="BH761" s="28"/>
      <c r="BI761" s="28"/>
      <c r="BJ761" s="28"/>
      <c r="BK761" s="28"/>
      <c r="BL761" s="28"/>
      <c r="BM761" s="28"/>
      <c r="BN761" s="28"/>
      <c r="BO761" s="28"/>
    </row>
    <row r="762" ht="25.5" customHeight="1">
      <c r="A762" s="28">
        <v>10403.0</v>
      </c>
      <c r="B762" s="37" t="b">
        <v>1</v>
      </c>
      <c r="C762" s="38" t="s">
        <v>238</v>
      </c>
      <c r="D762" s="38">
        <v>81.0</v>
      </c>
      <c r="E762" s="13" t="b">
        <v>0</v>
      </c>
      <c r="F762" s="13" t="b">
        <v>1</v>
      </c>
      <c r="G762" s="38" t="s">
        <v>224</v>
      </c>
      <c r="H762" s="38"/>
      <c r="I762" s="38" t="s">
        <v>387</v>
      </c>
      <c r="J762" s="38">
        <v>8.0</v>
      </c>
      <c r="K762" s="38"/>
      <c r="L762" s="38"/>
      <c r="M762" s="38" t="s">
        <v>35</v>
      </c>
      <c r="N762" s="38">
        <v>2000.0</v>
      </c>
      <c r="O762" s="38" t="s">
        <v>644</v>
      </c>
      <c r="P762" s="40"/>
      <c r="Q762" s="38" t="s">
        <v>289</v>
      </c>
      <c r="R762" s="38">
        <v>40.0</v>
      </c>
      <c r="S762" s="38" t="s">
        <v>5117</v>
      </c>
      <c r="T762" s="38" t="s">
        <v>5118</v>
      </c>
      <c r="U762" s="38" t="s">
        <v>5119</v>
      </c>
      <c r="V762" s="55">
        <v>41891.0</v>
      </c>
      <c r="W762" s="38" t="s">
        <v>5120</v>
      </c>
      <c r="X762" s="49" t="str">
        <f>HYPERLINK("http://talkingpointsmemo.com/news/red-state-cities-find-euphemisms-prepare-global-warming%C2%A0%E2%80%A6","http://talkingpointsmemo.com/news/red-state-cities-find-euphemisms-prepare-global-warming …")</f>
        <v>http://talkingpointsmemo.com/news/red-state-cities-find-euphemisms-prepare-global-warming …</v>
      </c>
      <c r="Y762" s="38"/>
      <c r="Z762" s="38"/>
      <c r="AA762" s="38"/>
      <c r="AB762" s="38"/>
      <c r="AC762" s="38"/>
      <c r="AD762" s="38"/>
      <c r="AE762" s="38"/>
      <c r="AF762" s="38"/>
      <c r="AG762" s="28" t="s">
        <v>5122</v>
      </c>
      <c r="AH762" s="28" t="s">
        <v>462</v>
      </c>
      <c r="AI762" s="28" t="s">
        <v>462</v>
      </c>
      <c r="AJ762" s="28"/>
      <c r="AK762" s="28"/>
      <c r="AL762" s="28" t="s">
        <v>769</v>
      </c>
      <c r="AM762" s="28" t="s">
        <v>5124</v>
      </c>
      <c r="AN762" s="54">
        <v>41922.0</v>
      </c>
      <c r="AO762" s="54"/>
      <c r="AP762" s="28"/>
      <c r="AQ762" s="28" t="s">
        <v>769</v>
      </c>
      <c r="AR762" s="28"/>
      <c r="AS762" s="54"/>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row>
    <row r="763" ht="25.5" customHeight="1">
      <c r="A763" s="28">
        <v>313.0</v>
      </c>
      <c r="B763" s="37" t="b">
        <v>1</v>
      </c>
      <c r="C763" s="38" t="s">
        <v>106</v>
      </c>
      <c r="D763" s="38">
        <v>80.0</v>
      </c>
      <c r="E763" s="13" t="b">
        <v>0</v>
      </c>
      <c r="F763" s="13" t="b">
        <v>1</v>
      </c>
      <c r="G763" s="38" t="s">
        <v>224</v>
      </c>
      <c r="H763" s="38"/>
      <c r="I763" s="38" t="s">
        <v>226</v>
      </c>
      <c r="J763" s="38" t="s">
        <v>228</v>
      </c>
      <c r="K763" s="38" t="s">
        <v>3064</v>
      </c>
      <c r="L763" s="38" t="s">
        <v>3065</v>
      </c>
      <c r="M763" s="38" t="s">
        <v>239</v>
      </c>
      <c r="N763" s="38">
        <v>4000.0</v>
      </c>
      <c r="O763" s="38" t="s">
        <v>70</v>
      </c>
      <c r="P763" s="40"/>
      <c r="Q763" s="38" t="s">
        <v>289</v>
      </c>
      <c r="R763" s="38">
        <v>40.0</v>
      </c>
      <c r="S763" s="38" t="s">
        <v>5877</v>
      </c>
      <c r="T763" s="38" t="s">
        <v>5879</v>
      </c>
      <c r="U763" s="38" t="s">
        <v>5880</v>
      </c>
      <c r="V763" s="38">
        <v>2014.0</v>
      </c>
      <c r="W763" s="38" t="s">
        <v>5881</v>
      </c>
      <c r="X763" s="38" t="s">
        <v>5882</v>
      </c>
      <c r="Y763" s="38"/>
      <c r="Z763" s="38"/>
      <c r="AA763" s="38"/>
      <c r="AB763" s="38"/>
      <c r="AC763" s="38"/>
      <c r="AD763" s="38"/>
      <c r="AE763" s="38"/>
      <c r="AF763" s="38"/>
      <c r="AG763" s="28"/>
      <c r="AH763" s="28" t="s">
        <v>613</v>
      </c>
      <c r="AI763" s="28" t="s">
        <v>5883</v>
      </c>
      <c r="AJ763" s="28"/>
      <c r="AK763" s="28"/>
      <c r="AL763" s="28" t="s">
        <v>5884</v>
      </c>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row>
    <row r="764" ht="25.5" customHeight="1">
      <c r="A764" s="28">
        <v>10414.0</v>
      </c>
      <c r="B764" s="37" t="b">
        <v>1</v>
      </c>
      <c r="C764" s="38" t="s">
        <v>238</v>
      </c>
      <c r="D764" s="38">
        <v>81.0</v>
      </c>
      <c r="E764" s="13" t="b">
        <v>0</v>
      </c>
      <c r="F764" s="13" t="b">
        <v>1</v>
      </c>
      <c r="G764" s="38" t="s">
        <v>224</v>
      </c>
      <c r="H764" s="38"/>
      <c r="I764" s="38" t="s">
        <v>1480</v>
      </c>
      <c r="J764" s="38">
        <v>8.0</v>
      </c>
      <c r="K764" s="38"/>
      <c r="L764" s="38"/>
      <c r="M764" s="38" t="s">
        <v>35</v>
      </c>
      <c r="N764" s="38">
        <v>2000.0</v>
      </c>
      <c r="O764" s="38" t="s">
        <v>837</v>
      </c>
      <c r="P764" s="40">
        <v>2001.0</v>
      </c>
      <c r="Q764" s="38" t="s">
        <v>298</v>
      </c>
      <c r="R764" s="38">
        <v>44.0</v>
      </c>
      <c r="S764" s="38" t="s">
        <v>5211</v>
      </c>
      <c r="T764" s="38" t="s">
        <v>5212</v>
      </c>
      <c r="U764" s="38" t="s">
        <v>5213</v>
      </c>
      <c r="V764" s="55">
        <v>40691.0</v>
      </c>
      <c r="W764" s="38"/>
      <c r="X764" s="49" t="str">
        <f>HYPERLINK("http://www.theage.com.au/it-pro/forget-facts-its-personality-that-rules-reactions-to-climate-change-20110527-1f8dl.html","http://www.theage.com.au/it-pro/forget-facts-its-personality-that-rules-reactions-to-climate-change-20110527-1f8dl.html")</f>
        <v>http://www.theage.com.au/it-pro/forget-facts-its-personality-that-rules-reactions-to-climate-change-20110527-1f8dl.html</v>
      </c>
      <c r="Y764" s="38"/>
      <c r="Z764" s="38"/>
      <c r="AA764" s="38"/>
      <c r="AB764" s="38"/>
      <c r="AC764" s="38"/>
      <c r="AD764" s="38"/>
      <c r="AE764" s="38"/>
      <c r="AF764" s="38"/>
      <c r="AG764" s="28"/>
      <c r="AH764" s="28" t="s">
        <v>842</v>
      </c>
      <c r="AI764" s="28" t="s">
        <v>462</v>
      </c>
      <c r="AJ764" s="28"/>
      <c r="AK764" s="28" t="s">
        <v>676</v>
      </c>
      <c r="AL764" s="28" t="s">
        <v>769</v>
      </c>
      <c r="AM764" s="28" t="s">
        <v>5215</v>
      </c>
      <c r="AN764" s="54">
        <v>42332.0</v>
      </c>
      <c r="AO764" s="54"/>
      <c r="AP764" s="54">
        <v>42541.0</v>
      </c>
      <c r="AQ764" s="28" t="s">
        <v>769</v>
      </c>
      <c r="AR764" s="28"/>
      <c r="AS764" s="54">
        <v>42335.0</v>
      </c>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row>
    <row r="765" ht="25.5" customHeight="1">
      <c r="A765" s="32">
        <v>20079.0</v>
      </c>
      <c r="B765" s="37" t="b">
        <v>1</v>
      </c>
      <c r="C765" s="62" t="s">
        <v>274</v>
      </c>
      <c r="D765" s="62">
        <v>82.0</v>
      </c>
      <c r="E765" s="13" t="b">
        <v>0</v>
      </c>
      <c r="F765" s="13" t="b">
        <v>1</v>
      </c>
      <c r="G765" s="62" t="s">
        <v>224</v>
      </c>
      <c r="H765" s="62"/>
      <c r="I765" s="62" t="s">
        <v>779</v>
      </c>
      <c r="J765" s="67">
        <v>5.0</v>
      </c>
      <c r="K765" s="62" t="s">
        <v>797</v>
      </c>
      <c r="L765" s="62">
        <v>501.0</v>
      </c>
      <c r="M765" s="62" t="s">
        <v>107</v>
      </c>
      <c r="N765" s="38">
        <v>3000.0</v>
      </c>
      <c r="O765" s="62" t="s">
        <v>805</v>
      </c>
      <c r="P765" s="58"/>
      <c r="Q765" s="62" t="s">
        <v>117</v>
      </c>
      <c r="R765" s="67"/>
      <c r="S765" s="62" t="s">
        <v>809</v>
      </c>
      <c r="T765" s="62" t="s">
        <v>811</v>
      </c>
      <c r="U765" s="62" t="s">
        <v>813</v>
      </c>
      <c r="V765" s="68">
        <v>38875.0</v>
      </c>
      <c r="W765" s="62"/>
      <c r="X765" s="62" t="s">
        <v>814</v>
      </c>
      <c r="Y765" s="62" t="s">
        <v>808</v>
      </c>
      <c r="Z765" s="62"/>
      <c r="AA765" s="62"/>
      <c r="AB765" s="62" t="s">
        <v>815</v>
      </c>
      <c r="AC765" s="62" t="s">
        <v>816</v>
      </c>
      <c r="AD765" s="62" t="s">
        <v>817</v>
      </c>
      <c r="AE765" s="68">
        <v>38875.0</v>
      </c>
      <c r="AF765" s="62" t="s">
        <v>818</v>
      </c>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v>3.0</v>
      </c>
      <c r="BD765" s="32" t="s">
        <v>819</v>
      </c>
      <c r="BE765" s="32" t="s">
        <v>114</v>
      </c>
      <c r="BF765" s="32"/>
      <c r="BG765" s="32"/>
      <c r="BH765" s="32"/>
      <c r="BI765" s="32"/>
      <c r="BJ765" s="32"/>
      <c r="BK765" s="32"/>
      <c r="BL765" s="32"/>
      <c r="BM765" s="32"/>
      <c r="BN765" s="32"/>
      <c r="BO765" s="32"/>
    </row>
    <row r="766" ht="25.5" customHeight="1">
      <c r="A766" s="28">
        <v>10455.0</v>
      </c>
      <c r="B766" s="37" t="b">
        <v>1</v>
      </c>
      <c r="C766" s="38" t="s">
        <v>238</v>
      </c>
      <c r="D766" s="38">
        <v>81.0</v>
      </c>
      <c r="E766" s="13" t="b">
        <v>0</v>
      </c>
      <c r="F766" s="13" t="b">
        <v>1</v>
      </c>
      <c r="G766" s="38" t="s">
        <v>224</v>
      </c>
      <c r="H766" s="38"/>
      <c r="I766" s="38" t="s">
        <v>779</v>
      </c>
      <c r="J766" s="38">
        <v>5.0</v>
      </c>
      <c r="K766" s="38"/>
      <c r="L766" s="38"/>
      <c r="M766" s="38" t="s">
        <v>107</v>
      </c>
      <c r="N766" s="38">
        <v>3000.0</v>
      </c>
      <c r="O766" s="38" t="s">
        <v>185</v>
      </c>
      <c r="P766" s="40"/>
      <c r="Q766" s="38" t="s">
        <v>1976</v>
      </c>
      <c r="R766" s="38">
        <v>44.0</v>
      </c>
      <c r="S766" s="61" t="s">
        <v>5520</v>
      </c>
      <c r="T766" s="38" t="s">
        <v>5521</v>
      </c>
      <c r="U766" s="38" t="s">
        <v>813</v>
      </c>
      <c r="V766" s="55">
        <v>38875.0</v>
      </c>
      <c r="W766" s="38"/>
      <c r="X766" s="38" t="s">
        <v>5523</v>
      </c>
      <c r="Y766" s="38"/>
      <c r="Z766" s="38"/>
      <c r="AA766" s="38"/>
      <c r="AB766" s="38"/>
      <c r="AC766" s="38"/>
      <c r="AD766" s="38"/>
      <c r="AE766" s="38"/>
      <c r="AF766" s="38"/>
      <c r="AG766" s="28"/>
      <c r="AH766" s="28" t="s">
        <v>39</v>
      </c>
      <c r="AI766" s="28" t="s">
        <v>462</v>
      </c>
      <c r="AJ766" s="28"/>
      <c r="AK766" s="28"/>
      <c r="AL766" s="28"/>
      <c r="AM766" s="28"/>
      <c r="AN766" s="28"/>
      <c r="AO766" s="28"/>
      <c r="AP766" s="28"/>
      <c r="AQ766" s="28"/>
      <c r="AR766" s="28"/>
      <c r="AS766" s="28"/>
      <c r="AT766" s="28"/>
      <c r="AU766" s="28"/>
      <c r="AV766" s="28"/>
      <c r="AW766" s="28"/>
      <c r="AX766" s="28"/>
      <c r="AY766" s="28"/>
      <c r="AZ766" s="28" t="s">
        <v>5524</v>
      </c>
      <c r="BA766" s="28"/>
      <c r="BB766" s="28"/>
      <c r="BC766" s="28"/>
      <c r="BD766" s="28"/>
      <c r="BE766" s="28"/>
      <c r="BF766" s="28"/>
      <c r="BG766" s="28"/>
      <c r="BH766" s="28"/>
      <c r="BI766" s="28"/>
      <c r="BJ766" s="28"/>
      <c r="BK766" s="28"/>
      <c r="BL766" s="28"/>
      <c r="BM766" s="28"/>
      <c r="BN766" s="28"/>
      <c r="BO766" s="28"/>
    </row>
    <row r="767" ht="25.5" customHeight="1">
      <c r="A767" s="28">
        <v>270.0</v>
      </c>
      <c r="B767" s="37" t="b">
        <v>1</v>
      </c>
      <c r="C767" s="38" t="s">
        <v>106</v>
      </c>
      <c r="D767" s="38">
        <v>80.0</v>
      </c>
      <c r="E767" s="13" t="b">
        <v>0</v>
      </c>
      <c r="F767" s="13" t="b">
        <v>1</v>
      </c>
      <c r="G767" s="38" t="s">
        <v>224</v>
      </c>
      <c r="H767" s="38"/>
      <c r="I767" s="38" t="s">
        <v>536</v>
      </c>
      <c r="J767" s="38">
        <v>3.0</v>
      </c>
      <c r="K767" s="38" t="s">
        <v>603</v>
      </c>
      <c r="L767" s="38">
        <v>304.0</v>
      </c>
      <c r="M767" s="38" t="s">
        <v>239</v>
      </c>
      <c r="N767" s="38">
        <v>4000.0</v>
      </c>
      <c r="O767" s="38" t="s">
        <v>605</v>
      </c>
      <c r="P767" s="40"/>
      <c r="Q767" s="38" t="s">
        <v>289</v>
      </c>
      <c r="R767" s="38">
        <v>40.0</v>
      </c>
      <c r="S767" s="38" t="s">
        <v>5715</v>
      </c>
      <c r="T767" s="38" t="s">
        <v>5716</v>
      </c>
      <c r="U767" s="38" t="s">
        <v>5717</v>
      </c>
      <c r="V767" s="38">
        <v>2012.0</v>
      </c>
      <c r="W767" s="38" t="s">
        <v>5718</v>
      </c>
      <c r="X767" s="38" t="s">
        <v>5719</v>
      </c>
      <c r="Y767" s="38"/>
      <c r="Z767" s="38"/>
      <c r="AA767" s="38"/>
      <c r="AB767" s="38"/>
      <c r="AC767" s="38"/>
      <c r="AD767" s="38"/>
      <c r="AE767" s="38"/>
      <c r="AF767" s="38"/>
      <c r="AG767" s="28"/>
      <c r="AH767" s="28" t="s">
        <v>769</v>
      </c>
      <c r="AI767" s="28"/>
      <c r="AJ767" s="28"/>
      <c r="AK767" s="28"/>
      <c r="AL767" s="28"/>
      <c r="AM767" s="28"/>
      <c r="AN767" s="28"/>
      <c r="AO767" s="28"/>
      <c r="AP767" s="28"/>
      <c r="AQ767" s="28"/>
      <c r="AR767" s="28"/>
      <c r="AS767" s="28"/>
      <c r="AT767" s="28"/>
      <c r="AU767" s="28"/>
      <c r="AV767" s="28"/>
      <c r="AW767" s="28"/>
      <c r="AX767" s="28"/>
      <c r="AY767" s="28"/>
      <c r="AZ767" s="28"/>
      <c r="BA767" s="28" t="s">
        <v>1023</v>
      </c>
      <c r="BB767" s="28"/>
      <c r="BC767" s="28"/>
      <c r="BD767" s="28"/>
      <c r="BE767" s="28"/>
      <c r="BF767" s="28"/>
      <c r="BG767" s="28"/>
      <c r="BH767" s="28"/>
      <c r="BI767" s="28"/>
      <c r="BJ767" s="28"/>
      <c r="BK767" s="28"/>
      <c r="BL767" s="28"/>
      <c r="BM767" s="28"/>
      <c r="BN767" s="28"/>
      <c r="BO767" s="28"/>
    </row>
    <row r="768" ht="25.5" customHeight="1">
      <c r="A768" s="28">
        <v>10379.0</v>
      </c>
      <c r="B768" s="37" t="b">
        <v>1</v>
      </c>
      <c r="C768" s="38" t="s">
        <v>238</v>
      </c>
      <c r="D768" s="38">
        <v>81.0</v>
      </c>
      <c r="E768" s="13" t="b">
        <v>0</v>
      </c>
      <c r="F768" s="13" t="b">
        <v>1</v>
      </c>
      <c r="G768" s="38" t="s">
        <v>224</v>
      </c>
      <c r="H768" s="38"/>
      <c r="I768" s="38" t="s">
        <v>712</v>
      </c>
      <c r="J768" s="38">
        <v>7.0</v>
      </c>
      <c r="K768" s="38"/>
      <c r="L768" s="38"/>
      <c r="M768" s="38" t="s">
        <v>359</v>
      </c>
      <c r="N768" s="38">
        <v>10000.0</v>
      </c>
      <c r="O768" s="38" t="s">
        <v>3109</v>
      </c>
      <c r="P768" s="40"/>
      <c r="Q768" s="38" t="s">
        <v>289</v>
      </c>
      <c r="R768" s="38">
        <v>40.0</v>
      </c>
      <c r="S768" s="38" t="s">
        <v>4912</v>
      </c>
      <c r="T768" s="38" t="s">
        <v>4913</v>
      </c>
      <c r="U768" s="38" t="s">
        <v>4914</v>
      </c>
      <c r="V768" s="55">
        <v>42155.0</v>
      </c>
      <c r="W768" s="38" t="s">
        <v>4915</v>
      </c>
      <c r="X768" s="49" t="str">
        <f>HYPERLINK("http://www.azcentral.com/story/news/local/best-reads/2015/05/31/rewriting-story-petrified-national-monument-forest/28143093/","http://www.azcentral.com/story/news/local/best-reads/2015/05/31/rewriting-story-petrified-national-monument-forest/28143093/")</f>
        <v>http://www.azcentral.com/story/news/local/best-reads/2015/05/31/rewriting-story-petrified-national-monument-forest/28143093/</v>
      </c>
      <c r="Y768" s="38"/>
      <c r="Z768" s="38"/>
      <c r="AA768" s="38"/>
      <c r="AB768" s="38"/>
      <c r="AC768" s="38"/>
      <c r="AD768" s="38"/>
      <c r="AE768" s="38"/>
      <c r="AF768" s="38"/>
      <c r="AG768" s="28"/>
      <c r="AH768" s="28" t="s">
        <v>462</v>
      </c>
      <c r="AI768" s="28" t="s">
        <v>428</v>
      </c>
      <c r="AJ768" s="28"/>
      <c r="AK768" s="28"/>
      <c r="AL768" s="28" t="s">
        <v>769</v>
      </c>
      <c r="AM768" s="28" t="s">
        <v>4919</v>
      </c>
      <c r="AN768" s="54">
        <v>42331.0</v>
      </c>
      <c r="AO768" s="54"/>
      <c r="AP768" s="28"/>
      <c r="AQ768" s="28"/>
      <c r="AR768" s="28"/>
      <c r="AS768" s="54"/>
      <c r="AT768" s="28"/>
      <c r="AU768" s="28"/>
      <c r="AV768" s="28"/>
      <c r="AW768" s="28"/>
      <c r="AX768" s="28"/>
      <c r="AY768" s="28"/>
      <c r="AZ768" s="28" t="s">
        <v>1680</v>
      </c>
      <c r="BA768" s="28" t="s">
        <v>4920</v>
      </c>
      <c r="BB768" s="28"/>
      <c r="BC768" s="28"/>
      <c r="BD768" s="28"/>
      <c r="BE768" s="28"/>
      <c r="BF768" s="28"/>
      <c r="BG768" s="28"/>
      <c r="BH768" s="28"/>
      <c r="BI768" s="28"/>
      <c r="BJ768" s="28"/>
      <c r="BK768" s="28"/>
      <c r="BL768" s="28"/>
      <c r="BM768" s="28"/>
      <c r="BN768" s="28"/>
      <c r="BO768" s="28"/>
    </row>
    <row r="769" ht="25.5" customHeight="1">
      <c r="A769" s="28">
        <v>10002.0</v>
      </c>
      <c r="B769" s="37" t="b">
        <v>1</v>
      </c>
      <c r="C769" s="38" t="s">
        <v>238</v>
      </c>
      <c r="D769" s="38">
        <v>81.0</v>
      </c>
      <c r="E769" s="13" t="b">
        <v>1</v>
      </c>
      <c r="F769" s="13" t="b">
        <v>0</v>
      </c>
      <c r="G769" s="38" t="s">
        <v>224</v>
      </c>
      <c r="H769" s="38"/>
      <c r="I769" s="38" t="s">
        <v>574</v>
      </c>
      <c r="J769" s="38">
        <v>4.0</v>
      </c>
      <c r="K769" s="38"/>
      <c r="L769" s="38"/>
      <c r="M769" s="38" t="s">
        <v>35</v>
      </c>
      <c r="N769" s="38">
        <v>2000.0</v>
      </c>
      <c r="O769" s="38" t="s">
        <v>837</v>
      </c>
      <c r="P769" s="40">
        <v>2001.0</v>
      </c>
      <c r="Q769" s="38" t="s">
        <v>289</v>
      </c>
      <c r="R769" s="38">
        <v>40.0</v>
      </c>
      <c r="S769" s="38" t="s">
        <v>1268</v>
      </c>
      <c r="T769" s="38" t="s">
        <v>1269</v>
      </c>
      <c r="U769" s="38" t="s">
        <v>1258</v>
      </c>
      <c r="V769" s="55">
        <v>42033.0</v>
      </c>
      <c r="W769" s="38"/>
      <c r="X769" s="49" t="str">
        <f>HYPERLINK("http://www.theatlantic.com/health/archive/2015/01/americans-believe-in-science-just-not-its-findings/384937/","http://www.theatlantic.com/health/archive/2015/01/americans-believe-in-science-just-not-its-findings/384937/")</f>
        <v>http://www.theatlantic.com/health/archive/2015/01/americans-believe-in-science-just-not-its-findings/384937/</v>
      </c>
      <c r="Y769" s="38"/>
      <c r="Z769" s="38"/>
      <c r="AA769" s="38"/>
      <c r="AB769" s="38"/>
      <c r="AC769" s="38"/>
      <c r="AD769" s="38"/>
      <c r="AE769" s="38"/>
      <c r="AF769" s="38"/>
      <c r="AG769" s="28"/>
      <c r="AH769" s="28" t="s">
        <v>462</v>
      </c>
      <c r="AI769" s="28" t="s">
        <v>462</v>
      </c>
      <c r="AJ769" s="28"/>
      <c r="AK769" s="28" t="s">
        <v>676</v>
      </c>
      <c r="AL769" s="28" t="s">
        <v>769</v>
      </c>
      <c r="AM769" s="28" t="s">
        <v>1277</v>
      </c>
      <c r="AN769" s="54">
        <v>42179.0</v>
      </c>
      <c r="AO769" s="54"/>
      <c r="AP769" s="54">
        <v>42506.0</v>
      </c>
      <c r="AQ769" s="28" t="s">
        <v>769</v>
      </c>
      <c r="AR769" s="28"/>
      <c r="AS769" s="54">
        <v>42193.0</v>
      </c>
      <c r="AT769" s="28"/>
      <c r="AU769" s="54"/>
      <c r="AV769" s="28"/>
      <c r="AW769" s="28"/>
      <c r="AX769" s="28"/>
      <c r="AY769" s="28"/>
      <c r="AZ769" s="28"/>
      <c r="BA769" s="28"/>
      <c r="BB769" s="28"/>
      <c r="BC769" s="28"/>
      <c r="BD769" s="28"/>
      <c r="BE769" s="28"/>
      <c r="BF769" s="28"/>
      <c r="BG769" s="28"/>
      <c r="BH769" s="28"/>
      <c r="BI769" s="28"/>
      <c r="BJ769" s="28"/>
      <c r="BK769" s="28"/>
      <c r="BL769" s="28"/>
      <c r="BM769" s="28"/>
      <c r="BN769" s="28"/>
      <c r="BO769" s="28"/>
    </row>
    <row r="770" ht="25.5" customHeight="1">
      <c r="A770" s="28">
        <v>10034.0</v>
      </c>
      <c r="B770" s="37" t="b">
        <v>1</v>
      </c>
      <c r="C770" s="38" t="s">
        <v>238</v>
      </c>
      <c r="D770" s="38">
        <v>81.0</v>
      </c>
      <c r="E770" s="13" t="b">
        <v>1</v>
      </c>
      <c r="F770" s="13" t="b">
        <v>0</v>
      </c>
      <c r="G770" s="38" t="s">
        <v>1447</v>
      </c>
      <c r="H770" s="38" t="s">
        <v>7066</v>
      </c>
      <c r="I770" s="38" t="s">
        <v>224</v>
      </c>
      <c r="J770" s="38"/>
      <c r="K770" s="38" t="s">
        <v>224</v>
      </c>
      <c r="L770" s="38"/>
      <c r="M770" s="38" t="s">
        <v>388</v>
      </c>
      <c r="N770" s="38">
        <v>14000.0</v>
      </c>
      <c r="O770" s="38" t="s">
        <v>224</v>
      </c>
      <c r="P770" s="40"/>
      <c r="Q770" s="38" t="s">
        <v>272</v>
      </c>
      <c r="R770" s="38">
        <v>42.0</v>
      </c>
      <c r="S770" s="38" t="s">
        <v>1676</v>
      </c>
      <c r="T770" s="38" t="s">
        <v>1677</v>
      </c>
      <c r="U770" s="38" t="s">
        <v>1258</v>
      </c>
      <c r="V770" s="55">
        <v>42137.0</v>
      </c>
      <c r="W770" s="38" t="s">
        <v>1678</v>
      </c>
      <c r="X770" s="49" t="str">
        <f>HYPERLINK("http://www.theatlantic.com/business/archive/2015/05/an-economist-reads-marie-kondo/392921/","http://www.theatlantic.com/business/archive/2015/05/an-economist-reads-marie-kondo/392921/")</f>
        <v>http://www.theatlantic.com/business/archive/2015/05/an-economist-reads-marie-kondo/392921/</v>
      </c>
      <c r="Y770" s="38"/>
      <c r="Z770" s="38"/>
      <c r="AA770" s="38"/>
      <c r="AB770" s="38"/>
      <c r="AC770" s="38"/>
      <c r="AD770" s="38"/>
      <c r="AE770" s="38"/>
      <c r="AF770" s="38"/>
      <c r="AG770" s="28"/>
      <c r="AH770" s="28" t="s">
        <v>462</v>
      </c>
      <c r="AI770" s="28" t="s">
        <v>462</v>
      </c>
      <c r="AJ770" s="28"/>
      <c r="AK770" s="28" t="s">
        <v>676</v>
      </c>
      <c r="AL770" s="28" t="s">
        <v>600</v>
      </c>
      <c r="AM770" s="28"/>
      <c r="AN770" s="54"/>
      <c r="AO770" s="54"/>
      <c r="AP770" s="28"/>
      <c r="AQ770" s="28"/>
      <c r="AR770" s="28"/>
      <c r="AS770" s="54"/>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row>
    <row r="771" ht="25.5" customHeight="1">
      <c r="A771" s="28">
        <v>10182.0</v>
      </c>
      <c r="B771" s="37" t="b">
        <v>1</v>
      </c>
      <c r="C771" s="38" t="s">
        <v>238</v>
      </c>
      <c r="D771" s="38">
        <v>81.0</v>
      </c>
      <c r="E771" s="13" t="b">
        <v>0</v>
      </c>
      <c r="F771" s="13" t="b">
        <v>1</v>
      </c>
      <c r="G771" s="38" t="s">
        <v>224</v>
      </c>
      <c r="H771" s="38"/>
      <c r="I771" s="38" t="s">
        <v>265</v>
      </c>
      <c r="J771" s="38">
        <v>9.0</v>
      </c>
      <c r="K771" s="38"/>
      <c r="L771" s="38"/>
      <c r="M771" s="38" t="s">
        <v>388</v>
      </c>
      <c r="N771" s="38">
        <v>14000.0</v>
      </c>
      <c r="O771" s="38" t="s">
        <v>224</v>
      </c>
      <c r="P771" s="40"/>
      <c r="Q771" s="38" t="s">
        <v>117</v>
      </c>
      <c r="R771" s="38">
        <v>40.0</v>
      </c>
      <c r="S771" s="38" t="s">
        <v>3189</v>
      </c>
      <c r="T771" s="38" t="s">
        <v>3190</v>
      </c>
      <c r="U771" s="38" t="s">
        <v>1258</v>
      </c>
      <c r="V771" s="55">
        <v>42247.0</v>
      </c>
      <c r="W771" s="38"/>
      <c r="X771" s="38" t="s">
        <v>3191</v>
      </c>
      <c r="Y771" s="38"/>
      <c r="Z771" s="38"/>
      <c r="AA771" s="38"/>
      <c r="AB771" s="38"/>
      <c r="AC771" s="38"/>
      <c r="AD771" s="38"/>
      <c r="AE771" s="38"/>
      <c r="AF771" s="38"/>
      <c r="AG771" s="28"/>
      <c r="AH771" s="28" t="s">
        <v>462</v>
      </c>
      <c r="AI771" s="28" t="s">
        <v>462</v>
      </c>
      <c r="AJ771" s="28"/>
      <c r="AK771" s="28"/>
      <c r="AL771" s="28"/>
      <c r="AM771" s="28"/>
      <c r="AN771" s="54"/>
      <c r="AO771" s="54"/>
      <c r="AP771" s="54"/>
      <c r="AQ771" s="28"/>
      <c r="AR771" s="28"/>
      <c r="AS771" s="54"/>
      <c r="AT771" s="28"/>
      <c r="AU771" s="28"/>
      <c r="AV771" s="28"/>
      <c r="AW771" s="28"/>
      <c r="AX771" s="28"/>
      <c r="AY771" s="28"/>
      <c r="AZ771" s="28" t="s">
        <v>3192</v>
      </c>
      <c r="BA771" s="28"/>
      <c r="BB771" s="28"/>
      <c r="BC771" s="28"/>
      <c r="BD771" s="28"/>
      <c r="BE771" s="28"/>
      <c r="BF771" s="28"/>
      <c r="BG771" s="28"/>
      <c r="BH771" s="28"/>
      <c r="BI771" s="28"/>
      <c r="BJ771" s="28"/>
      <c r="BK771" s="28"/>
      <c r="BL771" s="28"/>
      <c r="BM771" s="28"/>
      <c r="BN771" s="28"/>
      <c r="BO771" s="28"/>
    </row>
    <row r="772" ht="25.5" customHeight="1">
      <c r="A772" s="28">
        <v>10187.0</v>
      </c>
      <c r="B772" s="37" t="b">
        <v>1</v>
      </c>
      <c r="C772" s="38" t="s">
        <v>238</v>
      </c>
      <c r="D772" s="38">
        <v>81.0</v>
      </c>
      <c r="E772" s="13" t="b">
        <v>0</v>
      </c>
      <c r="F772" s="13" t="b">
        <v>1</v>
      </c>
      <c r="G772" s="38" t="s">
        <v>224</v>
      </c>
      <c r="H772" s="38"/>
      <c r="I772" s="38" t="s">
        <v>3219</v>
      </c>
      <c r="J772" s="38" t="s">
        <v>3220</v>
      </c>
      <c r="K772" s="38"/>
      <c r="L772" s="38"/>
      <c r="M772" s="38" t="s">
        <v>392</v>
      </c>
      <c r="N772" s="38">
        <v>15000.0</v>
      </c>
      <c r="O772" s="38" t="s">
        <v>3228</v>
      </c>
      <c r="P772" s="40"/>
      <c r="Q772" s="38" t="s">
        <v>289</v>
      </c>
      <c r="R772" s="38">
        <v>40.0</v>
      </c>
      <c r="S772" s="38" t="s">
        <v>3230</v>
      </c>
      <c r="T772" s="38" t="s">
        <v>3231</v>
      </c>
      <c r="U772" s="38" t="s">
        <v>1258</v>
      </c>
      <c r="V772" s="55">
        <v>41704.0</v>
      </c>
      <c r="W772" s="38" t="s">
        <v>3232</v>
      </c>
      <c r="X772" s="49" t="str">
        <f>HYPERLINK("http://www.theatlantic.com/business/archive/2014/03/how-the-famous-marshmallow-study-explains-environmental-conservation/284190/","http://www.theatlantic.com/business/archive/2014/03/how-the-famous-marshmallow-study-explains-environmental-conservation/284190/")</f>
        <v>http://www.theatlantic.com/business/archive/2014/03/how-the-famous-marshmallow-study-explains-environmental-conservation/284190/</v>
      </c>
      <c r="Y772" s="38"/>
      <c r="Z772" s="38"/>
      <c r="AA772" s="38"/>
      <c r="AB772" s="38"/>
      <c r="AC772" s="38"/>
      <c r="AD772" s="38"/>
      <c r="AE772" s="38"/>
      <c r="AF772" s="38"/>
      <c r="AG772" s="28" t="s">
        <v>3234</v>
      </c>
      <c r="AH772" s="28" t="s">
        <v>462</v>
      </c>
      <c r="AI772" s="28" t="s">
        <v>462</v>
      </c>
      <c r="AJ772" s="28"/>
      <c r="AK772" s="28"/>
      <c r="AL772" s="28" t="s">
        <v>769</v>
      </c>
      <c r="AM772" s="28" t="s">
        <v>3235</v>
      </c>
      <c r="AN772" s="54">
        <v>42619.0</v>
      </c>
      <c r="AO772" s="54"/>
      <c r="AP772" s="28"/>
      <c r="AQ772" s="28" t="s">
        <v>769</v>
      </c>
      <c r="AR772" s="28"/>
      <c r="AS772" s="54">
        <v>42531.0</v>
      </c>
      <c r="AT772" s="28"/>
      <c r="AU772" s="28"/>
      <c r="AV772" s="28"/>
      <c r="AW772" s="28"/>
      <c r="AX772" s="28"/>
      <c r="AY772" s="28"/>
      <c r="AZ772" s="28"/>
      <c r="BA772" s="28" t="s">
        <v>3239</v>
      </c>
      <c r="BB772" s="28"/>
      <c r="BC772" s="28"/>
      <c r="BD772" s="28"/>
      <c r="BE772" s="28"/>
      <c r="BF772" s="28"/>
      <c r="BG772" s="28"/>
      <c r="BH772" s="28"/>
      <c r="BI772" s="28"/>
      <c r="BJ772" s="28"/>
      <c r="BK772" s="28"/>
      <c r="BL772" s="28"/>
      <c r="BM772" s="28"/>
      <c r="BN772" s="28"/>
      <c r="BO772" s="28"/>
    </row>
    <row r="773" ht="25.5" customHeight="1">
      <c r="A773" s="28">
        <v>10381.0</v>
      </c>
      <c r="B773" s="37" t="b">
        <v>1</v>
      </c>
      <c r="C773" s="38" t="s">
        <v>238</v>
      </c>
      <c r="D773" s="38">
        <v>81.0</v>
      </c>
      <c r="E773" s="13" t="b">
        <v>0</v>
      </c>
      <c r="F773" s="13" t="b">
        <v>1</v>
      </c>
      <c r="G773" s="38" t="s">
        <v>224</v>
      </c>
      <c r="H773" s="38"/>
      <c r="I773" s="38" t="s">
        <v>712</v>
      </c>
      <c r="J773" s="38">
        <v>7.0</v>
      </c>
      <c r="K773" s="38"/>
      <c r="L773" s="38"/>
      <c r="M773" s="38" t="s">
        <v>411</v>
      </c>
      <c r="N773" s="38">
        <v>21000.0</v>
      </c>
      <c r="O773" s="38" t="s">
        <v>789</v>
      </c>
      <c r="P773" s="40"/>
      <c r="Q773" s="38" t="s">
        <v>289</v>
      </c>
      <c r="R773" s="38">
        <v>40.0</v>
      </c>
      <c r="S773" s="38" t="s">
        <v>4931</v>
      </c>
      <c r="T773" s="38" t="s">
        <v>4932</v>
      </c>
      <c r="U773" s="38" t="s">
        <v>1258</v>
      </c>
      <c r="V773" s="55">
        <v>41852.0</v>
      </c>
      <c r="W773" s="38" t="s">
        <v>4915</v>
      </c>
      <c r="X773" s="49" t="str">
        <f>HYPERLINK("http://www.theatlantic.com/health/archive/2014/08/littering-and-following-the-crowd/374913/","http://www.theatlantic.com/health/archive/2014/08/littering-and-following-the-crowd/374913/")</f>
        <v>http://www.theatlantic.com/health/archive/2014/08/littering-and-following-the-crowd/374913/</v>
      </c>
      <c r="Y773" s="38"/>
      <c r="Z773" s="38"/>
      <c r="AA773" s="38"/>
      <c r="AB773" s="38"/>
      <c r="AC773" s="38"/>
      <c r="AD773" s="38"/>
      <c r="AE773" s="38"/>
      <c r="AF773" s="38"/>
      <c r="AG773" s="28"/>
      <c r="AH773" s="28" t="s">
        <v>462</v>
      </c>
      <c r="AI773" s="28" t="s">
        <v>462</v>
      </c>
      <c r="AJ773" s="28"/>
      <c r="AK773" s="28"/>
      <c r="AL773" s="28" t="s">
        <v>769</v>
      </c>
      <c r="AM773" s="28"/>
      <c r="AN773" s="54">
        <v>41878.0</v>
      </c>
      <c r="AO773" s="54"/>
      <c r="AP773" s="28" t="s">
        <v>4936</v>
      </c>
      <c r="AQ773" s="28" t="s">
        <v>769</v>
      </c>
      <c r="AR773" s="28"/>
      <c r="AS773" s="54">
        <v>42436.0</v>
      </c>
      <c r="AT773" s="28"/>
      <c r="AU773" s="28"/>
      <c r="AV773" s="28"/>
      <c r="AW773" s="28"/>
      <c r="AX773" s="28"/>
      <c r="AY773" s="28"/>
      <c r="AZ773" s="28" t="s">
        <v>4156</v>
      </c>
      <c r="BA773" s="28"/>
      <c r="BB773" s="28"/>
      <c r="BC773" s="28"/>
      <c r="BD773" s="28"/>
      <c r="BE773" s="28"/>
      <c r="BF773" s="28"/>
      <c r="BG773" s="28"/>
      <c r="BH773" s="28"/>
      <c r="BI773" s="28"/>
      <c r="BJ773" s="28"/>
      <c r="BK773" s="28"/>
      <c r="BL773" s="28"/>
      <c r="BM773" s="28"/>
      <c r="BN773" s="28"/>
      <c r="BO773" s="28"/>
    </row>
    <row r="774" ht="25.5" customHeight="1">
      <c r="A774" s="28">
        <v>252.0</v>
      </c>
      <c r="B774" s="37" t="b">
        <v>1</v>
      </c>
      <c r="C774" s="38" t="s">
        <v>106</v>
      </c>
      <c r="D774" s="38">
        <v>80.0</v>
      </c>
      <c r="E774" s="13" t="b">
        <v>0</v>
      </c>
      <c r="F774" s="13" t="b">
        <v>1</v>
      </c>
      <c r="G774" s="38" t="s">
        <v>224</v>
      </c>
      <c r="H774" s="38"/>
      <c r="I774" s="38" t="s">
        <v>421</v>
      </c>
      <c r="J774" s="38">
        <v>11.0</v>
      </c>
      <c r="K774" s="38" t="s">
        <v>224</v>
      </c>
      <c r="L774" s="38"/>
      <c r="M774" s="38" t="s">
        <v>107</v>
      </c>
      <c r="N774" s="38">
        <v>3000.0</v>
      </c>
      <c r="O774" s="38" t="s">
        <v>470</v>
      </c>
      <c r="P774" s="40"/>
      <c r="Q774" s="38" t="s">
        <v>111</v>
      </c>
      <c r="R774" s="38">
        <v>41.0</v>
      </c>
      <c r="S774" s="38" t="s">
        <v>5686</v>
      </c>
      <c r="T774" s="38" t="s">
        <v>188</v>
      </c>
      <c r="U774" s="38" t="s">
        <v>3567</v>
      </c>
      <c r="V774" s="61">
        <v>2011.0</v>
      </c>
      <c r="W774" s="38" t="s">
        <v>5687</v>
      </c>
      <c r="X774" s="49" t="str">
        <f>HYPERLINK("http://38r8om2xjhhl25mw24492dir.wpengine.netdna-cdn.com/wp-content/uploads/2015/07/behaviour-change-and-energy-use.pdf","http://38r8om2xjhhl25mw24492dir.wpengine.netdna-cdn.com/wp-content/uploads/2015/07/behaviour-change-and-energy-use.pdf")</f>
        <v>http://38r8om2xjhhl25mw24492dir.wpengine.netdna-cdn.com/wp-content/uploads/2015/07/behaviour-change-and-energy-use.pdf</v>
      </c>
      <c r="Y774" s="38"/>
      <c r="Z774" s="38"/>
      <c r="AA774" s="38"/>
      <c r="AB774" s="38"/>
      <c r="AC774" s="38"/>
      <c r="AD774" s="38"/>
      <c r="AE774" s="38"/>
      <c r="AF774" s="38"/>
      <c r="AG774" s="28"/>
      <c r="AH774" s="28"/>
      <c r="AI774" s="28"/>
      <c r="AJ774" s="28" t="s">
        <v>3233</v>
      </c>
      <c r="AK774" s="28"/>
      <c r="AL774" s="28"/>
      <c r="AM774" s="28"/>
      <c r="AN774" s="54"/>
      <c r="AO774" s="54"/>
      <c r="AP774" s="54"/>
      <c r="AQ774" s="54"/>
      <c r="AR774" s="54"/>
      <c r="AS774" s="54"/>
      <c r="AT774" s="28"/>
      <c r="AU774" s="54"/>
      <c r="AV774" s="28"/>
      <c r="AW774" s="28"/>
      <c r="AX774" s="28"/>
      <c r="AY774" s="28"/>
      <c r="AZ774" s="28"/>
      <c r="BA774" s="28"/>
      <c r="BB774" s="28"/>
      <c r="BC774" s="28"/>
      <c r="BD774" s="28"/>
      <c r="BE774" s="28"/>
      <c r="BF774" s="28"/>
      <c r="BG774" s="28"/>
      <c r="BH774" s="28"/>
      <c r="BI774" s="28"/>
      <c r="BJ774" s="28"/>
      <c r="BK774" s="28"/>
      <c r="BL774" s="28"/>
      <c r="BM774" s="28"/>
      <c r="BN774" s="28"/>
      <c r="BO774" s="28"/>
    </row>
    <row r="775" ht="25.5" customHeight="1">
      <c r="A775" s="28">
        <v>10220.0</v>
      </c>
      <c r="B775" s="37" t="b">
        <v>1</v>
      </c>
      <c r="C775" s="38" t="s">
        <v>238</v>
      </c>
      <c r="D775" s="38">
        <v>81.0</v>
      </c>
      <c r="E775" s="13" t="b">
        <v>0</v>
      </c>
      <c r="F775" s="13" t="b">
        <v>1</v>
      </c>
      <c r="G775" s="38" t="s">
        <v>224</v>
      </c>
      <c r="H775" s="38"/>
      <c r="I775" s="38" t="s">
        <v>1147</v>
      </c>
      <c r="J775" s="38" t="s">
        <v>1083</v>
      </c>
      <c r="K775" s="38"/>
      <c r="L775" s="38"/>
      <c r="M775" s="38" t="s">
        <v>388</v>
      </c>
      <c r="N775" s="38">
        <v>14000.0</v>
      </c>
      <c r="O775" s="38" t="s">
        <v>224</v>
      </c>
      <c r="P775" s="40"/>
      <c r="Q775" s="38" t="s">
        <v>289</v>
      </c>
      <c r="R775" s="38">
        <v>40.0</v>
      </c>
      <c r="S775" s="61" t="s">
        <v>3565</v>
      </c>
      <c r="T775" s="38" t="s">
        <v>3566</v>
      </c>
      <c r="U775" s="38" t="s">
        <v>3567</v>
      </c>
      <c r="V775" s="55">
        <v>42493.0</v>
      </c>
      <c r="W775" s="38" t="s">
        <v>3568</v>
      </c>
      <c r="X775" s="49" t="str">
        <f>HYPERLINK("http://www.behaviouralinsights.co.uk/north-america/how-can-a-letter-increase-sewer-bill-payments/","http://www.behaviouralinsights.co.uk/north-america/how-can-a-letter-increase-sewer-bill-payments/")</f>
        <v>http://www.behaviouralinsights.co.uk/north-america/how-can-a-letter-increase-sewer-bill-payments/</v>
      </c>
      <c r="Y775" s="38"/>
      <c r="Z775" s="38"/>
      <c r="AA775" s="38"/>
      <c r="AB775" s="38"/>
      <c r="AC775" s="38"/>
      <c r="AD775" s="38"/>
      <c r="AE775" s="38"/>
      <c r="AF775" s="38"/>
      <c r="AG775" s="28"/>
      <c r="AH775" s="28"/>
      <c r="AI775" s="28"/>
      <c r="AJ775" s="28"/>
      <c r="AK775" s="28"/>
      <c r="AL775" s="28" t="s">
        <v>769</v>
      </c>
      <c r="AM775" s="28" t="s">
        <v>3576</v>
      </c>
      <c r="AN775" s="54">
        <v>42647.0</v>
      </c>
      <c r="AO775" s="54"/>
      <c r="AP775" s="28"/>
      <c r="AQ775" s="28"/>
      <c r="AR775" s="28"/>
      <c r="AS775" s="28"/>
      <c r="AT775" s="28"/>
      <c r="AU775" s="28"/>
      <c r="AV775" s="28"/>
      <c r="AW775" s="28"/>
      <c r="AX775" s="28"/>
      <c r="AY775" s="28" t="s">
        <v>428</v>
      </c>
      <c r="AZ775" s="28"/>
      <c r="BA775" s="28"/>
      <c r="BB775" s="28"/>
      <c r="BC775" s="28"/>
      <c r="BD775" s="28"/>
      <c r="BE775" s="28"/>
      <c r="BF775" s="28"/>
      <c r="BG775" s="28"/>
      <c r="BH775" s="28"/>
      <c r="BI775" s="28"/>
      <c r="BJ775" s="28"/>
      <c r="BK775" s="28"/>
      <c r="BL775" s="28"/>
      <c r="BM775" s="28"/>
      <c r="BN775" s="28"/>
      <c r="BO775" s="28"/>
    </row>
    <row r="776" ht="25.5" customHeight="1">
      <c r="A776" s="28">
        <v>377.0</v>
      </c>
      <c r="B776" s="37" t="b">
        <v>1</v>
      </c>
      <c r="C776" s="38" t="s">
        <v>106</v>
      </c>
      <c r="D776" s="38">
        <v>80.0</v>
      </c>
      <c r="E776" s="13" t="b">
        <v>1</v>
      </c>
      <c r="F776" s="13" t="b">
        <v>0</v>
      </c>
      <c r="G776" s="38" t="s">
        <v>224</v>
      </c>
      <c r="H776" s="38"/>
      <c r="I776" s="38" t="s">
        <v>280</v>
      </c>
      <c r="J776" s="38">
        <v>10.0</v>
      </c>
      <c r="K776" s="38" t="s">
        <v>3266</v>
      </c>
      <c r="L776" s="38">
        <v>1004.0</v>
      </c>
      <c r="M776" s="38" t="s">
        <v>388</v>
      </c>
      <c r="N776" s="38">
        <v>14000.0</v>
      </c>
      <c r="O776" s="38" t="s">
        <v>224</v>
      </c>
      <c r="P776" s="40"/>
      <c r="Q776" s="38" t="s">
        <v>95</v>
      </c>
      <c r="R776" s="38">
        <v>41.0</v>
      </c>
      <c r="S776" s="38" t="s">
        <v>6131</v>
      </c>
      <c r="T776" s="49" t="str">
        <f>HYPERLINK("http://www.ncbi.nlm.nih.gov/pubmed/?term=Gardner%20B%5Bauth%5D","Gardner, B., Lally, P., &amp; Wardle, J.")</f>
        <v>Gardner, B., Lally, P., &amp; Wardle, J.</v>
      </c>
      <c r="U776" s="38" t="s">
        <v>6133</v>
      </c>
      <c r="V776" s="38">
        <v>2012.0</v>
      </c>
      <c r="W776" s="38" t="s">
        <v>6134</v>
      </c>
      <c r="X776" s="38" t="s">
        <v>6135</v>
      </c>
      <c r="Y776" s="38"/>
      <c r="Z776" s="38"/>
      <c r="AA776" s="38"/>
      <c r="AB776" s="38"/>
      <c r="AC776" s="38"/>
      <c r="AD776" s="38"/>
      <c r="AE776" s="38"/>
      <c r="AF776" s="38"/>
      <c r="AG776" s="28" t="s">
        <v>6136</v>
      </c>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row>
    <row r="777" ht="25.5" customHeight="1">
      <c r="A777" s="28">
        <v>10174.0</v>
      </c>
      <c r="B777" s="37" t="b">
        <v>1</v>
      </c>
      <c r="C777" s="38" t="s">
        <v>238</v>
      </c>
      <c r="D777" s="38">
        <v>81.0</v>
      </c>
      <c r="E777" s="13" t="b">
        <v>0</v>
      </c>
      <c r="F777" s="13" t="b">
        <v>1</v>
      </c>
      <c r="G777" s="38" t="s">
        <v>224</v>
      </c>
      <c r="H777" s="38"/>
      <c r="I777" s="38" t="s">
        <v>887</v>
      </c>
      <c r="J777" s="38">
        <v>9.0</v>
      </c>
      <c r="K777" s="38"/>
      <c r="L777" s="38"/>
      <c r="M777" s="38" t="s">
        <v>35</v>
      </c>
      <c r="N777" s="38">
        <v>2000.0</v>
      </c>
      <c r="O777" s="38" t="s">
        <v>837</v>
      </c>
      <c r="P777" s="40">
        <v>2001.0</v>
      </c>
      <c r="Q777" s="38" t="s">
        <v>289</v>
      </c>
      <c r="R777" s="38">
        <v>40.0</v>
      </c>
      <c r="S777" s="38" t="s">
        <v>3128</v>
      </c>
      <c r="T777" s="38" t="s">
        <v>3129</v>
      </c>
      <c r="U777" s="38" t="s">
        <v>3130</v>
      </c>
      <c r="V777" s="55">
        <v>41675.0</v>
      </c>
      <c r="W777" s="38" t="s">
        <v>1706</v>
      </c>
      <c r="X777" s="49" t="str">
        <f>HYPERLINK("http://theconversation.com/the-truth-is-out-there-so-how-do-you-debunk-a-myth-22641","http://theconversation.com/the-truth-is-out-there-so-how-do-you-debunk-a-myth-22641")</f>
        <v>http://theconversation.com/the-truth-is-out-there-so-how-do-you-debunk-a-myth-22641</v>
      </c>
      <c r="Y777" s="38"/>
      <c r="Z777" s="38"/>
      <c r="AA777" s="38"/>
      <c r="AB777" s="38"/>
      <c r="AC777" s="38"/>
      <c r="AD777" s="38"/>
      <c r="AE777" s="38"/>
      <c r="AF777" s="38"/>
      <c r="AG777" s="28" t="s">
        <v>3135</v>
      </c>
      <c r="AH777" s="28" t="s">
        <v>462</v>
      </c>
      <c r="AI777" s="28" t="s">
        <v>462</v>
      </c>
      <c r="AJ777" s="28"/>
      <c r="AK777" s="28"/>
      <c r="AL777" s="28" t="s">
        <v>769</v>
      </c>
      <c r="AM777" s="28" t="s">
        <v>3136</v>
      </c>
      <c r="AN777" s="54">
        <v>42513.0</v>
      </c>
      <c r="AO777" s="54"/>
      <c r="AP777" s="28"/>
      <c r="AQ777" s="28" t="s">
        <v>769</v>
      </c>
      <c r="AR777" s="28"/>
      <c r="AS777" s="54">
        <v>42450.0</v>
      </c>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row>
    <row r="778" ht="25.5" customHeight="1">
      <c r="A778" s="28">
        <v>10362.0</v>
      </c>
      <c r="B778" s="37" t="b">
        <v>1</v>
      </c>
      <c r="C778" s="38" t="s">
        <v>238</v>
      </c>
      <c r="D778" s="38">
        <v>81.0</v>
      </c>
      <c r="E778" s="13" t="b">
        <v>0</v>
      </c>
      <c r="F778" s="13" t="b">
        <v>1</v>
      </c>
      <c r="G778" s="38" t="s">
        <v>224</v>
      </c>
      <c r="H778" s="38"/>
      <c r="I778" s="38" t="s">
        <v>280</v>
      </c>
      <c r="J778" s="38">
        <v>10.0</v>
      </c>
      <c r="K778" s="38"/>
      <c r="L778" s="38"/>
      <c r="M778" s="38" t="s">
        <v>107</v>
      </c>
      <c r="N778" s="38">
        <v>3000.0</v>
      </c>
      <c r="O778" s="38" t="s">
        <v>4763</v>
      </c>
      <c r="P778" s="40"/>
      <c r="Q778" s="38" t="s">
        <v>289</v>
      </c>
      <c r="R778" s="38">
        <v>40.0</v>
      </c>
      <c r="S778" s="38" t="s">
        <v>4764</v>
      </c>
      <c r="T778" s="38" t="s">
        <v>4765</v>
      </c>
      <c r="U778" s="38" t="s">
        <v>3130</v>
      </c>
      <c r="V778" s="42">
        <v>41627.0</v>
      </c>
      <c r="W778" s="38" t="s">
        <v>4768</v>
      </c>
      <c r="X778" s="38" t="s">
        <v>4770</v>
      </c>
      <c r="Y778" s="38"/>
      <c r="Z778" s="38"/>
      <c r="AA778" s="38"/>
      <c r="AB778" s="38"/>
      <c r="AC778" s="38"/>
      <c r="AD778" s="38"/>
      <c r="AE778" s="38"/>
      <c r="AF778" s="38"/>
      <c r="AG778" s="28"/>
      <c r="AH778" s="28"/>
      <c r="AI778" s="28"/>
      <c r="AJ778" s="28"/>
      <c r="AK778" s="28"/>
      <c r="AL778" s="28"/>
      <c r="AM778" s="28"/>
      <c r="AN778" s="28"/>
      <c r="AO778" s="28"/>
      <c r="AP778" s="28"/>
      <c r="AQ778" s="28"/>
      <c r="AR778" s="28"/>
      <c r="AS778" s="28"/>
      <c r="AT778" s="28"/>
      <c r="AU778" s="28"/>
      <c r="AV778" s="28"/>
      <c r="AW778" s="28"/>
      <c r="AX778" s="28"/>
      <c r="AY778" s="28"/>
      <c r="AZ778" s="28" t="s">
        <v>2456</v>
      </c>
      <c r="BA778" s="28"/>
      <c r="BB778" s="28"/>
      <c r="BC778" s="28"/>
      <c r="BD778" s="28"/>
      <c r="BE778" s="28"/>
      <c r="BF778" s="28"/>
      <c r="BG778" s="28"/>
      <c r="BH778" s="28"/>
      <c r="BI778" s="28"/>
      <c r="BJ778" s="28"/>
      <c r="BK778" s="28"/>
      <c r="BL778" s="28"/>
      <c r="BM778" s="28"/>
      <c r="BN778" s="28"/>
      <c r="BO778" s="28"/>
    </row>
    <row r="779" ht="25.5" customHeight="1">
      <c r="A779" s="28">
        <v>10119.0</v>
      </c>
      <c r="B779" s="37" t="b">
        <v>1</v>
      </c>
      <c r="C779" s="38" t="s">
        <v>238</v>
      </c>
      <c r="D779" s="38">
        <v>81.0</v>
      </c>
      <c r="E779" s="13" t="b">
        <v>0</v>
      </c>
      <c r="F779" s="13" t="b">
        <v>1</v>
      </c>
      <c r="G779" s="38" t="s">
        <v>224</v>
      </c>
      <c r="H779" s="38"/>
      <c r="I779" s="38" t="s">
        <v>2680</v>
      </c>
      <c r="J779" s="38" t="s">
        <v>2681</v>
      </c>
      <c r="K779" s="38"/>
      <c r="L779" s="38"/>
      <c r="M779" s="38" t="s">
        <v>388</v>
      </c>
      <c r="N779" s="38">
        <v>14000.0</v>
      </c>
      <c r="O779" s="38" t="s">
        <v>224</v>
      </c>
      <c r="P779" s="40"/>
      <c r="Q779" s="38" t="s">
        <v>289</v>
      </c>
      <c r="R779" s="38">
        <v>40.0</v>
      </c>
      <c r="S779" s="38" t="s">
        <v>2684</v>
      </c>
      <c r="T779" s="38" t="s">
        <v>2686</v>
      </c>
      <c r="U779" s="38" t="s">
        <v>2687</v>
      </c>
      <c r="V779" s="55">
        <v>42251.0</v>
      </c>
      <c r="W779" s="38"/>
      <c r="X779" s="49" t="str">
        <f>HYPERLINK("http://www.theemotionmachine.com/the-power-of-nudges-insights-on-how-to-influence-human-behavior","http://www.theemotionmachine.com/the-power-of-nudges-insights-on-how-to-influence-human-behavior")</f>
        <v>http://www.theemotionmachine.com/the-power-of-nudges-insights-on-how-to-influence-human-behavior</v>
      </c>
      <c r="Y779" s="38"/>
      <c r="Z779" s="38"/>
      <c r="AA779" s="38"/>
      <c r="AB779" s="38"/>
      <c r="AC779" s="38"/>
      <c r="AD779" s="38"/>
      <c r="AE779" s="38"/>
      <c r="AF779" s="38"/>
      <c r="AG779" s="28"/>
      <c r="AH779" s="28" t="s">
        <v>462</v>
      </c>
      <c r="AI779" s="28" t="s">
        <v>462</v>
      </c>
      <c r="AJ779" s="28"/>
      <c r="AK779" s="28" t="s">
        <v>676</v>
      </c>
      <c r="AL779" s="28" t="s">
        <v>769</v>
      </c>
      <c r="AM779" s="28" t="s">
        <v>2693</v>
      </c>
      <c r="AN779" s="54">
        <v>42304.0</v>
      </c>
      <c r="AO779" s="54"/>
      <c r="AP779" s="28"/>
      <c r="AQ779" s="28" t="s">
        <v>769</v>
      </c>
      <c r="AR779" s="28"/>
      <c r="AS779" s="54"/>
      <c r="AT779" s="28"/>
      <c r="AU779" s="54"/>
      <c r="AV779" s="28"/>
      <c r="AW779" s="28"/>
      <c r="AX779" s="28"/>
      <c r="AY779" s="28"/>
      <c r="AZ779" s="28"/>
      <c r="BA779" s="28"/>
      <c r="BB779" s="28"/>
      <c r="BC779" s="28"/>
      <c r="BD779" s="28"/>
      <c r="BE779" s="28"/>
      <c r="BF779" s="28"/>
      <c r="BG779" s="28"/>
      <c r="BH779" s="28"/>
      <c r="BI779" s="28"/>
      <c r="BJ779" s="28"/>
      <c r="BK779" s="28"/>
      <c r="BL779" s="28"/>
      <c r="BM779" s="28"/>
      <c r="BN779" s="28"/>
      <c r="BO779" s="28"/>
    </row>
    <row r="780" ht="25.5" customHeight="1">
      <c r="A780" s="28">
        <v>10217.0</v>
      </c>
      <c r="B780" s="37" t="b">
        <v>1</v>
      </c>
      <c r="C780" s="38" t="s">
        <v>238</v>
      </c>
      <c r="D780" s="38">
        <v>81.0</v>
      </c>
      <c r="E780" s="13" t="b">
        <v>0</v>
      </c>
      <c r="F780" s="13" t="b">
        <v>1</v>
      </c>
      <c r="G780" s="38" t="s">
        <v>224</v>
      </c>
      <c r="H780" s="38"/>
      <c r="I780" s="38" t="s">
        <v>1014</v>
      </c>
      <c r="J780" s="38" t="s">
        <v>1015</v>
      </c>
      <c r="K780" s="38"/>
      <c r="L780" s="38"/>
      <c r="M780" s="38" t="s">
        <v>107</v>
      </c>
      <c r="N780" s="38">
        <v>3000.0</v>
      </c>
      <c r="O780" s="38" t="s">
        <v>470</v>
      </c>
      <c r="P780" s="40"/>
      <c r="Q780" s="38" t="s">
        <v>289</v>
      </c>
      <c r="R780" s="38">
        <v>40.0</v>
      </c>
      <c r="S780" s="38" t="s">
        <v>3530</v>
      </c>
      <c r="T780" s="38" t="s">
        <v>3532</v>
      </c>
      <c r="U780" s="38" t="s">
        <v>3534</v>
      </c>
      <c r="V780" s="55">
        <v>42041.0</v>
      </c>
      <c r="W780" s="38" t="s">
        <v>3536</v>
      </c>
      <c r="X780" s="49" t="str">
        <f>HYPERLINK("http://theenergycollective.com/stephenlacey/2189811/money-versus-morals-why-economic-rewards-trump-polite-messaging-efficiency","http://theenergycollective.com/stephenlacey/2189811/money-versus-morals-why-economic-rewards-trump-polite-messaging-efficiency")</f>
        <v>http://theenergycollective.com/stephenlacey/2189811/money-versus-morals-why-economic-rewards-trump-polite-messaging-efficiency</v>
      </c>
      <c r="Y780" s="38"/>
      <c r="Z780" s="38"/>
      <c r="AA780" s="38"/>
      <c r="AB780" s="38"/>
      <c r="AC780" s="38"/>
      <c r="AD780" s="38"/>
      <c r="AE780" s="38"/>
      <c r="AF780" s="38"/>
      <c r="AG780" s="28"/>
      <c r="AH780" s="28" t="s">
        <v>462</v>
      </c>
      <c r="AI780" s="28" t="s">
        <v>428</v>
      </c>
      <c r="AJ780" s="28"/>
      <c r="AK780" s="28"/>
      <c r="AL780" s="28" t="s">
        <v>769</v>
      </c>
      <c r="AM780" s="28" t="s">
        <v>3539</v>
      </c>
      <c r="AN780" s="54">
        <v>42457.0</v>
      </c>
      <c r="AO780" s="54"/>
      <c r="AP780" s="103" t="str">
        <f>HYPERLINK("http://t.co/azlpOGxXEl","12/7/2016")</f>
        <v>12/7/2016</v>
      </c>
      <c r="AQ780" s="28" t="s">
        <v>769</v>
      </c>
      <c r="AR780" s="28"/>
      <c r="AS780" s="54">
        <v>42433.0</v>
      </c>
      <c r="AT780" s="28" t="s">
        <v>2035</v>
      </c>
      <c r="AU780" s="28"/>
      <c r="AV780" s="28"/>
      <c r="AW780" s="28"/>
      <c r="AX780" s="28"/>
      <c r="AY780" s="28"/>
      <c r="AZ780" s="28" t="s">
        <v>991</v>
      </c>
      <c r="BA780" s="28"/>
      <c r="BB780" s="28"/>
      <c r="BC780" s="28"/>
      <c r="BD780" s="28"/>
      <c r="BE780" s="28"/>
      <c r="BF780" s="28"/>
      <c r="BG780" s="28"/>
      <c r="BH780" s="28"/>
      <c r="BI780" s="28"/>
      <c r="BJ780" s="28"/>
      <c r="BK780" s="28"/>
      <c r="BL780" s="28"/>
      <c r="BM780" s="28"/>
      <c r="BN780" s="28"/>
      <c r="BO780" s="28"/>
    </row>
    <row r="781" ht="25.5" customHeight="1">
      <c r="A781" s="28">
        <v>244.0</v>
      </c>
      <c r="B781" s="37" t="b">
        <v>1</v>
      </c>
      <c r="C781" s="38" t="s">
        <v>106</v>
      </c>
      <c r="D781" s="38">
        <v>80.0</v>
      </c>
      <c r="E781" s="13" t="b">
        <v>0</v>
      </c>
      <c r="F781" s="13" t="b">
        <v>1</v>
      </c>
      <c r="G781" s="38" t="s">
        <v>224</v>
      </c>
      <c r="H781" s="38"/>
      <c r="I781" s="38" t="s">
        <v>2664</v>
      </c>
      <c r="J781" s="38" t="s">
        <v>2666</v>
      </c>
      <c r="K781" s="38" t="s">
        <v>5670</v>
      </c>
      <c r="L781" s="38">
        <v>200.0</v>
      </c>
      <c r="M781" s="38" t="s">
        <v>239</v>
      </c>
      <c r="N781" s="38">
        <v>4000.0</v>
      </c>
      <c r="O781" s="38" t="s">
        <v>605</v>
      </c>
      <c r="P781" s="40"/>
      <c r="Q781" s="38" t="s">
        <v>289</v>
      </c>
      <c r="R781" s="38">
        <v>40.0</v>
      </c>
      <c r="S781" s="38" t="s">
        <v>5671</v>
      </c>
      <c r="T781" s="38" t="s">
        <v>5672</v>
      </c>
      <c r="U781" s="38" t="s">
        <v>5673</v>
      </c>
      <c r="V781" s="38">
        <v>2008.0</v>
      </c>
      <c r="W781" s="38" t="s">
        <v>610</v>
      </c>
      <c r="X781" s="49" t="str">
        <f>HYPERLINK("http://elr.info/news-analysis/38/10882/social-norms-and-policies-promote-energy-efficiency-home","http://elr.info/news-analysis/38/10882/social-norms-and-policies-promote-energy-efficiency-home")</f>
        <v>http://elr.info/news-analysis/38/10882/social-norms-and-policies-promote-energy-efficiency-home</v>
      </c>
      <c r="Y781" s="38"/>
      <c r="Z781" s="38"/>
      <c r="AA781" s="38"/>
      <c r="AB781" s="38"/>
      <c r="AC781" s="38"/>
      <c r="AD781" s="38"/>
      <c r="AE781" s="38"/>
      <c r="AF781" s="38"/>
      <c r="AG781" s="28"/>
      <c r="AH781" s="28" t="s">
        <v>462</v>
      </c>
      <c r="AI781" s="28" t="s">
        <v>462</v>
      </c>
      <c r="AJ781" s="28"/>
      <c r="AK781" s="28"/>
      <c r="AL781" s="28" t="s">
        <v>561</v>
      </c>
      <c r="AM781" s="28" t="s">
        <v>5674</v>
      </c>
      <c r="AN781" s="54">
        <v>42494.0</v>
      </c>
      <c r="AO781" s="28"/>
      <c r="AP781" s="28"/>
      <c r="AQ781" s="28"/>
      <c r="AR781" s="28"/>
      <c r="AS781" s="28"/>
      <c r="AT781" s="28"/>
      <c r="AU781" s="28"/>
      <c r="AV781" s="28"/>
      <c r="AW781" s="28"/>
      <c r="AX781" s="28"/>
      <c r="AY781" s="28"/>
      <c r="AZ781" s="28"/>
      <c r="BA781" s="28" t="s">
        <v>5675</v>
      </c>
      <c r="BB781" s="28"/>
      <c r="BC781" s="28"/>
      <c r="BD781" s="28"/>
      <c r="BE781" s="28"/>
      <c r="BF781" s="28"/>
      <c r="BG781" s="28"/>
      <c r="BH781" s="28"/>
      <c r="BI781" s="28"/>
      <c r="BJ781" s="28"/>
      <c r="BK781" s="28"/>
      <c r="BL781" s="28"/>
      <c r="BM781" s="28"/>
      <c r="BN781" s="28"/>
      <c r="BO781" s="28"/>
    </row>
    <row r="782" ht="25.5" customHeight="1">
      <c r="A782" s="28">
        <v>10232.0</v>
      </c>
      <c r="B782" s="37" t="b">
        <v>1</v>
      </c>
      <c r="C782" s="38" t="s">
        <v>238</v>
      </c>
      <c r="D782" s="38">
        <v>81.0</v>
      </c>
      <c r="E782" s="13" t="b">
        <v>0</v>
      </c>
      <c r="F782" s="13" t="b">
        <v>1</v>
      </c>
      <c r="G782" s="38" t="s">
        <v>224</v>
      </c>
      <c r="H782" s="38"/>
      <c r="I782" s="38" t="s">
        <v>429</v>
      </c>
      <c r="J782" s="38">
        <v>2.0</v>
      </c>
      <c r="K782" s="38"/>
      <c r="L782" s="38"/>
      <c r="M782" s="38" t="s">
        <v>35</v>
      </c>
      <c r="N782" s="38">
        <v>2000.0</v>
      </c>
      <c r="O782" s="38" t="s">
        <v>1114</v>
      </c>
      <c r="P782" s="40"/>
      <c r="Q782" s="38" t="s">
        <v>289</v>
      </c>
      <c r="R782" s="38">
        <v>40.0</v>
      </c>
      <c r="S782" s="38" t="s">
        <v>3665</v>
      </c>
      <c r="T782" s="38" t="s">
        <v>1096</v>
      </c>
      <c r="U782" s="38" t="s">
        <v>3666</v>
      </c>
      <c r="V782" s="55">
        <v>41391.0</v>
      </c>
      <c r="W782" s="38" t="s">
        <v>3667</v>
      </c>
      <c r="X782" s="49" t="str">
        <f>HYPERLINK("http://www.theglobeandmail.com/globe-debate/what-if-green-becomes-the-default-setting/article11579431/","http://www.theglobeandmail.com/globe-debate/what-if-green-becomes-the-default-setting/article11579431/")</f>
        <v>http://www.theglobeandmail.com/globe-debate/what-if-green-becomes-the-default-setting/article11579431/</v>
      </c>
      <c r="Y782" s="38"/>
      <c r="Z782" s="38"/>
      <c r="AA782" s="38"/>
      <c r="AB782" s="38"/>
      <c r="AC782" s="38"/>
      <c r="AD782" s="38"/>
      <c r="AE782" s="38"/>
      <c r="AF782" s="38"/>
      <c r="AG782" s="28"/>
      <c r="AH782" s="28" t="s">
        <v>462</v>
      </c>
      <c r="AI782" s="28" t="s">
        <v>462</v>
      </c>
      <c r="AJ782" s="28"/>
      <c r="AK782" s="28" t="s">
        <v>1099</v>
      </c>
      <c r="AL782" s="28" t="s">
        <v>600</v>
      </c>
      <c r="AM782" s="28" t="s">
        <v>3668</v>
      </c>
      <c r="AN782" s="54">
        <v>42467.0</v>
      </c>
      <c r="AO782" s="54"/>
      <c r="AP782" s="54"/>
      <c r="AQ782" s="28" t="s">
        <v>561</v>
      </c>
      <c r="AR782" s="28"/>
      <c r="AS782" s="54">
        <v>41921.0</v>
      </c>
      <c r="AT782" s="28"/>
      <c r="AU782" s="28"/>
      <c r="AV782" s="28"/>
      <c r="AW782" s="28"/>
      <c r="AX782" s="28"/>
      <c r="AY782" s="28" t="s">
        <v>428</v>
      </c>
      <c r="AZ782" s="28" t="s">
        <v>1101</v>
      </c>
      <c r="BA782" s="28"/>
      <c r="BB782" s="28"/>
      <c r="BC782" s="28"/>
      <c r="BD782" s="28"/>
      <c r="BE782" s="28"/>
      <c r="BF782" s="28"/>
      <c r="BG782" s="28"/>
      <c r="BH782" s="28"/>
      <c r="BI782" s="28"/>
      <c r="BJ782" s="28"/>
      <c r="BK782" s="28"/>
      <c r="BL782" s="28"/>
      <c r="BM782" s="28"/>
      <c r="BN782" s="28"/>
      <c r="BO782" s="28"/>
    </row>
    <row r="783" ht="25.5" customHeight="1">
      <c r="A783" s="28">
        <v>10249.0</v>
      </c>
      <c r="B783" s="37" t="b">
        <v>1</v>
      </c>
      <c r="C783" s="38" t="s">
        <v>238</v>
      </c>
      <c r="D783" s="38">
        <v>81.0</v>
      </c>
      <c r="E783" s="13" t="b">
        <v>0</v>
      </c>
      <c r="F783" s="13" t="b">
        <v>1</v>
      </c>
      <c r="G783" s="38" t="s">
        <v>224</v>
      </c>
      <c r="H783" s="38"/>
      <c r="I783" s="38" t="s">
        <v>429</v>
      </c>
      <c r="J783" s="38">
        <v>2.0</v>
      </c>
      <c r="K783" s="38"/>
      <c r="L783" s="38"/>
      <c r="M783" s="38" t="s">
        <v>411</v>
      </c>
      <c r="N783" s="38">
        <v>21000.0</v>
      </c>
      <c r="O783" s="38" t="s">
        <v>1203</v>
      </c>
      <c r="P783" s="40"/>
      <c r="Q783" s="38" t="s">
        <v>289</v>
      </c>
      <c r="R783" s="38">
        <v>40.0</v>
      </c>
      <c r="S783" s="38" t="s">
        <v>3770</v>
      </c>
      <c r="T783" s="38" t="s">
        <v>577</v>
      </c>
      <c r="U783" s="38" t="s">
        <v>3771</v>
      </c>
      <c r="V783" s="55">
        <v>2007.0</v>
      </c>
      <c r="W783" s="38" t="s">
        <v>3772</v>
      </c>
      <c r="X783" s="49" t="str">
        <f>HYPERLINK("http://www.regionofwaterloo.ca/en/aboutTheEnvironment/resources/NewsletterJune07.pdf","http://www.regionofwaterloo.ca/en/aboutTheEnvironment/resources/NewsletterJune07.pdf")</f>
        <v>http://www.regionofwaterloo.ca/en/aboutTheEnvironment/resources/NewsletterJune07.pdf</v>
      </c>
      <c r="Y783" s="38"/>
      <c r="Z783" s="38"/>
      <c r="AA783" s="38"/>
      <c r="AB783" s="38"/>
      <c r="AC783" s="38"/>
      <c r="AD783" s="38"/>
      <c r="AE783" s="38"/>
      <c r="AF783" s="38"/>
      <c r="AG783" s="28"/>
      <c r="AH783" s="28" t="s">
        <v>39</v>
      </c>
      <c r="AI783" s="28" t="s">
        <v>462</v>
      </c>
      <c r="AJ783" s="28"/>
      <c r="AK783" s="28"/>
      <c r="AL783" s="28" t="s">
        <v>600</v>
      </c>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row>
    <row r="784" ht="25.5" customHeight="1">
      <c r="A784" s="28">
        <v>10003.0</v>
      </c>
      <c r="B784" s="37" t="b">
        <v>1</v>
      </c>
      <c r="C784" s="38" t="s">
        <v>238</v>
      </c>
      <c r="D784" s="38">
        <v>81.0</v>
      </c>
      <c r="E784" s="13" t="b">
        <v>1</v>
      </c>
      <c r="F784" s="13" t="b">
        <v>0</v>
      </c>
      <c r="G784" s="38" t="s">
        <v>224</v>
      </c>
      <c r="H784" s="38"/>
      <c r="I784" s="38" t="s">
        <v>574</v>
      </c>
      <c r="J784" s="38">
        <v>4.0</v>
      </c>
      <c r="K784" s="38"/>
      <c r="L784" s="38"/>
      <c r="M784" s="38" t="s">
        <v>35</v>
      </c>
      <c r="N784" s="38">
        <v>2000.0</v>
      </c>
      <c r="O784" s="38" t="s">
        <v>644</v>
      </c>
      <c r="P784" s="40"/>
      <c r="Q784" s="38" t="s">
        <v>111</v>
      </c>
      <c r="R784" s="38">
        <v>41.0</v>
      </c>
      <c r="S784" s="38" t="s">
        <v>1279</v>
      </c>
      <c r="T784" s="38" t="s">
        <v>1280</v>
      </c>
      <c r="U784" s="38" t="s">
        <v>1281</v>
      </c>
      <c r="V784" s="55">
        <v>42058.0</v>
      </c>
      <c r="W784" s="38" t="s">
        <v>1282</v>
      </c>
      <c r="X784" s="49" t="str">
        <f>HYPERLINK("http://www.theguardian.com/sustainable-business/2015/feb/23/five-ways-that-people-frame-climate-change-debates","http://www.theguardian.com/sustainable-business/2015/feb/23/five-ways-that-people-frame-climate-change-debates")</f>
        <v>http://www.theguardian.com/sustainable-business/2015/feb/23/five-ways-that-people-frame-climate-change-debates</v>
      </c>
      <c r="Y784" s="38"/>
      <c r="Z784" s="38"/>
      <c r="AA784" s="38"/>
      <c r="AB784" s="38"/>
      <c r="AC784" s="38"/>
      <c r="AD784" s="38"/>
      <c r="AE784" s="38"/>
      <c r="AF784" s="38"/>
      <c r="AG784" s="28"/>
      <c r="AH784" s="28" t="s">
        <v>462</v>
      </c>
      <c r="AI784" s="28" t="s">
        <v>462</v>
      </c>
      <c r="AJ784" s="28"/>
      <c r="AK784" s="28" t="s">
        <v>663</v>
      </c>
      <c r="AL784" s="28" t="s">
        <v>769</v>
      </c>
      <c r="AM784" s="28" t="s">
        <v>1284</v>
      </c>
      <c r="AN784" s="54">
        <v>42058.0</v>
      </c>
      <c r="AO784" s="54"/>
      <c r="AP784" s="28"/>
      <c r="AQ784" s="28" t="s">
        <v>769</v>
      </c>
      <c r="AR784" s="28"/>
      <c r="AS784" s="54">
        <v>42216.0</v>
      </c>
      <c r="AT784" s="28"/>
      <c r="AU784" s="28"/>
      <c r="AV784" s="28"/>
      <c r="AW784" s="28"/>
      <c r="AX784" s="28"/>
      <c r="AY784" s="28" t="s">
        <v>428</v>
      </c>
      <c r="AZ784" s="28"/>
      <c r="BA784" s="28"/>
      <c r="BB784" s="28"/>
      <c r="BC784" s="28"/>
      <c r="BD784" s="28"/>
      <c r="BE784" s="28"/>
      <c r="BF784" s="28"/>
      <c r="BG784" s="28"/>
      <c r="BH784" s="28"/>
      <c r="BI784" s="28"/>
      <c r="BJ784" s="28"/>
      <c r="BK784" s="28"/>
      <c r="BL784" s="28"/>
      <c r="BM784" s="28"/>
      <c r="BN784" s="28"/>
      <c r="BO784" s="28"/>
    </row>
    <row r="785" ht="25.5" customHeight="1">
      <c r="A785" s="28">
        <v>10048.0</v>
      </c>
      <c r="B785" s="37" t="b">
        <v>1</v>
      </c>
      <c r="C785" s="38" t="s">
        <v>238</v>
      </c>
      <c r="D785" s="38">
        <v>81.0</v>
      </c>
      <c r="E785" s="13" t="b">
        <v>1</v>
      </c>
      <c r="F785" s="13" t="b">
        <v>0</v>
      </c>
      <c r="G785" s="38" t="s">
        <v>224</v>
      </c>
      <c r="H785" s="38"/>
      <c r="I785" s="38" t="s">
        <v>376</v>
      </c>
      <c r="J785" s="38">
        <v>2.0</v>
      </c>
      <c r="K785" s="38"/>
      <c r="L785" s="38"/>
      <c r="M785" s="38" t="s">
        <v>388</v>
      </c>
      <c r="N785" s="38">
        <v>14000.0</v>
      </c>
      <c r="O785" s="38" t="s">
        <v>224</v>
      </c>
      <c r="P785" s="40"/>
      <c r="Q785" s="38" t="s">
        <v>289</v>
      </c>
      <c r="R785" s="38">
        <v>40.0</v>
      </c>
      <c r="S785" s="38" t="s">
        <v>1822</v>
      </c>
      <c r="T785" s="38" t="s">
        <v>1823</v>
      </c>
      <c r="U785" s="38" t="s">
        <v>1281</v>
      </c>
      <c r="V785" s="55">
        <v>42254.0</v>
      </c>
      <c r="W785" s="38" t="s">
        <v>1825</v>
      </c>
      <c r="X785" s="49" t="str">
        <f>HYPERLINK("http://www.theguardian.com/science/neurophilosophy/2015/sep/07/self-control-saps-memory-resources","http://www.theguardian.com/science/neurophilosophy/2015/sep/07/self-control-saps-memory-resources")</f>
        <v>http://www.theguardian.com/science/neurophilosophy/2015/sep/07/self-control-saps-memory-resources</v>
      </c>
      <c r="Y785" s="38"/>
      <c r="Z785" s="38"/>
      <c r="AA785" s="38"/>
      <c r="AB785" s="38"/>
      <c r="AC785" s="38"/>
      <c r="AD785" s="38"/>
      <c r="AE785" s="38"/>
      <c r="AF785" s="38"/>
      <c r="AG785" s="28"/>
      <c r="AH785" s="28" t="s">
        <v>462</v>
      </c>
      <c r="AI785" s="28" t="s">
        <v>462</v>
      </c>
      <c r="AJ785" s="28"/>
      <c r="AK785" s="28" t="s">
        <v>676</v>
      </c>
      <c r="AL785" s="28" t="s">
        <v>677</v>
      </c>
      <c r="AM785" s="28"/>
      <c r="AN785" s="54"/>
      <c r="AO785" s="54"/>
      <c r="AP785" s="28"/>
      <c r="AQ785" s="28"/>
      <c r="AR785" s="28"/>
      <c r="AS785" s="54"/>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row>
    <row r="786" ht="25.5" customHeight="1">
      <c r="A786" s="28">
        <v>10067.0</v>
      </c>
      <c r="B786" s="37" t="b">
        <v>1</v>
      </c>
      <c r="C786" s="38" t="s">
        <v>238</v>
      </c>
      <c r="D786" s="38">
        <v>81.0</v>
      </c>
      <c r="E786" s="13" t="b">
        <v>0</v>
      </c>
      <c r="F786" s="13" t="b">
        <v>1</v>
      </c>
      <c r="G786" s="38" t="s">
        <v>224</v>
      </c>
      <c r="H786" s="38"/>
      <c r="I786" s="38" t="s">
        <v>574</v>
      </c>
      <c r="J786" s="38">
        <v>4.0</v>
      </c>
      <c r="K786" s="38"/>
      <c r="L786" s="38"/>
      <c r="M786" s="38" t="s">
        <v>35</v>
      </c>
      <c r="N786" s="38">
        <v>2000.0</v>
      </c>
      <c r="O786" s="38" t="s">
        <v>837</v>
      </c>
      <c r="P786" s="40">
        <v>2001.0</v>
      </c>
      <c r="Q786" s="38" t="s">
        <v>289</v>
      </c>
      <c r="R786" s="38">
        <v>40.0</v>
      </c>
      <c r="S786" s="38" t="s">
        <v>2031</v>
      </c>
      <c r="T786" s="38" t="s">
        <v>1286</v>
      </c>
      <c r="U786" s="38" t="s">
        <v>1281</v>
      </c>
      <c r="V786" s="55">
        <v>42062.0</v>
      </c>
      <c r="W786" s="38" t="s">
        <v>2033</v>
      </c>
      <c r="X786" s="49" t="str">
        <f>HYPERLINK("http://www.theguardian.com/sustainable-business/2015/feb/27/most-people-are-neither-alarmist-nor-in-denial-about-climate-change","http://www.theguardian.com/sustainable-business/2015/feb/27/most-people-are-neither-alarmist-nor-in-denial-about-climate-change")</f>
        <v>http://www.theguardian.com/sustainable-business/2015/feb/27/most-people-are-neither-alarmist-nor-in-denial-about-climate-change</v>
      </c>
      <c r="Y786" s="38"/>
      <c r="Z786" s="38"/>
      <c r="AA786" s="38"/>
      <c r="AB786" s="38"/>
      <c r="AC786" s="38"/>
      <c r="AD786" s="38"/>
      <c r="AE786" s="38"/>
      <c r="AF786" s="38"/>
      <c r="AG786" s="28"/>
      <c r="AH786" s="28" t="s">
        <v>462</v>
      </c>
      <c r="AI786" s="28" t="s">
        <v>462</v>
      </c>
      <c r="AJ786" s="28"/>
      <c r="AK786" s="28" t="s">
        <v>663</v>
      </c>
      <c r="AL786" s="28" t="s">
        <v>769</v>
      </c>
      <c r="AM786" s="28" t="s">
        <v>2034</v>
      </c>
      <c r="AN786" s="54">
        <v>42347.0</v>
      </c>
      <c r="AO786" s="54"/>
      <c r="AP786" s="54">
        <v>42543.0</v>
      </c>
      <c r="AQ786" s="28" t="s">
        <v>769</v>
      </c>
      <c r="AR786" s="28"/>
      <c r="AS786" s="54">
        <v>42073.0</v>
      </c>
      <c r="AT786" s="28" t="s">
        <v>2035</v>
      </c>
      <c r="AU786" s="28"/>
      <c r="AV786" s="28"/>
      <c r="AW786" s="28"/>
      <c r="AX786" s="28"/>
      <c r="AY786" s="28" t="s">
        <v>428</v>
      </c>
      <c r="AZ786" s="28"/>
      <c r="BA786" s="28"/>
      <c r="BB786" s="28"/>
      <c r="BC786" s="28"/>
      <c r="BD786" s="28"/>
      <c r="BE786" s="28"/>
      <c r="BF786" s="28"/>
      <c r="BG786" s="28"/>
      <c r="BH786" s="28"/>
      <c r="BI786" s="28"/>
      <c r="BJ786" s="28"/>
      <c r="BK786" s="28"/>
      <c r="BL786" s="28"/>
      <c r="BM786" s="28"/>
      <c r="BN786" s="28"/>
      <c r="BO786" s="28"/>
    </row>
    <row r="787" ht="25.5" customHeight="1">
      <c r="A787" s="28">
        <v>10069.0</v>
      </c>
      <c r="B787" s="37" t="b">
        <v>1</v>
      </c>
      <c r="C787" s="38" t="s">
        <v>238</v>
      </c>
      <c r="D787" s="38">
        <v>81.0</v>
      </c>
      <c r="E787" s="13" t="b">
        <v>0</v>
      </c>
      <c r="F787" s="13" t="b">
        <v>1</v>
      </c>
      <c r="G787" s="38" t="s">
        <v>224</v>
      </c>
      <c r="H787" s="38"/>
      <c r="I787" s="38" t="s">
        <v>574</v>
      </c>
      <c r="J787" s="38">
        <v>4.0</v>
      </c>
      <c r="K787" s="38"/>
      <c r="L787" s="38"/>
      <c r="M787" s="38" t="s">
        <v>35</v>
      </c>
      <c r="N787" s="38">
        <v>2000.0</v>
      </c>
      <c r="O787" s="38" t="s">
        <v>644</v>
      </c>
      <c r="P787" s="40"/>
      <c r="Q787" s="38" t="s">
        <v>289</v>
      </c>
      <c r="R787" s="38">
        <v>40.0</v>
      </c>
      <c r="S787" s="38" t="s">
        <v>2041</v>
      </c>
      <c r="T787" s="38" t="s">
        <v>1286</v>
      </c>
      <c r="U787" s="38" t="s">
        <v>1281</v>
      </c>
      <c r="V787" s="55">
        <v>42024.0</v>
      </c>
      <c r="W787" s="38" t="s">
        <v>2042</v>
      </c>
      <c r="X787" s="49" t="str">
        <f>HYPERLINK("http://www.theguardian.com/environment/2015/jan/20/why-its-good-to-laugh-at-climate-change","http://www.theguardian.com/environment/2015/jan/20/why-its-good-to-laugh-at-climate-change")</f>
        <v>http://www.theguardian.com/environment/2015/jan/20/why-its-good-to-laugh-at-climate-change</v>
      </c>
      <c r="Y787" s="38"/>
      <c r="Z787" s="38"/>
      <c r="AA787" s="38"/>
      <c r="AB787" s="38"/>
      <c r="AC787" s="38"/>
      <c r="AD787" s="38"/>
      <c r="AE787" s="38"/>
      <c r="AF787" s="38"/>
      <c r="AG787" s="28"/>
      <c r="AH787" s="28" t="s">
        <v>462</v>
      </c>
      <c r="AI787" s="28" t="s">
        <v>462</v>
      </c>
      <c r="AJ787" s="28"/>
      <c r="AK787" s="28" t="s">
        <v>676</v>
      </c>
      <c r="AL787" s="28" t="s">
        <v>769</v>
      </c>
      <c r="AM787" s="28" t="s">
        <v>2047</v>
      </c>
      <c r="AN787" s="54">
        <v>42486.0</v>
      </c>
      <c r="AO787" s="54"/>
      <c r="AP787" s="28"/>
      <c r="AQ787" s="28" t="s">
        <v>769</v>
      </c>
      <c r="AR787" s="28"/>
      <c r="AS787" s="54">
        <v>42261.0</v>
      </c>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row>
    <row r="788" ht="25.5" customHeight="1">
      <c r="A788" s="28">
        <v>10105.0</v>
      </c>
      <c r="B788" s="37" t="b">
        <v>1</v>
      </c>
      <c r="C788" s="38" t="s">
        <v>238</v>
      </c>
      <c r="D788" s="38">
        <v>81.0</v>
      </c>
      <c r="E788" s="13" t="b">
        <v>0</v>
      </c>
      <c r="F788" s="13" t="b">
        <v>1</v>
      </c>
      <c r="G788" s="38" t="s">
        <v>224</v>
      </c>
      <c r="H788" s="38"/>
      <c r="I788" s="38" t="s">
        <v>2516</v>
      </c>
      <c r="J788" s="38" t="s">
        <v>2517</v>
      </c>
      <c r="K788" s="38"/>
      <c r="L788" s="38"/>
      <c r="M788" s="38" t="s">
        <v>35</v>
      </c>
      <c r="N788" s="38">
        <v>2000.0</v>
      </c>
      <c r="O788" s="38" t="s">
        <v>837</v>
      </c>
      <c r="P788" s="40">
        <v>2001.0</v>
      </c>
      <c r="Q788" s="38" t="s">
        <v>289</v>
      </c>
      <c r="R788" s="38">
        <v>40.0</v>
      </c>
      <c r="S788" s="38" t="s">
        <v>2522</v>
      </c>
      <c r="T788" s="38" t="s">
        <v>1654</v>
      </c>
      <c r="U788" s="38" t="s">
        <v>1281</v>
      </c>
      <c r="V788" s="55">
        <v>42098.0</v>
      </c>
      <c r="W788" s="38" t="s">
        <v>2525</v>
      </c>
      <c r="X788" s="49" t="str">
        <f>HYPERLINK("http://www.theguardian.com/commentisfree/2015/apr/04/climate-change-campaigners-evangelism-religion-activism?CMP=share_btn_tw","http://www.theguardian.com/commentisfree/2015/apr/04/climate-change-campaigners-evangelism-religion-activism?CMP=share_btn_tw")</f>
        <v>http://www.theguardian.com/commentisfree/2015/apr/04/climate-change-campaigners-evangelism-religion-activism?CMP=share_btn_tw</v>
      </c>
      <c r="Y788" s="38"/>
      <c r="Z788" s="38"/>
      <c r="AA788" s="38"/>
      <c r="AB788" s="38"/>
      <c r="AC788" s="38"/>
      <c r="AD788" s="38"/>
      <c r="AE788" s="38"/>
      <c r="AF788" s="38"/>
      <c r="AG788" s="28"/>
      <c r="AH788" s="28" t="s">
        <v>2527</v>
      </c>
      <c r="AI788" s="28" t="s">
        <v>2527</v>
      </c>
      <c r="AJ788" s="28"/>
      <c r="AK788" s="28" t="s">
        <v>1099</v>
      </c>
      <c r="AL788" s="28" t="s">
        <v>600</v>
      </c>
      <c r="AM788" s="28" t="s">
        <v>2531</v>
      </c>
      <c r="AN788" s="54">
        <v>42355.0</v>
      </c>
      <c r="AO788" s="54"/>
      <c r="AP788" s="54"/>
      <c r="AQ788" s="28" t="s">
        <v>561</v>
      </c>
      <c r="AR788" s="28"/>
      <c r="AS788" s="54">
        <v>42374.0</v>
      </c>
      <c r="AT788" s="28" t="s">
        <v>1488</v>
      </c>
      <c r="AU788" s="28"/>
      <c r="AV788" s="28"/>
      <c r="AW788" s="28"/>
      <c r="AX788" s="28" t="s">
        <v>428</v>
      </c>
      <c r="AY788" s="28"/>
      <c r="AZ788" s="28"/>
      <c r="BA788" s="28"/>
      <c r="BB788" s="28"/>
      <c r="BC788" s="28"/>
      <c r="BD788" s="28"/>
      <c r="BE788" s="28"/>
      <c r="BF788" s="28"/>
      <c r="BG788" s="28"/>
      <c r="BH788" s="28"/>
      <c r="BI788" s="28"/>
      <c r="BJ788" s="28"/>
      <c r="BK788" s="28"/>
      <c r="BL788" s="28"/>
      <c r="BM788" s="28"/>
      <c r="BN788" s="28"/>
      <c r="BO788" s="28"/>
    </row>
    <row r="789" ht="25.5" customHeight="1">
      <c r="A789" s="28">
        <v>10116.0</v>
      </c>
      <c r="B789" s="37" t="b">
        <v>1</v>
      </c>
      <c r="C789" s="38" t="s">
        <v>238</v>
      </c>
      <c r="D789" s="38">
        <v>81.0</v>
      </c>
      <c r="E789" s="13" t="b">
        <v>0</v>
      </c>
      <c r="F789" s="13" t="b">
        <v>1</v>
      </c>
      <c r="G789" s="38" t="s">
        <v>224</v>
      </c>
      <c r="H789" s="38"/>
      <c r="I789" s="38" t="s">
        <v>972</v>
      </c>
      <c r="J789" s="38" t="s">
        <v>973</v>
      </c>
      <c r="K789" s="38"/>
      <c r="L789" s="38"/>
      <c r="M789" s="38" t="s">
        <v>35</v>
      </c>
      <c r="N789" s="38">
        <v>2000.0</v>
      </c>
      <c r="O789" s="38" t="s">
        <v>644</v>
      </c>
      <c r="P789" s="40"/>
      <c r="Q789" s="38" t="s">
        <v>289</v>
      </c>
      <c r="R789" s="38">
        <v>40.0</v>
      </c>
      <c r="S789" s="38" t="s">
        <v>2641</v>
      </c>
      <c r="T789" s="38" t="s">
        <v>2642</v>
      </c>
      <c r="U789" s="38" t="s">
        <v>1281</v>
      </c>
      <c r="V789" s="55">
        <v>42174.0</v>
      </c>
      <c r="W789" s="38" t="s">
        <v>2643</v>
      </c>
      <c r="X789" s="49" t="str">
        <f>HYPERLINK("http://www.theguardian.com/environment/2015/jun/19/peoples-climate-march-al-gore-leonardo-dicaprio-climate-change","http://www.theguardian.com/environment/2015/jun/19/peoples-climate-march-al-gore-leonardo-dicaprio-climate-change")</f>
        <v>http://www.theguardian.com/environment/2015/jun/19/peoples-climate-march-al-gore-leonardo-dicaprio-climate-change</v>
      </c>
      <c r="Y789" s="38"/>
      <c r="Z789" s="38"/>
      <c r="AA789" s="38"/>
      <c r="AB789" s="38"/>
      <c r="AC789" s="38"/>
      <c r="AD789" s="38"/>
      <c r="AE789" s="38"/>
      <c r="AF789" s="38"/>
      <c r="AG789" s="28"/>
      <c r="AH789" s="28" t="s">
        <v>2647</v>
      </c>
      <c r="AI789" s="28" t="s">
        <v>2648</v>
      </c>
      <c r="AJ789" s="28"/>
      <c r="AK789" s="28"/>
      <c r="AL789" s="28" t="s">
        <v>769</v>
      </c>
      <c r="AM789" s="28" t="s">
        <v>2650</v>
      </c>
      <c r="AN789" s="54">
        <v>42317.0</v>
      </c>
      <c r="AO789" s="54"/>
      <c r="AP789" s="28"/>
      <c r="AQ789" s="28" t="s">
        <v>769</v>
      </c>
      <c r="AR789" s="28"/>
      <c r="AS789" s="54"/>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row>
    <row r="790" ht="25.5" customHeight="1">
      <c r="A790" s="28">
        <v>10118.0</v>
      </c>
      <c r="B790" s="37" t="b">
        <v>1</v>
      </c>
      <c r="C790" s="38" t="s">
        <v>238</v>
      </c>
      <c r="D790" s="38">
        <v>81.0</v>
      </c>
      <c r="E790" s="13" t="b">
        <v>0</v>
      </c>
      <c r="F790" s="13" t="b">
        <v>1</v>
      </c>
      <c r="G790" s="38" t="s">
        <v>224</v>
      </c>
      <c r="H790" s="38"/>
      <c r="I790" s="38" t="s">
        <v>2672</v>
      </c>
      <c r="J790" s="38" t="s">
        <v>2673</v>
      </c>
      <c r="K790" s="38"/>
      <c r="L790" s="38"/>
      <c r="M790" s="38" t="s">
        <v>35</v>
      </c>
      <c r="N790" s="38">
        <v>2000.0</v>
      </c>
      <c r="O790" s="38" t="s">
        <v>644</v>
      </c>
      <c r="P790" s="40"/>
      <c r="Q790" s="38" t="s">
        <v>111</v>
      </c>
      <c r="R790" s="38">
        <v>41.0</v>
      </c>
      <c r="S790" s="38" t="s">
        <v>2674</v>
      </c>
      <c r="T790" s="38" t="s">
        <v>1286</v>
      </c>
      <c r="U790" s="38" t="s">
        <v>1281</v>
      </c>
      <c r="V790" s="55">
        <v>42191.0</v>
      </c>
      <c r="W790" s="38" t="s">
        <v>2675</v>
      </c>
      <c r="X790" s="49" t="str">
        <f>HYPERLINK("http://www.theguardian.com/sustainable-business/2015/jul/06/12-tools-for-communicating-climate-change-more-effectively?CMP=share_btn_tw","http://www.theguardian.com/sustainable-business/2015/jul/06/12-tools-for-communicating-climate-change-more-effectively?CMP=share_btn_tw")</f>
        <v>http://www.theguardian.com/sustainable-business/2015/jul/06/12-tools-for-communicating-climate-change-more-effectively?CMP=share_btn_tw</v>
      </c>
      <c r="Y790" s="38"/>
      <c r="Z790" s="38"/>
      <c r="AA790" s="38"/>
      <c r="AB790" s="38"/>
      <c r="AC790" s="38"/>
      <c r="AD790" s="38"/>
      <c r="AE790" s="38"/>
      <c r="AF790" s="38"/>
      <c r="AG790" s="28"/>
      <c r="AH790" s="28" t="s">
        <v>462</v>
      </c>
      <c r="AI790" s="28" t="s">
        <v>462</v>
      </c>
      <c r="AJ790" s="28"/>
      <c r="AK790" s="28" t="s">
        <v>676</v>
      </c>
      <c r="AL790" s="28" t="s">
        <v>600</v>
      </c>
      <c r="AM790" s="28"/>
      <c r="AN790" s="54"/>
      <c r="AO790" s="54"/>
      <c r="AP790" s="66"/>
      <c r="AQ790" s="28"/>
      <c r="AR790" s="28"/>
      <c r="AS790" s="54"/>
      <c r="AT790" s="28" t="s">
        <v>1842</v>
      </c>
      <c r="AU790" s="28"/>
      <c r="AV790" s="28"/>
      <c r="AW790" s="28"/>
      <c r="AX790" s="28"/>
      <c r="AY790" s="28"/>
      <c r="AZ790" s="28"/>
      <c r="BA790" s="28"/>
      <c r="BB790" s="28"/>
      <c r="BC790" s="28"/>
      <c r="BD790" s="28"/>
      <c r="BE790" s="28"/>
      <c r="BF790" s="28"/>
      <c r="BG790" s="28"/>
      <c r="BH790" s="28"/>
      <c r="BI790" s="28"/>
      <c r="BJ790" s="28"/>
      <c r="BK790" s="28"/>
      <c r="BL790" s="28"/>
      <c r="BM790" s="28"/>
      <c r="BN790" s="28"/>
      <c r="BO790" s="28"/>
    </row>
    <row r="791" ht="25.5" customHeight="1">
      <c r="A791" s="28">
        <v>10127.0</v>
      </c>
      <c r="B791" s="37" t="b">
        <v>1</v>
      </c>
      <c r="C791" s="38" t="s">
        <v>238</v>
      </c>
      <c r="D791" s="38">
        <v>81.0</v>
      </c>
      <c r="E791" s="13" t="b">
        <v>0</v>
      </c>
      <c r="F791" s="13" t="b">
        <v>1</v>
      </c>
      <c r="G791" s="38" t="s">
        <v>224</v>
      </c>
      <c r="H791" s="38"/>
      <c r="I791" s="38" t="s">
        <v>1455</v>
      </c>
      <c r="J791" s="38" t="s">
        <v>1456</v>
      </c>
      <c r="K791" s="38"/>
      <c r="L791" s="38"/>
      <c r="M791" s="38" t="s">
        <v>35</v>
      </c>
      <c r="N791" s="38">
        <v>2000.0</v>
      </c>
      <c r="O791" s="38" t="s">
        <v>644</v>
      </c>
      <c r="P791" s="40"/>
      <c r="Q791" s="38" t="s">
        <v>687</v>
      </c>
      <c r="R791" s="38" t="s">
        <v>688</v>
      </c>
      <c r="S791" s="38" t="s">
        <v>2766</v>
      </c>
      <c r="T791" s="38" t="s">
        <v>2767</v>
      </c>
      <c r="U791" s="38" t="s">
        <v>1281</v>
      </c>
      <c r="V791" s="55">
        <v>42159.0</v>
      </c>
      <c r="W791" s="38" t="s">
        <v>2768</v>
      </c>
      <c r="X791" s="49" t="str">
        <f>HYPERLINK("http://www.theguardian.com/sustainable-business/2015/jun/04/sufficiency-economy-karma-marketing-branding-business","http://www.theguardian.com/sustainable-business/2015/jun/04/sufficiency-economy-karma-marketing-branding-business")</f>
        <v>http://www.theguardian.com/sustainable-business/2015/jun/04/sufficiency-economy-karma-marketing-branding-business</v>
      </c>
      <c r="Y791" s="38"/>
      <c r="Z791" s="38"/>
      <c r="AA791" s="38"/>
      <c r="AB791" s="38"/>
      <c r="AC791" s="38"/>
      <c r="AD791" s="38"/>
      <c r="AE791" s="38"/>
      <c r="AF791" s="38"/>
      <c r="AG791" s="28"/>
      <c r="AH791" s="28" t="s">
        <v>462</v>
      </c>
      <c r="AI791" s="28" t="s">
        <v>462</v>
      </c>
      <c r="AJ791" s="28"/>
      <c r="AK791" s="28" t="s">
        <v>676</v>
      </c>
      <c r="AL791" s="28" t="s">
        <v>769</v>
      </c>
      <c r="AM791" s="28" t="s">
        <v>2773</v>
      </c>
      <c r="AN791" s="54">
        <v>42214.0</v>
      </c>
      <c r="AO791" s="54"/>
      <c r="AP791" s="28"/>
      <c r="AQ791" s="28"/>
      <c r="AR791" s="28"/>
      <c r="AS791" s="54"/>
      <c r="AT791" s="28"/>
      <c r="AU791" s="54"/>
      <c r="AV791" s="28"/>
      <c r="AW791" s="28"/>
      <c r="AX791" s="28"/>
      <c r="AY791" s="28"/>
      <c r="AZ791" s="28"/>
      <c r="BA791" s="28"/>
      <c r="BB791" s="28"/>
      <c r="BC791" s="28"/>
      <c r="BD791" s="28"/>
      <c r="BE791" s="28"/>
      <c r="BF791" s="28"/>
      <c r="BG791" s="28"/>
      <c r="BH791" s="28"/>
      <c r="BI791" s="28"/>
      <c r="BJ791" s="28"/>
      <c r="BK791" s="28"/>
      <c r="BL791" s="28"/>
      <c r="BM791" s="28"/>
      <c r="BN791" s="28"/>
      <c r="BO791" s="28"/>
    </row>
    <row r="792" ht="25.5" customHeight="1">
      <c r="A792" s="28">
        <v>10134.0</v>
      </c>
      <c r="B792" s="37" t="b">
        <v>1</v>
      </c>
      <c r="C792" s="38" t="s">
        <v>238</v>
      </c>
      <c r="D792" s="38">
        <v>81.0</v>
      </c>
      <c r="E792" s="13" t="b">
        <v>0</v>
      </c>
      <c r="F792" s="13" t="b">
        <v>1</v>
      </c>
      <c r="G792" s="38" t="s">
        <v>224</v>
      </c>
      <c r="H792" s="38"/>
      <c r="I792" s="38" t="s">
        <v>1331</v>
      </c>
      <c r="J792" s="38" t="s">
        <v>1371</v>
      </c>
      <c r="K792" s="38"/>
      <c r="L792" s="38"/>
      <c r="M792" s="38" t="s">
        <v>35</v>
      </c>
      <c r="N792" s="38">
        <v>2000.0</v>
      </c>
      <c r="O792" s="38" t="s">
        <v>644</v>
      </c>
      <c r="P792" s="40"/>
      <c r="Q792" s="38" t="s">
        <v>324</v>
      </c>
      <c r="R792" s="38" t="s">
        <v>325</v>
      </c>
      <c r="S792" s="38" t="s">
        <v>2822</v>
      </c>
      <c r="T792" s="38" t="s">
        <v>1286</v>
      </c>
      <c r="U792" s="38" t="s">
        <v>1281</v>
      </c>
      <c r="V792" s="55">
        <v>41975.0</v>
      </c>
      <c r="W792" s="38" t="s">
        <v>2823</v>
      </c>
      <c r="X792" s="49" t="str">
        <f>HYPERLINK("http://www.theguardian.com/sustainable-business/behavioural-insights/2014/dec/02/science-wont-win-over-sceptics-climate-change","http://www.theguardian.com/sustainable-business/behavioural-insights/2014/dec/02/science-wont-win-over-sceptics-climate-change")</f>
        <v>http://www.theguardian.com/sustainable-business/behavioural-insights/2014/dec/02/science-wont-win-over-sceptics-climate-change</v>
      </c>
      <c r="Y792" s="38"/>
      <c r="Z792" s="38"/>
      <c r="AA792" s="38"/>
      <c r="AB792" s="38"/>
      <c r="AC792" s="38"/>
      <c r="AD792" s="38"/>
      <c r="AE792" s="38"/>
      <c r="AF792" s="38"/>
      <c r="AG792" s="28"/>
      <c r="AH792" s="28" t="s">
        <v>769</v>
      </c>
      <c r="AI792" s="28" t="s">
        <v>530</v>
      </c>
      <c r="AJ792" s="28"/>
      <c r="AK792" s="28"/>
      <c r="AL792" s="28" t="s">
        <v>1594</v>
      </c>
      <c r="AM792" s="28" t="s">
        <v>2826</v>
      </c>
      <c r="AN792" s="54" t="s">
        <v>2827</v>
      </c>
      <c r="AO792" s="54"/>
      <c r="AP792" s="54"/>
      <c r="AQ792" s="28" t="s">
        <v>769</v>
      </c>
      <c r="AR792" s="28"/>
      <c r="AS792" s="54" t="s">
        <v>2828</v>
      </c>
      <c r="AT792" s="28" t="s">
        <v>1406</v>
      </c>
      <c r="AU792" s="28"/>
      <c r="AV792" s="28"/>
      <c r="AW792" s="28"/>
      <c r="AX792" s="28" t="s">
        <v>428</v>
      </c>
      <c r="AY792" s="28"/>
      <c r="AZ792" s="28"/>
      <c r="BA792" s="28"/>
      <c r="BB792" s="28"/>
      <c r="BC792" s="28"/>
      <c r="BD792" s="28"/>
      <c r="BE792" s="28"/>
      <c r="BF792" s="28"/>
      <c r="BG792" s="28"/>
      <c r="BH792" s="28"/>
      <c r="BI792" s="28"/>
      <c r="BJ792" s="28"/>
      <c r="BK792" s="28"/>
      <c r="BL792" s="28"/>
      <c r="BM792" s="28"/>
      <c r="BN792" s="28"/>
      <c r="BO792" s="28"/>
    </row>
    <row r="793" ht="25.5" customHeight="1">
      <c r="A793" s="28">
        <v>10173.0</v>
      </c>
      <c r="B793" s="37" t="b">
        <v>1</v>
      </c>
      <c r="C793" s="38" t="s">
        <v>238</v>
      </c>
      <c r="D793" s="38">
        <v>81.0</v>
      </c>
      <c r="E793" s="13" t="b">
        <v>0</v>
      </c>
      <c r="F793" s="13" t="b">
        <v>1</v>
      </c>
      <c r="G793" s="38" t="s">
        <v>224</v>
      </c>
      <c r="H793" s="38"/>
      <c r="I793" s="38" t="s">
        <v>887</v>
      </c>
      <c r="J793" s="38">
        <v>9.0</v>
      </c>
      <c r="K793" s="38"/>
      <c r="L793" s="38"/>
      <c r="M793" s="38" t="s">
        <v>35</v>
      </c>
      <c r="N793" s="38">
        <v>2000.0</v>
      </c>
      <c r="O793" s="38" t="s">
        <v>644</v>
      </c>
      <c r="P793" s="40"/>
      <c r="Q793" s="38" t="s">
        <v>111</v>
      </c>
      <c r="R793" s="38">
        <v>41.0</v>
      </c>
      <c r="S793" s="38" t="s">
        <v>3118</v>
      </c>
      <c r="T793" s="38" t="s">
        <v>3119</v>
      </c>
      <c r="U793" s="38" t="s">
        <v>1281</v>
      </c>
      <c r="V793" s="55">
        <v>42139.0</v>
      </c>
      <c r="W793" s="38" t="s">
        <v>108</v>
      </c>
      <c r="X793" s="49" t="str">
        <f>HYPERLINK("http://www.theguardian.com/environment/2015/may/15/the-climate-change-movement-must-overcome-political-tribalism?CMP=share_btn_tw","http://www.theguardian.com/environment/2015/may/15/the-climate-change-movement-must-overcome-political-tribalism?CMP=share_btn_tw")</f>
        <v>http://www.theguardian.com/environment/2015/may/15/the-climate-change-movement-must-overcome-political-tribalism?CMP=share_btn_tw</v>
      </c>
      <c r="Y793" s="38"/>
      <c r="Z793" s="38"/>
      <c r="AA793" s="38"/>
      <c r="AB793" s="38"/>
      <c r="AC793" s="38"/>
      <c r="AD793" s="38"/>
      <c r="AE793" s="38"/>
      <c r="AF793" s="38"/>
      <c r="AG793" s="28"/>
      <c r="AH793" s="28" t="s">
        <v>462</v>
      </c>
      <c r="AI793" s="28" t="s">
        <v>462</v>
      </c>
      <c r="AJ793" s="28"/>
      <c r="AK793" s="28"/>
      <c r="AL793" s="28" t="s">
        <v>769</v>
      </c>
      <c r="AM793" s="28" t="s">
        <v>3125</v>
      </c>
      <c r="AN793" s="54">
        <v>42177.0</v>
      </c>
      <c r="AO793" s="54"/>
      <c r="AP793" s="54">
        <v>42549.0</v>
      </c>
      <c r="AQ793" s="28"/>
      <c r="AR793" s="28"/>
      <c r="AS793" s="54"/>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row>
    <row r="794" ht="25.5" customHeight="1">
      <c r="A794" s="28">
        <v>10203.0</v>
      </c>
      <c r="B794" s="37" t="b">
        <v>1</v>
      </c>
      <c r="C794" s="38" t="s">
        <v>238</v>
      </c>
      <c r="D794" s="38">
        <v>81.0</v>
      </c>
      <c r="E794" s="13" t="b">
        <v>0</v>
      </c>
      <c r="F794" s="13" t="b">
        <v>1</v>
      </c>
      <c r="G794" s="38" t="s">
        <v>224</v>
      </c>
      <c r="H794" s="38"/>
      <c r="I794" s="38" t="s">
        <v>1857</v>
      </c>
      <c r="J794" s="38">
        <v>1.0</v>
      </c>
      <c r="K794" s="38"/>
      <c r="L794" s="38"/>
      <c r="M794" s="38" t="s">
        <v>35</v>
      </c>
      <c r="N794" s="38">
        <v>2000.0</v>
      </c>
      <c r="O794" s="38" t="s">
        <v>1114</v>
      </c>
      <c r="P794" s="40"/>
      <c r="Q794" s="38" t="s">
        <v>298</v>
      </c>
      <c r="R794" s="38">
        <v>44.0</v>
      </c>
      <c r="S794" s="61" t="s">
        <v>3375</v>
      </c>
      <c r="T794" s="38" t="s">
        <v>3376</v>
      </c>
      <c r="U794" s="99" t="s">
        <v>1281</v>
      </c>
      <c r="V794" s="55">
        <v>42278.0</v>
      </c>
      <c r="W794" s="38" t="s">
        <v>3381</v>
      </c>
      <c r="X794" s="49" t="str">
        <f>HYPERLINK("http://www.theguardian.com/environment/climate-consensus-97-per-cent/2015/oct/01/emphasizing-co-benefits-motivates-people-to-take-action-on-climate-change?CMP=EMCENVEML1631","http://www.theguardian.com/environment/climate-consensus-97-per-cent/2015/oct/01/emphasizing-co-benefits-motivates-people-to-take-action-on-climate-change?CMP=EMCENVEML1631")</f>
        <v>http://www.theguardian.com/environment/climate-consensus-97-per-cent/2015/oct/01/emphasizing-co-benefits-motivates-people-to-take-action-on-climate-change?CMP=EMCENVEML1631</v>
      </c>
      <c r="Y794" s="38"/>
      <c r="Z794" s="38"/>
      <c r="AA794" s="38"/>
      <c r="AB794" s="38"/>
      <c r="AC794" s="38"/>
      <c r="AD794" s="38"/>
      <c r="AE794" s="38"/>
      <c r="AF794" s="38"/>
      <c r="AG794" s="28"/>
      <c r="AH794" s="28"/>
      <c r="AI794" s="28"/>
      <c r="AJ794" s="28"/>
      <c r="AK794" s="28"/>
      <c r="AL794" s="28" t="s">
        <v>428</v>
      </c>
      <c r="AM794" s="28" t="s">
        <v>3384</v>
      </c>
      <c r="AN794" s="54">
        <v>42706.0</v>
      </c>
      <c r="AO794" s="54"/>
      <c r="AP794" s="28"/>
      <c r="AQ794" s="28"/>
      <c r="AR794" s="28"/>
      <c r="AS794" s="28"/>
      <c r="AT794" s="28"/>
      <c r="AU794" s="28"/>
      <c r="AV794" s="28"/>
      <c r="AW794" s="28"/>
      <c r="AX794" s="28"/>
      <c r="AY794" s="28" t="s">
        <v>428</v>
      </c>
      <c r="AZ794" s="28"/>
      <c r="BA794" s="28"/>
      <c r="BB794" s="28"/>
      <c r="BC794" s="28"/>
      <c r="BD794" s="28"/>
      <c r="BE794" s="28"/>
      <c r="BF794" s="28"/>
      <c r="BG794" s="28"/>
      <c r="BH794" s="28"/>
      <c r="BI794" s="28"/>
      <c r="BJ794" s="28"/>
      <c r="BK794" s="28"/>
      <c r="BL794" s="28"/>
      <c r="BM794" s="28"/>
      <c r="BN794" s="28"/>
      <c r="BO794" s="28"/>
    </row>
    <row r="795" ht="25.5" customHeight="1">
      <c r="A795" s="28">
        <v>10223.0</v>
      </c>
      <c r="B795" s="37" t="b">
        <v>1</v>
      </c>
      <c r="C795" s="38" t="s">
        <v>238</v>
      </c>
      <c r="D795" s="38">
        <v>81.0</v>
      </c>
      <c r="E795" s="13" t="b">
        <v>0</v>
      </c>
      <c r="F795" s="13" t="b">
        <v>1</v>
      </c>
      <c r="G795" s="38" t="s">
        <v>224</v>
      </c>
      <c r="H795" s="38"/>
      <c r="I795" s="38" t="s">
        <v>1082</v>
      </c>
      <c r="J795" s="38" t="s">
        <v>1083</v>
      </c>
      <c r="K795" s="38"/>
      <c r="L795" s="38"/>
      <c r="M795" s="38" t="s">
        <v>35</v>
      </c>
      <c r="N795" s="38">
        <v>2000.0</v>
      </c>
      <c r="O795" s="38" t="s">
        <v>644</v>
      </c>
      <c r="P795" s="40"/>
      <c r="Q795" s="38" t="s">
        <v>3601</v>
      </c>
      <c r="R795" s="38" t="s">
        <v>3602</v>
      </c>
      <c r="S795" s="38" t="s">
        <v>3603</v>
      </c>
      <c r="T795" s="38" t="s">
        <v>3604</v>
      </c>
      <c r="U795" s="38" t="s">
        <v>1281</v>
      </c>
      <c r="V795" s="55">
        <v>42129.0</v>
      </c>
      <c r="W795" s="38" t="s">
        <v>108</v>
      </c>
      <c r="X795" s="49" t="str">
        <f>HYPERLINK("http://www.theguardian.com/global-development-professionals-network/2015/may/05/15-ways-to-powerfully-communicate-climate-change-solutions","http://www.theguardian.com/global-development-professionals-network/2015/may/05/15-ways-to-powerfully-communicate-climate-change-solutions")</f>
        <v>http://www.theguardian.com/global-development-professionals-network/2015/may/05/15-ways-to-powerfully-communicate-climate-change-solutions</v>
      </c>
      <c r="Y795" s="38"/>
      <c r="Z795" s="38"/>
      <c r="AA795" s="38"/>
      <c r="AB795" s="38"/>
      <c r="AC795" s="38"/>
      <c r="AD795" s="38"/>
      <c r="AE795" s="38"/>
      <c r="AF795" s="38"/>
      <c r="AG795" s="28"/>
      <c r="AH795" s="28" t="s">
        <v>462</v>
      </c>
      <c r="AI795" s="28" t="s">
        <v>462</v>
      </c>
      <c r="AJ795" s="28"/>
      <c r="AK795" s="28"/>
      <c r="AL795" s="28" t="s">
        <v>769</v>
      </c>
      <c r="AM795" s="28" t="s">
        <v>3610</v>
      </c>
      <c r="AN795" s="54">
        <v>42131.0</v>
      </c>
      <c r="AO795" s="54"/>
      <c r="AP795" s="54">
        <v>42495.0</v>
      </c>
      <c r="AQ795" s="28" t="s">
        <v>769</v>
      </c>
      <c r="AR795" s="28"/>
      <c r="AS795" s="54">
        <v>42166.0</v>
      </c>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row>
    <row r="796" ht="25.5" customHeight="1">
      <c r="A796" s="28">
        <v>10296.0</v>
      </c>
      <c r="B796" s="37" t="b">
        <v>1</v>
      </c>
      <c r="C796" s="38" t="s">
        <v>238</v>
      </c>
      <c r="D796" s="38">
        <v>81.0</v>
      </c>
      <c r="E796" s="13" t="b">
        <v>0</v>
      </c>
      <c r="F796" s="13" t="b">
        <v>1</v>
      </c>
      <c r="G796" s="38" t="s">
        <v>224</v>
      </c>
      <c r="H796" s="38"/>
      <c r="I796" s="38" t="s">
        <v>4192</v>
      </c>
      <c r="J796" s="38" t="s">
        <v>4177</v>
      </c>
      <c r="K796" s="38"/>
      <c r="L796" s="38"/>
      <c r="M796" s="38" t="s">
        <v>35</v>
      </c>
      <c r="N796" s="38">
        <v>2000.0</v>
      </c>
      <c r="O796" s="38" t="s">
        <v>644</v>
      </c>
      <c r="P796" s="40"/>
      <c r="Q796" s="38" t="s">
        <v>324</v>
      </c>
      <c r="R796" s="38" t="s">
        <v>325</v>
      </c>
      <c r="S796" s="38" t="s">
        <v>4193</v>
      </c>
      <c r="T796" s="38" t="s">
        <v>1286</v>
      </c>
      <c r="U796" s="38" t="s">
        <v>1281</v>
      </c>
      <c r="V796" s="55">
        <v>41900.0</v>
      </c>
      <c r="W796" s="38"/>
      <c r="X796" s="49" t="str">
        <f>HYPERLINK("http://www.theguardian.com/sustainable-business/2014/sep/18/build-support-climate-change-campaign","http://www.theguardian.com/sustainable-business/2014/sep/18/build-support-climate-change-campaign")</f>
        <v>http://www.theguardian.com/sustainable-business/2014/sep/18/build-support-climate-change-campaign</v>
      </c>
      <c r="Y796" s="38"/>
      <c r="Z796" s="38"/>
      <c r="AA796" s="38"/>
      <c r="AB796" s="38"/>
      <c r="AC796" s="38"/>
      <c r="AD796" s="38"/>
      <c r="AE796" s="38"/>
      <c r="AF796" s="38"/>
      <c r="AG796" s="28" t="s">
        <v>2717</v>
      </c>
      <c r="AH796" s="28" t="s">
        <v>462</v>
      </c>
      <c r="AI796" s="28" t="s">
        <v>462</v>
      </c>
      <c r="AJ796" s="28"/>
      <c r="AK796" s="28" t="s">
        <v>1355</v>
      </c>
      <c r="AL796" s="28" t="s">
        <v>600</v>
      </c>
      <c r="AM796" s="28"/>
      <c r="AN796" s="54"/>
      <c r="AO796" s="54"/>
      <c r="AP796" s="28"/>
      <c r="AQ796" s="28"/>
      <c r="AR796" s="28"/>
      <c r="AS796" s="54"/>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row>
    <row r="797" ht="25.5" customHeight="1">
      <c r="A797" s="28">
        <v>10418.0</v>
      </c>
      <c r="B797" s="37" t="b">
        <v>1</v>
      </c>
      <c r="C797" s="38" t="s">
        <v>238</v>
      </c>
      <c r="D797" s="38">
        <v>81.0</v>
      </c>
      <c r="E797" s="13" t="b">
        <v>0</v>
      </c>
      <c r="F797" s="13" t="b">
        <v>1</v>
      </c>
      <c r="G797" s="38" t="s">
        <v>224</v>
      </c>
      <c r="H797" s="38"/>
      <c r="I797" s="38" t="s">
        <v>1480</v>
      </c>
      <c r="J797" s="38">
        <v>8.0</v>
      </c>
      <c r="K797" s="38"/>
      <c r="L797" s="38"/>
      <c r="M797" s="38" t="s">
        <v>35</v>
      </c>
      <c r="N797" s="38">
        <v>2000.0</v>
      </c>
      <c r="O797" s="38" t="s">
        <v>837</v>
      </c>
      <c r="P797" s="40">
        <v>2001.0</v>
      </c>
      <c r="Q797" s="38" t="s">
        <v>111</v>
      </c>
      <c r="R797" s="38">
        <v>41.0</v>
      </c>
      <c r="S797" s="38" t="s">
        <v>5244</v>
      </c>
      <c r="T797" s="38" t="s">
        <v>215</v>
      </c>
      <c r="U797" s="38" t="s">
        <v>1281</v>
      </c>
      <c r="V797" s="55">
        <v>41878.0</v>
      </c>
      <c r="W797" s="38" t="s">
        <v>5247</v>
      </c>
      <c r="X797" s="49" t="str">
        <f>HYPERLINK("http://www.theguardian.com/environment/2014/aug/27/uk-winter-floods-climate-change","http://www.theguardian.com/environment/2014/aug/27/uk-winter-floods-climate-change")</f>
        <v>http://www.theguardian.com/environment/2014/aug/27/uk-winter-floods-climate-change</v>
      </c>
      <c r="Y797" s="38"/>
      <c r="Z797" s="38"/>
      <c r="AA797" s="38"/>
      <c r="AB797" s="38"/>
      <c r="AC797" s="38"/>
      <c r="AD797" s="38"/>
      <c r="AE797" s="38"/>
      <c r="AF797" s="38"/>
      <c r="AG797" s="28"/>
      <c r="AH797" s="28" t="s">
        <v>428</v>
      </c>
      <c r="AI797" s="28" t="s">
        <v>842</v>
      </c>
      <c r="AJ797" s="28"/>
      <c r="AK797" s="28"/>
      <c r="AL797" s="28" t="s">
        <v>600</v>
      </c>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row>
    <row r="798" ht="25.5" customHeight="1">
      <c r="A798" s="28">
        <v>10420.0</v>
      </c>
      <c r="B798" s="37" t="b">
        <v>1</v>
      </c>
      <c r="C798" s="38" t="s">
        <v>238</v>
      </c>
      <c r="D798" s="38">
        <v>81.0</v>
      </c>
      <c r="E798" s="13" t="b">
        <v>0</v>
      </c>
      <c r="F798" s="13" t="b">
        <v>1</v>
      </c>
      <c r="G798" s="38" t="s">
        <v>224</v>
      </c>
      <c r="H798" s="38"/>
      <c r="I798" s="38" t="s">
        <v>1715</v>
      </c>
      <c r="J798" s="38" t="s">
        <v>1724</v>
      </c>
      <c r="K798" s="38"/>
      <c r="L798" s="38"/>
      <c r="M798" s="38" t="s">
        <v>35</v>
      </c>
      <c r="N798" s="38">
        <v>2000.0</v>
      </c>
      <c r="O798" s="38" t="s">
        <v>837</v>
      </c>
      <c r="P798" s="40">
        <v>2001.0</v>
      </c>
      <c r="Q798" s="38" t="s">
        <v>111</v>
      </c>
      <c r="R798" s="38">
        <v>41.0</v>
      </c>
      <c r="S798" s="38" t="s">
        <v>5271</v>
      </c>
      <c r="T798" s="38" t="s">
        <v>1286</v>
      </c>
      <c r="U798" s="38" t="s">
        <v>1281</v>
      </c>
      <c r="V798" s="55">
        <v>42033.0</v>
      </c>
      <c r="W798" s="38" t="s">
        <v>5272</v>
      </c>
      <c r="X798" s="49" t="str">
        <f>HYPERLINK("http://www.theguardian.com/sustainable-business/2015/jan/29/climate-change-communicate-risk-appeal-popular-opinion","http://www.theguardian.com/sustainable-business/2015/jan/29/climate-change-communicate-risk-appeal-popular-opinion")</f>
        <v>http://www.theguardian.com/sustainable-business/2015/jan/29/climate-change-communicate-risk-appeal-popular-opinion</v>
      </c>
      <c r="Y798" s="38"/>
      <c r="Z798" s="38"/>
      <c r="AA798" s="38"/>
      <c r="AB798" s="38"/>
      <c r="AC798" s="38"/>
      <c r="AD798" s="38"/>
      <c r="AE798" s="38"/>
      <c r="AF798" s="38"/>
      <c r="AG798" s="28"/>
      <c r="AH798" s="28" t="s">
        <v>5275</v>
      </c>
      <c r="AI798" s="28" t="s">
        <v>5277</v>
      </c>
      <c r="AJ798" s="28"/>
      <c r="AK798" s="28" t="s">
        <v>1099</v>
      </c>
      <c r="AL798" s="28" t="s">
        <v>600</v>
      </c>
      <c r="AM798" s="28" t="s">
        <v>5280</v>
      </c>
      <c r="AN798" s="54">
        <v>42067.0</v>
      </c>
      <c r="AO798" s="54"/>
      <c r="AP798" s="54"/>
      <c r="AQ798" s="28"/>
      <c r="AR798" s="28"/>
      <c r="AS798" s="28"/>
      <c r="AT798" s="28" t="s">
        <v>2045</v>
      </c>
      <c r="AU798" s="28"/>
      <c r="AV798" s="28"/>
      <c r="AW798" s="28"/>
      <c r="AX798" s="28" t="s">
        <v>428</v>
      </c>
      <c r="AY798" s="28"/>
      <c r="AZ798" s="28"/>
      <c r="BA798" s="28"/>
      <c r="BB798" s="28"/>
      <c r="BC798" s="28"/>
      <c r="BD798" s="28"/>
      <c r="BE798" s="28"/>
      <c r="BF798" s="28"/>
      <c r="BG798" s="28"/>
      <c r="BH798" s="28"/>
      <c r="BI798" s="28"/>
      <c r="BJ798" s="28"/>
      <c r="BK798" s="28"/>
      <c r="BL798" s="28"/>
      <c r="BM798" s="28"/>
      <c r="BN798" s="28"/>
      <c r="BO798" s="28"/>
    </row>
    <row r="799" ht="25.5" customHeight="1">
      <c r="A799" s="28">
        <v>10425.0</v>
      </c>
      <c r="B799" s="37" t="b">
        <v>1</v>
      </c>
      <c r="C799" s="38" t="s">
        <v>238</v>
      </c>
      <c r="D799" s="38">
        <v>81.0</v>
      </c>
      <c r="E799" s="13" t="b">
        <v>0</v>
      </c>
      <c r="F799" s="13" t="b">
        <v>1</v>
      </c>
      <c r="G799" s="38" t="s">
        <v>224</v>
      </c>
      <c r="H799" s="38"/>
      <c r="I799" s="38" t="s">
        <v>772</v>
      </c>
      <c r="J799" s="38">
        <v>5.0</v>
      </c>
      <c r="K799" s="38"/>
      <c r="L799" s="38"/>
      <c r="M799" s="38" t="s">
        <v>35</v>
      </c>
      <c r="N799" s="38">
        <v>2000.0</v>
      </c>
      <c r="O799" s="38" t="s">
        <v>644</v>
      </c>
      <c r="P799" s="40"/>
      <c r="Q799" s="38" t="s">
        <v>3835</v>
      </c>
      <c r="R799" s="38" t="s">
        <v>3836</v>
      </c>
      <c r="S799" s="61" t="s">
        <v>5310</v>
      </c>
      <c r="T799" s="38" t="s">
        <v>5311</v>
      </c>
      <c r="U799" s="38" t="s">
        <v>1281</v>
      </c>
      <c r="V799" s="55">
        <v>42485.0</v>
      </c>
      <c r="W799" s="38"/>
      <c r="X799" s="49" t="str">
        <f>HYPERLINK("http://www.theguardian.com/global-development-professionals-network/2016/apr/25/12-ways-the-arts-can-encourage-climate-action","http://www.theguardian.com/global-development-professionals-network/2016/apr/25/12-ways-the-arts-can-encourage-climate-action")</f>
        <v>http://www.theguardian.com/global-development-professionals-network/2016/apr/25/12-ways-the-arts-can-encourage-climate-action</v>
      </c>
      <c r="Y799" s="38"/>
      <c r="Z799" s="38"/>
      <c r="AA799" s="38"/>
      <c r="AB799" s="38"/>
      <c r="AC799" s="38"/>
      <c r="AD799" s="38"/>
      <c r="AE799" s="38"/>
      <c r="AF799" s="38"/>
      <c r="AG799" s="28"/>
      <c r="AH799" s="28"/>
      <c r="AI799" s="28"/>
      <c r="AJ799" s="28"/>
      <c r="AK799" s="28"/>
      <c r="AL799" s="28" t="s">
        <v>600</v>
      </c>
      <c r="AM799" s="28"/>
      <c r="AN799" s="28"/>
      <c r="AO799" s="28"/>
      <c r="AP799" s="28"/>
      <c r="AQ799" s="28"/>
      <c r="AR799" s="28"/>
      <c r="AS799" s="28"/>
      <c r="AT799" s="28"/>
      <c r="AU799" s="28"/>
      <c r="AV799" s="28"/>
      <c r="AW799" s="28"/>
      <c r="AX799" s="28"/>
      <c r="AY799" s="28" t="s">
        <v>428</v>
      </c>
      <c r="AZ799" s="28"/>
      <c r="BA799" s="28"/>
      <c r="BB799" s="28"/>
      <c r="BC799" s="28"/>
      <c r="BD799" s="28"/>
      <c r="BE799" s="28"/>
      <c r="BF799" s="28"/>
      <c r="BG799" s="28"/>
      <c r="BH799" s="28"/>
      <c r="BI799" s="28"/>
      <c r="BJ799" s="28"/>
      <c r="BK799" s="28"/>
      <c r="BL799" s="28"/>
      <c r="BM799" s="28"/>
      <c r="BN799" s="28"/>
      <c r="BO799" s="28"/>
    </row>
    <row r="800" ht="25.5" customHeight="1">
      <c r="A800" s="28">
        <v>10258.0</v>
      </c>
      <c r="B800" s="37" t="b">
        <v>1</v>
      </c>
      <c r="C800" s="38" t="s">
        <v>238</v>
      </c>
      <c r="D800" s="38">
        <v>81.0</v>
      </c>
      <c r="E800" s="13" t="b">
        <v>0</v>
      </c>
      <c r="F800" s="13" t="b">
        <v>1</v>
      </c>
      <c r="G800" s="38" t="s">
        <v>224</v>
      </c>
      <c r="H800" s="38"/>
      <c r="I800" s="38" t="s">
        <v>429</v>
      </c>
      <c r="J800" s="38">
        <v>2.0</v>
      </c>
      <c r="K800" s="38"/>
      <c r="L800" s="38"/>
      <c r="M800" s="38" t="s">
        <v>107</v>
      </c>
      <c r="N800" s="38">
        <v>3000.0</v>
      </c>
      <c r="O800" s="38" t="s">
        <v>1223</v>
      </c>
      <c r="P800" s="40"/>
      <c r="Q800" s="38" t="s">
        <v>289</v>
      </c>
      <c r="R800" s="38">
        <v>40.0</v>
      </c>
      <c r="S800" s="38" t="s">
        <v>3827</v>
      </c>
      <c r="T800" s="38" t="s">
        <v>3828</v>
      </c>
      <c r="U800" s="38" t="s">
        <v>1281</v>
      </c>
      <c r="V800" s="55">
        <v>42045.0</v>
      </c>
      <c r="W800" s="38"/>
      <c r="X800" s="49" t="str">
        <f>HYPERLINK("http://www.theguardian.com/sustainable-business/2015/feb/10/openlabel-app-consumer-information-google-facebook","http://www.theguardian.com/sustainable-business/2015/feb/10/openlabel-app-consumer-information-google-facebook")</f>
        <v>http://www.theguardian.com/sustainable-business/2015/feb/10/openlabel-app-consumer-information-google-facebook</v>
      </c>
      <c r="Y800" s="38"/>
      <c r="Z800" s="38"/>
      <c r="AA800" s="38"/>
      <c r="AB800" s="38"/>
      <c r="AC800" s="38"/>
      <c r="AD800" s="38"/>
      <c r="AE800" s="38"/>
      <c r="AF800" s="38"/>
      <c r="AG800" s="28"/>
      <c r="AH800" s="28" t="s">
        <v>462</v>
      </c>
      <c r="AI800" s="28" t="s">
        <v>462</v>
      </c>
      <c r="AJ800" s="28"/>
      <c r="AK800" s="28"/>
      <c r="AL800" s="28" t="s">
        <v>769</v>
      </c>
      <c r="AM800" s="28" t="s">
        <v>3829</v>
      </c>
      <c r="AN800" s="54">
        <v>42206.0</v>
      </c>
      <c r="AO800" s="54"/>
      <c r="AP800" s="28"/>
      <c r="AQ800" s="28"/>
      <c r="AR800" s="28"/>
      <c r="AS800" s="54"/>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row>
    <row r="801" ht="25.5" customHeight="1">
      <c r="A801" s="28">
        <v>10274.0</v>
      </c>
      <c r="B801" s="37" t="b">
        <v>1</v>
      </c>
      <c r="C801" s="38" t="s">
        <v>238</v>
      </c>
      <c r="D801" s="38">
        <v>81.0</v>
      </c>
      <c r="E801" s="13" t="b">
        <v>0</v>
      </c>
      <c r="F801" s="13" t="b">
        <v>1</v>
      </c>
      <c r="G801" s="38" t="s">
        <v>224</v>
      </c>
      <c r="H801" s="38"/>
      <c r="I801" s="38" t="s">
        <v>2664</v>
      </c>
      <c r="J801" s="38" t="s">
        <v>2666</v>
      </c>
      <c r="K801" s="38"/>
      <c r="L801" s="38"/>
      <c r="M801" s="38" t="s">
        <v>107</v>
      </c>
      <c r="N801" s="38">
        <v>3000.0</v>
      </c>
      <c r="O801" s="38" t="s">
        <v>470</v>
      </c>
      <c r="P801" s="40"/>
      <c r="Q801" s="38" t="s">
        <v>111</v>
      </c>
      <c r="R801" s="38">
        <v>41.0</v>
      </c>
      <c r="S801" s="38" t="s">
        <v>3978</v>
      </c>
      <c r="T801" s="38" t="s">
        <v>3980</v>
      </c>
      <c r="U801" s="38" t="s">
        <v>1281</v>
      </c>
      <c r="V801" s="55">
        <v>40935.0</v>
      </c>
      <c r="W801" s="38" t="s">
        <v>3983</v>
      </c>
      <c r="X801" s="49" t="str">
        <f>HYPERLINK("http://www.theguardian.com/sustainable-business/behaviour-change-energy-consumption?newsfeed=true","http://www.theguardian.com/sustainable-business/behaviour-change-energy-consumption?newsfeed=true")</f>
        <v>http://www.theguardian.com/sustainable-business/behaviour-change-energy-consumption?newsfeed=true</v>
      </c>
      <c r="Y801" s="38"/>
      <c r="Z801" s="38"/>
      <c r="AA801" s="38"/>
      <c r="AB801" s="38"/>
      <c r="AC801" s="38"/>
      <c r="AD801" s="38"/>
      <c r="AE801" s="38"/>
      <c r="AF801" s="38"/>
      <c r="AG801" s="28" t="s">
        <v>3985</v>
      </c>
      <c r="AH801" s="28" t="s">
        <v>3987</v>
      </c>
      <c r="AI801" s="28" t="s">
        <v>3991</v>
      </c>
      <c r="AJ801" s="28"/>
      <c r="AK801" s="28"/>
      <c r="AL801" s="28" t="s">
        <v>769</v>
      </c>
      <c r="AM801" s="54" t="s">
        <v>3994</v>
      </c>
      <c r="AN801" s="54">
        <v>42423.0</v>
      </c>
      <c r="AO801" s="54"/>
      <c r="AP801" s="54">
        <v>42607.0</v>
      </c>
      <c r="AQ801" s="28"/>
      <c r="AR801" s="28"/>
      <c r="AS801" s="28"/>
      <c r="AT801" s="28"/>
      <c r="AU801" s="28"/>
      <c r="AV801" s="28"/>
      <c r="AW801" s="28"/>
      <c r="AX801" s="28"/>
      <c r="AY801" s="28"/>
      <c r="AZ801" s="28" t="s">
        <v>3996</v>
      </c>
      <c r="BA801" s="28"/>
      <c r="BB801" s="28"/>
      <c r="BC801" s="28"/>
      <c r="BD801" s="28"/>
      <c r="BE801" s="28"/>
      <c r="BF801" s="28"/>
      <c r="BG801" s="28"/>
      <c r="BH801" s="28"/>
      <c r="BI801" s="28"/>
      <c r="BJ801" s="28"/>
      <c r="BK801" s="28"/>
      <c r="BL801" s="28"/>
      <c r="BM801" s="28"/>
      <c r="BN801" s="28"/>
      <c r="BO801" s="28"/>
    </row>
    <row r="802" ht="25.5" customHeight="1">
      <c r="A802" s="28">
        <v>10277.0</v>
      </c>
      <c r="B802" s="37" t="b">
        <v>1</v>
      </c>
      <c r="C802" s="38" t="s">
        <v>238</v>
      </c>
      <c r="D802" s="38">
        <v>81.0</v>
      </c>
      <c r="E802" s="13" t="b">
        <v>0</v>
      </c>
      <c r="F802" s="13" t="b">
        <v>1</v>
      </c>
      <c r="G802" s="38" t="s">
        <v>224</v>
      </c>
      <c r="H802" s="38"/>
      <c r="I802" s="38" t="s">
        <v>4014</v>
      </c>
      <c r="J802" s="38" t="s">
        <v>4015</v>
      </c>
      <c r="K802" s="38"/>
      <c r="L802" s="38"/>
      <c r="M802" s="38" t="s">
        <v>107</v>
      </c>
      <c r="N802" s="38">
        <v>3000.0</v>
      </c>
      <c r="O802" s="38" t="s">
        <v>470</v>
      </c>
      <c r="P802" s="40"/>
      <c r="Q802" s="38" t="s">
        <v>111</v>
      </c>
      <c r="R802" s="38">
        <v>41.0</v>
      </c>
      <c r="S802" s="38" t="s">
        <v>4028</v>
      </c>
      <c r="T802" s="38" t="s">
        <v>4029</v>
      </c>
      <c r="U802" s="38" t="s">
        <v>1281</v>
      </c>
      <c r="V802" s="55">
        <v>41921.0</v>
      </c>
      <c r="W802" s="38"/>
      <c r="X802" s="49" t="str">
        <f>HYPERLINK("http://www.theguardian.com/sustainable-business/behavioural-insights/2014/oct/09/eco-laundry-sustainable-washing-machines","http://www.theguardian.com/sustainable-business/behavioural-insights/2014/oct/09/eco-laundry-sustainable-washing-machines")</f>
        <v>http://www.theguardian.com/sustainable-business/behavioural-insights/2014/oct/09/eco-laundry-sustainable-washing-machines</v>
      </c>
      <c r="Y802" s="38"/>
      <c r="Z802" s="38"/>
      <c r="AA802" s="38"/>
      <c r="AB802" s="38"/>
      <c r="AC802" s="38"/>
      <c r="AD802" s="38"/>
      <c r="AE802" s="38"/>
      <c r="AF802" s="38"/>
      <c r="AG802" s="28"/>
      <c r="AH802" s="28" t="s">
        <v>462</v>
      </c>
      <c r="AI802" s="28" t="s">
        <v>462</v>
      </c>
      <c r="AJ802" s="28"/>
      <c r="AK802" s="28" t="s">
        <v>676</v>
      </c>
      <c r="AL802" s="28" t="s">
        <v>600</v>
      </c>
      <c r="AM802" s="28"/>
      <c r="AN802" s="54"/>
      <c r="AO802" s="54"/>
      <c r="AP802" s="28"/>
      <c r="AQ802" s="28"/>
      <c r="AR802" s="28"/>
      <c r="AS802" s="54"/>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row>
    <row r="803" ht="25.5" customHeight="1">
      <c r="A803" s="28">
        <v>10443.0</v>
      </c>
      <c r="B803" s="37" t="b">
        <v>1</v>
      </c>
      <c r="C803" s="38" t="s">
        <v>238</v>
      </c>
      <c r="D803" s="38">
        <v>81.0</v>
      </c>
      <c r="E803" s="13" t="b">
        <v>0</v>
      </c>
      <c r="F803" s="13" t="b">
        <v>1</v>
      </c>
      <c r="G803" s="38" t="s">
        <v>224</v>
      </c>
      <c r="H803" s="38"/>
      <c r="I803" s="38" t="s">
        <v>772</v>
      </c>
      <c r="J803" s="38">
        <v>5.0</v>
      </c>
      <c r="K803" s="38"/>
      <c r="L803" s="38"/>
      <c r="M803" s="38" t="s">
        <v>7067</v>
      </c>
      <c r="N803" s="38" t="s">
        <v>5434</v>
      </c>
      <c r="O803" s="38" t="s">
        <v>5433</v>
      </c>
      <c r="P803" s="40"/>
      <c r="Q803" s="38" t="s">
        <v>5438</v>
      </c>
      <c r="R803" s="38" t="s">
        <v>1840</v>
      </c>
      <c r="S803" s="38" t="s">
        <v>5440</v>
      </c>
      <c r="T803" s="38" t="s">
        <v>215</v>
      </c>
      <c r="U803" s="38" t="s">
        <v>1281</v>
      </c>
      <c r="V803" s="55">
        <v>42095.0</v>
      </c>
      <c r="W803" s="38" t="s">
        <v>5441</v>
      </c>
      <c r="X803" s="49" t="str">
        <f>HYPERLINK("http://www.theguardian.com/global-development-professionals-network/gallery/2015/apr/01/over-population-over-consumption-in-pictures","http://www.theguardian.com/global-development-professionals-network/gallery/2015/apr/01/over-population-over-consumption-in-pictures")</f>
        <v>http://www.theguardian.com/global-development-professionals-network/gallery/2015/apr/01/over-population-over-consumption-in-pictures</v>
      </c>
      <c r="Y803" s="38"/>
      <c r="Z803" s="38"/>
      <c r="AA803" s="38"/>
      <c r="AB803" s="38"/>
      <c r="AC803" s="38"/>
      <c r="AD803" s="38"/>
      <c r="AE803" s="38"/>
      <c r="AF803" s="38"/>
      <c r="AG803" s="28" t="s">
        <v>5442</v>
      </c>
      <c r="AH803" s="28" t="s">
        <v>462</v>
      </c>
      <c r="AI803" s="28" t="s">
        <v>462</v>
      </c>
      <c r="AJ803" s="28"/>
      <c r="AK803" s="28" t="s">
        <v>676</v>
      </c>
      <c r="AL803" s="28" t="s">
        <v>769</v>
      </c>
      <c r="AM803" s="28" t="s">
        <v>5443</v>
      </c>
      <c r="AN803" s="54">
        <v>42171.0</v>
      </c>
      <c r="AO803" s="54"/>
      <c r="AP803" s="54">
        <v>42163.0</v>
      </c>
      <c r="AQ803" s="28" t="s">
        <v>769</v>
      </c>
      <c r="AR803" s="28"/>
      <c r="AS803" s="54">
        <v>42180.0</v>
      </c>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row>
    <row r="804" ht="25.5" customHeight="1">
      <c r="A804" s="28">
        <v>10383.0</v>
      </c>
      <c r="B804" s="37" t="b">
        <v>1</v>
      </c>
      <c r="C804" s="38" t="s">
        <v>238</v>
      </c>
      <c r="D804" s="38">
        <v>81.0</v>
      </c>
      <c r="E804" s="13" t="b">
        <v>0</v>
      </c>
      <c r="F804" s="13" t="b">
        <v>1</v>
      </c>
      <c r="G804" s="38" t="s">
        <v>224</v>
      </c>
      <c r="H804" s="38"/>
      <c r="I804" s="38" t="s">
        <v>68</v>
      </c>
      <c r="J804" s="38">
        <v>7.0</v>
      </c>
      <c r="K804" s="38"/>
      <c r="L804" s="38"/>
      <c r="M804" s="38" t="s">
        <v>7068</v>
      </c>
      <c r="N804" s="38" t="s">
        <v>4695</v>
      </c>
      <c r="O804" s="38" t="s">
        <v>4947</v>
      </c>
      <c r="P804" s="40"/>
      <c r="Q804" s="38" t="s">
        <v>324</v>
      </c>
      <c r="R804" s="38" t="s">
        <v>325</v>
      </c>
      <c r="S804" s="38" t="s">
        <v>4948</v>
      </c>
      <c r="T804" s="38" t="s">
        <v>1286</v>
      </c>
      <c r="U804" s="38" t="s">
        <v>1281</v>
      </c>
      <c r="V804" s="55">
        <v>40893.0</v>
      </c>
      <c r="W804" s="38" t="s">
        <v>4949</v>
      </c>
      <c r="X804" s="49" t="str">
        <f>HYPERLINK("http://www.theguardian.com/sustainable-business/social-norm-behaviour-change","http://www.theguardian.com/sustainable-business/social-norm-behaviour-change")</f>
        <v>http://www.theguardian.com/sustainable-business/social-norm-behaviour-change</v>
      </c>
      <c r="Y804" s="38"/>
      <c r="Z804" s="38"/>
      <c r="AA804" s="38"/>
      <c r="AB804" s="38"/>
      <c r="AC804" s="38"/>
      <c r="AD804" s="38"/>
      <c r="AE804" s="38"/>
      <c r="AF804" s="38"/>
      <c r="AG804" s="28"/>
      <c r="AH804" s="28" t="s">
        <v>462</v>
      </c>
      <c r="AI804" s="28" t="s">
        <v>462</v>
      </c>
      <c r="AJ804" s="28"/>
      <c r="AK804" s="28"/>
      <c r="AL804" s="28" t="s">
        <v>600</v>
      </c>
      <c r="AM804" s="28"/>
      <c r="AN804" s="28"/>
      <c r="AO804" s="28"/>
      <c r="AP804" s="28"/>
      <c r="AQ804" s="28" t="s">
        <v>2619</v>
      </c>
      <c r="AR804" s="28"/>
      <c r="AS804" s="28"/>
      <c r="AT804" s="28"/>
      <c r="AU804" s="28"/>
      <c r="AV804" s="28"/>
      <c r="AW804" s="28"/>
      <c r="AX804" s="28"/>
      <c r="AY804" s="28"/>
      <c r="AZ804" s="28" t="s">
        <v>731</v>
      </c>
      <c r="BA804" s="28"/>
      <c r="BB804" s="28"/>
      <c r="BC804" s="28"/>
      <c r="BD804" s="28"/>
      <c r="BE804" s="28"/>
      <c r="BF804" s="28"/>
      <c r="BG804" s="28"/>
      <c r="BH804" s="28"/>
      <c r="BI804" s="28"/>
      <c r="BJ804" s="28"/>
      <c r="BK804" s="28"/>
      <c r="BL804" s="28"/>
      <c r="BM804" s="28"/>
      <c r="BN804" s="28"/>
      <c r="BO804" s="28"/>
    </row>
    <row r="805" ht="25.5" customHeight="1">
      <c r="A805" s="28">
        <v>10238.0</v>
      </c>
      <c r="B805" s="37" t="b">
        <v>1</v>
      </c>
      <c r="C805" s="38" t="s">
        <v>238</v>
      </c>
      <c r="D805" s="38">
        <v>81.0</v>
      </c>
      <c r="E805" s="13" t="b">
        <v>0</v>
      </c>
      <c r="F805" s="13" t="b">
        <v>1</v>
      </c>
      <c r="G805" s="38" t="s">
        <v>224</v>
      </c>
      <c r="H805" s="38"/>
      <c r="I805" s="38" t="s">
        <v>429</v>
      </c>
      <c r="J805" s="38">
        <v>2.0</v>
      </c>
      <c r="K805" s="38"/>
      <c r="L805" s="38"/>
      <c r="M805" s="38" t="s">
        <v>239</v>
      </c>
      <c r="N805" s="38">
        <v>4000.0</v>
      </c>
      <c r="O805" s="38" t="s">
        <v>623</v>
      </c>
      <c r="P805" s="40"/>
      <c r="Q805" s="38" t="s">
        <v>324</v>
      </c>
      <c r="R805" s="38" t="s">
        <v>325</v>
      </c>
      <c r="S805" s="38" t="s">
        <v>3699</v>
      </c>
      <c r="T805" s="38" t="s">
        <v>3700</v>
      </c>
      <c r="U805" s="38" t="s">
        <v>1281</v>
      </c>
      <c r="V805" s="55">
        <v>41527.0</v>
      </c>
      <c r="W805" s="38" t="s">
        <v>1806</v>
      </c>
      <c r="X805" s="49" t="str">
        <f>HYPERLINK("http://www.theguardian.com/sustainable-business/power-behavioural-design-beyond-nudging","http://www.theguardian.com/sustainable-business/power-behavioural-design-beyond-nudging")</f>
        <v>http://www.theguardian.com/sustainable-business/power-behavioural-design-beyond-nudging</v>
      </c>
      <c r="Y805" s="38"/>
      <c r="Z805" s="38"/>
      <c r="AA805" s="38"/>
      <c r="AB805" s="38"/>
      <c r="AC805" s="38"/>
      <c r="AD805" s="38"/>
      <c r="AE805" s="38"/>
      <c r="AF805" s="38"/>
      <c r="AG805" s="28"/>
      <c r="AH805" s="28" t="s">
        <v>462</v>
      </c>
      <c r="AI805" s="28" t="s">
        <v>462</v>
      </c>
      <c r="AJ805" s="28"/>
      <c r="AK805" s="28"/>
      <c r="AL805" s="28" t="s">
        <v>769</v>
      </c>
      <c r="AM805" s="28" t="s">
        <v>3704</v>
      </c>
      <c r="AN805" s="54">
        <v>42166.0</v>
      </c>
      <c r="AO805" s="54"/>
      <c r="AP805" s="54">
        <v>42541.0</v>
      </c>
      <c r="AQ805" s="28" t="s">
        <v>769</v>
      </c>
      <c r="AR805" s="28"/>
      <c r="AS805" s="54">
        <v>42172.0</v>
      </c>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row>
    <row r="806" ht="25.5" customHeight="1">
      <c r="A806" s="28">
        <v>10250.0</v>
      </c>
      <c r="B806" s="37" t="b">
        <v>1</v>
      </c>
      <c r="C806" s="38" t="s">
        <v>238</v>
      </c>
      <c r="D806" s="38">
        <v>81.0</v>
      </c>
      <c r="E806" s="13" t="b">
        <v>0</v>
      </c>
      <c r="F806" s="13" t="b">
        <v>1</v>
      </c>
      <c r="G806" s="38" t="s">
        <v>224</v>
      </c>
      <c r="H806" s="38"/>
      <c r="I806" s="38" t="s">
        <v>429</v>
      </c>
      <c r="J806" s="38">
        <v>2.0</v>
      </c>
      <c r="K806" s="38"/>
      <c r="L806" s="38"/>
      <c r="M806" s="38" t="s">
        <v>388</v>
      </c>
      <c r="N806" s="38">
        <v>14000.0</v>
      </c>
      <c r="O806" s="38" t="s">
        <v>224</v>
      </c>
      <c r="P806" s="40"/>
      <c r="Q806" s="38" t="s">
        <v>289</v>
      </c>
      <c r="R806" s="38">
        <v>40.0</v>
      </c>
      <c r="S806" s="38" t="s">
        <v>3773</v>
      </c>
      <c r="T806" s="38" t="s">
        <v>3774</v>
      </c>
      <c r="U806" s="38" t="s">
        <v>1281</v>
      </c>
      <c r="V806" s="55">
        <v>42087.0</v>
      </c>
      <c r="W806" s="38" t="s">
        <v>3775</v>
      </c>
      <c r="X806" s="49" t="str">
        <f>HYPERLINK("http://www.theguardian.com/commentisfree/oliver-burkeman-column/2015/mar/24/never-having-a-choice-always-having-to-choose","http://www.theguardian.com/commentisfree/oliver-burkeman-column/2015/mar/24/never-having-a-choice-always-having-to-choose")</f>
        <v>http://www.theguardian.com/commentisfree/oliver-burkeman-column/2015/mar/24/never-having-a-choice-always-having-to-choose</v>
      </c>
      <c r="Y806" s="38"/>
      <c r="Z806" s="38"/>
      <c r="AA806" s="38"/>
      <c r="AB806" s="38"/>
      <c r="AC806" s="38"/>
      <c r="AD806" s="38"/>
      <c r="AE806" s="38"/>
      <c r="AF806" s="38"/>
      <c r="AG806" s="28"/>
      <c r="AH806" s="28" t="s">
        <v>462</v>
      </c>
      <c r="AI806" s="28" t="s">
        <v>462</v>
      </c>
      <c r="AJ806" s="28"/>
      <c r="AK806" s="28"/>
      <c r="AL806" s="28" t="s">
        <v>769</v>
      </c>
      <c r="AM806" s="28" t="s">
        <v>3776</v>
      </c>
      <c r="AN806" s="54">
        <v>42087.0</v>
      </c>
      <c r="AO806" s="54"/>
      <c r="AP806" s="28"/>
      <c r="AQ806" s="28" t="s">
        <v>769</v>
      </c>
      <c r="AR806" s="28"/>
      <c r="AS806" s="54">
        <v>42121.0</v>
      </c>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row>
    <row r="807" ht="25.5" customHeight="1">
      <c r="A807" s="28">
        <v>10276.0</v>
      </c>
      <c r="B807" s="37" t="b">
        <v>1</v>
      </c>
      <c r="C807" s="38" t="s">
        <v>238</v>
      </c>
      <c r="D807" s="38">
        <v>81.0</v>
      </c>
      <c r="E807" s="13" t="b">
        <v>0</v>
      </c>
      <c r="F807" s="13" t="b">
        <v>1</v>
      </c>
      <c r="G807" s="38" t="s">
        <v>224</v>
      </c>
      <c r="H807" s="38"/>
      <c r="I807" s="38" t="s">
        <v>4014</v>
      </c>
      <c r="J807" s="38" t="s">
        <v>4015</v>
      </c>
      <c r="K807" s="38"/>
      <c r="L807" s="38"/>
      <c r="M807" s="38" t="s">
        <v>388</v>
      </c>
      <c r="N807" s="38">
        <v>14000.0</v>
      </c>
      <c r="O807" s="38" t="s">
        <v>224</v>
      </c>
      <c r="P807" s="40"/>
      <c r="Q807" s="38" t="s">
        <v>111</v>
      </c>
      <c r="R807" s="38">
        <v>41.0</v>
      </c>
      <c r="S807" s="38" t="s">
        <v>4016</v>
      </c>
      <c r="T807" s="38" t="s">
        <v>4017</v>
      </c>
      <c r="U807" s="38" t="s">
        <v>1281</v>
      </c>
      <c r="V807" s="55">
        <v>41915.0</v>
      </c>
      <c r="W807" s="38" t="s">
        <v>4018</v>
      </c>
      <c r="X807" s="49" t="str">
        <f>HYPERLINK("http://www.theguardian.com/sustainable-business/2014/oct/03/real-time-advertising-persuade-people-recycle","http://www.theguardian.com/sustainable-business/2014/oct/03/real-time-advertising-persuade-people-recycle")</f>
        <v>http://www.theguardian.com/sustainable-business/2014/oct/03/real-time-advertising-persuade-people-recycle</v>
      </c>
      <c r="Y807" s="38"/>
      <c r="Z807" s="38"/>
      <c r="AA807" s="38"/>
      <c r="AB807" s="38"/>
      <c r="AC807" s="38"/>
      <c r="AD807" s="38"/>
      <c r="AE807" s="38"/>
      <c r="AF807" s="38"/>
      <c r="AG807" s="28"/>
      <c r="AH807" s="28" t="s">
        <v>462</v>
      </c>
      <c r="AI807" s="28" t="s">
        <v>462</v>
      </c>
      <c r="AJ807" s="28"/>
      <c r="AK807" s="28" t="s">
        <v>676</v>
      </c>
      <c r="AL807" s="28" t="s">
        <v>600</v>
      </c>
      <c r="AM807" s="28"/>
      <c r="AN807" s="54"/>
      <c r="AO807" s="54"/>
      <c r="AP807" s="28"/>
      <c r="AQ807" s="28" t="s">
        <v>769</v>
      </c>
      <c r="AR807" s="28"/>
      <c r="AS807" s="54">
        <v>42103.0</v>
      </c>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row>
    <row r="808" ht="25.5" customHeight="1">
      <c r="A808" s="28">
        <v>10242.0</v>
      </c>
      <c r="B808" s="37" t="b">
        <v>1</v>
      </c>
      <c r="C808" s="38" t="s">
        <v>238</v>
      </c>
      <c r="D808" s="38">
        <v>81.0</v>
      </c>
      <c r="E808" s="13" t="b">
        <v>0</v>
      </c>
      <c r="F808" s="13" t="b">
        <v>1</v>
      </c>
      <c r="G808" s="38" t="s">
        <v>224</v>
      </c>
      <c r="H808" s="38"/>
      <c r="I808" s="38" t="s">
        <v>429</v>
      </c>
      <c r="J808" s="38">
        <v>2.0</v>
      </c>
      <c r="K808" s="38"/>
      <c r="L808" s="38"/>
      <c r="M808" s="38" t="s">
        <v>411</v>
      </c>
      <c r="N808" s="38">
        <v>21000.0</v>
      </c>
      <c r="O808" s="38" t="s">
        <v>1203</v>
      </c>
      <c r="P808" s="40"/>
      <c r="Q808" s="38" t="s">
        <v>111</v>
      </c>
      <c r="R808" s="38">
        <v>41.0</v>
      </c>
      <c r="S808" s="38" t="s">
        <v>3720</v>
      </c>
      <c r="T808" s="38" t="s">
        <v>3721</v>
      </c>
      <c r="U808" s="38" t="s">
        <v>1281</v>
      </c>
      <c r="V808" s="55">
        <v>41884.0</v>
      </c>
      <c r="W808" s="38" t="s">
        <v>1806</v>
      </c>
      <c r="X808" s="49" t="str">
        <f>HYPERLINK("http://www.theguardian.com/sustainable-business/behavioural-insights/2014/sep/02/recycling-home-break-down-barriers","http://www.theguardian.com/sustainable-business/behavioural-insights/2014/sep/02/recycling-home-break-down-barriers")</f>
        <v>http://www.theguardian.com/sustainable-business/behavioural-insights/2014/sep/02/recycling-home-break-down-barriers</v>
      </c>
      <c r="Y808" s="38"/>
      <c r="Z808" s="38"/>
      <c r="AA808" s="38"/>
      <c r="AB808" s="38"/>
      <c r="AC808" s="38"/>
      <c r="AD808" s="38"/>
      <c r="AE808" s="38"/>
      <c r="AF808" s="38"/>
      <c r="AG808" s="28"/>
      <c r="AH808" s="28" t="s">
        <v>428</v>
      </c>
      <c r="AI808" s="28" t="s">
        <v>462</v>
      </c>
      <c r="AJ808" s="28"/>
      <c r="AK808" s="28" t="s">
        <v>1099</v>
      </c>
      <c r="AL808" s="28" t="s">
        <v>769</v>
      </c>
      <c r="AM808" s="28" t="s">
        <v>3722</v>
      </c>
      <c r="AN808" s="54">
        <v>42096.0</v>
      </c>
      <c r="AO808" s="54"/>
      <c r="AP808" s="103" t="str">
        <f>HYPERLINK("http://bit.ly/1a8uqdd","5/31/2016")</f>
        <v>5/31/2016</v>
      </c>
      <c r="AQ808" s="28" t="s">
        <v>926</v>
      </c>
      <c r="AR808" s="28"/>
      <c r="AS808" s="54">
        <v>42093.0</v>
      </c>
      <c r="AT808" s="28"/>
      <c r="AU808" s="28"/>
      <c r="AV808" s="28"/>
      <c r="AW808" s="28"/>
      <c r="AX808" s="28"/>
      <c r="AY808" s="28" t="s">
        <v>428</v>
      </c>
      <c r="AZ808" s="28"/>
      <c r="BA808" s="28"/>
      <c r="BB808" s="28"/>
      <c r="BC808" s="28"/>
      <c r="BD808" s="28"/>
      <c r="BE808" s="28"/>
      <c r="BF808" s="28"/>
      <c r="BG808" s="28"/>
      <c r="BH808" s="28"/>
      <c r="BI808" s="28"/>
      <c r="BJ808" s="28"/>
      <c r="BK808" s="28"/>
      <c r="BL808" s="28"/>
      <c r="BM808" s="28"/>
      <c r="BN808" s="28"/>
      <c r="BO808" s="28"/>
    </row>
    <row r="809" ht="25.5" customHeight="1">
      <c r="A809" s="28">
        <v>10316.0</v>
      </c>
      <c r="B809" s="37" t="b">
        <v>1</v>
      </c>
      <c r="C809" s="38" t="s">
        <v>238</v>
      </c>
      <c r="D809" s="38">
        <v>81.0</v>
      </c>
      <c r="E809" s="13" t="b">
        <v>0</v>
      </c>
      <c r="F809" s="13" t="b">
        <v>1</v>
      </c>
      <c r="G809" s="38" t="s">
        <v>224</v>
      </c>
      <c r="H809" s="38"/>
      <c r="I809" s="38" t="s">
        <v>928</v>
      </c>
      <c r="J809" s="38" t="s">
        <v>929</v>
      </c>
      <c r="K809" s="38"/>
      <c r="L809" s="38"/>
      <c r="M809" s="38" t="s">
        <v>35</v>
      </c>
      <c r="N809" s="38">
        <v>2000.0</v>
      </c>
      <c r="O809" s="38" t="s">
        <v>644</v>
      </c>
      <c r="P809" s="40"/>
      <c r="Q809" s="38" t="s">
        <v>289</v>
      </c>
      <c r="R809" s="38">
        <v>40.0</v>
      </c>
      <c r="S809" s="61" t="s">
        <v>4350</v>
      </c>
      <c r="T809" s="38" t="s">
        <v>1286</v>
      </c>
      <c r="U809" s="38" t="s">
        <v>2732</v>
      </c>
      <c r="V809" s="55">
        <v>42160.0</v>
      </c>
      <c r="W809" s="38" t="s">
        <v>4351</v>
      </c>
      <c r="X809" s="49" t="str">
        <f>HYPERLINK("http://www.theguardian.com/sustainable-business/2015/jun/05/mad-max-angry-birds-climate-change-message?","http://www.theguardian.com/sustainable-business/2015/jun/05/mad-max-angry-birds-climate-change-message?")</f>
        <v>http://www.theguardian.com/sustainable-business/2015/jun/05/mad-max-angry-birds-climate-change-message?</v>
      </c>
      <c r="Y809" s="38"/>
      <c r="Z809" s="38"/>
      <c r="AA809" s="38"/>
      <c r="AB809" s="38"/>
      <c r="AC809" s="38"/>
      <c r="AD809" s="38"/>
      <c r="AE809" s="38"/>
      <c r="AF809" s="38"/>
      <c r="AG809" s="28"/>
      <c r="AH809" s="28"/>
      <c r="AI809" s="28"/>
      <c r="AJ809" s="28"/>
      <c r="AK809" s="28"/>
      <c r="AL809" s="28" t="s">
        <v>769</v>
      </c>
      <c r="AM809" s="28" t="s">
        <v>4354</v>
      </c>
      <c r="AN809" s="54">
        <v>42642.0</v>
      </c>
      <c r="AO809" s="54"/>
      <c r="AP809" s="28"/>
      <c r="AQ809" s="28"/>
      <c r="AR809" s="28"/>
      <c r="AS809" s="28"/>
      <c r="AT809" s="28"/>
      <c r="AU809" s="28"/>
      <c r="AV809" s="28"/>
      <c r="AW809" s="28"/>
      <c r="AX809" s="28"/>
      <c r="AY809" s="28" t="s">
        <v>428</v>
      </c>
      <c r="AZ809" s="28" t="s">
        <v>1680</v>
      </c>
      <c r="BA809" s="28"/>
      <c r="BB809" s="28"/>
      <c r="BC809" s="28"/>
      <c r="BD809" s="28"/>
      <c r="BE809" s="28"/>
      <c r="BF809" s="28"/>
      <c r="BG809" s="28"/>
      <c r="BH809" s="28"/>
      <c r="BI809" s="28"/>
      <c r="BJ809" s="28"/>
      <c r="BK809" s="28"/>
      <c r="BL809" s="28"/>
      <c r="BM809" s="28"/>
      <c r="BN809" s="28"/>
      <c r="BO809" s="28"/>
    </row>
    <row r="810" ht="25.5" customHeight="1">
      <c r="A810" s="28">
        <v>10446.0</v>
      </c>
      <c r="B810" s="37" t="b">
        <v>1</v>
      </c>
      <c r="C810" s="38" t="s">
        <v>238</v>
      </c>
      <c r="D810" s="38">
        <v>81.0</v>
      </c>
      <c r="E810" s="13" t="b">
        <v>0</v>
      </c>
      <c r="F810" s="13" t="b">
        <v>1</v>
      </c>
      <c r="G810" s="38" t="s">
        <v>224</v>
      </c>
      <c r="H810" s="38"/>
      <c r="I810" s="38" t="s">
        <v>772</v>
      </c>
      <c r="J810" s="38">
        <v>5.0</v>
      </c>
      <c r="K810" s="38"/>
      <c r="L810" s="38"/>
      <c r="M810" s="38" t="s">
        <v>359</v>
      </c>
      <c r="N810" s="38">
        <v>10000.0</v>
      </c>
      <c r="O810" s="38" t="s">
        <v>5459</v>
      </c>
      <c r="P810" s="40"/>
      <c r="Q810" s="38" t="s">
        <v>272</v>
      </c>
      <c r="R810" s="38">
        <v>42.0</v>
      </c>
      <c r="S810" s="38" t="s">
        <v>5460</v>
      </c>
      <c r="T810" s="38" t="s">
        <v>5462</v>
      </c>
      <c r="U810" s="38" t="s">
        <v>5464</v>
      </c>
      <c r="V810" s="55">
        <v>41987.0</v>
      </c>
      <c r="W810" s="38" t="s">
        <v>5466</v>
      </c>
      <c r="X810" s="49" t="str">
        <f>HYPERLINK("http://www.thehindu.com/news/national/world-bank-report-stresses-behavioural-aspects/article6691378.ece","http://www.thehindu.com/news/national/world-bank-report-stresses-behavioural-aspects/article6691378.ece")</f>
        <v>http://www.thehindu.com/news/national/world-bank-report-stresses-behavioural-aspects/article6691378.ece</v>
      </c>
      <c r="Y810" s="38"/>
      <c r="Z810" s="38"/>
      <c r="AA810" s="38"/>
      <c r="AB810" s="38"/>
      <c r="AC810" s="38"/>
      <c r="AD810" s="38"/>
      <c r="AE810" s="38"/>
      <c r="AF810" s="38"/>
      <c r="AG810" s="28"/>
      <c r="AH810" s="28" t="s">
        <v>462</v>
      </c>
      <c r="AI810" s="28" t="s">
        <v>462</v>
      </c>
      <c r="AJ810" s="28"/>
      <c r="AK810" s="28" t="s">
        <v>676</v>
      </c>
      <c r="AL810" s="28" t="s">
        <v>677</v>
      </c>
      <c r="AM810" s="28"/>
      <c r="AN810" s="54"/>
      <c r="AO810" s="54"/>
      <c r="AP810" s="28"/>
      <c r="AQ810" s="28"/>
      <c r="AR810" s="28"/>
      <c r="AS810" s="54"/>
      <c r="AT810" s="28"/>
      <c r="AU810" s="54"/>
      <c r="AV810" s="28"/>
      <c r="AW810" s="28"/>
      <c r="AX810" s="28"/>
      <c r="AY810" s="28"/>
      <c r="AZ810" s="28"/>
      <c r="BA810" s="28" t="s">
        <v>5467</v>
      </c>
      <c r="BB810" s="28"/>
      <c r="BC810" s="28"/>
      <c r="BD810" s="28"/>
      <c r="BE810" s="28"/>
      <c r="BF810" s="28"/>
      <c r="BG810" s="28"/>
      <c r="BH810" s="28"/>
      <c r="BI810" s="28"/>
      <c r="BJ810" s="28"/>
      <c r="BK810" s="28"/>
      <c r="BL810" s="28"/>
      <c r="BM810" s="28"/>
      <c r="BN810" s="28"/>
      <c r="BO810" s="28"/>
    </row>
    <row r="811" ht="25.5" customHeight="1">
      <c r="A811" s="28">
        <v>10042.0</v>
      </c>
      <c r="B811" s="37" t="b">
        <v>1</v>
      </c>
      <c r="C811" s="38" t="s">
        <v>238</v>
      </c>
      <c r="D811" s="38">
        <v>81.0</v>
      </c>
      <c r="E811" s="13" t="b">
        <v>1</v>
      </c>
      <c r="F811" s="13" t="b">
        <v>0</v>
      </c>
      <c r="G811" s="38" t="s">
        <v>4086</v>
      </c>
      <c r="H811" s="38">
        <v>65.0</v>
      </c>
      <c r="I811" s="38" t="s">
        <v>224</v>
      </c>
      <c r="J811" s="38"/>
      <c r="K811" s="38" t="s">
        <v>224</v>
      </c>
      <c r="L811" s="38"/>
      <c r="M811" s="38" t="s">
        <v>2546</v>
      </c>
      <c r="N811" s="38">
        <v>13000.0</v>
      </c>
      <c r="O811" s="38" t="s">
        <v>1338</v>
      </c>
      <c r="P811" s="40"/>
      <c r="Q811" s="38" t="s">
        <v>289</v>
      </c>
      <c r="R811" s="38">
        <v>40.0</v>
      </c>
      <c r="S811" s="38" t="s">
        <v>1752</v>
      </c>
      <c r="T811" s="38" t="s">
        <v>1753</v>
      </c>
      <c r="U811" s="38" t="s">
        <v>1754</v>
      </c>
      <c r="V811" s="55">
        <v>41473.0</v>
      </c>
      <c r="W811" s="38" t="s">
        <v>1742</v>
      </c>
      <c r="X811" s="49" t="str">
        <f>HYPERLINK("http://www.huffingtonpost.com/david-ropeik/putting-the-disaster-in-natural-disasters_b_3617132.html","http://www.huffingtonpost.com/david-ropeik/putting-the-disaster-in-natural-disasters_b_3617132.html")</f>
        <v>http://www.huffingtonpost.com/david-ropeik/putting-the-disaster-in-natural-disasters_b_3617132.html</v>
      </c>
      <c r="Y811" s="38"/>
      <c r="Z811" s="38"/>
      <c r="AA811" s="38"/>
      <c r="AB811" s="38"/>
      <c r="AC811" s="38"/>
      <c r="AD811" s="38"/>
      <c r="AE811" s="38"/>
      <c r="AF811" s="38"/>
      <c r="AG811" s="28" t="s">
        <v>1743</v>
      </c>
      <c r="AH811" s="28" t="s">
        <v>462</v>
      </c>
      <c r="AI811" s="28" t="s">
        <v>462</v>
      </c>
      <c r="AJ811" s="28"/>
      <c r="AK811" s="28" t="s">
        <v>676</v>
      </c>
      <c r="AL811" s="28" t="s">
        <v>600</v>
      </c>
      <c r="AM811" s="28"/>
      <c r="AN811" s="54"/>
      <c r="AO811" s="54"/>
      <c r="AP811" s="28"/>
      <c r="AQ811" s="28"/>
      <c r="AR811" s="28"/>
      <c r="AS811" s="54"/>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row>
    <row r="812" ht="25.5" customHeight="1">
      <c r="A812" s="28">
        <v>10080.0</v>
      </c>
      <c r="B812" s="37" t="b">
        <v>1</v>
      </c>
      <c r="C812" s="38" t="s">
        <v>238</v>
      </c>
      <c r="D812" s="38">
        <v>81.0</v>
      </c>
      <c r="E812" s="13" t="b">
        <v>0</v>
      </c>
      <c r="F812" s="13" t="b">
        <v>1</v>
      </c>
      <c r="G812" s="38" t="s">
        <v>224</v>
      </c>
      <c r="H812" s="38"/>
      <c r="I812" s="38" t="s">
        <v>574</v>
      </c>
      <c r="J812" s="38">
        <v>4.0</v>
      </c>
      <c r="K812" s="38"/>
      <c r="L812" s="38"/>
      <c r="M812" s="38" t="s">
        <v>35</v>
      </c>
      <c r="N812" s="38">
        <v>2000.0</v>
      </c>
      <c r="O812" s="38" t="s">
        <v>578</v>
      </c>
      <c r="P812" s="40"/>
      <c r="Q812" s="38" t="s">
        <v>289</v>
      </c>
      <c r="R812" s="38">
        <v>40.0</v>
      </c>
      <c r="S812" s="38" t="s">
        <v>2161</v>
      </c>
      <c r="T812" s="38" t="s">
        <v>2163</v>
      </c>
      <c r="U812" s="38" t="s">
        <v>1754</v>
      </c>
      <c r="V812" s="55">
        <v>40688.0</v>
      </c>
      <c r="W812" s="38" t="s">
        <v>2165</v>
      </c>
      <c r="X812" s="49" t="str">
        <f>HYPERLINK("http://www.huffingtonpost.com/george-lakoff/why-environmental-underst_b_205477.html","http://www.huffingtonpost.com/george-lakoff/why-environmental-underst_b_205477.html")</f>
        <v>http://www.huffingtonpost.com/george-lakoff/why-environmental-underst_b_205477.html</v>
      </c>
      <c r="Y812" s="38"/>
      <c r="Z812" s="38"/>
      <c r="AA812" s="38"/>
      <c r="AB812" s="38"/>
      <c r="AC812" s="38"/>
      <c r="AD812" s="38"/>
      <c r="AE812" s="38"/>
      <c r="AF812" s="38"/>
      <c r="AG812" s="28"/>
      <c r="AH812" s="28" t="s">
        <v>462</v>
      </c>
      <c r="AI812" s="28" t="s">
        <v>462</v>
      </c>
      <c r="AJ812" s="28"/>
      <c r="AK812" s="28" t="s">
        <v>1099</v>
      </c>
      <c r="AL812" s="28" t="s">
        <v>600</v>
      </c>
      <c r="AM812" s="54" t="s">
        <v>2171</v>
      </c>
      <c r="AN812" s="54">
        <v>42415.0</v>
      </c>
      <c r="AO812" s="54"/>
      <c r="AP812" s="54">
        <v>42605.0</v>
      </c>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row>
    <row r="813" ht="25.5" customHeight="1">
      <c r="A813" s="28">
        <v>10095.0</v>
      </c>
      <c r="B813" s="37" t="b">
        <v>1</v>
      </c>
      <c r="C813" s="38" t="s">
        <v>238</v>
      </c>
      <c r="D813" s="38">
        <v>81.0</v>
      </c>
      <c r="E813" s="13" t="b">
        <v>0</v>
      </c>
      <c r="F813" s="13" t="b">
        <v>1</v>
      </c>
      <c r="G813" s="38" t="s">
        <v>224</v>
      </c>
      <c r="H813" s="38"/>
      <c r="I813" s="38" t="s">
        <v>574</v>
      </c>
      <c r="J813" s="38">
        <v>4.0</v>
      </c>
      <c r="K813" s="38"/>
      <c r="L813" s="38"/>
      <c r="M813" s="38" t="s">
        <v>35</v>
      </c>
      <c r="N813" s="38">
        <v>2000.0</v>
      </c>
      <c r="O813" s="38" t="s">
        <v>578</v>
      </c>
      <c r="P813" s="40"/>
      <c r="Q813" s="38" t="s">
        <v>289</v>
      </c>
      <c r="R813" s="38">
        <v>40.0</v>
      </c>
      <c r="S813" s="38" t="s">
        <v>2365</v>
      </c>
      <c r="T813" s="38" t="s">
        <v>2366</v>
      </c>
      <c r="U813" s="38" t="s">
        <v>1754</v>
      </c>
      <c r="V813" s="55">
        <v>41479.0</v>
      </c>
      <c r="W813" s="38" t="s">
        <v>2367</v>
      </c>
      <c r="X813" s="49" t="str">
        <f>HYPERLINK("http://www.huffingtonpost.com/wray-herbert/heat-wave-psychology-long_b_3644823.html","http://www.huffingtonpost.com/wray-herbert/heat-wave-psychology-long_b_3644823.html ")</f>
        <v>http://www.huffingtonpost.com/wray-herbert/heat-wave-psychology-long_b_3644823.html </v>
      </c>
      <c r="Y813" s="38"/>
      <c r="Z813" s="38"/>
      <c r="AA813" s="38"/>
      <c r="AB813" s="38"/>
      <c r="AC813" s="38"/>
      <c r="AD813" s="38"/>
      <c r="AE813" s="38"/>
      <c r="AF813" s="38"/>
      <c r="AG813" s="28"/>
      <c r="AH813" s="28" t="s">
        <v>462</v>
      </c>
      <c r="AI813" s="28" t="s">
        <v>462</v>
      </c>
      <c r="AJ813" s="28"/>
      <c r="AK813" s="28" t="s">
        <v>676</v>
      </c>
      <c r="AL813" s="28" t="s">
        <v>769</v>
      </c>
      <c r="AM813" s="28" t="s">
        <v>2380</v>
      </c>
      <c r="AN813" s="54">
        <v>41934.0</v>
      </c>
      <c r="AO813" s="54"/>
      <c r="AP813" s="54">
        <v>42555.0</v>
      </c>
      <c r="AQ813" s="28" t="s">
        <v>769</v>
      </c>
      <c r="AR813" s="28"/>
      <c r="AS813" s="54">
        <v>41954.0</v>
      </c>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row>
    <row r="814" ht="25.5" customHeight="1">
      <c r="A814" s="28">
        <v>10120.0</v>
      </c>
      <c r="B814" s="37" t="b">
        <v>1</v>
      </c>
      <c r="C814" s="38" t="s">
        <v>238</v>
      </c>
      <c r="D814" s="38">
        <v>81.0</v>
      </c>
      <c r="E814" s="13" t="b">
        <v>0</v>
      </c>
      <c r="F814" s="13" t="b">
        <v>1</v>
      </c>
      <c r="G814" s="38" t="s">
        <v>224</v>
      </c>
      <c r="H814" s="38"/>
      <c r="I814" s="38" t="s">
        <v>2694</v>
      </c>
      <c r="J814" s="38" t="s">
        <v>2695</v>
      </c>
      <c r="K814" s="38"/>
      <c r="L814" s="38"/>
      <c r="M814" s="38" t="s">
        <v>35</v>
      </c>
      <c r="N814" s="38">
        <v>2000.0</v>
      </c>
      <c r="O814" s="38" t="s">
        <v>644</v>
      </c>
      <c r="P814" s="40"/>
      <c r="Q814" s="38" t="s">
        <v>289</v>
      </c>
      <c r="R814" s="38">
        <v>40.0</v>
      </c>
      <c r="S814" s="38" t="s">
        <v>2697</v>
      </c>
      <c r="T814" s="38" t="s">
        <v>2699</v>
      </c>
      <c r="U814" s="38" t="s">
        <v>1754</v>
      </c>
      <c r="V814" s="55">
        <v>41520.0</v>
      </c>
      <c r="W814" s="38" t="s">
        <v>2701</v>
      </c>
      <c r="X814" s="49" t="str">
        <f>HYPERLINK("http://www.huffingtonpost.com/hal-e-hershfield/to-change-environmental-behavior_b_3845707.html","http://www.huffingtonpost.com/hal-e-hershfield/to-change-environmental-behavior_b_3845707.html")</f>
        <v>http://www.huffingtonpost.com/hal-e-hershfield/to-change-environmental-behavior_b_3845707.html</v>
      </c>
      <c r="Y814" s="38"/>
      <c r="Z814" s="38"/>
      <c r="AA814" s="38"/>
      <c r="AB814" s="38"/>
      <c r="AC814" s="38"/>
      <c r="AD814" s="38"/>
      <c r="AE814" s="38"/>
      <c r="AF814" s="38"/>
      <c r="AG814" s="28"/>
      <c r="AH814" s="28" t="s">
        <v>1380</v>
      </c>
      <c r="AI814" s="28" t="s">
        <v>1381</v>
      </c>
      <c r="AJ814" s="28"/>
      <c r="AK814" s="28"/>
      <c r="AL814" s="28" t="s">
        <v>600</v>
      </c>
      <c r="AM814" s="54" t="s">
        <v>2708</v>
      </c>
      <c r="AN814" s="54" t="s">
        <v>2709</v>
      </c>
      <c r="AO814" s="54"/>
      <c r="AP814" s="54" t="s">
        <v>2710</v>
      </c>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row>
    <row r="815" ht="25.5" customHeight="1">
      <c r="A815" s="28">
        <v>10164.0</v>
      </c>
      <c r="B815" s="37" t="b">
        <v>1</v>
      </c>
      <c r="C815" s="38" t="s">
        <v>238</v>
      </c>
      <c r="D815" s="38">
        <v>81.0</v>
      </c>
      <c r="E815" s="13" t="b">
        <v>0</v>
      </c>
      <c r="F815" s="13" t="b">
        <v>1</v>
      </c>
      <c r="G815" s="38" t="s">
        <v>224</v>
      </c>
      <c r="H815" s="38"/>
      <c r="I815" s="38" t="s">
        <v>1767</v>
      </c>
      <c r="J815" s="38" t="s">
        <v>1768</v>
      </c>
      <c r="K815" s="38"/>
      <c r="L815" s="38"/>
      <c r="M815" s="38" t="s">
        <v>35</v>
      </c>
      <c r="N815" s="38">
        <v>2000.0</v>
      </c>
      <c r="O815" s="38" t="s">
        <v>578</v>
      </c>
      <c r="P815" s="40"/>
      <c r="Q815" s="38" t="s">
        <v>289</v>
      </c>
      <c r="R815" s="38">
        <v>40.0</v>
      </c>
      <c r="S815" s="61" t="s">
        <v>3040</v>
      </c>
      <c r="T815" s="38" t="s">
        <v>3041</v>
      </c>
      <c r="U815" s="38" t="s">
        <v>1754</v>
      </c>
      <c r="V815" s="55">
        <v>42387.0</v>
      </c>
      <c r="W815" s="38" t="s">
        <v>3042</v>
      </c>
      <c r="X815" s="49" t="str">
        <f>HYPERLINK("http://www.huffingtonpost.com/entry/climate-change-psychology_us_5674272ee4b014efe0d52186","http://www.huffingtonpost.com/entry/climate-change-psychology_us_5674272ee4b014efe0d52186")</f>
        <v>http://www.huffingtonpost.com/entry/climate-change-psychology_us_5674272ee4b014efe0d52186</v>
      </c>
      <c r="Y815" s="38"/>
      <c r="Z815" s="38"/>
      <c r="AA815" s="38"/>
      <c r="AB815" s="38"/>
      <c r="AC815" s="38"/>
      <c r="AD815" s="38"/>
      <c r="AE815" s="38"/>
      <c r="AF815" s="38"/>
      <c r="AG815" s="28"/>
      <c r="AH815" s="28"/>
      <c r="AI815" s="28"/>
      <c r="AJ815" s="28"/>
      <c r="AK815" s="28"/>
      <c r="AL815" s="28" t="s">
        <v>428</v>
      </c>
      <c r="AM815" s="28" t="s">
        <v>3045</v>
      </c>
      <c r="AN815" s="54">
        <v>42656.0</v>
      </c>
      <c r="AO815" s="54"/>
      <c r="AP815" s="28"/>
      <c r="AQ815" s="28"/>
      <c r="AR815" s="28"/>
      <c r="AS815" s="28"/>
      <c r="AT815" s="28"/>
      <c r="AU815" s="28"/>
      <c r="AV815" s="28"/>
      <c r="AW815" s="28"/>
      <c r="AX815" s="28"/>
      <c r="AY815" s="28" t="s">
        <v>428</v>
      </c>
      <c r="AZ815" s="28"/>
      <c r="BA815" s="28"/>
      <c r="BB815" s="28"/>
      <c r="BC815" s="28"/>
      <c r="BD815" s="28"/>
      <c r="BE815" s="28"/>
      <c r="BF815" s="28"/>
      <c r="BG815" s="28"/>
      <c r="BH815" s="28"/>
      <c r="BI815" s="28"/>
      <c r="BJ815" s="28"/>
      <c r="BK815" s="28"/>
      <c r="BL815" s="28"/>
      <c r="BM815" s="28"/>
      <c r="BN815" s="28"/>
      <c r="BO815" s="28"/>
    </row>
    <row r="816" ht="25.5" customHeight="1">
      <c r="A816" s="28">
        <v>10185.0</v>
      </c>
      <c r="B816" s="37" t="b">
        <v>1</v>
      </c>
      <c r="C816" s="38" t="s">
        <v>238</v>
      </c>
      <c r="D816" s="38">
        <v>81.0</v>
      </c>
      <c r="E816" s="13" t="b">
        <v>0</v>
      </c>
      <c r="F816" s="13" t="b">
        <v>1</v>
      </c>
      <c r="G816" s="38" t="s">
        <v>224</v>
      </c>
      <c r="H816" s="38"/>
      <c r="I816" s="38" t="s">
        <v>265</v>
      </c>
      <c r="J816" s="38">
        <v>9.0</v>
      </c>
      <c r="K816" s="38"/>
      <c r="L816" s="38"/>
      <c r="M816" s="38" t="s">
        <v>35</v>
      </c>
      <c r="N816" s="38">
        <v>2000.0</v>
      </c>
      <c r="O816" s="38" t="s">
        <v>578</v>
      </c>
      <c r="P816" s="40"/>
      <c r="Q816" s="38" t="s">
        <v>289</v>
      </c>
      <c r="R816" s="38">
        <v>40.0</v>
      </c>
      <c r="S816" s="38" t="s">
        <v>3212</v>
      </c>
      <c r="T816" s="38" t="s">
        <v>3213</v>
      </c>
      <c r="U816" s="38" t="s">
        <v>1754</v>
      </c>
      <c r="V816" s="55">
        <v>41871.0</v>
      </c>
      <c r="W816" s="38" t="s">
        <v>3214</v>
      </c>
      <c r="X816" s="49" t="str">
        <f>HYPERLINK("http://www.huffingtonpost.com/rod-fujita/the-nature-of-humans_b_5695242.html","http://www.huffingtonpost.com/rod-fujita/the-nature-of-humans_b_5695242.html")</f>
        <v>http://www.huffingtonpost.com/rod-fujita/the-nature-of-humans_b_5695242.html</v>
      </c>
      <c r="Y816" s="38"/>
      <c r="Z816" s="38"/>
      <c r="AA816" s="38"/>
      <c r="AB816" s="38"/>
      <c r="AC816" s="38"/>
      <c r="AD816" s="38"/>
      <c r="AE816" s="38"/>
      <c r="AF816" s="38"/>
      <c r="AG816" s="28"/>
      <c r="AH816" s="28" t="s">
        <v>462</v>
      </c>
      <c r="AI816" s="28" t="s">
        <v>462</v>
      </c>
      <c r="AJ816" s="28"/>
      <c r="AK816" s="28"/>
      <c r="AL816" s="28" t="s">
        <v>769</v>
      </c>
      <c r="AM816" s="28" t="s">
        <v>3218</v>
      </c>
      <c r="AN816" s="54">
        <v>41871.0</v>
      </c>
      <c r="AO816" s="54"/>
      <c r="AP816" s="54">
        <v>42537.0</v>
      </c>
      <c r="AQ816" s="28" t="s">
        <v>769</v>
      </c>
      <c r="AR816" s="28"/>
      <c r="AS816" s="54">
        <v>41897.0</v>
      </c>
      <c r="AT816" s="28"/>
      <c r="AU816" s="28"/>
      <c r="AV816" s="28"/>
      <c r="AW816" s="28"/>
      <c r="AX816" s="28" t="s">
        <v>428</v>
      </c>
      <c r="AY816" s="28"/>
      <c r="AZ816" s="28"/>
      <c r="BA816" s="28"/>
      <c r="BB816" s="28"/>
      <c r="BC816" s="28"/>
      <c r="BD816" s="28"/>
      <c r="BE816" s="28"/>
      <c r="BF816" s="28"/>
      <c r="BG816" s="28"/>
      <c r="BH816" s="28"/>
      <c r="BI816" s="28"/>
      <c r="BJ816" s="28"/>
      <c r="BK816" s="28"/>
      <c r="BL816" s="28"/>
      <c r="BM816" s="28"/>
      <c r="BN816" s="28"/>
      <c r="BO816" s="28"/>
    </row>
    <row r="817" ht="25.5" customHeight="1">
      <c r="A817" s="28">
        <v>10195.0</v>
      </c>
      <c r="B817" s="37" t="b">
        <v>1</v>
      </c>
      <c r="C817" s="38" t="s">
        <v>238</v>
      </c>
      <c r="D817" s="38">
        <v>81.0</v>
      </c>
      <c r="E817" s="13" t="b">
        <v>0</v>
      </c>
      <c r="F817" s="13" t="b">
        <v>1</v>
      </c>
      <c r="G817" s="38" t="s">
        <v>224</v>
      </c>
      <c r="H817" s="38"/>
      <c r="I817" s="38" t="s">
        <v>3285</v>
      </c>
      <c r="J817" s="38" t="s">
        <v>3286</v>
      </c>
      <c r="K817" s="38"/>
      <c r="L817" s="38"/>
      <c r="M817" s="38" t="s">
        <v>35</v>
      </c>
      <c r="N817" s="38">
        <v>2000.0</v>
      </c>
      <c r="O817" s="38" t="s">
        <v>1114</v>
      </c>
      <c r="P817" s="40"/>
      <c r="Q817" s="38" t="s">
        <v>289</v>
      </c>
      <c r="R817" s="38">
        <v>40.0</v>
      </c>
      <c r="S817" s="38" t="s">
        <v>3312</v>
      </c>
      <c r="T817" s="38" t="s">
        <v>2366</v>
      </c>
      <c r="U817" s="38" t="s">
        <v>1754</v>
      </c>
      <c r="V817" s="55">
        <v>41927.0</v>
      </c>
      <c r="W817" s="38"/>
      <c r="X817" s="49" t="str">
        <f>HYPERLINK("http://www.huffingtonpost.com/wray-herbert/remember-me-personal-lega_b_5991314.html","http://www.huffingtonpost.com/wray-herbert/remember-me-personal-lega_b_5991314.html")</f>
        <v>http://www.huffingtonpost.com/wray-herbert/remember-me-personal-lega_b_5991314.html</v>
      </c>
      <c r="Y817" s="38"/>
      <c r="Z817" s="38"/>
      <c r="AA817" s="38"/>
      <c r="AB817" s="38"/>
      <c r="AC817" s="38"/>
      <c r="AD817" s="38"/>
      <c r="AE817" s="38"/>
      <c r="AF817" s="38"/>
      <c r="AG817" s="28"/>
      <c r="AH817" s="28" t="s">
        <v>3293</v>
      </c>
      <c r="AI817" s="28" t="s">
        <v>3293</v>
      </c>
      <c r="AJ817" s="28"/>
      <c r="AK817" s="28"/>
      <c r="AL817" s="28" t="s">
        <v>600</v>
      </c>
      <c r="AM817" s="28" t="s">
        <v>3316</v>
      </c>
      <c r="AN817" s="54">
        <v>42446.0</v>
      </c>
      <c r="AO817" s="54"/>
      <c r="AP817" s="54"/>
      <c r="AQ817" s="28" t="s">
        <v>769</v>
      </c>
      <c r="AR817" s="28"/>
      <c r="AS817" s="54">
        <v>41968.0</v>
      </c>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row>
    <row r="818" ht="25.5" customHeight="1">
      <c r="A818" s="28">
        <v>10299.0</v>
      </c>
      <c r="B818" s="37" t="b">
        <v>1</v>
      </c>
      <c r="C818" s="38" t="s">
        <v>238</v>
      </c>
      <c r="D818" s="38">
        <v>81.0</v>
      </c>
      <c r="E818" s="13" t="b">
        <v>0</v>
      </c>
      <c r="F818" s="13" t="b">
        <v>1</v>
      </c>
      <c r="G818" s="38" t="s">
        <v>224</v>
      </c>
      <c r="H818" s="38"/>
      <c r="I818" s="38" t="s">
        <v>226</v>
      </c>
      <c r="J818" s="38" t="s">
        <v>228</v>
      </c>
      <c r="K818" s="38"/>
      <c r="L818" s="38"/>
      <c r="M818" s="38" t="s">
        <v>35</v>
      </c>
      <c r="N818" s="38">
        <v>2000.0</v>
      </c>
      <c r="O818" s="38" t="s">
        <v>644</v>
      </c>
      <c r="P818" s="40"/>
      <c r="Q818" s="38" t="s">
        <v>289</v>
      </c>
      <c r="R818" s="38">
        <v>40.0</v>
      </c>
      <c r="S818" s="61" t="s">
        <v>4219</v>
      </c>
      <c r="T818" s="38" t="s">
        <v>4220</v>
      </c>
      <c r="U818" s="38" t="s">
        <v>1754</v>
      </c>
      <c r="V818" s="55">
        <v>42495.0</v>
      </c>
      <c r="W818" s="38" t="s">
        <v>4221</v>
      </c>
      <c r="X818" s="49" t="str">
        <f>HYPERLINK("http://www.huffingtonpost.com/entry/climate-change-psychology_us_571ead75e4b0f309baee5b9b","http://www.huffingtonpost.com/entry/climate-change-psychology_us_571ead75e4b0f309baee5b9b")</f>
        <v>http://www.huffingtonpost.com/entry/climate-change-psychology_us_571ead75e4b0f309baee5b9b</v>
      </c>
      <c r="Y818" s="38"/>
      <c r="Z818" s="38"/>
      <c r="AA818" s="38"/>
      <c r="AB818" s="38"/>
      <c r="AC818" s="38"/>
      <c r="AD818" s="38"/>
      <c r="AE818" s="38"/>
      <c r="AF818" s="38"/>
      <c r="AG818" s="28"/>
      <c r="AH818" s="28"/>
      <c r="AI818" s="28"/>
      <c r="AJ818" s="28"/>
      <c r="AK818" s="28"/>
      <c r="AL818" s="28" t="s">
        <v>600</v>
      </c>
      <c r="AM818" s="28"/>
      <c r="AN818" s="28"/>
      <c r="AO818" s="28"/>
      <c r="AP818" s="28"/>
      <c r="AQ818" s="28"/>
      <c r="AR818" s="28"/>
      <c r="AS818" s="28"/>
      <c r="AT818" s="28"/>
      <c r="AU818" s="28"/>
      <c r="AV818" s="28"/>
      <c r="AW818" s="28"/>
      <c r="AX818" s="28"/>
      <c r="AY818" s="28" t="s">
        <v>428</v>
      </c>
      <c r="AZ818" s="28"/>
      <c r="BA818" s="28"/>
      <c r="BB818" s="28"/>
      <c r="BC818" s="28"/>
      <c r="BD818" s="28"/>
      <c r="BE818" s="28"/>
      <c r="BF818" s="28"/>
      <c r="BG818" s="28"/>
      <c r="BH818" s="28"/>
      <c r="BI818" s="28"/>
      <c r="BJ818" s="28"/>
      <c r="BK818" s="28"/>
      <c r="BL818" s="28"/>
      <c r="BM818" s="28"/>
      <c r="BN818" s="28"/>
      <c r="BO818" s="28"/>
    </row>
    <row r="819" ht="25.5" customHeight="1">
      <c r="A819" s="28">
        <v>10448.0</v>
      </c>
      <c r="B819" s="37" t="b">
        <v>1</v>
      </c>
      <c r="C819" s="38" t="s">
        <v>238</v>
      </c>
      <c r="D819" s="38">
        <v>81.0</v>
      </c>
      <c r="E819" s="13" t="b">
        <v>0</v>
      </c>
      <c r="F819" s="13" t="b">
        <v>1</v>
      </c>
      <c r="G819" s="38" t="s">
        <v>224</v>
      </c>
      <c r="H819" s="38"/>
      <c r="I819" s="38" t="s">
        <v>772</v>
      </c>
      <c r="J819" s="38">
        <v>5.0</v>
      </c>
      <c r="K819" s="38"/>
      <c r="L819" s="38"/>
      <c r="M819" s="38" t="s">
        <v>35</v>
      </c>
      <c r="N819" s="38">
        <v>2000.0</v>
      </c>
      <c r="O819" s="38" t="s">
        <v>644</v>
      </c>
      <c r="P819" s="40"/>
      <c r="Q819" s="38" t="s">
        <v>289</v>
      </c>
      <c r="R819" s="38">
        <v>40.0</v>
      </c>
      <c r="S819" s="38" t="s">
        <v>5475</v>
      </c>
      <c r="T819" s="38" t="s">
        <v>5476</v>
      </c>
      <c r="U819" s="38" t="s">
        <v>1754</v>
      </c>
      <c r="V819" s="55">
        <v>41877.0</v>
      </c>
      <c r="W819" s="38"/>
      <c r="X819" s="49" t="str">
        <f>HYPERLINK("http://www.huffingtonpost.com/2014/08/26/virtual-reality-sustainable-habits_n_5717647.html","http://www.huffingtonpost.com/2014/08/26/virtual-reality-sustainable-habits_n_5717647.html")</f>
        <v>http://www.huffingtonpost.com/2014/08/26/virtual-reality-sustainable-habits_n_5717647.html</v>
      </c>
      <c r="Y819" s="38"/>
      <c r="Z819" s="38"/>
      <c r="AA819" s="38"/>
      <c r="AB819" s="38"/>
      <c r="AC819" s="38"/>
      <c r="AD819" s="38"/>
      <c r="AE819" s="38"/>
      <c r="AF819" s="38"/>
      <c r="AG819" s="28"/>
      <c r="AH819" s="28" t="s">
        <v>462</v>
      </c>
      <c r="AI819" s="28" t="s">
        <v>462</v>
      </c>
      <c r="AJ819" s="28"/>
      <c r="AK819" s="28" t="s">
        <v>676</v>
      </c>
      <c r="AL819" s="28" t="s">
        <v>769</v>
      </c>
      <c r="AM819" s="28" t="s">
        <v>5478</v>
      </c>
      <c r="AN819" s="54">
        <v>42165.0</v>
      </c>
      <c r="AO819" s="54"/>
      <c r="AP819" s="54">
        <v>42429.0</v>
      </c>
      <c r="AQ819" s="28" t="s">
        <v>769</v>
      </c>
      <c r="AR819" s="28"/>
      <c r="AS819" s="54">
        <v>42171.0</v>
      </c>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row>
    <row r="820" ht="25.5" customHeight="1">
      <c r="A820" s="28">
        <v>10189.0</v>
      </c>
      <c r="B820" s="37" t="b">
        <v>1</v>
      </c>
      <c r="C820" s="38" t="s">
        <v>238</v>
      </c>
      <c r="D820" s="38">
        <v>81.0</v>
      </c>
      <c r="E820" s="13" t="b">
        <v>0</v>
      </c>
      <c r="F820" s="13" t="b">
        <v>1</v>
      </c>
      <c r="G820" s="38" t="s">
        <v>224</v>
      </c>
      <c r="H820" s="38"/>
      <c r="I820" s="38" t="s">
        <v>3240</v>
      </c>
      <c r="J820" s="38" t="s">
        <v>3241</v>
      </c>
      <c r="K820" s="38"/>
      <c r="L820" s="38"/>
      <c r="M820" s="38" t="s">
        <v>388</v>
      </c>
      <c r="N820" s="38">
        <v>14000.0</v>
      </c>
      <c r="O820" s="38" t="s">
        <v>224</v>
      </c>
      <c r="P820" s="40"/>
      <c r="Q820" s="38" t="s">
        <v>289</v>
      </c>
      <c r="R820" s="38">
        <v>40.0</v>
      </c>
      <c r="S820" s="38" t="s">
        <v>3255</v>
      </c>
      <c r="T820" s="38" t="s">
        <v>2378</v>
      </c>
      <c r="U820" s="38" t="s">
        <v>1754</v>
      </c>
      <c r="V820" s="55">
        <v>41556.0</v>
      </c>
      <c r="W820" s="38"/>
      <c r="X820" s="49" t="str">
        <f>HYPERLINK("http://www.huffingtonpost.com/james-clear/decision-fatigue_b_4044212.html?utm_hp_ref=tw","http://www.huffingtonpost.com/james-clear/decision-fatigue_b_4044212.html?utm_hp_ref=tw")</f>
        <v>http://www.huffingtonpost.com/james-clear/decision-fatigue_b_4044212.html?utm_hp_ref=tw</v>
      </c>
      <c r="Y820" s="38"/>
      <c r="Z820" s="38"/>
      <c r="AA820" s="38"/>
      <c r="AB820" s="38"/>
      <c r="AC820" s="38"/>
      <c r="AD820" s="38"/>
      <c r="AE820" s="38"/>
      <c r="AF820" s="38"/>
      <c r="AG820" s="28"/>
      <c r="AH820" s="28" t="s">
        <v>462</v>
      </c>
      <c r="AI820" s="28" t="s">
        <v>462</v>
      </c>
      <c r="AJ820" s="28"/>
      <c r="AK820" s="28"/>
      <c r="AL820" s="28" t="s">
        <v>769</v>
      </c>
      <c r="AM820" s="28" t="s">
        <v>3258</v>
      </c>
      <c r="AN820" s="54">
        <v>41958.0</v>
      </c>
      <c r="AO820" s="54"/>
      <c r="AP820" s="28" t="s">
        <v>3260</v>
      </c>
      <c r="AQ820" s="28" t="s">
        <v>530</v>
      </c>
      <c r="AR820" s="28"/>
      <c r="AS820" s="54"/>
      <c r="AT820" s="28"/>
      <c r="AU820" s="28"/>
      <c r="AV820" s="28"/>
      <c r="AW820" s="28"/>
      <c r="AX820" s="28"/>
      <c r="AY820" s="28"/>
      <c r="AZ820" s="28" t="s">
        <v>3264</v>
      </c>
      <c r="BA820" s="28"/>
      <c r="BB820" s="28"/>
      <c r="BC820" s="28"/>
      <c r="BD820" s="28"/>
      <c r="BE820" s="28"/>
      <c r="BF820" s="28"/>
      <c r="BG820" s="28"/>
      <c r="BH820" s="28"/>
      <c r="BI820" s="28"/>
      <c r="BJ820" s="28"/>
      <c r="BK820" s="28"/>
      <c r="BL820" s="28"/>
      <c r="BM820" s="28"/>
      <c r="BN820" s="28"/>
      <c r="BO820" s="28"/>
    </row>
    <row r="821" ht="25.5" customHeight="1">
      <c r="A821" s="28">
        <v>10451.0</v>
      </c>
      <c r="B821" s="37" t="b">
        <v>1</v>
      </c>
      <c r="C821" s="38" t="s">
        <v>238</v>
      </c>
      <c r="D821" s="38">
        <v>81.0</v>
      </c>
      <c r="E821" s="13" t="b">
        <v>0</v>
      </c>
      <c r="F821" s="13" t="b">
        <v>1</v>
      </c>
      <c r="G821" s="38" t="s">
        <v>224</v>
      </c>
      <c r="H821" s="38"/>
      <c r="I821" s="38" t="s">
        <v>779</v>
      </c>
      <c r="J821" s="38">
        <v>5.0</v>
      </c>
      <c r="K821" s="38"/>
      <c r="L821" s="38"/>
      <c r="M821" s="38" t="s">
        <v>388</v>
      </c>
      <c r="N821" s="38">
        <v>14000.0</v>
      </c>
      <c r="O821" s="38" t="s">
        <v>224</v>
      </c>
      <c r="P821" s="40"/>
      <c r="Q821" s="38" t="s">
        <v>289</v>
      </c>
      <c r="R821" s="38">
        <v>40.0</v>
      </c>
      <c r="S821" s="38" t="s">
        <v>5497</v>
      </c>
      <c r="T821" s="38" t="s">
        <v>2366</v>
      </c>
      <c r="U821" s="38" t="s">
        <v>1754</v>
      </c>
      <c r="V821" s="55">
        <v>41806.0</v>
      </c>
      <c r="W821" s="38" t="s">
        <v>5500</v>
      </c>
      <c r="X821" s="49" t="str">
        <f>HYPERLINK("http://www.huffingtonpost.com/wray-herbert/the-psychology-of-a-memor_b_5158650.html","http://www.huffingtonpost.com/wray-herbert/the-psychology-of-a-memor_b_5158650.html")</f>
        <v>http://www.huffingtonpost.com/wray-herbert/the-psychology-of-a-memor_b_5158650.html</v>
      </c>
      <c r="Y821" s="38"/>
      <c r="Z821" s="38"/>
      <c r="AA821" s="38"/>
      <c r="AB821" s="38"/>
      <c r="AC821" s="38"/>
      <c r="AD821" s="38"/>
      <c r="AE821" s="38"/>
      <c r="AF821" s="38"/>
      <c r="AG821" s="28"/>
      <c r="AH821" s="28" t="s">
        <v>462</v>
      </c>
      <c r="AI821" s="28" t="s">
        <v>462</v>
      </c>
      <c r="AJ821" s="28"/>
      <c r="AK821" s="28">
        <v>3.0</v>
      </c>
      <c r="AL821" s="28" t="s">
        <v>677</v>
      </c>
      <c r="AM821" s="28"/>
      <c r="AN821" s="54"/>
      <c r="AO821" s="54"/>
      <c r="AP821" s="28"/>
      <c r="AQ821" s="28"/>
      <c r="AR821" s="28"/>
      <c r="AS821" s="54"/>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row>
    <row r="822" ht="25.5" customHeight="1">
      <c r="A822" s="28">
        <v>10204.0</v>
      </c>
      <c r="B822" s="37" t="b">
        <v>1</v>
      </c>
      <c r="C822" s="38" t="s">
        <v>238</v>
      </c>
      <c r="D822" s="38">
        <v>81.0</v>
      </c>
      <c r="E822" s="13" t="b">
        <v>0</v>
      </c>
      <c r="F822" s="13" t="b">
        <v>1</v>
      </c>
      <c r="G822" s="38" t="s">
        <v>224</v>
      </c>
      <c r="H822" s="38"/>
      <c r="I822" s="38" t="s">
        <v>1857</v>
      </c>
      <c r="J822" s="38">
        <v>1.0</v>
      </c>
      <c r="K822" s="38"/>
      <c r="L822" s="38"/>
      <c r="M822" s="38" t="s">
        <v>411</v>
      </c>
      <c r="N822" s="38">
        <v>21000.0</v>
      </c>
      <c r="O822" s="38" t="s">
        <v>1203</v>
      </c>
      <c r="P822" s="40"/>
      <c r="Q822" s="38" t="s">
        <v>111</v>
      </c>
      <c r="R822" s="38">
        <v>41.0</v>
      </c>
      <c r="S822" s="38" t="s">
        <v>3387</v>
      </c>
      <c r="T822" s="38" t="s">
        <v>233</v>
      </c>
      <c r="U822" s="38" t="s">
        <v>1754</v>
      </c>
      <c r="V822" s="55">
        <v>41843.0</v>
      </c>
      <c r="W822" s="38" t="s">
        <v>3390</v>
      </c>
      <c r="X822" s="49" t="str">
        <f>HYPERLINK("http://www.huffingtonpost.com/2014/07/23/pugedon-vending-machine_n_5606494.html","http://www.huffingtonpost.com/2014/07/23/pugedon-vending-machine_n_5606494.html")</f>
        <v>http://www.huffingtonpost.com/2014/07/23/pugedon-vending-machine_n_5606494.html</v>
      </c>
      <c r="Y822" s="38"/>
      <c r="Z822" s="38"/>
      <c r="AA822" s="38"/>
      <c r="AB822" s="38"/>
      <c r="AC822" s="38"/>
      <c r="AD822" s="38"/>
      <c r="AE822" s="38"/>
      <c r="AF822" s="38"/>
      <c r="AG822" s="28"/>
      <c r="AH822" s="28" t="s">
        <v>1594</v>
      </c>
      <c r="AI822" s="28" t="s">
        <v>462</v>
      </c>
      <c r="AJ822" s="28"/>
      <c r="AK822" s="28" t="s">
        <v>676</v>
      </c>
      <c r="AL822" s="28" t="s">
        <v>769</v>
      </c>
      <c r="AM822" s="28" t="s">
        <v>3393</v>
      </c>
      <c r="AN822" s="54">
        <v>42436.0</v>
      </c>
      <c r="AO822" s="54"/>
      <c r="AP822" s="28"/>
      <c r="AQ822" s="28" t="s">
        <v>769</v>
      </c>
      <c r="AR822" s="28"/>
      <c r="AS822" s="54"/>
      <c r="AT822" s="28"/>
      <c r="AU822" s="54"/>
      <c r="AV822" s="28"/>
      <c r="AW822" s="28"/>
      <c r="AX822" s="28"/>
      <c r="AY822" s="28"/>
      <c r="AZ822" s="28"/>
      <c r="BA822" s="28"/>
      <c r="BB822" s="28"/>
      <c r="BC822" s="28"/>
      <c r="BD822" s="28"/>
      <c r="BE822" s="28"/>
      <c r="BF822" s="28"/>
      <c r="BG822" s="28"/>
      <c r="BH822" s="28"/>
      <c r="BI822" s="28"/>
      <c r="BJ822" s="28"/>
      <c r="BK822" s="28"/>
      <c r="BL822" s="28"/>
      <c r="BM822" s="28"/>
      <c r="BN822" s="28"/>
      <c r="BO822" s="28"/>
    </row>
    <row r="823" ht="25.5" customHeight="1">
      <c r="A823" s="28">
        <v>10210.0</v>
      </c>
      <c r="B823" s="37" t="b">
        <v>1</v>
      </c>
      <c r="C823" s="38" t="s">
        <v>238</v>
      </c>
      <c r="D823" s="38">
        <v>81.0</v>
      </c>
      <c r="E823" s="13" t="b">
        <v>0</v>
      </c>
      <c r="F823" s="13" t="b">
        <v>1</v>
      </c>
      <c r="G823" s="38" t="s">
        <v>224</v>
      </c>
      <c r="H823" s="38"/>
      <c r="I823" s="38" t="s">
        <v>756</v>
      </c>
      <c r="J823" s="38" t="s">
        <v>757</v>
      </c>
      <c r="K823" s="38"/>
      <c r="L823" s="38"/>
      <c r="M823" s="38" t="s">
        <v>411</v>
      </c>
      <c r="N823" s="38">
        <v>21000.0</v>
      </c>
      <c r="O823" s="38" t="s">
        <v>1203</v>
      </c>
      <c r="P823" s="40"/>
      <c r="Q823" s="38" t="s">
        <v>289</v>
      </c>
      <c r="R823" s="38">
        <v>40.0</v>
      </c>
      <c r="S823" s="61" t="s">
        <v>3459</v>
      </c>
      <c r="T823" s="38" t="s">
        <v>3460</v>
      </c>
      <c r="U823" s="38" t="s">
        <v>1754</v>
      </c>
      <c r="V823" s="55">
        <v>40451.0</v>
      </c>
      <c r="W823" s="38" t="s">
        <v>3461</v>
      </c>
      <c r="X823" s="49" t="str">
        <f>HYPERLINK("http://www.huffingtonpost.com/2010/09/30/8-clever-and-innovative-w_n_736668.html","http://www.huffingtonpost.com/2010/09/30/8-clever-and-innovative-w_n_736668.html")</f>
        <v>http://www.huffingtonpost.com/2010/09/30/8-clever-and-innovative-w_n_736668.html</v>
      </c>
      <c r="Y823" s="38"/>
      <c r="Z823" s="38"/>
      <c r="AA823" s="38"/>
      <c r="AB823" s="38"/>
      <c r="AC823" s="38"/>
      <c r="AD823" s="38"/>
      <c r="AE823" s="38"/>
      <c r="AF823" s="38"/>
      <c r="AG823" s="28"/>
      <c r="AH823" s="28"/>
      <c r="AI823" s="28"/>
      <c r="AJ823" s="28"/>
      <c r="AK823" s="28"/>
      <c r="AL823" s="28" t="s">
        <v>600</v>
      </c>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row>
    <row r="824" ht="25.5" customHeight="1">
      <c r="A824" s="28">
        <v>10452.0</v>
      </c>
      <c r="B824" s="37" t="b">
        <v>1</v>
      </c>
      <c r="C824" s="38" t="s">
        <v>238</v>
      </c>
      <c r="D824" s="38">
        <v>81.0</v>
      </c>
      <c r="E824" s="13" t="b">
        <v>0</v>
      </c>
      <c r="F824" s="13" t="b">
        <v>1</v>
      </c>
      <c r="G824" s="38" t="s">
        <v>224</v>
      </c>
      <c r="H824" s="38"/>
      <c r="I824" s="38" t="s">
        <v>265</v>
      </c>
      <c r="J824" s="38">
        <v>9.0</v>
      </c>
      <c r="K824" s="38"/>
      <c r="L824" s="38"/>
      <c r="M824" s="38" t="s">
        <v>388</v>
      </c>
      <c r="N824" s="38">
        <v>14000.0</v>
      </c>
      <c r="O824" s="38" t="s">
        <v>224</v>
      </c>
      <c r="P824" s="40"/>
      <c r="Q824" s="38" t="s">
        <v>289</v>
      </c>
      <c r="R824" s="38">
        <v>40.0</v>
      </c>
      <c r="S824" s="61" t="s">
        <v>5502</v>
      </c>
      <c r="T824" s="38" t="s">
        <v>2366</v>
      </c>
      <c r="U824" s="38" t="s">
        <v>5504</v>
      </c>
      <c r="V824" s="55">
        <v>41508.0</v>
      </c>
      <c r="W824" s="38" t="s">
        <v>5505</v>
      </c>
      <c r="X824" s="38" t="s">
        <v>5506</v>
      </c>
      <c r="Y824" s="38"/>
      <c r="Z824" s="38"/>
      <c r="AA824" s="38"/>
      <c r="AB824" s="38"/>
      <c r="AC824" s="38"/>
      <c r="AD824" s="38"/>
      <c r="AE824" s="38"/>
      <c r="AF824" s="3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row>
    <row r="825" ht="25.5" customHeight="1">
      <c r="A825" s="28">
        <v>348.0</v>
      </c>
      <c r="B825" s="37" t="b">
        <v>1</v>
      </c>
      <c r="C825" s="38" t="s">
        <v>106</v>
      </c>
      <c r="D825" s="38">
        <v>80.0</v>
      </c>
      <c r="E825" s="13" t="b">
        <v>1</v>
      </c>
      <c r="F825" s="13" t="b">
        <v>0</v>
      </c>
      <c r="G825" s="38" t="s">
        <v>224</v>
      </c>
      <c r="H825" s="38"/>
      <c r="I825" s="38" t="s">
        <v>490</v>
      </c>
      <c r="J825" s="38">
        <v>6.0</v>
      </c>
      <c r="K825" s="38" t="s">
        <v>491</v>
      </c>
      <c r="L825" s="38">
        <v>605.0</v>
      </c>
      <c r="M825" s="38" t="s">
        <v>388</v>
      </c>
      <c r="N825" s="38">
        <v>14000.0</v>
      </c>
      <c r="O825" s="38" t="s">
        <v>224</v>
      </c>
      <c r="P825" s="40"/>
      <c r="Q825" s="38" t="s">
        <v>289</v>
      </c>
      <c r="R825" s="38">
        <v>40.0</v>
      </c>
      <c r="S825" s="38" t="s">
        <v>6006</v>
      </c>
      <c r="T825" s="38" t="s">
        <v>6007</v>
      </c>
      <c r="U825" s="38" t="s">
        <v>6008</v>
      </c>
      <c r="V825" s="38">
        <v>1957.0</v>
      </c>
      <c r="W825" s="38" t="s">
        <v>753</v>
      </c>
      <c r="X825" s="38" t="s">
        <v>6009</v>
      </c>
      <c r="Y825" s="38"/>
      <c r="Z825" s="38"/>
      <c r="AA825" s="38"/>
      <c r="AB825" s="38"/>
      <c r="AC825" s="38"/>
      <c r="AD825" s="38"/>
      <c r="AE825" s="38"/>
      <c r="AF825" s="38"/>
      <c r="AG825" s="28" t="s">
        <v>6010</v>
      </c>
      <c r="AH825" s="28" t="s">
        <v>462</v>
      </c>
      <c r="AI825" s="28" t="s">
        <v>428</v>
      </c>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row>
    <row r="826" ht="25.5" customHeight="1">
      <c r="A826" s="28">
        <v>424.0</v>
      </c>
      <c r="B826" s="37" t="b">
        <v>1</v>
      </c>
      <c r="C826" s="38" t="s">
        <v>106</v>
      </c>
      <c r="D826" s="38">
        <v>80.0</v>
      </c>
      <c r="E826" s="13" t="b">
        <v>0</v>
      </c>
      <c r="F826" s="13" t="b">
        <v>1</v>
      </c>
      <c r="G826" s="38" t="s">
        <v>224</v>
      </c>
      <c r="H826" s="38"/>
      <c r="I826" s="38" t="s">
        <v>387</v>
      </c>
      <c r="J826" s="38">
        <v>8.0</v>
      </c>
      <c r="K826" s="38" t="s">
        <v>3297</v>
      </c>
      <c r="L826" s="38">
        <v>805.0</v>
      </c>
      <c r="M826" s="38" t="s">
        <v>35</v>
      </c>
      <c r="N826" s="38">
        <v>2000.0</v>
      </c>
      <c r="O826" s="38" t="s">
        <v>2373</v>
      </c>
      <c r="P826" s="40">
        <v>2001.0</v>
      </c>
      <c r="Q826" s="38" t="s">
        <v>289</v>
      </c>
      <c r="R826" s="38">
        <v>40.0</v>
      </c>
      <c r="S826" s="38" t="s">
        <v>6349</v>
      </c>
      <c r="T826" s="38" t="s">
        <v>6350</v>
      </c>
      <c r="U826" s="38" t="s">
        <v>5605</v>
      </c>
      <c r="V826" s="38">
        <v>2013.0</v>
      </c>
      <c r="W826" s="38" t="s">
        <v>6353</v>
      </c>
      <c r="X826" s="38" t="s">
        <v>6355</v>
      </c>
      <c r="Y826" s="38"/>
      <c r="Z826" s="38"/>
      <c r="AA826" s="38"/>
      <c r="AB826" s="38"/>
      <c r="AC826" s="38"/>
      <c r="AD826" s="38"/>
      <c r="AE826" s="38"/>
      <c r="AF826" s="38"/>
      <c r="AG826" s="28"/>
      <c r="AH826" s="28" t="s">
        <v>428</v>
      </c>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row>
    <row r="827" ht="25.5" customHeight="1">
      <c r="A827" s="28">
        <v>223.0</v>
      </c>
      <c r="B827" s="37" t="b">
        <v>1</v>
      </c>
      <c r="C827" s="38" t="s">
        <v>106</v>
      </c>
      <c r="D827" s="38">
        <v>80.0</v>
      </c>
      <c r="E827" s="13" t="b">
        <v>0</v>
      </c>
      <c r="F827" s="13" t="b">
        <v>1</v>
      </c>
      <c r="G827" s="38" t="s">
        <v>224</v>
      </c>
      <c r="H827" s="38"/>
      <c r="I827" s="38" t="s">
        <v>376</v>
      </c>
      <c r="J827" s="38">
        <v>2.0</v>
      </c>
      <c r="K827" s="65" t="s">
        <v>5161</v>
      </c>
      <c r="L827" s="38"/>
      <c r="M827" s="38" t="s">
        <v>107</v>
      </c>
      <c r="N827" s="38">
        <v>3000.0</v>
      </c>
      <c r="O827" s="38" t="s">
        <v>470</v>
      </c>
      <c r="P827" s="40"/>
      <c r="Q827" s="38" t="s">
        <v>289</v>
      </c>
      <c r="R827" s="38">
        <v>40.0</v>
      </c>
      <c r="S827" s="38" t="s">
        <v>5603</v>
      </c>
      <c r="T827" s="38" t="s">
        <v>5604</v>
      </c>
      <c r="U827" s="38" t="s">
        <v>5605</v>
      </c>
      <c r="V827" s="38">
        <v>1989.0</v>
      </c>
      <c r="W827" s="38" t="s">
        <v>5606</v>
      </c>
      <c r="X827" s="38"/>
      <c r="Y827" s="38"/>
      <c r="Z827" s="38"/>
      <c r="AA827" s="38"/>
      <c r="AB827" s="38"/>
      <c r="AC827" s="38"/>
      <c r="AD827" s="38"/>
      <c r="AE827" s="38"/>
      <c r="AF827" s="3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row>
    <row r="828" ht="25.5" customHeight="1">
      <c r="A828" s="28">
        <v>132.0</v>
      </c>
      <c r="B828" s="37" t="b">
        <v>1</v>
      </c>
      <c r="C828" s="38" t="s">
        <v>106</v>
      </c>
      <c r="D828" s="38">
        <v>80.0</v>
      </c>
      <c r="E828" s="13" t="b">
        <v>1</v>
      </c>
      <c r="F828" s="13" t="b">
        <v>0</v>
      </c>
      <c r="G828" s="38" t="s">
        <v>284</v>
      </c>
      <c r="H828" s="38">
        <v>53.0</v>
      </c>
      <c r="I828" s="38" t="s">
        <v>224</v>
      </c>
      <c r="J828" s="38"/>
      <c r="K828" s="38" t="s">
        <v>224</v>
      </c>
      <c r="L828" s="38"/>
      <c r="M828" s="38" t="s">
        <v>1196</v>
      </c>
      <c r="N828" s="38" t="s">
        <v>1197</v>
      </c>
      <c r="O828" s="38" t="s">
        <v>1198</v>
      </c>
      <c r="P828" s="40"/>
      <c r="Q828" s="38" t="s">
        <v>298</v>
      </c>
      <c r="R828" s="38">
        <v>44.0</v>
      </c>
      <c r="S828" s="38" t="s">
        <v>4933</v>
      </c>
      <c r="T828" s="38" t="s">
        <v>4934</v>
      </c>
      <c r="U828" s="38" t="s">
        <v>4935</v>
      </c>
      <c r="V828" s="38">
        <v>1995.0</v>
      </c>
      <c r="W828" s="38" t="s">
        <v>753</v>
      </c>
      <c r="X828" s="38" t="s">
        <v>1255</v>
      </c>
      <c r="Y828" s="38"/>
      <c r="Z828" s="38"/>
      <c r="AA828" s="38"/>
      <c r="AB828" s="38"/>
      <c r="AC828" s="38"/>
      <c r="AD828" s="38"/>
      <c r="AE828" s="38"/>
      <c r="AF828" s="3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row>
    <row r="829" ht="25.5" customHeight="1">
      <c r="A829" s="28">
        <v>10336.0</v>
      </c>
      <c r="B829" s="37" t="b">
        <v>1</v>
      </c>
      <c r="C829" s="38" t="s">
        <v>238</v>
      </c>
      <c r="D829" s="38">
        <v>81.0</v>
      </c>
      <c r="E829" s="13" t="b">
        <v>0</v>
      </c>
      <c r="F829" s="13" t="b">
        <v>1</v>
      </c>
      <c r="G829" s="38" t="s">
        <v>224</v>
      </c>
      <c r="H829" s="38"/>
      <c r="I829" s="38" t="s">
        <v>280</v>
      </c>
      <c r="J829" s="38">
        <v>10.0</v>
      </c>
      <c r="K829" s="38"/>
      <c r="L829" s="38"/>
      <c r="M829" s="38" t="s">
        <v>411</v>
      </c>
      <c r="N829" s="38">
        <v>21000.0</v>
      </c>
      <c r="O829" s="38" t="s">
        <v>4546</v>
      </c>
      <c r="P829" s="40"/>
      <c r="Q829" s="38" t="s">
        <v>272</v>
      </c>
      <c r="R829" s="38">
        <v>42.0</v>
      </c>
      <c r="S829" s="38" t="s">
        <v>4548</v>
      </c>
      <c r="T829" s="38" t="s">
        <v>4550</v>
      </c>
      <c r="U829" s="38" t="s">
        <v>4552</v>
      </c>
      <c r="V829" s="42">
        <v>41872.0</v>
      </c>
      <c r="W829" s="38" t="s">
        <v>4555</v>
      </c>
      <c r="X829" s="38" t="s">
        <v>4558</v>
      </c>
      <c r="Y829" s="38"/>
      <c r="Z829" s="38"/>
      <c r="AA829" s="38"/>
      <c r="AB829" s="38"/>
      <c r="AC829" s="38"/>
      <c r="AD829" s="38"/>
      <c r="AE829" s="38"/>
      <c r="AF829" s="38"/>
      <c r="AG829" s="28"/>
      <c r="AH829" s="28"/>
      <c r="AI829" s="28"/>
      <c r="AJ829" s="28"/>
      <c r="AK829" s="28"/>
      <c r="AL829" s="28"/>
      <c r="AM829" s="28"/>
      <c r="AN829" s="28"/>
      <c r="AO829" s="28"/>
      <c r="AP829" s="28"/>
      <c r="AQ829" s="28"/>
      <c r="AR829" s="28"/>
      <c r="AS829" s="28"/>
      <c r="AT829" s="28"/>
      <c r="AU829" s="28"/>
      <c r="AV829" s="28"/>
      <c r="AW829" s="28"/>
      <c r="AX829" s="28"/>
      <c r="AY829" s="28"/>
      <c r="AZ829" s="28" t="s">
        <v>998</v>
      </c>
      <c r="BA829" s="28"/>
      <c r="BB829" s="28"/>
      <c r="BC829" s="28"/>
      <c r="BD829" s="28"/>
      <c r="BE829" s="28"/>
      <c r="BF829" s="28"/>
      <c r="BG829" s="28"/>
      <c r="BH829" s="28"/>
      <c r="BI829" s="28"/>
      <c r="BJ829" s="28"/>
      <c r="BK829" s="28"/>
      <c r="BL829" s="28"/>
      <c r="BM829" s="28"/>
      <c r="BN829" s="28"/>
      <c r="BO829" s="28"/>
    </row>
    <row r="830" ht="25.5" customHeight="1">
      <c r="A830" s="28">
        <v>470.0</v>
      </c>
      <c r="B830" s="37" t="b">
        <v>1</v>
      </c>
      <c r="C830" s="38" t="s">
        <v>106</v>
      </c>
      <c r="D830" s="38">
        <v>80.0</v>
      </c>
      <c r="E830" s="13" t="b">
        <v>0</v>
      </c>
      <c r="F830" s="13" t="b">
        <v>1</v>
      </c>
      <c r="G830" s="38" t="s">
        <v>224</v>
      </c>
      <c r="H830" s="38"/>
      <c r="I830" s="38" t="s">
        <v>772</v>
      </c>
      <c r="J830" s="38">
        <v>5.0</v>
      </c>
      <c r="K830" s="38" t="s">
        <v>6433</v>
      </c>
      <c r="L830" s="38">
        <v>502.0</v>
      </c>
      <c r="M830" s="38" t="s">
        <v>239</v>
      </c>
      <c r="N830" s="38">
        <v>4000.0</v>
      </c>
      <c r="O830" s="38" t="s">
        <v>605</v>
      </c>
      <c r="P830" s="40"/>
      <c r="Q830" s="38" t="s">
        <v>289</v>
      </c>
      <c r="R830" s="38">
        <v>40.0</v>
      </c>
      <c r="S830" s="38" t="s">
        <v>6714</v>
      </c>
      <c r="T830" s="38" t="s">
        <v>6715</v>
      </c>
      <c r="U830" s="38" t="s">
        <v>6717</v>
      </c>
      <c r="V830" s="38">
        <v>2013.0</v>
      </c>
      <c r="W830" s="38" t="s">
        <v>6722</v>
      </c>
      <c r="X830" s="49" t="str">
        <f>HYPERLINK("http://www.nber.org/papers/w19510","http://www.nber.org/papers/w19510")</f>
        <v>http://www.nber.org/papers/w19510</v>
      </c>
      <c r="Y830" s="38"/>
      <c r="Z830" s="38"/>
      <c r="AA830" s="38"/>
      <c r="AB830" s="38"/>
      <c r="AC830" s="38"/>
      <c r="AD830" s="38"/>
      <c r="AE830" s="38"/>
      <c r="AF830" s="38"/>
      <c r="AG830" s="28"/>
      <c r="AH830" s="28" t="s">
        <v>269</v>
      </c>
      <c r="AI830" s="28" t="s">
        <v>270</v>
      </c>
      <c r="AJ830" s="28"/>
      <c r="AK830" s="28"/>
      <c r="AL830" s="28"/>
      <c r="AM830" s="28"/>
      <c r="AN830" s="28"/>
      <c r="AO830" s="28"/>
      <c r="AP830" s="28"/>
      <c r="AQ830" s="28"/>
      <c r="AR830" s="28"/>
      <c r="AS830" s="28"/>
      <c r="AT830" s="28"/>
      <c r="AU830" s="28"/>
      <c r="AV830" s="28"/>
      <c r="AW830" s="28"/>
      <c r="AX830" s="28"/>
      <c r="AY830" s="28"/>
      <c r="AZ830" s="28"/>
      <c r="BA830" s="28" t="s">
        <v>1023</v>
      </c>
      <c r="BB830" s="28"/>
      <c r="BC830" s="28"/>
      <c r="BD830" s="28"/>
      <c r="BE830" s="28"/>
      <c r="BF830" s="28"/>
      <c r="BG830" s="28"/>
      <c r="BH830" s="28"/>
      <c r="BI830" s="28"/>
      <c r="BJ830" s="28"/>
      <c r="BK830" s="28"/>
      <c r="BL830" s="28"/>
      <c r="BM830" s="28"/>
      <c r="BN830" s="28"/>
      <c r="BO830" s="28"/>
    </row>
    <row r="831" ht="25.5" customHeight="1">
      <c r="A831" s="28">
        <v>10007.0</v>
      </c>
      <c r="B831" s="37" t="b">
        <v>1</v>
      </c>
      <c r="C831" s="38" t="s">
        <v>238</v>
      </c>
      <c r="D831" s="38">
        <v>81.0</v>
      </c>
      <c r="E831" s="13" t="b">
        <v>1</v>
      </c>
      <c r="F831" s="13" t="b">
        <v>0</v>
      </c>
      <c r="G831" s="38" t="s">
        <v>224</v>
      </c>
      <c r="H831" s="38"/>
      <c r="I831" s="38" t="s">
        <v>1322</v>
      </c>
      <c r="J831" s="38">
        <v>4.0</v>
      </c>
      <c r="K831" s="38"/>
      <c r="L831" s="38"/>
      <c r="M831" s="38" t="s">
        <v>35</v>
      </c>
      <c r="N831" s="38">
        <v>2000.0</v>
      </c>
      <c r="O831" s="38" t="s">
        <v>837</v>
      </c>
      <c r="P831" s="40">
        <v>2001.0</v>
      </c>
      <c r="Q831" s="38" t="s">
        <v>289</v>
      </c>
      <c r="R831" s="38">
        <v>40.0</v>
      </c>
      <c r="S831" s="38" t="s">
        <v>1323</v>
      </c>
      <c r="T831" s="38" t="s">
        <v>1324</v>
      </c>
      <c r="U831" s="38" t="s">
        <v>1325</v>
      </c>
      <c r="V831" s="55">
        <v>42008.0</v>
      </c>
      <c r="W831" s="38" t="s">
        <v>1326</v>
      </c>
      <c r="X831" s="49" t="str">
        <f>HYPERLINK("http://www.nytimes.com/roomfordebate/2015/01/04/are-conspiracy-theories-all-bad-17/the-negative-social-impact-of-conspiracy-theories","http://www.nytimes.com/roomfordebate/2015/01/04/are-conspiracy-theories-all-bad-17/the-negative-social-impact-of-conspiracy-theories")</f>
        <v>http://www.nytimes.com/roomfordebate/2015/01/04/are-conspiracy-theories-all-bad-17/the-negative-social-impact-of-conspiracy-theories</v>
      </c>
      <c r="Y831" s="38"/>
      <c r="Z831" s="38"/>
      <c r="AA831" s="38"/>
      <c r="AB831" s="38"/>
      <c r="AC831" s="38"/>
      <c r="AD831" s="38"/>
      <c r="AE831" s="38"/>
      <c r="AF831" s="38"/>
      <c r="AG831" s="28"/>
      <c r="AH831" s="28" t="s">
        <v>462</v>
      </c>
      <c r="AI831" s="28" t="s">
        <v>462</v>
      </c>
      <c r="AJ831" s="28"/>
      <c r="AK831" s="28" t="s">
        <v>676</v>
      </c>
      <c r="AL831" s="28" t="s">
        <v>600</v>
      </c>
      <c r="AM831" s="28"/>
      <c r="AN831" s="54"/>
      <c r="AO831" s="54"/>
      <c r="AP831" s="28"/>
      <c r="AQ831" s="28"/>
      <c r="AR831" s="28"/>
      <c r="AS831" s="54"/>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row>
    <row r="832" ht="25.5" customHeight="1">
      <c r="A832" s="28">
        <v>10011.0</v>
      </c>
      <c r="B832" s="37" t="b">
        <v>1</v>
      </c>
      <c r="C832" s="38" t="s">
        <v>238</v>
      </c>
      <c r="D832" s="38">
        <v>81.0</v>
      </c>
      <c r="E832" s="13" t="b">
        <v>1</v>
      </c>
      <c r="F832" s="13" t="b">
        <v>0</v>
      </c>
      <c r="G832" s="38" t="s">
        <v>224</v>
      </c>
      <c r="H832" s="38"/>
      <c r="I832" s="38" t="s">
        <v>1361</v>
      </c>
      <c r="J832" s="38" t="s">
        <v>1383</v>
      </c>
      <c r="K832" s="38"/>
      <c r="L832" s="38"/>
      <c r="M832" s="38" t="s">
        <v>35</v>
      </c>
      <c r="N832" s="38">
        <v>2000.0</v>
      </c>
      <c r="O832" s="38" t="s">
        <v>837</v>
      </c>
      <c r="P832" s="40">
        <v>2001.0</v>
      </c>
      <c r="Q832" s="38" t="s">
        <v>289</v>
      </c>
      <c r="R832" s="38">
        <v>40.0</v>
      </c>
      <c r="S832" s="38" t="s">
        <v>1384</v>
      </c>
      <c r="T832" s="38" t="s">
        <v>1385</v>
      </c>
      <c r="U832" s="38" t="s">
        <v>1325</v>
      </c>
      <c r="V832" s="55">
        <v>41953.0</v>
      </c>
      <c r="W832" s="38" t="s">
        <v>1390</v>
      </c>
      <c r="X832" s="49" t="str">
        <f>HYPERLINK("http://dotearth.blogs.nytimes.com/2014/11/10/how-solution-aversion-and-global-warming-prescriptions-polarize-the-climate-debate/?emc=edit_tnt_20141111&amp;nlid=59604398&amp;tntemail0=y&amp;_r=2","http://dotearth.blogs.nytimes.com/2014/11/10/how-solution-aversion-and-global-warming-prescriptions-polarize-the-climate-debate/?emc=edit_tnt_20141111&amp;nlid=59604398&amp;tntemail0=y&amp;_r=2")</f>
        <v>http://dotearth.blogs.nytimes.com/2014/11/10/how-solution-aversion-and-global-warming-prescriptions-polarize-the-climate-debate/?emc=edit_tnt_20141111&amp;nlid=59604398&amp;tntemail0=y&amp;_r=2</v>
      </c>
      <c r="Y832" s="38"/>
      <c r="Z832" s="38"/>
      <c r="AA832" s="38"/>
      <c r="AB832" s="38"/>
      <c r="AC832" s="38"/>
      <c r="AD832" s="38"/>
      <c r="AE832" s="38"/>
      <c r="AF832" s="38"/>
      <c r="AG832" s="28"/>
      <c r="AH832" s="28" t="s">
        <v>462</v>
      </c>
      <c r="AI832" s="28" t="s">
        <v>462</v>
      </c>
      <c r="AJ832" s="28"/>
      <c r="AK832" s="28" t="s">
        <v>676</v>
      </c>
      <c r="AL832" s="28" t="s">
        <v>600</v>
      </c>
      <c r="AM832" s="28"/>
      <c r="AN832" s="54"/>
      <c r="AO832" s="54"/>
      <c r="AP832" s="66"/>
      <c r="AQ832" s="28"/>
      <c r="AR832" s="28"/>
      <c r="AS832" s="54"/>
      <c r="AT832" s="28" t="s">
        <v>1406</v>
      </c>
      <c r="AU832" s="28"/>
      <c r="AV832" s="28"/>
      <c r="AW832" s="28"/>
      <c r="AX832" s="28" t="s">
        <v>428</v>
      </c>
      <c r="AY832" s="28"/>
      <c r="AZ832" s="28"/>
      <c r="BA832" s="28"/>
      <c r="BB832" s="28"/>
      <c r="BC832" s="28"/>
      <c r="BD832" s="28"/>
      <c r="BE832" s="28"/>
      <c r="BF832" s="28"/>
      <c r="BG832" s="28"/>
      <c r="BH832" s="28"/>
      <c r="BI832" s="28"/>
      <c r="BJ832" s="28"/>
      <c r="BK832" s="28"/>
      <c r="BL832" s="28"/>
      <c r="BM832" s="28"/>
      <c r="BN832" s="28"/>
      <c r="BO832" s="28"/>
    </row>
    <row r="833" ht="25.5" customHeight="1">
      <c r="A833" s="28">
        <v>10016.0</v>
      </c>
      <c r="B833" s="37" t="b">
        <v>1</v>
      </c>
      <c r="C833" s="38" t="s">
        <v>238</v>
      </c>
      <c r="D833" s="38">
        <v>81.0</v>
      </c>
      <c r="E833" s="13" t="b">
        <v>1</v>
      </c>
      <c r="F833" s="13" t="b">
        <v>0</v>
      </c>
      <c r="G833" s="38" t="s">
        <v>224</v>
      </c>
      <c r="H833" s="38"/>
      <c r="I833" s="38" t="s">
        <v>1443</v>
      </c>
      <c r="J833" s="38" t="s">
        <v>757</v>
      </c>
      <c r="K833" s="38"/>
      <c r="L833" s="38"/>
      <c r="M833" s="38" t="s">
        <v>388</v>
      </c>
      <c r="N833" s="38">
        <v>14000.0</v>
      </c>
      <c r="O833" s="38" t="s">
        <v>224</v>
      </c>
      <c r="P833" s="40"/>
      <c r="Q833" s="38" t="s">
        <v>289</v>
      </c>
      <c r="R833" s="38">
        <v>40.0</v>
      </c>
      <c r="S833" s="38" t="s">
        <v>1444</v>
      </c>
      <c r="T833" s="38" t="s">
        <v>1445</v>
      </c>
      <c r="U833" s="38" t="s">
        <v>1325</v>
      </c>
      <c r="V833" s="55">
        <v>42273.0</v>
      </c>
      <c r="W833" s="38" t="s">
        <v>1446</v>
      </c>
      <c r="X833" s="49" t="str">
        <f>HYPERLINK("http://www.nytimes.com/2015/09/27/opinion/sunday/the-curious-politics-of-the-nudge.html?smid=tw-nytopinion&amp;smtyp=cur","http://www.nytimes.com/2015/09/27/opinion/sunday/the-curious-politics-of-the-nudge.html?smid=tw-nytopinion&amp;smtyp=cur")</f>
        <v>http://www.nytimes.com/2015/09/27/opinion/sunday/the-curious-politics-of-the-nudge.html?smid=tw-nytopinion&amp;smtyp=cur</v>
      </c>
      <c r="Y833" s="38"/>
      <c r="Z833" s="38"/>
      <c r="AA833" s="38"/>
      <c r="AB833" s="38"/>
      <c r="AC833" s="38"/>
      <c r="AD833" s="38"/>
      <c r="AE833" s="38"/>
      <c r="AF833" s="38"/>
      <c r="AG833" s="28"/>
      <c r="AH833" s="28" t="s">
        <v>462</v>
      </c>
      <c r="AI833" s="28" t="s">
        <v>462</v>
      </c>
      <c r="AJ833" s="28"/>
      <c r="AK833" s="28" t="s">
        <v>676</v>
      </c>
      <c r="AL833" s="28" t="s">
        <v>677</v>
      </c>
      <c r="AM833" s="28"/>
      <c r="AN833" s="54"/>
      <c r="AO833" s="54"/>
      <c r="AP833" s="28"/>
      <c r="AQ833" s="28"/>
      <c r="AR833" s="28"/>
      <c r="AS833" s="54"/>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row>
    <row r="834" ht="25.5" customHeight="1">
      <c r="A834" s="28">
        <v>10047.0</v>
      </c>
      <c r="B834" s="37" t="b">
        <v>1</v>
      </c>
      <c r="C834" s="38" t="s">
        <v>238</v>
      </c>
      <c r="D834" s="38">
        <v>81.0</v>
      </c>
      <c r="E834" s="13" t="b">
        <v>1</v>
      </c>
      <c r="F834" s="13" t="b">
        <v>0</v>
      </c>
      <c r="G834" s="38" t="s">
        <v>224</v>
      </c>
      <c r="H834" s="38"/>
      <c r="I834" s="38" t="s">
        <v>376</v>
      </c>
      <c r="J834" s="38">
        <v>2.0</v>
      </c>
      <c r="K834" s="38"/>
      <c r="L834" s="38"/>
      <c r="M834" s="38" t="s">
        <v>388</v>
      </c>
      <c r="N834" s="38">
        <v>14000.0</v>
      </c>
      <c r="O834" s="38" t="s">
        <v>224</v>
      </c>
      <c r="P834" s="40"/>
      <c r="Q834" s="38" t="s">
        <v>289</v>
      </c>
      <c r="R834" s="38">
        <v>40.0</v>
      </c>
      <c r="S834" s="38" t="s">
        <v>1812</v>
      </c>
      <c r="T834" s="38" t="s">
        <v>1813</v>
      </c>
      <c r="U834" s="38" t="s">
        <v>1325</v>
      </c>
      <c r="V834" s="55">
        <v>41944.0</v>
      </c>
      <c r="W834" s="38" t="s">
        <v>1814</v>
      </c>
      <c r="X834" s="49" t="str">
        <f>HYPERLINK("http://www.nytimes.com/2014/11/02/business/that-devil-on-your-shoulder-likes-to-sleep-in.html?smid=fb-share","http://www.nytimes.com/2014/11/02/business/that-devil-on-your-shoulder-likes-to-sleep-in.html?smid=fb-share")</f>
        <v>http://www.nytimes.com/2014/11/02/business/that-devil-on-your-shoulder-likes-to-sleep-in.html?smid=fb-share</v>
      </c>
      <c r="Y834" s="38"/>
      <c r="Z834" s="38"/>
      <c r="AA834" s="38"/>
      <c r="AB834" s="38"/>
      <c r="AC834" s="38"/>
      <c r="AD834" s="38"/>
      <c r="AE834" s="38"/>
      <c r="AF834" s="38"/>
      <c r="AG834" s="28"/>
      <c r="AH834" s="28" t="s">
        <v>462</v>
      </c>
      <c r="AI834" s="28" t="s">
        <v>462</v>
      </c>
      <c r="AJ834" s="28"/>
      <c r="AK834" s="28" t="s">
        <v>676</v>
      </c>
      <c r="AL834" s="28" t="s">
        <v>677</v>
      </c>
      <c r="AM834" s="28" t="s">
        <v>1105</v>
      </c>
      <c r="AN834" s="54" t="s">
        <v>1105</v>
      </c>
      <c r="AO834" s="54"/>
      <c r="AP834" s="28"/>
      <c r="AQ834" s="28" t="s">
        <v>769</v>
      </c>
      <c r="AR834" s="28"/>
      <c r="AS834" s="54">
        <v>41947.0</v>
      </c>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row>
    <row r="835" ht="25.5" customHeight="1">
      <c r="A835" s="28">
        <v>10054.0</v>
      </c>
      <c r="B835" s="37" t="b">
        <v>1</v>
      </c>
      <c r="C835" s="38" t="s">
        <v>238</v>
      </c>
      <c r="D835" s="38">
        <v>81.0</v>
      </c>
      <c r="E835" s="13" t="b">
        <v>1</v>
      </c>
      <c r="F835" s="13" t="b">
        <v>0</v>
      </c>
      <c r="G835" s="38" t="s">
        <v>224</v>
      </c>
      <c r="H835" s="38"/>
      <c r="I835" s="38" t="s">
        <v>490</v>
      </c>
      <c r="J835" s="38">
        <v>6.0</v>
      </c>
      <c r="K835" s="38"/>
      <c r="L835" s="38"/>
      <c r="M835" s="38" t="s">
        <v>388</v>
      </c>
      <c r="N835" s="38">
        <v>14000.0</v>
      </c>
      <c r="O835" s="38" t="s">
        <v>224</v>
      </c>
      <c r="P835" s="40"/>
      <c r="Q835" s="38" t="s">
        <v>289</v>
      </c>
      <c r="R835" s="38">
        <v>40.0</v>
      </c>
      <c r="S835" s="38" t="s">
        <v>1889</v>
      </c>
      <c r="T835" s="38" t="s">
        <v>1799</v>
      </c>
      <c r="U835" s="38" t="s">
        <v>1325</v>
      </c>
      <c r="V835" s="55">
        <v>40205.0</v>
      </c>
      <c r="W835" s="38" t="s">
        <v>1890</v>
      </c>
      <c r="X835" s="49" t="str">
        <f>HYPERLINK("http://tierneylab.blogs.nytimes.com/2010/01/27/monkeys-candy-and-cognitive-dissonance/?_r=0","http://tierneylab.blogs.nytimes.com/2010/01/27/monkeys-candy-and-cognitive-dissonance/?_r=0")</f>
        <v>http://tierneylab.blogs.nytimes.com/2010/01/27/monkeys-candy-and-cognitive-dissonance/?_r=0</v>
      </c>
      <c r="Y835" s="38"/>
      <c r="Z835" s="38"/>
      <c r="AA835" s="38"/>
      <c r="AB835" s="38"/>
      <c r="AC835" s="38"/>
      <c r="AD835" s="38"/>
      <c r="AE835" s="38"/>
      <c r="AF835" s="38"/>
      <c r="AG835" s="28"/>
      <c r="AH835" s="28" t="s">
        <v>428</v>
      </c>
      <c r="AI835" s="28" t="s">
        <v>462</v>
      </c>
      <c r="AJ835" s="28"/>
      <c r="AK835" s="28"/>
      <c r="AL835" s="28" t="s">
        <v>677</v>
      </c>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row>
    <row r="836" ht="25.5" customHeight="1">
      <c r="A836" s="28">
        <v>10019.0</v>
      </c>
      <c r="B836" s="37" t="b">
        <v>1</v>
      </c>
      <c r="C836" s="38" t="s">
        <v>238</v>
      </c>
      <c r="D836" s="38">
        <v>81.0</v>
      </c>
      <c r="E836" s="13" t="b">
        <v>1</v>
      </c>
      <c r="F836" s="13" t="b">
        <v>0</v>
      </c>
      <c r="G836" s="38" t="s">
        <v>363</v>
      </c>
      <c r="H836" s="38">
        <v>58.0</v>
      </c>
      <c r="I836" s="38" t="s">
        <v>224</v>
      </c>
      <c r="J836" s="38"/>
      <c r="K836" s="38" t="s">
        <v>224</v>
      </c>
      <c r="L836" s="38"/>
      <c r="M836" s="38" t="s">
        <v>388</v>
      </c>
      <c r="N836" s="38">
        <v>14000.0</v>
      </c>
      <c r="O836" s="38" t="s">
        <v>224</v>
      </c>
      <c r="P836" s="40"/>
      <c r="Q836" s="38" t="s">
        <v>289</v>
      </c>
      <c r="R836" s="38">
        <v>40.0</v>
      </c>
      <c r="S836" s="38" t="s">
        <v>1479</v>
      </c>
      <c r="T836" s="38" t="s">
        <v>752</v>
      </c>
      <c r="U836" s="38" t="s">
        <v>1325</v>
      </c>
      <c r="V836" s="55">
        <v>41767.0</v>
      </c>
      <c r="W836" s="38"/>
      <c r="X836" s="49" t="str">
        <f>HYPERLINK("http://www.nytimes.com/2014/05/09/upshot/vaccine-opponents-can-be-immune-to-education.html?partner=rss&amp;emc=rss&amp;smid=tw-upshot&amp;_r=2&amp;abt=0002&amp;abg=0","http://www.nytimes.com/2014/05/09/upshot/vaccine-opponents-can-be-immune-to-education.html?partner=rss&amp;emc=rss&amp;smid=tw-upshot&amp;_r=2&amp;abt=0002&amp;abg=0")</f>
        <v>http://www.nytimes.com/2014/05/09/upshot/vaccine-opponents-can-be-immune-to-education.html?partner=rss&amp;emc=rss&amp;smid=tw-upshot&amp;_r=2&amp;abt=0002&amp;abg=0</v>
      </c>
      <c r="Y836" s="38"/>
      <c r="Z836" s="38"/>
      <c r="AA836" s="38"/>
      <c r="AB836" s="38"/>
      <c r="AC836" s="38"/>
      <c r="AD836" s="38"/>
      <c r="AE836" s="38"/>
      <c r="AF836" s="38"/>
      <c r="AG836" s="28"/>
      <c r="AH836" s="28" t="s">
        <v>428</v>
      </c>
      <c r="AI836" s="28" t="s">
        <v>462</v>
      </c>
      <c r="AJ836" s="28"/>
      <c r="AK836" s="28"/>
      <c r="AL836" s="28" t="s">
        <v>677</v>
      </c>
      <c r="AM836" s="28"/>
      <c r="AN836" s="54"/>
      <c r="AO836" s="54"/>
      <c r="AP836" s="28"/>
      <c r="AQ836" s="28"/>
      <c r="AR836" s="28"/>
      <c r="AS836" s="54"/>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row>
    <row r="837" ht="25.5" customHeight="1">
      <c r="A837" s="28">
        <v>10085.0</v>
      </c>
      <c r="B837" s="37" t="b">
        <v>1</v>
      </c>
      <c r="C837" s="38" t="s">
        <v>238</v>
      </c>
      <c r="D837" s="38">
        <v>81.0</v>
      </c>
      <c r="E837" s="13" t="b">
        <v>0</v>
      </c>
      <c r="F837" s="13" t="b">
        <v>1</v>
      </c>
      <c r="G837" s="38" t="s">
        <v>224</v>
      </c>
      <c r="H837" s="38"/>
      <c r="I837" s="38" t="s">
        <v>574</v>
      </c>
      <c r="J837" s="38">
        <v>4.0</v>
      </c>
      <c r="K837" s="38"/>
      <c r="L837" s="38"/>
      <c r="M837" s="38" t="s">
        <v>35</v>
      </c>
      <c r="N837" s="38">
        <v>2000.0</v>
      </c>
      <c r="O837" s="38" t="s">
        <v>578</v>
      </c>
      <c r="P837" s="40"/>
      <c r="Q837" s="38" t="s">
        <v>289</v>
      </c>
      <c r="R837" s="38">
        <v>40.0</v>
      </c>
      <c r="S837" s="38" t="s">
        <v>2210</v>
      </c>
      <c r="T837" s="38" t="s">
        <v>2211</v>
      </c>
      <c r="U837" s="38" t="s">
        <v>1325</v>
      </c>
      <c r="V837" s="55">
        <v>42047.0</v>
      </c>
      <c r="W837" s="38"/>
      <c r="X837" s="49" t="str">
        <f>HYPERLINK("http://www.nytimes.com/2015/02/17/science/earth/in-climate-change-whats-in-a-name.html?action=click&amp;pgtype=Homepage&amp;module=c-column-middle-span-region&amp;region=c-column-middle-span-region&amp;WT.nav=c-column-middle-span-region","http://www.nytimes.com/2015/02/17/science/earth/in-climate-change-whats-in-a-name.html?action=click&amp;pgtype=Homepage&amp;module=c-column-middle-span-region&amp;region=c-column-middle-span-region&amp;WT.nav=c-column-middle-span-region")</f>
        <v>http://www.nytimes.com/2015/02/17/science/earth/in-climate-change-whats-in-a-name.html?action=click&amp;pgtype=Homepage&amp;module=c-column-middle-span-region&amp;region=c-column-middle-span-region&amp;WT.nav=c-column-middle-span-region</v>
      </c>
      <c r="Y837" s="38"/>
      <c r="Z837" s="38"/>
      <c r="AA837" s="38"/>
      <c r="AB837" s="38"/>
      <c r="AC837" s="38"/>
      <c r="AD837" s="38"/>
      <c r="AE837" s="38"/>
      <c r="AF837" s="38"/>
      <c r="AG837" s="28"/>
      <c r="AH837" s="28" t="s">
        <v>462</v>
      </c>
      <c r="AI837" s="28" t="s">
        <v>462</v>
      </c>
      <c r="AJ837" s="28"/>
      <c r="AK837" s="28" t="s">
        <v>676</v>
      </c>
      <c r="AL837" s="28" t="s">
        <v>769</v>
      </c>
      <c r="AM837" s="28" t="s">
        <v>2217</v>
      </c>
      <c r="AN837" s="54">
        <v>42192.0</v>
      </c>
      <c r="AO837" s="54"/>
      <c r="AP837" s="28"/>
      <c r="AQ837" s="28"/>
      <c r="AR837" s="28"/>
      <c r="AS837" s="54"/>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row>
    <row r="838" ht="25.5" customHeight="1">
      <c r="A838" s="28">
        <v>10090.0</v>
      </c>
      <c r="B838" s="37" t="b">
        <v>1</v>
      </c>
      <c r="C838" s="38" t="s">
        <v>238</v>
      </c>
      <c r="D838" s="38">
        <v>81.0</v>
      </c>
      <c r="E838" s="13" t="b">
        <v>0</v>
      </c>
      <c r="F838" s="13" t="b">
        <v>1</v>
      </c>
      <c r="G838" s="38" t="s">
        <v>224</v>
      </c>
      <c r="H838" s="38"/>
      <c r="I838" s="38" t="s">
        <v>574</v>
      </c>
      <c r="J838" s="38">
        <v>4.0</v>
      </c>
      <c r="K838" s="38"/>
      <c r="L838" s="38"/>
      <c r="M838" s="38" t="s">
        <v>35</v>
      </c>
      <c r="N838" s="38">
        <v>2000.0</v>
      </c>
      <c r="O838" s="38" t="s">
        <v>837</v>
      </c>
      <c r="P838" s="40">
        <v>2001.0</v>
      </c>
      <c r="Q838" s="38" t="s">
        <v>289</v>
      </c>
      <c r="R838" s="38">
        <v>40.0</v>
      </c>
      <c r="S838" s="38" t="s">
        <v>2279</v>
      </c>
      <c r="T838" s="38" t="s">
        <v>2280</v>
      </c>
      <c r="U838" s="38" t="s">
        <v>1325</v>
      </c>
      <c r="V838" s="55">
        <v>42062.0</v>
      </c>
      <c r="W838" s="38" t="s">
        <v>2283</v>
      </c>
      <c r="X838" s="49" t="str">
        <f>HYPERLINK("http://www.nytimes.com/2015/03/01/opinion/sunday/is-the-environment-a-moral-cause.html","http://www.nytimes.com/2015/03/01/opinion/sunday/is-the-environment-a-moral-cause.html")</f>
        <v>http://www.nytimes.com/2015/03/01/opinion/sunday/is-the-environment-a-moral-cause.html</v>
      </c>
      <c r="Y838" s="38"/>
      <c r="Z838" s="38"/>
      <c r="AA838" s="38"/>
      <c r="AB838" s="38"/>
      <c r="AC838" s="38"/>
      <c r="AD838" s="38"/>
      <c r="AE838" s="38"/>
      <c r="AF838" s="38"/>
      <c r="AG838" s="28" t="s">
        <v>2290</v>
      </c>
      <c r="AH838" s="28" t="s">
        <v>428</v>
      </c>
      <c r="AI838" s="28" t="s">
        <v>462</v>
      </c>
      <c r="AJ838" s="28"/>
      <c r="AK838" s="28"/>
      <c r="AL838" s="28" t="s">
        <v>769</v>
      </c>
      <c r="AM838" s="28" t="s">
        <v>2292</v>
      </c>
      <c r="AN838" s="54">
        <v>42192.0</v>
      </c>
      <c r="AO838" s="54"/>
      <c r="AP838" s="28"/>
      <c r="AQ838" s="28" t="s">
        <v>769</v>
      </c>
      <c r="AR838" s="28"/>
      <c r="AS838" s="54">
        <v>42114.0</v>
      </c>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row>
    <row r="839" ht="25.5" customHeight="1">
      <c r="A839" s="28">
        <v>10333.0</v>
      </c>
      <c r="B839" s="37" t="b">
        <v>1</v>
      </c>
      <c r="C839" s="38" t="s">
        <v>238</v>
      </c>
      <c r="D839" s="38">
        <v>81.0</v>
      </c>
      <c r="E839" s="13" t="b">
        <v>0</v>
      </c>
      <c r="F839" s="13" t="b">
        <v>1</v>
      </c>
      <c r="G839" s="38" t="s">
        <v>224</v>
      </c>
      <c r="H839" s="38"/>
      <c r="I839" s="38" t="s">
        <v>280</v>
      </c>
      <c r="J839" s="38">
        <v>10.0</v>
      </c>
      <c r="K839" s="38"/>
      <c r="L839" s="38"/>
      <c r="M839" s="38" t="s">
        <v>107</v>
      </c>
      <c r="N839" s="38">
        <v>3000.0</v>
      </c>
      <c r="O839" s="38" t="s">
        <v>470</v>
      </c>
      <c r="P839" s="40"/>
      <c r="Q839" s="38" t="s">
        <v>289</v>
      </c>
      <c r="R839" s="38">
        <v>40.0</v>
      </c>
      <c r="S839" s="38" t="s">
        <v>4519</v>
      </c>
      <c r="T839" s="38" t="s">
        <v>4520</v>
      </c>
      <c r="U839" s="38" t="s">
        <v>1325</v>
      </c>
      <c r="V839" s="55">
        <v>41367.0</v>
      </c>
      <c r="W839" s="38" t="s">
        <v>4522</v>
      </c>
      <c r="X839" s="49" t="str">
        <f>HYPERLINK("http://www.nytimes.com/2014/04/04/business/energy-environment/energy-saving-company-set-for-public-offering.html","http://www.nytimes.com/2014/04/04/business/energy-environment/energy-saving-company-set-for-public-offering.html")</f>
        <v>http://www.nytimes.com/2014/04/04/business/energy-environment/energy-saving-company-set-for-public-offering.html</v>
      </c>
      <c r="Y839" s="38"/>
      <c r="Z839" s="38"/>
      <c r="AA839" s="38"/>
      <c r="AB839" s="38"/>
      <c r="AC839" s="38"/>
      <c r="AD839" s="38"/>
      <c r="AE839" s="38"/>
      <c r="AF839" s="38"/>
      <c r="AG839" s="28"/>
      <c r="AH839" s="28" t="s">
        <v>462</v>
      </c>
      <c r="AI839" s="28" t="s">
        <v>428</v>
      </c>
      <c r="AJ839" s="28"/>
      <c r="AK839" s="28"/>
      <c r="AL839" s="28" t="s">
        <v>600</v>
      </c>
      <c r="AM839" s="28"/>
      <c r="AN839" s="28"/>
      <c r="AO839" s="28"/>
      <c r="AP839" s="28"/>
      <c r="AQ839" s="28"/>
      <c r="AR839" s="28"/>
      <c r="AS839" s="28"/>
      <c r="AT839" s="28"/>
      <c r="AU839" s="28"/>
      <c r="AV839" s="28"/>
      <c r="AW839" s="28"/>
      <c r="AX839" s="28"/>
      <c r="AY839" s="28"/>
      <c r="AZ839" s="28" t="s">
        <v>678</v>
      </c>
      <c r="BA839" s="28"/>
      <c r="BB839" s="28"/>
      <c r="BC839" s="28"/>
      <c r="BD839" s="28"/>
      <c r="BE839" s="28"/>
      <c r="BF839" s="28"/>
      <c r="BG839" s="28"/>
      <c r="BH839" s="28"/>
      <c r="BI839" s="28"/>
      <c r="BJ839" s="28"/>
      <c r="BK839" s="28"/>
      <c r="BL839" s="28"/>
      <c r="BM839" s="28"/>
      <c r="BN839" s="28"/>
      <c r="BO839" s="28"/>
    </row>
    <row r="840" ht="25.5" customHeight="1">
      <c r="A840" s="28">
        <v>10387.0</v>
      </c>
      <c r="B840" s="37" t="b">
        <v>1</v>
      </c>
      <c r="C840" s="38" t="s">
        <v>238</v>
      </c>
      <c r="D840" s="38">
        <v>81.0</v>
      </c>
      <c r="E840" s="13" t="b">
        <v>0</v>
      </c>
      <c r="F840" s="13" t="b">
        <v>1</v>
      </c>
      <c r="G840" s="38" t="s">
        <v>224</v>
      </c>
      <c r="H840" s="38"/>
      <c r="I840" s="38" t="s">
        <v>68</v>
      </c>
      <c r="J840" s="38">
        <v>7.0</v>
      </c>
      <c r="K840" s="38"/>
      <c r="L840" s="38"/>
      <c r="M840" s="38" t="s">
        <v>107</v>
      </c>
      <c r="N840" s="38">
        <v>3000.0</v>
      </c>
      <c r="O840" s="38" t="s">
        <v>470</v>
      </c>
      <c r="P840" s="40"/>
      <c r="Q840" s="38" t="s">
        <v>289</v>
      </c>
      <c r="R840" s="38">
        <v>40.0</v>
      </c>
      <c r="S840" s="38" t="s">
        <v>4994</v>
      </c>
      <c r="T840" s="38" t="s">
        <v>4996</v>
      </c>
      <c r="U840" s="38" t="s">
        <v>1325</v>
      </c>
      <c r="V840" s="55">
        <v>39843.0</v>
      </c>
      <c r="W840" s="38" t="s">
        <v>4998</v>
      </c>
      <c r="X840" s="49" t="str">
        <f>HYPERLINK("http://www.nytimes.com/2009/01/31/science/earth/31compete.html?_r=0","http://www.nytimes.com/2009/01/31/science/earth/31compete.html?_r=0")</f>
        <v>http://www.nytimes.com/2009/01/31/science/earth/31compete.html?_r=0</v>
      </c>
      <c r="Y840" s="38"/>
      <c r="Z840" s="38"/>
      <c r="AA840" s="38"/>
      <c r="AB840" s="38"/>
      <c r="AC840" s="38"/>
      <c r="AD840" s="38"/>
      <c r="AE840" s="38"/>
      <c r="AF840" s="38"/>
      <c r="AG840" s="28"/>
      <c r="AH840" s="28" t="s">
        <v>428</v>
      </c>
      <c r="AI840" s="28" t="s">
        <v>462</v>
      </c>
      <c r="AJ840" s="28"/>
      <c r="AK840" s="28"/>
      <c r="AL840" s="28" t="s">
        <v>600</v>
      </c>
      <c r="AM840" s="28" t="s">
        <v>5002</v>
      </c>
      <c r="AN840" s="54">
        <v>42430.0</v>
      </c>
      <c r="AO840" s="54"/>
      <c r="AP840" s="54">
        <v>42612.0</v>
      </c>
      <c r="AQ840" s="28"/>
      <c r="AR840" s="28"/>
      <c r="AS840" s="28"/>
      <c r="AT840" s="28"/>
      <c r="AU840" s="28"/>
      <c r="AV840" s="28"/>
      <c r="AW840" s="28"/>
      <c r="AX840" s="28"/>
      <c r="AY840" s="28"/>
      <c r="AZ840" s="28" t="s">
        <v>991</v>
      </c>
      <c r="BA840" s="28"/>
      <c r="BB840" s="28"/>
      <c r="BC840" s="28"/>
      <c r="BD840" s="28"/>
      <c r="BE840" s="28"/>
      <c r="BF840" s="28"/>
      <c r="BG840" s="28"/>
      <c r="BH840" s="28"/>
      <c r="BI840" s="28"/>
      <c r="BJ840" s="28"/>
      <c r="BK840" s="28"/>
      <c r="BL840" s="28"/>
      <c r="BM840" s="28"/>
      <c r="BN840" s="28"/>
      <c r="BO840" s="28"/>
    </row>
    <row r="841" ht="25.5" customHeight="1">
      <c r="A841" s="28">
        <v>10284.0</v>
      </c>
      <c r="B841" s="37" t="b">
        <v>1</v>
      </c>
      <c r="C841" s="38" t="s">
        <v>238</v>
      </c>
      <c r="D841" s="38">
        <v>81.0</v>
      </c>
      <c r="E841" s="13" t="b">
        <v>0</v>
      </c>
      <c r="F841" s="13" t="b">
        <v>1</v>
      </c>
      <c r="G841" s="38" t="s">
        <v>224</v>
      </c>
      <c r="H841" s="38"/>
      <c r="I841" s="38" t="s">
        <v>743</v>
      </c>
      <c r="J841" s="38" t="s">
        <v>744</v>
      </c>
      <c r="K841" s="38"/>
      <c r="L841" s="38"/>
      <c r="M841" s="38" t="s">
        <v>239</v>
      </c>
      <c r="N841" s="38">
        <v>4000.0</v>
      </c>
      <c r="O841" s="38" t="s">
        <v>623</v>
      </c>
      <c r="P841" s="40"/>
      <c r="Q841" s="38" t="s">
        <v>289</v>
      </c>
      <c r="R841" s="38">
        <v>40.0</v>
      </c>
      <c r="S841" s="38" t="s">
        <v>4089</v>
      </c>
      <c r="T841" s="38" t="s">
        <v>4090</v>
      </c>
      <c r="U841" s="38" t="s">
        <v>1325</v>
      </c>
      <c r="V841" s="55">
        <v>40769.0</v>
      </c>
      <c r="W841" s="38" t="s">
        <v>4091</v>
      </c>
      <c r="X841" s="49" t="str">
        <f>HYPERLINK("http://www.nytimes.com/2011/08/15/education/15energy.html?src=me&amp;ref=general","http://www.nytimes.com/2011/08/15/education/15energy.html?src=me&amp;ref=general")</f>
        <v>http://www.nytimes.com/2011/08/15/education/15energy.html?src=me&amp;ref=general</v>
      </c>
      <c r="Y841" s="38"/>
      <c r="Z841" s="38"/>
      <c r="AA841" s="38"/>
      <c r="AB841" s="38"/>
      <c r="AC841" s="38"/>
      <c r="AD841" s="38"/>
      <c r="AE841" s="38"/>
      <c r="AF841" s="38"/>
      <c r="AG841" s="28"/>
      <c r="AH841" s="28" t="s">
        <v>462</v>
      </c>
      <c r="AI841" s="28" t="s">
        <v>462</v>
      </c>
      <c r="AJ841" s="28"/>
      <c r="AK841" s="28"/>
      <c r="AL841" s="28" t="s">
        <v>769</v>
      </c>
      <c r="AM841" s="28" t="s">
        <v>4092</v>
      </c>
      <c r="AN841" s="54">
        <v>42461.0</v>
      </c>
      <c r="AO841" s="54"/>
      <c r="AP841" s="28"/>
      <c r="AQ841" s="28" t="s">
        <v>769</v>
      </c>
      <c r="AR841" s="28"/>
      <c r="AS841" s="54">
        <v>41941.0</v>
      </c>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row>
    <row r="842" ht="25.5" customHeight="1">
      <c r="A842" s="28">
        <v>10391.0</v>
      </c>
      <c r="B842" s="37" t="b">
        <v>1</v>
      </c>
      <c r="C842" s="38" t="s">
        <v>238</v>
      </c>
      <c r="D842" s="38">
        <v>81.0</v>
      </c>
      <c r="E842" s="13" t="b">
        <v>0</v>
      </c>
      <c r="F842" s="13" t="b">
        <v>1</v>
      </c>
      <c r="G842" s="38" t="s">
        <v>224</v>
      </c>
      <c r="H842" s="38"/>
      <c r="I842" s="38" t="s">
        <v>3651</v>
      </c>
      <c r="J842" s="38" t="s">
        <v>1231</v>
      </c>
      <c r="K842" s="38"/>
      <c r="L842" s="38"/>
      <c r="M842" s="38" t="s">
        <v>359</v>
      </c>
      <c r="N842" s="38">
        <v>10000.0</v>
      </c>
      <c r="O842" s="38" t="s">
        <v>5027</v>
      </c>
      <c r="P842" s="40"/>
      <c r="Q842" s="38" t="s">
        <v>289</v>
      </c>
      <c r="R842" s="38">
        <v>40.0</v>
      </c>
      <c r="S842" s="38" t="s">
        <v>5028</v>
      </c>
      <c r="T842" s="38" t="s">
        <v>5029</v>
      </c>
      <c r="U842" s="38" t="s">
        <v>1325</v>
      </c>
      <c r="V842" s="55">
        <v>41513.0</v>
      </c>
      <c r="W842" s="38" t="s">
        <v>5032</v>
      </c>
      <c r="X842" s="49" t="str">
        <f>HYPERLINK("http://www.nytimes.com/2013/08/28/dining/wooing-us-down-the-produce-aisle.html","http://www.nytimes.com/2013/08/28/dining/wooing-us-down-the-produce-aisle.html")</f>
        <v>http://www.nytimes.com/2013/08/28/dining/wooing-us-down-the-produce-aisle.html</v>
      </c>
      <c r="Y842" s="38"/>
      <c r="Z842" s="38"/>
      <c r="AA842" s="38"/>
      <c r="AB842" s="38"/>
      <c r="AC842" s="38"/>
      <c r="AD842" s="38"/>
      <c r="AE842" s="38"/>
      <c r="AF842" s="38"/>
      <c r="AG842" s="28"/>
      <c r="AH842" s="28" t="s">
        <v>462</v>
      </c>
      <c r="AI842" s="28" t="s">
        <v>462</v>
      </c>
      <c r="AJ842" s="28"/>
      <c r="AK842" s="28" t="s">
        <v>676</v>
      </c>
      <c r="AL842" s="28" t="s">
        <v>677</v>
      </c>
      <c r="AM842" s="28"/>
      <c r="AN842" s="28"/>
      <c r="AO842" s="28"/>
      <c r="AP842" s="28"/>
      <c r="AQ842" s="28"/>
      <c r="AR842" s="28"/>
      <c r="AS842" s="28"/>
      <c r="AT842" s="28"/>
      <c r="AU842" s="28"/>
      <c r="AV842" s="28"/>
      <c r="AW842" s="28"/>
      <c r="AX842" s="28"/>
      <c r="AY842" s="28"/>
      <c r="AZ842" s="28" t="s">
        <v>1240</v>
      </c>
      <c r="BA842" s="28"/>
      <c r="BB842" s="28"/>
      <c r="BC842" s="28"/>
      <c r="BD842" s="28"/>
      <c r="BE842" s="28"/>
      <c r="BF842" s="28"/>
      <c r="BG842" s="28"/>
      <c r="BH842" s="28"/>
      <c r="BI842" s="28"/>
      <c r="BJ842" s="28"/>
      <c r="BK842" s="28"/>
      <c r="BL842" s="28"/>
      <c r="BM842" s="28"/>
      <c r="BN842" s="28"/>
      <c r="BO842" s="28"/>
    </row>
    <row r="843" ht="25.5" customHeight="1">
      <c r="A843" s="28">
        <v>10159.0</v>
      </c>
      <c r="B843" s="37" t="b">
        <v>1</v>
      </c>
      <c r="C843" s="38" t="s">
        <v>238</v>
      </c>
      <c r="D843" s="38">
        <v>81.0</v>
      </c>
      <c r="E843" s="13" t="b">
        <v>0</v>
      </c>
      <c r="F843" s="13" t="b">
        <v>1</v>
      </c>
      <c r="G843" s="38" t="s">
        <v>224</v>
      </c>
      <c r="H843" s="38"/>
      <c r="I843" s="38" t="s">
        <v>2893</v>
      </c>
      <c r="J843" s="38" t="s">
        <v>1371</v>
      </c>
      <c r="K843" s="38"/>
      <c r="L843" s="38"/>
      <c r="M843" s="38" t="s">
        <v>388</v>
      </c>
      <c r="N843" s="38">
        <v>14000.0</v>
      </c>
      <c r="O843" s="38" t="s">
        <v>224</v>
      </c>
      <c r="P843" s="40"/>
      <c r="Q843" s="38" t="s">
        <v>111</v>
      </c>
      <c r="R843" s="38">
        <v>41.0</v>
      </c>
      <c r="S843" s="61" t="s">
        <v>2983</v>
      </c>
      <c r="T843" s="38" t="s">
        <v>2984</v>
      </c>
      <c r="U843" s="38" t="s">
        <v>1325</v>
      </c>
      <c r="V843" s="55">
        <v>42321.0</v>
      </c>
      <c r="W843" s="38" t="s">
        <v>2985</v>
      </c>
      <c r="X843" s="49" t="str">
        <f>HYPERLINK("http://www.nytimes.com/2015/11/15/opinion/sunday/the-key-to-political-persuasion.html?ref=opinion&amp;_r=1","http://www.nytimes.com/2015/11/15/opinion/sunday/the-key-to-political-persuasion.html?ref=opinion&amp;_r=1")</f>
        <v>http://www.nytimes.com/2015/11/15/opinion/sunday/the-key-to-political-persuasion.html?ref=opinion&amp;_r=1</v>
      </c>
      <c r="Y843" s="38"/>
      <c r="Z843" s="38"/>
      <c r="AA843" s="38"/>
      <c r="AB843" s="38"/>
      <c r="AC843" s="38"/>
      <c r="AD843" s="38"/>
      <c r="AE843" s="38"/>
      <c r="AF843" s="38"/>
      <c r="AG843" s="28"/>
      <c r="AH843" s="28"/>
      <c r="AI843" s="28"/>
      <c r="AJ843" s="28"/>
      <c r="AK843" s="28"/>
      <c r="AL843" s="28" t="s">
        <v>462</v>
      </c>
      <c r="AM843" s="28"/>
      <c r="AN843" s="28"/>
      <c r="AO843" s="28"/>
      <c r="AP843" s="28"/>
      <c r="AQ843" s="28" t="s">
        <v>769</v>
      </c>
      <c r="AR843" s="28" t="s">
        <v>2988</v>
      </c>
      <c r="AS843" s="28"/>
      <c r="AT843" s="28"/>
      <c r="AU843" s="28"/>
      <c r="AV843" s="28"/>
      <c r="AW843" s="28"/>
      <c r="AX843" s="28"/>
      <c r="AY843" s="28" t="s">
        <v>428</v>
      </c>
      <c r="AZ843" s="28"/>
      <c r="BA843" s="28"/>
      <c r="BB843" s="28"/>
      <c r="BC843" s="28"/>
      <c r="BD843" s="28"/>
      <c r="BE843" s="28"/>
      <c r="BF843" s="28"/>
      <c r="BG843" s="28"/>
      <c r="BH843" s="28"/>
      <c r="BI843" s="28"/>
      <c r="BJ843" s="28"/>
      <c r="BK843" s="28"/>
      <c r="BL843" s="28"/>
      <c r="BM843" s="28"/>
      <c r="BN843" s="28"/>
      <c r="BO843" s="28"/>
    </row>
    <row r="844" ht="25.5" customHeight="1">
      <c r="A844" s="28">
        <v>10267.0</v>
      </c>
      <c r="B844" s="37" t="b">
        <v>1</v>
      </c>
      <c r="C844" s="38" t="s">
        <v>238</v>
      </c>
      <c r="D844" s="38">
        <v>81.0</v>
      </c>
      <c r="E844" s="13" t="b">
        <v>0</v>
      </c>
      <c r="F844" s="13" t="b">
        <v>1</v>
      </c>
      <c r="G844" s="38" t="s">
        <v>224</v>
      </c>
      <c r="H844" s="38"/>
      <c r="I844" s="38" t="s">
        <v>3013</v>
      </c>
      <c r="J844" s="38" t="s">
        <v>3014</v>
      </c>
      <c r="K844" s="38"/>
      <c r="L844" s="38"/>
      <c r="M844" s="38" t="s">
        <v>388</v>
      </c>
      <c r="N844" s="38">
        <v>14000.0</v>
      </c>
      <c r="O844" s="38" t="s">
        <v>224</v>
      </c>
      <c r="P844" s="40"/>
      <c r="Q844" s="38" t="s">
        <v>289</v>
      </c>
      <c r="R844" s="38">
        <v>40.0</v>
      </c>
      <c r="S844" s="38" t="s">
        <v>3919</v>
      </c>
      <c r="T844" s="38" t="s">
        <v>3920</v>
      </c>
      <c r="U844" s="38" t="s">
        <v>1325</v>
      </c>
      <c r="V844" s="55">
        <v>42021.0</v>
      </c>
      <c r="W844" s="38" t="s">
        <v>3921</v>
      </c>
      <c r="X844" s="49" t="str">
        <f>HYPERLINK("http://www.nytimes.com/2015/01/18/upshot/helping-the-poor-in-higher-education-the-power-of-a-simple-nudge.html?smid=fb-nytimes&amp;smtyp=cur&amp;bicmp=AD&amp;bicmlukp=WT.mc_id&amp;bicmst=1409232722000&amp;bicmet=1419773522000&amp;abt=0002&amp;abg=0","http://www.nytimes.com/2015/01/18/upshot/helping-the-poor-in-higher-education-the-power-of-a-simple-nudge.html?smid=fb-nytimes&amp;smtyp=cur&amp;bicmp=AD&amp;bicmlukp=WT.mc_id&amp;bicmst=1409232722000&amp;bicmet=1419773522000&amp;abt=0002&amp;abg=0")</f>
        <v>http://www.nytimes.com/2015/01/18/upshot/helping-the-poor-in-higher-education-the-power-of-a-simple-nudge.html?smid=fb-nytimes&amp;smtyp=cur&amp;bicmp=AD&amp;bicmlukp=WT.mc_id&amp;bicmst=1409232722000&amp;bicmet=1419773522000&amp;abt=0002&amp;abg=0</v>
      </c>
      <c r="Y844" s="38"/>
      <c r="Z844" s="38"/>
      <c r="AA844" s="38"/>
      <c r="AB844" s="38"/>
      <c r="AC844" s="38"/>
      <c r="AD844" s="38"/>
      <c r="AE844" s="38"/>
      <c r="AF844" s="38"/>
      <c r="AG844" s="28" t="s">
        <v>3928</v>
      </c>
      <c r="AH844" s="28" t="s">
        <v>462</v>
      </c>
      <c r="AI844" s="28" t="s">
        <v>462</v>
      </c>
      <c r="AJ844" s="28"/>
      <c r="AK844" s="28" t="s">
        <v>978</v>
      </c>
      <c r="AL844" s="28" t="s">
        <v>677</v>
      </c>
      <c r="AM844" s="28"/>
      <c r="AN844" s="54"/>
      <c r="AO844" s="54"/>
      <c r="AP844" s="28"/>
      <c r="AQ844" s="28"/>
      <c r="AR844" s="28"/>
      <c r="AS844" s="54"/>
      <c r="AT844" s="28"/>
      <c r="AU844" s="28"/>
      <c r="AV844" s="28"/>
      <c r="AW844" s="28"/>
      <c r="AX844" s="28"/>
      <c r="AY844" s="28"/>
      <c r="AZ844" s="28" t="s">
        <v>678</v>
      </c>
      <c r="BA844" s="28"/>
      <c r="BB844" s="28"/>
      <c r="BC844" s="28"/>
      <c r="BD844" s="28"/>
      <c r="BE844" s="28"/>
      <c r="BF844" s="28"/>
      <c r="BG844" s="28"/>
      <c r="BH844" s="28"/>
      <c r="BI844" s="28"/>
      <c r="BJ844" s="28"/>
      <c r="BK844" s="28"/>
      <c r="BL844" s="28"/>
      <c r="BM844" s="28"/>
      <c r="BN844" s="28"/>
      <c r="BO844" s="28"/>
    </row>
    <row r="845" ht="25.5" customHeight="1">
      <c r="A845" s="28">
        <v>10303.0</v>
      </c>
      <c r="B845" s="37" t="b">
        <v>1</v>
      </c>
      <c r="C845" s="38" t="s">
        <v>238</v>
      </c>
      <c r="D845" s="38">
        <v>81.0</v>
      </c>
      <c r="E845" s="13" t="b">
        <v>0</v>
      </c>
      <c r="F845" s="13" t="b">
        <v>1</v>
      </c>
      <c r="G845" s="38" t="s">
        <v>224</v>
      </c>
      <c r="H845" s="38"/>
      <c r="I845" s="38" t="s">
        <v>490</v>
      </c>
      <c r="J845" s="38">
        <v>6.0</v>
      </c>
      <c r="K845" s="38"/>
      <c r="L845" s="38"/>
      <c r="M845" s="38" t="s">
        <v>388</v>
      </c>
      <c r="N845" s="38">
        <v>14000.0</v>
      </c>
      <c r="O845" s="38" t="s">
        <v>224</v>
      </c>
      <c r="P845" s="40"/>
      <c r="Q845" s="38" t="s">
        <v>289</v>
      </c>
      <c r="R845" s="38">
        <v>40.0</v>
      </c>
      <c r="S845" s="38" t="s">
        <v>4241</v>
      </c>
      <c r="T845" s="38" t="s">
        <v>4242</v>
      </c>
      <c r="U845" s="38" t="s">
        <v>1325</v>
      </c>
      <c r="V845" s="55">
        <v>41642.0</v>
      </c>
      <c r="W845" s="38"/>
      <c r="X845" s="49" t="str">
        <f>HYPERLINK("http://www.nytimes.com/2014/01/05/opinion/sunday/how-to-keep-your-resolutions.html?_r=0","http://www.nytimes.com/2014/01/05/opinion/sunday/how-to-keep-your-resolutions.html?_r=0")</f>
        <v>http://www.nytimes.com/2014/01/05/opinion/sunday/how-to-keep-your-resolutions.html?_r=0</v>
      </c>
      <c r="Y845" s="38"/>
      <c r="Z845" s="38"/>
      <c r="AA845" s="38"/>
      <c r="AB845" s="38"/>
      <c r="AC845" s="38"/>
      <c r="AD845" s="38"/>
      <c r="AE845" s="38"/>
      <c r="AF845" s="38"/>
      <c r="AG845" s="28" t="s">
        <v>2717</v>
      </c>
      <c r="AH845" s="28" t="s">
        <v>462</v>
      </c>
      <c r="AI845" s="28" t="s">
        <v>462</v>
      </c>
      <c r="AJ845" s="28"/>
      <c r="AK845" s="28"/>
      <c r="AL845" s="28" t="s">
        <v>677</v>
      </c>
      <c r="AM845" s="28"/>
      <c r="AN845" s="54"/>
      <c r="AO845" s="54"/>
      <c r="AP845" s="28"/>
      <c r="AQ845" s="28"/>
      <c r="AR845" s="28"/>
      <c r="AS845" s="54"/>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row>
    <row r="846" ht="25.5" customHeight="1">
      <c r="A846" s="28">
        <v>10317.0</v>
      </c>
      <c r="B846" s="37" t="b">
        <v>1</v>
      </c>
      <c r="C846" s="38" t="s">
        <v>238</v>
      </c>
      <c r="D846" s="38">
        <v>81.0</v>
      </c>
      <c r="E846" s="13" t="b">
        <v>0</v>
      </c>
      <c r="F846" s="13" t="b">
        <v>1</v>
      </c>
      <c r="G846" s="38" t="s">
        <v>224</v>
      </c>
      <c r="H846" s="38"/>
      <c r="I846" s="38" t="s">
        <v>928</v>
      </c>
      <c r="J846" s="38" t="s">
        <v>929</v>
      </c>
      <c r="K846" s="38"/>
      <c r="L846" s="38"/>
      <c r="M846" s="38" t="s">
        <v>388</v>
      </c>
      <c r="N846" s="38">
        <v>14000.0</v>
      </c>
      <c r="O846" s="38" t="s">
        <v>224</v>
      </c>
      <c r="P846" s="40"/>
      <c r="Q846" s="38" t="s">
        <v>289</v>
      </c>
      <c r="R846" s="38">
        <v>40.0</v>
      </c>
      <c r="S846" s="38" t="s">
        <v>4357</v>
      </c>
      <c r="T846" s="38" t="s">
        <v>4358</v>
      </c>
      <c r="U846" s="38" t="s">
        <v>1325</v>
      </c>
      <c r="V846" s="55">
        <v>40480.0</v>
      </c>
      <c r="W846" s="38" t="s">
        <v>4360</v>
      </c>
      <c r="X846" s="49" t="str">
        <f>HYPERLINK("http://www.nytimes.com/2010/10/31/magazine/31politics-t.html?pagewanted=all&amp;_r=0","http://www.nytimes.com/2010/10/31/magazine/31politics-t.html?pagewanted=all&amp;_r=0")</f>
        <v>http://www.nytimes.com/2010/10/31/magazine/31politics-t.html?pagewanted=all&amp;_r=0</v>
      </c>
      <c r="Y846" s="38"/>
      <c r="Z846" s="38"/>
      <c r="AA846" s="38"/>
      <c r="AB846" s="38"/>
      <c r="AC846" s="38"/>
      <c r="AD846" s="38"/>
      <c r="AE846" s="38"/>
      <c r="AF846" s="38"/>
      <c r="AG846" s="28"/>
      <c r="AH846" s="28" t="s">
        <v>4365</v>
      </c>
      <c r="AI846" s="28" t="s">
        <v>4365</v>
      </c>
      <c r="AJ846" s="28"/>
      <c r="AK846" s="28"/>
      <c r="AL846" s="28" t="s">
        <v>677</v>
      </c>
      <c r="AM846" s="28"/>
      <c r="AN846" s="54"/>
      <c r="AO846" s="54"/>
      <c r="AP846" s="28"/>
      <c r="AQ846" s="28"/>
      <c r="AR846" s="28"/>
      <c r="AS846" s="54"/>
      <c r="AT846" s="28"/>
      <c r="AU846" s="54"/>
      <c r="AV846" s="28"/>
      <c r="AW846" s="28"/>
      <c r="AX846" s="28"/>
      <c r="AY846" s="28"/>
      <c r="AZ846" s="28" t="s">
        <v>991</v>
      </c>
      <c r="BA846" s="28"/>
      <c r="BB846" s="28"/>
      <c r="BC846" s="28"/>
      <c r="BD846" s="28"/>
      <c r="BE846" s="28"/>
      <c r="BF846" s="28"/>
      <c r="BG846" s="28"/>
      <c r="BH846" s="28"/>
      <c r="BI846" s="28"/>
      <c r="BJ846" s="28"/>
      <c r="BK846" s="28"/>
      <c r="BL846" s="28"/>
      <c r="BM846" s="28"/>
      <c r="BN846" s="28"/>
      <c r="BO846" s="28"/>
    </row>
    <row r="847" ht="25.5" customHeight="1">
      <c r="A847" s="28">
        <v>10325.0</v>
      </c>
      <c r="B847" s="37" t="b">
        <v>1</v>
      </c>
      <c r="C847" s="38" t="s">
        <v>238</v>
      </c>
      <c r="D847" s="38">
        <v>81.0</v>
      </c>
      <c r="E847" s="13" t="b">
        <v>0</v>
      </c>
      <c r="F847" s="13" t="b">
        <v>1</v>
      </c>
      <c r="G847" s="38" t="s">
        <v>224</v>
      </c>
      <c r="H847" s="38"/>
      <c r="I847" s="38" t="s">
        <v>280</v>
      </c>
      <c r="J847" s="38">
        <v>10.0</v>
      </c>
      <c r="K847" s="38"/>
      <c r="L847" s="38"/>
      <c r="M847" s="38" t="s">
        <v>388</v>
      </c>
      <c r="N847" s="38">
        <v>14000.0</v>
      </c>
      <c r="O847" s="38" t="s">
        <v>224</v>
      </c>
      <c r="P847" s="40"/>
      <c r="Q847" s="38" t="s">
        <v>289</v>
      </c>
      <c r="R847" s="38">
        <v>40.0</v>
      </c>
      <c r="S847" s="38" t="s">
        <v>4433</v>
      </c>
      <c r="T847" s="38" t="s">
        <v>3944</v>
      </c>
      <c r="U847" s="38" t="s">
        <v>1325</v>
      </c>
      <c r="V847" s="55">
        <v>40955.0</v>
      </c>
      <c r="W847" s="38" t="s">
        <v>4434</v>
      </c>
      <c r="X847" s="49" t="str">
        <f>HYPERLINK("http://www.nytimes.com/2012/02/19/magazine/shopping-habits.html?pagewanted=all&amp;_r=0","http://www.nytimes.com/2012/02/19/magazine/shopping-habits.html?pagewanted=all&amp;_r=0")</f>
        <v>http://www.nytimes.com/2012/02/19/magazine/shopping-habits.html?pagewanted=all&amp;_r=0</v>
      </c>
      <c r="Y847" s="38"/>
      <c r="Z847" s="38"/>
      <c r="AA847" s="38"/>
      <c r="AB847" s="38"/>
      <c r="AC847" s="38"/>
      <c r="AD847" s="38"/>
      <c r="AE847" s="38"/>
      <c r="AF847" s="38"/>
      <c r="AG847" s="28" t="s">
        <v>1809</v>
      </c>
      <c r="AH847" s="28" t="s">
        <v>462</v>
      </c>
      <c r="AI847" s="28" t="s">
        <v>462</v>
      </c>
      <c r="AJ847" s="28"/>
      <c r="AK847" s="28" t="s">
        <v>676</v>
      </c>
      <c r="AL847" s="28" t="s">
        <v>677</v>
      </c>
      <c r="AM847" s="28"/>
      <c r="AN847" s="54"/>
      <c r="AO847" s="54"/>
      <c r="AP847" s="28"/>
      <c r="AQ847" s="28"/>
      <c r="AR847" s="28"/>
      <c r="AS847" s="54"/>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row>
    <row r="848" ht="25.5" customHeight="1">
      <c r="A848" s="28">
        <v>10380.0</v>
      </c>
      <c r="B848" s="37" t="b">
        <v>1</v>
      </c>
      <c r="C848" s="38" t="s">
        <v>238</v>
      </c>
      <c r="D848" s="38">
        <v>81.0</v>
      </c>
      <c r="E848" s="13" t="b">
        <v>0</v>
      </c>
      <c r="F848" s="13" t="b">
        <v>1</v>
      </c>
      <c r="G848" s="38" t="s">
        <v>224</v>
      </c>
      <c r="H848" s="38"/>
      <c r="I848" s="38" t="s">
        <v>712</v>
      </c>
      <c r="J848" s="38">
        <v>7.0</v>
      </c>
      <c r="K848" s="38"/>
      <c r="L848" s="38"/>
      <c r="M848" s="38" t="s">
        <v>388</v>
      </c>
      <c r="N848" s="38">
        <v>14000.0</v>
      </c>
      <c r="O848" s="38" t="s">
        <v>224</v>
      </c>
      <c r="P848" s="40"/>
      <c r="Q848" s="38" t="s">
        <v>289</v>
      </c>
      <c r="R848" s="38">
        <v>40.0</v>
      </c>
      <c r="S848" s="38" t="s">
        <v>4922</v>
      </c>
      <c r="T848" s="38" t="s">
        <v>4923</v>
      </c>
      <c r="U848" s="38" t="s">
        <v>1325</v>
      </c>
      <c r="V848" s="55">
        <v>41360.0</v>
      </c>
      <c r="W848" s="38" t="s">
        <v>4925</v>
      </c>
      <c r="X848" s="49" t="str">
        <f>HYPERLINK("http://opinionator.blogs.nytimes.com/2013/03/27/the-destructive-influence-of-imaginary-peers/","http://opinionator.blogs.nytimes.com/2013/03/27/the-destructive-influence-of-imaginary-peers/")</f>
        <v>http://opinionator.blogs.nytimes.com/2013/03/27/the-destructive-influence-of-imaginary-peers/</v>
      </c>
      <c r="Y848" s="38"/>
      <c r="Z848" s="38"/>
      <c r="AA848" s="38"/>
      <c r="AB848" s="38"/>
      <c r="AC848" s="38"/>
      <c r="AD848" s="38"/>
      <c r="AE848" s="38"/>
      <c r="AF848" s="38"/>
      <c r="AG848" s="28"/>
      <c r="AH848" s="28" t="s">
        <v>462</v>
      </c>
      <c r="AI848" s="28" t="s">
        <v>428</v>
      </c>
      <c r="AJ848" s="28"/>
      <c r="AK848" s="28"/>
      <c r="AL848" s="28" t="s">
        <v>677</v>
      </c>
      <c r="AM848" s="28"/>
      <c r="AN848" s="54"/>
      <c r="AO848" s="54"/>
      <c r="AP848" s="28"/>
      <c r="AQ848" s="28"/>
      <c r="AR848" s="28"/>
      <c r="AS848" s="54"/>
      <c r="AT848" s="28"/>
      <c r="AU848" s="28"/>
      <c r="AV848" s="28"/>
      <c r="AW848" s="28"/>
      <c r="AX848" s="28"/>
      <c r="AY848" s="28" t="s">
        <v>428</v>
      </c>
      <c r="AZ848" s="28" t="s">
        <v>731</v>
      </c>
      <c r="BA848" s="28"/>
      <c r="BB848" s="28"/>
      <c r="BC848" s="28"/>
      <c r="BD848" s="28"/>
      <c r="BE848" s="28"/>
      <c r="BF848" s="28"/>
      <c r="BG848" s="28"/>
      <c r="BH848" s="28"/>
      <c r="BI848" s="28"/>
      <c r="BJ848" s="28"/>
      <c r="BK848" s="28"/>
      <c r="BL848" s="28"/>
      <c r="BM848" s="28"/>
      <c r="BN848" s="28"/>
      <c r="BO848" s="28"/>
    </row>
    <row r="849" ht="25.5" customHeight="1">
      <c r="A849" s="28">
        <v>10046.0</v>
      </c>
      <c r="B849" s="37" t="b">
        <v>1</v>
      </c>
      <c r="C849" s="38" t="s">
        <v>238</v>
      </c>
      <c r="D849" s="38">
        <v>81.0</v>
      </c>
      <c r="E849" s="13" t="b">
        <v>1</v>
      </c>
      <c r="F849" s="13" t="b">
        <v>0</v>
      </c>
      <c r="G849" s="38" t="s">
        <v>224</v>
      </c>
      <c r="H849" s="38"/>
      <c r="I849" s="38" t="s">
        <v>376</v>
      </c>
      <c r="J849" s="38">
        <v>2.0</v>
      </c>
      <c r="K849" s="38"/>
      <c r="L849" s="38"/>
      <c r="M849" s="38" t="s">
        <v>388</v>
      </c>
      <c r="N849" s="38">
        <v>14000.0</v>
      </c>
      <c r="O849" s="38" t="s">
        <v>224</v>
      </c>
      <c r="P849" s="40"/>
      <c r="Q849" s="38" t="s">
        <v>289</v>
      </c>
      <c r="R849" s="38">
        <v>40.0</v>
      </c>
      <c r="S849" s="38" t="s">
        <v>1798</v>
      </c>
      <c r="T849" s="38" t="s">
        <v>1799</v>
      </c>
      <c r="U849" s="38" t="s">
        <v>1801</v>
      </c>
      <c r="V849" s="55">
        <v>40772.0</v>
      </c>
      <c r="W849" s="38" t="s">
        <v>1803</v>
      </c>
      <c r="X849" s="49" t="str">
        <f>HYPERLINK("http://www.nytimes.com/2011/08/21/magazine/do-you-suffer-from-decision-fatigue.html?pagewanted=all","http://www.nytimes.com/2011/08/21/magazine/do-you-suffer-from-decision-fatigue.html?pagewanted=all")</f>
        <v>http://www.nytimes.com/2011/08/21/magazine/do-you-suffer-from-decision-fatigue.html?pagewanted=all</v>
      </c>
      <c r="Y849" s="38"/>
      <c r="Z849" s="38"/>
      <c r="AA849" s="38"/>
      <c r="AB849" s="38"/>
      <c r="AC849" s="38"/>
      <c r="AD849" s="38"/>
      <c r="AE849" s="38"/>
      <c r="AF849" s="38"/>
      <c r="AG849" s="28" t="s">
        <v>1809</v>
      </c>
      <c r="AH849" s="28" t="s">
        <v>1810</v>
      </c>
      <c r="AI849" s="28" t="s">
        <v>1810</v>
      </c>
      <c r="AJ849" s="28"/>
      <c r="AK849" s="28"/>
      <c r="AL849" s="28" t="s">
        <v>677</v>
      </c>
      <c r="AM849" s="28"/>
      <c r="AN849" s="28"/>
      <c r="AO849" s="28"/>
      <c r="AP849" s="28"/>
      <c r="AQ849" s="28" t="s">
        <v>1811</v>
      </c>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row>
    <row r="850" ht="25.5" customHeight="1">
      <c r="A850" s="28">
        <v>10060.0</v>
      </c>
      <c r="B850" s="37" t="b">
        <v>1</v>
      </c>
      <c r="C850" s="38" t="s">
        <v>238</v>
      </c>
      <c r="D850" s="38">
        <v>81.0</v>
      </c>
      <c r="E850" s="13" t="b">
        <v>1</v>
      </c>
      <c r="F850" s="13" t="b">
        <v>0</v>
      </c>
      <c r="G850" s="38" t="s">
        <v>224</v>
      </c>
      <c r="H850" s="38"/>
      <c r="I850" s="38" t="s">
        <v>1153</v>
      </c>
      <c r="J850" s="38">
        <v>6.0</v>
      </c>
      <c r="K850" s="38"/>
      <c r="L850" s="38"/>
      <c r="M850" s="38" t="s">
        <v>388</v>
      </c>
      <c r="N850" s="38">
        <v>14000.0</v>
      </c>
      <c r="O850" s="38" t="s">
        <v>224</v>
      </c>
      <c r="P850" s="40"/>
      <c r="Q850" s="38" t="s">
        <v>289</v>
      </c>
      <c r="R850" s="38">
        <v>40.0</v>
      </c>
      <c r="S850" s="38" t="s">
        <v>1950</v>
      </c>
      <c r="T850" s="38" t="s">
        <v>1951</v>
      </c>
      <c r="U850" s="38" t="s">
        <v>1801</v>
      </c>
      <c r="V850" s="55">
        <v>41136.0</v>
      </c>
      <c r="W850" s="38" t="s">
        <v>1953</v>
      </c>
      <c r="X850" s="49" t="str">
        <f>HYPERLINK("http://www.nytimes.com/2012/08/19/magazine/the-mind-of-a-flip-flopper.html","http://www.nytimes.com/2012/08/19/magazine/the-mind-of-a-flip-flopper.html")</f>
        <v>http://www.nytimes.com/2012/08/19/magazine/the-mind-of-a-flip-flopper.html</v>
      </c>
      <c r="Y850" s="38"/>
      <c r="Z850" s="38"/>
      <c r="AA850" s="38"/>
      <c r="AB850" s="38"/>
      <c r="AC850" s="38"/>
      <c r="AD850" s="38"/>
      <c r="AE850" s="38"/>
      <c r="AF850" s="38"/>
      <c r="AG850" s="28"/>
      <c r="AH850" s="28" t="s">
        <v>462</v>
      </c>
      <c r="AI850" s="28" t="s">
        <v>462</v>
      </c>
      <c r="AJ850" s="28"/>
      <c r="AK850" s="28"/>
      <c r="AL850" s="28" t="s">
        <v>1659</v>
      </c>
      <c r="AM850" s="28"/>
      <c r="AN850" s="54"/>
      <c r="AO850" s="54"/>
      <c r="AP850" s="28"/>
      <c r="AQ850" s="28"/>
      <c r="AR850" s="28"/>
      <c r="AS850" s="54"/>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row>
    <row r="851" ht="25.5" customHeight="1">
      <c r="A851" s="28">
        <v>10061.0</v>
      </c>
      <c r="B851" s="37" t="b">
        <v>1</v>
      </c>
      <c r="C851" s="38" t="s">
        <v>238</v>
      </c>
      <c r="D851" s="38">
        <v>81.0</v>
      </c>
      <c r="E851" s="13" t="b">
        <v>1</v>
      </c>
      <c r="F851" s="13" t="b">
        <v>0</v>
      </c>
      <c r="G851" s="38" t="s">
        <v>224</v>
      </c>
      <c r="H851" s="38"/>
      <c r="I851" s="38" t="s">
        <v>1153</v>
      </c>
      <c r="J851" s="38">
        <v>6.0</v>
      </c>
      <c r="K851" s="38"/>
      <c r="L851" s="38"/>
      <c r="M851" s="38" t="s">
        <v>388</v>
      </c>
      <c r="N851" s="38">
        <v>14000.0</v>
      </c>
      <c r="O851" s="38" t="s">
        <v>224</v>
      </c>
      <c r="P851" s="40"/>
      <c r="Q851" s="38" t="s">
        <v>289</v>
      </c>
      <c r="R851" s="38">
        <v>40.0</v>
      </c>
      <c r="S851" s="38" t="s">
        <v>1960</v>
      </c>
      <c r="T851" s="38" t="s">
        <v>1961</v>
      </c>
      <c r="U851" s="38" t="s">
        <v>1412</v>
      </c>
      <c r="V851" s="55">
        <v>41775.0</v>
      </c>
      <c r="W851" s="38" t="s">
        <v>1962</v>
      </c>
      <c r="X851" s="38" t="s">
        <v>1963</v>
      </c>
      <c r="Y851" s="38"/>
      <c r="Z851" s="38"/>
      <c r="AA851" s="38"/>
      <c r="AB851" s="38"/>
      <c r="AC851" s="38"/>
      <c r="AD851" s="38"/>
      <c r="AE851" s="38"/>
      <c r="AF851" s="38"/>
      <c r="AG851" s="28" t="s">
        <v>1964</v>
      </c>
      <c r="AH851" s="28" t="s">
        <v>462</v>
      </c>
      <c r="AI851" s="28" t="s">
        <v>462</v>
      </c>
      <c r="AJ851" s="28"/>
      <c r="AK851" s="28" t="s">
        <v>676</v>
      </c>
      <c r="AL851" s="28" t="s">
        <v>677</v>
      </c>
      <c r="AM851" s="28"/>
      <c r="AN851" s="54"/>
      <c r="AO851" s="54"/>
      <c r="AP851" s="28"/>
      <c r="AQ851" s="28"/>
      <c r="AR851" s="28"/>
      <c r="AS851" s="54"/>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row>
    <row r="852" ht="25.5" customHeight="1">
      <c r="A852" s="28">
        <v>176.0</v>
      </c>
      <c r="B852" s="37" t="b">
        <v>1</v>
      </c>
      <c r="C852" s="38" t="s">
        <v>106</v>
      </c>
      <c r="D852" s="38">
        <v>80.0</v>
      </c>
      <c r="E852" s="13" t="b">
        <v>0</v>
      </c>
      <c r="F852" s="13" t="b">
        <v>1</v>
      </c>
      <c r="G852" s="38" t="s">
        <v>224</v>
      </c>
      <c r="H852" s="38"/>
      <c r="I852" s="38" t="s">
        <v>429</v>
      </c>
      <c r="J852" s="38">
        <v>2.0</v>
      </c>
      <c r="K852" s="38" t="s">
        <v>524</v>
      </c>
      <c r="L852" s="38">
        <v>205.0</v>
      </c>
      <c r="M852" s="38" t="s">
        <v>388</v>
      </c>
      <c r="N852" s="38">
        <v>14000.0</v>
      </c>
      <c r="O852" s="38" t="s">
        <v>224</v>
      </c>
      <c r="P852" s="40"/>
      <c r="Q852" s="38" t="s">
        <v>289</v>
      </c>
      <c r="R852" s="38">
        <v>40.0</v>
      </c>
      <c r="S852" s="38" t="s">
        <v>5291</v>
      </c>
      <c r="T852" s="38" t="s">
        <v>5292</v>
      </c>
      <c r="U852" s="38" t="s">
        <v>5293</v>
      </c>
      <c r="V852" s="38">
        <v>2012.0</v>
      </c>
      <c r="W852" s="38" t="s">
        <v>5294</v>
      </c>
      <c r="X852" s="38" t="s">
        <v>5295</v>
      </c>
      <c r="Y852" s="38"/>
      <c r="Z852" s="38"/>
      <c r="AA852" s="38"/>
      <c r="AB852" s="38"/>
      <c r="AC852" s="38"/>
      <c r="AD852" s="38"/>
      <c r="AE852" s="38"/>
      <c r="AF852" s="38"/>
      <c r="AG852" s="28"/>
      <c r="AH852" s="28" t="s">
        <v>428</v>
      </c>
      <c r="AI852" s="28" t="s">
        <v>462</v>
      </c>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row>
    <row r="853" ht="25.5" customHeight="1">
      <c r="A853" s="28">
        <v>10271.0</v>
      </c>
      <c r="B853" s="37" t="b">
        <v>1</v>
      </c>
      <c r="C853" s="38" t="s">
        <v>238</v>
      </c>
      <c r="D853" s="38">
        <v>81.0</v>
      </c>
      <c r="E853" s="13" t="b">
        <v>0</v>
      </c>
      <c r="F853" s="13" t="b">
        <v>1</v>
      </c>
      <c r="G853" s="38" t="s">
        <v>224</v>
      </c>
      <c r="H853" s="38"/>
      <c r="I853" s="38" t="s">
        <v>2664</v>
      </c>
      <c r="J853" s="38" t="s">
        <v>2666</v>
      </c>
      <c r="K853" s="38"/>
      <c r="L853" s="38"/>
      <c r="M853" s="38" t="s">
        <v>107</v>
      </c>
      <c r="N853" s="38">
        <v>3000.0</v>
      </c>
      <c r="O853" s="38" t="s">
        <v>470</v>
      </c>
      <c r="P853" s="40"/>
      <c r="Q853" s="38" t="s">
        <v>289</v>
      </c>
      <c r="R853" s="38">
        <v>40.0</v>
      </c>
      <c r="S853" s="38" t="s">
        <v>3958</v>
      </c>
      <c r="T853" s="38" t="s">
        <v>3959</v>
      </c>
      <c r="U853" s="38" t="s">
        <v>3960</v>
      </c>
      <c r="V853" s="55">
        <v>41108.0</v>
      </c>
      <c r="W853" s="38" t="s">
        <v>1193</v>
      </c>
      <c r="X853" s="49" t="str">
        <f>HYPERLINK("http://rosslandtelegraph.com/news/rosslands-energy-diet-sparks-trend-20048#.VdLqKzZRHIV","http://rosslandtelegraph.com/news/rosslands-energy-diet-sparks-trend-20048#.VdLqKzZRHIV")</f>
        <v>http://rosslandtelegraph.com/news/rosslands-energy-diet-sparks-trend-20048#.VdLqKzZRHIV</v>
      </c>
      <c r="Y853" s="38"/>
      <c r="Z853" s="38"/>
      <c r="AA853" s="38"/>
      <c r="AB853" s="38"/>
      <c r="AC853" s="38"/>
      <c r="AD853" s="38"/>
      <c r="AE853" s="38"/>
      <c r="AF853" s="38"/>
      <c r="AG853" s="28"/>
      <c r="AH853" s="28" t="s">
        <v>428</v>
      </c>
      <c r="AI853" s="28" t="s">
        <v>462</v>
      </c>
      <c r="AJ853" s="28"/>
      <c r="AK853" s="28"/>
      <c r="AL853" s="28" t="s">
        <v>600</v>
      </c>
      <c r="AM853" s="28"/>
      <c r="AN853" s="28"/>
      <c r="AO853" s="28"/>
      <c r="AP853" s="28"/>
      <c r="AQ853" s="28"/>
      <c r="AR853" s="28"/>
      <c r="AS853" s="28"/>
      <c r="AT853" s="28"/>
      <c r="AU853" s="28"/>
      <c r="AV853" s="28"/>
      <c r="AW853" s="28"/>
      <c r="AX853" s="28"/>
      <c r="AY853" s="28"/>
      <c r="AZ853" s="28" t="s">
        <v>2670</v>
      </c>
      <c r="BA853" s="28"/>
      <c r="BB853" s="28"/>
      <c r="BC853" s="28"/>
      <c r="BD853" s="28"/>
      <c r="BE853" s="28"/>
      <c r="BF853" s="28"/>
      <c r="BG853" s="28"/>
      <c r="BH853" s="28"/>
      <c r="BI853" s="28"/>
      <c r="BJ853" s="28"/>
      <c r="BK853" s="28"/>
      <c r="BL853" s="28"/>
      <c r="BM853" s="28"/>
      <c r="BN853" s="28"/>
      <c r="BO853" s="28"/>
    </row>
    <row r="854" ht="25.5" customHeight="1">
      <c r="A854" s="28">
        <v>10037.0</v>
      </c>
      <c r="B854" s="37" t="b">
        <v>1</v>
      </c>
      <c r="C854" s="38" t="s">
        <v>238</v>
      </c>
      <c r="D854" s="38">
        <v>81.0</v>
      </c>
      <c r="E854" s="13" t="b">
        <v>1</v>
      </c>
      <c r="F854" s="13" t="b">
        <v>0</v>
      </c>
      <c r="G854" s="38" t="s">
        <v>2566</v>
      </c>
      <c r="H854" s="38">
        <v>63.0</v>
      </c>
      <c r="I854" s="38" t="s">
        <v>224</v>
      </c>
      <c r="J854" s="38"/>
      <c r="K854" s="38" t="s">
        <v>224</v>
      </c>
      <c r="L854" s="38"/>
      <c r="M854" s="38" t="s">
        <v>107</v>
      </c>
      <c r="N854" s="38">
        <v>3000.0</v>
      </c>
      <c r="O854" s="38" t="s">
        <v>1223</v>
      </c>
      <c r="P854" s="40"/>
      <c r="Q854" s="38" t="s">
        <v>289</v>
      </c>
      <c r="R854" s="38">
        <v>40.0</v>
      </c>
      <c r="S854" s="38" t="s">
        <v>1703</v>
      </c>
      <c r="T854" s="38" t="s">
        <v>1704</v>
      </c>
      <c r="U854" s="38" t="s">
        <v>1705</v>
      </c>
      <c r="V854" s="55">
        <v>40422.0</v>
      </c>
      <c r="W854" s="38" t="s">
        <v>1706</v>
      </c>
      <c r="X854" s="49" t="str">
        <f>HYPERLINK("http://www.scientificamerican.com/article/green-and-mean/","http://www.scientificamerican.com/article/green-and-mean/")</f>
        <v>http://www.scientificamerican.com/article/green-and-mean/</v>
      </c>
      <c r="Y854" s="38"/>
      <c r="Z854" s="38"/>
      <c r="AA854" s="38"/>
      <c r="AB854" s="38"/>
      <c r="AC854" s="38"/>
      <c r="AD854" s="38"/>
      <c r="AE854" s="38"/>
      <c r="AF854" s="38"/>
      <c r="AG854" s="28" t="s">
        <v>1710</v>
      </c>
      <c r="AH854" s="28" t="s">
        <v>462</v>
      </c>
      <c r="AI854" s="28" t="s">
        <v>462</v>
      </c>
      <c r="AJ854" s="28"/>
      <c r="AK854" s="28"/>
      <c r="AL854" s="28" t="s">
        <v>600</v>
      </c>
      <c r="AM854" s="28"/>
      <c r="AN854" s="54"/>
      <c r="AO854" s="54"/>
      <c r="AP854" s="28"/>
      <c r="AQ854" s="28" t="s">
        <v>530</v>
      </c>
      <c r="AR854" s="28"/>
      <c r="AS854" s="54"/>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row>
    <row r="855" ht="25.5" customHeight="1">
      <c r="A855" s="28">
        <v>10025.0</v>
      </c>
      <c r="B855" s="37" t="b">
        <v>1</v>
      </c>
      <c r="C855" s="38" t="s">
        <v>238</v>
      </c>
      <c r="D855" s="38">
        <v>81.0</v>
      </c>
      <c r="E855" s="13" t="b">
        <v>1</v>
      </c>
      <c r="F855" s="13" t="b">
        <v>0</v>
      </c>
      <c r="G855" s="38" t="s">
        <v>7840</v>
      </c>
      <c r="H855" s="38" t="s">
        <v>7841</v>
      </c>
      <c r="I855" s="38" t="s">
        <v>224</v>
      </c>
      <c r="J855" s="38"/>
      <c r="K855" s="38" t="s">
        <v>224</v>
      </c>
      <c r="L855" s="38"/>
      <c r="M855" s="38" t="s">
        <v>35</v>
      </c>
      <c r="N855" s="38">
        <v>2000.0</v>
      </c>
      <c r="O855" s="38" t="s">
        <v>837</v>
      </c>
      <c r="P855" s="40">
        <v>2001.0</v>
      </c>
      <c r="Q855" s="38" t="s">
        <v>289</v>
      </c>
      <c r="R855" s="38">
        <v>40.0</v>
      </c>
      <c r="S855" s="38" t="s">
        <v>1547</v>
      </c>
      <c r="T855" s="38" t="s">
        <v>1549</v>
      </c>
      <c r="U855" s="38" t="s">
        <v>1551</v>
      </c>
      <c r="V855" s="55">
        <v>42074.0</v>
      </c>
      <c r="W855" s="38" t="s">
        <v>1552</v>
      </c>
      <c r="X855" s="49" t="str">
        <f>HYPERLINK("http://www.stanforddaily.com/2015/03/11/the-medias-role-in-climate-change-action/","http://www.stanforddaily.com/2015/03/11/the-medias-role-in-climate-change-action/")</f>
        <v>http://www.stanforddaily.com/2015/03/11/the-medias-role-in-climate-change-action/</v>
      </c>
      <c r="Y855" s="38"/>
      <c r="Z855" s="38"/>
      <c r="AA855" s="38"/>
      <c r="AB855" s="38"/>
      <c r="AC855" s="38"/>
      <c r="AD855" s="38"/>
      <c r="AE855" s="38"/>
      <c r="AF855" s="38"/>
      <c r="AG855" s="28"/>
      <c r="AH855" s="28" t="s">
        <v>462</v>
      </c>
      <c r="AI855" s="28" t="s">
        <v>462</v>
      </c>
      <c r="AJ855" s="28"/>
      <c r="AK855" s="28"/>
      <c r="AL855" s="28" t="s">
        <v>769</v>
      </c>
      <c r="AM855" s="28" t="s">
        <v>1554</v>
      </c>
      <c r="AN855" s="54">
        <v>42082.0</v>
      </c>
      <c r="AO855" s="54"/>
      <c r="AP855" s="103" t="str">
        <f>HYPERLINK("http://t.co/xPyMtdeaky","6/15/2016")</f>
        <v>6/15/2016</v>
      </c>
      <c r="AQ855" s="28" t="s">
        <v>769</v>
      </c>
      <c r="AR855" s="28"/>
      <c r="AS855" s="54">
        <v>42086.0</v>
      </c>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row>
    <row r="856" ht="25.5" customHeight="1">
      <c r="A856" s="28">
        <v>10377.0</v>
      </c>
      <c r="B856" s="37" t="b">
        <v>1</v>
      </c>
      <c r="C856" s="38" t="s">
        <v>238</v>
      </c>
      <c r="D856" s="38">
        <v>81.0</v>
      </c>
      <c r="E856" s="13" t="b">
        <v>0</v>
      </c>
      <c r="F856" s="13" t="b">
        <v>1</v>
      </c>
      <c r="G856" s="38" t="s">
        <v>224</v>
      </c>
      <c r="H856" s="38"/>
      <c r="I856" s="38" t="s">
        <v>712</v>
      </c>
      <c r="J856" s="38">
        <v>7.0</v>
      </c>
      <c r="K856" s="38"/>
      <c r="L856" s="38"/>
      <c r="M856" s="38" t="s">
        <v>35</v>
      </c>
      <c r="N856" s="38">
        <v>2000.0</v>
      </c>
      <c r="O856" s="38" t="s">
        <v>1114</v>
      </c>
      <c r="P856" s="40"/>
      <c r="Q856" s="38" t="s">
        <v>289</v>
      </c>
      <c r="R856" s="38">
        <v>40.0</v>
      </c>
      <c r="S856" s="38" t="s">
        <v>4899</v>
      </c>
      <c r="T856" s="38" t="s">
        <v>4901</v>
      </c>
      <c r="U856" s="38" t="s">
        <v>4902</v>
      </c>
      <c r="V856" s="55">
        <v>42037.0</v>
      </c>
      <c r="W856" s="38" t="s">
        <v>4903</v>
      </c>
      <c r="X856" s="49" t="str">
        <f>HYPERLINK("http://www.telegraph.co.uk/culture/books/bookreviews/11376490/Is-Shame-Necessary-New-Uses-for-an-Old-Tool-by-Jennifer-Jacquet.html","http://www.telegraph.co.uk/culture/books/bookreviews/11376490/Is-Shame-Necessary-New-Uses-for-an-Old-Tool-by-Jennifer-Jacquet.html")</f>
        <v>http://www.telegraph.co.uk/culture/books/bookreviews/11376490/Is-Shame-Necessary-New-Uses-for-an-Old-Tool-by-Jennifer-Jacquet.html</v>
      </c>
      <c r="Y856" s="38"/>
      <c r="Z856" s="38"/>
      <c r="AA856" s="38"/>
      <c r="AB856" s="38"/>
      <c r="AC856" s="38"/>
      <c r="AD856" s="38"/>
      <c r="AE856" s="38"/>
      <c r="AF856" s="38"/>
      <c r="AG856" s="28"/>
      <c r="AH856" s="28" t="s">
        <v>462</v>
      </c>
      <c r="AI856" s="28" t="s">
        <v>462</v>
      </c>
      <c r="AJ856" s="28"/>
      <c r="AK856" s="28"/>
      <c r="AL856" s="28" t="s">
        <v>600</v>
      </c>
      <c r="AM856" s="28"/>
      <c r="AN856" s="54"/>
      <c r="AO856" s="54"/>
      <c r="AP856" s="28"/>
      <c r="AQ856" s="28"/>
      <c r="AR856" s="28"/>
      <c r="AS856" s="54"/>
      <c r="AT856" s="28" t="s">
        <v>2363</v>
      </c>
      <c r="AU856" s="28"/>
      <c r="AV856" s="28"/>
      <c r="AW856" s="28"/>
      <c r="AX856" s="28" t="s">
        <v>428</v>
      </c>
      <c r="AY856" s="28"/>
      <c r="AZ856" s="28"/>
      <c r="BA856" s="28"/>
      <c r="BB856" s="28"/>
      <c r="BC856" s="28"/>
      <c r="BD856" s="28"/>
      <c r="BE856" s="28"/>
      <c r="BF856" s="28"/>
      <c r="BG856" s="28"/>
      <c r="BH856" s="28"/>
      <c r="BI856" s="28"/>
      <c r="BJ856" s="28"/>
      <c r="BK856" s="28"/>
      <c r="BL856" s="28"/>
      <c r="BM856" s="28"/>
      <c r="BN856" s="28"/>
      <c r="BO856" s="28"/>
    </row>
    <row r="857" ht="25.5" customHeight="1">
      <c r="A857" s="28">
        <v>10371.0</v>
      </c>
      <c r="B857" s="37" t="b">
        <v>1</v>
      </c>
      <c r="C857" s="38" t="s">
        <v>238</v>
      </c>
      <c r="D857" s="38">
        <v>81.0</v>
      </c>
      <c r="E857" s="13" t="b">
        <v>0</v>
      </c>
      <c r="F857" s="13" t="b">
        <v>1</v>
      </c>
      <c r="G857" s="38" t="s">
        <v>224</v>
      </c>
      <c r="H857" s="38"/>
      <c r="I857" s="38" t="s">
        <v>712</v>
      </c>
      <c r="J857" s="38">
        <v>7.0</v>
      </c>
      <c r="K857" s="38"/>
      <c r="L857" s="38"/>
      <c r="M857" s="38" t="s">
        <v>35</v>
      </c>
      <c r="N857" s="38">
        <v>2000.0</v>
      </c>
      <c r="O857" s="38" t="s">
        <v>1114</v>
      </c>
      <c r="P857" s="40"/>
      <c r="Q857" s="38" t="s">
        <v>289</v>
      </c>
      <c r="R857" s="38">
        <v>40.0</v>
      </c>
      <c r="S857" s="38" t="s">
        <v>4842</v>
      </c>
      <c r="T857" s="38" t="s">
        <v>4843</v>
      </c>
      <c r="U857" s="38" t="s">
        <v>4845</v>
      </c>
      <c r="V857" s="55">
        <v>42045.0</v>
      </c>
      <c r="W857" s="38" t="s">
        <v>4847</v>
      </c>
      <c r="X857" s="49" t="str">
        <f>HYPERLINK("http://www.uvm.edu/~uvmpr/?Page=news&amp;storyID=20208&amp;category=ucommfeatureb","http://www.uvm.edu/~uvmpr/?Page=news&amp;storyID=20208&amp;category=ucommfeatureb")</f>
        <v>http://www.uvm.edu/~uvmpr/?Page=news&amp;storyID=20208&amp;category=ucommfeatureb</v>
      </c>
      <c r="Y857" s="38"/>
      <c r="Z857" s="38"/>
      <c r="AA857" s="38"/>
      <c r="AB857" s="38"/>
      <c r="AC857" s="38"/>
      <c r="AD857" s="38"/>
      <c r="AE857" s="38"/>
      <c r="AF857" s="38"/>
      <c r="AG857" s="28"/>
      <c r="AH857" s="28" t="s">
        <v>462</v>
      </c>
      <c r="AI857" s="28" t="s">
        <v>462</v>
      </c>
      <c r="AJ857" s="28"/>
      <c r="AK857" s="28"/>
      <c r="AL857" s="28" t="s">
        <v>769</v>
      </c>
      <c r="AM857" s="28" t="s">
        <v>4853</v>
      </c>
      <c r="AN857" s="54">
        <v>42109.0</v>
      </c>
      <c r="AO857" s="54"/>
      <c r="AP857" s="103" t="str">
        <f>HYPERLINK("http://bit.ly/1Ch5c2s","6/29/2016")</f>
        <v>6/29/2016</v>
      </c>
      <c r="AQ857" s="28" t="s">
        <v>769</v>
      </c>
      <c r="AR857" s="28"/>
      <c r="AS857" s="54">
        <v>42059.0</v>
      </c>
      <c r="AT857" s="28" t="s">
        <v>2363</v>
      </c>
      <c r="AU857" s="28"/>
      <c r="AV857" s="28"/>
      <c r="AW857" s="28"/>
      <c r="AX857" s="28" t="s">
        <v>428</v>
      </c>
      <c r="AY857" s="28"/>
      <c r="AZ857" s="28" t="s">
        <v>2670</v>
      </c>
      <c r="BA857" s="28"/>
      <c r="BB857" s="28"/>
      <c r="BC857" s="28"/>
      <c r="BD857" s="28"/>
      <c r="BE857" s="28"/>
      <c r="BF857" s="28"/>
      <c r="BG857" s="28"/>
      <c r="BH857" s="28"/>
      <c r="BI857" s="28"/>
      <c r="BJ857" s="28"/>
      <c r="BK857" s="28"/>
      <c r="BL857" s="28"/>
      <c r="BM857" s="28"/>
      <c r="BN857" s="28"/>
      <c r="BO857" s="28"/>
    </row>
    <row r="858" ht="25.5" customHeight="1">
      <c r="A858" s="28">
        <v>10255.0</v>
      </c>
      <c r="B858" s="37" t="b">
        <v>1</v>
      </c>
      <c r="C858" s="38" t="s">
        <v>238</v>
      </c>
      <c r="D858" s="38">
        <v>81.0</v>
      </c>
      <c r="E858" s="13" t="b">
        <v>0</v>
      </c>
      <c r="F858" s="13" t="b">
        <v>1</v>
      </c>
      <c r="G858" s="38" t="s">
        <v>224</v>
      </c>
      <c r="H858" s="38"/>
      <c r="I858" s="38" t="s">
        <v>429</v>
      </c>
      <c r="J858" s="38">
        <v>2.0</v>
      </c>
      <c r="K858" s="38"/>
      <c r="L858" s="38"/>
      <c r="M858" s="38" t="s">
        <v>388</v>
      </c>
      <c r="N858" s="38">
        <v>14000.0</v>
      </c>
      <c r="O858" s="38" t="s">
        <v>224</v>
      </c>
      <c r="P858" s="40"/>
      <c r="Q858" s="38" t="s">
        <v>95</v>
      </c>
      <c r="R858" s="38">
        <v>41.0</v>
      </c>
      <c r="S858" s="38" t="s">
        <v>3810</v>
      </c>
      <c r="T858" s="38" t="s">
        <v>3811</v>
      </c>
      <c r="U858" s="38" t="s">
        <v>3812</v>
      </c>
      <c r="V858" s="55">
        <v>41848.0</v>
      </c>
      <c r="W858" s="38"/>
      <c r="X858" s="49" t="str">
        <f>HYPERLINK("http://www.wsj.com/articles/in-tests-scientists-try-to-change-behaviors-1406588998","http://www.wsj.com/articles/in-tests-scientists-try-to-change-behaviors-1406588998")</f>
        <v>http://www.wsj.com/articles/in-tests-scientists-try-to-change-behaviors-1406588998</v>
      </c>
      <c r="Y858" s="38"/>
      <c r="Z858" s="38"/>
      <c r="AA858" s="38"/>
      <c r="AB858" s="38"/>
      <c r="AC858" s="38"/>
      <c r="AD858" s="38"/>
      <c r="AE858" s="38"/>
      <c r="AF858" s="38"/>
      <c r="AG858" s="28" t="s">
        <v>3814</v>
      </c>
      <c r="AH858" s="28" t="s">
        <v>462</v>
      </c>
      <c r="AI858" s="28" t="s">
        <v>462</v>
      </c>
      <c r="AJ858" s="28"/>
      <c r="AK858" s="28" t="s">
        <v>676</v>
      </c>
      <c r="AL858" s="28" t="s">
        <v>677</v>
      </c>
      <c r="AM858" s="28"/>
      <c r="AN858" s="54"/>
      <c r="AO858" s="54"/>
      <c r="AP858" s="28"/>
      <c r="AQ858" s="28"/>
      <c r="AR858" s="28"/>
      <c r="AS858" s="54"/>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row>
    <row r="859" ht="25.5" customHeight="1">
      <c r="A859" s="28">
        <v>10010.0</v>
      </c>
      <c r="B859" s="37" t="b">
        <v>1</v>
      </c>
      <c r="C859" s="38" t="s">
        <v>238</v>
      </c>
      <c r="D859" s="38">
        <v>81.0</v>
      </c>
      <c r="E859" s="13" t="b">
        <v>1</v>
      </c>
      <c r="F859" s="13" t="b">
        <v>0</v>
      </c>
      <c r="G859" s="38" t="s">
        <v>224</v>
      </c>
      <c r="H859" s="38"/>
      <c r="I859" s="38" t="s">
        <v>1331</v>
      </c>
      <c r="J859" s="38" t="s">
        <v>1371</v>
      </c>
      <c r="K859" s="38"/>
      <c r="L859" s="38"/>
      <c r="M859" s="38" t="s">
        <v>35</v>
      </c>
      <c r="N859" s="38">
        <v>2000.0</v>
      </c>
      <c r="O859" s="38" t="s">
        <v>837</v>
      </c>
      <c r="P859" s="40">
        <v>2001.0</v>
      </c>
      <c r="Q859" s="38" t="s">
        <v>289</v>
      </c>
      <c r="R859" s="38">
        <v>40.0</v>
      </c>
      <c r="S859" s="38" t="s">
        <v>1373</v>
      </c>
      <c r="T859" s="38" t="s">
        <v>1374</v>
      </c>
      <c r="U859" s="38" t="s">
        <v>1375</v>
      </c>
      <c r="V859" s="55">
        <v>41953.0</v>
      </c>
      <c r="W859" s="38"/>
      <c r="X859" s="49" t="str">
        <f>HYPERLINK("https://www.washingtonpost.com/news/wonk/wp/2014/11/10/conservatives-dont-hate-climate-science-they-hate-the-lefts-climate-solutions/","https://www.washingtonpost.com/news/wonk/wp/2014/11/10/conservatives-dont-hate-climate-science-they-hate-the-lefts-climate-solutions/")</f>
        <v>https://www.washingtonpost.com/news/wonk/wp/2014/11/10/conservatives-dont-hate-climate-science-they-hate-the-lefts-climate-solutions/</v>
      </c>
      <c r="Y859" s="38"/>
      <c r="Z859" s="38"/>
      <c r="AA859" s="38"/>
      <c r="AB859" s="38"/>
      <c r="AC859" s="38"/>
      <c r="AD859" s="38"/>
      <c r="AE859" s="38"/>
      <c r="AF859" s="38"/>
      <c r="AG859" s="28"/>
      <c r="AH859" s="28" t="s">
        <v>1380</v>
      </c>
      <c r="AI859" s="28" t="s">
        <v>1381</v>
      </c>
      <c r="AJ859" s="28"/>
      <c r="AK859" s="28"/>
      <c r="AL859" s="28" t="s">
        <v>600</v>
      </c>
      <c r="AM859" s="28"/>
      <c r="AN859" s="54"/>
      <c r="AO859" s="54"/>
      <c r="AP859" s="54"/>
      <c r="AQ859" s="28"/>
      <c r="AR859" s="28"/>
      <c r="AS859" s="54"/>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row>
    <row r="860" ht="25.5" customHeight="1">
      <c r="A860" s="28">
        <v>10020.0</v>
      </c>
      <c r="B860" s="37" t="b">
        <v>1</v>
      </c>
      <c r="C860" s="38" t="s">
        <v>238</v>
      </c>
      <c r="D860" s="38">
        <v>81.0</v>
      </c>
      <c r="E860" s="13" t="b">
        <v>1</v>
      </c>
      <c r="F860" s="13" t="b">
        <v>0</v>
      </c>
      <c r="G860" s="38" t="s">
        <v>363</v>
      </c>
      <c r="H860" s="38">
        <v>58.0</v>
      </c>
      <c r="I860" s="38" t="s">
        <v>224</v>
      </c>
      <c r="J860" s="38"/>
      <c r="K860" s="38" t="s">
        <v>224</v>
      </c>
      <c r="L860" s="38"/>
      <c r="M860" s="38" t="s">
        <v>35</v>
      </c>
      <c r="N860" s="38">
        <v>2000.0</v>
      </c>
      <c r="O860" s="38" t="s">
        <v>837</v>
      </c>
      <c r="P860" s="40">
        <v>2001.0</v>
      </c>
      <c r="Q860" s="38" t="s">
        <v>289</v>
      </c>
      <c r="R860" s="38">
        <v>40.0</v>
      </c>
      <c r="S860" s="61" t="s">
        <v>1489</v>
      </c>
      <c r="T860" s="38" t="s">
        <v>1496</v>
      </c>
      <c r="U860" s="38" t="s">
        <v>1375</v>
      </c>
      <c r="V860" s="55">
        <v>42373.0</v>
      </c>
      <c r="W860" s="38" t="s">
        <v>1497</v>
      </c>
      <c r="X860" s="49" t="str">
        <f>HYPERLINK("https://www.washingtonpost.com/news/energy-environment/wp/2016/01/04/heres-how-scientific-misinformation-such-as-climate-doubt-spreads-through-social-media/","https://www.washingtonpost.com/news/energy-environment/wp/2016/01/04/heres-how-scientific-misinformation-such-as-climate-doubt-spreads-through-social-media/")</f>
        <v>https://www.washingtonpost.com/news/energy-environment/wp/2016/01/04/heres-how-scientific-misinformation-such-as-climate-doubt-spreads-through-social-media/</v>
      </c>
      <c r="Y860" s="38"/>
      <c r="Z860" s="38"/>
      <c r="AA860" s="38"/>
      <c r="AB860" s="38"/>
      <c r="AC860" s="38"/>
      <c r="AD860" s="38"/>
      <c r="AE860" s="38"/>
      <c r="AF860" s="38"/>
      <c r="AG860" s="28"/>
      <c r="AH860" s="28"/>
      <c r="AI860" s="28"/>
      <c r="AJ860" s="28"/>
      <c r="AK860" s="28"/>
      <c r="AL860" s="28" t="s">
        <v>428</v>
      </c>
      <c r="AM860" s="28" t="s">
        <v>1502</v>
      </c>
      <c r="AN860" s="54">
        <v>42654.0</v>
      </c>
      <c r="AO860" s="54"/>
      <c r="AP860" s="28"/>
      <c r="AQ860" s="28"/>
      <c r="AR860" s="28"/>
      <c r="AS860" s="28"/>
      <c r="AT860" s="28"/>
      <c r="AU860" s="28"/>
      <c r="AV860" s="28"/>
      <c r="AW860" s="28"/>
      <c r="AX860" s="28"/>
      <c r="AY860" s="28" t="s">
        <v>428</v>
      </c>
      <c r="AZ860" s="28"/>
      <c r="BA860" s="28"/>
      <c r="BB860" s="28"/>
      <c r="BC860" s="28"/>
      <c r="BD860" s="28"/>
      <c r="BE860" s="28"/>
      <c r="BF860" s="28"/>
      <c r="BG860" s="28"/>
      <c r="BH860" s="28"/>
      <c r="BI860" s="28"/>
      <c r="BJ860" s="28"/>
      <c r="BK860" s="28"/>
      <c r="BL860" s="28"/>
      <c r="BM860" s="28"/>
      <c r="BN860" s="28"/>
      <c r="BO860" s="28"/>
    </row>
    <row r="861" ht="25.5" customHeight="1">
      <c r="A861" s="28">
        <v>10035.0</v>
      </c>
      <c r="B861" s="37" t="b">
        <v>1</v>
      </c>
      <c r="C861" s="38" t="s">
        <v>238</v>
      </c>
      <c r="D861" s="38">
        <v>81.0</v>
      </c>
      <c r="E861" s="13" t="b">
        <v>1</v>
      </c>
      <c r="F861" s="13" t="b">
        <v>0</v>
      </c>
      <c r="G861" s="38" t="s">
        <v>2566</v>
      </c>
      <c r="H861" s="38">
        <v>63.0</v>
      </c>
      <c r="I861" s="38" t="s">
        <v>224</v>
      </c>
      <c r="J861" s="38"/>
      <c r="K861" s="38" t="s">
        <v>224</v>
      </c>
      <c r="L861" s="38"/>
      <c r="M861" s="38" t="s">
        <v>35</v>
      </c>
      <c r="N861" s="38">
        <v>2000.0</v>
      </c>
      <c r="O861" s="38" t="s">
        <v>1114</v>
      </c>
      <c r="P861" s="40"/>
      <c r="Q861" s="38" t="s">
        <v>324</v>
      </c>
      <c r="R861" s="38" t="s">
        <v>325</v>
      </c>
      <c r="S861" s="38" t="s">
        <v>1682</v>
      </c>
      <c r="T861" s="38" t="s">
        <v>1374</v>
      </c>
      <c r="U861" s="38" t="s">
        <v>1375</v>
      </c>
      <c r="V861" s="55">
        <v>42083.0</v>
      </c>
      <c r="W861" s="38" t="s">
        <v>1683</v>
      </c>
      <c r="X861" s="49" t="str">
        <f>HYPERLINK("http://www.washingtonpost.com/news/energy-environment/wp/2015/03/20/the-bizarre-way-that-we-justify-actions-that-waste-energy-and-are-bad-for-the-environment/?postshare=1531426944649616","http://www.washingtonpost.com/news/energy-environment/wp/2015/03/20/the-bizarre-way-that-we-justify-actions-that-waste-energy-and-are-bad-for-the-environment/?postshare=1531426944649616")</f>
        <v>http://www.washingtonpost.com/news/energy-environment/wp/2015/03/20/the-bizarre-way-that-we-justify-actions-that-waste-energy-and-are-bad-for-the-environment/?postshare=1531426944649616</v>
      </c>
      <c r="Y861" s="38"/>
      <c r="Z861" s="38"/>
      <c r="AA861" s="38"/>
      <c r="AB861" s="38"/>
      <c r="AC861" s="38"/>
      <c r="AD861" s="38"/>
      <c r="AE861" s="38"/>
      <c r="AF861" s="38"/>
      <c r="AG861" s="28"/>
      <c r="AH861" s="28" t="s">
        <v>462</v>
      </c>
      <c r="AI861" s="28" t="s">
        <v>462</v>
      </c>
      <c r="AJ861" s="28"/>
      <c r="AK861" s="28"/>
      <c r="AL861" s="28" t="s">
        <v>769</v>
      </c>
      <c r="AM861" s="28" t="s">
        <v>1687</v>
      </c>
      <c r="AN861" s="54">
        <v>42186.0</v>
      </c>
      <c r="AO861" s="54"/>
      <c r="AP861" s="54">
        <v>42564.0</v>
      </c>
      <c r="AQ861" s="28" t="s">
        <v>769</v>
      </c>
      <c r="AR861" s="28"/>
      <c r="AS861" s="54">
        <v>42200.0</v>
      </c>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row>
    <row r="862" ht="25.5" customHeight="1">
      <c r="A862" s="28">
        <v>10038.0</v>
      </c>
      <c r="B862" s="37" t="b">
        <v>1</v>
      </c>
      <c r="C862" s="38" t="s">
        <v>238</v>
      </c>
      <c r="D862" s="38">
        <v>81.0</v>
      </c>
      <c r="E862" s="13" t="b">
        <v>1</v>
      </c>
      <c r="F862" s="13" t="b">
        <v>0</v>
      </c>
      <c r="G862" s="38" t="s">
        <v>2566</v>
      </c>
      <c r="H862" s="38">
        <v>63.0</v>
      </c>
      <c r="I862" s="38" t="s">
        <v>224</v>
      </c>
      <c r="J862" s="38"/>
      <c r="K862" s="38" t="s">
        <v>224</v>
      </c>
      <c r="L862" s="38"/>
      <c r="M862" s="38" t="s">
        <v>35</v>
      </c>
      <c r="N862" s="38">
        <v>2000.0</v>
      </c>
      <c r="O862" s="38" t="s">
        <v>1114</v>
      </c>
      <c r="P862" s="40"/>
      <c r="Q862" s="38" t="s">
        <v>289</v>
      </c>
      <c r="R862" s="38">
        <v>40.0</v>
      </c>
      <c r="S862" s="38" t="s">
        <v>1712</v>
      </c>
      <c r="T862" s="38" t="s">
        <v>1713</v>
      </c>
      <c r="U862" s="38" t="s">
        <v>1375</v>
      </c>
      <c r="V862" s="55">
        <v>40377.0</v>
      </c>
      <c r="W862" s="38" t="s">
        <v>1714</v>
      </c>
      <c r="X862" s="49" t="str">
        <f>HYPERLINK("http://www.washingtonpost.com/wp-dyn/content/article/2010/07/16/AR2010071606839.html","http://www.washingtonpost.com/wp-dyn/content/article/2010/07/16/AR2010071606839.html")</f>
        <v>http://www.washingtonpost.com/wp-dyn/content/article/2010/07/16/AR2010071606839.html</v>
      </c>
      <c r="Y862" s="38"/>
      <c r="Z862" s="38"/>
      <c r="AA862" s="38"/>
      <c r="AB862" s="38"/>
      <c r="AC862" s="38"/>
      <c r="AD862" s="38"/>
      <c r="AE862" s="38"/>
      <c r="AF862" s="38"/>
      <c r="AG862" s="28" t="s">
        <v>1710</v>
      </c>
      <c r="AH862" s="28" t="s">
        <v>462</v>
      </c>
      <c r="AI862" s="28" t="s">
        <v>462</v>
      </c>
      <c r="AJ862" s="28"/>
      <c r="AK862" s="28"/>
      <c r="AL862" s="28" t="s">
        <v>769</v>
      </c>
      <c r="AM862" s="28"/>
      <c r="AN862" s="54">
        <v>42557.0</v>
      </c>
      <c r="AO862" s="54"/>
      <c r="AP862" s="28"/>
      <c r="AQ862" s="28"/>
      <c r="AR862" s="28"/>
      <c r="AS862" s="54"/>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row>
    <row r="863" ht="25.5" customHeight="1">
      <c r="A863" s="28">
        <v>10065.0</v>
      </c>
      <c r="B863" s="37" t="b">
        <v>1</v>
      </c>
      <c r="C863" s="38" t="s">
        <v>238</v>
      </c>
      <c r="D863" s="38">
        <v>81.0</v>
      </c>
      <c r="E863" s="13" t="b">
        <v>1</v>
      </c>
      <c r="F863" s="13" t="b">
        <v>0</v>
      </c>
      <c r="G863" s="38" t="s">
        <v>224</v>
      </c>
      <c r="H863" s="38"/>
      <c r="I863" s="38" t="s">
        <v>1999</v>
      </c>
      <c r="J863" s="38" t="s">
        <v>2000</v>
      </c>
      <c r="K863" s="38"/>
      <c r="L863" s="38"/>
      <c r="M863" s="38" t="s">
        <v>35</v>
      </c>
      <c r="N863" s="38">
        <v>2000.0</v>
      </c>
      <c r="O863" s="38" t="s">
        <v>837</v>
      </c>
      <c r="P863" s="40">
        <v>2001.0</v>
      </c>
      <c r="Q863" s="38" t="s">
        <v>289</v>
      </c>
      <c r="R863" s="38">
        <v>40.0</v>
      </c>
      <c r="S863" s="38" t="s">
        <v>2001</v>
      </c>
      <c r="T863" s="38" t="s">
        <v>1374</v>
      </c>
      <c r="U863" s="38" t="s">
        <v>1375</v>
      </c>
      <c r="V863" s="55">
        <v>42031.0</v>
      </c>
      <c r="W863" s="38" t="s">
        <v>2002</v>
      </c>
      <c r="X863" s="49" t="str">
        <f>HYPERLINK("http://www.washingtonpost.com/news/energy-environment/wp/2015/01/27/can-your-personality-explain-how-you-feel-about-the-keystone-xl-pipeline/?postshare=3321422455709727","http://www.washingtonpost.com/news/energy-environment/wp/2015/01/27/can-your-personality-explain-how-you-feel-about-the-keystone-xl-pipeline/?postshare=3321422455709727")</f>
        <v>http://www.washingtonpost.com/news/energy-environment/wp/2015/01/27/can-your-personality-explain-how-you-feel-about-the-keystone-xl-pipeline/?postshare=3321422455709727</v>
      </c>
      <c r="Y863" s="38"/>
      <c r="Z863" s="38"/>
      <c r="AA863" s="38"/>
      <c r="AB863" s="38"/>
      <c r="AC863" s="38"/>
      <c r="AD863" s="38"/>
      <c r="AE863" s="38"/>
      <c r="AF863" s="38"/>
      <c r="AG863" s="28"/>
      <c r="AH863" s="28" t="s">
        <v>462</v>
      </c>
      <c r="AI863" s="28" t="s">
        <v>462</v>
      </c>
      <c r="AJ863" s="28"/>
      <c r="AK863" s="28"/>
      <c r="AL863" s="28" t="s">
        <v>600</v>
      </c>
      <c r="AM863" s="28"/>
      <c r="AN863" s="28"/>
      <c r="AO863" s="28"/>
      <c r="AP863" s="28"/>
      <c r="AQ863" s="28"/>
      <c r="AR863" s="28"/>
      <c r="AS863" s="28"/>
      <c r="AT863" s="28" t="s">
        <v>1321</v>
      </c>
      <c r="AU863" s="28"/>
      <c r="AV863" s="28"/>
      <c r="AW863" s="28"/>
      <c r="AX863" s="28"/>
      <c r="AY863" s="28"/>
      <c r="AZ863" s="28"/>
      <c r="BA863" s="28"/>
      <c r="BB863" s="28"/>
      <c r="BC863" s="28"/>
      <c r="BD863" s="28"/>
      <c r="BE863" s="28"/>
      <c r="BF863" s="28"/>
      <c r="BG863" s="28"/>
      <c r="BH863" s="28"/>
      <c r="BI863" s="28"/>
      <c r="BJ863" s="28"/>
      <c r="BK863" s="28"/>
      <c r="BL863" s="28"/>
      <c r="BM863" s="28"/>
      <c r="BN863" s="28"/>
      <c r="BO863" s="28"/>
    </row>
    <row r="864" ht="25.5" customHeight="1">
      <c r="A864" s="28">
        <v>10073.0</v>
      </c>
      <c r="B864" s="37" t="b">
        <v>1</v>
      </c>
      <c r="C864" s="38" t="s">
        <v>238</v>
      </c>
      <c r="D864" s="38">
        <v>81.0</v>
      </c>
      <c r="E864" s="13" t="b">
        <v>0</v>
      </c>
      <c r="F864" s="13" t="b">
        <v>1</v>
      </c>
      <c r="G864" s="38" t="s">
        <v>224</v>
      </c>
      <c r="H864" s="38"/>
      <c r="I864" s="38" t="s">
        <v>574</v>
      </c>
      <c r="J864" s="38">
        <v>4.0</v>
      </c>
      <c r="K864" s="38"/>
      <c r="L864" s="38"/>
      <c r="M864" s="38" t="s">
        <v>35</v>
      </c>
      <c r="N864" s="38">
        <v>2000.0</v>
      </c>
      <c r="O864" s="38" t="s">
        <v>837</v>
      </c>
      <c r="P864" s="40">
        <v>2001.0</v>
      </c>
      <c r="Q864" s="38" t="s">
        <v>324</v>
      </c>
      <c r="R864" s="38" t="s">
        <v>325</v>
      </c>
      <c r="S864" s="38" t="s">
        <v>2089</v>
      </c>
      <c r="T864" s="38" t="s">
        <v>1374</v>
      </c>
      <c r="U864" s="38" t="s">
        <v>1375</v>
      </c>
      <c r="V864" s="55">
        <v>42124.0</v>
      </c>
      <c r="W864" s="38" t="s">
        <v>2091</v>
      </c>
      <c r="X864" s="49" t="str">
        <f>HYPERLINK("http://www.washingtonpost.com/news/energy-environment/wp/2015/04/30/pope-francis-has-given-the-climate-movement-just-what-it-needed-faith/?postshare=4411430764571913","http://www.washingtonpost.com/news/energy-environment/wp/2015/04/30/pope-francis-has-given-the-climate-movement-just-what-it-needed-faith/?postshare=4411430764571913")</f>
        <v>http://www.washingtonpost.com/news/energy-environment/wp/2015/04/30/pope-francis-has-given-the-climate-movement-just-what-it-needed-faith/?postshare=4411430764571913</v>
      </c>
      <c r="Y864" s="38"/>
      <c r="Z864" s="38"/>
      <c r="AA864" s="38"/>
      <c r="AB864" s="38"/>
      <c r="AC864" s="38"/>
      <c r="AD864" s="38"/>
      <c r="AE864" s="38"/>
      <c r="AF864" s="38"/>
      <c r="AG864" s="28"/>
      <c r="AH864" s="28" t="s">
        <v>462</v>
      </c>
      <c r="AI864" s="28" t="s">
        <v>462</v>
      </c>
      <c r="AJ864" s="28"/>
      <c r="AK864" s="28" t="s">
        <v>1099</v>
      </c>
      <c r="AL864" s="28" t="s">
        <v>769</v>
      </c>
      <c r="AM864" s="28"/>
      <c r="AN864" s="54">
        <v>42128.0</v>
      </c>
      <c r="AO864" s="54"/>
      <c r="AP864" s="28"/>
      <c r="AQ864" s="28" t="s">
        <v>769</v>
      </c>
      <c r="AR864" s="28"/>
      <c r="AS864" s="54">
        <v>42132.0</v>
      </c>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row>
    <row r="865" ht="25.5" customHeight="1">
      <c r="A865" s="28">
        <v>10089.0</v>
      </c>
      <c r="B865" s="37" t="b">
        <v>1</v>
      </c>
      <c r="C865" s="38" t="s">
        <v>238</v>
      </c>
      <c r="D865" s="38">
        <v>81.0</v>
      </c>
      <c r="E865" s="13" t="b">
        <v>0</v>
      </c>
      <c r="F865" s="13" t="b">
        <v>1</v>
      </c>
      <c r="G865" s="38" t="s">
        <v>224</v>
      </c>
      <c r="H865" s="38"/>
      <c r="I865" s="38" t="s">
        <v>574</v>
      </c>
      <c r="J865" s="38">
        <v>4.0</v>
      </c>
      <c r="K865" s="38"/>
      <c r="L865" s="38"/>
      <c r="M865" s="38" t="s">
        <v>35</v>
      </c>
      <c r="N865" s="38">
        <v>2000.0</v>
      </c>
      <c r="O865" s="38" t="s">
        <v>644</v>
      </c>
      <c r="P865" s="40"/>
      <c r="Q865" s="38" t="s">
        <v>289</v>
      </c>
      <c r="R865" s="38">
        <v>40.0</v>
      </c>
      <c r="S865" s="38" t="s">
        <v>2267</v>
      </c>
      <c r="T865" s="38" t="s">
        <v>2268</v>
      </c>
      <c r="U865" s="38" t="s">
        <v>1375</v>
      </c>
      <c r="V865" s="55">
        <v>42053.0</v>
      </c>
      <c r="W865" s="38" t="s">
        <v>2272</v>
      </c>
      <c r="X865" s="49" t="str">
        <f>HYPERLINK("http://www.washingtonpost.com/news/energy-environment/wp/2015/02/18/the-term-that-actually-makes-climate-change-less-political/?postshare=761424787135937","http://www.washingtonpost.com/news/energy-environment/wp/2015/02/18/the-term-that-actually-makes-climate-change-less-political/?postshare=761424787135937")</f>
        <v>http://www.washingtonpost.com/news/energy-environment/wp/2015/02/18/the-term-that-actually-makes-climate-change-less-political/?postshare=761424787135937</v>
      </c>
      <c r="Y865" s="38"/>
      <c r="Z865" s="38"/>
      <c r="AA865" s="38"/>
      <c r="AB865" s="38"/>
      <c r="AC865" s="38"/>
      <c r="AD865" s="38"/>
      <c r="AE865" s="38"/>
      <c r="AF865" s="38"/>
      <c r="AG865" s="28"/>
      <c r="AH865" s="28" t="s">
        <v>462</v>
      </c>
      <c r="AI865" s="28" t="s">
        <v>462</v>
      </c>
      <c r="AJ865" s="28"/>
      <c r="AK865" s="28" t="s">
        <v>1099</v>
      </c>
      <c r="AL865" s="28" t="s">
        <v>769</v>
      </c>
      <c r="AM865" s="28" t="s">
        <v>2278</v>
      </c>
      <c r="AN865" s="54">
        <v>42353.0</v>
      </c>
      <c r="AO865" s="54"/>
      <c r="AP865" s="28"/>
      <c r="AQ865" s="28" t="s">
        <v>769</v>
      </c>
      <c r="AR865" s="28"/>
      <c r="AS865" s="54">
        <v>42065.0</v>
      </c>
      <c r="AT865" s="28" t="s">
        <v>2045</v>
      </c>
      <c r="AU865" s="28"/>
      <c r="AV865" s="28"/>
      <c r="AW865" s="28"/>
      <c r="AX865" s="28"/>
      <c r="AY865" s="28"/>
      <c r="AZ865" s="28"/>
      <c r="BA865" s="28"/>
      <c r="BB865" s="28"/>
      <c r="BC865" s="28"/>
      <c r="BD865" s="28"/>
      <c r="BE865" s="28"/>
      <c r="BF865" s="28"/>
      <c r="BG865" s="28"/>
      <c r="BH865" s="28"/>
      <c r="BI865" s="28"/>
      <c r="BJ865" s="28"/>
      <c r="BK865" s="28"/>
      <c r="BL865" s="28"/>
      <c r="BM865" s="28"/>
      <c r="BN865" s="28"/>
      <c r="BO865" s="28"/>
    </row>
    <row r="866" ht="25.5" customHeight="1">
      <c r="A866" s="28">
        <v>10141.0</v>
      </c>
      <c r="B866" s="37" t="b">
        <v>1</v>
      </c>
      <c r="C866" s="38" t="s">
        <v>238</v>
      </c>
      <c r="D866" s="38">
        <v>81.0</v>
      </c>
      <c r="E866" s="13" t="b">
        <v>0</v>
      </c>
      <c r="F866" s="13" t="b">
        <v>1</v>
      </c>
      <c r="G866" s="38" t="s">
        <v>224</v>
      </c>
      <c r="H866" s="38"/>
      <c r="I866" s="38" t="s">
        <v>1331</v>
      </c>
      <c r="J866" s="38" t="s">
        <v>1371</v>
      </c>
      <c r="K866" s="38"/>
      <c r="L866" s="38"/>
      <c r="M866" s="38" t="s">
        <v>35</v>
      </c>
      <c r="N866" s="38">
        <v>2000.0</v>
      </c>
      <c r="O866" s="38" t="s">
        <v>1332</v>
      </c>
      <c r="P866" s="40"/>
      <c r="Q866" s="38" t="s">
        <v>289</v>
      </c>
      <c r="R866" s="38">
        <v>40.0</v>
      </c>
      <c r="S866" s="61" t="s">
        <v>2872</v>
      </c>
      <c r="T866" s="38" t="s">
        <v>2873</v>
      </c>
      <c r="U866" s="38" t="s">
        <v>1375</v>
      </c>
      <c r="V866" s="55">
        <v>42487.0</v>
      </c>
      <c r="W866" s="38" t="s">
        <v>2874</v>
      </c>
      <c r="X866" s="49" t="str">
        <f>HYPERLINK("https://www.washingtonpost.com/news/energy-environment/wp/2016/04/27/this-key-psychological-factor-could-explain-why-you-care-about-the-environment/","https://www.washingtonpost.com/news/energy-environment/wp/2016/04/27/this-key-psychological-factor-could-explain-why-you-care-about-the-environment/")</f>
        <v>https://www.washingtonpost.com/news/energy-environment/wp/2016/04/27/this-key-psychological-factor-could-explain-why-you-care-about-the-environment/</v>
      </c>
      <c r="Y866" s="38"/>
      <c r="Z866" s="38"/>
      <c r="AA866" s="38"/>
      <c r="AB866" s="38"/>
      <c r="AC866" s="38"/>
      <c r="AD866" s="38"/>
      <c r="AE866" s="38"/>
      <c r="AF866" s="38"/>
      <c r="AG866" s="28"/>
      <c r="AH866" s="28"/>
      <c r="AI866" s="28"/>
      <c r="AJ866" s="28"/>
      <c r="AK866" s="28"/>
      <c r="AL866" s="28" t="s">
        <v>600</v>
      </c>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row>
    <row r="867" ht="25.5" customHeight="1">
      <c r="A867" s="28">
        <v>10192.0</v>
      </c>
      <c r="B867" s="37" t="b">
        <v>1</v>
      </c>
      <c r="C867" s="38" t="s">
        <v>238</v>
      </c>
      <c r="D867" s="38">
        <v>81.0</v>
      </c>
      <c r="E867" s="13" t="b">
        <v>0</v>
      </c>
      <c r="F867" s="13" t="b">
        <v>1</v>
      </c>
      <c r="G867" s="38" t="s">
        <v>224</v>
      </c>
      <c r="H867" s="38"/>
      <c r="I867" s="38" t="s">
        <v>3285</v>
      </c>
      <c r="J867" s="38" t="s">
        <v>3286</v>
      </c>
      <c r="K867" s="38"/>
      <c r="L867" s="38"/>
      <c r="M867" s="38" t="s">
        <v>35</v>
      </c>
      <c r="N867" s="38">
        <v>2000.0</v>
      </c>
      <c r="O867" s="38" t="s">
        <v>837</v>
      </c>
      <c r="P867" s="40">
        <v>2001.0</v>
      </c>
      <c r="Q867" s="38" t="s">
        <v>111</v>
      </c>
      <c r="R867" s="38">
        <v>41.0</v>
      </c>
      <c r="S867" s="38" t="s">
        <v>3287</v>
      </c>
      <c r="T867" s="38" t="s">
        <v>1374</v>
      </c>
      <c r="U867" s="38" t="s">
        <v>1375</v>
      </c>
      <c r="V867" s="55">
        <v>42082.0</v>
      </c>
      <c r="W867" s="38"/>
      <c r="X867" s="49" t="str">
        <f>HYPERLINK("http://www.washingtonpost.com/news/energy-environment/wp/2015/03/19/the-surprising-reason-why-some-people-become-environmentalists-and-others-dont/","http://www.washingtonpost.com/news/energy-environment/wp/2015/03/19/the-surprising-reason-why-some-people-become-environmentalists-and-others-dont/")</f>
        <v>http://www.washingtonpost.com/news/energy-environment/wp/2015/03/19/the-surprising-reason-why-some-people-become-environmentalists-and-others-dont/</v>
      </c>
      <c r="Y867" s="38"/>
      <c r="Z867" s="38"/>
      <c r="AA867" s="38"/>
      <c r="AB867" s="38"/>
      <c r="AC867" s="38"/>
      <c r="AD867" s="38"/>
      <c r="AE867" s="38"/>
      <c r="AF867" s="38"/>
      <c r="AG867" s="28"/>
      <c r="AH867" s="28" t="s">
        <v>3293</v>
      </c>
      <c r="AI867" s="28" t="s">
        <v>3293</v>
      </c>
      <c r="AJ867" s="28"/>
      <c r="AK867" s="28"/>
      <c r="AL867" s="28" t="s">
        <v>769</v>
      </c>
      <c r="AM867" s="28" t="s">
        <v>3295</v>
      </c>
      <c r="AN867" s="54">
        <v>42206.0</v>
      </c>
      <c r="AO867" s="54"/>
      <c r="AP867" s="54"/>
      <c r="AQ867" s="28" t="s">
        <v>769</v>
      </c>
      <c r="AR867" s="28"/>
      <c r="AS867" s="54">
        <v>42408.0</v>
      </c>
      <c r="AT867" s="28"/>
      <c r="AU867" s="28"/>
      <c r="AV867" s="28"/>
      <c r="AW867" s="28"/>
      <c r="AX867" s="28"/>
      <c r="AY867" s="28"/>
      <c r="AZ867" s="28" t="s">
        <v>3297</v>
      </c>
      <c r="BA867" s="28"/>
      <c r="BB867" s="28"/>
      <c r="BC867" s="28"/>
      <c r="BD867" s="28"/>
      <c r="BE867" s="28"/>
      <c r="BF867" s="28"/>
      <c r="BG867" s="28"/>
      <c r="BH867" s="28"/>
      <c r="BI867" s="28"/>
      <c r="BJ867" s="28"/>
      <c r="BK867" s="28"/>
      <c r="BL867" s="28"/>
      <c r="BM867" s="28"/>
      <c r="BN867" s="28"/>
      <c r="BO867" s="28"/>
    </row>
    <row r="868" ht="25.5" customHeight="1">
      <c r="A868" s="28">
        <v>10193.0</v>
      </c>
      <c r="B868" s="37" t="b">
        <v>1</v>
      </c>
      <c r="C868" s="38" t="s">
        <v>238</v>
      </c>
      <c r="D868" s="38">
        <v>81.0</v>
      </c>
      <c r="E868" s="13" t="b">
        <v>0</v>
      </c>
      <c r="F868" s="13" t="b">
        <v>1</v>
      </c>
      <c r="G868" s="38" t="s">
        <v>224</v>
      </c>
      <c r="H868" s="38"/>
      <c r="I868" s="38" t="s">
        <v>3285</v>
      </c>
      <c r="J868" s="38" t="s">
        <v>3286</v>
      </c>
      <c r="K868" s="38"/>
      <c r="L868" s="38"/>
      <c r="M868" s="38" t="s">
        <v>35</v>
      </c>
      <c r="N868" s="38">
        <v>2000.0</v>
      </c>
      <c r="O868" s="38" t="s">
        <v>1114</v>
      </c>
      <c r="P868" s="40"/>
      <c r="Q868" s="38" t="s">
        <v>289</v>
      </c>
      <c r="R868" s="38">
        <v>40.0</v>
      </c>
      <c r="S868" s="38" t="s">
        <v>3300</v>
      </c>
      <c r="T868" s="38" t="s">
        <v>1374</v>
      </c>
      <c r="U868" s="38" t="s">
        <v>1375</v>
      </c>
      <c r="V868" s="55">
        <v>41984.0</v>
      </c>
      <c r="W868" s="38" t="s">
        <v>3301</v>
      </c>
      <c r="X868" s="49" t="str">
        <f>HYPERLINK("https://www.washingtonpost.com/news/wonk/wp/2014/12/11/the-7-psychological-reasons-that-are-stopping-us-from-acting-on-climate-change/","https://www.washingtonpost.com/news/wonk/wp/2014/12/11/the-7-psychological-reasons-that-are-stopping-us-from-acting-on-climate-change/")</f>
        <v>https://www.washingtonpost.com/news/wonk/wp/2014/12/11/the-7-psychological-reasons-that-are-stopping-us-from-acting-on-climate-change/</v>
      </c>
      <c r="Y868" s="38"/>
      <c r="Z868" s="38"/>
      <c r="AA868" s="38"/>
      <c r="AB868" s="38"/>
      <c r="AC868" s="38"/>
      <c r="AD868" s="38"/>
      <c r="AE868" s="38"/>
      <c r="AF868" s="38"/>
      <c r="AG868" s="28" t="s">
        <v>2574</v>
      </c>
      <c r="AH868" s="28" t="s">
        <v>462</v>
      </c>
      <c r="AI868" s="28" t="s">
        <v>462</v>
      </c>
      <c r="AJ868" s="28"/>
      <c r="AK868" s="28"/>
      <c r="AL868" s="28" t="s">
        <v>600</v>
      </c>
      <c r="AM868" s="28"/>
      <c r="AN868" s="54"/>
      <c r="AO868" s="54"/>
      <c r="AP868" s="28"/>
      <c r="AQ868" s="28"/>
      <c r="AR868" s="28"/>
      <c r="AS868" s="54"/>
      <c r="AT868" s="28" t="s">
        <v>1406</v>
      </c>
      <c r="AU868" s="28"/>
      <c r="AV868" s="28"/>
      <c r="AW868" s="28"/>
      <c r="AX868" s="28" t="s">
        <v>428</v>
      </c>
      <c r="AY868" s="28"/>
      <c r="AZ868" s="28"/>
      <c r="BA868" s="28"/>
      <c r="BB868" s="28"/>
      <c r="BC868" s="28"/>
      <c r="BD868" s="28"/>
      <c r="BE868" s="28"/>
      <c r="BF868" s="28"/>
      <c r="BG868" s="28"/>
      <c r="BH868" s="28"/>
      <c r="BI868" s="28"/>
      <c r="BJ868" s="28"/>
      <c r="BK868" s="28"/>
      <c r="BL868" s="28"/>
      <c r="BM868" s="28"/>
      <c r="BN868" s="28"/>
      <c r="BO868" s="28"/>
    </row>
    <row r="869" ht="25.5" customHeight="1">
      <c r="A869" s="28">
        <v>10213.0</v>
      </c>
      <c r="B869" s="37" t="b">
        <v>1</v>
      </c>
      <c r="C869" s="38" t="s">
        <v>238</v>
      </c>
      <c r="D869" s="38">
        <v>81.0</v>
      </c>
      <c r="E869" s="13" t="b">
        <v>0</v>
      </c>
      <c r="F869" s="13" t="b">
        <v>1</v>
      </c>
      <c r="G869" s="38" t="s">
        <v>224</v>
      </c>
      <c r="H869" s="38"/>
      <c r="I869" s="38" t="s">
        <v>3499</v>
      </c>
      <c r="J869" s="38" t="s">
        <v>3500</v>
      </c>
      <c r="K869" s="38"/>
      <c r="L869" s="38"/>
      <c r="M869" s="38" t="s">
        <v>35</v>
      </c>
      <c r="N869" s="38">
        <v>2000.0</v>
      </c>
      <c r="O869" s="38" t="s">
        <v>2511</v>
      </c>
      <c r="P869" s="40"/>
      <c r="Q869" s="38" t="s">
        <v>289</v>
      </c>
      <c r="R869" s="38">
        <v>40.0</v>
      </c>
      <c r="S869" s="38" t="s">
        <v>3501</v>
      </c>
      <c r="T869" s="38" t="s">
        <v>1374</v>
      </c>
      <c r="U869" s="38" t="s">
        <v>1375</v>
      </c>
      <c r="V869" s="55">
        <v>42543.0</v>
      </c>
      <c r="W869" s="38"/>
      <c r="X869" s="38" t="s">
        <v>3502</v>
      </c>
      <c r="Y869" s="38"/>
      <c r="Z869" s="38"/>
      <c r="AA869" s="38"/>
      <c r="AB869" s="38"/>
      <c r="AC869" s="38"/>
      <c r="AD869" s="38"/>
      <c r="AE869" s="38"/>
      <c r="AF869" s="38"/>
      <c r="AG869" s="28"/>
      <c r="AH869" s="28"/>
      <c r="AI869" s="28"/>
      <c r="AJ869" s="28"/>
      <c r="AK869" s="70"/>
      <c r="AL869" s="28" t="s">
        <v>600</v>
      </c>
      <c r="AM869" s="70"/>
      <c r="AN869" s="70"/>
      <c r="AO869" s="70"/>
      <c r="AP869" s="70"/>
      <c r="AQ869" s="70"/>
      <c r="AR869" s="70"/>
      <c r="AS869" s="70"/>
      <c r="AT869" s="28"/>
      <c r="AU869" s="70"/>
      <c r="AV869" s="70"/>
      <c r="AW869" s="70"/>
      <c r="AX869" s="70"/>
      <c r="AY869" s="28"/>
      <c r="AZ869" s="28" t="s">
        <v>3503</v>
      </c>
      <c r="BA869" s="28"/>
      <c r="BB869" s="28"/>
      <c r="BC869" s="28"/>
      <c r="BD869" s="28"/>
      <c r="BE869" s="28"/>
      <c r="BF869" s="28"/>
      <c r="BG869" s="28"/>
      <c r="BH869" s="28"/>
      <c r="BI869" s="28"/>
      <c r="BJ869" s="28"/>
      <c r="BK869" s="28"/>
      <c r="BL869" s="28"/>
      <c r="BM869" s="28"/>
      <c r="BN869" s="28"/>
      <c r="BO869" s="28"/>
    </row>
    <row r="870" ht="25.5" customHeight="1">
      <c r="A870" s="28">
        <v>10216.0</v>
      </c>
      <c r="B870" s="37" t="b">
        <v>1</v>
      </c>
      <c r="C870" s="38" t="s">
        <v>238</v>
      </c>
      <c r="D870" s="38">
        <v>81.0</v>
      </c>
      <c r="E870" s="13" t="b">
        <v>0</v>
      </c>
      <c r="F870" s="13" t="b">
        <v>1</v>
      </c>
      <c r="G870" s="38" t="s">
        <v>224</v>
      </c>
      <c r="H870" s="38"/>
      <c r="I870" s="38" t="s">
        <v>1014</v>
      </c>
      <c r="J870" s="38" t="s">
        <v>1015</v>
      </c>
      <c r="K870" s="38"/>
      <c r="L870" s="38"/>
      <c r="M870" s="47" t="s">
        <v>35</v>
      </c>
      <c r="N870" s="38">
        <v>2000.0</v>
      </c>
      <c r="O870" s="38" t="s">
        <v>578</v>
      </c>
      <c r="P870" s="40"/>
      <c r="Q870" s="38" t="s">
        <v>289</v>
      </c>
      <c r="R870" s="38">
        <v>40.0</v>
      </c>
      <c r="S870" s="61" t="s">
        <v>3527</v>
      </c>
      <c r="T870" s="38" t="s">
        <v>1374</v>
      </c>
      <c r="U870" s="38" t="s">
        <v>1375</v>
      </c>
      <c r="V870" s="55">
        <v>42474.0</v>
      </c>
      <c r="W870" s="38" t="s">
        <v>3528</v>
      </c>
      <c r="X870" s="49" t="str">
        <f>HYPERLINK("https://www.washingtonpost.com/news/energy-environment/wp/2016/04/14/whats-so-different-and-powerful-about-apples-newest-green-initiative/","https://www.washingtonpost.com/news/energy-environment/wp/2016/04/14/whats-so-different-and-powerful-about-apples-newest-green-initiative/")</f>
        <v>https://www.washingtonpost.com/news/energy-environment/wp/2016/04/14/whats-so-different-and-powerful-about-apples-newest-green-initiative/</v>
      </c>
      <c r="Y870" s="38"/>
      <c r="Z870" s="38"/>
      <c r="AA870" s="38"/>
      <c r="AB870" s="38"/>
      <c r="AC870" s="38"/>
      <c r="AD870" s="38"/>
      <c r="AE870" s="38"/>
      <c r="AF870" s="38"/>
      <c r="AG870" s="28"/>
      <c r="AH870" s="28"/>
      <c r="AI870" s="28"/>
      <c r="AJ870" s="28"/>
      <c r="AK870" s="28"/>
      <c r="AL870" s="28" t="s">
        <v>428</v>
      </c>
      <c r="AM870" s="28" t="s">
        <v>3529</v>
      </c>
      <c r="AN870" s="54">
        <v>42634.0</v>
      </c>
      <c r="AO870" s="54"/>
      <c r="AP870" s="28"/>
      <c r="AQ870" s="28"/>
      <c r="AR870" s="28"/>
      <c r="AS870" s="28"/>
      <c r="AT870" s="28"/>
      <c r="AU870" s="28"/>
      <c r="AV870" s="28"/>
      <c r="AW870" s="28"/>
      <c r="AX870" s="28"/>
      <c r="AY870" s="28" t="s">
        <v>428</v>
      </c>
      <c r="AZ870" s="28" t="s">
        <v>2670</v>
      </c>
      <c r="BA870" s="28"/>
      <c r="BB870" s="28"/>
      <c r="BC870" s="28"/>
      <c r="BD870" s="28"/>
      <c r="BE870" s="28"/>
      <c r="BF870" s="28"/>
      <c r="BG870" s="28"/>
      <c r="BH870" s="28"/>
      <c r="BI870" s="28"/>
      <c r="BJ870" s="28"/>
      <c r="BK870" s="28"/>
      <c r="BL870" s="28"/>
      <c r="BM870" s="28"/>
      <c r="BN870" s="28"/>
      <c r="BO870" s="28"/>
    </row>
    <row r="871" ht="25.5" customHeight="1">
      <c r="A871" s="28">
        <v>10406.0</v>
      </c>
      <c r="B871" s="37" t="b">
        <v>1</v>
      </c>
      <c r="C871" s="38" t="s">
        <v>238</v>
      </c>
      <c r="D871" s="38">
        <v>81.0</v>
      </c>
      <c r="E871" s="13" t="b">
        <v>0</v>
      </c>
      <c r="F871" s="13" t="b">
        <v>1</v>
      </c>
      <c r="G871" s="38" t="s">
        <v>224</v>
      </c>
      <c r="H871" s="38"/>
      <c r="I871" s="38" t="s">
        <v>387</v>
      </c>
      <c r="J871" s="38">
        <v>8.0</v>
      </c>
      <c r="K871" s="38"/>
      <c r="L871" s="38"/>
      <c r="M871" s="38" t="s">
        <v>35</v>
      </c>
      <c r="N871" s="38">
        <v>2000.0</v>
      </c>
      <c r="O871" s="38" t="s">
        <v>1114</v>
      </c>
      <c r="P871" s="40"/>
      <c r="Q871" s="38" t="s">
        <v>289</v>
      </c>
      <c r="R871" s="38">
        <v>40.0</v>
      </c>
      <c r="S871" s="61" t="s">
        <v>5140</v>
      </c>
      <c r="T871" s="38" t="s">
        <v>5141</v>
      </c>
      <c r="U871" s="38" t="s">
        <v>1375</v>
      </c>
      <c r="V871" s="55">
        <v>42373.0</v>
      </c>
      <c r="W871" s="38" t="s">
        <v>5142</v>
      </c>
      <c r="X871" s="49" t="str">
        <f>HYPERLINK("https://www.washingtonpost.com/posteverything/wp/2016/01/04/psychologists-have-discovered-the-secret-to-making-people-care-about-climate-change/?postshare=1441451917973467&amp;tid=ss_tw-bottom","https://www.washingtonpost.com/posteverything/wp/2016/01/04/psychologists-have-discovered-the-secret-to-making-people-care-about-climate-change/?postshare=1441451917973467&amp;tid=ss_tw-bottom")</f>
        <v>https://www.washingtonpost.com/posteverything/wp/2016/01/04/psychologists-have-discovered-the-secret-to-making-people-care-about-climate-change/?postshare=1441451917973467&amp;tid=ss_tw-bottom</v>
      </c>
      <c r="Y871" s="38"/>
      <c r="Z871" s="38"/>
      <c r="AA871" s="38"/>
      <c r="AB871" s="38"/>
      <c r="AC871" s="38"/>
      <c r="AD871" s="38"/>
      <c r="AE871" s="38"/>
      <c r="AF871" s="38"/>
      <c r="AG871" s="28"/>
      <c r="AH871" s="28"/>
      <c r="AI871" s="28"/>
      <c r="AJ871" s="28"/>
      <c r="AK871" s="28"/>
      <c r="AL871" s="28" t="s">
        <v>769</v>
      </c>
      <c r="AM871" s="28" t="s">
        <v>5146</v>
      </c>
      <c r="AN871" s="54">
        <v>42648.0</v>
      </c>
      <c r="AO871" s="54"/>
      <c r="AP871" s="28"/>
      <c r="AQ871" s="28"/>
      <c r="AR871" s="28"/>
      <c r="AS871" s="28"/>
      <c r="AT871" s="28"/>
      <c r="AU871" s="28"/>
      <c r="AV871" s="28"/>
      <c r="AW871" s="28"/>
      <c r="AX871" s="28"/>
      <c r="AY871" s="28" t="s">
        <v>428</v>
      </c>
      <c r="AZ871" s="28"/>
      <c r="BA871" s="28"/>
      <c r="BB871" s="28"/>
      <c r="BC871" s="28"/>
      <c r="BD871" s="28"/>
      <c r="BE871" s="28"/>
      <c r="BF871" s="28"/>
      <c r="BG871" s="28"/>
      <c r="BH871" s="28"/>
      <c r="BI871" s="28"/>
      <c r="BJ871" s="28"/>
      <c r="BK871" s="28"/>
      <c r="BL871" s="28"/>
      <c r="BM871" s="28"/>
      <c r="BN871" s="28"/>
      <c r="BO871" s="28"/>
    </row>
    <row r="872" ht="25.5" customHeight="1">
      <c r="A872" s="28">
        <v>10429.0</v>
      </c>
      <c r="B872" s="37" t="b">
        <v>1</v>
      </c>
      <c r="C872" s="38" t="s">
        <v>238</v>
      </c>
      <c r="D872" s="38">
        <v>81.0</v>
      </c>
      <c r="E872" s="13" t="b">
        <v>0</v>
      </c>
      <c r="F872" s="13" t="b">
        <v>1</v>
      </c>
      <c r="G872" s="38" t="s">
        <v>224</v>
      </c>
      <c r="H872" s="38"/>
      <c r="I872" s="38" t="s">
        <v>772</v>
      </c>
      <c r="J872" s="38">
        <v>5.0</v>
      </c>
      <c r="K872" s="38"/>
      <c r="L872" s="38"/>
      <c r="M872" s="38" t="s">
        <v>35</v>
      </c>
      <c r="N872" s="38">
        <v>2000.0</v>
      </c>
      <c r="O872" s="38" t="s">
        <v>644</v>
      </c>
      <c r="P872" s="40"/>
      <c r="Q872" s="38" t="s">
        <v>111</v>
      </c>
      <c r="R872" s="38">
        <v>41.0</v>
      </c>
      <c r="S872" s="61" t="s">
        <v>5328</v>
      </c>
      <c r="T872" s="38" t="s">
        <v>1374</v>
      </c>
      <c r="U872" s="38" t="s">
        <v>1375</v>
      </c>
      <c r="V872" s="55">
        <v>42501.0</v>
      </c>
      <c r="W872" s="38" t="s">
        <v>5329</v>
      </c>
      <c r="X872" s="49" t="str">
        <f>HYPERLINK("https://www.washingtonpost.com/news/energy-environment/wp/2016/05/11/this-scientist-just-changed-how-we-think-about-climate-change-with-one-gif/","https://www.washingtonpost.com/news/energy-environment/wp/2016/05/11/this-scientist-just-changed-how-we-think-about-climate-change-with-one-gif/")</f>
        <v>https://www.washingtonpost.com/news/energy-environment/wp/2016/05/11/this-scientist-just-changed-how-we-think-about-climate-change-with-one-gif/</v>
      </c>
      <c r="Y872" s="38"/>
      <c r="Z872" s="38"/>
      <c r="AA872" s="38"/>
      <c r="AB872" s="38"/>
      <c r="AC872" s="38"/>
      <c r="AD872" s="38"/>
      <c r="AE872" s="38"/>
      <c r="AF872" s="38"/>
      <c r="AG872" s="28"/>
      <c r="AH872" s="28"/>
      <c r="AI872" s="28"/>
      <c r="AJ872" s="28"/>
      <c r="AK872" s="28"/>
      <c r="AL872" s="28" t="s">
        <v>600</v>
      </c>
      <c r="AM872" s="28" t="s">
        <v>5330</v>
      </c>
      <c r="AN872" s="28"/>
      <c r="AO872" s="28"/>
      <c r="AP872" s="28"/>
      <c r="AQ872" s="28"/>
      <c r="AR872" s="28" t="s">
        <v>5331</v>
      </c>
      <c r="AS872" s="28"/>
      <c r="AT872" s="28"/>
      <c r="AU872" s="28"/>
      <c r="AV872" s="28"/>
      <c r="AW872" s="28"/>
      <c r="AX872" s="28"/>
      <c r="AY872" s="28" t="s">
        <v>428</v>
      </c>
      <c r="AZ872" s="28"/>
      <c r="BA872" s="28"/>
      <c r="BB872" s="28"/>
      <c r="BC872" s="28"/>
      <c r="BD872" s="28"/>
      <c r="BE872" s="28"/>
      <c r="BF872" s="28"/>
      <c r="BG872" s="28"/>
      <c r="BH872" s="28"/>
      <c r="BI872" s="28"/>
      <c r="BJ872" s="28"/>
      <c r="BK872" s="28"/>
      <c r="BL872" s="28"/>
      <c r="BM872" s="28"/>
      <c r="BN872" s="28"/>
      <c r="BO872" s="28"/>
    </row>
    <row r="873" ht="25.5" customHeight="1">
      <c r="A873" s="28">
        <v>10235.0</v>
      </c>
      <c r="B873" s="37" t="b">
        <v>1</v>
      </c>
      <c r="C873" s="38" t="s">
        <v>238</v>
      </c>
      <c r="D873" s="38">
        <v>81.0</v>
      </c>
      <c r="E873" s="13" t="b">
        <v>0</v>
      </c>
      <c r="F873" s="13" t="b">
        <v>1</v>
      </c>
      <c r="G873" s="38" t="s">
        <v>224</v>
      </c>
      <c r="H873" s="38"/>
      <c r="I873" s="38" t="s">
        <v>429</v>
      </c>
      <c r="J873" s="38">
        <v>2.0</v>
      </c>
      <c r="K873" s="38"/>
      <c r="L873" s="38"/>
      <c r="M873" s="38" t="s">
        <v>107</v>
      </c>
      <c r="N873" s="38">
        <v>3000.0</v>
      </c>
      <c r="O873" s="38" t="s">
        <v>470</v>
      </c>
      <c r="P873" s="40"/>
      <c r="Q873" s="38" t="s">
        <v>111</v>
      </c>
      <c r="R873" s="38">
        <v>41.0</v>
      </c>
      <c r="S873" s="38" t="s">
        <v>3684</v>
      </c>
      <c r="T873" s="38" t="s">
        <v>1374</v>
      </c>
      <c r="U873" s="38" t="s">
        <v>1375</v>
      </c>
      <c r="V873" s="55">
        <v>42170.0</v>
      </c>
      <c r="W873" s="38" t="s">
        <v>1124</v>
      </c>
      <c r="X873" s="49" t="str">
        <f>HYPERLINK("http://www.washingtonpost.com/news/energy-environment/wp/2015/06/15/want-to-fix-the-world-start-by-making-clean-energy-a-default-setting/?postshare=2841434404402218","http://www.washingtonpost.com/news/energy-environment/wp/2015/06/15/want-to-fix-the-world-start-by-making-clean-energy-a-default-setting/?postshare=2841434404402218")</f>
        <v>http://www.washingtonpost.com/news/energy-environment/wp/2015/06/15/want-to-fix-the-world-start-by-making-clean-energy-a-default-setting/?postshare=2841434404402218</v>
      </c>
      <c r="Y873" s="38"/>
      <c r="Z873" s="38"/>
      <c r="AA873" s="38"/>
      <c r="AB873" s="38"/>
      <c r="AC873" s="38"/>
      <c r="AD873" s="38"/>
      <c r="AE873" s="38"/>
      <c r="AF873" s="38"/>
      <c r="AG873" s="28"/>
      <c r="AH873" s="28" t="s">
        <v>462</v>
      </c>
      <c r="AI873" s="28" t="s">
        <v>462</v>
      </c>
      <c r="AJ873" s="28"/>
      <c r="AK873" s="28"/>
      <c r="AL873" s="28" t="s">
        <v>769</v>
      </c>
      <c r="AM873" s="28" t="s">
        <v>3686</v>
      </c>
      <c r="AN873" s="54">
        <v>42174.0</v>
      </c>
      <c r="AO873" s="54"/>
      <c r="AP873" s="28"/>
      <c r="AQ873" s="28" t="s">
        <v>769</v>
      </c>
      <c r="AR873" s="28"/>
      <c r="AS873" s="54">
        <v>42202.0</v>
      </c>
      <c r="AT873" s="28" t="s">
        <v>1152</v>
      </c>
      <c r="AU873" s="28"/>
      <c r="AV873" s="28" t="s">
        <v>1089</v>
      </c>
      <c r="AW873" s="28"/>
      <c r="AX873" s="28"/>
      <c r="AY873" s="28"/>
      <c r="AZ873" s="28"/>
      <c r="BA873" s="28"/>
      <c r="BB873" s="28"/>
      <c r="BC873" s="28"/>
      <c r="BD873" s="28"/>
      <c r="BE873" s="28"/>
      <c r="BF873" s="28"/>
      <c r="BG873" s="28"/>
      <c r="BH873" s="28"/>
      <c r="BI873" s="28"/>
      <c r="BJ873" s="28"/>
      <c r="BK873" s="28"/>
      <c r="BL873" s="28"/>
      <c r="BM873" s="28"/>
      <c r="BN873" s="28"/>
      <c r="BO873" s="28"/>
    </row>
    <row r="874" ht="25.5" customHeight="1">
      <c r="A874" s="28">
        <v>10236.0</v>
      </c>
      <c r="B874" s="37" t="b">
        <v>1</v>
      </c>
      <c r="C874" s="38" t="s">
        <v>238</v>
      </c>
      <c r="D874" s="38">
        <v>81.0</v>
      </c>
      <c r="E874" s="13" t="b">
        <v>0</v>
      </c>
      <c r="F874" s="13" t="b">
        <v>1</v>
      </c>
      <c r="G874" s="38" t="s">
        <v>224</v>
      </c>
      <c r="H874" s="38"/>
      <c r="I874" s="38" t="s">
        <v>429</v>
      </c>
      <c r="J874" s="38">
        <v>2.0</v>
      </c>
      <c r="K874" s="38"/>
      <c r="L874" s="38"/>
      <c r="M874" s="38" t="s">
        <v>107</v>
      </c>
      <c r="N874" s="38">
        <v>3000.0</v>
      </c>
      <c r="O874" s="38" t="s">
        <v>116</v>
      </c>
      <c r="P874" s="40"/>
      <c r="Q874" s="38" t="s">
        <v>289</v>
      </c>
      <c r="R874" s="38">
        <v>40.0</v>
      </c>
      <c r="S874" s="38" t="s">
        <v>3691</v>
      </c>
      <c r="T874" s="38" t="s">
        <v>1374</v>
      </c>
      <c r="U874" s="38" t="s">
        <v>1375</v>
      </c>
      <c r="V874" s="55">
        <v>42067.0</v>
      </c>
      <c r="W874" s="38" t="s">
        <v>3692</v>
      </c>
      <c r="X874" s="49" t="str">
        <f>HYPERLINK("http://www.washingtonpost.com/news/energy-environment/wp/2015/03/04/your-shower-is-wasting-huge-amounts-of-energy-and-water-heres-what-to-do-about-it/?postshare=9701427114030794","http://www.washingtonpost.com/news/energy-environment/wp/2015/03/04/your-shower-is-wasting-huge-amounts-of-energy-and-water-heres-what-to-do-about-it/?postshare=9701427114030794")</f>
        <v>http://www.washingtonpost.com/news/energy-environment/wp/2015/03/04/your-shower-is-wasting-huge-amounts-of-energy-and-water-heres-what-to-do-about-it/?postshare=9701427114030794</v>
      </c>
      <c r="Y874" s="38"/>
      <c r="Z874" s="38"/>
      <c r="AA874" s="38"/>
      <c r="AB874" s="38"/>
      <c r="AC874" s="38"/>
      <c r="AD874" s="38"/>
      <c r="AE874" s="38"/>
      <c r="AF874" s="38"/>
      <c r="AG874" s="28" t="s">
        <v>1868</v>
      </c>
      <c r="AH874" s="28" t="s">
        <v>462</v>
      </c>
      <c r="AI874" s="28" t="s">
        <v>462</v>
      </c>
      <c r="AJ874" s="28"/>
      <c r="AK874" s="28"/>
      <c r="AL874" s="28" t="s">
        <v>769</v>
      </c>
      <c r="AM874" s="28" t="s">
        <v>3694</v>
      </c>
      <c r="AN874" s="54">
        <v>42481.0</v>
      </c>
      <c r="AO874" s="54"/>
      <c r="AP874" s="28"/>
      <c r="AQ874" s="28" t="s">
        <v>769</v>
      </c>
      <c r="AR874" s="28"/>
      <c r="AS874" s="54">
        <v>42125.0</v>
      </c>
      <c r="AT874" s="28" t="s">
        <v>1488</v>
      </c>
      <c r="AU874" s="28"/>
      <c r="AV874" s="28"/>
      <c r="AW874" s="28"/>
      <c r="AX874" s="28" t="s">
        <v>428</v>
      </c>
      <c r="AY874" s="28"/>
      <c r="AZ874" s="28"/>
      <c r="BA874" s="28"/>
      <c r="BB874" s="28"/>
      <c r="BC874" s="28"/>
      <c r="BD874" s="28"/>
      <c r="BE874" s="28"/>
      <c r="BF874" s="28"/>
      <c r="BG874" s="28"/>
      <c r="BH874" s="28"/>
      <c r="BI874" s="28"/>
      <c r="BJ874" s="28"/>
      <c r="BK874" s="28"/>
      <c r="BL874" s="28"/>
      <c r="BM874" s="28"/>
      <c r="BN874" s="28"/>
      <c r="BO874" s="28"/>
    </row>
    <row r="875" ht="25.5" customHeight="1">
      <c r="A875" s="28">
        <v>10293.0</v>
      </c>
      <c r="B875" s="37" t="b">
        <v>1</v>
      </c>
      <c r="C875" s="38" t="s">
        <v>238</v>
      </c>
      <c r="D875" s="38">
        <v>81.0</v>
      </c>
      <c r="E875" s="13" t="b">
        <v>0</v>
      </c>
      <c r="F875" s="13" t="b">
        <v>1</v>
      </c>
      <c r="G875" s="38" t="s">
        <v>224</v>
      </c>
      <c r="H875" s="38"/>
      <c r="I875" s="38" t="s">
        <v>2299</v>
      </c>
      <c r="J875" s="38" t="s">
        <v>2300</v>
      </c>
      <c r="K875" s="38"/>
      <c r="L875" s="38"/>
      <c r="M875" s="38" t="s">
        <v>107</v>
      </c>
      <c r="N875" s="38">
        <v>3000.0</v>
      </c>
      <c r="O875" s="38" t="s">
        <v>116</v>
      </c>
      <c r="P875" s="40"/>
      <c r="Q875" s="38" t="s">
        <v>289</v>
      </c>
      <c r="R875" s="38">
        <v>40.0</v>
      </c>
      <c r="S875" s="38" t="s">
        <v>4150</v>
      </c>
      <c r="T875" s="38" t="s">
        <v>1374</v>
      </c>
      <c r="U875" s="38" t="s">
        <v>1375</v>
      </c>
      <c r="V875" s="55">
        <v>42098.0</v>
      </c>
      <c r="W875" s="38" t="s">
        <v>4154</v>
      </c>
      <c r="X875" s="49" t="str">
        <f>HYPERLINK("http://www.washingtonpost.com/news/energy-environment/wp/2015/04/04/how-to-get-californians-to-use-less-water-without-forcing-them-to/?postshare=7791428419899154","http://www.washingtonpost.com/news/energy-environment/wp/2015/04/04/how-to-get-californians-to-use-less-water-without-forcing-them-to/?postshare=7791428419899154")</f>
        <v>http://www.washingtonpost.com/news/energy-environment/wp/2015/04/04/how-to-get-californians-to-use-less-water-without-forcing-them-to/?postshare=7791428419899154</v>
      </c>
      <c r="Y875" s="38"/>
      <c r="Z875" s="38"/>
      <c r="AA875" s="38"/>
      <c r="AB875" s="38"/>
      <c r="AC875" s="38"/>
      <c r="AD875" s="38"/>
      <c r="AE875" s="38"/>
      <c r="AF875" s="38"/>
      <c r="AG875" s="28"/>
      <c r="AH875" s="28" t="s">
        <v>462</v>
      </c>
      <c r="AI875" s="28" t="s">
        <v>462</v>
      </c>
      <c r="AJ875" s="28"/>
      <c r="AK875" s="28" t="s">
        <v>676</v>
      </c>
      <c r="AL875" s="28" t="s">
        <v>769</v>
      </c>
      <c r="AM875" s="28"/>
      <c r="AN875" s="54">
        <v>42107.0</v>
      </c>
      <c r="AO875" s="54"/>
      <c r="AP875" s="28"/>
      <c r="AQ875" s="28" t="s">
        <v>769</v>
      </c>
      <c r="AR875" s="28"/>
      <c r="AS875" s="54">
        <v>42111.0</v>
      </c>
      <c r="AT875" s="28" t="s">
        <v>1488</v>
      </c>
      <c r="AU875" s="28"/>
      <c r="AV875" s="28"/>
      <c r="AW875" s="28"/>
      <c r="AX875" s="28" t="s">
        <v>428</v>
      </c>
      <c r="AY875" s="28"/>
      <c r="AZ875" s="28" t="s">
        <v>4157</v>
      </c>
      <c r="BA875" s="28"/>
      <c r="BB875" s="28"/>
      <c r="BC875" s="28"/>
      <c r="BD875" s="28"/>
      <c r="BE875" s="28"/>
      <c r="BF875" s="28"/>
      <c r="BG875" s="28"/>
      <c r="BH875" s="28"/>
      <c r="BI875" s="28"/>
      <c r="BJ875" s="28"/>
      <c r="BK875" s="28"/>
      <c r="BL875" s="28"/>
      <c r="BM875" s="28"/>
      <c r="BN875" s="28"/>
      <c r="BO875" s="28"/>
    </row>
    <row r="876" ht="25.5" customHeight="1">
      <c r="A876" s="28">
        <v>10294.0</v>
      </c>
      <c r="B876" s="37" t="b">
        <v>1</v>
      </c>
      <c r="C876" s="38" t="s">
        <v>238</v>
      </c>
      <c r="D876" s="38">
        <v>81.0</v>
      </c>
      <c r="E876" s="13" t="b">
        <v>0</v>
      </c>
      <c r="F876" s="13" t="b">
        <v>1</v>
      </c>
      <c r="G876" s="38" t="s">
        <v>224</v>
      </c>
      <c r="H876" s="38"/>
      <c r="I876" s="38" t="s">
        <v>2299</v>
      </c>
      <c r="J876" s="38" t="s">
        <v>2300</v>
      </c>
      <c r="K876" s="38"/>
      <c r="L876" s="38"/>
      <c r="M876" s="38" t="s">
        <v>107</v>
      </c>
      <c r="N876" s="38">
        <v>3000.0</v>
      </c>
      <c r="O876" s="38" t="s">
        <v>470</v>
      </c>
      <c r="P876" s="40"/>
      <c r="Q876" s="38" t="s">
        <v>289</v>
      </c>
      <c r="R876" s="38">
        <v>40.0</v>
      </c>
      <c r="S876" s="38" t="s">
        <v>4163</v>
      </c>
      <c r="T876" s="38" t="s">
        <v>4164</v>
      </c>
      <c r="U876" s="38" t="s">
        <v>1375</v>
      </c>
      <c r="V876" s="55">
        <v>41595.0</v>
      </c>
      <c r="W876" s="38"/>
      <c r="X876" s="49" t="str">
        <f>HYPERLINK("http://www.washingtonpost.com/business/on-it/opower-keeps-improving-its-message-to-get-people-to-use-less-energy/2013/11/17/6c726aca-4bc5-11e3-ac54-aa84301ced81_story.html","http://www.washingtonpost.com/business/on-it/opower-keeps-improving-its-message-to-get-people-to-use-less-energy/2013/11/17/6c726aca-4bc5-11e3-ac54-aa84301ced81_story.html")</f>
        <v>http://www.washingtonpost.com/business/on-it/opower-keeps-improving-its-message-to-get-people-to-use-less-energy/2013/11/17/6c726aca-4bc5-11e3-ac54-aa84301ced81_story.html</v>
      </c>
      <c r="Y876" s="38"/>
      <c r="Z876" s="38"/>
      <c r="AA876" s="38"/>
      <c r="AB876" s="38"/>
      <c r="AC876" s="38"/>
      <c r="AD876" s="38"/>
      <c r="AE876" s="38"/>
      <c r="AF876" s="38"/>
      <c r="AG876" s="28"/>
      <c r="AH876" s="28" t="s">
        <v>4170</v>
      </c>
      <c r="AI876" s="28" t="s">
        <v>4171</v>
      </c>
      <c r="AJ876" s="28"/>
      <c r="AK876" s="28"/>
      <c r="AL876" s="28" t="s">
        <v>769</v>
      </c>
      <c r="AM876" s="28" t="s">
        <v>4173</v>
      </c>
      <c r="AN876" s="54">
        <v>41968.0</v>
      </c>
      <c r="AO876" s="54"/>
      <c r="AP876" s="28" t="s">
        <v>4174</v>
      </c>
      <c r="AQ876" s="28" t="s">
        <v>530</v>
      </c>
      <c r="AR876" s="28"/>
      <c r="AS876" s="28"/>
      <c r="AT876" s="28"/>
      <c r="AU876" s="28"/>
      <c r="AV876" s="28"/>
      <c r="AW876" s="28"/>
      <c r="AX876" s="28"/>
      <c r="AY876" s="28"/>
      <c r="AZ876" s="28" t="s">
        <v>4175</v>
      </c>
      <c r="BA876" s="28"/>
      <c r="BB876" s="28"/>
      <c r="BC876" s="28"/>
      <c r="BD876" s="28"/>
      <c r="BE876" s="28"/>
      <c r="BF876" s="28"/>
      <c r="BG876" s="28"/>
      <c r="BH876" s="28"/>
      <c r="BI876" s="28"/>
      <c r="BJ876" s="28"/>
      <c r="BK876" s="28"/>
      <c r="BL876" s="28"/>
      <c r="BM876" s="28"/>
      <c r="BN876" s="28"/>
      <c r="BO876" s="28"/>
    </row>
    <row r="877" ht="25.5" customHeight="1">
      <c r="A877" s="28">
        <v>10330.0</v>
      </c>
      <c r="B877" s="37" t="b">
        <v>1</v>
      </c>
      <c r="C877" s="38" t="s">
        <v>238</v>
      </c>
      <c r="D877" s="38">
        <v>81.0</v>
      </c>
      <c r="E877" s="13" t="b">
        <v>0</v>
      </c>
      <c r="F877" s="13" t="b">
        <v>1</v>
      </c>
      <c r="G877" s="38" t="s">
        <v>224</v>
      </c>
      <c r="H877" s="38"/>
      <c r="I877" s="38" t="s">
        <v>280</v>
      </c>
      <c r="J877" s="38">
        <v>10.0</v>
      </c>
      <c r="K877" s="38"/>
      <c r="L877" s="38"/>
      <c r="M877" s="38" t="s">
        <v>107</v>
      </c>
      <c r="N877" s="38">
        <v>3000.0</v>
      </c>
      <c r="O877" s="38" t="s">
        <v>470</v>
      </c>
      <c r="P877" s="40"/>
      <c r="Q877" s="38" t="s">
        <v>289</v>
      </c>
      <c r="R877" s="38">
        <v>40.0</v>
      </c>
      <c r="S877" s="38" t="s">
        <v>4463</v>
      </c>
      <c r="T877" s="38" t="s">
        <v>1374</v>
      </c>
      <c r="U877" s="38" t="s">
        <v>1375</v>
      </c>
      <c r="V877" s="55">
        <v>42062.0</v>
      </c>
      <c r="W877" s="38" t="s">
        <v>4464</v>
      </c>
      <c r="X877" s="49" t="str">
        <f>HYPERLINK("http://www.washingtonpost.com/news/energy-environment/wp/2015/02/27/we-could-be-reaping-much-bigger-carbon-cuts-by-changing-peoples-behavior/?postshare=7231425060735465","http://www.washingtonpost.com/news/energy-environment/wp/2015/02/27/we-could-be-reaping-much-bigger-carbon-cuts-by-changing-peoples-behavior/?postshare=7231425060735465")</f>
        <v>http://www.washingtonpost.com/news/energy-environment/wp/2015/02/27/we-could-be-reaping-much-bigger-carbon-cuts-by-changing-peoples-behavior/?postshare=7231425060735465</v>
      </c>
      <c r="Y877" s="38"/>
      <c r="Z877" s="38"/>
      <c r="AA877" s="38"/>
      <c r="AB877" s="38"/>
      <c r="AC877" s="38"/>
      <c r="AD877" s="38"/>
      <c r="AE877" s="38"/>
      <c r="AF877" s="38"/>
      <c r="AG877" s="28"/>
      <c r="AH877" s="28" t="s">
        <v>462</v>
      </c>
      <c r="AI877" s="28" t="s">
        <v>462</v>
      </c>
      <c r="AJ877" s="28"/>
      <c r="AK877" s="28" t="s">
        <v>676</v>
      </c>
      <c r="AL877" s="28" t="s">
        <v>769</v>
      </c>
      <c r="AM877" s="28" t="s">
        <v>4469</v>
      </c>
      <c r="AN877" s="54">
        <v>42062.0</v>
      </c>
      <c r="AO877" s="54"/>
      <c r="AP877" s="54">
        <v>42555.0</v>
      </c>
      <c r="AQ877" s="28" t="s">
        <v>769</v>
      </c>
      <c r="AR877" s="28"/>
      <c r="AS877" s="54">
        <v>42070.0</v>
      </c>
      <c r="AT877" s="28" t="s">
        <v>2035</v>
      </c>
      <c r="AU877" s="54"/>
      <c r="AV877" s="28"/>
      <c r="AW877" s="28"/>
      <c r="AX877" s="28"/>
      <c r="AY877" s="28" t="s">
        <v>428</v>
      </c>
      <c r="AZ877" s="28" t="s">
        <v>678</v>
      </c>
      <c r="BA877" s="28"/>
      <c r="BB877" s="28"/>
      <c r="BC877" s="28"/>
      <c r="BD877" s="28"/>
      <c r="BE877" s="28"/>
      <c r="BF877" s="28"/>
      <c r="BG877" s="28"/>
      <c r="BH877" s="28"/>
      <c r="BI877" s="28"/>
      <c r="BJ877" s="28"/>
      <c r="BK877" s="28"/>
      <c r="BL877" s="28"/>
      <c r="BM877" s="28"/>
      <c r="BN877" s="28"/>
      <c r="BO877" s="28"/>
    </row>
    <row r="878" ht="25.5" customHeight="1">
      <c r="A878" s="28">
        <v>10098.0</v>
      </c>
      <c r="B878" s="37" t="b">
        <v>1</v>
      </c>
      <c r="C878" s="38" t="s">
        <v>238</v>
      </c>
      <c r="D878" s="38">
        <v>81.0</v>
      </c>
      <c r="E878" s="13" t="b">
        <v>0</v>
      </c>
      <c r="F878" s="13" t="b">
        <v>1</v>
      </c>
      <c r="G878" s="38" t="s">
        <v>224</v>
      </c>
      <c r="H878" s="38"/>
      <c r="I878" s="38" t="s">
        <v>1595</v>
      </c>
      <c r="J878" s="38" t="s">
        <v>2417</v>
      </c>
      <c r="K878" s="38"/>
      <c r="L878" s="38"/>
      <c r="M878" s="38" t="s">
        <v>239</v>
      </c>
      <c r="N878" s="38">
        <v>4000.0</v>
      </c>
      <c r="O878" s="38" t="s">
        <v>605</v>
      </c>
      <c r="P878" s="40"/>
      <c r="Q878" s="38" t="s">
        <v>111</v>
      </c>
      <c r="R878" s="38">
        <v>41.0</v>
      </c>
      <c r="S878" s="38" t="s">
        <v>2418</v>
      </c>
      <c r="T878" s="38" t="s">
        <v>1374</v>
      </c>
      <c r="U878" s="38" t="s">
        <v>1375</v>
      </c>
      <c r="V878" s="55">
        <v>42117.0</v>
      </c>
      <c r="W878" s="38" t="s">
        <v>2420</v>
      </c>
      <c r="X878" s="49" t="str">
        <f>HYPERLINK("https://www.washingtonpost.com/news/energy-environment/wp/2015/04/23/this-is-how-green-product-labels-affect-your-brain/?postshare=3861429878728924","https://www.washingtonpost.com/news/energy-environment/wp/2015/04/23/this-is-how-green-product-labels-affect-your-brain/?postshare=3861429878728924")</f>
        <v>https://www.washingtonpost.com/news/energy-environment/wp/2015/04/23/this-is-how-green-product-labels-affect-your-brain/?postshare=3861429878728924</v>
      </c>
      <c r="Y878" s="38"/>
      <c r="Z878" s="38"/>
      <c r="AA878" s="38"/>
      <c r="AB878" s="38"/>
      <c r="AC878" s="38"/>
      <c r="AD878" s="38"/>
      <c r="AE878" s="38"/>
      <c r="AF878" s="38"/>
      <c r="AG878" s="28"/>
      <c r="AH878" s="28" t="s">
        <v>462</v>
      </c>
      <c r="AI878" s="28" t="s">
        <v>462</v>
      </c>
      <c r="AJ878" s="28"/>
      <c r="AK878" s="70"/>
      <c r="AL878" s="28" t="s">
        <v>600</v>
      </c>
      <c r="AM878" s="70"/>
      <c r="AN878" s="70"/>
      <c r="AO878" s="70"/>
      <c r="AP878" s="70"/>
      <c r="AQ878" s="70"/>
      <c r="AR878" s="70"/>
      <c r="AS878" s="70"/>
      <c r="AT878" s="28"/>
      <c r="AU878" s="70"/>
      <c r="AV878" s="70"/>
      <c r="AW878" s="70"/>
      <c r="AX878" s="70"/>
      <c r="AY878" s="28"/>
      <c r="AZ878" s="28"/>
      <c r="BA878" s="28" t="s">
        <v>2425</v>
      </c>
      <c r="BB878" s="28"/>
      <c r="BC878" s="28"/>
      <c r="BD878" s="28"/>
      <c r="BE878" s="28"/>
      <c r="BF878" s="28"/>
      <c r="BG878" s="28"/>
      <c r="BH878" s="28"/>
      <c r="BI878" s="28"/>
      <c r="BJ878" s="28"/>
      <c r="BK878" s="28"/>
      <c r="BL878" s="28"/>
      <c r="BM878" s="28"/>
      <c r="BN878" s="28"/>
      <c r="BO878" s="28"/>
    </row>
    <row r="879" ht="25.5" customHeight="1">
      <c r="A879" s="28">
        <v>10140.0</v>
      </c>
      <c r="B879" s="37" t="b">
        <v>1</v>
      </c>
      <c r="C879" s="38" t="s">
        <v>238</v>
      </c>
      <c r="D879" s="38">
        <v>81.0</v>
      </c>
      <c r="E879" s="13" t="b">
        <v>0</v>
      </c>
      <c r="F879" s="13" t="b">
        <v>1</v>
      </c>
      <c r="G879" s="38" t="s">
        <v>224</v>
      </c>
      <c r="H879" s="38"/>
      <c r="I879" s="38" t="s">
        <v>1331</v>
      </c>
      <c r="J879" s="38" t="s">
        <v>1371</v>
      </c>
      <c r="K879" s="38"/>
      <c r="L879" s="38"/>
      <c r="M879" s="38" t="s">
        <v>239</v>
      </c>
      <c r="N879" s="38">
        <v>4000.0</v>
      </c>
      <c r="O879" s="38" t="s">
        <v>2867</v>
      </c>
      <c r="P879" s="40"/>
      <c r="Q879" s="38" t="s">
        <v>289</v>
      </c>
      <c r="R879" s="38">
        <v>40.0</v>
      </c>
      <c r="S879" s="38" t="s">
        <v>2869</v>
      </c>
      <c r="T879" s="38" t="s">
        <v>1374</v>
      </c>
      <c r="U879" s="38" t="s">
        <v>1375</v>
      </c>
      <c r="V879" s="55">
        <v>42047.0</v>
      </c>
      <c r="W879" s="38" t="s">
        <v>2870</v>
      </c>
      <c r="X879" s="38" t="s">
        <v>2871</v>
      </c>
      <c r="Y879" s="38"/>
      <c r="Z879" s="38"/>
      <c r="AA879" s="38"/>
      <c r="AB879" s="38"/>
      <c r="AC879" s="38"/>
      <c r="AD879" s="38"/>
      <c r="AE879" s="38"/>
      <c r="AF879" s="38"/>
      <c r="AG879" s="28"/>
      <c r="AH879" s="28" t="s">
        <v>428</v>
      </c>
      <c r="AI879" s="28" t="s">
        <v>462</v>
      </c>
      <c r="AJ879" s="28"/>
      <c r="AK879" s="28" t="s">
        <v>1099</v>
      </c>
      <c r="AL879" s="28" t="s">
        <v>769</v>
      </c>
      <c r="AM879" s="28"/>
      <c r="AN879" s="54"/>
      <c r="AO879" s="54"/>
      <c r="AP879" s="28"/>
      <c r="AQ879" s="28" t="s">
        <v>769</v>
      </c>
      <c r="AR879" s="28"/>
      <c r="AS879" s="54">
        <v>42109.0</v>
      </c>
      <c r="AT879" s="28"/>
      <c r="AU879" s="28"/>
      <c r="AV879" s="28"/>
      <c r="AW879" s="28"/>
      <c r="AX879" s="28"/>
      <c r="AY879" s="28"/>
      <c r="AZ879" s="28"/>
      <c r="BA879" s="28" t="s">
        <v>2197</v>
      </c>
      <c r="BB879" s="28"/>
      <c r="BC879" s="28"/>
      <c r="BD879" s="28"/>
      <c r="BE879" s="28"/>
      <c r="BF879" s="28"/>
      <c r="BG879" s="28"/>
      <c r="BH879" s="28"/>
      <c r="BI879" s="28"/>
      <c r="BJ879" s="28"/>
      <c r="BK879" s="28"/>
      <c r="BL879" s="28"/>
      <c r="BM879" s="28"/>
      <c r="BN879" s="28"/>
      <c r="BO879" s="28"/>
    </row>
    <row r="880" ht="25.5" customHeight="1">
      <c r="A880" s="28">
        <v>10176.0</v>
      </c>
      <c r="B880" s="37" t="b">
        <v>1</v>
      </c>
      <c r="C880" s="38" t="s">
        <v>238</v>
      </c>
      <c r="D880" s="38">
        <v>81.0</v>
      </c>
      <c r="E880" s="13" t="b">
        <v>0</v>
      </c>
      <c r="F880" s="13" t="b">
        <v>1</v>
      </c>
      <c r="G880" s="38" t="s">
        <v>224</v>
      </c>
      <c r="H880" s="38"/>
      <c r="I880" s="38" t="s">
        <v>887</v>
      </c>
      <c r="J880" s="38">
        <v>9.0</v>
      </c>
      <c r="K880" s="38"/>
      <c r="L880" s="38"/>
      <c r="M880" s="38" t="s">
        <v>359</v>
      </c>
      <c r="N880" s="38">
        <v>10000.0</v>
      </c>
      <c r="O880" s="38" t="s">
        <v>3109</v>
      </c>
      <c r="P880" s="40"/>
      <c r="Q880" s="38" t="s">
        <v>687</v>
      </c>
      <c r="R880" s="38" t="s">
        <v>688</v>
      </c>
      <c r="S880" s="61" t="s">
        <v>3145</v>
      </c>
      <c r="T880" s="38" t="s">
        <v>3146</v>
      </c>
      <c r="U880" s="38" t="s">
        <v>1375</v>
      </c>
      <c r="V880" s="55">
        <v>42507.0</v>
      </c>
      <c r="W880" s="38" t="s">
        <v>3147</v>
      </c>
      <c r="X880" s="49" t="str">
        <f>HYPERLINK("https://www.washingtonpost.com/news/to-your-health/wp/2016/05/17/forest-bathing-is-latest-fitness-trend-to-hit-u-s-where-yoga-was-30-years-ago/","https://www.washingtonpost.com/news/to-your-health/wp/2016/05/17/forest-bathing-is-latest-fitness-trend-to-hit-u-s-where-yoga-was-30-years-ago/")</f>
        <v>https://www.washingtonpost.com/news/to-your-health/wp/2016/05/17/forest-bathing-is-latest-fitness-trend-to-hit-u-s-where-yoga-was-30-years-ago/</v>
      </c>
      <c r="Y880" s="38"/>
      <c r="Z880" s="38"/>
      <c r="AA880" s="38"/>
      <c r="AB880" s="38"/>
      <c r="AC880" s="38"/>
      <c r="AD880" s="38"/>
      <c r="AE880" s="38"/>
      <c r="AF880" s="38"/>
      <c r="AG880" s="28"/>
      <c r="AH880" s="28"/>
      <c r="AI880" s="28"/>
      <c r="AJ880" s="28"/>
      <c r="AK880" s="28"/>
      <c r="AL880" s="28" t="s">
        <v>769</v>
      </c>
      <c r="AM880" s="28" t="s">
        <v>3151</v>
      </c>
      <c r="AN880" s="54">
        <v>42675.0</v>
      </c>
      <c r="AO880" s="54"/>
      <c r="AP880" s="28"/>
      <c r="AQ880" s="28"/>
      <c r="AR880" s="28"/>
      <c r="AS880" s="28"/>
      <c r="AT880" s="28"/>
      <c r="AU880" s="28"/>
      <c r="AV880" s="28"/>
      <c r="AW880" s="28"/>
      <c r="AX880" s="28"/>
      <c r="AY880" s="28" t="s">
        <v>428</v>
      </c>
      <c r="AZ880" s="28"/>
      <c r="BA880" s="28"/>
      <c r="BB880" s="28"/>
      <c r="BC880" s="28"/>
      <c r="BD880" s="28"/>
      <c r="BE880" s="28"/>
      <c r="BF880" s="28"/>
      <c r="BG880" s="28"/>
      <c r="BH880" s="28"/>
      <c r="BI880" s="28"/>
      <c r="BJ880" s="28"/>
      <c r="BK880" s="28"/>
      <c r="BL880" s="28"/>
      <c r="BM880" s="28"/>
      <c r="BN880" s="28"/>
      <c r="BO880" s="28"/>
    </row>
    <row r="881" ht="25.5" customHeight="1">
      <c r="A881" s="28">
        <v>10180.0</v>
      </c>
      <c r="B881" s="37" t="b">
        <v>1</v>
      </c>
      <c r="C881" s="38" t="s">
        <v>238</v>
      </c>
      <c r="D881" s="38">
        <v>81.0</v>
      </c>
      <c r="E881" s="13" t="b">
        <v>0</v>
      </c>
      <c r="F881" s="13" t="b">
        <v>1</v>
      </c>
      <c r="G881" s="38" t="s">
        <v>224</v>
      </c>
      <c r="H881" s="38"/>
      <c r="I881" s="38" t="s">
        <v>265</v>
      </c>
      <c r="J881" s="38">
        <v>9.0</v>
      </c>
      <c r="K881" s="38"/>
      <c r="L881" s="38"/>
      <c r="M881" s="38" t="s">
        <v>359</v>
      </c>
      <c r="N881" s="38">
        <v>10000.0</v>
      </c>
      <c r="O881" s="38" t="s">
        <v>3109</v>
      </c>
      <c r="P881" s="40"/>
      <c r="Q881" s="38" t="s">
        <v>298</v>
      </c>
      <c r="R881" s="38">
        <v>44.0</v>
      </c>
      <c r="S881" s="38" t="s">
        <v>3174</v>
      </c>
      <c r="T881" s="38" t="s">
        <v>1374</v>
      </c>
      <c r="U881" s="38" t="s">
        <v>1375</v>
      </c>
      <c r="V881" s="55">
        <v>42150.0</v>
      </c>
      <c r="W881" s="38" t="s">
        <v>3175</v>
      </c>
      <c r="X881" s="49" t="str">
        <f>HYPERLINK("http://www.washingtonpost.com/news/energy-environment/wp/2015/05/26/viewing-nature-can-help-your-brain-work-better-study-finds/?postshare=5361432832740398","http://www.washingtonpost.com/news/energy-environment/wp/2015/05/26/viewing-nature-can-help-your-brain-work-better-study-finds/?postshare=5361432832740398")</f>
        <v>http://www.washingtonpost.com/news/energy-environment/wp/2015/05/26/viewing-nature-can-help-your-brain-work-better-study-finds/?postshare=5361432832740398</v>
      </c>
      <c r="Y881" s="38"/>
      <c r="Z881" s="38"/>
      <c r="AA881" s="38"/>
      <c r="AB881" s="38"/>
      <c r="AC881" s="38"/>
      <c r="AD881" s="38"/>
      <c r="AE881" s="38"/>
      <c r="AF881" s="38"/>
      <c r="AG881" s="28"/>
      <c r="AH881" s="28" t="s">
        <v>428</v>
      </c>
      <c r="AI881" s="28" t="s">
        <v>462</v>
      </c>
      <c r="AJ881" s="28"/>
      <c r="AK881" s="28"/>
      <c r="AL881" s="28" t="s">
        <v>769</v>
      </c>
      <c r="AM881" s="28" t="s">
        <v>3180</v>
      </c>
      <c r="AN881" s="54">
        <v>42152.0</v>
      </c>
      <c r="AO881" s="54"/>
      <c r="AP881" s="54">
        <v>42576.0</v>
      </c>
      <c r="AQ881" s="28" t="s">
        <v>769</v>
      </c>
      <c r="AR881" s="28"/>
      <c r="AS881" s="54">
        <v>42186.0</v>
      </c>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row>
    <row r="882" ht="25.5" customHeight="1">
      <c r="A882" s="28">
        <v>10385.0</v>
      </c>
      <c r="B882" s="37" t="b">
        <v>1</v>
      </c>
      <c r="C882" s="38" t="s">
        <v>238</v>
      </c>
      <c r="D882" s="38">
        <v>81.0</v>
      </c>
      <c r="E882" s="13" t="b">
        <v>0</v>
      </c>
      <c r="F882" s="13" t="b">
        <v>1</v>
      </c>
      <c r="G882" s="38" t="s">
        <v>224</v>
      </c>
      <c r="H882" s="38"/>
      <c r="I882" s="38" t="s">
        <v>68</v>
      </c>
      <c r="J882" s="38">
        <v>7.0</v>
      </c>
      <c r="K882" s="38"/>
      <c r="L882" s="38"/>
      <c r="M882" s="38" t="s">
        <v>367</v>
      </c>
      <c r="N882" s="38">
        <v>11000.0</v>
      </c>
      <c r="O882" s="38" t="s">
        <v>4964</v>
      </c>
      <c r="P882" s="40"/>
      <c r="Q882" s="38" t="s">
        <v>289</v>
      </c>
      <c r="R882" s="38">
        <v>40.0</v>
      </c>
      <c r="S882" s="38" t="s">
        <v>4965</v>
      </c>
      <c r="T882" s="38" t="s">
        <v>1374</v>
      </c>
      <c r="U882" s="38" t="s">
        <v>1375</v>
      </c>
      <c r="V882" s="55">
        <v>42074.0</v>
      </c>
      <c r="W882" s="38" t="s">
        <v>4966</v>
      </c>
      <c r="X882" s="49" t="str">
        <f>HYPERLINK("http://www.washingtonpost.com/news/energy-environment/wp/2015/03/11/forget-what-your-neighbors-think-stop-dousing-your-lawn-with-so-much-fertilizer/?postshare=5611426249758304","http://www.washingtonpost.com/news/energy-environment/wp/2015/03/11/forget-what-your-neighbors-think-stop-dousing-your-lawn-with-so-much-fertilizer/?postshare=5611426249758304")</f>
        <v>http://www.washingtonpost.com/news/energy-environment/wp/2015/03/11/forget-what-your-neighbors-think-stop-dousing-your-lawn-with-so-much-fertilizer/?postshare=5611426249758304</v>
      </c>
      <c r="Y882" s="38"/>
      <c r="Z882" s="38"/>
      <c r="AA882" s="38"/>
      <c r="AB882" s="38"/>
      <c r="AC882" s="38"/>
      <c r="AD882" s="38"/>
      <c r="AE882" s="38"/>
      <c r="AF882" s="38"/>
      <c r="AG882" s="28"/>
      <c r="AH882" s="28" t="s">
        <v>462</v>
      </c>
      <c r="AI882" s="28" t="s">
        <v>462</v>
      </c>
      <c r="AJ882" s="28"/>
      <c r="AK882" s="28"/>
      <c r="AL882" s="28" t="s">
        <v>769</v>
      </c>
      <c r="AM882" s="28" t="s">
        <v>4971</v>
      </c>
      <c r="AN882" s="54">
        <v>42076.0</v>
      </c>
      <c r="AO882" s="54"/>
      <c r="AP882" s="54"/>
      <c r="AQ882" s="28" t="s">
        <v>769</v>
      </c>
      <c r="AR882" s="28"/>
      <c r="AS882" s="54">
        <v>41350.0</v>
      </c>
      <c r="AT882" s="28" t="s">
        <v>1488</v>
      </c>
      <c r="AU882" s="28"/>
      <c r="AV882" s="28"/>
      <c r="AW882" s="28"/>
      <c r="AX882" s="28" t="s">
        <v>428</v>
      </c>
      <c r="AY882" s="28"/>
      <c r="AZ882" s="28" t="s">
        <v>991</v>
      </c>
      <c r="BA882" s="28" t="s">
        <v>4973</v>
      </c>
      <c r="BB882" s="28"/>
      <c r="BC882" s="28"/>
      <c r="BD882" s="28"/>
      <c r="BE882" s="28"/>
      <c r="BF882" s="28"/>
      <c r="BG882" s="28"/>
      <c r="BH882" s="28"/>
      <c r="BI882" s="28"/>
      <c r="BJ882" s="28"/>
      <c r="BK882" s="28"/>
      <c r="BL882" s="28"/>
      <c r="BM882" s="28"/>
      <c r="BN882" s="28"/>
      <c r="BO882" s="28"/>
    </row>
    <row r="883" ht="25.5" customHeight="1">
      <c r="A883" s="28">
        <v>10312.0</v>
      </c>
      <c r="B883" s="37" t="b">
        <v>1</v>
      </c>
      <c r="C883" s="38" t="s">
        <v>238</v>
      </c>
      <c r="D883" s="38">
        <v>81.0</v>
      </c>
      <c r="E883" s="13" t="b">
        <v>0</v>
      </c>
      <c r="F883" s="13" t="b">
        <v>1</v>
      </c>
      <c r="G883" s="38" t="s">
        <v>224</v>
      </c>
      <c r="H883" s="38"/>
      <c r="I883" s="38" t="s">
        <v>490</v>
      </c>
      <c r="J883" s="38">
        <v>6.0</v>
      </c>
      <c r="K883" s="38"/>
      <c r="L883" s="38"/>
      <c r="M883" s="38" t="s">
        <v>388</v>
      </c>
      <c r="N883" s="38">
        <v>14000.0</v>
      </c>
      <c r="O883" s="38" t="s">
        <v>224</v>
      </c>
      <c r="P883" s="40"/>
      <c r="Q883" s="38" t="s">
        <v>289</v>
      </c>
      <c r="R883" s="38">
        <v>40.0</v>
      </c>
      <c r="S883" s="38" t="s">
        <v>4308</v>
      </c>
      <c r="T883" s="38" t="s">
        <v>4309</v>
      </c>
      <c r="U883" s="38" t="s">
        <v>1375</v>
      </c>
      <c r="V883" s="55">
        <v>39819.0</v>
      </c>
      <c r="W883" s="38" t="s">
        <v>4310</v>
      </c>
      <c r="X883" s="49" t="str">
        <f>HYPERLINK("http://www.washingtonpost.com/wp-dyn/content/article/2009/01/05/AR2009010501863.html","http://www.washingtonpost.com/wp-dyn/content/article/2009/01/05/AR2009010501863.html")</f>
        <v>http://www.washingtonpost.com/wp-dyn/content/article/2009/01/05/AR2009010501863.html</v>
      </c>
      <c r="Y883" s="38"/>
      <c r="Z883" s="38"/>
      <c r="AA883" s="38"/>
      <c r="AB883" s="38"/>
      <c r="AC883" s="38"/>
      <c r="AD883" s="38"/>
      <c r="AE883" s="38"/>
      <c r="AF883" s="38"/>
      <c r="AG883" s="28"/>
      <c r="AH883" s="28" t="s">
        <v>462</v>
      </c>
      <c r="AI883" s="28" t="s">
        <v>462</v>
      </c>
      <c r="AJ883" s="28"/>
      <c r="AK883" s="28"/>
      <c r="AL883" s="28" t="s">
        <v>677</v>
      </c>
      <c r="AM883" s="28"/>
      <c r="AN883" s="54"/>
      <c r="AO883" s="54"/>
      <c r="AP883" s="28"/>
      <c r="AQ883" s="28"/>
      <c r="AR883" s="28"/>
      <c r="AS883" s="54"/>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row>
    <row r="884" ht="25.5" customHeight="1">
      <c r="A884" s="28">
        <v>10071.0</v>
      </c>
      <c r="B884" s="37" t="b">
        <v>1</v>
      </c>
      <c r="C884" s="38" t="s">
        <v>238</v>
      </c>
      <c r="D884" s="38">
        <v>81.0</v>
      </c>
      <c r="E884" s="13" t="b">
        <v>0</v>
      </c>
      <c r="F884" s="13" t="b">
        <v>1</v>
      </c>
      <c r="G884" s="38" t="s">
        <v>224</v>
      </c>
      <c r="H884" s="38"/>
      <c r="I884" s="38" t="s">
        <v>574</v>
      </c>
      <c r="J884" s="38">
        <v>4.0</v>
      </c>
      <c r="K884" s="38"/>
      <c r="L884" s="38"/>
      <c r="M884" s="38" t="s">
        <v>388</v>
      </c>
      <c r="N884" s="38">
        <v>14000.0</v>
      </c>
      <c r="O884" s="38" t="s">
        <v>224</v>
      </c>
      <c r="P884" s="40"/>
      <c r="Q884" s="38" t="s">
        <v>289</v>
      </c>
      <c r="R884" s="38">
        <v>40.0</v>
      </c>
      <c r="S884" s="61" t="s">
        <v>2066</v>
      </c>
      <c r="T884" s="38" t="s">
        <v>2067</v>
      </c>
      <c r="U884" s="38" t="s">
        <v>2068</v>
      </c>
      <c r="V884" s="55">
        <v>42410.0</v>
      </c>
      <c r="W884" s="38" t="s">
        <v>2069</v>
      </c>
      <c r="X884" s="49" t="str">
        <f>HYPERLINK("https://www.washingtonpost.com/news/wonk/wp/2016/02/10/how-to-change-someones-mind-according-to-science/","https://www.washingtonpost.com/news/wonk/wp/2016/02/10/how-to-change-someones-mind-according-to-science/")</f>
        <v>https://www.washingtonpost.com/news/wonk/wp/2016/02/10/how-to-change-someones-mind-according-to-science/</v>
      </c>
      <c r="Y884" s="38"/>
      <c r="Z884" s="38"/>
      <c r="AA884" s="38"/>
      <c r="AB884" s="38"/>
      <c r="AC884" s="38"/>
      <c r="AD884" s="38"/>
      <c r="AE884" s="38"/>
      <c r="AF884" s="38"/>
      <c r="AG884" s="28"/>
      <c r="AH884" s="28"/>
      <c r="AI884" s="28"/>
      <c r="AJ884" s="28"/>
      <c r="AK884" s="28"/>
      <c r="AL884" s="28" t="s">
        <v>677</v>
      </c>
      <c r="AM884" s="28"/>
      <c r="AN884" s="28"/>
      <c r="AO884" s="28"/>
      <c r="AP884" s="28"/>
      <c r="AQ884" s="28"/>
      <c r="AR884" s="28"/>
      <c r="AS884" s="28"/>
      <c r="AT884" s="28"/>
      <c r="AU884" s="28"/>
      <c r="AV884" s="28"/>
      <c r="AW884" s="28"/>
      <c r="AX884" s="28"/>
      <c r="AY884" s="28" t="s">
        <v>428</v>
      </c>
      <c r="AZ884" s="28"/>
      <c r="BA884" s="28"/>
      <c r="BB884" s="28"/>
      <c r="BC884" s="28"/>
      <c r="BD884" s="28"/>
      <c r="BE884" s="28"/>
      <c r="BF884" s="28"/>
      <c r="BG884" s="28"/>
      <c r="BH884" s="28"/>
      <c r="BI884" s="28"/>
      <c r="BJ884" s="28"/>
      <c r="BK884" s="28"/>
      <c r="BL884" s="28"/>
      <c r="BM884" s="28"/>
      <c r="BN884" s="28"/>
      <c r="BO884" s="28"/>
    </row>
    <row r="885" ht="25.5" customHeight="1">
      <c r="A885" s="28">
        <v>20.0</v>
      </c>
      <c r="B885" s="37" t="b">
        <v>1</v>
      </c>
      <c r="C885" s="38" t="s">
        <v>106</v>
      </c>
      <c r="D885" s="38">
        <v>80.0</v>
      </c>
      <c r="E885" s="13" t="b">
        <v>0</v>
      </c>
      <c r="F885" s="13" t="b">
        <v>1</v>
      </c>
      <c r="G885" s="38" t="s">
        <v>224</v>
      </c>
      <c r="H885" s="38"/>
      <c r="I885" s="38" t="s">
        <v>574</v>
      </c>
      <c r="J885" s="38">
        <v>4.0</v>
      </c>
      <c r="K885" s="38" t="s">
        <v>3706</v>
      </c>
      <c r="L885" s="38">
        <v>400.0</v>
      </c>
      <c r="M885" s="38" t="s">
        <v>239</v>
      </c>
      <c r="N885" s="38">
        <v>4000.0</v>
      </c>
      <c r="O885" s="38" t="s">
        <v>623</v>
      </c>
      <c r="P885" s="40"/>
      <c r="Q885" s="38" t="s">
        <v>289</v>
      </c>
      <c r="R885" s="38">
        <v>40.0</v>
      </c>
      <c r="S885" s="38" t="s">
        <v>4019</v>
      </c>
      <c r="T885" s="38" t="s">
        <v>4020</v>
      </c>
      <c r="U885" s="38" t="s">
        <v>4021</v>
      </c>
      <c r="V885" s="38">
        <v>2013.0</v>
      </c>
      <c r="W885" s="38" t="s">
        <v>4022</v>
      </c>
      <c r="X885" s="38" t="s">
        <v>4023</v>
      </c>
      <c r="Y885" s="38"/>
      <c r="Z885" s="38"/>
      <c r="AA885" s="38"/>
      <c r="AB885" s="38"/>
      <c r="AC885" s="38"/>
      <c r="AD885" s="38"/>
      <c r="AE885" s="38"/>
      <c r="AF885" s="38"/>
      <c r="AG885" s="28"/>
      <c r="AH885" s="28" t="s">
        <v>428</v>
      </c>
      <c r="AI885" s="28" t="s">
        <v>462</v>
      </c>
      <c r="AJ885" s="28"/>
      <c r="AK885" s="28"/>
      <c r="AL885" s="28"/>
      <c r="AM885" s="28"/>
      <c r="AN885" s="28"/>
      <c r="AO885" s="28"/>
      <c r="AP885" s="28"/>
      <c r="AQ885" s="28"/>
      <c r="AR885" s="28"/>
      <c r="AS885" s="28"/>
      <c r="AT885" s="28"/>
      <c r="AU885" s="28"/>
      <c r="AV885" s="28"/>
      <c r="AW885" s="28"/>
      <c r="AX885" s="28"/>
      <c r="AY885" s="28"/>
      <c r="AZ885" s="28"/>
      <c r="BA885" s="28" t="s">
        <v>4024</v>
      </c>
      <c r="BB885" s="28"/>
      <c r="BC885" s="28"/>
      <c r="BD885" s="28"/>
      <c r="BE885" s="28"/>
      <c r="BF885" s="28"/>
      <c r="BG885" s="28"/>
      <c r="BH885" s="28"/>
      <c r="BI885" s="28"/>
      <c r="BJ885" s="28"/>
      <c r="BK885" s="28"/>
      <c r="BL885" s="28"/>
      <c r="BM885" s="28"/>
      <c r="BN885" s="28"/>
      <c r="BO885" s="28"/>
    </row>
    <row r="886" ht="25.5" customHeight="1">
      <c r="A886" s="28">
        <v>443.0</v>
      </c>
      <c r="B886" s="37" t="b">
        <v>1</v>
      </c>
      <c r="C886" s="38" t="s">
        <v>106</v>
      </c>
      <c r="D886" s="38">
        <v>80.0</v>
      </c>
      <c r="E886" s="13" t="b">
        <v>0</v>
      </c>
      <c r="F886" s="13" t="b">
        <v>1</v>
      </c>
      <c r="G886" s="38" t="s">
        <v>224</v>
      </c>
      <c r="H886" s="38"/>
      <c r="I886" s="38" t="s">
        <v>387</v>
      </c>
      <c r="J886" s="38">
        <v>8.0</v>
      </c>
      <c r="K886" s="38" t="s">
        <v>1113</v>
      </c>
      <c r="L886" s="38">
        <v>800.0</v>
      </c>
      <c r="M886" s="38" t="s">
        <v>35</v>
      </c>
      <c r="N886" s="38">
        <v>2000.0</v>
      </c>
      <c r="O886" s="38" t="s">
        <v>837</v>
      </c>
      <c r="P886" s="40">
        <v>2001.0</v>
      </c>
      <c r="Q886" s="38" t="s">
        <v>6467</v>
      </c>
      <c r="R886" s="38" t="s">
        <v>6469</v>
      </c>
      <c r="S886" s="38" t="s">
        <v>6471</v>
      </c>
      <c r="T886" s="38" t="s">
        <v>6472</v>
      </c>
      <c r="U886" s="38" t="s">
        <v>3400</v>
      </c>
      <c r="V886" s="38">
        <v>2002.0</v>
      </c>
      <c r="W886" s="38" t="s">
        <v>6476</v>
      </c>
      <c r="X886" s="49" t="str">
        <f>HYPERLINK("http://www-wds.worldbank.org/external/default/WDSContentServer/WDSP/IB/2003/07/26/000094946_03071512065261/Rendered/PDF/multi0page.pdf","http://www-wds.worldbank.org/external/default/WDSContentServer/WDSP/IB/2003/07/26/000094946_03071512065261/Rendered/PDF/multi0page.pdf")</f>
        <v>http://www-wds.worldbank.org/external/default/WDSContentServer/WDSP/IB/2003/07/26/000094946_03071512065261/Rendered/PDF/multi0page.pdf</v>
      </c>
      <c r="Y886" s="38"/>
      <c r="Z886" s="38"/>
      <c r="AA886" s="38"/>
      <c r="AB886" s="38"/>
      <c r="AC886" s="38"/>
      <c r="AD886" s="38"/>
      <c r="AE886" s="38"/>
      <c r="AF886" s="38"/>
      <c r="AG886" s="28"/>
      <c r="AH886" s="28" t="s">
        <v>462</v>
      </c>
      <c r="AI886" s="28" t="s">
        <v>428</v>
      </c>
      <c r="AJ886" s="28"/>
      <c r="AK886" s="28"/>
      <c r="AL886" s="28"/>
      <c r="AM886" s="28"/>
      <c r="AN886" s="54"/>
      <c r="AO886" s="28"/>
      <c r="AP886" s="28"/>
      <c r="AQ886" s="28"/>
      <c r="AR886" s="28"/>
      <c r="AS886" s="28"/>
      <c r="AT886" s="28"/>
      <c r="AU886" s="28"/>
      <c r="AV886" s="28"/>
      <c r="AW886" s="28"/>
      <c r="AX886" s="28"/>
      <c r="AY886" s="28"/>
      <c r="AZ886" s="28"/>
      <c r="BA886" s="28" t="s">
        <v>1338</v>
      </c>
      <c r="BB886" s="28"/>
      <c r="BC886" s="28"/>
      <c r="BD886" s="28"/>
      <c r="BE886" s="28"/>
      <c r="BF886" s="28"/>
      <c r="BG886" s="28"/>
      <c r="BH886" s="28"/>
      <c r="BI886" s="28"/>
      <c r="BJ886" s="28"/>
      <c r="BK886" s="28"/>
      <c r="BL886" s="28"/>
      <c r="BM886" s="28"/>
      <c r="BN886" s="28"/>
      <c r="BO886" s="28"/>
    </row>
    <row r="887" ht="25.5" customHeight="1">
      <c r="A887" s="28">
        <v>10211.0</v>
      </c>
      <c r="B887" s="37" t="b">
        <v>1</v>
      </c>
      <c r="C887" s="38" t="s">
        <v>238</v>
      </c>
      <c r="D887" s="38">
        <v>81.0</v>
      </c>
      <c r="E887" s="13" t="b">
        <v>0</v>
      </c>
      <c r="F887" s="13" t="b">
        <v>1</v>
      </c>
      <c r="G887" s="38" t="s">
        <v>224</v>
      </c>
      <c r="H887" s="38"/>
      <c r="I887" s="38" t="s">
        <v>756</v>
      </c>
      <c r="J887" s="38" t="s">
        <v>757</v>
      </c>
      <c r="K887" s="38"/>
      <c r="L887" s="38"/>
      <c r="M887" s="38" t="s">
        <v>35</v>
      </c>
      <c r="N887" s="38">
        <v>2000.0</v>
      </c>
      <c r="O887" s="38" t="s">
        <v>3476</v>
      </c>
      <c r="P887" s="40"/>
      <c r="Q887" s="38" t="s">
        <v>1590</v>
      </c>
      <c r="R887" s="38"/>
      <c r="S887" s="38" t="s">
        <v>3479</v>
      </c>
      <c r="T887" s="38" t="s">
        <v>577</v>
      </c>
      <c r="U887" s="38" t="s">
        <v>3400</v>
      </c>
      <c r="V887" s="55">
        <v>42135.0</v>
      </c>
      <c r="W887" s="38" t="s">
        <v>3480</v>
      </c>
      <c r="X887" s="49" t="str">
        <f>HYPERLINK("http://www.worldbank.org/en/news/feature/2015/05/11/decarbonizing-development-zero-carbon-future?CID=CCG_TTccgEN_D_EXT","http://www.worldbank.org/en/news/feature/2015/05/11/decarbonizing-development-zero-carbon-future?CID=CCG_TTccgEN_D_EXT")</f>
        <v>http://www.worldbank.org/en/news/feature/2015/05/11/decarbonizing-development-zero-carbon-future?CID=CCG_TTccgEN_D_EXT</v>
      </c>
      <c r="Y887" s="38"/>
      <c r="Z887" s="38"/>
      <c r="AA887" s="38"/>
      <c r="AB887" s="38"/>
      <c r="AC887" s="38"/>
      <c r="AD887" s="38"/>
      <c r="AE887" s="38"/>
      <c r="AF887" s="38"/>
      <c r="AG887" s="28"/>
      <c r="AH887" s="28" t="s">
        <v>462</v>
      </c>
      <c r="AI887" s="28" t="s">
        <v>462</v>
      </c>
      <c r="AJ887" s="28"/>
      <c r="AK887" s="28" t="s">
        <v>676</v>
      </c>
      <c r="AL887" s="28" t="s">
        <v>769</v>
      </c>
      <c r="AM887" s="28" t="s">
        <v>3486</v>
      </c>
      <c r="AN887" s="54">
        <v>42207.0</v>
      </c>
      <c r="AO887" s="54"/>
      <c r="AP887" s="28"/>
      <c r="AQ887" s="28"/>
      <c r="AR887" s="28"/>
      <c r="AS887" s="54"/>
      <c r="AT887" s="28"/>
      <c r="AU887" s="28"/>
      <c r="AV887" s="28"/>
      <c r="AW887" s="28"/>
      <c r="AX887" s="28"/>
      <c r="AY887" s="28"/>
      <c r="AZ887" s="28"/>
      <c r="BA887" s="28" t="s">
        <v>3487</v>
      </c>
      <c r="BB887" s="28"/>
      <c r="BC887" s="28"/>
      <c r="BD887" s="28"/>
      <c r="BE887" s="28"/>
      <c r="BF887" s="28"/>
      <c r="BG887" s="28"/>
      <c r="BH887" s="28"/>
      <c r="BI887" s="28"/>
      <c r="BJ887" s="28"/>
      <c r="BK887" s="28"/>
      <c r="BL887" s="28"/>
      <c r="BM887" s="28"/>
      <c r="BN887" s="28"/>
      <c r="BO887" s="28"/>
    </row>
    <row r="888" ht="25.5" customHeight="1">
      <c r="A888" s="28">
        <v>10205.0</v>
      </c>
      <c r="B888" s="37" t="b">
        <v>1</v>
      </c>
      <c r="C888" s="38" t="s">
        <v>238</v>
      </c>
      <c r="D888" s="38">
        <v>81.0</v>
      </c>
      <c r="E888" s="13" t="b">
        <v>0</v>
      </c>
      <c r="F888" s="13" t="b">
        <v>1</v>
      </c>
      <c r="G888" s="38" t="s">
        <v>224</v>
      </c>
      <c r="H888" s="38"/>
      <c r="I888" s="38" t="s">
        <v>1857</v>
      </c>
      <c r="J888" s="38">
        <v>1.0</v>
      </c>
      <c r="K888" s="38"/>
      <c r="L888" s="38"/>
      <c r="M888" s="38" t="s">
        <v>107</v>
      </c>
      <c r="N888" s="38">
        <v>3000.0</v>
      </c>
      <c r="O888" s="38" t="s">
        <v>470</v>
      </c>
      <c r="P888" s="40"/>
      <c r="Q888" s="38" t="s">
        <v>3397</v>
      </c>
      <c r="R888" s="38" t="s">
        <v>3398</v>
      </c>
      <c r="S888" s="38" t="s">
        <v>3399</v>
      </c>
      <c r="T888" s="38" t="s">
        <v>577</v>
      </c>
      <c r="U888" s="38" t="s">
        <v>3400</v>
      </c>
      <c r="V888" s="55">
        <v>41914.0</v>
      </c>
      <c r="W888" s="38" t="s">
        <v>3401</v>
      </c>
      <c r="X888" s="49" t="str">
        <f>HYPERLINK("http://www.worldbank.org/en/news/feature/2014/10/01/greening-building-design-click-mouse?hootPostID=55b303f41aa136b30435ec6855926143","http://www.worldbank.org/en/news/feature/2014/10/01/greening-building-design-click-mouse?hootPostID=55b303f41aa136b30435ec6855926143")</f>
        <v>http://www.worldbank.org/en/news/feature/2014/10/01/greening-building-design-click-mouse?hootPostID=55b303f41aa136b30435ec6855926143</v>
      </c>
      <c r="Y888" s="38"/>
      <c r="Z888" s="38"/>
      <c r="AA888" s="38"/>
      <c r="AB888" s="38"/>
      <c r="AC888" s="38"/>
      <c r="AD888" s="38"/>
      <c r="AE888" s="38"/>
      <c r="AF888" s="38"/>
      <c r="AG888" s="28"/>
      <c r="AH888" s="28" t="s">
        <v>462</v>
      </c>
      <c r="AI888" s="28" t="s">
        <v>462</v>
      </c>
      <c r="AJ888" s="28"/>
      <c r="AK888" s="28" t="s">
        <v>676</v>
      </c>
      <c r="AL888" s="28" t="s">
        <v>769</v>
      </c>
      <c r="AM888" s="28" t="s">
        <v>3404</v>
      </c>
      <c r="AN888" s="54">
        <v>42207.0</v>
      </c>
      <c r="AO888" s="54"/>
      <c r="AP888" s="28"/>
      <c r="AQ888" s="28"/>
      <c r="AR888" s="28"/>
      <c r="AS888" s="54"/>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row>
    <row r="889" ht="25.5" customHeight="1">
      <c r="A889" s="28">
        <v>10308.0</v>
      </c>
      <c r="B889" s="37" t="b">
        <v>1</v>
      </c>
      <c r="C889" s="38" t="s">
        <v>238</v>
      </c>
      <c r="D889" s="38">
        <v>81.0</v>
      </c>
      <c r="E889" s="13" t="b">
        <v>0</v>
      </c>
      <c r="F889" s="13" t="b">
        <v>1</v>
      </c>
      <c r="G889" s="38" t="s">
        <v>224</v>
      </c>
      <c r="H889" s="38"/>
      <c r="I889" s="38" t="s">
        <v>490</v>
      </c>
      <c r="J889" s="38">
        <v>6.0</v>
      </c>
      <c r="K889" s="38"/>
      <c r="L889" s="38"/>
      <c r="M889" s="38" t="s">
        <v>388</v>
      </c>
      <c r="N889" s="38">
        <v>14000.0</v>
      </c>
      <c r="O889" s="38" t="s">
        <v>224</v>
      </c>
      <c r="P889" s="40"/>
      <c r="Q889" s="38" t="s">
        <v>289</v>
      </c>
      <c r="R889" s="38">
        <v>40.0</v>
      </c>
      <c r="S889" s="38" t="s">
        <v>4267</v>
      </c>
      <c r="T889" s="38" t="s">
        <v>4268</v>
      </c>
      <c r="U889" s="38" t="s">
        <v>4269</v>
      </c>
      <c r="V889" s="55">
        <v>42234.0</v>
      </c>
      <c r="W889" s="38" t="s">
        <v>4270</v>
      </c>
      <c r="X889" s="49" t="str">
        <f>HYPERLINK("http://www.thehumaneleague.com/changeofheart/e_plan.htm","http://www.thehumaneleague.com/changeofheart/e_plan.htm")</f>
        <v>http://www.thehumaneleague.com/changeofheart/e_plan.htm</v>
      </c>
      <c r="Y889" s="38"/>
      <c r="Z889" s="38"/>
      <c r="AA889" s="38"/>
      <c r="AB889" s="38"/>
      <c r="AC889" s="38"/>
      <c r="AD889" s="38"/>
      <c r="AE889" s="38"/>
      <c r="AF889" s="38"/>
      <c r="AG889" s="28"/>
      <c r="AH889" s="28" t="s">
        <v>4274</v>
      </c>
      <c r="AI889" s="28" t="s">
        <v>462</v>
      </c>
      <c r="AJ889" s="28"/>
      <c r="AK889" s="28"/>
      <c r="AL889" s="28" t="s">
        <v>677</v>
      </c>
      <c r="AM889" s="28"/>
      <c r="AN889" s="54"/>
      <c r="AO889" s="54"/>
      <c r="AP889" s="54"/>
      <c r="AQ889" s="28"/>
      <c r="AR889" s="28"/>
      <c r="AS889" s="54"/>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row>
    <row r="890" ht="25.5" customHeight="1">
      <c r="A890" s="28">
        <v>10445.0</v>
      </c>
      <c r="B890" s="37" t="b">
        <v>1</v>
      </c>
      <c r="C890" s="38" t="s">
        <v>238</v>
      </c>
      <c r="D890" s="38">
        <v>81.0</v>
      </c>
      <c r="E890" s="13" t="b">
        <v>0</v>
      </c>
      <c r="F890" s="13" t="b">
        <v>1</v>
      </c>
      <c r="G890" s="38" t="s">
        <v>224</v>
      </c>
      <c r="H890" s="38"/>
      <c r="I890" s="38" t="s">
        <v>772</v>
      </c>
      <c r="J890" s="38">
        <v>5.0</v>
      </c>
      <c r="K890" s="38"/>
      <c r="L890" s="38"/>
      <c r="M890" s="38" t="s">
        <v>107</v>
      </c>
      <c r="N890" s="38">
        <v>3000.0</v>
      </c>
      <c r="O890" s="38" t="s">
        <v>4046</v>
      </c>
      <c r="P890" s="40"/>
      <c r="Q890" s="38" t="s">
        <v>289</v>
      </c>
      <c r="R890" s="38">
        <v>40.0</v>
      </c>
      <c r="S890" s="38" t="s">
        <v>5450</v>
      </c>
      <c r="T890" s="38" t="s">
        <v>5451</v>
      </c>
      <c r="U890" s="38" t="s">
        <v>5452</v>
      </c>
      <c r="V890" s="55">
        <v>40047.0</v>
      </c>
      <c r="W890" s="38" t="s">
        <v>5454</v>
      </c>
      <c r="X890" s="49" t="str">
        <f>HYPERLINK("http://thesecomefromtrees.blogspot.com/2009/08/wow-29-paper-towel-use-reduction-at.html","http://thesecomefromtrees.blogspot.com/2009/08/wow-29-paper-towel-use-reduction-at.html")</f>
        <v>http://thesecomefromtrees.blogspot.com/2009/08/wow-29-paper-towel-use-reduction-at.html</v>
      </c>
      <c r="Y890" s="38"/>
      <c r="Z890" s="38"/>
      <c r="AA890" s="38"/>
      <c r="AB890" s="38"/>
      <c r="AC890" s="38"/>
      <c r="AD890" s="38"/>
      <c r="AE890" s="38"/>
      <c r="AF890" s="38"/>
      <c r="AG890" s="28"/>
      <c r="AH890" s="28" t="s">
        <v>428</v>
      </c>
      <c r="AI890" s="28" t="s">
        <v>462</v>
      </c>
      <c r="AJ890" s="28"/>
      <c r="AK890" s="28">
        <v>1.0</v>
      </c>
      <c r="AL890" s="28" t="s">
        <v>600</v>
      </c>
      <c r="AM890" s="28"/>
      <c r="AN890" s="54"/>
      <c r="AO890" s="54"/>
      <c r="AP890" s="28"/>
      <c r="AQ890" s="28"/>
      <c r="AR890" s="28"/>
      <c r="AS890" s="54"/>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row>
    <row r="891" ht="25.5" customHeight="1">
      <c r="A891" s="32">
        <v>20001.0</v>
      </c>
      <c r="B891" s="37" t="b">
        <v>1</v>
      </c>
      <c r="C891" s="62" t="s">
        <v>274</v>
      </c>
      <c r="D891" s="62">
        <v>82.0</v>
      </c>
      <c r="E891" s="13" t="b">
        <v>0</v>
      </c>
      <c r="F891" s="13" t="b">
        <v>1</v>
      </c>
      <c r="G891" s="62" t="s">
        <v>224</v>
      </c>
      <c r="H891" s="62"/>
      <c r="I891" s="62" t="s">
        <v>265</v>
      </c>
      <c r="J891" s="67">
        <v>9.0</v>
      </c>
      <c r="K891" s="62" t="s">
        <v>305</v>
      </c>
      <c r="L891" s="62">
        <v>904.0</v>
      </c>
      <c r="M891" s="62" t="s">
        <v>107</v>
      </c>
      <c r="N891" s="38">
        <v>3000.0</v>
      </c>
      <c r="O891" s="62" t="s">
        <v>306</v>
      </c>
      <c r="P891" s="58"/>
      <c r="Q891" s="62" t="s">
        <v>117</v>
      </c>
      <c r="R891" s="67"/>
      <c r="S891" s="62" t="s">
        <v>308</v>
      </c>
      <c r="T891" s="62" t="s">
        <v>188</v>
      </c>
      <c r="U891" s="62" t="s">
        <v>309</v>
      </c>
      <c r="V891" s="62" t="s">
        <v>215</v>
      </c>
      <c r="W891" s="62"/>
      <c r="X891" s="62" t="s">
        <v>310</v>
      </c>
      <c r="Y891" s="62" t="s">
        <v>307</v>
      </c>
      <c r="Z891" s="62"/>
      <c r="AA891" s="62"/>
      <c r="AB891" s="62"/>
      <c r="AC891" s="62"/>
      <c r="AD891" s="62"/>
      <c r="AE891" s="62"/>
      <c r="AF891" s="62"/>
      <c r="AG891" s="32"/>
      <c r="AH891" s="32"/>
      <c r="AI891" s="32"/>
      <c r="AJ891" s="32"/>
      <c r="AK891" s="32"/>
      <c r="AL891" s="32"/>
      <c r="AM891" s="32"/>
      <c r="AN891" s="32"/>
      <c r="AO891" s="32"/>
      <c r="AP891" s="32"/>
      <c r="AQ891" s="32"/>
      <c r="AR891" s="32"/>
      <c r="AS891" s="32"/>
      <c r="AT891" s="32"/>
      <c r="AU891" s="32"/>
      <c r="AV891" s="32"/>
      <c r="AW891" s="32"/>
      <c r="AX891" s="32"/>
      <c r="AY891" s="32"/>
      <c r="AZ891" s="32"/>
      <c r="BA891" s="32"/>
      <c r="BB891" s="32"/>
      <c r="BC891" s="32">
        <v>3.0</v>
      </c>
      <c r="BD891" s="32" t="s">
        <v>312</v>
      </c>
      <c r="BE891" s="32" t="s">
        <v>114</v>
      </c>
      <c r="BF891" s="32"/>
      <c r="BG891" s="32"/>
      <c r="BH891" s="32"/>
      <c r="BI891" s="32"/>
      <c r="BJ891" s="32"/>
      <c r="BK891" s="32"/>
      <c r="BL891" s="32"/>
      <c r="BM891" s="32"/>
      <c r="BN891" s="32"/>
      <c r="BO891" s="32"/>
    </row>
    <row r="892" ht="25.5" customHeight="1">
      <c r="A892" s="28">
        <v>10170.0</v>
      </c>
      <c r="B892" s="37" t="b">
        <v>1</v>
      </c>
      <c r="C892" s="38" t="s">
        <v>238</v>
      </c>
      <c r="D892" s="38">
        <v>81.0</v>
      </c>
      <c r="E892" s="13" t="b">
        <v>0</v>
      </c>
      <c r="F892" s="13" t="b">
        <v>1</v>
      </c>
      <c r="G892" s="38" t="s">
        <v>224</v>
      </c>
      <c r="H892" s="38"/>
      <c r="I892" s="38" t="s">
        <v>3091</v>
      </c>
      <c r="J892" s="38" t="s">
        <v>3092</v>
      </c>
      <c r="K892" s="38"/>
      <c r="L892" s="38"/>
      <c r="M892" s="38" t="s">
        <v>35</v>
      </c>
      <c r="N892" s="38">
        <v>2000.0</v>
      </c>
      <c r="O892" s="38" t="s">
        <v>644</v>
      </c>
      <c r="P892" s="40"/>
      <c r="Q892" s="38" t="s">
        <v>117</v>
      </c>
      <c r="R892" s="38">
        <v>40.0</v>
      </c>
      <c r="S892" s="38" t="s">
        <v>3093</v>
      </c>
      <c r="T892" s="38" t="s">
        <v>188</v>
      </c>
      <c r="U892" s="38" t="s">
        <v>3094</v>
      </c>
      <c r="V892" s="55">
        <v>42472.0</v>
      </c>
      <c r="W892" s="38" t="s">
        <v>3095</v>
      </c>
      <c r="X892" s="38" t="s">
        <v>3096</v>
      </c>
      <c r="Y892" s="38"/>
      <c r="Z892" s="38"/>
      <c r="AA892" s="38"/>
      <c r="AB892" s="38"/>
      <c r="AC892" s="38"/>
      <c r="AD892" s="38"/>
      <c r="AE892" s="38"/>
      <c r="AF892" s="38"/>
      <c r="AG892" s="28"/>
      <c r="AH892" s="28" t="s">
        <v>462</v>
      </c>
      <c r="AI892" s="28" t="s">
        <v>462</v>
      </c>
      <c r="AJ892" s="28"/>
      <c r="AK892" s="28"/>
      <c r="AL892" s="28"/>
      <c r="AM892" s="28"/>
      <c r="AN892" s="54"/>
      <c r="AO892" s="54"/>
      <c r="AP892" s="54"/>
      <c r="AQ892" s="28"/>
      <c r="AR892" s="28"/>
      <c r="AS892" s="54"/>
      <c r="AT892" s="28"/>
      <c r="AU892" s="54"/>
      <c r="AV892" s="28"/>
      <c r="AW892" s="28"/>
      <c r="AX892" s="28"/>
      <c r="AY892" s="28"/>
      <c r="AZ892" s="28"/>
      <c r="BA892" s="28"/>
      <c r="BB892" s="28"/>
      <c r="BC892" s="28"/>
      <c r="BD892" s="28"/>
      <c r="BE892" s="28"/>
      <c r="BF892" s="28"/>
      <c r="BG892" s="28"/>
      <c r="BH892" s="28"/>
      <c r="BI892" s="28"/>
      <c r="BJ892" s="28"/>
      <c r="BK892" s="28"/>
      <c r="BL892" s="28"/>
      <c r="BM892" s="28"/>
      <c r="BN892" s="28"/>
      <c r="BO892" s="28"/>
    </row>
    <row r="893" ht="25.5" customHeight="1">
      <c r="A893" s="28">
        <v>10194.0</v>
      </c>
      <c r="B893" s="37" t="b">
        <v>1</v>
      </c>
      <c r="C893" s="38" t="s">
        <v>238</v>
      </c>
      <c r="D893" s="38">
        <v>81.0</v>
      </c>
      <c r="E893" s="13" t="b">
        <v>0</v>
      </c>
      <c r="F893" s="13" t="b">
        <v>1</v>
      </c>
      <c r="G893" s="38" t="s">
        <v>224</v>
      </c>
      <c r="H893" s="38"/>
      <c r="I893" s="38" t="s">
        <v>3285</v>
      </c>
      <c r="J893" s="38" t="s">
        <v>3286</v>
      </c>
      <c r="K893" s="38"/>
      <c r="L893" s="38"/>
      <c r="M893" s="38" t="s">
        <v>35</v>
      </c>
      <c r="N893" s="38">
        <v>2000.0</v>
      </c>
      <c r="O893" s="38" t="s">
        <v>644</v>
      </c>
      <c r="P893" s="40"/>
      <c r="Q893" s="38" t="s">
        <v>289</v>
      </c>
      <c r="R893" s="38">
        <v>40.0</v>
      </c>
      <c r="S893" s="38" t="s">
        <v>3306</v>
      </c>
      <c r="T893" s="38" t="s">
        <v>3307</v>
      </c>
      <c r="U893" s="38" t="s">
        <v>3094</v>
      </c>
      <c r="V893" s="55">
        <v>42178.0</v>
      </c>
      <c r="W893" s="38" t="s">
        <v>2750</v>
      </c>
      <c r="X893" s="49" t="str">
        <f>HYPERLINK("http://thinkprogress.org/climate/2015/06/23/3673153/communicating-climate-change-public-health/","http://thinkprogress.org/climate/2015/06/23/3673153/communicating-climate-change-public-health/")</f>
        <v>http://thinkprogress.org/climate/2015/06/23/3673153/communicating-climate-change-public-health/</v>
      </c>
      <c r="Y893" s="38"/>
      <c r="Z893" s="38"/>
      <c r="AA893" s="38"/>
      <c r="AB893" s="38"/>
      <c r="AC893" s="38"/>
      <c r="AD893" s="38"/>
      <c r="AE893" s="38"/>
      <c r="AF893" s="38"/>
      <c r="AG893" s="28"/>
      <c r="AH893" s="28" t="s">
        <v>462</v>
      </c>
      <c r="AI893" s="28" t="s">
        <v>462</v>
      </c>
      <c r="AJ893" s="28"/>
      <c r="AK893" s="28"/>
      <c r="AL893" s="28" t="s">
        <v>769</v>
      </c>
      <c r="AM893" s="28" t="s">
        <v>3310</v>
      </c>
      <c r="AN893" s="54">
        <v>42193.0</v>
      </c>
      <c r="AO893" s="54"/>
      <c r="AP893" s="54">
        <v>42557.0</v>
      </c>
      <c r="AQ893" s="28" t="s">
        <v>769</v>
      </c>
      <c r="AR893" s="28"/>
      <c r="AS893" s="54">
        <v>42211.0</v>
      </c>
      <c r="AT893" s="28" t="s">
        <v>1842</v>
      </c>
      <c r="AU893" s="28"/>
      <c r="AV893" s="28" t="s">
        <v>1089</v>
      </c>
      <c r="AW893" s="28"/>
      <c r="AX893" s="28"/>
      <c r="AY893" s="28"/>
      <c r="AZ893" s="28"/>
      <c r="BA893" s="28"/>
      <c r="BB893" s="28"/>
      <c r="BC893" s="28"/>
      <c r="BD893" s="28"/>
      <c r="BE893" s="28"/>
      <c r="BF893" s="28"/>
      <c r="BG893" s="28"/>
      <c r="BH893" s="28"/>
      <c r="BI893" s="28"/>
      <c r="BJ893" s="28"/>
      <c r="BK893" s="28"/>
      <c r="BL893" s="28"/>
      <c r="BM893" s="28"/>
      <c r="BN893" s="28"/>
      <c r="BO893" s="28"/>
    </row>
    <row r="894" ht="25.5" customHeight="1">
      <c r="A894" s="28">
        <v>10243.0</v>
      </c>
      <c r="B894" s="37" t="b">
        <v>1</v>
      </c>
      <c r="C894" s="38" t="s">
        <v>238</v>
      </c>
      <c r="D894" s="38">
        <v>81.0</v>
      </c>
      <c r="E894" s="13" t="b">
        <v>0</v>
      </c>
      <c r="F894" s="13" t="b">
        <v>1</v>
      </c>
      <c r="G894" s="38" t="s">
        <v>224</v>
      </c>
      <c r="H894" s="38"/>
      <c r="I894" s="38" t="s">
        <v>429</v>
      </c>
      <c r="J894" s="38">
        <v>2.0</v>
      </c>
      <c r="K894" s="38"/>
      <c r="L894" s="38"/>
      <c r="M894" s="38" t="s">
        <v>35</v>
      </c>
      <c r="N894" s="38">
        <v>2000.0</v>
      </c>
      <c r="O894" s="38" t="s">
        <v>644</v>
      </c>
      <c r="P894" s="40"/>
      <c r="Q894" s="38" t="s">
        <v>289</v>
      </c>
      <c r="R894" s="38">
        <v>40.0</v>
      </c>
      <c r="S894" s="61" t="s">
        <v>3727</v>
      </c>
      <c r="T894" s="38" t="s">
        <v>3728</v>
      </c>
      <c r="U894" s="38" t="s">
        <v>3094</v>
      </c>
      <c r="V894" s="55">
        <v>42513.0</v>
      </c>
      <c r="W894" s="38" t="s">
        <v>3729</v>
      </c>
      <c r="X894" s="49" t="str">
        <f>HYPERLINK("http://thinkprogress.org/climate/2016/05/23/3780854/portland-textbooks-climate-change/","http://thinkprogress.org/climate/2016/05/23/3780854/portland-textbooks-climate-change/")</f>
        <v>http://thinkprogress.org/climate/2016/05/23/3780854/portland-textbooks-climate-change/</v>
      </c>
      <c r="Y894" s="38"/>
      <c r="Z894" s="38"/>
      <c r="AA894" s="38"/>
      <c r="AB894" s="38"/>
      <c r="AC894" s="38"/>
      <c r="AD894" s="38"/>
      <c r="AE894" s="38"/>
      <c r="AF894" s="38"/>
      <c r="AG894" s="28"/>
      <c r="AH894" s="28"/>
      <c r="AI894" s="28"/>
      <c r="AJ894" s="28"/>
      <c r="AK894" s="28"/>
      <c r="AL894" s="28" t="s">
        <v>769</v>
      </c>
      <c r="AM894" s="28" t="s">
        <v>3739</v>
      </c>
      <c r="AN894" s="54">
        <v>42698.0</v>
      </c>
      <c r="AO894" s="54"/>
      <c r="AP894" s="28"/>
      <c r="AQ894" s="28"/>
      <c r="AR894" s="28"/>
      <c r="AS894" s="28"/>
      <c r="AT894" s="28"/>
      <c r="AU894" s="28"/>
      <c r="AV894" s="28"/>
      <c r="AW894" s="28"/>
      <c r="AX894" s="28"/>
      <c r="AY894" s="28" t="s">
        <v>428</v>
      </c>
      <c r="AZ894" s="28" t="s">
        <v>1101</v>
      </c>
      <c r="BA894" s="28"/>
      <c r="BB894" s="28"/>
      <c r="BC894" s="28"/>
      <c r="BD894" s="28"/>
      <c r="BE894" s="28"/>
      <c r="BF894" s="28"/>
      <c r="BG894" s="28"/>
      <c r="BH894" s="28"/>
      <c r="BI894" s="28"/>
      <c r="BJ894" s="28"/>
      <c r="BK894" s="28"/>
      <c r="BL894" s="28"/>
      <c r="BM894" s="28"/>
      <c r="BN894" s="28"/>
      <c r="BO894" s="28"/>
    </row>
    <row r="895" ht="25.5" customHeight="1">
      <c r="A895" s="28">
        <v>10246.0</v>
      </c>
      <c r="B895" s="37" t="b">
        <v>1</v>
      </c>
      <c r="C895" s="38" t="s">
        <v>238</v>
      </c>
      <c r="D895" s="38">
        <v>81.0</v>
      </c>
      <c r="E895" s="13" t="b">
        <v>0</v>
      </c>
      <c r="F895" s="13" t="b">
        <v>1</v>
      </c>
      <c r="G895" s="38" t="s">
        <v>224</v>
      </c>
      <c r="H895" s="38"/>
      <c r="I895" s="38" t="s">
        <v>429</v>
      </c>
      <c r="J895" s="38">
        <v>2.0</v>
      </c>
      <c r="K895" s="38"/>
      <c r="L895" s="38"/>
      <c r="M895" s="38" t="s">
        <v>321</v>
      </c>
      <c r="N895" s="38">
        <v>7000.0</v>
      </c>
      <c r="O895" s="38" t="s">
        <v>445</v>
      </c>
      <c r="P895" s="40"/>
      <c r="Q895" s="38" t="s">
        <v>289</v>
      </c>
      <c r="R895" s="38">
        <v>40.0</v>
      </c>
      <c r="S895" s="61" t="s">
        <v>3757</v>
      </c>
      <c r="T895" s="38" t="s">
        <v>3307</v>
      </c>
      <c r="U895" s="38" t="s">
        <v>3094</v>
      </c>
      <c r="V895" s="55">
        <v>42508.0</v>
      </c>
      <c r="W895" s="38" t="s">
        <v>3758</v>
      </c>
      <c r="X895" s="38" t="s">
        <v>3759</v>
      </c>
      <c r="Y895" s="38"/>
      <c r="Z895" s="38"/>
      <c r="AA895" s="38"/>
      <c r="AB895" s="38"/>
      <c r="AC895" s="38"/>
      <c r="AD895" s="38"/>
      <c r="AE895" s="38"/>
      <c r="AF895" s="38"/>
      <c r="AG895" s="28"/>
      <c r="AH895" s="28"/>
      <c r="AI895" s="28"/>
      <c r="AJ895" s="28"/>
      <c r="AK895" s="28"/>
      <c r="AL895" s="28"/>
      <c r="AM895" s="28"/>
      <c r="AN895" s="28"/>
      <c r="AO895" s="28"/>
      <c r="AP895" s="28"/>
      <c r="AQ895" s="28"/>
      <c r="AR895" s="28"/>
      <c r="AS895" s="28"/>
      <c r="AT895" s="28"/>
      <c r="AU895" s="28"/>
      <c r="AV895" s="28"/>
      <c r="AW895" s="28"/>
      <c r="AX895" s="28"/>
      <c r="AY895" s="28" t="s">
        <v>428</v>
      </c>
      <c r="AZ895" s="28"/>
      <c r="BA895" s="28"/>
      <c r="BB895" s="28"/>
      <c r="BC895" s="28"/>
      <c r="BD895" s="28"/>
      <c r="BE895" s="28"/>
      <c r="BF895" s="28"/>
      <c r="BG895" s="28"/>
      <c r="BH895" s="28"/>
      <c r="BI895" s="28"/>
      <c r="BJ895" s="28"/>
      <c r="BK895" s="28"/>
      <c r="BL895" s="28"/>
      <c r="BM895" s="28"/>
      <c r="BN895" s="28"/>
      <c r="BO895" s="28"/>
    </row>
    <row r="896" ht="25.5" customHeight="1">
      <c r="A896" s="28">
        <v>10043.0</v>
      </c>
      <c r="B896" s="37" t="b">
        <v>1</v>
      </c>
      <c r="C896" s="38" t="s">
        <v>238</v>
      </c>
      <c r="D896" s="38">
        <v>81.0</v>
      </c>
      <c r="E896" s="13" t="b">
        <v>1</v>
      </c>
      <c r="F896" s="13" t="b">
        <v>0</v>
      </c>
      <c r="G896" s="38" t="s">
        <v>4086</v>
      </c>
      <c r="H896" s="38">
        <v>65.0</v>
      </c>
      <c r="I896" s="38" t="s">
        <v>224</v>
      </c>
      <c r="J896" s="38"/>
      <c r="K896" s="38" t="s">
        <v>224</v>
      </c>
      <c r="L896" s="38"/>
      <c r="M896" s="38" t="s">
        <v>388</v>
      </c>
      <c r="N896" s="38">
        <v>14000.0</v>
      </c>
      <c r="O896" s="38" t="s">
        <v>224</v>
      </c>
      <c r="P896" s="40"/>
      <c r="Q896" s="38" t="s">
        <v>289</v>
      </c>
      <c r="R896" s="38">
        <v>40.0</v>
      </c>
      <c r="S896" s="38" t="s">
        <v>1762</v>
      </c>
      <c r="T896" s="38" t="s">
        <v>1763</v>
      </c>
      <c r="U896" s="38" t="s">
        <v>1764</v>
      </c>
      <c r="V896" s="55">
        <v>40691.0</v>
      </c>
      <c r="W896" s="38" t="s">
        <v>1742</v>
      </c>
      <c r="X896" s="49" t="str">
        <f>HYPERLINK("http://content.time.com/time/health/article/0,8599,2074067-1,00.html","http://content.time.com/time/health/article/0,8599,2074067-1,00.html")</f>
        <v>http://content.time.com/time/health/article/0,8599,2074067-1,00.html</v>
      </c>
      <c r="Y896" s="38"/>
      <c r="Z896" s="38"/>
      <c r="AA896" s="38"/>
      <c r="AB896" s="38"/>
      <c r="AC896" s="38"/>
      <c r="AD896" s="38"/>
      <c r="AE896" s="38"/>
      <c r="AF896" s="38"/>
      <c r="AG896" s="28" t="s">
        <v>1743</v>
      </c>
      <c r="AH896" s="28" t="s">
        <v>462</v>
      </c>
      <c r="AI896" s="28" t="s">
        <v>462</v>
      </c>
      <c r="AJ896" s="28"/>
      <c r="AK896" s="28" t="s">
        <v>676</v>
      </c>
      <c r="AL896" s="28" t="s">
        <v>677</v>
      </c>
      <c r="AM896" s="28"/>
      <c r="AN896" s="54"/>
      <c r="AO896" s="54"/>
      <c r="AP896" s="28"/>
      <c r="AQ896" s="28"/>
      <c r="AR896" s="28"/>
      <c r="AS896" s="54"/>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row>
    <row r="897" ht="25.5" customHeight="1">
      <c r="A897" s="28">
        <v>10285.0</v>
      </c>
      <c r="B897" s="37" t="b">
        <v>1</v>
      </c>
      <c r="C897" s="38" t="s">
        <v>238</v>
      </c>
      <c r="D897" s="38">
        <v>81.0</v>
      </c>
      <c r="E897" s="13" t="b">
        <v>0</v>
      </c>
      <c r="F897" s="13" t="b">
        <v>1</v>
      </c>
      <c r="G897" s="38" t="s">
        <v>224</v>
      </c>
      <c r="H897" s="38"/>
      <c r="I897" s="38" t="s">
        <v>323</v>
      </c>
      <c r="J897" s="38">
        <v>11.0</v>
      </c>
      <c r="K897" s="38"/>
      <c r="L897" s="38"/>
      <c r="M897" s="38" t="s">
        <v>965</v>
      </c>
      <c r="N897" s="38" t="s">
        <v>966</v>
      </c>
      <c r="O897" s="38" t="s">
        <v>4093</v>
      </c>
      <c r="P897" s="40"/>
      <c r="Q897" s="38" t="s">
        <v>324</v>
      </c>
      <c r="R897" s="38" t="s">
        <v>325</v>
      </c>
      <c r="S897" s="38" t="s">
        <v>4097</v>
      </c>
      <c r="T897" s="38" t="s">
        <v>4098</v>
      </c>
      <c r="U897" s="38" t="s">
        <v>1764</v>
      </c>
      <c r="V897" s="55">
        <v>41495.0</v>
      </c>
      <c r="W897" s="38" t="s">
        <v>4099</v>
      </c>
      <c r="X897" s="49" t="str">
        <f>HYPERLINK("http://swampland.time.com/2013/08/09/nudge-back-in-fashion-at-white-house/","http://swampland.time.com/2013/08/09/nudge-back-in-fashion-at-white-house/")</f>
        <v>http://swampland.time.com/2013/08/09/nudge-back-in-fashion-at-white-house/</v>
      </c>
      <c r="Y897" s="38"/>
      <c r="Z897" s="38"/>
      <c r="AA897" s="38"/>
      <c r="AB897" s="38"/>
      <c r="AC897" s="38"/>
      <c r="AD897" s="38"/>
      <c r="AE897" s="38"/>
      <c r="AF897" s="38"/>
      <c r="AG897" s="28" t="s">
        <v>4103</v>
      </c>
      <c r="AH897" s="28" t="s">
        <v>462</v>
      </c>
      <c r="AI897" s="28" t="s">
        <v>462</v>
      </c>
      <c r="AJ897" s="28"/>
      <c r="AK897" s="28" t="s">
        <v>676</v>
      </c>
      <c r="AL897" s="28" t="s">
        <v>677</v>
      </c>
      <c r="AM897" s="28"/>
      <c r="AN897" s="54"/>
      <c r="AO897" s="54"/>
      <c r="AP897" s="28"/>
      <c r="AQ897" s="28"/>
      <c r="AR897" s="28"/>
      <c r="AS897" s="54"/>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row>
    <row r="898" ht="25.5" customHeight="1">
      <c r="A898" s="28">
        <v>10345.0</v>
      </c>
      <c r="B898" s="37" t="b">
        <v>1</v>
      </c>
      <c r="C898" s="38" t="s">
        <v>238</v>
      </c>
      <c r="D898" s="38">
        <v>81.0</v>
      </c>
      <c r="E898" s="13" t="b">
        <v>0</v>
      </c>
      <c r="F898" s="13" t="b">
        <v>1</v>
      </c>
      <c r="G898" s="38" t="s">
        <v>224</v>
      </c>
      <c r="H898" s="38"/>
      <c r="I898" s="38" t="s">
        <v>280</v>
      </c>
      <c r="J898" s="38">
        <v>10.0</v>
      </c>
      <c r="K898" s="38"/>
      <c r="L898" s="38"/>
      <c r="M898" s="38" t="s">
        <v>388</v>
      </c>
      <c r="N898" s="38">
        <v>14000.0</v>
      </c>
      <c r="O898" s="38" t="s">
        <v>224</v>
      </c>
      <c r="P898" s="40"/>
      <c r="Q898" s="38" t="s">
        <v>289</v>
      </c>
      <c r="R898" s="38">
        <v>40.0</v>
      </c>
      <c r="S898" s="38" t="s">
        <v>4637</v>
      </c>
      <c r="T898" s="38" t="s">
        <v>3197</v>
      </c>
      <c r="U898" s="38" t="s">
        <v>4638</v>
      </c>
      <c r="V898" s="55">
        <v>41640.0</v>
      </c>
      <c r="W898" s="38" t="s">
        <v>4639</v>
      </c>
      <c r="X898" s="38" t="s">
        <v>4640</v>
      </c>
      <c r="Y898" s="38"/>
      <c r="Z898" s="38"/>
      <c r="AA898" s="38"/>
      <c r="AB898" s="38"/>
      <c r="AC898" s="38"/>
      <c r="AD898" s="38"/>
      <c r="AE898" s="38"/>
      <c r="AF898" s="38"/>
      <c r="AG898" s="28" t="s">
        <v>4451</v>
      </c>
      <c r="AH898" s="28"/>
      <c r="AI898" s="28"/>
      <c r="AJ898" s="28"/>
      <c r="AK898" s="28" t="s">
        <v>1984</v>
      </c>
      <c r="AL898" s="28"/>
      <c r="AM898" s="28"/>
      <c r="AN898" s="28"/>
      <c r="AO898" s="28"/>
      <c r="AP898" s="28"/>
      <c r="AQ898" s="28"/>
      <c r="AR898" s="28"/>
      <c r="AS898" s="28"/>
      <c r="AT898" s="28"/>
      <c r="AU898" s="28"/>
      <c r="AV898" s="28"/>
      <c r="AW898" s="28"/>
      <c r="AX898" s="28"/>
      <c r="AY898" s="28"/>
      <c r="AZ898" s="28" t="s">
        <v>4641</v>
      </c>
      <c r="BA898" s="28"/>
      <c r="BB898" s="28"/>
      <c r="BC898" s="28"/>
      <c r="BD898" s="28"/>
      <c r="BE898" s="28"/>
      <c r="BF898" s="28"/>
      <c r="BG898" s="28"/>
      <c r="BH898" s="28"/>
      <c r="BI898" s="28"/>
      <c r="BJ898" s="28"/>
      <c r="BK898" s="28"/>
      <c r="BL898" s="28"/>
      <c r="BM898" s="28"/>
      <c r="BN898" s="28"/>
      <c r="BO898" s="28"/>
    </row>
    <row r="899" ht="25.5" customHeight="1">
      <c r="A899" s="28">
        <v>10214.0</v>
      </c>
      <c r="B899" s="37" t="b">
        <v>1</v>
      </c>
      <c r="C899" s="38" t="s">
        <v>238</v>
      </c>
      <c r="D899" s="38">
        <v>81.0</v>
      </c>
      <c r="E899" s="13" t="b">
        <v>0</v>
      </c>
      <c r="F899" s="13" t="b">
        <v>1</v>
      </c>
      <c r="G899" s="38" t="s">
        <v>224</v>
      </c>
      <c r="H899" s="38"/>
      <c r="I899" s="38" t="s">
        <v>2819</v>
      </c>
      <c r="J899" s="38" t="s">
        <v>3505</v>
      </c>
      <c r="K899" s="38"/>
      <c r="L899" s="38"/>
      <c r="M899" s="38" t="s">
        <v>107</v>
      </c>
      <c r="N899" s="38">
        <v>3000.0</v>
      </c>
      <c r="O899" s="38" t="s">
        <v>470</v>
      </c>
      <c r="P899" s="40"/>
      <c r="Q899" s="38" t="s">
        <v>289</v>
      </c>
      <c r="R899" s="38">
        <v>40.0</v>
      </c>
      <c r="S899" s="38" t="s">
        <v>2207</v>
      </c>
      <c r="T899" s="38" t="s">
        <v>577</v>
      </c>
      <c r="U899" s="38" t="s">
        <v>3508</v>
      </c>
      <c r="V899" s="55"/>
      <c r="W899" s="38" t="s">
        <v>3510</v>
      </c>
      <c r="X899" s="49" t="str">
        <f>HYPERLINK("http://www.toolsofchange.com/en/case-studies/detail/674","http://www.toolsofchange.com/en/case-studies/detail/674")</f>
        <v>http://www.toolsofchange.com/en/case-studies/detail/674</v>
      </c>
      <c r="Y899" s="38"/>
      <c r="Z899" s="38"/>
      <c r="AA899" s="38"/>
      <c r="AB899" s="38"/>
      <c r="AC899" s="38"/>
      <c r="AD899" s="38"/>
      <c r="AE899" s="38"/>
      <c r="AF899" s="38"/>
      <c r="AG899" s="28"/>
      <c r="AH899" s="28" t="s">
        <v>462</v>
      </c>
      <c r="AI899" s="28" t="s">
        <v>428</v>
      </c>
      <c r="AJ899" s="28"/>
      <c r="AK899" s="28"/>
      <c r="AL899" s="28" t="s">
        <v>677</v>
      </c>
      <c r="AM899" s="28"/>
      <c r="AN899" s="28"/>
      <c r="AO899" s="28"/>
      <c r="AP899" s="28"/>
      <c r="AQ899" s="28"/>
      <c r="AR899" s="28"/>
      <c r="AS899" s="28"/>
      <c r="AT899" s="28"/>
      <c r="AU899" s="28"/>
      <c r="AV899" s="28"/>
      <c r="AW899" s="28"/>
      <c r="AX899" s="28"/>
      <c r="AY899" s="28"/>
      <c r="AZ899" s="28" t="s">
        <v>2820</v>
      </c>
      <c r="BA899" s="28"/>
      <c r="BB899" s="28"/>
      <c r="BC899" s="28"/>
      <c r="BD899" s="28"/>
      <c r="BE899" s="28"/>
      <c r="BF899" s="28"/>
      <c r="BG899" s="28"/>
      <c r="BH899" s="28"/>
      <c r="BI899" s="28"/>
      <c r="BJ899" s="28"/>
      <c r="BK899" s="28"/>
      <c r="BL899" s="28"/>
      <c r="BM899" s="28"/>
      <c r="BN899" s="28"/>
      <c r="BO899" s="28"/>
    </row>
    <row r="900" ht="25.5" customHeight="1">
      <c r="A900" s="28">
        <v>10310.0</v>
      </c>
      <c r="B900" s="37" t="b">
        <v>1</v>
      </c>
      <c r="C900" s="38" t="s">
        <v>238</v>
      </c>
      <c r="D900" s="38">
        <v>81.0</v>
      </c>
      <c r="E900" s="13" t="b">
        <v>0</v>
      </c>
      <c r="F900" s="13" t="b">
        <v>1</v>
      </c>
      <c r="G900" s="38" t="s">
        <v>224</v>
      </c>
      <c r="H900" s="38"/>
      <c r="I900" s="38" t="s">
        <v>490</v>
      </c>
      <c r="J900" s="38">
        <v>6.0</v>
      </c>
      <c r="K900" s="38"/>
      <c r="L900" s="38"/>
      <c r="M900" s="38" t="s">
        <v>107</v>
      </c>
      <c r="N900" s="38">
        <v>3000.0</v>
      </c>
      <c r="O900" s="38" t="s">
        <v>116</v>
      </c>
      <c r="P900" s="40"/>
      <c r="Q900" s="38" t="s">
        <v>289</v>
      </c>
      <c r="R900" s="38">
        <v>40.0</v>
      </c>
      <c r="S900" s="38" t="s">
        <v>4284</v>
      </c>
      <c r="T900" s="38" t="s">
        <v>577</v>
      </c>
      <c r="U900" s="38" t="s">
        <v>3508</v>
      </c>
      <c r="V900" s="55">
        <v>38200.0</v>
      </c>
      <c r="W900" s="38"/>
      <c r="X900" s="49" t="str">
        <f>HYPERLINK("http://www.toolsofchange.com/English/CaseStudies/?ID=156","http://www.toolsofchange.com/English/CaseStudies/?ID=156")</f>
        <v>http://www.toolsofchange.com/English/CaseStudies/?ID=156</v>
      </c>
      <c r="Y900" s="38"/>
      <c r="Z900" s="38"/>
      <c r="AA900" s="38"/>
      <c r="AB900" s="38"/>
      <c r="AC900" s="38"/>
      <c r="AD900" s="38"/>
      <c r="AE900" s="38"/>
      <c r="AF900" s="38"/>
      <c r="AG900" s="28"/>
      <c r="AH900" s="28" t="s">
        <v>428</v>
      </c>
      <c r="AI900" s="28" t="s">
        <v>462</v>
      </c>
      <c r="AJ900" s="28"/>
      <c r="AK900" s="28"/>
      <c r="AL900" s="28" t="s">
        <v>769</v>
      </c>
      <c r="AM900" s="28" t="s">
        <v>4285</v>
      </c>
      <c r="AN900" s="54">
        <v>42425.0</v>
      </c>
      <c r="AO900" s="54"/>
      <c r="AP900" s="28"/>
      <c r="AQ900" s="28"/>
      <c r="AR900" s="28"/>
      <c r="AS900" s="54"/>
      <c r="AT900" s="28"/>
      <c r="AU900" s="54"/>
      <c r="AV900" s="28"/>
      <c r="AW900" s="28"/>
      <c r="AX900" s="28"/>
      <c r="AY900" s="28"/>
      <c r="AZ900" s="28"/>
      <c r="BA900" s="28"/>
      <c r="BB900" s="28"/>
      <c r="BC900" s="28"/>
      <c r="BD900" s="28"/>
      <c r="BE900" s="28"/>
      <c r="BF900" s="28"/>
      <c r="BG900" s="28"/>
      <c r="BH900" s="28"/>
      <c r="BI900" s="28"/>
      <c r="BJ900" s="28"/>
      <c r="BK900" s="28"/>
      <c r="BL900" s="28"/>
      <c r="BM900" s="28"/>
      <c r="BN900" s="28"/>
      <c r="BO900" s="28"/>
    </row>
    <row r="901" ht="25.5" customHeight="1">
      <c r="A901" s="28">
        <v>10442.0</v>
      </c>
      <c r="B901" s="37" t="b">
        <v>1</v>
      </c>
      <c r="C901" s="38" t="s">
        <v>238</v>
      </c>
      <c r="D901" s="38">
        <v>81.0</v>
      </c>
      <c r="E901" s="13" t="b">
        <v>0</v>
      </c>
      <c r="F901" s="13" t="b">
        <v>1</v>
      </c>
      <c r="G901" s="38" t="s">
        <v>224</v>
      </c>
      <c r="H901" s="38"/>
      <c r="I901" s="38" t="s">
        <v>772</v>
      </c>
      <c r="J901" s="38">
        <v>5.0</v>
      </c>
      <c r="K901" s="38"/>
      <c r="L901" s="38"/>
      <c r="M901" s="38" t="s">
        <v>107</v>
      </c>
      <c r="N901" s="38">
        <v>3000.0</v>
      </c>
      <c r="O901" s="38" t="s">
        <v>1223</v>
      </c>
      <c r="P901" s="40"/>
      <c r="Q901" s="38" t="s">
        <v>289</v>
      </c>
      <c r="R901" s="38">
        <v>40.0</v>
      </c>
      <c r="S901" s="38" t="s">
        <v>5421</v>
      </c>
      <c r="T901" s="38" t="s">
        <v>215</v>
      </c>
      <c r="U901" s="38" t="s">
        <v>3508</v>
      </c>
      <c r="V901" s="55"/>
      <c r="W901" s="38" t="s">
        <v>5426</v>
      </c>
      <c r="X901" s="49" t="str">
        <f>HYPERLINK("http://www.toolsofchange.com/English/CaseStudies/default.asp?ID=8","http://www.toolsofchange.com/English/CaseStudies/default.asp?ID=8")</f>
        <v>http://www.toolsofchange.com/English/CaseStudies/default.asp?ID=8</v>
      </c>
      <c r="Y901" s="38"/>
      <c r="Z901" s="38"/>
      <c r="AA901" s="38"/>
      <c r="AB901" s="38"/>
      <c r="AC901" s="38"/>
      <c r="AD901" s="38"/>
      <c r="AE901" s="38"/>
      <c r="AF901" s="38"/>
      <c r="AG901" s="28"/>
      <c r="AH901" s="28" t="s">
        <v>428</v>
      </c>
      <c r="AI901" s="28" t="s">
        <v>462</v>
      </c>
      <c r="AJ901" s="28"/>
      <c r="AK901" s="28"/>
      <c r="AL901" s="28" t="s">
        <v>600</v>
      </c>
      <c r="AM901" s="28"/>
      <c r="AN901" s="54"/>
      <c r="AO901" s="54"/>
      <c r="AP901" s="54"/>
      <c r="AQ901" s="28"/>
      <c r="AR901" s="28"/>
      <c r="AS901" s="54"/>
      <c r="AT901" s="28"/>
      <c r="AU901" s="28"/>
      <c r="AV901" s="28"/>
      <c r="AW901" s="28"/>
      <c r="AX901" s="28"/>
      <c r="AY901" s="28"/>
      <c r="AZ901" s="28"/>
      <c r="BA901" s="28" t="s">
        <v>5431</v>
      </c>
      <c r="BB901" s="28"/>
      <c r="BC901" s="28"/>
      <c r="BD901" s="28"/>
      <c r="BE901" s="28"/>
      <c r="BF901" s="28"/>
      <c r="BG901" s="28"/>
      <c r="BH901" s="28"/>
      <c r="BI901" s="28"/>
      <c r="BJ901" s="28"/>
      <c r="BK901" s="28"/>
      <c r="BL901" s="28"/>
      <c r="BM901" s="28"/>
      <c r="BN901" s="28"/>
      <c r="BO901" s="28"/>
    </row>
    <row r="902" ht="25.5" customHeight="1">
      <c r="A902" s="28">
        <v>10352.0</v>
      </c>
      <c r="B902" s="37" t="b">
        <v>1</v>
      </c>
      <c r="C902" s="38" t="s">
        <v>238</v>
      </c>
      <c r="D902" s="38">
        <v>81.0</v>
      </c>
      <c r="E902" s="13" t="b">
        <v>0</v>
      </c>
      <c r="F902" s="13" t="b">
        <v>1</v>
      </c>
      <c r="G902" s="38" t="s">
        <v>224</v>
      </c>
      <c r="H902" s="38"/>
      <c r="I902" s="38" t="s">
        <v>280</v>
      </c>
      <c r="J902" s="38">
        <v>10.0</v>
      </c>
      <c r="K902" s="38"/>
      <c r="L902" s="38"/>
      <c r="M902" s="38" t="s">
        <v>7068</v>
      </c>
      <c r="N902" s="38" t="s">
        <v>4695</v>
      </c>
      <c r="O902" s="38" t="s">
        <v>4693</v>
      </c>
      <c r="P902" s="40"/>
      <c r="Q902" s="38" t="s">
        <v>289</v>
      </c>
      <c r="R902" s="38">
        <v>40.0</v>
      </c>
      <c r="S902" s="38" t="s">
        <v>4696</v>
      </c>
      <c r="T902" s="38" t="s">
        <v>577</v>
      </c>
      <c r="U902" s="38" t="s">
        <v>3508</v>
      </c>
      <c r="V902" s="38"/>
      <c r="W902" s="38" t="s">
        <v>4697</v>
      </c>
      <c r="X902" s="49" t="str">
        <f>HYPERLINK("http://www.toolsofchange.com/en/case-studies/detail/688/","http://www.toolsofchange.com/en/case-studies/detail/688/")</f>
        <v>http://www.toolsofchange.com/en/case-studies/detail/688/</v>
      </c>
      <c r="Y902" s="38"/>
      <c r="Z902" s="38"/>
      <c r="AA902" s="38"/>
      <c r="AB902" s="38"/>
      <c r="AC902" s="38"/>
      <c r="AD902" s="38"/>
      <c r="AE902" s="38"/>
      <c r="AF902" s="38"/>
      <c r="AG902" s="28" t="s">
        <v>4700</v>
      </c>
      <c r="AH902" s="28"/>
      <c r="AI902" s="28" t="s">
        <v>428</v>
      </c>
      <c r="AJ902" s="28"/>
      <c r="AK902" s="28" t="s">
        <v>663</v>
      </c>
      <c r="AL902" s="28"/>
      <c r="AM902" s="28"/>
      <c r="AN902" s="28"/>
      <c r="AO902" s="28"/>
      <c r="AP902" s="28"/>
      <c r="AQ902" s="28"/>
      <c r="AR902" s="28"/>
      <c r="AS902" s="28"/>
      <c r="AT902" s="28"/>
      <c r="AU902" s="28"/>
      <c r="AV902" s="28"/>
      <c r="AW902" s="28"/>
      <c r="AX902" s="28"/>
      <c r="AY902" s="28"/>
      <c r="AZ902" s="28" t="s">
        <v>998</v>
      </c>
      <c r="BA902" s="28"/>
      <c r="BB902" s="28"/>
      <c r="BC902" s="28"/>
      <c r="BD902" s="28"/>
      <c r="BE902" s="28"/>
      <c r="BF902" s="28"/>
      <c r="BG902" s="28"/>
      <c r="BH902" s="28"/>
      <c r="BI902" s="28"/>
      <c r="BJ902" s="28"/>
      <c r="BK902" s="28"/>
      <c r="BL902" s="28"/>
      <c r="BM902" s="28"/>
      <c r="BN902" s="28"/>
      <c r="BO902" s="28"/>
    </row>
    <row r="903" ht="25.5" customHeight="1">
      <c r="A903" s="28">
        <v>190.0</v>
      </c>
      <c r="B903" s="37" t="b">
        <v>1</v>
      </c>
      <c r="C903" s="38" t="s">
        <v>106</v>
      </c>
      <c r="D903" s="38">
        <v>80.0</v>
      </c>
      <c r="E903" s="13" t="b">
        <v>0</v>
      </c>
      <c r="F903" s="13" t="b">
        <v>1</v>
      </c>
      <c r="G903" s="38" t="s">
        <v>224</v>
      </c>
      <c r="H903" s="38"/>
      <c r="I903" s="38" t="s">
        <v>429</v>
      </c>
      <c r="J903" s="38">
        <v>2.0</v>
      </c>
      <c r="K903" s="38" t="s">
        <v>524</v>
      </c>
      <c r="L903" s="62">
        <v>205.0</v>
      </c>
      <c r="M903" s="38" t="s">
        <v>388</v>
      </c>
      <c r="N903" s="38">
        <v>14000.0</v>
      </c>
      <c r="O903" s="38" t="s">
        <v>224</v>
      </c>
      <c r="P903" s="40"/>
      <c r="Q903" s="38" t="s">
        <v>111</v>
      </c>
      <c r="R903" s="38">
        <v>41.0</v>
      </c>
      <c r="S903" s="38" t="s">
        <v>5376</v>
      </c>
      <c r="T903" s="38" t="s">
        <v>5377</v>
      </c>
      <c r="U903" s="38" t="s">
        <v>5378</v>
      </c>
      <c r="V903" s="38">
        <v>2005.0</v>
      </c>
      <c r="W903" s="38" t="s">
        <v>5380</v>
      </c>
      <c r="X903" s="49" t="str">
        <f>HYPERLINK("http://onlinelibrary.wiley.com/doi/10.1111/j.1432-2277.2005.00202.x/abstract","http://onlinelibrary.wiley.com/doi/10.1111/j.1432-2277.2005.00202.x/abstract")</f>
        <v>http://onlinelibrary.wiley.com/doi/10.1111/j.1432-2277.2005.00202.x/abstract</v>
      </c>
      <c r="Y903" s="38"/>
      <c r="Z903" s="38"/>
      <c r="AA903" s="38"/>
      <c r="AB903" s="38"/>
      <c r="AC903" s="38"/>
      <c r="AD903" s="38"/>
      <c r="AE903" s="38"/>
      <c r="AF903" s="38"/>
      <c r="AG903" s="28"/>
      <c r="AH903" s="28" t="s">
        <v>462</v>
      </c>
      <c r="AI903" s="28" t="s">
        <v>462</v>
      </c>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row>
    <row r="904" ht="25.5" customHeight="1">
      <c r="A904" s="28">
        <v>384.0</v>
      </c>
      <c r="B904" s="37" t="b">
        <v>1</v>
      </c>
      <c r="C904" s="38" t="s">
        <v>106</v>
      </c>
      <c r="D904" s="38">
        <v>80.0</v>
      </c>
      <c r="E904" s="13" t="b">
        <v>0</v>
      </c>
      <c r="F904" s="13" t="b">
        <v>1</v>
      </c>
      <c r="G904" s="38" t="s">
        <v>224</v>
      </c>
      <c r="H904" s="38"/>
      <c r="I904" s="38" t="s">
        <v>280</v>
      </c>
      <c r="J904" s="38">
        <v>10.0</v>
      </c>
      <c r="K904" s="38" t="s">
        <v>6186</v>
      </c>
      <c r="L904" s="38">
        <v>1003.0</v>
      </c>
      <c r="M904" s="38" t="s">
        <v>408</v>
      </c>
      <c r="N904" s="38">
        <v>20000.0</v>
      </c>
      <c r="O904" s="38" t="s">
        <v>526</v>
      </c>
      <c r="P904" s="40"/>
      <c r="Q904" s="38" t="s">
        <v>117</v>
      </c>
      <c r="R904" s="38">
        <v>40.0</v>
      </c>
      <c r="S904" s="38" t="s">
        <v>6187</v>
      </c>
      <c r="T904" s="38" t="s">
        <v>6188</v>
      </c>
      <c r="U904" s="38" t="s">
        <v>408</v>
      </c>
      <c r="V904" s="38">
        <v>2008.0</v>
      </c>
      <c r="W904" s="38" t="s">
        <v>6189</v>
      </c>
      <c r="X904" s="38"/>
      <c r="Y904" s="38"/>
      <c r="Z904" s="38"/>
      <c r="AA904" s="38"/>
      <c r="AB904" s="38"/>
      <c r="AC904" s="38"/>
      <c r="AD904" s="38"/>
      <c r="AE904" s="38"/>
      <c r="AF904" s="38"/>
      <c r="AG904" s="28"/>
      <c r="AH904" s="28"/>
      <c r="AI904" s="28"/>
      <c r="AJ904" s="28" t="s">
        <v>3233</v>
      </c>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row>
    <row r="905" ht="25.5" customHeight="1">
      <c r="A905" s="28">
        <v>382.0</v>
      </c>
      <c r="B905" s="37" t="b">
        <v>1</v>
      </c>
      <c r="C905" s="38" t="s">
        <v>106</v>
      </c>
      <c r="D905" s="38">
        <v>80.0</v>
      </c>
      <c r="E905" s="13" t="b">
        <v>0</v>
      </c>
      <c r="F905" s="13" t="b">
        <v>1</v>
      </c>
      <c r="G905" s="38" t="s">
        <v>224</v>
      </c>
      <c r="H905" s="38"/>
      <c r="I905" s="38" t="s">
        <v>280</v>
      </c>
      <c r="J905" s="38">
        <v>10.0</v>
      </c>
      <c r="K905" s="38" t="s">
        <v>6167</v>
      </c>
      <c r="L905" s="38">
        <v>1003.0</v>
      </c>
      <c r="M905" s="38" t="s">
        <v>408</v>
      </c>
      <c r="N905" s="38">
        <v>20000.0</v>
      </c>
      <c r="O905" s="38" t="s">
        <v>169</v>
      </c>
      <c r="P905" s="40"/>
      <c r="Q905" s="38" t="s">
        <v>289</v>
      </c>
      <c r="R905" s="38">
        <v>40.0</v>
      </c>
      <c r="S905" s="38" t="s">
        <v>6170</v>
      </c>
      <c r="T905" s="38" t="s">
        <v>6171</v>
      </c>
      <c r="U905" s="38" t="s">
        <v>408</v>
      </c>
      <c r="V905" s="38">
        <v>2003.0</v>
      </c>
      <c r="W905" s="38" t="s">
        <v>6176</v>
      </c>
      <c r="X905" s="49" t="str">
        <f>HYPERLINK("http://link.springer.com/article/10.1023/A:1021234607980","http://link.springer.com/article/10.1023/A:1021234607980")</f>
        <v>http://link.springer.com/article/10.1023/A:1021234607980</v>
      </c>
      <c r="Y905" s="38"/>
      <c r="Z905" s="38"/>
      <c r="AA905" s="38"/>
      <c r="AB905" s="38"/>
      <c r="AC905" s="38"/>
      <c r="AD905" s="38"/>
      <c r="AE905" s="38"/>
      <c r="AF905" s="38"/>
      <c r="AG905" s="28" t="s">
        <v>6178</v>
      </c>
      <c r="AH905" s="28" t="s">
        <v>428</v>
      </c>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row>
    <row r="906" ht="25.5" customHeight="1">
      <c r="A906" s="28">
        <v>381.0</v>
      </c>
      <c r="B906" s="37" t="b">
        <v>1</v>
      </c>
      <c r="C906" s="38" t="s">
        <v>106</v>
      </c>
      <c r="D906" s="38">
        <v>80.0</v>
      </c>
      <c r="E906" s="13" t="b">
        <v>0</v>
      </c>
      <c r="F906" s="13" t="b">
        <v>1</v>
      </c>
      <c r="G906" s="38" t="s">
        <v>224</v>
      </c>
      <c r="H906" s="38"/>
      <c r="I906" s="38" t="s">
        <v>280</v>
      </c>
      <c r="J906" s="38">
        <v>10.0</v>
      </c>
      <c r="K906" s="65" t="s">
        <v>6153</v>
      </c>
      <c r="L906" s="38">
        <v>1000.0</v>
      </c>
      <c r="M906" s="38" t="s">
        <v>408</v>
      </c>
      <c r="N906" s="38">
        <v>20000.0</v>
      </c>
      <c r="O906" s="38" t="s">
        <v>169</v>
      </c>
      <c r="P906" s="40"/>
      <c r="Q906" s="38" t="s">
        <v>1106</v>
      </c>
      <c r="R906" s="38" t="s">
        <v>1107</v>
      </c>
      <c r="S906" s="38" t="s">
        <v>6154</v>
      </c>
      <c r="T906" s="38" t="s">
        <v>6155</v>
      </c>
      <c r="U906" s="38" t="s">
        <v>6157</v>
      </c>
      <c r="V906" s="38">
        <v>1982.0</v>
      </c>
      <c r="W906" s="38" t="s">
        <v>6159</v>
      </c>
      <c r="X906" s="49" t="str">
        <f>HYPERLINK("http://www.sciencedirect.com/science/article/pii/0191260782900012","http://www.sciencedirect.com/science/article/pii/0191260782900012")</f>
        <v>http://www.sciencedirect.com/science/article/pii/0191260782900012</v>
      </c>
      <c r="Y906" s="38"/>
      <c r="Z906" s="38"/>
      <c r="AA906" s="38"/>
      <c r="AB906" s="38"/>
      <c r="AC906" s="38"/>
      <c r="AD906" s="38"/>
      <c r="AE906" s="38"/>
      <c r="AF906" s="38"/>
      <c r="AG906" s="28" t="s">
        <v>6164</v>
      </c>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row>
    <row r="907" ht="25.5" customHeight="1">
      <c r="A907" s="28">
        <v>8.0</v>
      </c>
      <c r="B907" s="37" t="b">
        <v>1</v>
      </c>
      <c r="C907" s="38" t="s">
        <v>106</v>
      </c>
      <c r="D907" s="38">
        <v>80.0</v>
      </c>
      <c r="E907" s="13" t="b">
        <v>0</v>
      </c>
      <c r="F907" s="13" t="b">
        <v>1</v>
      </c>
      <c r="G907" s="38" t="s">
        <v>224</v>
      </c>
      <c r="H907" s="38"/>
      <c r="I907" s="38" t="s">
        <v>574</v>
      </c>
      <c r="J907" s="38">
        <v>4.0</v>
      </c>
      <c r="K907" s="38" t="s">
        <v>3159</v>
      </c>
      <c r="L907" s="38">
        <v>403.0</v>
      </c>
      <c r="M907" s="38" t="s">
        <v>8489</v>
      </c>
      <c r="N907" s="45" t="s">
        <v>3904</v>
      </c>
      <c r="O907" s="38" t="s">
        <v>3903</v>
      </c>
      <c r="P907" s="40"/>
      <c r="Q907" s="38" t="s">
        <v>111</v>
      </c>
      <c r="R907" s="38">
        <v>41.0</v>
      </c>
      <c r="S907" s="38" t="s">
        <v>3905</v>
      </c>
      <c r="T907" s="38" t="s">
        <v>3898</v>
      </c>
      <c r="U907" s="38" t="s">
        <v>3906</v>
      </c>
      <c r="V907" s="38">
        <v>2013.0</v>
      </c>
      <c r="W907" s="38" t="s">
        <v>3907</v>
      </c>
      <c r="X907" s="38"/>
      <c r="Y907" s="38"/>
      <c r="Z907" s="38"/>
      <c r="AA907" s="38"/>
      <c r="AB907" s="38"/>
      <c r="AC907" s="38"/>
      <c r="AD907" s="38"/>
      <c r="AE907" s="38"/>
      <c r="AF907" s="3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row>
    <row r="908" ht="25.5" customHeight="1">
      <c r="A908" s="28">
        <v>167.0</v>
      </c>
      <c r="B908" s="37" t="b">
        <v>1</v>
      </c>
      <c r="C908" s="38" t="s">
        <v>106</v>
      </c>
      <c r="D908" s="38">
        <v>80.0</v>
      </c>
      <c r="E908" s="13" t="b">
        <v>0</v>
      </c>
      <c r="F908" s="13" t="b">
        <v>1</v>
      </c>
      <c r="G908" s="38" t="s">
        <v>224</v>
      </c>
      <c r="H908" s="38"/>
      <c r="I908" s="38" t="s">
        <v>429</v>
      </c>
      <c r="J908" s="38">
        <v>2.0</v>
      </c>
      <c r="K908" s="38" t="s">
        <v>5196</v>
      </c>
      <c r="L908" s="38">
        <v>206.0</v>
      </c>
      <c r="M908" s="38" t="s">
        <v>408</v>
      </c>
      <c r="N908" s="38">
        <v>20000.0</v>
      </c>
      <c r="O908" s="38" t="s">
        <v>169</v>
      </c>
      <c r="P908" s="40"/>
      <c r="Q908" s="38" t="s">
        <v>289</v>
      </c>
      <c r="R908" s="38">
        <v>40.0</v>
      </c>
      <c r="S908" s="38" t="s">
        <v>5197</v>
      </c>
      <c r="T908" s="38" t="s">
        <v>5198</v>
      </c>
      <c r="U908" s="38" t="s">
        <v>5200</v>
      </c>
      <c r="V908" s="38">
        <v>1980.0</v>
      </c>
      <c r="W908" s="38" t="s">
        <v>5203</v>
      </c>
      <c r="X908" s="38" t="s">
        <v>5204</v>
      </c>
      <c r="Y908" s="38"/>
      <c r="Z908" s="38"/>
      <c r="AA908" s="38"/>
      <c r="AB908" s="38"/>
      <c r="AC908" s="38"/>
      <c r="AD908" s="38"/>
      <c r="AE908" s="38"/>
      <c r="AF908" s="38"/>
      <c r="AG908" s="28"/>
      <c r="AH908" s="28" t="s">
        <v>926</v>
      </c>
      <c r="AI908" s="28" t="s">
        <v>462</v>
      </c>
      <c r="AJ908" s="28"/>
      <c r="AK908" s="28"/>
      <c r="AL908" s="28"/>
      <c r="AM908" s="28"/>
      <c r="AN908" s="28"/>
      <c r="AO908" s="28"/>
      <c r="AP908" s="28"/>
      <c r="AQ908" s="28"/>
      <c r="AR908" s="28"/>
      <c r="AS908" s="28"/>
      <c r="AT908" s="28"/>
      <c r="AU908" s="28"/>
      <c r="AV908" s="28"/>
      <c r="AW908" s="28"/>
      <c r="AX908" s="28"/>
      <c r="AY908" s="28"/>
      <c r="AZ908" s="28"/>
      <c r="BA908" s="28" t="s">
        <v>5205</v>
      </c>
      <c r="BB908" s="28"/>
      <c r="BC908" s="28"/>
      <c r="BD908" s="28"/>
      <c r="BE908" s="28"/>
      <c r="BF908" s="28"/>
      <c r="BG908" s="28"/>
      <c r="BH908" s="28"/>
      <c r="BI908" s="28"/>
      <c r="BJ908" s="28"/>
      <c r="BK908" s="28"/>
      <c r="BL908" s="28"/>
      <c r="BM908" s="28"/>
      <c r="BN908" s="28"/>
      <c r="BO908" s="28"/>
    </row>
    <row r="909" ht="25.5" customHeight="1">
      <c r="A909" s="32">
        <v>20023.0</v>
      </c>
      <c r="B909" s="37" t="b">
        <v>1</v>
      </c>
      <c r="C909" s="62" t="s">
        <v>274</v>
      </c>
      <c r="D909" s="62">
        <v>82.0</v>
      </c>
      <c r="E909" s="13" t="b">
        <v>0</v>
      </c>
      <c r="F909" s="13" t="b">
        <v>1</v>
      </c>
      <c r="G909" s="62" t="s">
        <v>224</v>
      </c>
      <c r="H909" s="62"/>
      <c r="I909" s="62" t="s">
        <v>429</v>
      </c>
      <c r="J909" s="67">
        <v>2.0</v>
      </c>
      <c r="K909" s="133" t="s">
        <v>430</v>
      </c>
      <c r="L909" s="62"/>
      <c r="M909" s="38" t="s">
        <v>411</v>
      </c>
      <c r="N909" s="38">
        <v>21000.0</v>
      </c>
      <c r="O909" s="62" t="s">
        <v>247</v>
      </c>
      <c r="P909" s="58"/>
      <c r="Q909" s="62" t="s">
        <v>431</v>
      </c>
      <c r="R909" s="67"/>
      <c r="S909" s="72" t="s">
        <v>437</v>
      </c>
      <c r="T909" s="72" t="s">
        <v>438</v>
      </c>
      <c r="U909" s="72" t="s">
        <v>439</v>
      </c>
      <c r="V909" s="74">
        <v>39840.0</v>
      </c>
      <c r="W909" s="62"/>
      <c r="X909" s="72" t="s">
        <v>441</v>
      </c>
      <c r="Y909" s="62" t="s">
        <v>434</v>
      </c>
      <c r="Z909" s="62" t="s">
        <v>436</v>
      </c>
      <c r="AA909" s="62"/>
      <c r="AB909" s="62"/>
      <c r="AC909" s="62"/>
      <c r="AD909" s="62"/>
      <c r="AE909" s="62"/>
      <c r="AF909" s="62"/>
      <c r="AG909" s="32"/>
      <c r="AH909" s="32"/>
      <c r="AI909" s="32"/>
      <c r="AJ909" s="32"/>
      <c r="AK909" s="32"/>
      <c r="AL909" s="32"/>
      <c r="AM909" s="32"/>
      <c r="AN909" s="32"/>
      <c r="AO909" s="32"/>
      <c r="AP909" s="32"/>
      <c r="AQ909" s="32"/>
      <c r="AR909" s="32"/>
      <c r="AS909" s="32"/>
      <c r="AT909" s="32"/>
      <c r="AU909" s="32"/>
      <c r="AV909" s="32"/>
      <c r="AW909" s="32"/>
      <c r="AX909" s="32"/>
      <c r="AY909" s="32"/>
      <c r="AZ909" s="32"/>
      <c r="BA909" s="32"/>
      <c r="BB909" s="32"/>
      <c r="BC909" s="32">
        <v>1.0</v>
      </c>
      <c r="BD909" s="32" t="s">
        <v>442</v>
      </c>
      <c r="BE909" s="32" t="s">
        <v>375</v>
      </c>
      <c r="BF909" s="32"/>
      <c r="BG909" s="32"/>
      <c r="BH909" s="32"/>
      <c r="BI909" s="32"/>
      <c r="BJ909" s="32"/>
      <c r="BK909" s="32"/>
      <c r="BL909" s="32"/>
      <c r="BM909" s="32"/>
      <c r="BN909" s="32"/>
      <c r="BO909" s="32"/>
    </row>
    <row r="910" ht="25.5" customHeight="1">
      <c r="A910" s="28">
        <v>10207.0</v>
      </c>
      <c r="B910" s="37" t="b">
        <v>1</v>
      </c>
      <c r="C910" s="38" t="s">
        <v>238</v>
      </c>
      <c r="D910" s="38">
        <v>81.0</v>
      </c>
      <c r="E910" s="13" t="b">
        <v>0</v>
      </c>
      <c r="F910" s="13" t="b">
        <v>1</v>
      </c>
      <c r="G910" s="38" t="s">
        <v>224</v>
      </c>
      <c r="H910" s="38"/>
      <c r="I910" s="38" t="s">
        <v>1857</v>
      </c>
      <c r="J910" s="38">
        <v>1.0</v>
      </c>
      <c r="K910" s="38"/>
      <c r="L910" s="38"/>
      <c r="M910" s="38" t="s">
        <v>35</v>
      </c>
      <c r="N910" s="38">
        <v>2000.0</v>
      </c>
      <c r="O910" s="38" t="s">
        <v>1114</v>
      </c>
      <c r="P910" s="40"/>
      <c r="Q910" s="38" t="s">
        <v>289</v>
      </c>
      <c r="R910" s="38">
        <v>40.0</v>
      </c>
      <c r="S910" s="38" t="s">
        <v>3421</v>
      </c>
      <c r="T910" s="38" t="s">
        <v>3422</v>
      </c>
      <c r="U910" s="38" t="s">
        <v>3423</v>
      </c>
      <c r="V910" s="55">
        <v>40967.0</v>
      </c>
      <c r="W910" s="38" t="s">
        <v>3425</v>
      </c>
      <c r="X910" s="49" t="str">
        <f>HYPERLINK("http://www.treehugger.com/corporate-responsibility/could-green-nudges-be-enough-push-us-better-direction.html","http://www.treehugger.com/corporate-responsibility/could-green-nudges-be-enough-push-us-better-direction.html")</f>
        <v>http://www.treehugger.com/corporate-responsibility/could-green-nudges-be-enough-push-us-better-direction.html</v>
      </c>
      <c r="Y910" s="38"/>
      <c r="Z910" s="38"/>
      <c r="AA910" s="38"/>
      <c r="AB910" s="38"/>
      <c r="AC910" s="38"/>
      <c r="AD910" s="38"/>
      <c r="AE910" s="38"/>
      <c r="AF910" s="38"/>
      <c r="AG910" s="28"/>
      <c r="AH910" s="28" t="s">
        <v>462</v>
      </c>
      <c r="AI910" s="28" t="s">
        <v>462</v>
      </c>
      <c r="AJ910" s="28"/>
      <c r="AK910" s="28"/>
      <c r="AL910" s="28" t="s">
        <v>769</v>
      </c>
      <c r="AM910" s="28" t="s">
        <v>3432</v>
      </c>
      <c r="AN910" s="54">
        <v>42460.0</v>
      </c>
      <c r="AO910" s="54"/>
      <c r="AP910" s="54"/>
      <c r="AQ910" s="28" t="s">
        <v>769</v>
      </c>
      <c r="AR910" s="28"/>
      <c r="AS910" s="54">
        <v>42492.0</v>
      </c>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row>
    <row r="911" ht="25.5" customHeight="1">
      <c r="A911" s="28">
        <v>10438.0</v>
      </c>
      <c r="B911" s="37" t="b">
        <v>1</v>
      </c>
      <c r="C911" s="38" t="s">
        <v>238</v>
      </c>
      <c r="D911" s="38">
        <v>81.0</v>
      </c>
      <c r="E911" s="13" t="b">
        <v>0</v>
      </c>
      <c r="F911" s="13" t="b">
        <v>1</v>
      </c>
      <c r="G911" s="38" t="s">
        <v>224</v>
      </c>
      <c r="H911" s="38"/>
      <c r="I911" s="38" t="s">
        <v>772</v>
      </c>
      <c r="J911" s="38">
        <v>5.0</v>
      </c>
      <c r="K911" s="38"/>
      <c r="L911" s="38"/>
      <c r="M911" s="38" t="s">
        <v>107</v>
      </c>
      <c r="N911" s="38">
        <v>3000.0</v>
      </c>
      <c r="O911" s="38" t="s">
        <v>1223</v>
      </c>
      <c r="P911" s="40"/>
      <c r="Q911" s="38" t="s">
        <v>3326</v>
      </c>
      <c r="R911" s="38">
        <v>45.0</v>
      </c>
      <c r="S911" s="38" t="s">
        <v>5381</v>
      </c>
      <c r="T911" s="38" t="s">
        <v>5382</v>
      </c>
      <c r="U911" s="38" t="s">
        <v>3423</v>
      </c>
      <c r="V911" s="55">
        <v>40821.0</v>
      </c>
      <c r="W911" s="38"/>
      <c r="X911" s="49" t="str">
        <f>HYPERLINK("http://www.treehugger.com/sustainable-product-design/new-packaging-tells-you-how-to-reuse-it-creatively.html","http://www.treehugger.com/sustainable-product-design/new-packaging-tells-you-how-to-reuse-it-creatively.html")</f>
        <v>http://www.treehugger.com/sustainable-product-design/new-packaging-tells-you-how-to-reuse-it-creatively.html</v>
      </c>
      <c r="Y911" s="38"/>
      <c r="Z911" s="38"/>
      <c r="AA911" s="38"/>
      <c r="AB911" s="38"/>
      <c r="AC911" s="38"/>
      <c r="AD911" s="38"/>
      <c r="AE911" s="38"/>
      <c r="AF911" s="38"/>
      <c r="AG911" s="28"/>
      <c r="AH911" s="28" t="s">
        <v>462</v>
      </c>
      <c r="AI911" s="28" t="s">
        <v>462</v>
      </c>
      <c r="AJ911" s="28"/>
      <c r="AK911" s="28"/>
      <c r="AL911" s="28" t="s">
        <v>600</v>
      </c>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row>
    <row r="912" ht="25.5" customHeight="1">
      <c r="A912" s="28">
        <v>10281.0</v>
      </c>
      <c r="B912" s="37" t="b">
        <v>1</v>
      </c>
      <c r="C912" s="38" t="s">
        <v>238</v>
      </c>
      <c r="D912" s="38">
        <v>81.0</v>
      </c>
      <c r="E912" s="13" t="b">
        <v>0</v>
      </c>
      <c r="F912" s="13" t="b">
        <v>1</v>
      </c>
      <c r="G912" s="38" t="s">
        <v>224</v>
      </c>
      <c r="H912" s="38"/>
      <c r="I912" s="38" t="s">
        <v>743</v>
      </c>
      <c r="J912" s="38" t="s">
        <v>744</v>
      </c>
      <c r="K912" s="38"/>
      <c r="L912" s="38"/>
      <c r="M912" s="38" t="s">
        <v>411</v>
      </c>
      <c r="N912" s="38">
        <v>21000.0</v>
      </c>
      <c r="O912" s="38" t="s">
        <v>1203</v>
      </c>
      <c r="P912" s="40"/>
      <c r="Q912" s="38" t="s">
        <v>289</v>
      </c>
      <c r="R912" s="38">
        <v>40.0</v>
      </c>
      <c r="S912" s="38" t="s">
        <v>4080</v>
      </c>
      <c r="T912" s="38" t="s">
        <v>438</v>
      </c>
      <c r="U912" s="38" t="s">
        <v>3423</v>
      </c>
      <c r="V912" s="55">
        <v>39840.0</v>
      </c>
      <c r="W912" s="38" t="s">
        <v>2643</v>
      </c>
      <c r="X912" s="49" t="str">
        <f>HYPERLINK("http://www.treehugger.com/clean-technology/recycling-bins-34-more-effective-when-they-haveholes.html","http://www.treehugger.com/clean-technology/recycling-bins-34-more-effective-when-they-haveholes.html")</f>
        <v>http://www.treehugger.com/clean-technology/recycling-bins-34-more-effective-when-they-haveholes.html</v>
      </c>
      <c r="Y912" s="38"/>
      <c r="Z912" s="38"/>
      <c r="AA912" s="38"/>
      <c r="AB912" s="38"/>
      <c r="AC912" s="38"/>
      <c r="AD912" s="38"/>
      <c r="AE912" s="38"/>
      <c r="AF912" s="38"/>
      <c r="AG912" s="28"/>
      <c r="AH912" s="28" t="s">
        <v>428</v>
      </c>
      <c r="AI912" s="28" t="s">
        <v>462</v>
      </c>
      <c r="AJ912" s="28"/>
      <c r="AK912" s="28"/>
      <c r="AL912" s="28" t="s">
        <v>769</v>
      </c>
      <c r="AM912" s="28" t="s">
        <v>4085</v>
      </c>
      <c r="AN912" s="54">
        <v>42325.0</v>
      </c>
      <c r="AO912" s="54"/>
      <c r="AP912" s="54">
        <v>42607.0</v>
      </c>
      <c r="AQ912" s="28" t="s">
        <v>769</v>
      </c>
      <c r="AR912" s="28"/>
      <c r="AS912" s="54"/>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row>
    <row r="913" ht="25.5" customHeight="1">
      <c r="A913" s="28">
        <v>10441.0</v>
      </c>
      <c r="B913" s="37" t="b">
        <v>1</v>
      </c>
      <c r="C913" s="38" t="s">
        <v>238</v>
      </c>
      <c r="D913" s="38">
        <v>81.0</v>
      </c>
      <c r="E913" s="13" t="b">
        <v>0</v>
      </c>
      <c r="F913" s="13" t="b">
        <v>1</v>
      </c>
      <c r="G913" s="38" t="s">
        <v>224</v>
      </c>
      <c r="H913" s="38"/>
      <c r="I913" s="38" t="s">
        <v>772</v>
      </c>
      <c r="J913" s="38">
        <v>5.0</v>
      </c>
      <c r="K913" s="38"/>
      <c r="L913" s="38"/>
      <c r="M913" s="38" t="s">
        <v>411</v>
      </c>
      <c r="N913" s="38">
        <v>21000.0</v>
      </c>
      <c r="O913" s="38" t="s">
        <v>789</v>
      </c>
      <c r="P913" s="40"/>
      <c r="Q913" s="38" t="s">
        <v>111</v>
      </c>
      <c r="R913" s="38">
        <v>41.0</v>
      </c>
      <c r="S913" s="61" t="s">
        <v>5399</v>
      </c>
      <c r="T913" s="38" t="s">
        <v>5400</v>
      </c>
      <c r="U913" s="38" t="s">
        <v>3423</v>
      </c>
      <c r="V913" s="55">
        <v>42340.0</v>
      </c>
      <c r="W913" s="38" t="s">
        <v>5401</v>
      </c>
      <c r="X913" s="49" t="str">
        <f>HYPERLINK("http://www.treehugger.com/sustainable-product-design/simple-and-bizarre-thing-dramatically-reduces-littering.html","http://www.treehugger.com/sustainable-product-design/simple-and-bizarre-thing-dramatically-reduces-littering.html")</f>
        <v>http://www.treehugger.com/sustainable-product-design/simple-and-bizarre-thing-dramatically-reduces-littering.html</v>
      </c>
      <c r="Y913" s="38"/>
      <c r="Z913" s="38"/>
      <c r="AA913" s="38"/>
      <c r="AB913" s="38"/>
      <c r="AC913" s="38"/>
      <c r="AD913" s="38"/>
      <c r="AE913" s="38"/>
      <c r="AF913" s="38"/>
      <c r="AG913" s="28"/>
      <c r="AH913" s="28" t="s">
        <v>462</v>
      </c>
      <c r="AI913" s="28" t="s">
        <v>462</v>
      </c>
      <c r="AJ913" s="28"/>
      <c r="AK913" s="28"/>
      <c r="AL913" s="28" t="s">
        <v>600</v>
      </c>
      <c r="AM913" s="54" t="s">
        <v>5416</v>
      </c>
      <c r="AN913" s="54">
        <v>42374.0</v>
      </c>
      <c r="AO913" s="54"/>
      <c r="AP913" s="54"/>
      <c r="AQ913" s="54" t="s">
        <v>561</v>
      </c>
      <c r="AR913" s="54"/>
      <c r="AS913" s="54">
        <v>42391.0</v>
      </c>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row>
    <row r="914" ht="25.5" customHeight="1">
      <c r="A914" s="28">
        <v>10366.0</v>
      </c>
      <c r="B914" s="37" t="b">
        <v>1</v>
      </c>
      <c r="C914" s="38" t="s">
        <v>238</v>
      </c>
      <c r="D914" s="38">
        <v>81.0</v>
      </c>
      <c r="E914" s="13" t="b">
        <v>0</v>
      </c>
      <c r="F914" s="13" t="b">
        <v>1</v>
      </c>
      <c r="G914" s="38" t="s">
        <v>224</v>
      </c>
      <c r="H914" s="38"/>
      <c r="I914" s="38" t="s">
        <v>167</v>
      </c>
      <c r="J914" s="38">
        <v>10.0</v>
      </c>
      <c r="K914" s="38"/>
      <c r="L914" s="38"/>
      <c r="M914" s="38" t="s">
        <v>3494</v>
      </c>
      <c r="N914" s="38">
        <v>22000.0</v>
      </c>
      <c r="O914" s="38" t="s">
        <v>4607</v>
      </c>
      <c r="P914" s="40"/>
      <c r="Q914" s="38" t="s">
        <v>111</v>
      </c>
      <c r="R914" s="38">
        <v>41.0</v>
      </c>
      <c r="S914" s="38" t="s">
        <v>4795</v>
      </c>
      <c r="T914" s="38" t="s">
        <v>4796</v>
      </c>
      <c r="U914" s="38" t="s">
        <v>3423</v>
      </c>
      <c r="V914" s="42">
        <v>40564.0</v>
      </c>
      <c r="W914" s="38"/>
      <c r="X914" s="38" t="s">
        <v>4797</v>
      </c>
      <c r="Y914" s="38"/>
      <c r="Z914" s="38"/>
      <c r="AA914" s="38"/>
      <c r="AB914" s="38"/>
      <c r="AC914" s="38"/>
      <c r="AD914" s="38"/>
      <c r="AE914" s="38"/>
      <c r="AF914" s="38"/>
      <c r="AG914" s="28"/>
      <c r="AH914" s="28" t="s">
        <v>462</v>
      </c>
      <c r="AI914" s="28" t="s">
        <v>462</v>
      </c>
      <c r="AJ914" s="28"/>
      <c r="AK914" s="28"/>
      <c r="AL914" s="28"/>
      <c r="AM914" s="28"/>
      <c r="AN914" s="28"/>
      <c r="AO914" s="28"/>
      <c r="AP914" s="28"/>
      <c r="AQ914" s="28"/>
      <c r="AR914" s="28"/>
      <c r="AS914" s="28"/>
      <c r="AT914" s="28"/>
      <c r="AU914" s="28"/>
      <c r="AV914" s="28"/>
      <c r="AW914" s="28"/>
      <c r="AX914" s="28"/>
      <c r="AY914" s="28"/>
      <c r="AZ914" s="28" t="s">
        <v>314</v>
      </c>
      <c r="BA914" s="28"/>
      <c r="BB914" s="28"/>
      <c r="BC914" s="28"/>
      <c r="BD914" s="28"/>
      <c r="BE914" s="28"/>
      <c r="BF914" s="28"/>
      <c r="BG914" s="28"/>
      <c r="BH914" s="28"/>
      <c r="BI914" s="28"/>
      <c r="BJ914" s="28"/>
      <c r="BK914" s="28"/>
      <c r="BL914" s="28"/>
      <c r="BM914" s="28"/>
      <c r="BN914" s="28"/>
      <c r="BO914" s="28"/>
    </row>
    <row r="915" ht="25.5" customHeight="1">
      <c r="A915" s="28">
        <v>10126.0</v>
      </c>
      <c r="B915" s="37" t="b">
        <v>1</v>
      </c>
      <c r="C915" s="38" t="s">
        <v>238</v>
      </c>
      <c r="D915" s="38">
        <v>81.0</v>
      </c>
      <c r="E915" s="13" t="b">
        <v>0</v>
      </c>
      <c r="F915" s="13" t="b">
        <v>1</v>
      </c>
      <c r="G915" s="38" t="s">
        <v>224</v>
      </c>
      <c r="H915" s="38"/>
      <c r="I915" s="38" t="s">
        <v>1455</v>
      </c>
      <c r="J915" s="38" t="s">
        <v>1456</v>
      </c>
      <c r="K915" s="38"/>
      <c r="L915" s="38"/>
      <c r="M915" s="38" t="s">
        <v>35</v>
      </c>
      <c r="N915" s="38">
        <v>2000.0</v>
      </c>
      <c r="O915" s="38" t="s">
        <v>837</v>
      </c>
      <c r="P915" s="40">
        <v>2001.0</v>
      </c>
      <c r="Q915" s="38" t="s">
        <v>289</v>
      </c>
      <c r="R915" s="38">
        <v>40.0</v>
      </c>
      <c r="S915" s="38" t="s">
        <v>2753</v>
      </c>
      <c r="T915" s="38" t="s">
        <v>2754</v>
      </c>
      <c r="U915" s="38" t="s">
        <v>1315</v>
      </c>
      <c r="V915" s="55">
        <v>42184.0</v>
      </c>
      <c r="W915" s="38" t="s">
        <v>2756</v>
      </c>
      <c r="X915" s="49" t="str">
        <f>HYPERLINK("http://www.triplepundit.com/2015/06/pain-keeps-us-acting-climate-change/","http://www.triplepundit.com/2015/06/pain-keeps-us-acting-climate-change/")</f>
        <v>http://www.triplepundit.com/2015/06/pain-keeps-us-acting-climate-change/</v>
      </c>
      <c r="Y915" s="38"/>
      <c r="Z915" s="38"/>
      <c r="AA915" s="38"/>
      <c r="AB915" s="38"/>
      <c r="AC915" s="38"/>
      <c r="AD915" s="38"/>
      <c r="AE915" s="38"/>
      <c r="AF915" s="38"/>
      <c r="AG915" s="28"/>
      <c r="AH915" s="28" t="s">
        <v>462</v>
      </c>
      <c r="AI915" s="28" t="s">
        <v>462</v>
      </c>
      <c r="AJ915" s="28"/>
      <c r="AK915" s="28" t="s">
        <v>676</v>
      </c>
      <c r="AL915" s="28" t="s">
        <v>769</v>
      </c>
      <c r="AM915" s="28" t="s">
        <v>2759</v>
      </c>
      <c r="AN915" s="54">
        <v>42208.0</v>
      </c>
      <c r="AO915" s="54"/>
      <c r="AP915" s="54">
        <v>42562.0</v>
      </c>
      <c r="AQ915" s="28" t="s">
        <v>769</v>
      </c>
      <c r="AR915" s="28"/>
      <c r="AS915" s="54">
        <v>42228.0</v>
      </c>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row>
    <row r="916" ht="25.5" customHeight="1">
      <c r="A916" s="28">
        <v>10212.0</v>
      </c>
      <c r="B916" s="37" t="b">
        <v>1</v>
      </c>
      <c r="C916" s="38" t="s">
        <v>238</v>
      </c>
      <c r="D916" s="38">
        <v>81.0</v>
      </c>
      <c r="E916" s="13" t="b">
        <v>0</v>
      </c>
      <c r="F916" s="13" t="b">
        <v>1</v>
      </c>
      <c r="G916" s="38" t="s">
        <v>224</v>
      </c>
      <c r="H916" s="38"/>
      <c r="I916" s="38" t="s">
        <v>756</v>
      </c>
      <c r="J916" s="38" t="s">
        <v>757</v>
      </c>
      <c r="K916" s="38"/>
      <c r="L916" s="38"/>
      <c r="M916" s="38" t="s">
        <v>107</v>
      </c>
      <c r="N916" s="38">
        <v>3000.0</v>
      </c>
      <c r="O916" s="38" t="s">
        <v>1223</v>
      </c>
      <c r="P916" s="40"/>
      <c r="Q916" s="38" t="s">
        <v>289</v>
      </c>
      <c r="R916" s="38">
        <v>40.0</v>
      </c>
      <c r="S916" s="38" t="s">
        <v>3490</v>
      </c>
      <c r="T916" s="38" t="s">
        <v>3491</v>
      </c>
      <c r="U916" s="38" t="s">
        <v>1315</v>
      </c>
      <c r="V916" s="55">
        <v>42146.0</v>
      </c>
      <c r="W916" s="38"/>
      <c r="X916" s="49" t="str">
        <f>HYPERLINK("http://www.triplepundit.com/2015/05/new-report-offers-advice-selling-sustainability-right-one/","http://www.triplepundit.com/2015/05/new-report-offers-advice-selling-sustainability-right-one/")</f>
        <v>http://www.triplepundit.com/2015/05/new-report-offers-advice-selling-sustainability-right-one/</v>
      </c>
      <c r="Y916" s="38"/>
      <c r="Z916" s="38"/>
      <c r="AA916" s="38"/>
      <c r="AB916" s="38"/>
      <c r="AC916" s="38"/>
      <c r="AD916" s="38"/>
      <c r="AE916" s="38"/>
      <c r="AF916" s="38"/>
      <c r="AG916" s="28"/>
      <c r="AH916" s="28" t="s">
        <v>462</v>
      </c>
      <c r="AI916" s="28" t="s">
        <v>462</v>
      </c>
      <c r="AJ916" s="28"/>
      <c r="AK916" s="28" t="s">
        <v>676</v>
      </c>
      <c r="AL916" s="28" t="s">
        <v>769</v>
      </c>
      <c r="AM916" s="28" t="s">
        <v>3498</v>
      </c>
      <c r="AN916" s="54">
        <v>42187.0</v>
      </c>
      <c r="AO916" s="54"/>
      <c r="AP916" s="54">
        <v>42565.0</v>
      </c>
      <c r="AQ916" s="28"/>
      <c r="AR916" s="28"/>
      <c r="AS916" s="54"/>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row>
    <row r="917" ht="25.5" customHeight="1">
      <c r="A917" s="28">
        <v>142.0</v>
      </c>
      <c r="B917" s="37" t="b">
        <v>1</v>
      </c>
      <c r="C917" s="38" t="s">
        <v>106</v>
      </c>
      <c r="D917" s="38">
        <v>80.0</v>
      </c>
      <c r="E917" s="13" t="b">
        <v>1</v>
      </c>
      <c r="F917" s="13" t="b">
        <v>0</v>
      </c>
      <c r="G917" s="38" t="s">
        <v>284</v>
      </c>
      <c r="H917" s="38">
        <v>53.0</v>
      </c>
      <c r="I917" s="38" t="s">
        <v>224</v>
      </c>
      <c r="J917" s="38"/>
      <c r="K917" s="38" t="s">
        <v>224</v>
      </c>
      <c r="L917" s="38"/>
      <c r="M917" s="38" t="s">
        <v>35</v>
      </c>
      <c r="N917" s="38">
        <v>2000.0</v>
      </c>
      <c r="O917" s="38" t="s">
        <v>578</v>
      </c>
      <c r="P917" s="40"/>
      <c r="Q917" s="38" t="s">
        <v>95</v>
      </c>
      <c r="R917" s="38">
        <v>41.0</v>
      </c>
      <c r="S917" s="38" t="s">
        <v>5026</v>
      </c>
      <c r="T917" s="38" t="s">
        <v>5030</v>
      </c>
      <c r="U917" s="38" t="s">
        <v>5033</v>
      </c>
      <c r="V917" s="38">
        <v>2006.0</v>
      </c>
      <c r="W917" s="38" t="s">
        <v>5038</v>
      </c>
      <c r="X917" s="49" t="str">
        <f>HYPERLINK("https://www.google.com/url?sa=t&amp;rct=j&amp;q=&amp;esrc=s&amp;source=web&amp;cd=1&amp;cad=rja&amp;uact=8&amp;ved=0ahUKEwjnvO3r2-zOAhVMwWMKHV8ECkEQFggeMAA&amp;url=http%3A%2F%2Ftyndall.ac.uk%2Fsites%2Fdefault%2Ffiles%2Fwp98.pdf&amp;usg=AFQjCNGyhbx4OhZk6SK29ey0XuI7WN64Ag&amp;sig2=3GS9u0CPLMBJs1v3SwrChA","https://www.google.com/url?sa=t&amp;rct=j&amp;q=&amp;esrc=s&amp;source=web&amp;cd=1&amp;cad=rja&amp;uact=8&amp;ved=0ahUKEwjnvO3r2-zOAhVMwWMKHV8ECkEQFggeMAA&amp;url=http%3A%2F%2Ftyndall.ac.uk%2Fsites%2Fdefault%2Ffiles%2Fwp98.pdf&amp;usg=AFQjCNGyhbx4OhZk6SK29ey0XuI7WN64Ag&amp;sig2=3GS9u0CPLMBJs1v3SwrChA")</f>
        <v>https://www.google.com/url?sa=t&amp;rct=j&amp;q=&amp;esrc=s&amp;source=web&amp;cd=1&amp;cad=rja&amp;uact=8&amp;ved=0ahUKEwjnvO3r2-zOAhVMwWMKHV8ECkEQFggeMAA&amp;url=http%3A%2F%2Ftyndall.ac.uk%2Fsites%2Fdefault%2Ffiles%2Fwp98.pdf&amp;usg=AFQjCNGyhbx4OhZk6SK29ey0XuI7WN64Ag&amp;sig2=3GS9u0CPLMBJs1v3SwrChA</v>
      </c>
      <c r="Y917" s="38"/>
      <c r="Z917" s="38"/>
      <c r="AA917" s="38"/>
      <c r="AB917" s="38"/>
      <c r="AC917" s="38"/>
      <c r="AD917" s="38"/>
      <c r="AE917" s="38"/>
      <c r="AF917" s="3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row>
    <row r="918" ht="25.5" customHeight="1">
      <c r="A918" s="28">
        <v>162.0</v>
      </c>
      <c r="B918" s="37" t="b">
        <v>1</v>
      </c>
      <c r="C918" s="38" t="s">
        <v>106</v>
      </c>
      <c r="D918" s="38">
        <v>80.0</v>
      </c>
      <c r="E918" s="13" t="b">
        <v>1</v>
      </c>
      <c r="F918" s="13" t="b">
        <v>0</v>
      </c>
      <c r="G918" s="38" t="s">
        <v>394</v>
      </c>
      <c r="H918" s="38">
        <v>63.0</v>
      </c>
      <c r="I918" s="38" t="s">
        <v>224</v>
      </c>
      <c r="J918" s="38"/>
      <c r="K918" s="38" t="s">
        <v>224</v>
      </c>
      <c r="L918" s="38"/>
      <c r="M918" s="38" t="s">
        <v>8490</v>
      </c>
      <c r="N918" s="38" t="s">
        <v>5148</v>
      </c>
      <c r="O918" s="38" t="s">
        <v>5147</v>
      </c>
      <c r="P918" s="40"/>
      <c r="Q918" s="38" t="s">
        <v>289</v>
      </c>
      <c r="R918" s="38">
        <v>40.0</v>
      </c>
      <c r="S918" s="38" t="s">
        <v>5149</v>
      </c>
      <c r="T918" s="38" t="s">
        <v>5151</v>
      </c>
      <c r="U918" s="38" t="s">
        <v>5152</v>
      </c>
      <c r="V918" s="38">
        <v>2013.0</v>
      </c>
      <c r="W918" s="38" t="s">
        <v>5154</v>
      </c>
      <c r="X918" s="38"/>
      <c r="Y918" s="38"/>
      <c r="Z918" s="38"/>
      <c r="AA918" s="38"/>
      <c r="AB918" s="38"/>
      <c r="AC918" s="38"/>
      <c r="AD918" s="38"/>
      <c r="AE918" s="38"/>
      <c r="AF918" s="3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row>
    <row r="919" ht="25.5" customHeight="1">
      <c r="A919" s="28">
        <v>10351.0</v>
      </c>
      <c r="B919" s="37" t="b">
        <v>1</v>
      </c>
      <c r="C919" s="38" t="s">
        <v>238</v>
      </c>
      <c r="D919" s="38">
        <v>81.0</v>
      </c>
      <c r="E919" s="13" t="b">
        <v>0</v>
      </c>
      <c r="F919" s="13" t="b">
        <v>1</v>
      </c>
      <c r="G919" s="38" t="s">
        <v>224</v>
      </c>
      <c r="H919" s="38"/>
      <c r="I919" s="38" t="s">
        <v>280</v>
      </c>
      <c r="J919" s="38">
        <v>10.0</v>
      </c>
      <c r="K919" s="38"/>
      <c r="L919" s="38"/>
      <c r="M919" s="38" t="s">
        <v>107</v>
      </c>
      <c r="N919" s="38">
        <v>3000.0</v>
      </c>
      <c r="O919" s="38" t="s">
        <v>470</v>
      </c>
      <c r="P919" s="40"/>
      <c r="Q919" s="38" t="s">
        <v>289</v>
      </c>
      <c r="R919" s="38">
        <v>40.0</v>
      </c>
      <c r="S919" s="38" t="s">
        <v>4681</v>
      </c>
      <c r="T919" s="38" t="s">
        <v>577</v>
      </c>
      <c r="U919" s="38" t="s">
        <v>2320</v>
      </c>
      <c r="V919" s="42">
        <v>41481.0</v>
      </c>
      <c r="W919" s="38" t="s">
        <v>4685</v>
      </c>
      <c r="X919" s="38" t="s">
        <v>4686</v>
      </c>
      <c r="Y919" s="38"/>
      <c r="Z919" s="38"/>
      <c r="AA919" s="38"/>
      <c r="AB919" s="38"/>
      <c r="AC919" s="38"/>
      <c r="AD919" s="38"/>
      <c r="AE919" s="38"/>
      <c r="AF919" s="38"/>
      <c r="AG919" s="28"/>
      <c r="AH919" s="28" t="s">
        <v>4670</v>
      </c>
      <c r="AI919" s="28" t="s">
        <v>769</v>
      </c>
      <c r="AJ919" s="28"/>
      <c r="AK919" s="28" t="s">
        <v>530</v>
      </c>
      <c r="AL919" s="28" t="s">
        <v>2322</v>
      </c>
      <c r="AM919" s="28"/>
      <c r="AN919" s="28"/>
      <c r="AO919" s="28"/>
      <c r="AP919" s="28"/>
      <c r="AQ919" s="28"/>
      <c r="AR919" s="28"/>
      <c r="AS919" s="28"/>
      <c r="AT919" s="28"/>
      <c r="AU919" s="28"/>
      <c r="AV919" s="28"/>
      <c r="AW919" s="28"/>
      <c r="AX919" s="28"/>
      <c r="AY919" s="28"/>
      <c r="AZ919" s="28" t="s">
        <v>314</v>
      </c>
      <c r="BA919" s="28"/>
      <c r="BB919" s="28"/>
      <c r="BC919" s="28"/>
      <c r="BD919" s="28"/>
      <c r="BE919" s="28"/>
      <c r="BF919" s="28"/>
      <c r="BG919" s="28"/>
      <c r="BH919" s="28"/>
      <c r="BI919" s="28"/>
      <c r="BJ919" s="28"/>
      <c r="BK919" s="28"/>
      <c r="BL919" s="28"/>
      <c r="BM919" s="28"/>
      <c r="BN919" s="28"/>
      <c r="BO919" s="28"/>
    </row>
    <row r="920" ht="25.5" customHeight="1">
      <c r="A920" s="28">
        <v>235.0</v>
      </c>
      <c r="B920" s="37" t="b">
        <v>1</v>
      </c>
      <c r="C920" s="38" t="s">
        <v>106</v>
      </c>
      <c r="D920" s="38">
        <v>80.0</v>
      </c>
      <c r="E920" s="13" t="b">
        <v>0</v>
      </c>
      <c r="F920" s="13" t="b">
        <v>1</v>
      </c>
      <c r="G920" s="38" t="s">
        <v>224</v>
      </c>
      <c r="H920" s="38"/>
      <c r="I920" s="38" t="s">
        <v>5637</v>
      </c>
      <c r="J920" s="38" t="s">
        <v>5558</v>
      </c>
      <c r="K920" s="38" t="s">
        <v>5638</v>
      </c>
      <c r="L920" s="38" t="s">
        <v>8491</v>
      </c>
      <c r="M920" s="38" t="s">
        <v>239</v>
      </c>
      <c r="N920" s="38">
        <v>4000.0</v>
      </c>
      <c r="O920" s="38" t="s">
        <v>605</v>
      </c>
      <c r="P920" s="40"/>
      <c r="Q920" s="38" t="s">
        <v>289</v>
      </c>
      <c r="R920" s="38">
        <v>40.0</v>
      </c>
      <c r="S920" s="38" t="s">
        <v>5639</v>
      </c>
      <c r="T920" s="38" t="s">
        <v>5640</v>
      </c>
      <c r="U920" s="38" t="s">
        <v>5641</v>
      </c>
      <c r="V920" s="38">
        <v>2013.0</v>
      </c>
      <c r="W920" s="38" t="s">
        <v>5642</v>
      </c>
      <c r="X920" s="38" t="s">
        <v>5643</v>
      </c>
      <c r="Y920" s="38"/>
      <c r="Z920" s="38"/>
      <c r="AA920" s="38"/>
      <c r="AB920" s="38"/>
      <c r="AC920" s="38"/>
      <c r="AD920" s="38"/>
      <c r="AE920" s="38"/>
      <c r="AF920" s="38"/>
      <c r="AG920" s="28"/>
      <c r="AH920" s="28" t="s">
        <v>613</v>
      </c>
      <c r="AI920" s="28" t="s">
        <v>613</v>
      </c>
      <c r="AJ920" s="28"/>
      <c r="AK920" s="28"/>
      <c r="AL920" s="28"/>
      <c r="AM920" s="28"/>
      <c r="AN920" s="28"/>
      <c r="AO920" s="28"/>
      <c r="AP920" s="28"/>
      <c r="AQ920" s="28"/>
      <c r="AR920" s="28"/>
      <c r="AS920" s="28"/>
      <c r="AT920" s="28"/>
      <c r="AU920" s="28"/>
      <c r="AV920" s="28"/>
      <c r="AW920" s="28"/>
      <c r="AX920" s="28"/>
      <c r="AY920" s="28"/>
      <c r="AZ920" s="28"/>
      <c r="BA920" s="28" t="s">
        <v>4830</v>
      </c>
      <c r="BB920" s="28"/>
      <c r="BC920" s="28"/>
      <c r="BD920" s="28"/>
      <c r="BE920" s="28"/>
      <c r="BF920" s="28"/>
      <c r="BG920" s="28"/>
      <c r="BH920" s="28"/>
      <c r="BI920" s="28"/>
      <c r="BJ920" s="28"/>
      <c r="BK920" s="28"/>
      <c r="BL920" s="28"/>
      <c r="BM920" s="28"/>
      <c r="BN920" s="28"/>
      <c r="BO920" s="28"/>
    </row>
    <row r="921" ht="25.5" customHeight="1">
      <c r="A921" s="28">
        <v>309.0</v>
      </c>
      <c r="B921" s="37" t="b">
        <v>1</v>
      </c>
      <c r="C921" s="38" t="s">
        <v>106</v>
      </c>
      <c r="D921" s="38">
        <v>80.0</v>
      </c>
      <c r="E921" s="13" t="b">
        <v>0</v>
      </c>
      <c r="F921" s="13" t="b">
        <v>1</v>
      </c>
      <c r="G921" s="38" t="s">
        <v>224</v>
      </c>
      <c r="H921" s="38"/>
      <c r="I921" s="38" t="s">
        <v>2299</v>
      </c>
      <c r="J921" s="38" t="s">
        <v>2300</v>
      </c>
      <c r="K921" s="38" t="s">
        <v>2301</v>
      </c>
      <c r="L921" s="38" t="s">
        <v>2302</v>
      </c>
      <c r="M921" s="38" t="s">
        <v>107</v>
      </c>
      <c r="N921" s="38">
        <v>3000.0</v>
      </c>
      <c r="O921" s="38" t="s">
        <v>116</v>
      </c>
      <c r="P921" s="40"/>
      <c r="Q921" s="38" t="s">
        <v>289</v>
      </c>
      <c r="R921" s="38">
        <v>40.0</v>
      </c>
      <c r="S921" s="38" t="s">
        <v>5866</v>
      </c>
      <c r="T921" s="38" t="s">
        <v>5867</v>
      </c>
      <c r="U921" s="38" t="s">
        <v>5868</v>
      </c>
      <c r="V921" s="38">
        <v>2015.0</v>
      </c>
      <c r="W921" s="38" t="s">
        <v>610</v>
      </c>
      <c r="X921" s="38" t="s">
        <v>5869</v>
      </c>
      <c r="Y921" s="38"/>
      <c r="Z921" s="38"/>
      <c r="AA921" s="38"/>
      <c r="AB921" s="38"/>
      <c r="AC921" s="38"/>
      <c r="AD921" s="38"/>
      <c r="AE921" s="38"/>
      <c r="AF921" s="38"/>
      <c r="AG921" s="28"/>
      <c r="AH921" s="28" t="s">
        <v>428</v>
      </c>
      <c r="AI921" s="28" t="s">
        <v>462</v>
      </c>
      <c r="AJ921" s="28"/>
      <c r="AK921" s="28"/>
      <c r="AL921" s="28"/>
      <c r="AM921" s="28"/>
      <c r="AN921" s="54"/>
      <c r="AO921" s="28"/>
      <c r="AP921" s="54"/>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row>
    <row r="922" ht="25.5" customHeight="1">
      <c r="A922" s="28">
        <v>10161.0</v>
      </c>
      <c r="B922" s="37" t="b">
        <v>1</v>
      </c>
      <c r="C922" s="38" t="s">
        <v>238</v>
      </c>
      <c r="D922" s="38">
        <v>81.0</v>
      </c>
      <c r="E922" s="13" t="b">
        <v>0</v>
      </c>
      <c r="F922" s="13" t="b">
        <v>1</v>
      </c>
      <c r="G922" s="38" t="s">
        <v>224</v>
      </c>
      <c r="H922" s="38"/>
      <c r="I922" s="38" t="s">
        <v>1767</v>
      </c>
      <c r="J922" s="38" t="s">
        <v>1768</v>
      </c>
      <c r="K922" s="38"/>
      <c r="L922" s="38"/>
      <c r="M922" s="38" t="s">
        <v>35</v>
      </c>
      <c r="N922" s="38">
        <v>2000.0</v>
      </c>
      <c r="O922" s="38" t="s">
        <v>644</v>
      </c>
      <c r="P922" s="40"/>
      <c r="Q922" s="38" t="s">
        <v>111</v>
      </c>
      <c r="R922" s="38">
        <v>41.0</v>
      </c>
      <c r="S922" s="38" t="s">
        <v>3003</v>
      </c>
      <c r="T922" s="38" t="s">
        <v>3004</v>
      </c>
      <c r="U922" s="38" t="s">
        <v>3005</v>
      </c>
      <c r="V922" s="55">
        <v>42018.0</v>
      </c>
      <c r="W922" s="38" t="s">
        <v>3006</v>
      </c>
      <c r="X922" s="49" t="str">
        <f>HYPERLINK("http://climatemigration.org.uk/image-problem-are-we-using-the-wrong-photographs-to-illustrate-migration-and-climate-change/","http://climatemigration.org.uk/image-problem-are-we-using-the-wrong-photographs-to-illustrate-migration-and-climate-change/")</f>
        <v>http://climatemigration.org.uk/image-problem-are-we-using-the-wrong-photographs-to-illustrate-migration-and-climate-change/</v>
      </c>
      <c r="Y922" s="38"/>
      <c r="Z922" s="38"/>
      <c r="AA922" s="38"/>
      <c r="AB922" s="38"/>
      <c r="AC922" s="38"/>
      <c r="AD922" s="38"/>
      <c r="AE922" s="38"/>
      <c r="AF922" s="38"/>
      <c r="AG922" s="28"/>
      <c r="AH922" s="28" t="s">
        <v>462</v>
      </c>
      <c r="AI922" s="28" t="s">
        <v>462</v>
      </c>
      <c r="AJ922" s="28"/>
      <c r="AK922" s="28" t="s">
        <v>676</v>
      </c>
      <c r="AL922" s="28" t="s">
        <v>769</v>
      </c>
      <c r="AM922" s="28" t="s">
        <v>3011</v>
      </c>
      <c r="AN922" s="54">
        <v>42130.0</v>
      </c>
      <c r="AO922" s="54"/>
      <c r="AP922" s="103" t="str">
        <f>HYPERLINK("http://bit.ly/1JaiyCz","7/19/2016")</f>
        <v>7/19/2016</v>
      </c>
      <c r="AQ922" s="28" t="s">
        <v>769</v>
      </c>
      <c r="AR922" s="28"/>
      <c r="AS922" s="54">
        <v>42137.0</v>
      </c>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row>
    <row r="923" ht="25.5" customHeight="1">
      <c r="A923" s="28">
        <v>193.0</v>
      </c>
      <c r="B923" s="37" t="b">
        <v>1</v>
      </c>
      <c r="C923" s="38" t="s">
        <v>106</v>
      </c>
      <c r="D923" s="38">
        <v>80.0</v>
      </c>
      <c r="E923" s="13" t="b">
        <v>0</v>
      </c>
      <c r="F923" s="13" t="b">
        <v>1</v>
      </c>
      <c r="G923" s="38" t="s">
        <v>224</v>
      </c>
      <c r="H923" s="38"/>
      <c r="I923" s="38" t="s">
        <v>429</v>
      </c>
      <c r="J923" s="38">
        <v>2.0</v>
      </c>
      <c r="K923" s="38" t="s">
        <v>524</v>
      </c>
      <c r="L923" s="62">
        <v>205.0</v>
      </c>
      <c r="M923" s="38" t="s">
        <v>388</v>
      </c>
      <c r="N923" s="38">
        <v>14000.0</v>
      </c>
      <c r="O923" s="38" t="s">
        <v>224</v>
      </c>
      <c r="P923" s="40"/>
      <c r="Q923" s="38" t="s">
        <v>111</v>
      </c>
      <c r="R923" s="38">
        <v>41.0</v>
      </c>
      <c r="S923" s="38" t="s">
        <v>5408</v>
      </c>
      <c r="T923" s="38" t="s">
        <v>5409</v>
      </c>
      <c r="U923" s="38" t="s">
        <v>5410</v>
      </c>
      <c r="V923" s="38">
        <v>2009.0</v>
      </c>
      <c r="W923" s="38" t="s">
        <v>5413</v>
      </c>
      <c r="X923" s="49" t="str">
        <f>HYPERLINK("https://www.google.com/search?q=The+Impact+of+Cooperation+Defaults+on+Voluntary+Contributions+to+Public+Goods&amp;oq=The+Impact+of+Cooperation+Defaults+on+Voluntary+Contributions+to+Public+Goods&amp;aqs=chrome..69i57.207j0j7&amp;sourceid=chrome&amp;es_sm=93&amp;ie=UTF-8","https://www.google.com/search?q=The+Impact+of+Cooperation+Defaults+on+Voluntary+Contributions+to+Public+Goods&amp;oq=The+Impact+of+Cooperation+Defaults+on+Voluntary+Contributions+to+Public+Goods&amp;aqs=chrome..69i57.207j0j7&amp;sourceid=chrome&amp;es_sm=93&amp;ie=UTF-8")</f>
        <v>https://www.google.com/search?q=The+Impact+of+Cooperation+Defaults+on+Voluntary+Contributions+to+Public+Goods&amp;oq=The+Impact+of+Cooperation+Defaults+on+Voluntary+Contributions+to+Public+Goods&amp;aqs=chrome..69i57.207j0j7&amp;sourceid=chrome&amp;es_sm=93&amp;ie=UTF-8</v>
      </c>
      <c r="Y923" s="38"/>
      <c r="Z923" s="38"/>
      <c r="AA923" s="38"/>
      <c r="AB923" s="38"/>
      <c r="AC923" s="38"/>
      <c r="AD923" s="38"/>
      <c r="AE923" s="38"/>
      <c r="AF923" s="38"/>
      <c r="AG923" s="28"/>
      <c r="AH923" s="28" t="s">
        <v>462</v>
      </c>
      <c r="AI923" s="28" t="s">
        <v>462</v>
      </c>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row>
    <row r="924" ht="25.5" customHeight="1">
      <c r="A924" s="32">
        <v>20045.0</v>
      </c>
      <c r="B924" s="37" t="b">
        <v>1</v>
      </c>
      <c r="C924" s="62" t="s">
        <v>274</v>
      </c>
      <c r="D924" s="62">
        <v>82.0</v>
      </c>
      <c r="E924" s="13" t="b">
        <v>0</v>
      </c>
      <c r="F924" s="13" t="b">
        <v>1</v>
      </c>
      <c r="G924" s="62" t="s">
        <v>224</v>
      </c>
      <c r="H924" s="62"/>
      <c r="I924" s="62" t="s">
        <v>167</v>
      </c>
      <c r="J924" s="67">
        <v>10.0</v>
      </c>
      <c r="K924" s="62" t="s">
        <v>184</v>
      </c>
      <c r="L924" s="62">
        <v>1003.0</v>
      </c>
      <c r="M924" s="67"/>
      <c r="N924" s="67"/>
      <c r="O924" s="67"/>
      <c r="P924" s="58"/>
      <c r="Q924" s="62" t="s">
        <v>117</v>
      </c>
      <c r="R924" s="67"/>
      <c r="S924" s="62" t="s">
        <v>187</v>
      </c>
      <c r="T924" s="62" t="s">
        <v>188</v>
      </c>
      <c r="U924" s="62" t="s">
        <v>189</v>
      </c>
      <c r="V924" s="62" t="s">
        <v>188</v>
      </c>
      <c r="W924" s="62"/>
      <c r="X924" s="62" t="s">
        <v>190</v>
      </c>
      <c r="Y924" s="62" t="s">
        <v>186</v>
      </c>
      <c r="Z924" s="62"/>
      <c r="AA924" s="62"/>
      <c r="AB924" s="62" t="s">
        <v>191</v>
      </c>
      <c r="AC924" s="62" t="s">
        <v>188</v>
      </c>
      <c r="AD924" s="62" t="s">
        <v>189</v>
      </c>
      <c r="AE924" s="62" t="s">
        <v>188</v>
      </c>
      <c r="AF924" s="62" t="s">
        <v>192</v>
      </c>
      <c r="AG924" s="32"/>
      <c r="AH924" s="32"/>
      <c r="AI924" s="32"/>
      <c r="AJ924" s="32"/>
      <c r="AK924" s="32"/>
      <c r="AL924" s="32"/>
      <c r="AM924" s="32"/>
      <c r="AN924" s="32"/>
      <c r="AO924" s="32"/>
      <c r="AP924" s="32"/>
      <c r="AQ924" s="32"/>
      <c r="AR924" s="32"/>
      <c r="AS924" s="32"/>
      <c r="AT924" s="32"/>
      <c r="AU924" s="32"/>
      <c r="AV924" s="32"/>
      <c r="AW924" s="32"/>
      <c r="AX924" s="32"/>
      <c r="AY924" s="32"/>
      <c r="AZ924" s="32"/>
      <c r="BA924" s="32"/>
      <c r="BB924" s="32" t="s">
        <v>193</v>
      </c>
      <c r="BC924" s="32">
        <v>3.0</v>
      </c>
      <c r="BD924" s="32" t="s">
        <v>194</v>
      </c>
      <c r="BE924" s="32" t="s">
        <v>195</v>
      </c>
      <c r="BF924" s="32"/>
      <c r="BG924" s="32"/>
      <c r="BH924" s="32"/>
      <c r="BI924" s="32"/>
      <c r="BJ924" s="32"/>
      <c r="BK924" s="32"/>
      <c r="BL924" s="32"/>
      <c r="BM924" s="32"/>
      <c r="BN924" s="32"/>
      <c r="BO924" s="32"/>
    </row>
    <row r="925" ht="25.5" customHeight="1">
      <c r="A925" s="28">
        <v>195.0</v>
      </c>
      <c r="B925" s="37" t="b">
        <v>1</v>
      </c>
      <c r="C925" s="38" t="s">
        <v>106</v>
      </c>
      <c r="D925" s="38">
        <v>80.0</v>
      </c>
      <c r="E925" s="13" t="b">
        <v>0</v>
      </c>
      <c r="F925" s="13" t="b">
        <v>1</v>
      </c>
      <c r="G925" s="38" t="s">
        <v>224</v>
      </c>
      <c r="H925" s="38"/>
      <c r="I925" s="38" t="s">
        <v>429</v>
      </c>
      <c r="J925" s="38">
        <v>2.0</v>
      </c>
      <c r="K925" s="38" t="s">
        <v>524</v>
      </c>
      <c r="L925" s="62">
        <v>205.0</v>
      </c>
      <c r="M925" s="38" t="s">
        <v>107</v>
      </c>
      <c r="N925" s="38">
        <v>3000.0</v>
      </c>
      <c r="O925" s="38" t="s">
        <v>5432</v>
      </c>
      <c r="P925" s="40"/>
      <c r="Q925" s="38" t="s">
        <v>111</v>
      </c>
      <c r="R925" s="38">
        <v>41.0</v>
      </c>
      <c r="S925" s="38" t="s">
        <v>5437</v>
      </c>
      <c r="T925" s="38" t="s">
        <v>4719</v>
      </c>
      <c r="U925" s="38" t="s">
        <v>5439</v>
      </c>
      <c r="V925" s="38">
        <v>2013.0</v>
      </c>
      <c r="W925" s="38" t="s">
        <v>5444</v>
      </c>
      <c r="X925" s="38"/>
      <c r="Y925" s="38"/>
      <c r="Z925" s="38"/>
      <c r="AA925" s="38"/>
      <c r="AB925" s="38"/>
      <c r="AC925" s="38"/>
      <c r="AD925" s="38"/>
      <c r="AE925" s="38"/>
      <c r="AF925" s="3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row>
    <row r="926" ht="25.5" customHeight="1">
      <c r="A926" s="28">
        <v>138.0</v>
      </c>
      <c r="B926" s="37" t="b">
        <v>1</v>
      </c>
      <c r="C926" s="38" t="s">
        <v>106</v>
      </c>
      <c r="D926" s="38">
        <v>80.0</v>
      </c>
      <c r="E926" s="13" t="b">
        <v>1</v>
      </c>
      <c r="F926" s="13" t="b">
        <v>0</v>
      </c>
      <c r="G926" s="38" t="s">
        <v>284</v>
      </c>
      <c r="H926" s="38">
        <v>53.0</v>
      </c>
      <c r="I926" s="38" t="s">
        <v>224</v>
      </c>
      <c r="J926" s="38"/>
      <c r="K926" s="38" t="s">
        <v>224</v>
      </c>
      <c r="L926" s="38"/>
      <c r="M926" s="38" t="s">
        <v>35</v>
      </c>
      <c r="N926" s="38">
        <v>2000.0</v>
      </c>
      <c r="O926" s="38" t="s">
        <v>1114</v>
      </c>
      <c r="P926" s="40"/>
      <c r="Q926" s="38" t="s">
        <v>289</v>
      </c>
      <c r="R926" s="38">
        <v>40.0</v>
      </c>
      <c r="S926" s="38" t="s">
        <v>4991</v>
      </c>
      <c r="T926" s="38" t="s">
        <v>4992</v>
      </c>
      <c r="U926" s="38" t="s">
        <v>4993</v>
      </c>
      <c r="V926" s="38">
        <v>2011.0</v>
      </c>
      <c r="W926" s="38" t="s">
        <v>4999</v>
      </c>
      <c r="X926" s="49" t="str">
        <f>HYPERLINK("https://www.google.com/url?sa=t&amp;rct=j&amp;q=&amp;esrc=s&amp;source=web&amp;cd=3&amp;cad=rja&amp;uact=8&amp;ved=0ahUKEwj9zJv3w_vOAhWD1x4KHeYNA2EQFggsMAI&amp;url=http%3A%2F%2Fspot.colorado.edu%2F~porterka%2FBonstrom-2011-CU-MS-Thesis.pdf&amp;usg=AFQjCNFgmmH9PmzW-sQIWue9oh4CKe9hzA&amp;sig2=bnKdbebrmJCAFwNhvT7Kbg","https://www.google.com/url?sa=t&amp;rct=j&amp;q=&amp;esrc=s&amp;source=web&amp;cd=3&amp;cad=rja&amp;uact=8&amp;ved=0ahUKEwj9zJv3w_vOAhWD1x4KHeYNA2EQFggsMAI&amp;url=http%3A%2F%2Fspot.colorado.edu%2F~porterka%2FBonstrom-2011-CU-MS-Thesis.pdf&amp;usg=AFQjCNFgmmH9PmzW-sQIWue9oh4CKe9hzA&amp;sig2=bnKdbebrmJCAFwNhvT7Kbg")</f>
        <v>https://www.google.com/url?sa=t&amp;rct=j&amp;q=&amp;esrc=s&amp;source=web&amp;cd=3&amp;cad=rja&amp;uact=8&amp;ved=0ahUKEwj9zJv3w_vOAhWD1x4KHeYNA2EQFggsMAI&amp;url=http%3A%2F%2Fspot.colorado.edu%2F~porterka%2FBonstrom-2011-CU-MS-Thesis.pdf&amp;usg=AFQjCNFgmmH9PmzW-sQIWue9oh4CKe9hzA&amp;sig2=bnKdbebrmJCAFwNhvT7Kbg</v>
      </c>
      <c r="Y926" s="38"/>
      <c r="Z926" s="38"/>
      <c r="AA926" s="38"/>
      <c r="AB926" s="38"/>
      <c r="AC926" s="38"/>
      <c r="AD926" s="38"/>
      <c r="AE926" s="38"/>
      <c r="AF926" s="3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row>
    <row r="927" ht="25.5" customHeight="1">
      <c r="A927" s="28">
        <v>241.0</v>
      </c>
      <c r="B927" s="37" t="b">
        <v>1</v>
      </c>
      <c r="C927" s="38" t="s">
        <v>106</v>
      </c>
      <c r="D927" s="38">
        <v>80.0</v>
      </c>
      <c r="E927" s="13" t="b">
        <v>0</v>
      </c>
      <c r="F927" s="13" t="b">
        <v>1</v>
      </c>
      <c r="G927" s="38" t="s">
        <v>224</v>
      </c>
      <c r="H927" s="38"/>
      <c r="I927" s="38" t="s">
        <v>3930</v>
      </c>
      <c r="J927" s="38" t="s">
        <v>467</v>
      </c>
      <c r="K927" s="38" t="s">
        <v>5665</v>
      </c>
      <c r="L927" s="38" t="s">
        <v>8492</v>
      </c>
      <c r="M927" s="38" t="s">
        <v>411</v>
      </c>
      <c r="N927" s="38">
        <v>21000.0</v>
      </c>
      <c r="O927" s="38" t="s">
        <v>1052</v>
      </c>
      <c r="P927" s="40"/>
      <c r="Q927" s="38" t="s">
        <v>111</v>
      </c>
      <c r="R927" s="38">
        <v>41.0</v>
      </c>
      <c r="S927" s="38" t="s">
        <v>5666</v>
      </c>
      <c r="T927" s="38" t="s">
        <v>5667</v>
      </c>
      <c r="U927" s="38" t="s">
        <v>5668</v>
      </c>
      <c r="V927" s="38">
        <v>2013.0</v>
      </c>
      <c r="W927" s="38" t="s">
        <v>5669</v>
      </c>
      <c r="X927" s="49" t="str">
        <f>HYPERLINK("https://www.cokecce.com/system/file_resources/117/CCE_REPORT_FINAL_V10_hires.pdf","https://www.cokecce.com/system/file_resources/117/CCE_REPORT_FINAL_V10_hires.pdf")</f>
        <v>https://www.cokecce.com/system/file_resources/117/CCE_REPORT_FINAL_V10_hires.pdf</v>
      </c>
      <c r="Y927" s="38"/>
      <c r="Z927" s="38"/>
      <c r="AA927" s="38"/>
      <c r="AB927" s="38"/>
      <c r="AC927" s="38"/>
      <c r="AD927" s="38"/>
      <c r="AE927" s="38"/>
      <c r="AF927" s="38"/>
      <c r="AG927" s="28"/>
      <c r="AH927" s="28" t="s">
        <v>428</v>
      </c>
      <c r="AI927" s="28" t="s">
        <v>3942</v>
      </c>
      <c r="AJ927" s="28"/>
      <c r="AK927" s="28" t="s">
        <v>677</v>
      </c>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row>
    <row r="928" ht="25.5" customHeight="1">
      <c r="A928" s="28">
        <v>233.0</v>
      </c>
      <c r="B928" s="37" t="b">
        <v>1</v>
      </c>
      <c r="C928" s="38" t="s">
        <v>106</v>
      </c>
      <c r="D928" s="38">
        <v>80.0</v>
      </c>
      <c r="E928" s="13" t="b">
        <v>0</v>
      </c>
      <c r="F928" s="13" t="b">
        <v>1</v>
      </c>
      <c r="G928" s="38" t="s">
        <v>224</v>
      </c>
      <c r="H928" s="38"/>
      <c r="I928" s="38" t="s">
        <v>3013</v>
      </c>
      <c r="J928" s="38" t="s">
        <v>3014</v>
      </c>
      <c r="K928" s="38" t="s">
        <v>5631</v>
      </c>
      <c r="L928" s="38" t="s">
        <v>8493</v>
      </c>
      <c r="M928" s="38" t="s">
        <v>411</v>
      </c>
      <c r="N928" s="38">
        <v>21000.0</v>
      </c>
      <c r="O928" s="38" t="s">
        <v>1052</v>
      </c>
      <c r="P928" s="40"/>
      <c r="Q928" s="38" t="s">
        <v>289</v>
      </c>
      <c r="R928" s="38">
        <v>40.0</v>
      </c>
      <c r="S928" s="38" t="s">
        <v>5632</v>
      </c>
      <c r="T928" s="38" t="s">
        <v>5633</v>
      </c>
      <c r="U928" s="38" t="s">
        <v>5634</v>
      </c>
      <c r="V928" s="38">
        <v>2012.0</v>
      </c>
      <c r="W928" s="38" t="s">
        <v>5635</v>
      </c>
      <c r="X928" s="38" t="s">
        <v>5636</v>
      </c>
      <c r="Y928" s="38"/>
      <c r="Z928" s="38"/>
      <c r="AA928" s="38"/>
      <c r="AB928" s="38"/>
      <c r="AC928" s="38"/>
      <c r="AD928" s="38"/>
      <c r="AE928" s="38"/>
      <c r="AF928" s="38"/>
      <c r="AG928" s="28"/>
      <c r="AH928" s="28" t="s">
        <v>613</v>
      </c>
      <c r="AI928" s="28" t="s">
        <v>613</v>
      </c>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row>
    <row r="929" ht="25.5" customHeight="1">
      <c r="A929" s="28">
        <v>25.0</v>
      </c>
      <c r="B929" s="37" t="b">
        <v>1</v>
      </c>
      <c r="C929" s="38" t="s">
        <v>106</v>
      </c>
      <c r="D929" s="38">
        <v>80.0</v>
      </c>
      <c r="E929" s="13" t="b">
        <v>0</v>
      </c>
      <c r="F929" s="13" t="b">
        <v>1</v>
      </c>
      <c r="G929" s="38" t="s">
        <v>224</v>
      </c>
      <c r="H929" s="38"/>
      <c r="I929" s="38" t="s">
        <v>574</v>
      </c>
      <c r="J929" s="38">
        <v>4.0</v>
      </c>
      <c r="K929" s="38" t="s">
        <v>1744</v>
      </c>
      <c r="L929" s="38">
        <v>404.0</v>
      </c>
      <c r="M929" s="38" t="s">
        <v>35</v>
      </c>
      <c r="N929" s="38">
        <v>2000.0</v>
      </c>
      <c r="O929" s="38" t="s">
        <v>578</v>
      </c>
      <c r="P929" s="40"/>
      <c r="Q929" s="38" t="s">
        <v>111</v>
      </c>
      <c r="R929" s="38">
        <v>41.0</v>
      </c>
      <c r="S929" s="38" t="s">
        <v>4067</v>
      </c>
      <c r="T929" s="38" t="s">
        <v>4068</v>
      </c>
      <c r="U929" s="38" t="s">
        <v>4069</v>
      </c>
      <c r="V929" s="38">
        <v>2008.0</v>
      </c>
      <c r="W929" s="38" t="s">
        <v>4071</v>
      </c>
      <c r="X929" s="38"/>
      <c r="Y929" s="38"/>
      <c r="Z929" s="38"/>
      <c r="AA929" s="38"/>
      <c r="AB929" s="38"/>
      <c r="AC929" s="38"/>
      <c r="AD929" s="38"/>
      <c r="AE929" s="38"/>
      <c r="AF929" s="3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row>
    <row r="930" ht="25.5" customHeight="1">
      <c r="A930" s="28">
        <v>10347.0</v>
      </c>
      <c r="B930" s="37" t="b">
        <v>1</v>
      </c>
      <c r="C930" s="38" t="s">
        <v>238</v>
      </c>
      <c r="D930" s="38">
        <v>81.0</v>
      </c>
      <c r="E930" s="13" t="b">
        <v>0</v>
      </c>
      <c r="F930" s="13" t="b">
        <v>1</v>
      </c>
      <c r="G930" s="38" t="s">
        <v>224</v>
      </c>
      <c r="H930" s="38"/>
      <c r="I930" s="38" t="s">
        <v>280</v>
      </c>
      <c r="J930" s="38">
        <v>10.0</v>
      </c>
      <c r="K930" s="38"/>
      <c r="L930" s="38"/>
      <c r="M930" s="38" t="s">
        <v>408</v>
      </c>
      <c r="N930" s="38">
        <v>20000.0</v>
      </c>
      <c r="O930" s="38" t="s">
        <v>169</v>
      </c>
      <c r="P930" s="40"/>
      <c r="Q930" s="38" t="s">
        <v>289</v>
      </c>
      <c r="R930" s="38">
        <v>40.0</v>
      </c>
      <c r="S930" s="38" t="s">
        <v>4647</v>
      </c>
      <c r="T930" s="38" t="s">
        <v>215</v>
      </c>
      <c r="U930" s="38" t="s">
        <v>4648</v>
      </c>
      <c r="V930" s="55"/>
      <c r="W930" s="38" t="s">
        <v>4650</v>
      </c>
      <c r="X930" s="38" t="s">
        <v>4651</v>
      </c>
      <c r="Y930" s="38"/>
      <c r="Z930" s="38"/>
      <c r="AA930" s="38"/>
      <c r="AB930" s="38"/>
      <c r="AC930" s="38"/>
      <c r="AD930" s="38"/>
      <c r="AE930" s="38"/>
      <c r="AF930" s="38"/>
      <c r="AG930" s="28"/>
      <c r="AH930" s="28"/>
      <c r="AI930" s="28"/>
      <c r="AJ930" s="28"/>
      <c r="AK930" s="28"/>
      <c r="AL930" s="28"/>
      <c r="AM930" s="28"/>
      <c r="AN930" s="28"/>
      <c r="AO930" s="28"/>
      <c r="AP930" s="28"/>
      <c r="AQ930" s="28"/>
      <c r="AR930" s="28"/>
      <c r="AS930" s="28"/>
      <c r="AT930" s="28"/>
      <c r="AU930" s="28"/>
      <c r="AV930" s="28"/>
      <c r="AW930" s="28"/>
      <c r="AX930" s="28"/>
      <c r="AY930" s="28"/>
      <c r="AZ930" s="28" t="s">
        <v>998</v>
      </c>
      <c r="BA930" s="28"/>
      <c r="BB930" s="28"/>
      <c r="BC930" s="28"/>
      <c r="BD930" s="28"/>
      <c r="BE930" s="28"/>
      <c r="BF930" s="28"/>
      <c r="BG930" s="28"/>
      <c r="BH930" s="28"/>
      <c r="BI930" s="28"/>
      <c r="BJ930" s="28"/>
      <c r="BK930" s="28"/>
      <c r="BL930" s="28"/>
      <c r="BM930" s="28"/>
      <c r="BN930" s="28"/>
      <c r="BO930" s="28"/>
    </row>
    <row r="931" ht="25.5" customHeight="1">
      <c r="A931" s="28">
        <v>373.0</v>
      </c>
      <c r="B931" s="37" t="b">
        <v>1</v>
      </c>
      <c r="C931" s="38" t="s">
        <v>106</v>
      </c>
      <c r="D931" s="38">
        <v>80.0</v>
      </c>
      <c r="E931" s="13" t="b">
        <v>1</v>
      </c>
      <c r="F931" s="13" t="b">
        <v>0</v>
      </c>
      <c r="G931" s="38" t="s">
        <v>224</v>
      </c>
      <c r="H931" s="38"/>
      <c r="I931" s="38" t="s">
        <v>280</v>
      </c>
      <c r="J931" s="38">
        <v>10.0</v>
      </c>
      <c r="K931" s="38" t="s">
        <v>5229</v>
      </c>
      <c r="L931" s="38">
        <v>1001.0</v>
      </c>
      <c r="M931" s="38" t="s">
        <v>107</v>
      </c>
      <c r="N931" s="38">
        <v>3000.0</v>
      </c>
      <c r="O931" s="38" t="s">
        <v>2282</v>
      </c>
      <c r="P931" s="40"/>
      <c r="Q931" s="38" t="s">
        <v>272</v>
      </c>
      <c r="R931" s="38">
        <v>42.0</v>
      </c>
      <c r="S931" s="38" t="s">
        <v>6117</v>
      </c>
      <c r="T931" s="38" t="s">
        <v>6118</v>
      </c>
      <c r="U931" s="38" t="s">
        <v>6119</v>
      </c>
      <c r="V931" s="38">
        <v>2015.0</v>
      </c>
      <c r="W931" s="38" t="s">
        <v>6120</v>
      </c>
      <c r="X931" s="49" t="str">
        <f>HYPERLINK("http://search.proquest.com/openview/d5caf50fa62f26a3f4ad06e5015edd92/1?pq-origsite=gscholar&amp;cbl=2030907","http://search.proquest.com/openview/d5caf50fa62f26a3f4ad06e5015edd92/1?pq-origsite=gscholar&amp;cbl=2030907")</f>
        <v>http://search.proquest.com/openview/d5caf50fa62f26a3f4ad06e5015edd92/1?pq-origsite=gscholar&amp;cbl=2030907</v>
      </c>
      <c r="Y931" s="38"/>
      <c r="Z931" s="38"/>
      <c r="AA931" s="38"/>
      <c r="AB931" s="38"/>
      <c r="AC931" s="38"/>
      <c r="AD931" s="38"/>
      <c r="AE931" s="38"/>
      <c r="AF931" s="38"/>
      <c r="AG931" s="28" t="s">
        <v>6122</v>
      </c>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row>
    <row r="932" ht="25.5" customHeight="1">
      <c r="A932" s="28">
        <v>141.0</v>
      </c>
      <c r="B932" s="37" t="b">
        <v>1</v>
      </c>
      <c r="C932" s="38" t="s">
        <v>106</v>
      </c>
      <c r="D932" s="38">
        <v>80.0</v>
      </c>
      <c r="E932" s="13" t="b">
        <v>1</v>
      </c>
      <c r="F932" s="13" t="b">
        <v>0</v>
      </c>
      <c r="G932" s="38" t="s">
        <v>284</v>
      </c>
      <c r="H932" s="38">
        <v>53.0</v>
      </c>
      <c r="I932" s="38" t="s">
        <v>224</v>
      </c>
      <c r="J932" s="38"/>
      <c r="K932" s="38" t="s">
        <v>224</v>
      </c>
      <c r="L932" s="38"/>
      <c r="M932" s="38" t="s">
        <v>35</v>
      </c>
      <c r="N932" s="38">
        <v>2000.0</v>
      </c>
      <c r="O932" s="38" t="s">
        <v>942</v>
      </c>
      <c r="P932" s="40"/>
      <c r="Q932" s="38" t="s">
        <v>289</v>
      </c>
      <c r="R932" s="38">
        <v>40.0</v>
      </c>
      <c r="S932" s="38" t="s">
        <v>5017</v>
      </c>
      <c r="T932" s="38" t="s">
        <v>5018</v>
      </c>
      <c r="U932" s="38" t="s">
        <v>5019</v>
      </c>
      <c r="V932" s="38">
        <v>2012.0</v>
      </c>
      <c r="W932" s="38" t="s">
        <v>5021</v>
      </c>
      <c r="X932" s="49" t="str">
        <f>HYPERLINK("https://www.ruor.uottawa.ca/handle/10393/23855","https://www.ruor.uottawa.ca/handle/10393/23855")</f>
        <v>https://www.ruor.uottawa.ca/handle/10393/23855</v>
      </c>
      <c r="Y932" s="38"/>
      <c r="Z932" s="38"/>
      <c r="AA932" s="38"/>
      <c r="AB932" s="38"/>
      <c r="AC932" s="38"/>
      <c r="AD932" s="38"/>
      <c r="AE932" s="38"/>
      <c r="AF932" s="3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row>
    <row r="933" ht="25.5" customHeight="1">
      <c r="A933" s="28">
        <v>10104.0</v>
      </c>
      <c r="B933" s="37" t="b">
        <v>1</v>
      </c>
      <c r="C933" s="38" t="s">
        <v>238</v>
      </c>
      <c r="D933" s="38">
        <v>81.0</v>
      </c>
      <c r="E933" s="13" t="b">
        <v>0</v>
      </c>
      <c r="F933" s="13" t="b">
        <v>1</v>
      </c>
      <c r="G933" s="38" t="s">
        <v>224</v>
      </c>
      <c r="H933" s="38"/>
      <c r="I933" s="38" t="s">
        <v>2500</v>
      </c>
      <c r="J933" s="38" t="s">
        <v>2502</v>
      </c>
      <c r="K933" s="38"/>
      <c r="L933" s="38"/>
      <c r="M933" s="38" t="s">
        <v>321</v>
      </c>
      <c r="N933" s="38">
        <v>7000.0</v>
      </c>
      <c r="O933" s="38" t="s">
        <v>1436</v>
      </c>
      <c r="P933" s="40"/>
      <c r="Q933" s="38" t="s">
        <v>324</v>
      </c>
      <c r="R933" s="38" t="s">
        <v>325</v>
      </c>
      <c r="S933" s="38" t="s">
        <v>2505</v>
      </c>
      <c r="T933" s="38" t="s">
        <v>2507</v>
      </c>
      <c r="U933" s="38" t="s">
        <v>2508</v>
      </c>
      <c r="V933" s="55">
        <v>42153.0</v>
      </c>
      <c r="W933" s="38" t="s">
        <v>2510</v>
      </c>
      <c r="X933" s="49" t="str">
        <f>HYPERLINK("http://conservationmagazine.org/2015/05/dont-eat-bugs-to-save-the-world-but-because-theyre-tasty/","http://conservationmagazine.org/2015/05/dont-eat-bugs-to-save-the-world-but-because-theyre-tasty/")</f>
        <v>http://conservationmagazine.org/2015/05/dont-eat-bugs-to-save-the-world-but-because-theyre-tasty/</v>
      </c>
      <c r="Y933" s="38"/>
      <c r="Z933" s="38"/>
      <c r="AA933" s="38"/>
      <c r="AB933" s="38"/>
      <c r="AC933" s="38"/>
      <c r="AD933" s="38"/>
      <c r="AE933" s="38"/>
      <c r="AF933" s="38"/>
      <c r="AG933" s="28"/>
      <c r="AH933" s="28" t="s">
        <v>462</v>
      </c>
      <c r="AI933" s="28" t="s">
        <v>462</v>
      </c>
      <c r="AJ933" s="28"/>
      <c r="AK933" s="28"/>
      <c r="AL933" s="28" t="s">
        <v>769</v>
      </c>
      <c r="AM933" s="28" t="s">
        <v>2512</v>
      </c>
      <c r="AN933" s="54">
        <v>42165.0</v>
      </c>
      <c r="AO933" s="54"/>
      <c r="AP933" s="54">
        <v>42530.0</v>
      </c>
      <c r="AQ933" s="28" t="s">
        <v>769</v>
      </c>
      <c r="AR933" s="28"/>
      <c r="AS933" s="54">
        <v>42165.0</v>
      </c>
      <c r="AT933" s="28" t="s">
        <v>1152</v>
      </c>
      <c r="AU933" s="28"/>
      <c r="AV933" s="28"/>
      <c r="AW933" s="28"/>
      <c r="AX933" s="28"/>
      <c r="AY933" s="28"/>
      <c r="AZ933" s="28"/>
      <c r="BA933" s="28"/>
      <c r="BB933" s="28"/>
      <c r="BC933" s="28"/>
      <c r="BD933" s="28"/>
      <c r="BE933" s="28"/>
      <c r="BF933" s="28"/>
      <c r="BG933" s="28"/>
      <c r="BH933" s="28"/>
      <c r="BI933" s="28"/>
      <c r="BJ933" s="28"/>
      <c r="BK933" s="28"/>
      <c r="BL933" s="28"/>
      <c r="BM933" s="28"/>
      <c r="BN933" s="28"/>
      <c r="BO933" s="28"/>
    </row>
    <row r="934" ht="25.5" customHeight="1">
      <c r="A934" s="28">
        <v>10341.0</v>
      </c>
      <c r="B934" s="37" t="b">
        <v>1</v>
      </c>
      <c r="C934" s="38" t="s">
        <v>238</v>
      </c>
      <c r="D934" s="38">
        <v>81.0</v>
      </c>
      <c r="E934" s="13" t="b">
        <v>0</v>
      </c>
      <c r="F934" s="13" t="b">
        <v>1</v>
      </c>
      <c r="G934" s="38" t="s">
        <v>224</v>
      </c>
      <c r="H934" s="38"/>
      <c r="I934" s="38" t="s">
        <v>280</v>
      </c>
      <c r="J934" s="38">
        <v>10.0</v>
      </c>
      <c r="K934" s="38"/>
      <c r="L934" s="38"/>
      <c r="M934" s="38" t="s">
        <v>3494</v>
      </c>
      <c r="N934" s="38">
        <v>22000.0</v>
      </c>
      <c r="O934" s="38" t="s">
        <v>4607</v>
      </c>
      <c r="P934" s="40"/>
      <c r="Q934" s="38" t="s">
        <v>289</v>
      </c>
      <c r="R934" s="38">
        <v>40.0</v>
      </c>
      <c r="S934" s="38" t="s">
        <v>4613</v>
      </c>
      <c r="T934" s="38" t="s">
        <v>4615</v>
      </c>
      <c r="U934" s="38" t="s">
        <v>4617</v>
      </c>
      <c r="V934" s="55">
        <v>42114.0</v>
      </c>
      <c r="W934" s="38" t="s">
        <v>4619</v>
      </c>
      <c r="X934" s="49" t="str">
        <f>HYPERLINK("http://www.news.wisc.edu/23688","http://www.news.wisc.edu/23688")</f>
        <v>http://www.news.wisc.edu/23688</v>
      </c>
      <c r="Y934" s="38"/>
      <c r="Z934" s="38"/>
      <c r="AA934" s="38"/>
      <c r="AB934" s="38"/>
      <c r="AC934" s="38"/>
      <c r="AD934" s="38"/>
      <c r="AE934" s="38"/>
      <c r="AF934" s="38"/>
      <c r="AG934" s="28"/>
      <c r="AH934" s="28" t="s">
        <v>462</v>
      </c>
      <c r="AI934" s="28" t="s">
        <v>462</v>
      </c>
      <c r="AJ934" s="28"/>
      <c r="AK934" s="28" t="s">
        <v>1099</v>
      </c>
      <c r="AL934" s="28" t="s">
        <v>769</v>
      </c>
      <c r="AM934" s="28" t="s">
        <v>4623</v>
      </c>
      <c r="AN934" s="54">
        <v>42166.0</v>
      </c>
      <c r="AO934" s="54"/>
      <c r="AP934" s="54">
        <v>42614.0</v>
      </c>
      <c r="AQ934" s="28" t="s">
        <v>769</v>
      </c>
      <c r="AR934" s="28"/>
      <c r="AS934" s="28"/>
      <c r="AT934" s="28" t="s">
        <v>1152</v>
      </c>
      <c r="AU934" s="28"/>
      <c r="AV934" s="28"/>
      <c r="AW934" s="28"/>
      <c r="AX934" s="28"/>
      <c r="AY934" s="28"/>
      <c r="AZ934" s="28" t="s">
        <v>678</v>
      </c>
      <c r="BA934" s="28"/>
      <c r="BB934" s="28"/>
      <c r="BC934" s="28"/>
      <c r="BD934" s="28"/>
      <c r="BE934" s="28"/>
      <c r="BF934" s="28"/>
      <c r="BG934" s="28"/>
      <c r="BH934" s="28"/>
      <c r="BI934" s="28"/>
      <c r="BJ934" s="28"/>
      <c r="BK934" s="28"/>
      <c r="BL934" s="28"/>
      <c r="BM934" s="28"/>
      <c r="BN934" s="28"/>
      <c r="BO934" s="28"/>
    </row>
    <row r="935" ht="25.5" customHeight="1">
      <c r="A935" s="28">
        <v>10032.0</v>
      </c>
      <c r="B935" s="37" t="b">
        <v>1</v>
      </c>
      <c r="C935" s="38" t="s">
        <v>238</v>
      </c>
      <c r="D935" s="38">
        <v>81.0</v>
      </c>
      <c r="E935" s="13" t="b">
        <v>1</v>
      </c>
      <c r="F935" s="13" t="b">
        <v>0</v>
      </c>
      <c r="G935" s="38" t="s">
        <v>381</v>
      </c>
      <c r="H935" s="38">
        <v>60.0</v>
      </c>
      <c r="I935" s="38" t="s">
        <v>224</v>
      </c>
      <c r="J935" s="38"/>
      <c r="K935" s="38" t="s">
        <v>224</v>
      </c>
      <c r="L935" s="38"/>
      <c r="M935" s="38" t="s">
        <v>388</v>
      </c>
      <c r="N935" s="38">
        <v>14000.0</v>
      </c>
      <c r="O935" s="38" t="s">
        <v>224</v>
      </c>
      <c r="P935" s="40"/>
      <c r="Q935" s="38" t="s">
        <v>289</v>
      </c>
      <c r="R935" s="38">
        <v>40.0</v>
      </c>
      <c r="S935" s="38" t="s">
        <v>1649</v>
      </c>
      <c r="T935" s="38" t="s">
        <v>1650</v>
      </c>
      <c r="U935" s="38" t="s">
        <v>1651</v>
      </c>
      <c r="V935" s="55">
        <v>42012.0</v>
      </c>
      <c r="W935" s="38" t="s">
        <v>1652</v>
      </c>
      <c r="X935" s="49" t="str">
        <f>HYPERLINK("http://www.upworthy.com/the-bizarre-human-tendency-that-made-baby-jessica-a-household-name-in-1987","http://www.upworthy.com/the-bizarre-human-tendency-that-made-baby-jessica-a-household-name-in-1987")</f>
        <v>http://www.upworthy.com/the-bizarre-human-tendency-that-made-baby-jessica-a-household-name-in-1987</v>
      </c>
      <c r="Y935" s="38"/>
      <c r="Z935" s="38"/>
      <c r="AA935" s="38"/>
      <c r="AB935" s="38"/>
      <c r="AC935" s="38"/>
      <c r="AD935" s="38"/>
      <c r="AE935" s="38"/>
      <c r="AF935" s="38"/>
      <c r="AG935" s="28"/>
      <c r="AH935" s="28" t="s">
        <v>462</v>
      </c>
      <c r="AI935" s="28" t="s">
        <v>428</v>
      </c>
      <c r="AJ935" s="28"/>
      <c r="AK935" s="28"/>
      <c r="AL935" s="28" t="s">
        <v>677</v>
      </c>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row>
    <row r="936" ht="25.5" customHeight="1">
      <c r="A936" s="28">
        <v>10132.0</v>
      </c>
      <c r="B936" s="37" t="b">
        <v>1</v>
      </c>
      <c r="C936" s="38" t="s">
        <v>238</v>
      </c>
      <c r="D936" s="38">
        <v>81.0</v>
      </c>
      <c r="E936" s="13" t="b">
        <v>0</v>
      </c>
      <c r="F936" s="13" t="b">
        <v>1</v>
      </c>
      <c r="G936" s="38" t="s">
        <v>224</v>
      </c>
      <c r="H936" s="38"/>
      <c r="I936" s="38" t="s">
        <v>2800</v>
      </c>
      <c r="J936" s="38" t="s">
        <v>2801</v>
      </c>
      <c r="K936" s="38"/>
      <c r="L936" s="38"/>
      <c r="M936" s="38" t="s">
        <v>35</v>
      </c>
      <c r="N936" s="38">
        <v>2000.0</v>
      </c>
      <c r="O936" s="38" t="s">
        <v>837</v>
      </c>
      <c r="P936" s="40">
        <v>2001.0</v>
      </c>
      <c r="Q936" s="38" t="s">
        <v>289</v>
      </c>
      <c r="R936" s="38">
        <v>40.0</v>
      </c>
      <c r="S936" s="38" t="s">
        <v>2802</v>
      </c>
      <c r="T936" s="38" t="s">
        <v>2803</v>
      </c>
      <c r="U936" s="38" t="s">
        <v>2804</v>
      </c>
      <c r="V936" s="55">
        <v>41056.0</v>
      </c>
      <c r="W936" s="38"/>
      <c r="X936" s="49" t="str">
        <f>HYPERLINK("http://content.usatoday.com/communities/sciencefair/post/2012/05/study-personality-split-climate-views-not-science-literacy/1#.VZBXRFJMUZx","http://content.usatoday.com/communities/sciencefair/post/2012/05/study-personality-split-climate-views-not-science-literacy/1#.VZBXRFJMUZx")</f>
        <v>http://content.usatoday.com/communities/sciencefair/post/2012/05/study-personality-split-climate-views-not-science-literacy/1#.VZBXRFJMUZx</v>
      </c>
      <c r="Y936" s="38"/>
      <c r="Z936" s="38"/>
      <c r="AA936" s="38"/>
      <c r="AB936" s="38"/>
      <c r="AC936" s="38"/>
      <c r="AD936" s="38"/>
      <c r="AE936" s="38"/>
      <c r="AF936" s="38"/>
      <c r="AG936" s="28"/>
      <c r="AH936" s="28" t="s">
        <v>842</v>
      </c>
      <c r="AI936" s="28" t="s">
        <v>462</v>
      </c>
      <c r="AJ936" s="28"/>
      <c r="AK936" s="28"/>
      <c r="AL936" s="28" t="s">
        <v>769</v>
      </c>
      <c r="AM936" s="28" t="s">
        <v>2812</v>
      </c>
      <c r="AN936" s="54">
        <v>42332.0</v>
      </c>
      <c r="AO936" s="54"/>
      <c r="AP936" s="54">
        <v>42534.0</v>
      </c>
      <c r="AQ936" s="28"/>
      <c r="AR936" s="28"/>
      <c r="AS936" s="54">
        <v>42494.0</v>
      </c>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row>
    <row r="937" ht="25.5" customHeight="1">
      <c r="A937" s="28">
        <v>299.0</v>
      </c>
      <c r="B937" s="37" t="b">
        <v>1</v>
      </c>
      <c r="C937" s="38" t="s">
        <v>106</v>
      </c>
      <c r="D937" s="38">
        <v>80.0</v>
      </c>
      <c r="E937" s="13" t="b">
        <v>0</v>
      </c>
      <c r="F937" s="13" t="b">
        <v>1</v>
      </c>
      <c r="G937" s="38" t="s">
        <v>224</v>
      </c>
      <c r="H937" s="38"/>
      <c r="I937" s="38" t="s">
        <v>510</v>
      </c>
      <c r="J937" s="38" t="s">
        <v>511</v>
      </c>
      <c r="K937" s="65" t="s">
        <v>4814</v>
      </c>
      <c r="L937" s="38">
        <v>304.0</v>
      </c>
      <c r="M937" s="38" t="s">
        <v>4535</v>
      </c>
      <c r="N937" s="38" t="s">
        <v>4536</v>
      </c>
      <c r="O937" s="38" t="s">
        <v>4537</v>
      </c>
      <c r="P937" s="40"/>
      <c r="Q937" s="38" t="s">
        <v>111</v>
      </c>
      <c r="R937" s="38">
        <v>41.0</v>
      </c>
      <c r="S937" s="38" t="s">
        <v>5810</v>
      </c>
      <c r="T937" s="38" t="s">
        <v>5812</v>
      </c>
      <c r="U937" s="38" t="s">
        <v>5813</v>
      </c>
      <c r="V937" s="38">
        <v>2006.0</v>
      </c>
      <c r="W937" s="38" t="s">
        <v>753</v>
      </c>
      <c r="X937" s="38" t="s">
        <v>5814</v>
      </c>
      <c r="Y937" s="38"/>
      <c r="Z937" s="38"/>
      <c r="AA937" s="38"/>
      <c r="AB937" s="38"/>
      <c r="AC937" s="38"/>
      <c r="AD937" s="38"/>
      <c r="AE937" s="38"/>
      <c r="AF937" s="38"/>
      <c r="AG937" s="28" t="s">
        <v>5816</v>
      </c>
      <c r="AH937" s="28" t="s">
        <v>1030</v>
      </c>
      <c r="AI937" s="28" t="s">
        <v>1030</v>
      </c>
      <c r="AJ937" s="28"/>
      <c r="AK937" s="28"/>
      <c r="AL937" s="28" t="s">
        <v>561</v>
      </c>
      <c r="AM937" s="28" t="s">
        <v>5817</v>
      </c>
      <c r="AN937" s="54">
        <v>42452.0</v>
      </c>
      <c r="AO937" s="28"/>
      <c r="AP937" s="54">
        <v>42604.0</v>
      </c>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row>
    <row r="938" ht="25.5" customHeight="1">
      <c r="A938" s="28">
        <v>10254.0</v>
      </c>
      <c r="B938" s="37" t="b">
        <v>1</v>
      </c>
      <c r="C938" s="38" t="s">
        <v>238</v>
      </c>
      <c r="D938" s="38">
        <v>81.0</v>
      </c>
      <c r="E938" s="13" t="b">
        <v>0</v>
      </c>
      <c r="F938" s="13" t="b">
        <v>1</v>
      </c>
      <c r="G938" s="38" t="s">
        <v>224</v>
      </c>
      <c r="H938" s="38"/>
      <c r="I938" s="38" t="s">
        <v>429</v>
      </c>
      <c r="J938" s="38">
        <v>2.0</v>
      </c>
      <c r="K938" s="38"/>
      <c r="L938" s="38"/>
      <c r="M938" s="38" t="s">
        <v>107</v>
      </c>
      <c r="N938" s="38">
        <v>3000.0</v>
      </c>
      <c r="O938" s="38" t="s">
        <v>470</v>
      </c>
      <c r="P938" s="40"/>
      <c r="Q938" s="38" t="s">
        <v>111</v>
      </c>
      <c r="R938" s="38">
        <v>41.0</v>
      </c>
      <c r="S938" s="38" t="s">
        <v>3792</v>
      </c>
      <c r="T938" s="38" t="s">
        <v>3793</v>
      </c>
      <c r="U938" s="38" t="s">
        <v>3794</v>
      </c>
      <c r="V938" s="55">
        <v>41043.0</v>
      </c>
      <c r="W938" s="38" t="s">
        <v>3795</v>
      </c>
      <c r="X938" s="49" t="str">
        <f>HYPERLINK("http://onetonnelife.com/","http://onetonnelife.com/")</f>
        <v>http://onetonnelife.com/</v>
      </c>
      <c r="Y938" s="38"/>
      <c r="Z938" s="38"/>
      <c r="AA938" s="38"/>
      <c r="AB938" s="38"/>
      <c r="AC938" s="38"/>
      <c r="AD938" s="38"/>
      <c r="AE938" s="38"/>
      <c r="AF938" s="38"/>
      <c r="AG938" s="28" t="s">
        <v>2154</v>
      </c>
      <c r="AH938" s="28" t="s">
        <v>462</v>
      </c>
      <c r="AI938" s="28" t="s">
        <v>462</v>
      </c>
      <c r="AJ938" s="28"/>
      <c r="AK938" s="28"/>
      <c r="AL938" s="28" t="s">
        <v>769</v>
      </c>
      <c r="AM938" s="28" t="s">
        <v>3800</v>
      </c>
      <c r="AN938" s="54">
        <v>42339.0</v>
      </c>
      <c r="AO938" s="54"/>
      <c r="AP938" s="28"/>
      <c r="AQ938" s="28"/>
      <c r="AR938" s="28"/>
      <c r="AS938" s="54"/>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row>
    <row r="939" ht="25.5" customHeight="1">
      <c r="A939" s="28">
        <v>10304.0</v>
      </c>
      <c r="B939" s="37" t="b">
        <v>1</v>
      </c>
      <c r="C939" s="38" t="s">
        <v>238</v>
      </c>
      <c r="D939" s="38">
        <v>81.0</v>
      </c>
      <c r="E939" s="13" t="b">
        <v>0</v>
      </c>
      <c r="F939" s="13" t="b">
        <v>1</v>
      </c>
      <c r="G939" s="38" t="s">
        <v>224</v>
      </c>
      <c r="H939" s="38"/>
      <c r="I939" s="38" t="s">
        <v>490</v>
      </c>
      <c r="J939" s="38">
        <v>6.0</v>
      </c>
      <c r="K939" s="38"/>
      <c r="L939" s="38"/>
      <c r="M939" s="38" t="s">
        <v>388</v>
      </c>
      <c r="N939" s="38">
        <v>14000.0</v>
      </c>
      <c r="O939" s="38" t="s">
        <v>224</v>
      </c>
      <c r="P939" s="40"/>
      <c r="Q939" s="38" t="s">
        <v>289</v>
      </c>
      <c r="R939" s="38">
        <v>40.0</v>
      </c>
      <c r="S939" s="38" t="s">
        <v>4244</v>
      </c>
      <c r="T939" s="38" t="s">
        <v>4245</v>
      </c>
      <c r="U939" s="38" t="s">
        <v>4246</v>
      </c>
      <c r="V939" s="55">
        <v>42143.0</v>
      </c>
      <c r="W939" s="38" t="s">
        <v>4247</v>
      </c>
      <c r="X939" s="49" t="str">
        <f>HYPERLINK("http://psychology.about.com/od/socialinfluence/f/rule-of-commitment.htm","http://psychology.about.com/od/socialinfluence/f/rule-of-commitment.htm")</f>
        <v>http://psychology.about.com/od/socialinfluence/f/rule-of-commitment.htm</v>
      </c>
      <c r="Y939" s="38"/>
      <c r="Z939" s="38"/>
      <c r="AA939" s="38"/>
      <c r="AB939" s="38"/>
      <c r="AC939" s="38"/>
      <c r="AD939" s="38"/>
      <c r="AE939" s="38"/>
      <c r="AF939" s="38"/>
      <c r="AG939" s="28"/>
      <c r="AH939" s="28" t="s">
        <v>428</v>
      </c>
      <c r="AI939" s="28" t="s">
        <v>462</v>
      </c>
      <c r="AJ939" s="28"/>
      <c r="AK939" s="28"/>
      <c r="AL939" s="28" t="s">
        <v>677</v>
      </c>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row>
    <row r="940" ht="25.5" customHeight="1">
      <c r="A940" s="28">
        <v>10292.0</v>
      </c>
      <c r="B940" s="37" t="b">
        <v>1</v>
      </c>
      <c r="C940" s="38" t="s">
        <v>238</v>
      </c>
      <c r="D940" s="38">
        <v>81.0</v>
      </c>
      <c r="E940" s="13" t="b">
        <v>0</v>
      </c>
      <c r="F940" s="13" t="b">
        <v>1</v>
      </c>
      <c r="G940" s="38" t="s">
        <v>224</v>
      </c>
      <c r="H940" s="38"/>
      <c r="I940" s="38" t="s">
        <v>510</v>
      </c>
      <c r="J940" s="38" t="s">
        <v>511</v>
      </c>
      <c r="K940" s="38"/>
      <c r="L940" s="38"/>
      <c r="M940" s="38" t="s">
        <v>35</v>
      </c>
      <c r="N940" s="38">
        <v>2000.0</v>
      </c>
      <c r="O940" s="38" t="s">
        <v>578</v>
      </c>
      <c r="P940" s="40"/>
      <c r="Q940" s="38" t="s">
        <v>289</v>
      </c>
      <c r="R940" s="38">
        <v>40.0</v>
      </c>
      <c r="S940" s="38" t="s">
        <v>4142</v>
      </c>
      <c r="T940" s="38" t="s">
        <v>4143</v>
      </c>
      <c r="U940" s="38" t="s">
        <v>4144</v>
      </c>
      <c r="V940" s="55">
        <v>42164.0</v>
      </c>
      <c r="W940" s="38"/>
      <c r="X940" s="49" t="str">
        <f>HYPERLINK("http://www.vice.com/read/a-psychologist-explains-why-people-dont-really-give-a-shit-about-climate-change-608?utm_source=vicefbus","http://www.vice.com/read/a-psychologist-explains-why-people-dont-really-give-a-shit-about-climate-change-608?utm_source=vicefbus")</f>
        <v>http://www.vice.com/read/a-psychologist-explains-why-people-dont-really-give-a-shit-about-climate-change-608?utm_source=vicefbus</v>
      </c>
      <c r="Y940" s="38"/>
      <c r="Z940" s="38"/>
      <c r="AA940" s="38"/>
      <c r="AB940" s="38"/>
      <c r="AC940" s="38"/>
      <c r="AD940" s="38"/>
      <c r="AE940" s="38"/>
      <c r="AF940" s="38"/>
      <c r="AG940" s="28"/>
      <c r="AH940" s="28" t="s">
        <v>462</v>
      </c>
      <c r="AI940" s="28" t="s">
        <v>462</v>
      </c>
      <c r="AJ940" s="28"/>
      <c r="AK940" s="28" t="s">
        <v>676</v>
      </c>
      <c r="AL940" s="28" t="s">
        <v>769</v>
      </c>
      <c r="AM940" s="28" t="s">
        <v>4148</v>
      </c>
      <c r="AN940" s="54">
        <v>42313.0</v>
      </c>
      <c r="AO940" s="54"/>
      <c r="AP940" s="28"/>
      <c r="AQ940" s="28" t="s">
        <v>769</v>
      </c>
      <c r="AR940" s="28"/>
      <c r="AS940" s="54"/>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row>
    <row r="941" ht="25.5" customHeight="1">
      <c r="A941" s="28">
        <v>10076.0</v>
      </c>
      <c r="B941" s="37" t="b">
        <v>1</v>
      </c>
      <c r="C941" s="38" t="s">
        <v>238</v>
      </c>
      <c r="D941" s="38">
        <v>81.0</v>
      </c>
      <c r="E941" s="13" t="b">
        <v>0</v>
      </c>
      <c r="F941" s="13" t="b">
        <v>1</v>
      </c>
      <c r="G941" s="38" t="s">
        <v>224</v>
      </c>
      <c r="H941" s="38"/>
      <c r="I941" s="38" t="s">
        <v>574</v>
      </c>
      <c r="J941" s="38">
        <v>4.0</v>
      </c>
      <c r="K941" s="38"/>
      <c r="L941" s="38"/>
      <c r="M941" s="38" t="s">
        <v>35</v>
      </c>
      <c r="N941" s="38">
        <v>2000.0</v>
      </c>
      <c r="O941" s="38" t="s">
        <v>837</v>
      </c>
      <c r="P941" s="40">
        <v>2001.0</v>
      </c>
      <c r="Q941" s="38" t="s">
        <v>289</v>
      </c>
      <c r="R941" s="38">
        <v>40.0</v>
      </c>
      <c r="S941" s="38" t="s">
        <v>2119</v>
      </c>
      <c r="T941" s="38" t="s">
        <v>2120</v>
      </c>
      <c r="U941" s="38" t="s">
        <v>2121</v>
      </c>
      <c r="V941" s="55">
        <v>42123.0</v>
      </c>
      <c r="W941" s="38" t="s">
        <v>2122</v>
      </c>
      <c r="X941" s="49" t="str">
        <f>HYPERLINK("http://www.vox.com/2015/4/29/8512853/fossil-fuel-divestment","http://www.vox.com/2015/4/29/8512853/fossil-fuel-divestment")</f>
        <v>http://www.vox.com/2015/4/29/8512853/fossil-fuel-divestment</v>
      </c>
      <c r="Y941" s="38"/>
      <c r="Z941" s="38"/>
      <c r="AA941" s="38"/>
      <c r="AB941" s="38"/>
      <c r="AC941" s="38"/>
      <c r="AD941" s="38"/>
      <c r="AE941" s="38"/>
      <c r="AF941" s="38"/>
      <c r="AG941" s="28"/>
      <c r="AH941" s="28" t="s">
        <v>462</v>
      </c>
      <c r="AI941" s="28" t="s">
        <v>462</v>
      </c>
      <c r="AJ941" s="28"/>
      <c r="AK941" s="28"/>
      <c r="AL941" s="28" t="s">
        <v>600</v>
      </c>
      <c r="AM941" s="54" t="s">
        <v>2125</v>
      </c>
      <c r="AN941" s="54">
        <v>42416.0</v>
      </c>
      <c r="AO941" s="54"/>
      <c r="AP941" s="54"/>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row>
    <row r="942" ht="25.5" customHeight="1">
      <c r="A942" s="28">
        <v>10049.0</v>
      </c>
      <c r="B942" s="37" t="b">
        <v>1</v>
      </c>
      <c r="C942" s="38" t="s">
        <v>238</v>
      </c>
      <c r="D942" s="38">
        <v>81.0</v>
      </c>
      <c r="E942" s="13" t="b">
        <v>1</v>
      </c>
      <c r="F942" s="13" t="b">
        <v>0</v>
      </c>
      <c r="G942" s="38" t="s">
        <v>224</v>
      </c>
      <c r="H942" s="38"/>
      <c r="I942" s="38" t="s">
        <v>323</v>
      </c>
      <c r="J942" s="38">
        <v>11.0</v>
      </c>
      <c r="K942" s="38"/>
      <c r="L942" s="38"/>
      <c r="M942" s="38" t="s">
        <v>388</v>
      </c>
      <c r="N942" s="38">
        <v>14000.0</v>
      </c>
      <c r="O942" s="38" t="s">
        <v>224</v>
      </c>
      <c r="P942" s="40"/>
      <c r="Q942" s="38" t="s">
        <v>289</v>
      </c>
      <c r="R942" s="38">
        <v>40.0</v>
      </c>
      <c r="S942" s="38" t="s">
        <v>1830</v>
      </c>
      <c r="T942" s="38" t="s">
        <v>1831</v>
      </c>
      <c r="U942" s="38" t="s">
        <v>1832</v>
      </c>
      <c r="V942" s="55">
        <v>42454.0</v>
      </c>
      <c r="W942" s="38" t="s">
        <v>1834</v>
      </c>
      <c r="X942" s="49" t="str">
        <f>HYPERLINK("http://www.vox.com/2016/3/14/11219446/psychology-replication-crisis","http://www.vox.com/2016/3/14/11219446/psychology-replication-crisis")</f>
        <v>http://www.vox.com/2016/3/14/11219446/psychology-replication-crisis</v>
      </c>
      <c r="Y942" s="38"/>
      <c r="Z942" s="38"/>
      <c r="AA942" s="38"/>
      <c r="AB942" s="38"/>
      <c r="AC942" s="38"/>
      <c r="AD942" s="38"/>
      <c r="AE942" s="38"/>
      <c r="AF942" s="38"/>
      <c r="AG942" s="28"/>
      <c r="AH942" s="28" t="s">
        <v>462</v>
      </c>
      <c r="AI942" s="28" t="s">
        <v>462</v>
      </c>
      <c r="AJ942" s="28"/>
      <c r="AK942" s="28"/>
      <c r="AL942" s="28" t="s">
        <v>677</v>
      </c>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row>
    <row r="943" ht="25.5" customHeight="1">
      <c r="A943" s="28">
        <v>51.0</v>
      </c>
      <c r="B943" s="37" t="b">
        <v>1</v>
      </c>
      <c r="C943" s="38" t="s">
        <v>106</v>
      </c>
      <c r="D943" s="38">
        <v>80.0</v>
      </c>
      <c r="E943" s="13" t="b">
        <v>0</v>
      </c>
      <c r="F943" s="13" t="b">
        <v>1</v>
      </c>
      <c r="G943" s="38" t="s">
        <v>224</v>
      </c>
      <c r="H943" s="38"/>
      <c r="I943" s="38" t="s">
        <v>3169</v>
      </c>
      <c r="J943" s="38" t="s">
        <v>2695</v>
      </c>
      <c r="K943" s="38" t="s">
        <v>4202</v>
      </c>
      <c r="L943" s="38">
        <v>400.0</v>
      </c>
      <c r="M943" s="38" t="s">
        <v>35</v>
      </c>
      <c r="N943" s="38">
        <v>2000.0</v>
      </c>
      <c r="O943" s="38" t="s">
        <v>644</v>
      </c>
      <c r="P943" s="40"/>
      <c r="Q943" s="38" t="s">
        <v>111</v>
      </c>
      <c r="R943" s="38">
        <v>41.0</v>
      </c>
      <c r="S943" s="38" t="s">
        <v>4203</v>
      </c>
      <c r="T943" s="38" t="s">
        <v>4204</v>
      </c>
      <c r="U943" s="38" t="s">
        <v>4205</v>
      </c>
      <c r="V943" s="38">
        <v>2013.0</v>
      </c>
      <c r="W943" s="38" t="s">
        <v>610</v>
      </c>
      <c r="X943" s="38" t="s">
        <v>4206</v>
      </c>
      <c r="Y943" s="38"/>
      <c r="Z943" s="38"/>
      <c r="AA943" s="38"/>
      <c r="AB943" s="38"/>
      <c r="AC943" s="38"/>
      <c r="AD943" s="38"/>
      <c r="AE943" s="38"/>
      <c r="AF943" s="38"/>
      <c r="AG943" s="28"/>
      <c r="AH943" s="28" t="s">
        <v>462</v>
      </c>
      <c r="AI943" s="28" t="s">
        <v>428</v>
      </c>
      <c r="AJ943" s="28" t="s">
        <v>4207</v>
      </c>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row>
    <row r="944" ht="25.5" customHeight="1">
      <c r="A944" s="28">
        <v>10372.0</v>
      </c>
      <c r="B944" s="37" t="b">
        <v>1</v>
      </c>
      <c r="C944" s="38" t="s">
        <v>238</v>
      </c>
      <c r="D944" s="38">
        <v>81.0</v>
      </c>
      <c r="E944" s="13" t="b">
        <v>0</v>
      </c>
      <c r="F944" s="13" t="b">
        <v>1</v>
      </c>
      <c r="G944" s="38" t="s">
        <v>224</v>
      </c>
      <c r="H944" s="38"/>
      <c r="I944" s="38" t="s">
        <v>712</v>
      </c>
      <c r="J944" s="38">
        <v>7.0</v>
      </c>
      <c r="K944" s="38"/>
      <c r="L944" s="38"/>
      <c r="M944" s="38" t="s">
        <v>35</v>
      </c>
      <c r="N944" s="38">
        <v>2000.0</v>
      </c>
      <c r="O944" s="38" t="s">
        <v>644</v>
      </c>
      <c r="P944" s="40"/>
      <c r="Q944" s="38" t="s">
        <v>289</v>
      </c>
      <c r="R944" s="38">
        <v>40.0</v>
      </c>
      <c r="S944" s="61" t="s">
        <v>4859</v>
      </c>
      <c r="T944" s="38" t="s">
        <v>1374</v>
      </c>
      <c r="U944" s="38" t="s">
        <v>4860</v>
      </c>
      <c r="V944" s="55">
        <v>42502.0</v>
      </c>
      <c r="W944" s="38" t="s">
        <v>4861</v>
      </c>
      <c r="X944" s="49" t="str">
        <f>HYPERLINK("https://www.washingtonpost.com/news/energy-environment/wp/2016/05/12/the-vicious-cycle-that-makes-people-afraid-to-talk-about-climate-change/","https://www.washingtonpost.com/news/energy-environment/wp/2016/05/12/the-vicious-cycle-that-makes-people-afraid-to-talk-about-climate-change/")</f>
        <v>https://www.washingtonpost.com/news/energy-environment/wp/2016/05/12/the-vicious-cycle-that-makes-people-afraid-to-talk-about-climate-change/</v>
      </c>
      <c r="Y944" s="38"/>
      <c r="Z944" s="38"/>
      <c r="AA944" s="38"/>
      <c r="AB944" s="38"/>
      <c r="AC944" s="38"/>
      <c r="AD944" s="38"/>
      <c r="AE944" s="38"/>
      <c r="AF944" s="38"/>
      <c r="AG944" s="28"/>
      <c r="AH944" s="28"/>
      <c r="AI944" s="28"/>
      <c r="AJ944" s="28"/>
      <c r="AK944" s="28"/>
      <c r="AL944" s="28" t="s">
        <v>428</v>
      </c>
      <c r="AM944" s="28" t="s">
        <v>4864</v>
      </c>
      <c r="AN944" s="54">
        <v>42634.0</v>
      </c>
      <c r="AO944" s="54"/>
      <c r="AP944" s="28"/>
      <c r="AQ944" s="28"/>
      <c r="AR944" s="28"/>
      <c r="AS944" s="28"/>
      <c r="AT944" s="28"/>
      <c r="AU944" s="28"/>
      <c r="AV944" s="28"/>
      <c r="AW944" s="28"/>
      <c r="AX944" s="28"/>
      <c r="AY944" s="28" t="s">
        <v>428</v>
      </c>
      <c r="AZ944" s="28" t="s">
        <v>731</v>
      </c>
      <c r="BA944" s="28"/>
      <c r="BB944" s="28"/>
      <c r="BC944" s="28"/>
      <c r="BD944" s="28"/>
      <c r="BE944" s="28"/>
      <c r="BF944" s="28"/>
      <c r="BG944" s="28"/>
      <c r="BH944" s="28"/>
      <c r="BI944" s="28"/>
      <c r="BJ944" s="28"/>
      <c r="BK944" s="28"/>
      <c r="BL944" s="28"/>
      <c r="BM944" s="28"/>
      <c r="BN944" s="28"/>
      <c r="BO944" s="28"/>
    </row>
    <row r="945" ht="25.5" customHeight="1">
      <c r="A945" s="28">
        <v>10430.0</v>
      </c>
      <c r="B945" s="37" t="b">
        <v>1</v>
      </c>
      <c r="C945" s="38" t="s">
        <v>238</v>
      </c>
      <c r="D945" s="38">
        <v>81.0</v>
      </c>
      <c r="E945" s="13" t="b">
        <v>0</v>
      </c>
      <c r="F945" s="13" t="b">
        <v>1</v>
      </c>
      <c r="G945" s="38" t="s">
        <v>224</v>
      </c>
      <c r="H945" s="38"/>
      <c r="I945" s="38" t="s">
        <v>772</v>
      </c>
      <c r="J945" s="38">
        <v>5.0</v>
      </c>
      <c r="K945" s="38"/>
      <c r="L945" s="38"/>
      <c r="M945" s="38" t="s">
        <v>35</v>
      </c>
      <c r="N945" s="38">
        <v>2000.0</v>
      </c>
      <c r="O945" s="38" t="s">
        <v>578</v>
      </c>
      <c r="P945" s="40"/>
      <c r="Q945" s="38" t="s">
        <v>1590</v>
      </c>
      <c r="R945" s="38"/>
      <c r="S945" s="38" t="s">
        <v>5334</v>
      </c>
      <c r="T945" s="38" t="s">
        <v>1374</v>
      </c>
      <c r="U945" s="38" t="s">
        <v>4860</v>
      </c>
      <c r="V945" s="55">
        <v>42172.0</v>
      </c>
      <c r="W945" s="38" t="s">
        <v>5335</v>
      </c>
      <c r="X945" s="38" t="s">
        <v>5338</v>
      </c>
      <c r="Y945" s="38"/>
      <c r="Z945" s="38"/>
      <c r="AA945" s="38"/>
      <c r="AB945" s="38"/>
      <c r="AC945" s="38"/>
      <c r="AD945" s="38"/>
      <c r="AE945" s="38"/>
      <c r="AF945" s="38"/>
      <c r="AG945" s="28"/>
      <c r="AH945" s="28" t="s">
        <v>462</v>
      </c>
      <c r="AI945" s="28" t="s">
        <v>462</v>
      </c>
      <c r="AJ945" s="28"/>
      <c r="AK945" s="28" t="s">
        <v>978</v>
      </c>
      <c r="AL945" s="28" t="s">
        <v>769</v>
      </c>
      <c r="AM945" s="28" t="s">
        <v>5341</v>
      </c>
      <c r="AN945" s="54">
        <v>42172.0</v>
      </c>
      <c r="AO945" s="54"/>
      <c r="AP945" s="54">
        <v>42548.0</v>
      </c>
      <c r="AQ945" s="28" t="s">
        <v>769</v>
      </c>
      <c r="AR945" s="28"/>
      <c r="AS945" s="54">
        <v>42173.0</v>
      </c>
      <c r="AT945" s="28"/>
      <c r="AU945" s="28"/>
      <c r="AV945" s="28"/>
      <c r="AW945" s="28"/>
      <c r="AX945" s="28"/>
      <c r="AY945" s="28" t="s">
        <v>428</v>
      </c>
      <c r="AZ945" s="28"/>
      <c r="BA945" s="28"/>
      <c r="BB945" s="28"/>
      <c r="BC945" s="28"/>
      <c r="BD945" s="28"/>
      <c r="BE945" s="28"/>
      <c r="BF945" s="28"/>
      <c r="BG945" s="28"/>
      <c r="BH945" s="28"/>
      <c r="BI945" s="28"/>
      <c r="BJ945" s="28"/>
      <c r="BK945" s="28"/>
      <c r="BL945" s="28"/>
      <c r="BM945" s="28"/>
      <c r="BN945" s="28"/>
      <c r="BO945" s="28"/>
    </row>
    <row r="946" ht="25.5" customHeight="1">
      <c r="A946" s="28">
        <v>10027.0</v>
      </c>
      <c r="B946" s="37" t="b">
        <v>1</v>
      </c>
      <c r="C946" s="38" t="s">
        <v>238</v>
      </c>
      <c r="D946" s="38">
        <v>81.0</v>
      </c>
      <c r="E946" s="13" t="b">
        <v>1</v>
      </c>
      <c r="F946" s="13" t="b">
        <v>0</v>
      </c>
      <c r="G946" s="38" t="s">
        <v>323</v>
      </c>
      <c r="H946" s="38">
        <v>59.0</v>
      </c>
      <c r="I946" s="38" t="s">
        <v>224</v>
      </c>
      <c r="J946" s="38"/>
      <c r="K946" s="38" t="s">
        <v>224</v>
      </c>
      <c r="L946" s="38"/>
      <c r="M946" s="38" t="s">
        <v>388</v>
      </c>
      <c r="N946" s="38">
        <v>14000.0</v>
      </c>
      <c r="O946" s="38" t="s">
        <v>224</v>
      </c>
      <c r="P946" s="40"/>
      <c r="Q946" s="38" t="s">
        <v>111</v>
      </c>
      <c r="R946" s="38">
        <v>41.0</v>
      </c>
      <c r="S946" s="38" t="s">
        <v>1575</v>
      </c>
      <c r="T946" s="38" t="s">
        <v>1576</v>
      </c>
      <c r="U946" s="38" t="s">
        <v>1577</v>
      </c>
      <c r="V946" s="55">
        <v>42031.0</v>
      </c>
      <c r="W946" s="38" t="s">
        <v>1581</v>
      </c>
      <c r="X946" s="49" t="str">
        <f>HYPERLINK("http://www.wbs.ac.uk/news/blissful-ignorance-is-almost-our-natural-state/","http://www.wbs.ac.uk/news/blissful-ignorance-is-almost-our-natural-state/")</f>
        <v>http://www.wbs.ac.uk/news/blissful-ignorance-is-almost-our-natural-state/</v>
      </c>
      <c r="Y946" s="38"/>
      <c r="Z946" s="38"/>
      <c r="AA946" s="38"/>
      <c r="AB946" s="38"/>
      <c r="AC946" s="38"/>
      <c r="AD946" s="38"/>
      <c r="AE946" s="38"/>
      <c r="AF946" s="38"/>
      <c r="AG946" s="28"/>
      <c r="AH946" s="28" t="s">
        <v>462</v>
      </c>
      <c r="AI946" s="28" t="s">
        <v>462</v>
      </c>
      <c r="AJ946" s="28"/>
      <c r="AK946" s="28"/>
      <c r="AL946" s="28" t="s">
        <v>769</v>
      </c>
      <c r="AM946" s="28" t="s">
        <v>1589</v>
      </c>
      <c r="AN946" s="54">
        <v>42445.0</v>
      </c>
      <c r="AO946" s="54"/>
      <c r="AP946" s="54"/>
      <c r="AQ946" s="28" t="s">
        <v>769</v>
      </c>
      <c r="AR946" s="28"/>
      <c r="AS946" s="54">
        <v>42053.0</v>
      </c>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row>
    <row r="947" ht="25.5" customHeight="1">
      <c r="A947" s="28">
        <v>10354.0</v>
      </c>
      <c r="B947" s="37" t="b">
        <v>1</v>
      </c>
      <c r="C947" s="38" t="s">
        <v>238</v>
      </c>
      <c r="D947" s="38">
        <v>81.0</v>
      </c>
      <c r="E947" s="13" t="b">
        <v>0</v>
      </c>
      <c r="F947" s="13" t="b">
        <v>1</v>
      </c>
      <c r="G947" s="38" t="s">
        <v>224</v>
      </c>
      <c r="H947" s="38"/>
      <c r="I947" s="38" t="s">
        <v>280</v>
      </c>
      <c r="J947" s="38">
        <v>10.0</v>
      </c>
      <c r="K947" s="38"/>
      <c r="L947" s="38"/>
      <c r="M947" s="38" t="s">
        <v>408</v>
      </c>
      <c r="N947" s="38">
        <v>20000.0</v>
      </c>
      <c r="O947" s="38" t="s">
        <v>169</v>
      </c>
      <c r="P947" s="40"/>
      <c r="Q947" s="38" t="s">
        <v>289</v>
      </c>
      <c r="R947" s="38">
        <v>40.0</v>
      </c>
      <c r="S947" s="38" t="s">
        <v>4713</v>
      </c>
      <c r="T947" s="38" t="s">
        <v>577</v>
      </c>
      <c r="U947" s="38" t="s">
        <v>4715</v>
      </c>
      <c r="V947" s="55"/>
      <c r="W947" s="38" t="s">
        <v>4718</v>
      </c>
      <c r="X947" s="38" t="s">
        <v>4722</v>
      </c>
      <c r="Y947" s="38"/>
      <c r="Z947" s="38"/>
      <c r="AA947" s="38"/>
      <c r="AB947" s="38"/>
      <c r="AC947" s="38"/>
      <c r="AD947" s="38"/>
      <c r="AE947" s="38"/>
      <c r="AF947" s="38"/>
      <c r="AG947" s="28"/>
      <c r="AH947" s="28" t="s">
        <v>428</v>
      </c>
      <c r="AI947" s="28"/>
      <c r="AJ947" s="28"/>
      <c r="AK947" s="28"/>
      <c r="AL947" s="28"/>
      <c r="AM947" s="28"/>
      <c r="AN947" s="28"/>
      <c r="AO947" s="28"/>
      <c r="AP947" s="28"/>
      <c r="AQ947" s="28"/>
      <c r="AR947" s="28"/>
      <c r="AS947" s="28"/>
      <c r="AT947" s="28"/>
      <c r="AU947" s="28"/>
      <c r="AV947" s="28"/>
      <c r="AW947" s="28"/>
      <c r="AX947" s="28"/>
      <c r="AY947" s="28"/>
      <c r="AZ947" s="28" t="s">
        <v>998</v>
      </c>
      <c r="BA947" s="28"/>
      <c r="BB947" s="28"/>
      <c r="BC947" s="28"/>
      <c r="BD947" s="28"/>
      <c r="BE947" s="28"/>
      <c r="BF947" s="28"/>
      <c r="BG947" s="28"/>
      <c r="BH947" s="28"/>
      <c r="BI947" s="28"/>
      <c r="BJ947" s="28"/>
      <c r="BK947" s="28"/>
      <c r="BL947" s="28"/>
      <c r="BM947" s="28"/>
      <c r="BN947" s="28"/>
      <c r="BO947" s="28"/>
    </row>
    <row r="948" ht="25.5" customHeight="1">
      <c r="A948" s="28">
        <v>10186.0</v>
      </c>
      <c r="B948" s="37" t="b">
        <v>1</v>
      </c>
      <c r="C948" s="38" t="s">
        <v>238</v>
      </c>
      <c r="D948" s="38">
        <v>81.0</v>
      </c>
      <c r="E948" s="13" t="b">
        <v>0</v>
      </c>
      <c r="F948" s="13" t="b">
        <v>1</v>
      </c>
      <c r="G948" s="38" t="s">
        <v>224</v>
      </c>
      <c r="H948" s="38"/>
      <c r="I948" s="38" t="s">
        <v>3219</v>
      </c>
      <c r="J948" s="38" t="s">
        <v>3220</v>
      </c>
      <c r="K948" s="38"/>
      <c r="L948" s="38"/>
      <c r="M948" s="38" t="s">
        <v>388</v>
      </c>
      <c r="N948" s="38">
        <v>14000.0</v>
      </c>
      <c r="O948" s="38" t="s">
        <v>224</v>
      </c>
      <c r="P948" s="40"/>
      <c r="Q948" s="38" t="s">
        <v>289</v>
      </c>
      <c r="R948" s="38">
        <v>40.0</v>
      </c>
      <c r="S948" s="38" t="s">
        <v>3221</v>
      </c>
      <c r="T948" s="38" t="s">
        <v>577</v>
      </c>
      <c r="U948" s="38" t="s">
        <v>3222</v>
      </c>
      <c r="V948" s="55">
        <v>42183.0</v>
      </c>
      <c r="W948" s="38" t="s">
        <v>3223</v>
      </c>
      <c r="X948" s="49" t="str">
        <f>HYPERLINK("http://knowledge.wharton.upenn.edu/article/the-key-to-making-smarter-long-term-decisions/","http://knowledge.wharton.upenn.edu/article/the-key-to-making-smarter-long-term-decisions/")</f>
        <v>http://knowledge.wharton.upenn.edu/article/the-key-to-making-smarter-long-term-decisions/</v>
      </c>
      <c r="Y948" s="38"/>
      <c r="Z948" s="38"/>
      <c r="AA948" s="38"/>
      <c r="AB948" s="38"/>
      <c r="AC948" s="38"/>
      <c r="AD948" s="38"/>
      <c r="AE948" s="38"/>
      <c r="AF948" s="38"/>
      <c r="AG948" s="28"/>
      <c r="AH948" s="28" t="s">
        <v>462</v>
      </c>
      <c r="AI948" s="28" t="s">
        <v>462</v>
      </c>
      <c r="AJ948" s="28"/>
      <c r="AK948" s="28"/>
      <c r="AL948" s="28" t="s">
        <v>769</v>
      </c>
      <c r="AM948" s="28" t="s">
        <v>3225</v>
      </c>
      <c r="AN948" s="54">
        <v>42213.0</v>
      </c>
      <c r="AO948" s="54"/>
      <c r="AP948" s="54">
        <v>42562.0</v>
      </c>
      <c r="AQ948" s="28" t="s">
        <v>769</v>
      </c>
      <c r="AR948" s="28"/>
      <c r="AS948" s="54">
        <v>42232.0</v>
      </c>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row>
    <row r="949" ht="25.5" customHeight="1">
      <c r="A949" s="28">
        <v>10057.0</v>
      </c>
      <c r="B949" s="37" t="b">
        <v>1</v>
      </c>
      <c r="C949" s="38" t="s">
        <v>238</v>
      </c>
      <c r="D949" s="38">
        <v>81.0</v>
      </c>
      <c r="E949" s="13" t="b">
        <v>1</v>
      </c>
      <c r="F949" s="13" t="b">
        <v>0</v>
      </c>
      <c r="G949" s="38" t="s">
        <v>224</v>
      </c>
      <c r="H949" s="38"/>
      <c r="I949" s="38" t="s">
        <v>490</v>
      </c>
      <c r="J949" s="38">
        <v>6.0</v>
      </c>
      <c r="K949" s="38"/>
      <c r="L949" s="38"/>
      <c r="M949" s="38" t="s">
        <v>35</v>
      </c>
      <c r="N949" s="38">
        <v>2000.0</v>
      </c>
      <c r="O949" s="38" t="s">
        <v>837</v>
      </c>
      <c r="P949" s="40">
        <v>2001.0</v>
      </c>
      <c r="Q949" s="38" t="s">
        <v>289</v>
      </c>
      <c r="R949" s="38">
        <v>40.0</v>
      </c>
      <c r="S949" s="38" t="s">
        <v>1922</v>
      </c>
      <c r="T949" s="38" t="s">
        <v>1924</v>
      </c>
      <c r="U949" s="38" t="s">
        <v>1925</v>
      </c>
      <c r="V949" s="55">
        <v>40530.0</v>
      </c>
      <c r="W949" s="38" t="s">
        <v>1927</v>
      </c>
      <c r="X949" s="49" t="str">
        <f>HYPERLINK("http://www.whydev.org/cognitive-dissonance-and-social-change-what-can-we-learn/","http://www.whydev.org/cognitive-dissonance-and-social-change-what-can-we-learn/")</f>
        <v>http://www.whydev.org/cognitive-dissonance-and-social-change-what-can-we-learn/</v>
      </c>
      <c r="Y949" s="38"/>
      <c r="Z949" s="38"/>
      <c r="AA949" s="38"/>
      <c r="AB949" s="38"/>
      <c r="AC949" s="38"/>
      <c r="AD949" s="38"/>
      <c r="AE949" s="38"/>
      <c r="AF949" s="38"/>
      <c r="AG949" s="28"/>
      <c r="AH949" s="28" t="s">
        <v>428</v>
      </c>
      <c r="AI949" s="28" t="s">
        <v>462</v>
      </c>
      <c r="AJ949" s="28"/>
      <c r="AK949" s="28"/>
      <c r="AL949" s="28" t="s">
        <v>769</v>
      </c>
      <c r="AM949" s="28" t="s">
        <v>1929</v>
      </c>
      <c r="AN949" s="54">
        <v>42334.0</v>
      </c>
      <c r="AO949" s="54"/>
      <c r="AP949" s="54">
        <v>42549.0</v>
      </c>
      <c r="AQ949" s="28"/>
      <c r="AR949" s="28"/>
      <c r="AS949" s="54"/>
      <c r="AT949" s="28"/>
      <c r="AU949" s="54"/>
      <c r="AV949" s="28"/>
      <c r="AW949" s="28"/>
      <c r="AX949" s="28"/>
      <c r="AY949" s="28"/>
      <c r="AZ949" s="28"/>
      <c r="BA949" s="28"/>
      <c r="BB949" s="28"/>
      <c r="BC949" s="28"/>
      <c r="BD949" s="28"/>
      <c r="BE949" s="28"/>
      <c r="BF949" s="28"/>
      <c r="BG949" s="28"/>
      <c r="BH949" s="28"/>
      <c r="BI949" s="28"/>
      <c r="BJ949" s="28"/>
      <c r="BK949" s="28"/>
      <c r="BL949" s="28"/>
      <c r="BM949" s="28"/>
      <c r="BN949" s="28"/>
      <c r="BO949" s="28"/>
    </row>
    <row r="950" ht="25.5" customHeight="1">
      <c r="A950" s="28">
        <v>513.0</v>
      </c>
      <c r="B950" s="37" t="b">
        <v>1</v>
      </c>
      <c r="C950" s="38" t="s">
        <v>106</v>
      </c>
      <c r="D950" s="38">
        <v>80.0</v>
      </c>
      <c r="E950" s="13" t="b">
        <v>0</v>
      </c>
      <c r="F950" s="13" t="b">
        <v>1</v>
      </c>
      <c r="G950" s="38" t="s">
        <v>224</v>
      </c>
      <c r="H950" s="38"/>
      <c r="I950" s="38" t="s">
        <v>7047</v>
      </c>
      <c r="J950" s="38" t="s">
        <v>7048</v>
      </c>
      <c r="K950" s="65" t="s">
        <v>7049</v>
      </c>
      <c r="L950" s="38">
        <v>804.0</v>
      </c>
      <c r="M950" s="38" t="s">
        <v>35</v>
      </c>
      <c r="N950" s="38">
        <v>2000.0</v>
      </c>
      <c r="O950" s="38" t="s">
        <v>837</v>
      </c>
      <c r="P950" s="40">
        <v>2001.0</v>
      </c>
      <c r="Q950" s="38" t="s">
        <v>95</v>
      </c>
      <c r="R950" s="38">
        <v>41.0</v>
      </c>
      <c r="S950" s="38" t="s">
        <v>7050</v>
      </c>
      <c r="T950" s="38" t="s">
        <v>7051</v>
      </c>
      <c r="U950" s="38" t="s">
        <v>7052</v>
      </c>
      <c r="V950" s="38">
        <v>2015.0</v>
      </c>
      <c r="W950" s="38" t="s">
        <v>7057</v>
      </c>
      <c r="X950" s="38"/>
      <c r="Y950" s="38"/>
      <c r="Z950" s="38"/>
      <c r="AA950" s="38"/>
      <c r="AB950" s="38"/>
      <c r="AC950" s="38"/>
      <c r="AD950" s="38"/>
      <c r="AE950" s="38"/>
      <c r="AF950" s="38"/>
      <c r="AG950" s="28"/>
      <c r="AH950" s="28"/>
      <c r="AI950" s="28"/>
      <c r="AJ950" s="28" t="s">
        <v>1594</v>
      </c>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row>
    <row r="951" ht="25.5" customHeight="1">
      <c r="A951" s="28">
        <v>437.0</v>
      </c>
      <c r="B951" s="37" t="b">
        <v>1</v>
      </c>
      <c r="C951" s="38" t="s">
        <v>106</v>
      </c>
      <c r="D951" s="38">
        <v>80.0</v>
      </c>
      <c r="E951" s="13" t="b">
        <v>0</v>
      </c>
      <c r="F951" s="13" t="b">
        <v>1</v>
      </c>
      <c r="G951" s="38" t="s">
        <v>224</v>
      </c>
      <c r="H951" s="38"/>
      <c r="I951" s="38" t="s">
        <v>387</v>
      </c>
      <c r="J951" s="38">
        <v>8.0</v>
      </c>
      <c r="K951" s="38" t="s">
        <v>6429</v>
      </c>
      <c r="L951" s="38" t="s">
        <v>8494</v>
      </c>
      <c r="M951" s="38" t="s">
        <v>35</v>
      </c>
      <c r="N951" s="38">
        <v>2000.0</v>
      </c>
      <c r="O951" s="38" t="s">
        <v>2373</v>
      </c>
      <c r="P951" s="40">
        <v>2001.0</v>
      </c>
      <c r="Q951" s="38" t="s">
        <v>289</v>
      </c>
      <c r="R951" s="38">
        <v>40.0</v>
      </c>
      <c r="S951" s="38" t="s">
        <v>6430</v>
      </c>
      <c r="T951" s="38" t="s">
        <v>6431</v>
      </c>
      <c r="U951" s="38" t="s">
        <v>6432</v>
      </c>
      <c r="V951" s="38">
        <v>2010.0</v>
      </c>
      <c r="W951" s="38" t="s">
        <v>6436</v>
      </c>
      <c r="X951" s="38" t="s">
        <v>6437</v>
      </c>
      <c r="Y951" s="38"/>
      <c r="Z951" s="38"/>
      <c r="AA951" s="38"/>
      <c r="AB951" s="38"/>
      <c r="AC951" s="38"/>
      <c r="AD951" s="38"/>
      <c r="AE951" s="38"/>
      <c r="AF951" s="3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row>
    <row r="952" ht="25.5" customHeight="1">
      <c r="A952" s="28">
        <v>409.0</v>
      </c>
      <c r="B952" s="37" t="b">
        <v>1</v>
      </c>
      <c r="C952" s="38" t="s">
        <v>106</v>
      </c>
      <c r="D952" s="38">
        <v>80.0</v>
      </c>
      <c r="E952" s="13" t="b">
        <v>0</v>
      </c>
      <c r="F952" s="13" t="b">
        <v>1</v>
      </c>
      <c r="G952" s="38" t="s">
        <v>224</v>
      </c>
      <c r="H952" s="38"/>
      <c r="I952" s="38" t="s">
        <v>712</v>
      </c>
      <c r="J952" s="38">
        <v>7.0</v>
      </c>
      <c r="K952" s="38" t="s">
        <v>6279</v>
      </c>
      <c r="L952" s="38" t="s">
        <v>6280</v>
      </c>
      <c r="M952" s="38" t="s">
        <v>239</v>
      </c>
      <c r="N952" s="38">
        <v>4000.0</v>
      </c>
      <c r="O952" s="38" t="s">
        <v>605</v>
      </c>
      <c r="P952" s="40"/>
      <c r="Q952" s="38" t="s">
        <v>289</v>
      </c>
      <c r="R952" s="38">
        <v>40.0</v>
      </c>
      <c r="S952" s="38" t="s">
        <v>6293</v>
      </c>
      <c r="T952" s="38" t="s">
        <v>6294</v>
      </c>
      <c r="U952" s="38" t="s">
        <v>6295</v>
      </c>
      <c r="V952" s="38">
        <v>2004.0</v>
      </c>
      <c r="W952" s="38" t="s">
        <v>6297</v>
      </c>
      <c r="X952" s="38" t="s">
        <v>6298</v>
      </c>
      <c r="Y952" s="38"/>
      <c r="Z952" s="38"/>
      <c r="AA952" s="38"/>
      <c r="AB952" s="38"/>
      <c r="AC952" s="38"/>
      <c r="AD952" s="38"/>
      <c r="AE952" s="38"/>
      <c r="AF952" s="38"/>
      <c r="AG952" s="28"/>
      <c r="AH952" s="28" t="s">
        <v>2354</v>
      </c>
      <c r="AI952" s="28" t="s">
        <v>6299</v>
      </c>
      <c r="AJ952" s="28"/>
      <c r="AK952" s="28"/>
      <c r="AL952" s="28"/>
      <c r="AM952" s="28"/>
      <c r="AN952" s="54"/>
      <c r="AO952" s="28"/>
      <c r="AP952" s="28"/>
      <c r="AQ952" s="28"/>
      <c r="AR952" s="28"/>
      <c r="AS952" s="28"/>
      <c r="AT952" s="28"/>
      <c r="AU952" s="28"/>
      <c r="AV952" s="28"/>
      <c r="AW952" s="28"/>
      <c r="AX952" s="28"/>
      <c r="AY952" s="28"/>
      <c r="AZ952" s="28"/>
      <c r="BA952" s="28" t="s">
        <v>1023</v>
      </c>
      <c r="BB952" s="28"/>
      <c r="BC952" s="28"/>
      <c r="BD952" s="28"/>
      <c r="BE952" s="28"/>
      <c r="BF952" s="28"/>
      <c r="BG952" s="28"/>
      <c r="BH952" s="28"/>
      <c r="BI952" s="28"/>
      <c r="BJ952" s="28"/>
      <c r="BK952" s="28"/>
      <c r="BL952" s="28"/>
      <c r="BM952" s="28"/>
      <c r="BN952" s="28"/>
      <c r="BO952" s="28"/>
    </row>
    <row r="953" ht="25.5" customHeight="1">
      <c r="A953" s="28">
        <v>10109.0</v>
      </c>
      <c r="B953" s="37" t="b">
        <v>1</v>
      </c>
      <c r="C953" s="38" t="s">
        <v>238</v>
      </c>
      <c r="D953" s="38">
        <v>81.0</v>
      </c>
      <c r="E953" s="13" t="b">
        <v>0</v>
      </c>
      <c r="F953" s="13" t="b">
        <v>1</v>
      </c>
      <c r="G953" s="38" t="s">
        <v>224</v>
      </c>
      <c r="H953" s="38"/>
      <c r="I953" s="38" t="s">
        <v>2577</v>
      </c>
      <c r="J953" s="38" t="s">
        <v>2578</v>
      </c>
      <c r="K953" s="38"/>
      <c r="L953" s="38"/>
      <c r="M953" s="38" t="s">
        <v>35</v>
      </c>
      <c r="N953" s="38">
        <v>2000.0</v>
      </c>
      <c r="O953" s="38" t="s">
        <v>1114</v>
      </c>
      <c r="P953" s="40"/>
      <c r="Q953" s="38" t="s">
        <v>289</v>
      </c>
      <c r="R953" s="38">
        <v>40.0</v>
      </c>
      <c r="S953" s="38" t="s">
        <v>2579</v>
      </c>
      <c r="T953" s="38" t="s">
        <v>2580</v>
      </c>
      <c r="U953" s="38" t="s">
        <v>2245</v>
      </c>
      <c r="V953" s="55">
        <v>41799.0</v>
      </c>
      <c r="W953" s="38" t="s">
        <v>2581</v>
      </c>
      <c r="X953" s="49" t="str">
        <f>HYPERLINK("http://www.wired.com/2014/06/energy-and-human-behavior/","http://www.wired.com/2014/06/energy-and-human-behavior/")</f>
        <v>http://www.wired.com/2014/06/energy-and-human-behavior/</v>
      </c>
      <c r="Y953" s="38"/>
      <c r="Z953" s="38"/>
      <c r="AA953" s="38"/>
      <c r="AB953" s="38"/>
      <c r="AC953" s="38"/>
      <c r="AD953" s="38"/>
      <c r="AE953" s="38"/>
      <c r="AF953" s="38"/>
      <c r="AG953" s="28"/>
      <c r="AH953" s="28" t="s">
        <v>462</v>
      </c>
      <c r="AI953" s="28" t="s">
        <v>462</v>
      </c>
      <c r="AJ953" s="28"/>
      <c r="AK953" s="28" t="s">
        <v>676</v>
      </c>
      <c r="AL953" s="28" t="s">
        <v>769</v>
      </c>
      <c r="AM953" s="28"/>
      <c r="AN953" s="54"/>
      <c r="AO953" s="54"/>
      <c r="AP953" s="28"/>
      <c r="AQ953" s="28" t="s">
        <v>769</v>
      </c>
      <c r="AR953" s="28"/>
      <c r="AS953" s="54">
        <v>42032.0</v>
      </c>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row>
    <row r="954" ht="25.5" customHeight="1">
      <c r="A954" s="28">
        <v>10286.0</v>
      </c>
      <c r="B954" s="37" t="b">
        <v>1</v>
      </c>
      <c r="C954" s="38" t="s">
        <v>238</v>
      </c>
      <c r="D954" s="38">
        <v>81.0</v>
      </c>
      <c r="E954" s="13" t="b">
        <v>0</v>
      </c>
      <c r="F954" s="13" t="b">
        <v>1</v>
      </c>
      <c r="G954" s="38" t="s">
        <v>224</v>
      </c>
      <c r="H954" s="38"/>
      <c r="I954" s="38" t="s">
        <v>323</v>
      </c>
      <c r="J954" s="38">
        <v>11.0</v>
      </c>
      <c r="K954" s="38"/>
      <c r="L954" s="38"/>
      <c r="M954" s="38" t="s">
        <v>388</v>
      </c>
      <c r="N954" s="38">
        <v>14000.0</v>
      </c>
      <c r="O954" s="38" t="s">
        <v>224</v>
      </c>
      <c r="P954" s="40"/>
      <c r="Q954" s="38" t="s">
        <v>289</v>
      </c>
      <c r="R954" s="38">
        <v>40.0</v>
      </c>
      <c r="S954" s="38" t="s">
        <v>4106</v>
      </c>
      <c r="T954" s="38" t="s">
        <v>4107</v>
      </c>
      <c r="U954" s="38" t="s">
        <v>2245</v>
      </c>
      <c r="V954" s="55"/>
      <c r="W954" s="38" t="s">
        <v>4108</v>
      </c>
      <c r="X954" s="49" t="str">
        <f>HYPERLINK("http://www.wired.com/insights/2013/12/human-centered-design-matters/","http://www.wired.com/insights/2013/12/human-centered-design-matters/")</f>
        <v>http://www.wired.com/insights/2013/12/human-centered-design-matters/</v>
      </c>
      <c r="Y954" s="38"/>
      <c r="Z954" s="38"/>
      <c r="AA954" s="38"/>
      <c r="AB954" s="38"/>
      <c r="AC954" s="38"/>
      <c r="AD954" s="38"/>
      <c r="AE954" s="38"/>
      <c r="AF954" s="38"/>
      <c r="AG954" s="28"/>
      <c r="AH954" s="28" t="s">
        <v>462</v>
      </c>
      <c r="AI954" s="28" t="s">
        <v>462</v>
      </c>
      <c r="AJ954" s="28"/>
      <c r="AK954" s="28" t="s">
        <v>676</v>
      </c>
      <c r="AL954" s="28" t="s">
        <v>769</v>
      </c>
      <c r="AM954" s="28" t="s">
        <v>4113</v>
      </c>
      <c r="AN954" s="54">
        <v>42310.0</v>
      </c>
      <c r="AO954" s="54"/>
      <c r="AP954" s="54">
        <v>42556.0</v>
      </c>
      <c r="AQ954" s="28"/>
      <c r="AR954" s="28"/>
      <c r="AS954" s="54"/>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row>
    <row r="955" ht="25.5" customHeight="1">
      <c r="A955" s="28">
        <v>10454.0</v>
      </c>
      <c r="B955" s="37" t="b">
        <v>1</v>
      </c>
      <c r="C955" s="38" t="s">
        <v>238</v>
      </c>
      <c r="D955" s="38">
        <v>81.0</v>
      </c>
      <c r="E955" s="13" t="b">
        <v>0</v>
      </c>
      <c r="F955" s="13" t="b">
        <v>1</v>
      </c>
      <c r="G955" s="38" t="s">
        <v>224</v>
      </c>
      <c r="H955" s="38"/>
      <c r="I955" s="38" t="s">
        <v>779</v>
      </c>
      <c r="J955" s="38">
        <v>5.0</v>
      </c>
      <c r="K955" s="38"/>
      <c r="L955" s="38"/>
      <c r="M955" s="38" t="s">
        <v>388</v>
      </c>
      <c r="N955" s="38">
        <v>14000.0</v>
      </c>
      <c r="O955" s="38" t="s">
        <v>224</v>
      </c>
      <c r="P955" s="40"/>
      <c r="Q955" s="38" t="s">
        <v>289</v>
      </c>
      <c r="R955" s="38">
        <v>40.0</v>
      </c>
      <c r="S955" s="38" t="s">
        <v>5514</v>
      </c>
      <c r="T955" s="38" t="s">
        <v>5515</v>
      </c>
      <c r="U955" s="38" t="s">
        <v>2245</v>
      </c>
      <c r="V955" s="55">
        <v>41708.0</v>
      </c>
      <c r="W955" s="38" t="s">
        <v>5517</v>
      </c>
      <c r="X955" s="49" t="str">
        <f>HYPERLINK("http://www.wired.com/2014/03/neuroscience-decision-making-explained-30-seconds/","http://www.wired.com/2014/03/neuroscience-decision-making-explained-30-seconds/")</f>
        <v>http://www.wired.com/2014/03/neuroscience-decision-making-explained-30-seconds/</v>
      </c>
      <c r="Y955" s="38"/>
      <c r="Z955" s="38"/>
      <c r="AA955" s="38"/>
      <c r="AB955" s="38"/>
      <c r="AC955" s="38"/>
      <c r="AD955" s="38"/>
      <c r="AE955" s="38"/>
      <c r="AF955" s="38"/>
      <c r="AG955" s="28" t="s">
        <v>5518</v>
      </c>
      <c r="AH955" s="28" t="s">
        <v>462</v>
      </c>
      <c r="AI955" s="28" t="s">
        <v>462</v>
      </c>
      <c r="AJ955" s="28"/>
      <c r="AK955" s="28" t="s">
        <v>1474</v>
      </c>
      <c r="AL955" s="28" t="s">
        <v>769</v>
      </c>
      <c r="AM955" s="28" t="s">
        <v>5519</v>
      </c>
      <c r="AN955" s="54">
        <v>42236.0</v>
      </c>
      <c r="AO955" s="54"/>
      <c r="AP955" s="28"/>
      <c r="AQ955" s="28" t="s">
        <v>769</v>
      </c>
      <c r="AR955" s="28"/>
      <c r="AS955" s="54"/>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row>
    <row r="956" ht="25.5" customHeight="1">
      <c r="A956" s="28">
        <v>10410.0</v>
      </c>
      <c r="B956" s="37" t="b">
        <v>1</v>
      </c>
      <c r="C956" s="38" t="s">
        <v>238</v>
      </c>
      <c r="D956" s="38">
        <v>81.0</v>
      </c>
      <c r="E956" s="13" t="b">
        <v>0</v>
      </c>
      <c r="F956" s="13" t="b">
        <v>1</v>
      </c>
      <c r="G956" s="38" t="s">
        <v>224</v>
      </c>
      <c r="H956" s="38"/>
      <c r="I956" s="38" t="s">
        <v>387</v>
      </c>
      <c r="J956" s="38">
        <v>8.0</v>
      </c>
      <c r="K956" s="38"/>
      <c r="L956" s="38"/>
      <c r="M956" s="38" t="s">
        <v>35</v>
      </c>
      <c r="N956" s="38">
        <v>2000.0</v>
      </c>
      <c r="O956" s="38" t="s">
        <v>1114</v>
      </c>
      <c r="P956" s="40"/>
      <c r="Q956" s="38" t="s">
        <v>289</v>
      </c>
      <c r="R956" s="38">
        <v>40.0</v>
      </c>
      <c r="S956" s="61" t="s">
        <v>5174</v>
      </c>
      <c r="T956" s="38" t="s">
        <v>5175</v>
      </c>
      <c r="U956" s="38" t="s">
        <v>5176</v>
      </c>
      <c r="V956" s="55">
        <v>42221.0</v>
      </c>
      <c r="W956" s="38" t="s">
        <v>5177</v>
      </c>
      <c r="X956" s="49" t="str">
        <f>HYPERLINK("http://www.wired.com/2015/08/obamas-getting-americans-care-climate-change/","http://www.wired.com/2015/08/obamas-getting-americans-care-climate-change/")</f>
        <v>http://www.wired.com/2015/08/obamas-getting-americans-care-climate-change/</v>
      </c>
      <c r="Y956" s="38"/>
      <c r="Z956" s="38"/>
      <c r="AA956" s="38"/>
      <c r="AB956" s="38"/>
      <c r="AC956" s="38"/>
      <c r="AD956" s="38"/>
      <c r="AE956" s="38"/>
      <c r="AF956" s="38"/>
      <c r="AG956" s="28"/>
      <c r="AH956" s="28"/>
      <c r="AI956" s="28"/>
      <c r="AJ956" s="28"/>
      <c r="AK956" s="28"/>
      <c r="AL956" s="28" t="s">
        <v>428</v>
      </c>
      <c r="AM956" s="95" t="str">
        <f>HYPERLINK("https://hootsuite.com/dashboard","President Obama got Americans to care about #climatechange by connecting it to jobs, local impacts, and health!")</f>
        <v>President Obama got Americans to care about #climatechange by connecting it to jobs, local impacts, and health!</v>
      </c>
      <c r="AN956" s="54">
        <v>42650.0</v>
      </c>
      <c r="AO956" s="54"/>
      <c r="AP956" s="28"/>
      <c r="AQ956" s="28"/>
      <c r="AR956" s="28"/>
      <c r="AS956" s="28"/>
      <c r="AT956" s="28"/>
      <c r="AU956" s="28"/>
      <c r="AV956" s="28"/>
      <c r="AW956" s="28"/>
      <c r="AX956" s="28"/>
      <c r="AY956" s="28" t="s">
        <v>428</v>
      </c>
      <c r="AZ956" s="28"/>
      <c r="BA956" s="28"/>
      <c r="BB956" s="28"/>
      <c r="BC956" s="28"/>
      <c r="BD956" s="28"/>
      <c r="BE956" s="28"/>
      <c r="BF956" s="28"/>
      <c r="BG956" s="28"/>
      <c r="BH956" s="28"/>
      <c r="BI956" s="28"/>
      <c r="BJ956" s="28"/>
      <c r="BK956" s="28"/>
      <c r="BL956" s="28"/>
      <c r="BM956" s="28"/>
      <c r="BN956" s="28"/>
      <c r="BO956" s="28"/>
    </row>
    <row r="957" ht="25.5" customHeight="1">
      <c r="A957" s="28">
        <v>225.0</v>
      </c>
      <c r="B957" s="37" t="b">
        <v>1</v>
      </c>
      <c r="C957" s="38" t="s">
        <v>106</v>
      </c>
      <c r="D957" s="38">
        <v>80.0</v>
      </c>
      <c r="E957" s="13" t="b">
        <v>0</v>
      </c>
      <c r="F957" s="13" t="b">
        <v>1</v>
      </c>
      <c r="G957" s="38" t="s">
        <v>224</v>
      </c>
      <c r="H957" s="38"/>
      <c r="I957" s="38" t="s">
        <v>376</v>
      </c>
      <c r="J957" s="38">
        <v>2.0</v>
      </c>
      <c r="K957" s="38" t="s">
        <v>378</v>
      </c>
      <c r="L957" s="38">
        <v>200.0</v>
      </c>
      <c r="M957" s="38" t="s">
        <v>411</v>
      </c>
      <c r="N957" s="38">
        <v>21000.0</v>
      </c>
      <c r="O957" s="38" t="s">
        <v>1052</v>
      </c>
      <c r="P957" s="40"/>
      <c r="Q957" s="38" t="s">
        <v>289</v>
      </c>
      <c r="R957" s="38">
        <v>40.0</v>
      </c>
      <c r="S957" s="38" t="s">
        <v>5611</v>
      </c>
      <c r="T957" s="38" t="s">
        <v>5612</v>
      </c>
      <c r="U957" s="38" t="s">
        <v>5613</v>
      </c>
      <c r="V957" s="38">
        <v>2015.0</v>
      </c>
      <c r="W957" s="38" t="s">
        <v>5614</v>
      </c>
      <c r="X957" s="38" t="s">
        <v>5615</v>
      </c>
      <c r="Y957" s="38"/>
      <c r="Z957" s="38"/>
      <c r="AA957" s="38"/>
      <c r="AB957" s="38"/>
      <c r="AC957" s="38"/>
      <c r="AD957" s="38"/>
      <c r="AE957" s="38"/>
      <c r="AF957" s="38"/>
      <c r="AG957" s="28" t="s">
        <v>5616</v>
      </c>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row>
    <row r="958" ht="25.5" customHeight="1">
      <c r="A958" s="28">
        <v>10175.0</v>
      </c>
      <c r="B958" s="37" t="b">
        <v>1</v>
      </c>
      <c r="C958" s="38" t="s">
        <v>238</v>
      </c>
      <c r="D958" s="38">
        <v>81.0</v>
      </c>
      <c r="E958" s="13" t="b">
        <v>0</v>
      </c>
      <c r="F958" s="13" t="b">
        <v>1</v>
      </c>
      <c r="G958" s="38" t="s">
        <v>224</v>
      </c>
      <c r="H958" s="38"/>
      <c r="I958" s="38" t="s">
        <v>887</v>
      </c>
      <c r="J958" s="38">
        <v>9.0</v>
      </c>
      <c r="K958" s="38"/>
      <c r="L958" s="38"/>
      <c r="M958" s="38" t="s">
        <v>35</v>
      </c>
      <c r="N958" s="38">
        <v>2000.0</v>
      </c>
      <c r="O958" s="38" t="s">
        <v>578</v>
      </c>
      <c r="P958" s="40"/>
      <c r="Q958" s="38" t="s">
        <v>289</v>
      </c>
      <c r="R958" s="38">
        <v>40.0</v>
      </c>
      <c r="S958" s="38" t="s">
        <v>3137</v>
      </c>
      <c r="T958" s="49" t="str">
        <f>HYPERLINK("http://lisabennett.org/author/lisapbennett/","Lisa Bennett")</f>
        <v>Lisa Bennett</v>
      </c>
      <c r="U958" s="38" t="s">
        <v>3138</v>
      </c>
      <c r="V958" s="55">
        <v>42079.0</v>
      </c>
      <c r="W958" s="38" t="s">
        <v>3139</v>
      </c>
      <c r="X958" s="49" t="str">
        <f>HYPERLINK("http://lisabennett.org/2015/03/16/3-insights-into-writing-about-social-issues/","http://lisabennett.org/2015/03/16/3-insights-into-writing-about-social-issues/")</f>
        <v>http://lisabennett.org/2015/03/16/3-insights-into-writing-about-social-issues/</v>
      </c>
      <c r="Y958" s="38"/>
      <c r="Z958" s="38"/>
      <c r="AA958" s="38"/>
      <c r="AB958" s="38"/>
      <c r="AC958" s="38"/>
      <c r="AD958" s="38"/>
      <c r="AE958" s="38"/>
      <c r="AF958" s="38"/>
      <c r="AG958" s="28" t="s">
        <v>3143</v>
      </c>
      <c r="AH958" s="28" t="s">
        <v>462</v>
      </c>
      <c r="AI958" s="28" t="s">
        <v>462</v>
      </c>
      <c r="AJ958" s="28"/>
      <c r="AK958" s="28"/>
      <c r="AL958" s="28" t="s">
        <v>769</v>
      </c>
      <c r="AM958" s="28" t="s">
        <v>3144</v>
      </c>
      <c r="AN958" s="54">
        <v>42178.0</v>
      </c>
      <c r="AO958" s="54"/>
      <c r="AP958" s="54">
        <v>42499.0</v>
      </c>
      <c r="AQ958" s="28" t="s">
        <v>769</v>
      </c>
      <c r="AR958" s="28"/>
      <c r="AS958" s="54">
        <v>42522.0</v>
      </c>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row>
    <row r="959" ht="25.5" customHeight="1">
      <c r="A959" s="28">
        <v>10457.0</v>
      </c>
      <c r="B959" s="37" t="b">
        <v>1</v>
      </c>
      <c r="C959" s="38" t="s">
        <v>238</v>
      </c>
      <c r="D959" s="38">
        <v>81.0</v>
      </c>
      <c r="E959" s="13" t="b">
        <v>0</v>
      </c>
      <c r="F959" s="13" t="b">
        <v>1</v>
      </c>
      <c r="G959" s="38" t="s">
        <v>224</v>
      </c>
      <c r="H959" s="38"/>
      <c r="I959" s="38" t="s">
        <v>429</v>
      </c>
      <c r="J959" s="38">
        <v>2.0</v>
      </c>
      <c r="K959" s="38"/>
      <c r="L959" s="38"/>
      <c r="M959" s="38" t="s">
        <v>35</v>
      </c>
      <c r="N959" s="38">
        <v>2000.0</v>
      </c>
      <c r="O959" s="38" t="s">
        <v>578</v>
      </c>
      <c r="P959" s="40"/>
      <c r="Q959" s="38" t="s">
        <v>324</v>
      </c>
      <c r="R959" s="38" t="s">
        <v>325</v>
      </c>
      <c r="S959" s="38" t="s">
        <v>5529</v>
      </c>
      <c r="T959" s="38" t="s">
        <v>5472</v>
      </c>
      <c r="U959" s="38" t="s">
        <v>5532</v>
      </c>
      <c r="V959" s="55">
        <v>40213.0</v>
      </c>
      <c r="W959" s="38" t="s">
        <v>5534</v>
      </c>
      <c r="X959" s="49" t="str">
        <f>HYPERLINK("https://nudges.wordpress.com/tag/environment/","https://nudges.wordpress.com/tag/environment/")</f>
        <v>https://nudges.wordpress.com/tag/environment/</v>
      </c>
      <c r="Y959" s="38"/>
      <c r="Z959" s="38"/>
      <c r="AA959" s="38"/>
      <c r="AB959" s="38"/>
      <c r="AC959" s="38"/>
      <c r="AD959" s="38"/>
      <c r="AE959" s="38"/>
      <c r="AF959" s="38"/>
      <c r="AG959" s="28"/>
      <c r="AH959" s="28" t="s">
        <v>428</v>
      </c>
      <c r="AI959" s="28" t="s">
        <v>462</v>
      </c>
      <c r="AJ959" s="28"/>
      <c r="AK959" s="28"/>
      <c r="AL959" s="28" t="s">
        <v>600</v>
      </c>
      <c r="AM959" s="28"/>
      <c r="AN959" s="54"/>
      <c r="AO959" s="54"/>
      <c r="AP959" s="28"/>
      <c r="AQ959" s="28"/>
      <c r="AR959" s="28"/>
      <c r="AS959" s="54"/>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row>
    <row r="960" ht="25.5" customHeight="1">
      <c r="A960" s="32">
        <v>20077.0</v>
      </c>
      <c r="B960" s="37" t="b">
        <v>1</v>
      </c>
      <c r="C960" s="62" t="s">
        <v>274</v>
      </c>
      <c r="D960" s="62">
        <v>82.0</v>
      </c>
      <c r="E960" s="13" t="b">
        <v>0</v>
      </c>
      <c r="F960" s="13" t="b">
        <v>1</v>
      </c>
      <c r="G960" s="62" t="s">
        <v>224</v>
      </c>
      <c r="H960" s="62"/>
      <c r="I960" s="62" t="s">
        <v>779</v>
      </c>
      <c r="J960" s="67">
        <v>5.0</v>
      </c>
      <c r="K960" s="62" t="s">
        <v>773</v>
      </c>
      <c r="L960" s="62">
        <v>500.0</v>
      </c>
      <c r="M960" s="62" t="s">
        <v>388</v>
      </c>
      <c r="N960" s="38">
        <v>14000.0</v>
      </c>
      <c r="O960" s="62" t="s">
        <v>267</v>
      </c>
      <c r="P960" s="58"/>
      <c r="Q960" s="62" t="s">
        <v>95</v>
      </c>
      <c r="R960" s="67"/>
      <c r="S960" s="62" t="s">
        <v>783</v>
      </c>
      <c r="T960" s="62" t="s">
        <v>784</v>
      </c>
      <c r="U960" s="62" t="s">
        <v>785</v>
      </c>
      <c r="V960" s="62">
        <v>2013.0</v>
      </c>
      <c r="W960" s="62"/>
      <c r="X960" s="62" t="s">
        <v>786</v>
      </c>
      <c r="Y960" s="62" t="s">
        <v>782</v>
      </c>
      <c r="Z960" s="62"/>
      <c r="AA960" s="62"/>
      <c r="AB960" s="62"/>
      <c r="AC960" s="62"/>
      <c r="AD960" s="62"/>
      <c r="AE960" s="62"/>
      <c r="AF960" s="62"/>
      <c r="AG960" s="32"/>
      <c r="AH960" s="32"/>
      <c r="AI960" s="32"/>
      <c r="AJ960" s="32"/>
      <c r="AK960" s="32"/>
      <c r="AL960" s="32"/>
      <c r="AM960" s="32"/>
      <c r="AN960" s="32"/>
      <c r="AO960" s="32"/>
      <c r="AP960" s="32"/>
      <c r="AQ960" s="32"/>
      <c r="AR960" s="32"/>
      <c r="AS960" s="32"/>
      <c r="AT960" s="32"/>
      <c r="AU960" s="32"/>
      <c r="AV960" s="32"/>
      <c r="AW960" s="32"/>
      <c r="AX960" s="32"/>
      <c r="AY960" s="32"/>
      <c r="AZ960" s="32"/>
      <c r="BA960" s="32"/>
      <c r="BB960" s="32"/>
      <c r="BC960" s="32" t="s">
        <v>260</v>
      </c>
      <c r="BD960" s="32" t="s">
        <v>711</v>
      </c>
      <c r="BE960" s="32" t="s">
        <v>140</v>
      </c>
      <c r="BF960" s="32"/>
      <c r="BG960" s="32"/>
      <c r="BH960" s="32"/>
      <c r="BI960" s="32"/>
      <c r="BJ960" s="32"/>
      <c r="BK960" s="32"/>
      <c r="BL960" s="32"/>
      <c r="BM960" s="32"/>
      <c r="BN960" s="32"/>
      <c r="BO960" s="32"/>
    </row>
    <row r="961" ht="25.5" customHeight="1">
      <c r="A961" s="28">
        <v>10278.0</v>
      </c>
      <c r="B961" s="37" t="b">
        <v>1</v>
      </c>
      <c r="C961" s="38" t="s">
        <v>238</v>
      </c>
      <c r="D961" s="38">
        <v>81.0</v>
      </c>
      <c r="E961" s="13" t="b">
        <v>0</v>
      </c>
      <c r="F961" s="13" t="b">
        <v>1</v>
      </c>
      <c r="G961" s="38" t="s">
        <v>224</v>
      </c>
      <c r="H961" s="38"/>
      <c r="I961" s="38" t="s">
        <v>743</v>
      </c>
      <c r="J961" s="38" t="s">
        <v>744</v>
      </c>
      <c r="K961" s="38"/>
      <c r="L961" s="38"/>
      <c r="M961" s="38" t="s">
        <v>388</v>
      </c>
      <c r="N961" s="38">
        <v>14000.0</v>
      </c>
      <c r="O961" s="38" t="s">
        <v>224</v>
      </c>
      <c r="P961" s="40"/>
      <c r="Q961" s="38" t="s">
        <v>111</v>
      </c>
      <c r="R961" s="38">
        <v>41.0</v>
      </c>
      <c r="S961" s="38" t="s">
        <v>4037</v>
      </c>
      <c r="T961" s="38" t="s">
        <v>784</v>
      </c>
      <c r="U961" s="38" t="s">
        <v>4038</v>
      </c>
      <c r="V961" s="55"/>
      <c r="W961" s="38" t="s">
        <v>4039</v>
      </c>
      <c r="X961" s="49" t="str">
        <f>HYPERLINK("https://worksthatwork.com/1/urinal-fly","https://worksthatwork.com/1/urinal-fly")</f>
        <v>https://worksthatwork.com/1/urinal-fly</v>
      </c>
      <c r="Y961" s="38"/>
      <c r="Z961" s="38"/>
      <c r="AA961" s="38"/>
      <c r="AB961" s="38"/>
      <c r="AC961" s="38"/>
      <c r="AD961" s="38"/>
      <c r="AE961" s="38"/>
      <c r="AF961" s="38"/>
      <c r="AG961" s="28"/>
      <c r="AH961" s="28" t="s">
        <v>428</v>
      </c>
      <c r="AI961" s="28" t="s">
        <v>462</v>
      </c>
      <c r="AJ961" s="28"/>
      <c r="AK961" s="28"/>
      <c r="AL961" s="28" t="s">
        <v>769</v>
      </c>
      <c r="AM961" s="28" t="s">
        <v>4043</v>
      </c>
      <c r="AN961" s="54">
        <v>42324.0</v>
      </c>
      <c r="AO961" s="54"/>
      <c r="AP961" s="54"/>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row>
    <row r="962" ht="25.5" customHeight="1">
      <c r="A962" s="28">
        <v>10327.0</v>
      </c>
      <c r="B962" s="37" t="b">
        <v>1</v>
      </c>
      <c r="C962" s="38" t="s">
        <v>238</v>
      </c>
      <c r="D962" s="38">
        <v>81.0</v>
      </c>
      <c r="E962" s="13" t="b">
        <v>0</v>
      </c>
      <c r="F962" s="13" t="b">
        <v>1</v>
      </c>
      <c r="G962" s="38" t="s">
        <v>224</v>
      </c>
      <c r="H962" s="38"/>
      <c r="I962" s="38" t="s">
        <v>280</v>
      </c>
      <c r="J962" s="38">
        <v>10.0</v>
      </c>
      <c r="K962" s="38"/>
      <c r="L962" s="38"/>
      <c r="M962" s="38" t="s">
        <v>388</v>
      </c>
      <c r="N962" s="38">
        <v>14000.0</v>
      </c>
      <c r="O962" s="38" t="s">
        <v>224</v>
      </c>
      <c r="P962" s="40"/>
      <c r="Q962" s="38" t="s">
        <v>289</v>
      </c>
      <c r="R962" s="38">
        <v>40.0</v>
      </c>
      <c r="S962" s="38" t="s">
        <v>4454</v>
      </c>
      <c r="T962" s="38" t="s">
        <v>3944</v>
      </c>
      <c r="U962" s="38" t="s">
        <v>4455</v>
      </c>
      <c r="V962" s="42">
        <v>41107.0</v>
      </c>
      <c r="W962" s="38"/>
      <c r="X962" s="38" t="s">
        <v>4456</v>
      </c>
      <c r="Y962" s="38"/>
      <c r="Z962" s="38"/>
      <c r="AA962" s="38"/>
      <c r="AB962" s="38"/>
      <c r="AC962" s="38"/>
      <c r="AD962" s="38"/>
      <c r="AE962" s="38"/>
      <c r="AF962" s="38"/>
      <c r="AG962" s="28" t="s">
        <v>4458</v>
      </c>
      <c r="AH962" s="28"/>
      <c r="AI962" s="28"/>
      <c r="AJ962" s="28"/>
      <c r="AK962" s="28"/>
      <c r="AL962" s="28"/>
      <c r="AM962" s="28"/>
      <c r="AN962" s="28"/>
      <c r="AO962" s="28"/>
      <c r="AP962" s="28"/>
      <c r="AQ962" s="28"/>
      <c r="AR962" s="28"/>
      <c r="AS962" s="28"/>
      <c r="AT962" s="28"/>
      <c r="AU962" s="28"/>
      <c r="AV962" s="28"/>
      <c r="AW962" s="28"/>
      <c r="AX962" s="28"/>
      <c r="AY962" s="28"/>
      <c r="AZ962" s="28" t="s">
        <v>998</v>
      </c>
      <c r="BA962" s="28"/>
      <c r="BB962" s="28"/>
      <c r="BC962" s="28"/>
      <c r="BD962" s="28"/>
      <c r="BE962" s="28"/>
      <c r="BF962" s="28"/>
      <c r="BG962" s="28"/>
      <c r="BH962" s="28"/>
      <c r="BI962" s="28"/>
      <c r="BJ962" s="28"/>
      <c r="BK962" s="28"/>
      <c r="BL962" s="28"/>
      <c r="BM962" s="28"/>
      <c r="BN962" s="28"/>
      <c r="BO962" s="28"/>
    </row>
    <row r="963" ht="25.5" customHeight="1">
      <c r="A963" s="28">
        <v>52.0</v>
      </c>
      <c r="B963" s="37" t="b">
        <v>1</v>
      </c>
      <c r="C963" s="38" t="s">
        <v>106</v>
      </c>
      <c r="D963" s="38">
        <v>80.0</v>
      </c>
      <c r="E963" s="13" t="b">
        <v>0</v>
      </c>
      <c r="F963" s="13" t="b">
        <v>1</v>
      </c>
      <c r="G963" s="38" t="s">
        <v>224</v>
      </c>
      <c r="H963" s="38"/>
      <c r="I963" s="38" t="s">
        <v>4208</v>
      </c>
      <c r="J963" s="38" t="s">
        <v>4209</v>
      </c>
      <c r="K963" s="38" t="s">
        <v>224</v>
      </c>
      <c r="L963" s="38"/>
      <c r="M963" s="38" t="s">
        <v>35</v>
      </c>
      <c r="N963" s="38">
        <v>2000.0</v>
      </c>
      <c r="O963" s="38" t="s">
        <v>1114</v>
      </c>
      <c r="P963" s="40"/>
      <c r="Q963" s="38" t="s">
        <v>289</v>
      </c>
      <c r="R963" s="38">
        <v>40.0</v>
      </c>
      <c r="S963" s="38" t="s">
        <v>4210</v>
      </c>
      <c r="T963" s="38" t="s">
        <v>4211</v>
      </c>
      <c r="U963" s="38" t="s">
        <v>4212</v>
      </c>
      <c r="V963" s="61">
        <v>2009.0</v>
      </c>
      <c r="W963" s="38" t="s">
        <v>4213</v>
      </c>
      <c r="X963" s="38" t="s">
        <v>4214</v>
      </c>
      <c r="Y963" s="38"/>
      <c r="Z963" s="38"/>
      <c r="AA963" s="38"/>
      <c r="AB963" s="38"/>
      <c r="AC963" s="38"/>
      <c r="AD963" s="38"/>
      <c r="AE963" s="38"/>
      <c r="AF963" s="38"/>
      <c r="AG963" s="28"/>
      <c r="AH963" s="28"/>
      <c r="AI963" s="28"/>
      <c r="AJ963" s="28" t="s">
        <v>3233</v>
      </c>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row>
    <row r="964" ht="25.5" customHeight="1">
      <c r="A964" s="28">
        <v>10102.0</v>
      </c>
      <c r="B964" s="37" t="b">
        <v>1</v>
      </c>
      <c r="C964" s="38" t="s">
        <v>238</v>
      </c>
      <c r="D964" s="38">
        <v>81.0</v>
      </c>
      <c r="E964" s="13" t="b">
        <v>0</v>
      </c>
      <c r="F964" s="13" t="b">
        <v>1</v>
      </c>
      <c r="G964" s="38" t="s">
        <v>224</v>
      </c>
      <c r="H964" s="38"/>
      <c r="I964" s="38" t="s">
        <v>2471</v>
      </c>
      <c r="J964" s="38" t="s">
        <v>2472</v>
      </c>
      <c r="K964" s="38"/>
      <c r="L964" s="38"/>
      <c r="M964" s="38" t="s">
        <v>35</v>
      </c>
      <c r="N964" s="38">
        <v>2000.0</v>
      </c>
      <c r="O964" s="38" t="s">
        <v>644</v>
      </c>
      <c r="P964" s="40"/>
      <c r="Q964" s="38" t="s">
        <v>289</v>
      </c>
      <c r="R964" s="38">
        <v>40.0</v>
      </c>
      <c r="S964" s="38" t="s">
        <v>2474</v>
      </c>
      <c r="T964" s="38" t="s">
        <v>1584</v>
      </c>
      <c r="U964" s="38" t="s">
        <v>2475</v>
      </c>
      <c r="V964" s="55">
        <v>41025.0</v>
      </c>
      <c r="W964" s="38" t="s">
        <v>2476</v>
      </c>
      <c r="X964" s="49" t="str">
        <f>HYPERLINK("http://www.yaleclimateconnections.org/2012/04/communicating-climate-change-in-a-national-park/","http://www.yaleclimateconnections.org/2012/04/communicating-climate-change-in-a-national-park/")</f>
        <v>http://www.yaleclimateconnections.org/2012/04/communicating-climate-change-in-a-national-park/</v>
      </c>
      <c r="Y964" s="38"/>
      <c r="Z964" s="38"/>
      <c r="AA964" s="38"/>
      <c r="AB964" s="38"/>
      <c r="AC964" s="38"/>
      <c r="AD964" s="38"/>
      <c r="AE964" s="38"/>
      <c r="AF964" s="38"/>
      <c r="AG964" s="28"/>
      <c r="AH964" s="28" t="s">
        <v>2477</v>
      </c>
      <c r="AI964" s="28" t="s">
        <v>2478</v>
      </c>
      <c r="AJ964" s="28"/>
      <c r="AK964" s="28"/>
      <c r="AL964" s="28" t="s">
        <v>769</v>
      </c>
      <c r="AM964" s="28" t="s">
        <v>2481</v>
      </c>
      <c r="AN964" s="54">
        <v>42317.0</v>
      </c>
      <c r="AO964" s="54"/>
      <c r="AP964" s="54">
        <v>42536.0</v>
      </c>
      <c r="AQ964" s="28"/>
      <c r="AR964" s="28"/>
      <c r="AS964" s="54"/>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row>
    <row r="965" ht="25.5" customHeight="1">
      <c r="A965" s="28">
        <v>10357.0</v>
      </c>
      <c r="B965" s="37" t="b">
        <v>1</v>
      </c>
      <c r="C965" s="38" t="s">
        <v>238</v>
      </c>
      <c r="D965" s="38">
        <v>81.0</v>
      </c>
      <c r="E965" s="13" t="b">
        <v>0</v>
      </c>
      <c r="F965" s="13" t="b">
        <v>1</v>
      </c>
      <c r="G965" s="38" t="s">
        <v>224</v>
      </c>
      <c r="H965" s="38"/>
      <c r="I965" s="38" t="s">
        <v>280</v>
      </c>
      <c r="J965" s="38">
        <v>10.0</v>
      </c>
      <c r="K965" s="38"/>
      <c r="L965" s="38"/>
      <c r="M965" s="38" t="s">
        <v>35</v>
      </c>
      <c r="N965" s="38">
        <v>2000.0</v>
      </c>
      <c r="O965" s="38" t="s">
        <v>837</v>
      </c>
      <c r="P965" s="40">
        <v>2001.0</v>
      </c>
      <c r="Q965" s="38" t="s">
        <v>289</v>
      </c>
      <c r="R965" s="38">
        <v>40.0</v>
      </c>
      <c r="S965" s="38" t="s">
        <v>4729</v>
      </c>
      <c r="T965" s="38" t="s">
        <v>4730</v>
      </c>
      <c r="U965" s="38" t="s">
        <v>1303</v>
      </c>
      <c r="V965" s="55">
        <v>42194.0</v>
      </c>
      <c r="W965" s="38"/>
      <c r="X965" s="49" t="str">
        <f>HYPERLINK("http://e360.yale.edu/feature/how_can_we_make_people_care_about_climate_change/2892/","http://e360.yale.edu/feature/how_can_we_make_people_care_about_climate_change/2892/")</f>
        <v>http://e360.yale.edu/feature/how_can_we_make_people_care_about_climate_change/2892/</v>
      </c>
      <c r="Y965" s="38"/>
      <c r="Z965" s="38"/>
      <c r="AA965" s="38"/>
      <c r="AB965" s="38"/>
      <c r="AC965" s="38"/>
      <c r="AD965" s="38"/>
      <c r="AE965" s="38"/>
      <c r="AF965" s="38"/>
      <c r="AG965" s="28"/>
      <c r="AH965" s="28" t="s">
        <v>462</v>
      </c>
      <c r="AI965" s="28" t="s">
        <v>462</v>
      </c>
      <c r="AJ965" s="28"/>
      <c r="AK965" s="28"/>
      <c r="AL965" s="28" t="s">
        <v>600</v>
      </c>
      <c r="AM965" s="28" t="s">
        <v>4736</v>
      </c>
      <c r="AN965" s="54">
        <v>42472.0</v>
      </c>
      <c r="AO965" s="54"/>
      <c r="AP965" s="54"/>
      <c r="AQ965" s="28" t="s">
        <v>561</v>
      </c>
      <c r="AR965" s="28"/>
      <c r="AS965" s="54">
        <v>42443.0</v>
      </c>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row>
    <row r="966" ht="25.5" customHeight="1">
      <c r="A966" s="28">
        <v>10359.0</v>
      </c>
      <c r="B966" s="37" t="b">
        <v>1</v>
      </c>
      <c r="C966" s="38" t="s">
        <v>238</v>
      </c>
      <c r="D966" s="38">
        <v>81.0</v>
      </c>
      <c r="E966" s="13" t="b">
        <v>0</v>
      </c>
      <c r="F966" s="13" t="b">
        <v>1</v>
      </c>
      <c r="G966" s="38" t="s">
        <v>224</v>
      </c>
      <c r="H966" s="38"/>
      <c r="I966" s="38" t="s">
        <v>280</v>
      </c>
      <c r="J966" s="38">
        <v>10.0</v>
      </c>
      <c r="K966" s="38"/>
      <c r="L966" s="38"/>
      <c r="M966" s="38" t="s">
        <v>107</v>
      </c>
      <c r="N966" s="38">
        <v>3000.0</v>
      </c>
      <c r="O966" s="38" t="s">
        <v>4749</v>
      </c>
      <c r="P966" s="40"/>
      <c r="Q966" s="38" t="s">
        <v>289</v>
      </c>
      <c r="R966" s="38">
        <v>40.0</v>
      </c>
      <c r="S966" s="38" t="s">
        <v>4750</v>
      </c>
      <c r="T966" s="38" t="s">
        <v>4751</v>
      </c>
      <c r="U966" s="38" t="s">
        <v>4752</v>
      </c>
      <c r="V966" s="42">
        <v>42219.0</v>
      </c>
      <c r="W966" s="38" t="s">
        <v>4753</v>
      </c>
      <c r="X966" s="38" t="s">
        <v>4754</v>
      </c>
      <c r="Y966" s="38"/>
      <c r="Z966" s="38"/>
      <c r="AA966" s="38"/>
      <c r="AB966" s="38"/>
      <c r="AC966" s="38"/>
      <c r="AD966" s="38"/>
      <c r="AE966" s="38"/>
      <c r="AF966" s="38"/>
      <c r="AG966" s="28"/>
      <c r="AH966" s="28"/>
      <c r="AI966" s="28"/>
      <c r="AJ966" s="28"/>
      <c r="AK966" s="28"/>
      <c r="AL966" s="28"/>
      <c r="AM966" s="28"/>
      <c r="AN966" s="28"/>
      <c r="AO966" s="28"/>
      <c r="AP966" s="28"/>
      <c r="AQ966" s="28"/>
      <c r="AR966" s="28"/>
      <c r="AS966" s="28"/>
      <c r="AT966" s="28"/>
      <c r="AU966" s="28"/>
      <c r="AV966" s="28"/>
      <c r="AW966" s="28"/>
      <c r="AX966" s="28"/>
      <c r="AY966" s="28"/>
      <c r="AZ966" s="28" t="s">
        <v>314</v>
      </c>
      <c r="BA966" s="28"/>
      <c r="BB966" s="28"/>
      <c r="BC966" s="28"/>
      <c r="BD966" s="28"/>
      <c r="BE966" s="28"/>
      <c r="BF966" s="28"/>
      <c r="BG966" s="28"/>
      <c r="BH966" s="28"/>
      <c r="BI966" s="28"/>
      <c r="BJ966" s="28"/>
      <c r="BK966" s="28"/>
      <c r="BL966" s="28"/>
      <c r="BM966" s="28"/>
      <c r="BN966" s="28"/>
      <c r="BO966" s="28"/>
    </row>
    <row r="967" ht="25.5" customHeight="1">
      <c r="A967" s="28">
        <v>247.0</v>
      </c>
      <c r="B967" s="37" t="b">
        <v>1</v>
      </c>
      <c r="C967" s="38" t="s">
        <v>106</v>
      </c>
      <c r="D967" s="38">
        <v>80.0</v>
      </c>
      <c r="E967" s="13" t="b">
        <v>1</v>
      </c>
      <c r="F967" s="13" t="b">
        <v>1</v>
      </c>
      <c r="G967" s="38" t="s">
        <v>224</v>
      </c>
      <c r="H967" s="38"/>
      <c r="I967" s="38" t="s">
        <v>323</v>
      </c>
      <c r="J967" s="38">
        <v>11.0</v>
      </c>
      <c r="K967" s="38" t="s">
        <v>224</v>
      </c>
      <c r="L967" s="38"/>
      <c r="M967" s="38" t="s">
        <v>388</v>
      </c>
      <c r="N967" s="38">
        <v>14000.0</v>
      </c>
      <c r="O967" s="38" t="s">
        <v>224</v>
      </c>
      <c r="P967" s="40"/>
      <c r="Q967" s="38" t="s">
        <v>4953</v>
      </c>
      <c r="R967" s="38" t="s">
        <v>325</v>
      </c>
      <c r="S967" s="38" t="s">
        <v>5681</v>
      </c>
      <c r="T967" s="38" t="s">
        <v>2162</v>
      </c>
      <c r="U967" s="38" t="s">
        <v>5682</v>
      </c>
      <c r="V967" s="38">
        <v>2015.0</v>
      </c>
      <c r="W967" s="38" t="s">
        <v>5683</v>
      </c>
      <c r="X967" s="38" t="s">
        <v>5685</v>
      </c>
      <c r="Y967" s="38"/>
      <c r="Z967" s="38"/>
      <c r="AA967" s="38"/>
      <c r="AB967" s="38"/>
      <c r="AC967" s="38"/>
      <c r="AD967" s="38"/>
      <c r="AE967" s="38"/>
      <c r="AF967" s="38"/>
      <c r="AG967" s="28" t="s">
        <v>3928</v>
      </c>
      <c r="AH967" s="28" t="s">
        <v>462</v>
      </c>
      <c r="AI967" s="28" t="s">
        <v>462</v>
      </c>
      <c r="AJ967" s="28"/>
      <c r="AK967" s="28" t="s">
        <v>978</v>
      </c>
      <c r="AL967" s="28" t="s">
        <v>769</v>
      </c>
      <c r="AM967" s="28"/>
      <c r="AN967" s="54"/>
      <c r="AO967" s="28"/>
      <c r="AP967" s="28"/>
      <c r="AQ967" s="28"/>
      <c r="AR967" s="28"/>
      <c r="AS967" s="54"/>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row>
    <row r="968" ht="25.5" customHeight="1">
      <c r="A968" s="28">
        <v>10092.0</v>
      </c>
      <c r="B968" s="37" t="b">
        <v>1</v>
      </c>
      <c r="C968" s="38" t="s">
        <v>238</v>
      </c>
      <c r="D968" s="38">
        <v>81.0</v>
      </c>
      <c r="E968" s="13" t="b">
        <v>0</v>
      </c>
      <c r="F968" s="13" t="b">
        <v>1</v>
      </c>
      <c r="G968" s="38" t="s">
        <v>224</v>
      </c>
      <c r="H968" s="38"/>
      <c r="I968" s="38" t="s">
        <v>574</v>
      </c>
      <c r="J968" s="38">
        <v>4.0</v>
      </c>
      <c r="K968" s="38"/>
      <c r="L968" s="38"/>
      <c r="M968" s="38" t="s">
        <v>35</v>
      </c>
      <c r="N968" s="38">
        <v>2000.0</v>
      </c>
      <c r="O968" s="38" t="s">
        <v>837</v>
      </c>
      <c r="P968" s="40">
        <v>2001.0</v>
      </c>
      <c r="Q968" s="38" t="s">
        <v>289</v>
      </c>
      <c r="R968" s="38">
        <v>40.0</v>
      </c>
      <c r="S968" s="38" t="s">
        <v>2316</v>
      </c>
      <c r="T968" s="38" t="s">
        <v>2317</v>
      </c>
      <c r="U968" s="38" t="s">
        <v>1336</v>
      </c>
      <c r="V968" s="55">
        <v>42101.0</v>
      </c>
      <c r="W968" s="38" t="s">
        <v>2318</v>
      </c>
      <c r="X968" s="49" t="str">
        <f>HYPERLINK("http://environment.yale.edu/climate-communication/article/simple-messages-increase-understanding-of-the-climate-change-consensus/","http://environment.yale.edu/climate-communication/article/simple-messages-increase-understanding-of-the-climate-change-consensus/")</f>
        <v>http://environment.yale.edu/climate-communication/article/simple-messages-increase-understanding-of-the-climate-change-consensus/</v>
      </c>
      <c r="Y968" s="38"/>
      <c r="Z968" s="38"/>
      <c r="AA968" s="38"/>
      <c r="AB968" s="38"/>
      <c r="AC968" s="38"/>
      <c r="AD968" s="38"/>
      <c r="AE968" s="38"/>
      <c r="AF968" s="38"/>
      <c r="AG968" s="28"/>
      <c r="AH968" s="28" t="s">
        <v>462</v>
      </c>
      <c r="AI968" s="28" t="s">
        <v>462</v>
      </c>
      <c r="AJ968" s="28"/>
      <c r="AK968" s="28" t="s">
        <v>1099</v>
      </c>
      <c r="AL968" s="28" t="s">
        <v>769</v>
      </c>
      <c r="AM968" s="28" t="s">
        <v>2327</v>
      </c>
      <c r="AN968" s="54" t="s">
        <v>2328</v>
      </c>
      <c r="AO968" s="54"/>
      <c r="AP968" s="54">
        <v>42721.0</v>
      </c>
      <c r="AQ968" s="28"/>
      <c r="AR968" s="28"/>
      <c r="AS968" s="54"/>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row>
    <row r="969" ht="25.5" customHeight="1">
      <c r="A969" s="28">
        <v>10144.0</v>
      </c>
      <c r="B969" s="37" t="b">
        <v>1</v>
      </c>
      <c r="C969" s="38" t="s">
        <v>238</v>
      </c>
      <c r="D969" s="38">
        <v>81.0</v>
      </c>
      <c r="E969" s="13" t="b">
        <v>0</v>
      </c>
      <c r="F969" s="13" t="b">
        <v>1</v>
      </c>
      <c r="G969" s="38" t="s">
        <v>224</v>
      </c>
      <c r="H969" s="38"/>
      <c r="I969" s="38" t="s">
        <v>1331</v>
      </c>
      <c r="J969" s="38" t="s">
        <v>1371</v>
      </c>
      <c r="K969" s="38"/>
      <c r="L969" s="38"/>
      <c r="M969" s="38" t="s">
        <v>35</v>
      </c>
      <c r="N969" s="38">
        <v>2000.0</v>
      </c>
      <c r="O969" s="38" t="s">
        <v>837</v>
      </c>
      <c r="P969" s="40">
        <v>2001.0</v>
      </c>
      <c r="Q969" s="38" t="s">
        <v>289</v>
      </c>
      <c r="R969" s="38">
        <v>40.0</v>
      </c>
      <c r="S969" s="61" t="s">
        <v>2885</v>
      </c>
      <c r="T969" s="38" t="s">
        <v>2886</v>
      </c>
      <c r="U969" s="38" t="s">
        <v>1336</v>
      </c>
      <c r="V969" s="55">
        <v>42388.0</v>
      </c>
      <c r="W969" s="38" t="s">
        <v>2887</v>
      </c>
      <c r="X969" s="49" t="str">
        <f>HYPERLINK("http://climatecommunication.yale.edu/publications/faith-morality-environment/","http://climatecommunication.yale.edu/publications/faith-morality-environment/")</f>
        <v>http://climatecommunication.yale.edu/publications/faith-morality-environment/</v>
      </c>
      <c r="Y969" s="38"/>
      <c r="Z969" s="38"/>
      <c r="AA969" s="38"/>
      <c r="AB969" s="38"/>
      <c r="AC969" s="38"/>
      <c r="AD969" s="38"/>
      <c r="AE969" s="38"/>
      <c r="AF969" s="38"/>
      <c r="AG969" s="28"/>
      <c r="AH969" s="28"/>
      <c r="AI969" s="28"/>
      <c r="AJ969" s="28"/>
      <c r="AK969" s="28"/>
      <c r="AL969" s="28" t="s">
        <v>769</v>
      </c>
      <c r="AM969" s="28" t="s">
        <v>2889</v>
      </c>
      <c r="AN969" s="54">
        <v>42640.0</v>
      </c>
      <c r="AO969" s="54"/>
      <c r="AP969" s="28"/>
      <c r="AQ969" s="28"/>
      <c r="AR969" s="28"/>
      <c r="AS969" s="28"/>
      <c r="AT969" s="28"/>
      <c r="AU969" s="28"/>
      <c r="AV969" s="28"/>
      <c r="AW969" s="28"/>
      <c r="AX969" s="28"/>
      <c r="AY969" s="28" t="s">
        <v>428</v>
      </c>
      <c r="AZ969" s="28"/>
      <c r="BA969" s="28"/>
      <c r="BB969" s="28"/>
      <c r="BC969" s="28"/>
      <c r="BD969" s="28"/>
      <c r="BE969" s="28"/>
      <c r="BF969" s="28"/>
      <c r="BG969" s="28"/>
      <c r="BH969" s="28"/>
      <c r="BI969" s="28"/>
      <c r="BJ969" s="28"/>
      <c r="BK969" s="28"/>
      <c r="BL969" s="28"/>
      <c r="BM969" s="28"/>
      <c r="BN969" s="28"/>
      <c r="BO969" s="28"/>
    </row>
    <row r="970" ht="25.5" customHeight="1">
      <c r="A970" s="28">
        <v>10376.0</v>
      </c>
      <c r="B970" s="37" t="b">
        <v>1</v>
      </c>
      <c r="C970" s="38" t="s">
        <v>238</v>
      </c>
      <c r="D970" s="38">
        <v>81.0</v>
      </c>
      <c r="E970" s="13" t="b">
        <v>0</v>
      </c>
      <c r="F970" s="13" t="b">
        <v>1</v>
      </c>
      <c r="G970" s="38" t="s">
        <v>224</v>
      </c>
      <c r="H970" s="38"/>
      <c r="I970" s="38" t="s">
        <v>712</v>
      </c>
      <c r="J970" s="38">
        <v>7.0</v>
      </c>
      <c r="K970" s="38"/>
      <c r="L970" s="38"/>
      <c r="M970" s="38" t="s">
        <v>35</v>
      </c>
      <c r="N970" s="38">
        <v>2000.0</v>
      </c>
      <c r="O970" s="38" t="s">
        <v>837</v>
      </c>
      <c r="P970" s="40">
        <v>2001.0</v>
      </c>
      <c r="Q970" s="38" t="s">
        <v>289</v>
      </c>
      <c r="R970" s="38">
        <v>40.0</v>
      </c>
      <c r="S970" s="38" t="s">
        <v>4887</v>
      </c>
      <c r="T970" s="38" t="s">
        <v>215</v>
      </c>
      <c r="U970" s="38" t="s">
        <v>1336</v>
      </c>
      <c r="V970" s="55">
        <v>42066.0</v>
      </c>
      <c r="W970" s="38" t="s">
        <v>4889</v>
      </c>
      <c r="X970" s="49" t="str">
        <f>HYPERLINK("http://environment.yale.edu/climate-communication/article/scientific-consensus-on-climate-change-as-a-gateway-belief/","http://environment.yale.edu/climate-communication/article/scientific-consensus-on-climate-change-as-a-gateway-belief/")</f>
        <v>http://environment.yale.edu/climate-communication/article/scientific-consensus-on-climate-change-as-a-gateway-belief/</v>
      </c>
      <c r="Y970" s="38"/>
      <c r="Z970" s="38"/>
      <c r="AA970" s="38"/>
      <c r="AB970" s="38"/>
      <c r="AC970" s="38"/>
      <c r="AD970" s="38"/>
      <c r="AE970" s="38"/>
      <c r="AF970" s="38"/>
      <c r="AG970" s="28"/>
      <c r="AH970" s="28" t="s">
        <v>462</v>
      </c>
      <c r="AI970" s="28" t="s">
        <v>462</v>
      </c>
      <c r="AJ970" s="28"/>
      <c r="AK970" s="28" t="s">
        <v>676</v>
      </c>
      <c r="AL970" s="28" t="s">
        <v>769</v>
      </c>
      <c r="AM970" s="28" t="s">
        <v>4895</v>
      </c>
      <c r="AN970" s="54">
        <v>42081.0</v>
      </c>
      <c r="AO970" s="54"/>
      <c r="AP970" s="103" t="str">
        <f>HYPERLINK("http://t.co/2SLjLocFYg","6/1/2016")</f>
        <v>6/1/2016</v>
      </c>
      <c r="AQ970" s="28" t="s">
        <v>769</v>
      </c>
      <c r="AR970" s="28"/>
      <c r="AS970" s="54">
        <v>41352.0</v>
      </c>
      <c r="AT970" s="28" t="s">
        <v>2035</v>
      </c>
      <c r="AU970" s="28"/>
      <c r="AV970" s="28"/>
      <c r="AW970" s="28"/>
      <c r="AX970" s="28"/>
      <c r="AY970" s="28"/>
      <c r="AZ970" s="28" t="s">
        <v>4156</v>
      </c>
      <c r="BA970" s="28"/>
      <c r="BB970" s="28"/>
      <c r="BC970" s="28"/>
      <c r="BD970" s="28"/>
      <c r="BE970" s="28"/>
      <c r="BF970" s="28"/>
      <c r="BG970" s="28"/>
      <c r="BH970" s="28"/>
      <c r="BI970" s="28"/>
      <c r="BJ970" s="28"/>
      <c r="BK970" s="28"/>
      <c r="BL970" s="28"/>
      <c r="BM970" s="28"/>
      <c r="BN970" s="28"/>
      <c r="BO970" s="28"/>
    </row>
    <row r="971" ht="25.5" customHeight="1">
      <c r="A971" s="28">
        <v>10017.0</v>
      </c>
      <c r="B971" s="37" t="b">
        <v>1</v>
      </c>
      <c r="C971" s="38" t="s">
        <v>238</v>
      </c>
      <c r="D971" s="38">
        <v>81.0</v>
      </c>
      <c r="E971" s="13" t="b">
        <v>1</v>
      </c>
      <c r="F971" s="13" t="b">
        <v>0</v>
      </c>
      <c r="G971" s="38" t="s">
        <v>299</v>
      </c>
      <c r="H971" s="38">
        <v>54.0</v>
      </c>
      <c r="I971" s="38" t="s">
        <v>224</v>
      </c>
      <c r="J971" s="38"/>
      <c r="K971" s="38" t="s">
        <v>224</v>
      </c>
      <c r="L971" s="38"/>
      <c r="M971" s="38" t="s">
        <v>388</v>
      </c>
      <c r="N971" s="38">
        <v>14000.0</v>
      </c>
      <c r="O971" s="38" t="s">
        <v>224</v>
      </c>
      <c r="P971" s="40"/>
      <c r="Q971" s="38" t="s">
        <v>289</v>
      </c>
      <c r="R971" s="38">
        <v>40.0</v>
      </c>
      <c r="S971" s="38" t="s">
        <v>1458</v>
      </c>
      <c r="T971" s="38" t="s">
        <v>1459</v>
      </c>
      <c r="U971" s="38" t="s">
        <v>1460</v>
      </c>
      <c r="V971" s="55">
        <v>40704.0</v>
      </c>
      <c r="W971" s="38"/>
      <c r="X971" s="49" t="str">
        <f>HYPERLINK("http://youarenotsosmart.com/2011/06/10/the-backfire-effect/","http://youarenotsosmart.com/2011/06/10/the-backfire-effect/")</f>
        <v>http://youarenotsosmart.com/2011/06/10/the-backfire-effect/</v>
      </c>
      <c r="Y971" s="38"/>
      <c r="Z971" s="38"/>
      <c r="AA971" s="38"/>
      <c r="AB971" s="38"/>
      <c r="AC971" s="38"/>
      <c r="AD971" s="38"/>
      <c r="AE971" s="38"/>
      <c r="AF971" s="38"/>
      <c r="AG971" s="28"/>
      <c r="AH971" s="28" t="s">
        <v>428</v>
      </c>
      <c r="AI971" s="28" t="s">
        <v>462</v>
      </c>
      <c r="AJ971" s="28"/>
      <c r="AK971" s="28"/>
      <c r="AL971" s="28" t="s">
        <v>677</v>
      </c>
      <c r="AM971" s="28"/>
      <c r="AN971" s="54"/>
      <c r="AO971" s="54"/>
      <c r="AP971" s="28"/>
      <c r="AQ971" s="28"/>
      <c r="AR971" s="28"/>
      <c r="AS971" s="54"/>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row>
    <row r="972" ht="25.5" customHeight="1">
      <c r="A972" s="28">
        <v>10270.0</v>
      </c>
      <c r="B972" s="37" t="b">
        <v>1</v>
      </c>
      <c r="C972" s="38" t="s">
        <v>238</v>
      </c>
      <c r="D972" s="38">
        <v>81.0</v>
      </c>
      <c r="E972" s="13" t="b">
        <v>0</v>
      </c>
      <c r="F972" s="13" t="b">
        <v>1</v>
      </c>
      <c r="G972" s="38" t="s">
        <v>224</v>
      </c>
      <c r="H972" s="38"/>
      <c r="I972" s="38" t="s">
        <v>2664</v>
      </c>
      <c r="J972" s="38" t="s">
        <v>2666</v>
      </c>
      <c r="K972" s="38"/>
      <c r="L972" s="38"/>
      <c r="M972" s="38" t="s">
        <v>411</v>
      </c>
      <c r="N972" s="38">
        <v>21000.0</v>
      </c>
      <c r="O972" s="38" t="s">
        <v>1203</v>
      </c>
      <c r="P972" s="40"/>
      <c r="Q972" s="38" t="s">
        <v>111</v>
      </c>
      <c r="R972" s="38">
        <v>41.0</v>
      </c>
      <c r="S972" s="38" t="s">
        <v>3948</v>
      </c>
      <c r="T972" s="38" t="s">
        <v>3949</v>
      </c>
      <c r="U972" s="38" t="s">
        <v>3950</v>
      </c>
      <c r="V972" s="55">
        <v>41542.0</v>
      </c>
      <c r="W972" s="38" t="s">
        <v>3951</v>
      </c>
      <c r="X972" s="49" t="str">
        <f>HYPERLINK("http://www.zerowasteeurope.eu/2013/09/the-story-of-capannori-a-zero-waste-champion/","http://www.zerowasteeurope.eu/2013/09/the-story-of-capannori-a-zero-waste-champion/")</f>
        <v>http://www.zerowasteeurope.eu/2013/09/the-story-of-capannori-a-zero-waste-champion/</v>
      </c>
      <c r="Y972" s="38"/>
      <c r="Z972" s="38"/>
      <c r="AA972" s="38"/>
      <c r="AB972" s="38"/>
      <c r="AC972" s="38"/>
      <c r="AD972" s="38"/>
      <c r="AE972" s="38"/>
      <c r="AF972" s="38"/>
      <c r="AG972" s="28"/>
      <c r="AH972" s="28" t="s">
        <v>428</v>
      </c>
      <c r="AI972" s="28" t="s">
        <v>428</v>
      </c>
      <c r="AJ972" s="28"/>
      <c r="AK972" s="28"/>
      <c r="AL972" s="28" t="s">
        <v>769</v>
      </c>
      <c r="AM972" s="28" t="s">
        <v>3957</v>
      </c>
      <c r="AN972" s="54">
        <v>42432.0</v>
      </c>
      <c r="AO972" s="54"/>
      <c r="AP972" s="28"/>
      <c r="AQ972" s="28"/>
      <c r="AR972" s="28"/>
      <c r="AS972" s="54"/>
      <c r="AT972" s="28"/>
      <c r="AU972" s="28"/>
      <c r="AV972" s="28"/>
      <c r="AW972" s="28"/>
      <c r="AX972" s="28"/>
      <c r="AY972" s="28"/>
      <c r="AZ972" s="28" t="s">
        <v>2670</v>
      </c>
      <c r="BA972" s="28"/>
      <c r="BB972" s="28"/>
      <c r="BC972" s="28"/>
      <c r="BD972" s="28"/>
      <c r="BE972" s="28"/>
      <c r="BF972" s="28"/>
      <c r="BG972" s="28"/>
      <c r="BH972" s="28"/>
      <c r="BI972" s="28"/>
      <c r="BJ972" s="28"/>
      <c r="BK972" s="28"/>
      <c r="BL972" s="28"/>
      <c r="BM972" s="28"/>
      <c r="BN972" s="28"/>
      <c r="BO972" s="28"/>
    </row>
    <row r="973" ht="25.5" customHeight="1">
      <c r="A973" s="32">
        <v>20025.0</v>
      </c>
      <c r="B973" s="37" t="b">
        <v>1</v>
      </c>
      <c r="C973" s="62" t="s">
        <v>274</v>
      </c>
      <c r="D973" s="62">
        <v>82.0</v>
      </c>
      <c r="E973" s="13" t="b">
        <v>0</v>
      </c>
      <c r="F973" s="13" t="b">
        <v>1</v>
      </c>
      <c r="G973" s="62" t="s">
        <v>224</v>
      </c>
      <c r="H973" s="62"/>
      <c r="I973" s="62" t="s">
        <v>429</v>
      </c>
      <c r="J973" s="67">
        <v>2.0</v>
      </c>
      <c r="K973" s="62" t="s">
        <v>478</v>
      </c>
      <c r="L973" s="62">
        <v>201.0</v>
      </c>
      <c r="M973" s="38" t="s">
        <v>411</v>
      </c>
      <c r="N973" s="38">
        <v>21000.0</v>
      </c>
      <c r="O973" s="62" t="s">
        <v>247</v>
      </c>
      <c r="P973" s="58"/>
      <c r="Q973" s="62" t="s">
        <v>111</v>
      </c>
      <c r="R973" s="67"/>
      <c r="S973" s="62" t="s">
        <v>500</v>
      </c>
      <c r="T973" s="62" t="s">
        <v>501</v>
      </c>
      <c r="U973" s="62" t="s">
        <v>502</v>
      </c>
      <c r="V973" s="68">
        <v>42013.0</v>
      </c>
      <c r="W973" s="62"/>
      <c r="X973" s="49" t="str">
        <f t="shared" ref="X973:X974" si="1">HYPERLINK("http://www.zerowastescotland.org.uk/content/edinburgh-%E2%80%98nudging%E2%80%99-success-recycling","http://www.zerowastescotland.org.uk/content/edinburgh-%E2%80%98nudging%E2%80%99-success-recycling")</f>
        <v>http://www.zerowastescotland.org.uk/content/edinburgh-%E2%80%98nudging%E2%80%99-success-recycling</v>
      </c>
      <c r="Y973" s="62" t="s">
        <v>498</v>
      </c>
      <c r="Z973" s="62"/>
      <c r="AA973" s="62"/>
      <c r="AB973" s="49"/>
      <c r="AC973" s="62"/>
      <c r="AD973" s="62"/>
      <c r="AE973" s="62"/>
      <c r="AF973" s="62"/>
      <c r="AG973" s="32"/>
      <c r="AH973" s="32"/>
      <c r="AI973" s="32"/>
      <c r="AJ973" s="32"/>
      <c r="AK973" s="32"/>
      <c r="AL973" s="32"/>
      <c r="AM973" s="32"/>
      <c r="AN973" s="32"/>
      <c r="AO973" s="32"/>
      <c r="AP973" s="32"/>
      <c r="AQ973" s="32"/>
      <c r="AR973" s="32"/>
      <c r="AS973" s="32"/>
      <c r="AT973" s="32"/>
      <c r="AU973" s="32"/>
      <c r="AV973" s="32"/>
      <c r="AW973" s="32"/>
      <c r="AX973" s="32"/>
      <c r="AY973" s="32"/>
      <c r="AZ973" s="32"/>
      <c r="BA973" s="32"/>
      <c r="BB973" s="32" t="s">
        <v>520</v>
      </c>
      <c r="BC973" s="32">
        <v>3.0</v>
      </c>
      <c r="BD973" s="32" t="s">
        <v>521</v>
      </c>
      <c r="BE973" s="32" t="s">
        <v>522</v>
      </c>
      <c r="BF973" s="32"/>
      <c r="BG973" s="32"/>
      <c r="BH973" s="32"/>
      <c r="BI973" s="32"/>
      <c r="BJ973" s="32"/>
      <c r="BK973" s="32"/>
      <c r="BL973" s="32"/>
      <c r="BM973" s="32"/>
      <c r="BN973" s="32"/>
      <c r="BO973" s="32"/>
    </row>
    <row r="974" ht="25.5" customHeight="1">
      <c r="A974" s="28">
        <v>10280.0</v>
      </c>
      <c r="B974" s="37" t="b">
        <v>1</v>
      </c>
      <c r="C974" s="38" t="s">
        <v>238</v>
      </c>
      <c r="D974" s="38">
        <v>81.0</v>
      </c>
      <c r="E974" s="13" t="b">
        <v>0</v>
      </c>
      <c r="F974" s="13" t="b">
        <v>1</v>
      </c>
      <c r="G974" s="38" t="s">
        <v>224</v>
      </c>
      <c r="H974" s="38"/>
      <c r="I974" s="38" t="s">
        <v>743</v>
      </c>
      <c r="J974" s="38" t="s">
        <v>744</v>
      </c>
      <c r="K974" s="38"/>
      <c r="L974" s="38"/>
      <c r="M974" s="38" t="s">
        <v>411</v>
      </c>
      <c r="N974" s="38">
        <v>21000.0</v>
      </c>
      <c r="O974" s="38" t="s">
        <v>1203</v>
      </c>
      <c r="P974" s="40"/>
      <c r="Q974" s="38" t="s">
        <v>111</v>
      </c>
      <c r="R974" s="38">
        <v>41.0</v>
      </c>
      <c r="S974" s="38" t="s">
        <v>4066</v>
      </c>
      <c r="T974" s="38" t="s">
        <v>501</v>
      </c>
      <c r="U974" s="38" t="s">
        <v>502</v>
      </c>
      <c r="V974" s="55">
        <v>42013.0</v>
      </c>
      <c r="W974" s="38" t="s">
        <v>4070</v>
      </c>
      <c r="X974" s="49" t="str">
        <f t="shared" si="1"/>
        <v>http://www.zerowastescotland.org.uk/content/edinburgh-%E2%80%98nudging%E2%80%99-success-recycling</v>
      </c>
      <c r="Y974" s="38"/>
      <c r="Z974" s="38"/>
      <c r="AA974" s="38"/>
      <c r="AB974" s="38"/>
      <c r="AC974" s="38"/>
      <c r="AD974" s="38"/>
      <c r="AE974" s="38"/>
      <c r="AF974" s="38"/>
      <c r="AG974" s="28"/>
      <c r="AH974" s="28" t="s">
        <v>2977</v>
      </c>
      <c r="AI974" s="28" t="s">
        <v>2978</v>
      </c>
      <c r="AJ974" s="28"/>
      <c r="AK974" s="28"/>
      <c r="AL974" s="28" t="s">
        <v>4072</v>
      </c>
      <c r="AM974" s="28" t="s">
        <v>4073</v>
      </c>
      <c r="AN974" s="54">
        <v>42103.0</v>
      </c>
      <c r="AO974" s="54"/>
      <c r="AP974" s="103" t="str">
        <f>HYPERLINK("http://bit.ly/1BZKqpC","6/15/2016")</f>
        <v>6/15/2016</v>
      </c>
      <c r="AQ974" s="28" t="s">
        <v>769</v>
      </c>
      <c r="AR974" s="28"/>
      <c r="AS974" s="54">
        <v>42097.0</v>
      </c>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row>
    <row r="975" ht="25.5" customHeight="1">
      <c r="A975" s="32">
        <v>20037.0</v>
      </c>
      <c r="B975" s="37" t="b">
        <v>1</v>
      </c>
      <c r="C975" s="62" t="s">
        <v>274</v>
      </c>
      <c r="D975" s="62">
        <v>82.0</v>
      </c>
      <c r="E975" s="13" t="b">
        <v>1</v>
      </c>
      <c r="F975" s="13" t="b">
        <v>0</v>
      </c>
      <c r="G975" s="62" t="s">
        <v>224</v>
      </c>
      <c r="H975" s="62"/>
      <c r="I975" s="62" t="s">
        <v>490</v>
      </c>
      <c r="J975" s="67">
        <v>6.0</v>
      </c>
      <c r="K975" s="62" t="s">
        <v>491</v>
      </c>
      <c r="L975" s="38">
        <v>605.0</v>
      </c>
      <c r="M975" s="62" t="s">
        <v>408</v>
      </c>
      <c r="N975" s="38">
        <v>20000.0</v>
      </c>
      <c r="O975" s="62" t="s">
        <v>762</v>
      </c>
      <c r="P975" s="58"/>
      <c r="Q975" s="62" t="s">
        <v>111</v>
      </c>
      <c r="R975" s="67"/>
      <c r="S975" s="62"/>
      <c r="T975" s="62"/>
      <c r="U975" s="62"/>
      <c r="V975" s="62"/>
      <c r="W975" s="62"/>
      <c r="X975" s="62"/>
      <c r="Y975" s="62" t="s">
        <v>766</v>
      </c>
      <c r="Z975" s="62" t="s">
        <v>768</v>
      </c>
      <c r="AA975" s="62"/>
      <c r="AB975" s="62"/>
      <c r="AC975" s="62"/>
      <c r="AD975" s="62"/>
      <c r="AE975" s="62"/>
      <c r="AF975" s="62"/>
      <c r="AG975" s="32"/>
      <c r="AH975" s="32"/>
      <c r="AI975" s="32"/>
      <c r="AJ975" s="32"/>
      <c r="AK975" s="32"/>
      <c r="AL975" s="32"/>
      <c r="AM975" s="32"/>
      <c r="AN975" s="32"/>
      <c r="AO975" s="32"/>
      <c r="AP975" s="32"/>
      <c r="AQ975" s="32"/>
      <c r="AR975" s="32"/>
      <c r="AS975" s="32"/>
      <c r="AT975" s="32"/>
      <c r="AU975" s="32"/>
      <c r="AV975" s="32"/>
      <c r="AW975" s="32"/>
      <c r="AX975" s="32"/>
      <c r="AY975" s="32"/>
      <c r="AZ975" s="32"/>
      <c r="BA975" s="32"/>
      <c r="BB975" s="32"/>
      <c r="BC975" s="32">
        <v>1.0</v>
      </c>
      <c r="BD975" s="32" t="s">
        <v>770</v>
      </c>
      <c r="BE975" s="32" t="s">
        <v>114</v>
      </c>
      <c r="BF975" s="32"/>
      <c r="BG975" s="32"/>
      <c r="BH975" s="32"/>
      <c r="BI975" s="32"/>
      <c r="BJ975" s="32"/>
      <c r="BK975" s="32"/>
      <c r="BL975" s="32"/>
      <c r="BM975" s="32"/>
      <c r="BN975" s="32"/>
      <c r="BO975" s="32"/>
    </row>
    <row r="976" ht="25.5" customHeight="1">
      <c r="A976" s="32">
        <v>20039.0</v>
      </c>
      <c r="B976" s="37" t="b">
        <v>1</v>
      </c>
      <c r="C976" s="62" t="s">
        <v>274</v>
      </c>
      <c r="D976" s="62">
        <v>82.0</v>
      </c>
      <c r="E976" s="13" t="b">
        <v>0</v>
      </c>
      <c r="F976" s="13" t="b">
        <v>1</v>
      </c>
      <c r="G976" s="62" t="s">
        <v>224</v>
      </c>
      <c r="H976" s="62"/>
      <c r="I976" s="62" t="s">
        <v>490</v>
      </c>
      <c r="J976" s="67">
        <v>6.0</v>
      </c>
      <c r="K976" s="62" t="s">
        <v>673</v>
      </c>
      <c r="L976" s="62">
        <v>601.0</v>
      </c>
      <c r="M976" s="62" t="s">
        <v>35</v>
      </c>
      <c r="N976" s="38">
        <v>2000.0</v>
      </c>
      <c r="O976" s="62" t="s">
        <v>674</v>
      </c>
      <c r="P976" s="58"/>
      <c r="Q976" s="62" t="s">
        <v>431</v>
      </c>
      <c r="R976" s="67"/>
      <c r="S976" s="62"/>
      <c r="T976" s="62"/>
      <c r="U976" s="62"/>
      <c r="V976" s="62"/>
      <c r="W976" s="62"/>
      <c r="X976" s="49"/>
      <c r="Y976" s="62" t="s">
        <v>679</v>
      </c>
      <c r="Z976" s="62" t="s">
        <v>680</v>
      </c>
      <c r="AA976" s="62"/>
      <c r="AB976" s="49"/>
      <c r="AC976" s="62"/>
      <c r="AD976" s="62"/>
      <c r="AE976" s="62"/>
      <c r="AF976" s="62"/>
      <c r="AG976" s="32"/>
      <c r="AH976" s="32"/>
      <c r="AI976" s="32"/>
      <c r="AJ976" s="32"/>
      <c r="AK976" s="32"/>
      <c r="AL976" s="32"/>
      <c r="AM976" s="32"/>
      <c r="AN976" s="32"/>
      <c r="AO976" s="32"/>
      <c r="AP976" s="32"/>
      <c r="AQ976" s="32"/>
      <c r="AR976" s="32"/>
      <c r="AS976" s="32"/>
      <c r="AT976" s="32"/>
      <c r="AU976" s="32"/>
      <c r="AV976" s="32"/>
      <c r="AW976" s="32"/>
      <c r="AX976" s="32"/>
      <c r="AY976" s="32"/>
      <c r="AZ976" s="32"/>
      <c r="BA976" s="32"/>
      <c r="BB976" s="32"/>
      <c r="BC976" s="32">
        <v>3.0</v>
      </c>
      <c r="BD976" s="32" t="s">
        <v>681</v>
      </c>
      <c r="BE976" s="32" t="s">
        <v>682</v>
      </c>
      <c r="BF976" s="32"/>
      <c r="BG976" s="32"/>
      <c r="BH976" s="32"/>
      <c r="BI976" s="32"/>
      <c r="BJ976" s="32"/>
      <c r="BK976" s="32"/>
      <c r="BL976" s="32"/>
      <c r="BM976" s="32"/>
      <c r="BN976" s="32"/>
      <c r="BO976" s="32"/>
    </row>
    <row r="977" ht="25.5" customHeight="1">
      <c r="A977" s="32">
        <v>20058.0</v>
      </c>
      <c r="B977" s="37" t="b">
        <v>1</v>
      </c>
      <c r="C977" s="62" t="s">
        <v>274</v>
      </c>
      <c r="D977" s="62">
        <v>82.0</v>
      </c>
      <c r="E977" s="13" t="b">
        <v>0</v>
      </c>
      <c r="F977" s="13" t="b">
        <v>1</v>
      </c>
      <c r="G977" s="62" t="s">
        <v>224</v>
      </c>
      <c r="H977" s="62"/>
      <c r="I977" s="62" t="s">
        <v>387</v>
      </c>
      <c r="J977" s="67">
        <v>8.0</v>
      </c>
      <c r="K977" s="62" t="s">
        <v>389</v>
      </c>
      <c r="L977" s="38">
        <v>802.0</v>
      </c>
      <c r="M977" s="62" t="s">
        <v>35</v>
      </c>
      <c r="N977" s="38">
        <v>2000.0</v>
      </c>
      <c r="O977" s="62" t="s">
        <v>644</v>
      </c>
      <c r="P977" s="58"/>
      <c r="Q977" s="62" t="s">
        <v>431</v>
      </c>
      <c r="R977" s="67"/>
      <c r="S977" s="62"/>
      <c r="T977" s="62"/>
      <c r="U977" s="62"/>
      <c r="V977" s="62"/>
      <c r="W977" s="62"/>
      <c r="X977" s="62"/>
      <c r="Y977" s="62" t="s">
        <v>645</v>
      </c>
      <c r="Z977" s="62" t="s">
        <v>646</v>
      </c>
      <c r="AA977" s="62"/>
      <c r="AB977" s="62"/>
      <c r="AC977" s="62"/>
      <c r="AD977" s="62"/>
      <c r="AE977" s="62"/>
      <c r="AF977" s="62"/>
      <c r="AG977" s="32"/>
      <c r="AH977" s="32"/>
      <c r="AI977" s="32"/>
      <c r="AJ977" s="32"/>
      <c r="AK977" s="32"/>
      <c r="AL977" s="32"/>
      <c r="AM977" s="32"/>
      <c r="AN977" s="32"/>
      <c r="AO977" s="32"/>
      <c r="AP977" s="32"/>
      <c r="AQ977" s="32"/>
      <c r="AR977" s="32"/>
      <c r="AS977" s="32"/>
      <c r="AT977" s="32"/>
      <c r="AU977" s="32"/>
      <c r="AV977" s="32"/>
      <c r="AW977" s="32"/>
      <c r="AX977" s="32"/>
      <c r="AY977" s="32"/>
      <c r="AZ977" s="32"/>
      <c r="BA977" s="32"/>
      <c r="BB977" s="32"/>
      <c r="BC977" s="32">
        <v>1.0</v>
      </c>
      <c r="BD977" s="32" t="s">
        <v>647</v>
      </c>
      <c r="BE977" s="32" t="s">
        <v>146</v>
      </c>
      <c r="BF977" s="32"/>
      <c r="BG977" s="32"/>
      <c r="BH977" s="32"/>
      <c r="BI977" s="32"/>
      <c r="BJ977" s="32"/>
      <c r="BK977" s="32"/>
      <c r="BL977" s="32"/>
      <c r="BM977" s="32"/>
      <c r="BN977" s="32"/>
      <c r="BO977" s="32"/>
    </row>
    <row r="978" ht="25.5" customHeight="1">
      <c r="A978" s="32">
        <v>20063.0</v>
      </c>
      <c r="B978" s="37" t="b">
        <v>1</v>
      </c>
      <c r="C978" s="62" t="s">
        <v>274</v>
      </c>
      <c r="D978" s="62">
        <v>82.0</v>
      </c>
      <c r="E978" s="13" t="b">
        <v>0</v>
      </c>
      <c r="F978" s="13" t="b">
        <v>1</v>
      </c>
      <c r="G978" s="62" t="s">
        <v>224</v>
      </c>
      <c r="H978" s="62"/>
      <c r="I978" s="62" t="s">
        <v>387</v>
      </c>
      <c r="J978" s="67">
        <v>8.0</v>
      </c>
      <c r="K978" s="62" t="s">
        <v>594</v>
      </c>
      <c r="L978" s="62">
        <v>801.0</v>
      </c>
      <c r="M978" s="62" t="s">
        <v>35</v>
      </c>
      <c r="N978" s="38">
        <v>2000.0</v>
      </c>
      <c r="O978" s="62" t="s">
        <v>595</v>
      </c>
      <c r="P978" s="58"/>
      <c r="Q978" s="62" t="s">
        <v>431</v>
      </c>
      <c r="R978" s="67"/>
      <c r="S978" s="62"/>
      <c r="T978" s="62"/>
      <c r="U978" s="62"/>
      <c r="V978" s="62"/>
      <c r="W978" s="62"/>
      <c r="X978" s="62"/>
      <c r="Y978" s="62" t="s">
        <v>596</v>
      </c>
      <c r="Z978" s="62" t="s">
        <v>597</v>
      </c>
      <c r="AA978" s="62"/>
      <c r="AB978" s="62"/>
      <c r="AC978" s="62"/>
      <c r="AD978" s="62"/>
      <c r="AE978" s="62"/>
      <c r="AF978" s="62"/>
      <c r="AG978" s="32"/>
      <c r="AH978" s="32"/>
      <c r="AI978" s="32"/>
      <c r="AJ978" s="32"/>
      <c r="AK978" s="32"/>
      <c r="AL978" s="32"/>
      <c r="AM978" s="32"/>
      <c r="AN978" s="32"/>
      <c r="AO978" s="32"/>
      <c r="AP978" s="32"/>
      <c r="AQ978" s="32"/>
      <c r="AR978" s="32"/>
      <c r="AS978" s="32"/>
      <c r="AT978" s="32"/>
      <c r="AU978" s="32"/>
      <c r="AV978" s="32"/>
      <c r="AW978" s="32"/>
      <c r="AX978" s="32"/>
      <c r="AY978" s="32"/>
      <c r="AZ978" s="32"/>
      <c r="BA978" s="32"/>
      <c r="BB978" s="32" t="s">
        <v>598</v>
      </c>
      <c r="BC978" s="32">
        <v>3.0</v>
      </c>
      <c r="BD978" s="32" t="s">
        <v>599</v>
      </c>
      <c r="BE978" s="32" t="s">
        <v>114</v>
      </c>
      <c r="BF978" s="32"/>
      <c r="BG978" s="32"/>
      <c r="BH978" s="32"/>
      <c r="BI978" s="32"/>
      <c r="BJ978" s="32"/>
      <c r="BK978" s="32"/>
      <c r="BL978" s="32"/>
      <c r="BM978" s="32"/>
      <c r="BN978" s="32"/>
      <c r="BO978" s="32"/>
    </row>
    <row r="979" ht="25.5" customHeight="1">
      <c r="A979" s="32">
        <v>20064.0</v>
      </c>
      <c r="B979" s="37" t="b">
        <v>1</v>
      </c>
      <c r="C979" s="62" t="s">
        <v>274</v>
      </c>
      <c r="D979" s="62">
        <v>82.0</v>
      </c>
      <c r="E979" s="13" t="b">
        <v>0</v>
      </c>
      <c r="F979" s="13" t="b">
        <v>1</v>
      </c>
      <c r="G979" s="62" t="s">
        <v>224</v>
      </c>
      <c r="H979" s="62"/>
      <c r="I979" s="62" t="s">
        <v>387</v>
      </c>
      <c r="J979" s="67">
        <v>8.0</v>
      </c>
      <c r="K979" s="62" t="s">
        <v>594</v>
      </c>
      <c r="L979" s="62">
        <v>801.0</v>
      </c>
      <c r="M979" s="62" t="s">
        <v>35</v>
      </c>
      <c r="N979" s="38">
        <v>2000.0</v>
      </c>
      <c r="O979" s="62" t="s">
        <v>612</v>
      </c>
      <c r="P979" s="58"/>
      <c r="Q979" s="62" t="s">
        <v>431</v>
      </c>
      <c r="R979" s="67"/>
      <c r="S979" s="62"/>
      <c r="T979" s="62"/>
      <c r="U979" s="62"/>
      <c r="V979" s="62"/>
      <c r="W979" s="62"/>
      <c r="X979" s="62"/>
      <c r="Y979" s="62" t="s">
        <v>614</v>
      </c>
      <c r="Z979" s="62" t="s">
        <v>616</v>
      </c>
      <c r="AA979" s="62"/>
      <c r="AB979" s="62"/>
      <c r="AC979" s="62"/>
      <c r="AD979" s="62"/>
      <c r="AE979" s="62"/>
      <c r="AF979" s="62"/>
      <c r="AG979" s="32"/>
      <c r="AH979" s="32"/>
      <c r="AI979" s="32"/>
      <c r="AJ979" s="32"/>
      <c r="AK979" s="32"/>
      <c r="AL979" s="32"/>
      <c r="AM979" s="32"/>
      <c r="AN979" s="32"/>
      <c r="AO979" s="32"/>
      <c r="AP979" s="32"/>
      <c r="AQ979" s="32"/>
      <c r="AR979" s="32"/>
      <c r="AS979" s="32"/>
      <c r="AT979" s="32"/>
      <c r="AU979" s="32"/>
      <c r="AV979" s="32"/>
      <c r="AW979" s="32"/>
      <c r="AX979" s="32"/>
      <c r="AY979" s="32"/>
      <c r="AZ979" s="32"/>
      <c r="BA979" s="32"/>
      <c r="BB979" s="32"/>
      <c r="BC979" s="32">
        <v>3.0</v>
      </c>
      <c r="BD979" s="32" t="s">
        <v>617</v>
      </c>
      <c r="BE979" s="56" t="s">
        <v>618</v>
      </c>
      <c r="BF979" s="32"/>
      <c r="BG979" s="32"/>
      <c r="BH979" s="32"/>
      <c r="BI979" s="32"/>
      <c r="BJ979" s="32"/>
      <c r="BK979" s="32"/>
      <c r="BL979" s="32"/>
      <c r="BM979" s="32"/>
      <c r="BN979" s="32"/>
      <c r="BO979" s="32"/>
    </row>
    <row r="980" ht="25.5" customHeight="1">
      <c r="A980" s="32">
        <v>20065.0</v>
      </c>
      <c r="B980" s="37" t="b">
        <v>1</v>
      </c>
      <c r="C980" s="62" t="s">
        <v>274</v>
      </c>
      <c r="D980" s="62">
        <v>82.0</v>
      </c>
      <c r="E980" s="13" t="b">
        <v>0</v>
      </c>
      <c r="F980" s="13" t="b">
        <v>1</v>
      </c>
      <c r="G980" s="62" t="s">
        <v>224</v>
      </c>
      <c r="H980" s="62"/>
      <c r="I980" s="62" t="s">
        <v>387</v>
      </c>
      <c r="J980" s="67">
        <v>8.0</v>
      </c>
      <c r="K980" s="62" t="s">
        <v>594</v>
      </c>
      <c r="L980" s="62">
        <v>801.0</v>
      </c>
      <c r="M980" s="62" t="s">
        <v>35</v>
      </c>
      <c r="N980" s="38">
        <v>2000.0</v>
      </c>
      <c r="O980" s="62" t="s">
        <v>629</v>
      </c>
      <c r="P980" s="58"/>
      <c r="Q980" s="62" t="s">
        <v>111</v>
      </c>
      <c r="R980" s="67"/>
      <c r="S980" s="62"/>
      <c r="T980" s="62"/>
      <c r="U980" s="62"/>
      <c r="V980" s="62"/>
      <c r="W980" s="62"/>
      <c r="X980" s="62"/>
      <c r="Y980" s="62" t="s">
        <v>631</v>
      </c>
      <c r="Z980" s="62" t="s">
        <v>632</v>
      </c>
      <c r="AA980" s="62"/>
      <c r="AB980" s="62"/>
      <c r="AC980" s="62"/>
      <c r="AD980" s="62"/>
      <c r="AE980" s="62"/>
      <c r="AF980" s="62"/>
      <c r="AG980" s="32"/>
      <c r="AH980" s="32"/>
      <c r="AI980" s="32"/>
      <c r="AJ980" s="32"/>
      <c r="AK980" s="32"/>
      <c r="AL980" s="32"/>
      <c r="AM980" s="32"/>
      <c r="AN980" s="32"/>
      <c r="AO980" s="32"/>
      <c r="AP980" s="32"/>
      <c r="AQ980" s="32"/>
      <c r="AR980" s="32"/>
      <c r="AS980" s="32"/>
      <c r="AT980" s="32"/>
      <c r="AU980" s="32"/>
      <c r="AV980" s="32"/>
      <c r="AW980" s="32"/>
      <c r="AX980" s="32"/>
      <c r="AY980" s="32"/>
      <c r="AZ980" s="32"/>
      <c r="BA980" s="32"/>
      <c r="BB980" s="32"/>
      <c r="BC980" s="32">
        <v>3.0</v>
      </c>
      <c r="BD980" s="32" t="s">
        <v>633</v>
      </c>
      <c r="BE980" s="32" t="s">
        <v>114</v>
      </c>
      <c r="BF980" s="32"/>
      <c r="BG980" s="32"/>
      <c r="BH980" s="32"/>
      <c r="BI980" s="32"/>
      <c r="BJ980" s="32"/>
      <c r="BK980" s="32"/>
      <c r="BL980" s="32"/>
      <c r="BM980" s="32"/>
      <c r="BN980" s="32"/>
      <c r="BO980" s="32"/>
    </row>
    <row r="981" ht="25.5" customHeight="1">
      <c r="A981" s="32">
        <v>20068.0</v>
      </c>
      <c r="B981" s="37" t="b">
        <v>1</v>
      </c>
      <c r="C981" s="62" t="s">
        <v>274</v>
      </c>
      <c r="D981" s="62">
        <v>82.0</v>
      </c>
      <c r="E981" s="13" t="b">
        <v>0</v>
      </c>
      <c r="F981" s="13" t="b">
        <v>1</v>
      </c>
      <c r="G981" s="62" t="s">
        <v>224</v>
      </c>
      <c r="H981" s="62"/>
      <c r="I981" s="62" t="s">
        <v>772</v>
      </c>
      <c r="J981" s="67">
        <v>5.0</v>
      </c>
      <c r="K981" s="62" t="s">
        <v>836</v>
      </c>
      <c r="L981" s="62">
        <v>504.0</v>
      </c>
      <c r="M981" s="62" t="s">
        <v>35</v>
      </c>
      <c r="N981" s="38">
        <v>2000.0</v>
      </c>
      <c r="O981" s="62" t="s">
        <v>837</v>
      </c>
      <c r="P981" s="58"/>
      <c r="Q981" s="62" t="s">
        <v>431</v>
      </c>
      <c r="R981" s="67"/>
      <c r="S981" s="62"/>
      <c r="T981" s="62"/>
      <c r="U981" s="62"/>
      <c r="V981" s="62"/>
      <c r="W981" s="62"/>
      <c r="X981" s="62"/>
      <c r="Y981" s="62" t="s">
        <v>838</v>
      </c>
      <c r="Z981" s="62" t="s">
        <v>839</v>
      </c>
      <c r="AA981" s="62"/>
      <c r="AB981" s="62"/>
      <c r="AC981" s="62"/>
      <c r="AD981" s="62"/>
      <c r="AE981" s="62"/>
      <c r="AF981" s="62"/>
      <c r="AG981" s="32"/>
      <c r="AH981" s="32"/>
      <c r="AI981" s="32"/>
      <c r="AJ981" s="32"/>
      <c r="AK981" s="32"/>
      <c r="AL981" s="32"/>
      <c r="AM981" s="32"/>
      <c r="AN981" s="32"/>
      <c r="AO981" s="32"/>
      <c r="AP981" s="32"/>
      <c r="AQ981" s="32"/>
      <c r="AR981" s="32"/>
      <c r="AS981" s="32"/>
      <c r="AT981" s="32"/>
      <c r="AU981" s="32"/>
      <c r="AV981" s="32"/>
      <c r="AW981" s="32"/>
      <c r="AX981" s="32"/>
      <c r="AY981" s="32"/>
      <c r="AZ981" s="32"/>
      <c r="BA981" s="32"/>
      <c r="BB981" s="32"/>
      <c r="BC981" s="32">
        <v>1.0</v>
      </c>
      <c r="BD981" s="32" t="s">
        <v>374</v>
      </c>
      <c r="BE981" s="32" t="s">
        <v>146</v>
      </c>
      <c r="BF981" s="32"/>
      <c r="BG981" s="32"/>
      <c r="BH981" s="32"/>
      <c r="BI981" s="32"/>
      <c r="BJ981" s="32"/>
      <c r="BK981" s="32"/>
      <c r="BL981" s="32"/>
      <c r="BM981" s="32"/>
      <c r="BN981" s="32"/>
      <c r="BO981" s="32"/>
    </row>
    <row r="982" ht="25.5" customHeight="1">
      <c r="A982" s="32">
        <v>20070.0</v>
      </c>
      <c r="B982" s="37" t="b">
        <v>1</v>
      </c>
      <c r="C982" s="62" t="s">
        <v>274</v>
      </c>
      <c r="D982" s="62">
        <v>82.0</v>
      </c>
      <c r="E982" s="13" t="b">
        <v>0</v>
      </c>
      <c r="F982" s="13" t="b">
        <v>1</v>
      </c>
      <c r="G982" s="62" t="s">
        <v>224</v>
      </c>
      <c r="H982" s="62"/>
      <c r="I982" s="62" t="s">
        <v>772</v>
      </c>
      <c r="J982" s="67">
        <v>5.0</v>
      </c>
      <c r="K982" s="62" t="s">
        <v>847</v>
      </c>
      <c r="L982" s="62">
        <v>506.0</v>
      </c>
      <c r="M982" s="62" t="s">
        <v>35</v>
      </c>
      <c r="N982" s="38">
        <v>2000.0</v>
      </c>
      <c r="O982" s="62" t="s">
        <v>837</v>
      </c>
      <c r="P982" s="58"/>
      <c r="Q982" s="62" t="s">
        <v>431</v>
      </c>
      <c r="R982" s="67"/>
      <c r="S982" s="62"/>
      <c r="T982" s="62"/>
      <c r="U982" s="62"/>
      <c r="V982" s="62"/>
      <c r="W982" s="62"/>
      <c r="X982" s="62"/>
      <c r="Y982" s="62" t="s">
        <v>856</v>
      </c>
      <c r="Z982" s="62" t="s">
        <v>857</v>
      </c>
      <c r="AA982" s="62"/>
      <c r="AB982" s="62"/>
      <c r="AC982" s="62"/>
      <c r="AD982" s="62"/>
      <c r="AE982" s="62"/>
      <c r="AF982" s="62"/>
      <c r="AG982" s="32"/>
      <c r="AH982" s="32"/>
      <c r="AI982" s="32"/>
      <c r="AJ982" s="32"/>
      <c r="AK982" s="32"/>
      <c r="AL982" s="32"/>
      <c r="AM982" s="32"/>
      <c r="AN982" s="32"/>
      <c r="AO982" s="32"/>
      <c r="AP982" s="32"/>
      <c r="AQ982" s="32"/>
      <c r="AR982" s="32"/>
      <c r="AS982" s="32"/>
      <c r="AT982" s="32"/>
      <c r="AU982" s="32"/>
      <c r="AV982" s="32"/>
      <c r="AW982" s="32"/>
      <c r="AX982" s="32"/>
      <c r="AY982" s="32"/>
      <c r="AZ982" s="32"/>
      <c r="BA982" s="32"/>
      <c r="BB982" s="32"/>
      <c r="BC982" s="32">
        <v>1.0</v>
      </c>
      <c r="BD982" s="32" t="s">
        <v>374</v>
      </c>
      <c r="BE982" s="32" t="s">
        <v>704</v>
      </c>
      <c r="BF982" s="32"/>
      <c r="BG982" s="32"/>
      <c r="BH982" s="32"/>
      <c r="BI982" s="32"/>
      <c r="BJ982" s="32"/>
      <c r="BK982" s="32"/>
      <c r="BL982" s="32"/>
      <c r="BM982" s="32"/>
      <c r="BN982" s="32"/>
      <c r="BO982" s="32"/>
    </row>
    <row r="983" ht="25.5" customHeight="1">
      <c r="A983" s="32">
        <v>20075.0</v>
      </c>
      <c r="B983" s="37" t="b">
        <v>1</v>
      </c>
      <c r="C983" s="62" t="s">
        <v>274</v>
      </c>
      <c r="D983" s="62">
        <v>82.0</v>
      </c>
      <c r="E983" s="13" t="b">
        <v>0</v>
      </c>
      <c r="F983" s="13" t="b">
        <v>1</v>
      </c>
      <c r="G983" s="62" t="s">
        <v>224</v>
      </c>
      <c r="H983" s="62"/>
      <c r="I983" s="62" t="s">
        <v>779</v>
      </c>
      <c r="J983" s="67">
        <v>5.0</v>
      </c>
      <c r="K983" s="62" t="s">
        <v>858</v>
      </c>
      <c r="L983" s="62">
        <v>506.0</v>
      </c>
      <c r="M983" s="62" t="s">
        <v>35</v>
      </c>
      <c r="N983" s="38">
        <v>2000.0</v>
      </c>
      <c r="O983" s="62" t="s">
        <v>837</v>
      </c>
      <c r="P983" s="58"/>
      <c r="Q983" s="62" t="s">
        <v>431</v>
      </c>
      <c r="R983" s="67"/>
      <c r="S983" s="62"/>
      <c r="T983" s="62"/>
      <c r="U983" s="62"/>
      <c r="V983" s="62"/>
      <c r="W983" s="62"/>
      <c r="X983" s="62"/>
      <c r="Y983" s="62" t="s">
        <v>859</v>
      </c>
      <c r="Z983" s="62" t="s">
        <v>861</v>
      </c>
      <c r="AA983" s="62"/>
      <c r="AB983" s="62"/>
      <c r="AC983" s="62"/>
      <c r="AD983" s="62"/>
      <c r="AE983" s="62"/>
      <c r="AF983" s="62"/>
      <c r="AG983" s="32"/>
      <c r="AH983" s="32"/>
      <c r="AI983" s="32"/>
      <c r="AJ983" s="32"/>
      <c r="AK983" s="32"/>
      <c r="AL983" s="32"/>
      <c r="AM983" s="32"/>
      <c r="AN983" s="32"/>
      <c r="AO983" s="32"/>
      <c r="AP983" s="32"/>
      <c r="AQ983" s="32"/>
      <c r="AR983" s="32"/>
      <c r="AS983" s="32"/>
      <c r="AT983" s="32"/>
      <c r="AU983" s="32"/>
      <c r="AV983" s="32"/>
      <c r="AW983" s="32"/>
      <c r="AX983" s="32"/>
      <c r="AY983" s="32"/>
      <c r="AZ983" s="32"/>
      <c r="BA983" s="32"/>
      <c r="BB983" s="32"/>
      <c r="BC983" s="32">
        <v>1.0</v>
      </c>
      <c r="BD983" s="32" t="s">
        <v>374</v>
      </c>
      <c r="BE983" s="32" t="s">
        <v>704</v>
      </c>
      <c r="BF983" s="32"/>
      <c r="BG983" s="32"/>
      <c r="BH983" s="32"/>
      <c r="BI983" s="32"/>
      <c r="BJ983" s="32"/>
      <c r="BK983" s="32"/>
      <c r="BL983" s="32"/>
      <c r="BM983" s="32"/>
      <c r="BN983" s="32"/>
      <c r="BO983" s="32"/>
    </row>
    <row r="984" ht="25.5" customHeight="1">
      <c r="A984" s="32">
        <v>20076.0</v>
      </c>
      <c r="B984" s="37" t="b">
        <v>1</v>
      </c>
      <c r="C984" s="62" t="s">
        <v>274</v>
      </c>
      <c r="D984" s="62">
        <v>82.0</v>
      </c>
      <c r="E984" s="13" t="b">
        <v>0</v>
      </c>
      <c r="F984" s="13" t="b">
        <v>1</v>
      </c>
      <c r="G984" s="62" t="s">
        <v>224</v>
      </c>
      <c r="H984" s="62"/>
      <c r="I984" s="62" t="s">
        <v>779</v>
      </c>
      <c r="J984" s="67">
        <v>5.0</v>
      </c>
      <c r="K984" s="62" t="s">
        <v>858</v>
      </c>
      <c r="L984" s="62">
        <v>506.0</v>
      </c>
      <c r="M984" s="62" t="s">
        <v>35</v>
      </c>
      <c r="N984" s="38">
        <v>2000.0</v>
      </c>
      <c r="O984" s="62" t="s">
        <v>837</v>
      </c>
      <c r="P984" s="58"/>
      <c r="Q984" s="62" t="s">
        <v>431</v>
      </c>
      <c r="R984" s="67"/>
      <c r="S984" s="62"/>
      <c r="T984" s="62"/>
      <c r="U984" s="62"/>
      <c r="V984" s="62"/>
      <c r="W984" s="62"/>
      <c r="X984" s="62"/>
      <c r="Y984" s="62" t="s">
        <v>865</v>
      </c>
      <c r="Z984" s="62" t="s">
        <v>866</v>
      </c>
      <c r="AA984" s="62"/>
      <c r="AB984" s="62"/>
      <c r="AC984" s="62"/>
      <c r="AD984" s="62"/>
      <c r="AE984" s="62"/>
      <c r="AF984" s="62"/>
      <c r="AG984" s="32"/>
      <c r="AH984" s="32"/>
      <c r="AI984" s="32"/>
      <c r="AJ984" s="32"/>
      <c r="AK984" s="32"/>
      <c r="AL984" s="32"/>
      <c r="AM984" s="32"/>
      <c r="AN984" s="32"/>
      <c r="AO984" s="32"/>
      <c r="AP984" s="32"/>
      <c r="AQ984" s="32"/>
      <c r="AR984" s="32"/>
      <c r="AS984" s="32"/>
      <c r="AT984" s="32"/>
      <c r="AU984" s="32"/>
      <c r="AV984" s="32"/>
      <c r="AW984" s="32"/>
      <c r="AX984" s="32"/>
      <c r="AY984" s="32"/>
      <c r="AZ984" s="32"/>
      <c r="BA984" s="32"/>
      <c r="BB984" s="32"/>
      <c r="BC984" s="32">
        <v>1.0</v>
      </c>
      <c r="BD984" s="32" t="s">
        <v>374</v>
      </c>
      <c r="BE984" s="32" t="s">
        <v>704</v>
      </c>
      <c r="BF984" s="32"/>
      <c r="BG984" s="32"/>
      <c r="BH984" s="32"/>
      <c r="BI984" s="32"/>
      <c r="BJ984" s="32"/>
      <c r="BK984" s="32"/>
      <c r="BL984" s="32"/>
      <c r="BM984" s="32"/>
      <c r="BN984" s="32"/>
      <c r="BO984" s="32"/>
    </row>
    <row r="985" ht="25.5" customHeight="1">
      <c r="A985" s="32">
        <v>20019.0</v>
      </c>
      <c r="B985" s="37" t="b">
        <v>1</v>
      </c>
      <c r="C985" s="62" t="s">
        <v>274</v>
      </c>
      <c r="D985" s="62">
        <v>82.0</v>
      </c>
      <c r="E985" s="13" t="b">
        <v>0</v>
      </c>
      <c r="F985" s="13" t="b">
        <v>1</v>
      </c>
      <c r="G985" s="62" t="s">
        <v>224</v>
      </c>
      <c r="H985" s="62"/>
      <c r="I985" s="62" t="s">
        <v>429</v>
      </c>
      <c r="J985" s="67">
        <v>2.0</v>
      </c>
      <c r="K985" s="62" t="s">
        <v>550</v>
      </c>
      <c r="L985" s="62">
        <v>205.0</v>
      </c>
      <c r="M985" s="62" t="s">
        <v>107</v>
      </c>
      <c r="N985" s="38">
        <v>3000.0</v>
      </c>
      <c r="O985" s="62" t="s">
        <v>551</v>
      </c>
      <c r="P985" s="58"/>
      <c r="Q985" s="62" t="s">
        <v>111</v>
      </c>
      <c r="R985" s="67"/>
      <c r="S985" s="62"/>
      <c r="T985" s="62"/>
      <c r="U985" s="62"/>
      <c r="V985" s="62"/>
      <c r="W985" s="62"/>
      <c r="X985" s="62"/>
      <c r="Y985" s="62" t="s">
        <v>556</v>
      </c>
      <c r="Z985" s="62" t="s">
        <v>557</v>
      </c>
      <c r="AA985" s="62"/>
      <c r="AB985" s="62"/>
      <c r="AC985" s="62"/>
      <c r="AD985" s="62"/>
      <c r="AE985" s="62"/>
      <c r="AF985" s="62"/>
      <c r="AG985" s="32"/>
      <c r="AH985" s="32"/>
      <c r="AI985" s="32"/>
      <c r="AJ985" s="32"/>
      <c r="AK985" s="32"/>
      <c r="AL985" s="32"/>
      <c r="AM985" s="32"/>
      <c r="AN985" s="32"/>
      <c r="AO985" s="32"/>
      <c r="AP985" s="32"/>
      <c r="AQ985" s="32"/>
      <c r="AR985" s="32"/>
      <c r="AS985" s="32"/>
      <c r="AT985" s="32"/>
      <c r="AU985" s="32"/>
      <c r="AV985" s="32"/>
      <c r="AW985" s="32"/>
      <c r="AX985" s="32"/>
      <c r="AY985" s="32"/>
      <c r="AZ985" s="32"/>
      <c r="BA985" s="32"/>
      <c r="BB985" s="32"/>
      <c r="BC985" s="32">
        <v>1.0</v>
      </c>
      <c r="BD985" s="32" t="s">
        <v>558</v>
      </c>
      <c r="BE985" s="32" t="s">
        <v>375</v>
      </c>
      <c r="BF985" s="32"/>
      <c r="BG985" s="32"/>
      <c r="BH985" s="32"/>
      <c r="BI985" s="32"/>
      <c r="BJ985" s="32"/>
      <c r="BK985" s="32"/>
      <c r="BL985" s="32"/>
      <c r="BM985" s="32"/>
      <c r="BN985" s="32"/>
      <c r="BO985" s="32"/>
    </row>
    <row r="986" ht="25.5" customHeight="1">
      <c r="A986" s="32">
        <v>20020.0</v>
      </c>
      <c r="B986" s="37" t="b">
        <v>1</v>
      </c>
      <c r="C986" s="62" t="s">
        <v>274</v>
      </c>
      <c r="D986" s="62">
        <v>82.0</v>
      </c>
      <c r="E986" s="13" t="b">
        <v>0</v>
      </c>
      <c r="F986" s="13" t="b">
        <v>1</v>
      </c>
      <c r="G986" s="62" t="s">
        <v>224</v>
      </c>
      <c r="H986" s="62"/>
      <c r="I986" s="62" t="s">
        <v>429</v>
      </c>
      <c r="J986" s="67">
        <v>2.0</v>
      </c>
      <c r="K986" s="62" t="s">
        <v>524</v>
      </c>
      <c r="L986" s="38">
        <v>205.0</v>
      </c>
      <c r="M986" s="62" t="s">
        <v>107</v>
      </c>
      <c r="N986" s="38">
        <v>3000.0</v>
      </c>
      <c r="O986" s="62" t="s">
        <v>537</v>
      </c>
      <c r="P986" s="58"/>
      <c r="Q986" s="62" t="s">
        <v>431</v>
      </c>
      <c r="R986" s="67"/>
      <c r="S986" s="62"/>
      <c r="T986" s="62"/>
      <c r="U986" s="62"/>
      <c r="V986" s="62"/>
      <c r="W986" s="62"/>
      <c r="X986" s="62"/>
      <c r="Y986" s="62" t="s">
        <v>540</v>
      </c>
      <c r="Z986" s="62" t="s">
        <v>543</v>
      </c>
      <c r="AA986" s="62"/>
      <c r="AB986" s="62"/>
      <c r="AC986" s="62"/>
      <c r="AD986" s="62"/>
      <c r="AE986" s="62"/>
      <c r="AF986" s="62"/>
      <c r="AG986" s="32"/>
      <c r="AH986" s="32"/>
      <c r="AI986" s="32"/>
      <c r="AJ986" s="32"/>
      <c r="AK986" s="32"/>
      <c r="AL986" s="32"/>
      <c r="AM986" s="32"/>
      <c r="AN986" s="32"/>
      <c r="AO986" s="32"/>
      <c r="AP986" s="32"/>
      <c r="AQ986" s="32"/>
      <c r="AR986" s="32"/>
      <c r="AS986" s="32"/>
      <c r="AT986" s="32"/>
      <c r="AU986" s="32"/>
      <c r="AV986" s="32"/>
      <c r="AW986" s="32"/>
      <c r="AX986" s="32"/>
      <c r="AY986" s="32"/>
      <c r="AZ986" s="32"/>
      <c r="BA986" s="32"/>
      <c r="BB986" s="32"/>
      <c r="BC986" s="32">
        <v>1.0</v>
      </c>
      <c r="BD986" s="32" t="s">
        <v>374</v>
      </c>
      <c r="BE986" s="32" t="s">
        <v>375</v>
      </c>
      <c r="BF986" s="32"/>
      <c r="BG986" s="32"/>
      <c r="BH986" s="32"/>
      <c r="BI986" s="32"/>
      <c r="BJ986" s="32"/>
      <c r="BK986" s="32"/>
      <c r="BL986" s="32"/>
      <c r="BM986" s="32"/>
      <c r="BN986" s="32"/>
      <c r="BO986" s="32"/>
    </row>
    <row r="987" ht="25.5" customHeight="1">
      <c r="A987" s="32">
        <v>20029.0</v>
      </c>
      <c r="B987" s="37" t="b">
        <v>1</v>
      </c>
      <c r="C987" s="62" t="s">
        <v>274</v>
      </c>
      <c r="D987" s="62">
        <v>82.0</v>
      </c>
      <c r="E987" s="13" t="b">
        <v>0</v>
      </c>
      <c r="F987" s="13" t="b">
        <v>1</v>
      </c>
      <c r="G987" s="62" t="s">
        <v>224</v>
      </c>
      <c r="H987" s="62"/>
      <c r="I987" s="62" t="s">
        <v>490</v>
      </c>
      <c r="J987" s="67">
        <v>6.0</v>
      </c>
      <c r="K987" s="62" t="s">
        <v>684</v>
      </c>
      <c r="L987" s="62">
        <v>602.0</v>
      </c>
      <c r="M987" s="62" t="s">
        <v>107</v>
      </c>
      <c r="N987" s="38">
        <v>3000.0</v>
      </c>
      <c r="O987" s="62" t="s">
        <v>470</v>
      </c>
      <c r="P987" s="58"/>
      <c r="Q987" s="62" t="s">
        <v>95</v>
      </c>
      <c r="R987" s="67"/>
      <c r="S987" s="62"/>
      <c r="T987" s="62"/>
      <c r="U987" s="62"/>
      <c r="V987" s="62"/>
      <c r="W987" s="62"/>
      <c r="X987" s="62"/>
      <c r="Y987" s="62" t="s">
        <v>693</v>
      </c>
      <c r="Z987" s="62" t="s">
        <v>694</v>
      </c>
      <c r="AA987" s="62"/>
      <c r="AB987" s="62"/>
      <c r="AC987" s="62"/>
      <c r="AD987" s="62"/>
      <c r="AE987" s="62"/>
      <c r="AF987" s="62"/>
      <c r="AG987" s="32"/>
      <c r="AH987" s="32"/>
      <c r="AI987" s="32"/>
      <c r="AJ987" s="32"/>
      <c r="AK987" s="32"/>
      <c r="AL987" s="32"/>
      <c r="AM987" s="32"/>
      <c r="AN987" s="32"/>
      <c r="AO987" s="32"/>
      <c r="AP987" s="32"/>
      <c r="AQ987" s="32"/>
      <c r="AR987" s="32"/>
      <c r="AS987" s="32"/>
      <c r="AT987" s="32"/>
      <c r="AU987" s="32"/>
      <c r="AV987" s="32"/>
      <c r="AW987" s="32"/>
      <c r="AX987" s="32"/>
      <c r="AY987" s="32"/>
      <c r="AZ987" s="32"/>
      <c r="BA987" s="32"/>
      <c r="BB987" s="32"/>
      <c r="BC987" s="32">
        <v>1.0</v>
      </c>
      <c r="BD987" s="32" t="s">
        <v>695</v>
      </c>
      <c r="BE987" s="32" t="s">
        <v>114</v>
      </c>
      <c r="BF987" s="32"/>
      <c r="BG987" s="32"/>
      <c r="BH987" s="32"/>
      <c r="BI987" s="32"/>
      <c r="BJ987" s="32"/>
      <c r="BK987" s="32"/>
      <c r="BL987" s="32"/>
      <c r="BM987" s="32"/>
      <c r="BN987" s="32"/>
      <c r="BO987" s="32"/>
    </row>
    <row r="988" ht="25.5" customHeight="1">
      <c r="A988" s="32">
        <v>20030.0</v>
      </c>
      <c r="B988" s="37" t="b">
        <v>1</v>
      </c>
      <c r="C988" s="62" t="s">
        <v>274</v>
      </c>
      <c r="D988" s="62">
        <v>82.0</v>
      </c>
      <c r="E988" s="13" t="b">
        <v>0</v>
      </c>
      <c r="F988" s="13" t="b">
        <v>1</v>
      </c>
      <c r="G988" s="62" t="s">
        <v>224</v>
      </c>
      <c r="H988" s="62"/>
      <c r="I988" s="62" t="s">
        <v>490</v>
      </c>
      <c r="J988" s="67">
        <v>6.0</v>
      </c>
      <c r="K988" s="62" t="s">
        <v>684</v>
      </c>
      <c r="L988" s="62">
        <v>602.0</v>
      </c>
      <c r="M988" s="62" t="s">
        <v>107</v>
      </c>
      <c r="N988" s="38">
        <v>3000.0</v>
      </c>
      <c r="O988" s="62" t="s">
        <v>116</v>
      </c>
      <c r="P988" s="58"/>
      <c r="Q988" s="62" t="s">
        <v>431</v>
      </c>
      <c r="R988" s="67"/>
      <c r="S988" s="62"/>
      <c r="T988" s="62"/>
      <c r="U988" s="62"/>
      <c r="V988" s="62"/>
      <c r="W988" s="62"/>
      <c r="X988" s="62"/>
      <c r="Y988" s="62" t="s">
        <v>705</v>
      </c>
      <c r="Z988" s="62" t="s">
        <v>706</v>
      </c>
      <c r="AA988" s="62"/>
      <c r="AB988" s="62"/>
      <c r="AC988" s="62"/>
      <c r="AD988" s="62"/>
      <c r="AE988" s="62"/>
      <c r="AF988" s="62"/>
      <c r="AG988" s="32"/>
      <c r="AH988" s="32"/>
      <c r="AI988" s="32"/>
      <c r="AJ988" s="32"/>
      <c r="AK988" s="32"/>
      <c r="AL988" s="32"/>
      <c r="AM988" s="32"/>
      <c r="AN988" s="32"/>
      <c r="AO988" s="32"/>
      <c r="AP988" s="32"/>
      <c r="AQ988" s="32"/>
      <c r="AR988" s="32"/>
      <c r="AS988" s="32"/>
      <c r="AT988" s="32"/>
      <c r="AU988" s="32"/>
      <c r="AV988" s="32"/>
      <c r="AW988" s="32"/>
      <c r="AX988" s="32"/>
      <c r="AY988" s="32"/>
      <c r="AZ988" s="32"/>
      <c r="BA988" s="32"/>
      <c r="BB988" s="32" t="s">
        <v>343</v>
      </c>
      <c r="BC988" s="32">
        <v>1.0</v>
      </c>
      <c r="BD988" s="32" t="s">
        <v>707</v>
      </c>
      <c r="BE988" s="32" t="s">
        <v>704</v>
      </c>
      <c r="BF988" s="32"/>
      <c r="BG988" s="32"/>
      <c r="BH988" s="32"/>
      <c r="BI988" s="32"/>
      <c r="BJ988" s="32"/>
      <c r="BK988" s="32"/>
      <c r="BL988" s="32"/>
      <c r="BM988" s="32"/>
      <c r="BN988" s="32"/>
      <c r="BO988" s="32"/>
    </row>
    <row r="989" ht="25.5" customHeight="1">
      <c r="A989" s="32">
        <v>20054.0</v>
      </c>
      <c r="B989" s="37" t="b">
        <v>1</v>
      </c>
      <c r="C989" s="62" t="s">
        <v>274</v>
      </c>
      <c r="D989" s="62">
        <v>82.0</v>
      </c>
      <c r="E989" s="13" t="b">
        <v>0</v>
      </c>
      <c r="F989" s="13" t="b">
        <v>1</v>
      </c>
      <c r="G989" s="62" t="s">
        <v>224</v>
      </c>
      <c r="H989" s="62"/>
      <c r="I989" s="62" t="s">
        <v>68</v>
      </c>
      <c r="J989" s="67">
        <v>7.0</v>
      </c>
      <c r="K989" s="62" t="s">
        <v>141</v>
      </c>
      <c r="L989" s="62">
        <v>702.0</v>
      </c>
      <c r="M989" s="62" t="s">
        <v>107</v>
      </c>
      <c r="N989" s="38">
        <v>3000.0</v>
      </c>
      <c r="O989" s="62" t="s">
        <v>131</v>
      </c>
      <c r="P989" s="58"/>
      <c r="Q989" s="62" t="s">
        <v>117</v>
      </c>
      <c r="R989" s="67"/>
      <c r="S989" s="62"/>
      <c r="T989" s="62"/>
      <c r="U989" s="62"/>
      <c r="V989" s="62"/>
      <c r="W989" s="62"/>
      <c r="X989" s="62"/>
      <c r="Y989" s="62" t="s">
        <v>147</v>
      </c>
      <c r="Z989" s="62" t="s">
        <v>148</v>
      </c>
      <c r="AA989" s="62"/>
      <c r="AB989" s="62"/>
      <c r="AC989" s="62"/>
      <c r="AD989" s="62"/>
      <c r="AE989" s="62"/>
      <c r="AF989" s="62"/>
      <c r="AG989" s="32"/>
      <c r="AH989" s="32"/>
      <c r="AI989" s="32"/>
      <c r="AJ989" s="32"/>
      <c r="AK989" s="32"/>
      <c r="AL989" s="32"/>
      <c r="AM989" s="32"/>
      <c r="AN989" s="32"/>
      <c r="AO989" s="32"/>
      <c r="AP989" s="32"/>
      <c r="AQ989" s="32"/>
      <c r="AR989" s="32"/>
      <c r="AS989" s="32"/>
      <c r="AT989" s="32"/>
      <c r="AU989" s="32"/>
      <c r="AV989" s="32"/>
      <c r="AW989" s="32"/>
      <c r="AX989" s="32"/>
      <c r="AY989" s="32"/>
      <c r="AZ989" s="32"/>
      <c r="BA989" s="32"/>
      <c r="BB989" s="32" t="s">
        <v>149</v>
      </c>
      <c r="BC989" s="32">
        <v>1.0</v>
      </c>
      <c r="BD989" s="32" t="s">
        <v>150</v>
      </c>
      <c r="BE989" s="32" t="s">
        <v>114</v>
      </c>
      <c r="BF989" s="32"/>
      <c r="BG989" s="32"/>
      <c r="BH989" s="32"/>
      <c r="BI989" s="32"/>
      <c r="BJ989" s="32"/>
      <c r="BK989" s="32"/>
      <c r="BL989" s="32"/>
      <c r="BM989" s="32"/>
      <c r="BN989" s="32"/>
      <c r="BO989" s="32"/>
    </row>
    <row r="990" ht="25.5" customHeight="1">
      <c r="A990" s="32">
        <v>20072.0</v>
      </c>
      <c r="B990" s="37" t="b">
        <v>1</v>
      </c>
      <c r="C990" s="62" t="s">
        <v>274</v>
      </c>
      <c r="D990" s="62">
        <v>82.0</v>
      </c>
      <c r="E990" s="13" t="b">
        <v>0</v>
      </c>
      <c r="F990" s="13" t="b">
        <v>1</v>
      </c>
      <c r="G990" s="62" t="s">
        <v>224</v>
      </c>
      <c r="H990" s="62"/>
      <c r="I990" s="62" t="s">
        <v>772</v>
      </c>
      <c r="J990" s="67">
        <v>5.0</v>
      </c>
      <c r="K990" s="62" t="s">
        <v>820</v>
      </c>
      <c r="L990" s="62">
        <v>502.0</v>
      </c>
      <c r="M990" s="62" t="s">
        <v>107</v>
      </c>
      <c r="N990" s="38">
        <v>3000.0</v>
      </c>
      <c r="O990" s="62" t="s">
        <v>821</v>
      </c>
      <c r="P990" s="58"/>
      <c r="Q990" s="62" t="s">
        <v>431</v>
      </c>
      <c r="R990" s="67"/>
      <c r="S990" s="62"/>
      <c r="T990" s="62"/>
      <c r="U990" s="62"/>
      <c r="V990" s="62"/>
      <c r="W990" s="62"/>
      <c r="X990" s="62"/>
      <c r="Y990" s="62" t="s">
        <v>823</v>
      </c>
      <c r="Z990" s="62" t="s">
        <v>824</v>
      </c>
      <c r="AA990" s="62"/>
      <c r="AB990" s="62"/>
      <c r="AC990" s="62"/>
      <c r="AD990" s="62"/>
      <c r="AE990" s="62"/>
      <c r="AF990" s="62"/>
      <c r="AG990" s="32"/>
      <c r="AH990" s="32"/>
      <c r="AI990" s="32"/>
      <c r="AJ990" s="32"/>
      <c r="AK990" s="32"/>
      <c r="AL990" s="32"/>
      <c r="AM990" s="32"/>
      <c r="AN990" s="32"/>
      <c r="AO990" s="32"/>
      <c r="AP990" s="32"/>
      <c r="AQ990" s="32"/>
      <c r="AR990" s="32"/>
      <c r="AS990" s="32"/>
      <c r="AT990" s="32"/>
      <c r="AU990" s="32"/>
      <c r="AV990" s="32"/>
      <c r="AW990" s="32"/>
      <c r="AX990" s="32"/>
      <c r="AY990" s="32"/>
      <c r="AZ990" s="32"/>
      <c r="BA990" s="32"/>
      <c r="BB990" s="32"/>
      <c r="BC990" s="32">
        <v>1.0</v>
      </c>
      <c r="BD990" s="32" t="s">
        <v>719</v>
      </c>
      <c r="BE990" s="32" t="s">
        <v>704</v>
      </c>
      <c r="BF990" s="32"/>
      <c r="BG990" s="32"/>
      <c r="BH990" s="32"/>
      <c r="BI990" s="32"/>
      <c r="BJ990" s="32"/>
      <c r="BK990" s="32"/>
      <c r="BL990" s="32"/>
      <c r="BM990" s="32"/>
      <c r="BN990" s="32"/>
      <c r="BO990" s="32"/>
    </row>
    <row r="991" ht="25.5" customHeight="1">
      <c r="A991" s="32">
        <v>20080.0</v>
      </c>
      <c r="B991" s="37" t="b">
        <v>1</v>
      </c>
      <c r="C991" s="62" t="s">
        <v>274</v>
      </c>
      <c r="D991" s="62">
        <v>82.0</v>
      </c>
      <c r="E991" s="13" t="b">
        <v>0</v>
      </c>
      <c r="F991" s="13" t="b">
        <v>1</v>
      </c>
      <c r="G991" s="62" t="s">
        <v>224</v>
      </c>
      <c r="H991" s="62"/>
      <c r="I991" s="62" t="s">
        <v>779</v>
      </c>
      <c r="J991" s="67">
        <v>5.0</v>
      </c>
      <c r="K991" s="62" t="s">
        <v>797</v>
      </c>
      <c r="L991" s="62">
        <v>501.0</v>
      </c>
      <c r="M991" s="62" t="s">
        <v>107</v>
      </c>
      <c r="N991" s="38">
        <v>3000.0</v>
      </c>
      <c r="O991" s="62" t="s">
        <v>798</v>
      </c>
      <c r="P991" s="58"/>
      <c r="Q991" s="62" t="s">
        <v>117</v>
      </c>
      <c r="R991" s="67"/>
      <c r="S991" s="62"/>
      <c r="T991" s="62"/>
      <c r="U991" s="62"/>
      <c r="V991" s="62"/>
      <c r="W991" s="62"/>
      <c r="X991" s="62"/>
      <c r="Y991" s="62" t="s">
        <v>799</v>
      </c>
      <c r="Z991" s="62" t="s">
        <v>800</v>
      </c>
      <c r="AA991" s="62"/>
      <c r="AB991" s="62"/>
      <c r="AC991" s="62"/>
      <c r="AD991" s="62"/>
      <c r="AE991" s="62"/>
      <c r="AF991" s="62"/>
      <c r="AG991" s="32"/>
      <c r="AH991" s="32"/>
      <c r="AI991" s="32"/>
      <c r="AJ991" s="32"/>
      <c r="AK991" s="32"/>
      <c r="AL991" s="32"/>
      <c r="AM991" s="32"/>
      <c r="AN991" s="32"/>
      <c r="AO991" s="32"/>
      <c r="AP991" s="32"/>
      <c r="AQ991" s="32"/>
      <c r="AR991" s="32"/>
      <c r="AS991" s="32"/>
      <c r="AT991" s="32"/>
      <c r="AU991" s="32"/>
      <c r="AV991" s="32"/>
      <c r="AW991" s="32"/>
      <c r="AX991" s="32"/>
      <c r="AY991" s="32"/>
      <c r="AZ991" s="32"/>
      <c r="BA991" s="32"/>
      <c r="BB991" s="32"/>
      <c r="BC991" s="32">
        <v>3.0</v>
      </c>
      <c r="BD991" s="32" t="s">
        <v>801</v>
      </c>
      <c r="BE991" s="32" t="s">
        <v>114</v>
      </c>
      <c r="BF991" s="32"/>
      <c r="BG991" s="32"/>
      <c r="BH991" s="32"/>
      <c r="BI991" s="32"/>
      <c r="BJ991" s="32"/>
      <c r="BK991" s="32"/>
      <c r="BL991" s="32"/>
      <c r="BM991" s="32"/>
      <c r="BN991" s="32"/>
      <c r="BO991" s="32"/>
    </row>
    <row r="992" ht="25.5" customHeight="1">
      <c r="A992" s="32">
        <v>20002.0</v>
      </c>
      <c r="B992" s="37" t="b">
        <v>1</v>
      </c>
      <c r="C992" s="62" t="s">
        <v>274</v>
      </c>
      <c r="D992" s="62">
        <v>82.0</v>
      </c>
      <c r="E992" s="13" t="b">
        <v>0</v>
      </c>
      <c r="F992" s="13" t="b">
        <v>1</v>
      </c>
      <c r="G992" s="62" t="s">
        <v>224</v>
      </c>
      <c r="H992" s="62"/>
      <c r="I992" s="62" t="s">
        <v>265</v>
      </c>
      <c r="J992" s="67">
        <v>9.0</v>
      </c>
      <c r="K992" s="62" t="s">
        <v>305</v>
      </c>
      <c r="L992" s="62">
        <v>904.0</v>
      </c>
      <c r="M992" s="62" t="s">
        <v>239</v>
      </c>
      <c r="N992" s="38">
        <v>4000.0</v>
      </c>
      <c r="O992" s="62" t="s">
        <v>70</v>
      </c>
      <c r="P992" s="58"/>
      <c r="Q992" s="62" t="s">
        <v>117</v>
      </c>
      <c r="R992" s="67"/>
      <c r="S992" s="62"/>
      <c r="T992" s="62"/>
      <c r="U992" s="62"/>
      <c r="V992" s="62"/>
      <c r="W992" s="62"/>
      <c r="X992" s="62"/>
      <c r="Y992" s="62" t="s">
        <v>315</v>
      </c>
      <c r="Z992" s="62" t="s">
        <v>316</v>
      </c>
      <c r="AA992" s="62"/>
      <c r="AB992" s="62"/>
      <c r="AC992" s="62"/>
      <c r="AD992" s="62"/>
      <c r="AE992" s="62"/>
      <c r="AF992" s="62"/>
      <c r="AG992" s="32"/>
      <c r="AH992" s="32"/>
      <c r="AI992" s="32"/>
      <c r="AJ992" s="32"/>
      <c r="AK992" s="32"/>
      <c r="AL992" s="32"/>
      <c r="AM992" s="32"/>
      <c r="AN992" s="32"/>
      <c r="AO992" s="32"/>
      <c r="AP992" s="32"/>
      <c r="AQ992" s="32"/>
      <c r="AR992" s="32"/>
      <c r="AS992" s="32"/>
      <c r="AT992" s="32"/>
      <c r="AU992" s="32"/>
      <c r="AV992" s="32"/>
      <c r="AW992" s="32"/>
      <c r="AX992" s="32"/>
      <c r="AY992" s="32"/>
      <c r="AZ992" s="32"/>
      <c r="BA992" s="32"/>
      <c r="BB992" s="32" t="s">
        <v>317</v>
      </c>
      <c r="BC992" s="32">
        <v>1.0</v>
      </c>
      <c r="BD992" s="32" t="s">
        <v>126</v>
      </c>
      <c r="BE992" s="32" t="s">
        <v>146</v>
      </c>
      <c r="BF992" s="32"/>
      <c r="BG992" s="32"/>
      <c r="BH992" s="32"/>
      <c r="BI992" s="32"/>
      <c r="BJ992" s="32"/>
      <c r="BK992" s="32"/>
      <c r="BL992" s="32"/>
      <c r="BM992" s="32"/>
      <c r="BN992" s="32"/>
      <c r="BO992" s="32"/>
    </row>
    <row r="993" ht="25.5" customHeight="1">
      <c r="A993" s="32">
        <v>20003.0</v>
      </c>
      <c r="B993" s="37" t="b">
        <v>1</v>
      </c>
      <c r="C993" s="62" t="s">
        <v>274</v>
      </c>
      <c r="D993" s="62">
        <v>82.0</v>
      </c>
      <c r="E993" s="13" t="b">
        <v>0</v>
      </c>
      <c r="F993" s="13" t="b">
        <v>1</v>
      </c>
      <c r="G993" s="62" t="s">
        <v>224</v>
      </c>
      <c r="H993" s="62"/>
      <c r="I993" s="62" t="s">
        <v>265</v>
      </c>
      <c r="J993" s="67">
        <v>9.0</v>
      </c>
      <c r="K993" s="62" t="s">
        <v>305</v>
      </c>
      <c r="L993" s="62">
        <v>904.0</v>
      </c>
      <c r="M993" s="62" t="s">
        <v>239</v>
      </c>
      <c r="N993" s="38">
        <v>4000.0</v>
      </c>
      <c r="O993" s="62" t="s">
        <v>70</v>
      </c>
      <c r="P993" s="58"/>
      <c r="Q993" s="62" t="s">
        <v>117</v>
      </c>
      <c r="R993" s="67"/>
      <c r="S993" s="62"/>
      <c r="T993" s="62"/>
      <c r="U993" s="62"/>
      <c r="V993" s="62"/>
      <c r="W993" s="62"/>
      <c r="X993" s="62"/>
      <c r="Y993" s="62" t="s">
        <v>330</v>
      </c>
      <c r="Z993" s="62" t="s">
        <v>333</v>
      </c>
      <c r="AA993" s="62"/>
      <c r="AB993" s="62"/>
      <c r="AC993" s="62"/>
      <c r="AD993" s="62"/>
      <c r="AE993" s="62"/>
      <c r="AF993" s="62"/>
      <c r="AG993" s="32"/>
      <c r="AH993" s="32"/>
      <c r="AI993" s="32"/>
      <c r="AJ993" s="32"/>
      <c r="AK993" s="32"/>
      <c r="AL993" s="32"/>
      <c r="AM993" s="32"/>
      <c r="AN993" s="32"/>
      <c r="AO993" s="32"/>
      <c r="AP993" s="32"/>
      <c r="AQ993" s="32"/>
      <c r="AR993" s="32"/>
      <c r="AS993" s="32"/>
      <c r="AT993" s="32"/>
      <c r="AU993" s="32"/>
      <c r="AV993" s="32"/>
      <c r="AW993" s="32"/>
      <c r="AX993" s="32"/>
      <c r="AY993" s="32"/>
      <c r="AZ993" s="32"/>
      <c r="BA993" s="32"/>
      <c r="BB993" s="32" t="s">
        <v>334</v>
      </c>
      <c r="BC993" s="32">
        <v>3.0</v>
      </c>
      <c r="BD993" s="32" t="s">
        <v>336</v>
      </c>
      <c r="BE993" s="32" t="s">
        <v>114</v>
      </c>
      <c r="BF993" s="32"/>
      <c r="BG993" s="32"/>
      <c r="BH993" s="32"/>
      <c r="BI993" s="32"/>
      <c r="BJ993" s="32"/>
      <c r="BK993" s="32"/>
      <c r="BL993" s="32"/>
      <c r="BM993" s="32"/>
      <c r="BN993" s="32"/>
      <c r="BO993" s="32"/>
    </row>
    <row r="994" ht="25.5" customHeight="1">
      <c r="A994" s="32">
        <v>20004.0</v>
      </c>
      <c r="B994" s="37" t="b">
        <v>1</v>
      </c>
      <c r="C994" s="62" t="s">
        <v>274</v>
      </c>
      <c r="D994" s="62">
        <v>82.0</v>
      </c>
      <c r="E994" s="13" t="b">
        <v>0</v>
      </c>
      <c r="F994" s="13" t="b">
        <v>1</v>
      </c>
      <c r="G994" s="62" t="s">
        <v>224</v>
      </c>
      <c r="H994" s="62"/>
      <c r="I994" s="62" t="s">
        <v>265</v>
      </c>
      <c r="J994" s="67">
        <v>9.0</v>
      </c>
      <c r="K994" s="62" t="s">
        <v>305</v>
      </c>
      <c r="L994" s="62">
        <v>904.0</v>
      </c>
      <c r="M994" s="62" t="s">
        <v>239</v>
      </c>
      <c r="N994" s="38">
        <v>4000.0</v>
      </c>
      <c r="O994" s="62" t="s">
        <v>70</v>
      </c>
      <c r="P994" s="58"/>
      <c r="Q994" s="62" t="s">
        <v>117</v>
      </c>
      <c r="R994" s="67"/>
      <c r="S994" s="62"/>
      <c r="T994" s="62"/>
      <c r="U994" s="62"/>
      <c r="V994" s="62"/>
      <c r="W994" s="62"/>
      <c r="X994" s="62"/>
      <c r="Y994" s="62" t="s">
        <v>341</v>
      </c>
      <c r="Z994" s="62" t="s">
        <v>342</v>
      </c>
      <c r="AA994" s="62"/>
      <c r="AB994" s="62"/>
      <c r="AC994" s="62"/>
      <c r="AD994" s="62"/>
      <c r="AE994" s="62"/>
      <c r="AF994" s="62"/>
      <c r="AG994" s="32"/>
      <c r="AH994" s="32"/>
      <c r="AI994" s="32"/>
      <c r="AJ994" s="32"/>
      <c r="AK994" s="32"/>
      <c r="AL994" s="32"/>
      <c r="AM994" s="32"/>
      <c r="AN994" s="32"/>
      <c r="AO994" s="32"/>
      <c r="AP994" s="32"/>
      <c r="AQ994" s="32"/>
      <c r="AR994" s="32"/>
      <c r="AS994" s="32"/>
      <c r="AT994" s="32"/>
      <c r="AU994" s="32"/>
      <c r="AV994" s="32"/>
      <c r="AW994" s="32"/>
      <c r="AX994" s="32"/>
      <c r="AY994" s="32"/>
      <c r="AZ994" s="32"/>
      <c r="BA994" s="32"/>
      <c r="BB994" s="32" t="s">
        <v>343</v>
      </c>
      <c r="BC994" s="32">
        <v>3.0</v>
      </c>
      <c r="BD994" s="32" t="s">
        <v>344</v>
      </c>
      <c r="BE994" s="32" t="s">
        <v>345</v>
      </c>
      <c r="BF994" s="32"/>
      <c r="BG994" s="32"/>
      <c r="BH994" s="32"/>
      <c r="BI994" s="32"/>
      <c r="BJ994" s="32"/>
      <c r="BK994" s="32"/>
      <c r="BL994" s="32"/>
      <c r="BM994" s="32"/>
      <c r="BN994" s="32"/>
      <c r="BO994" s="32"/>
    </row>
    <row r="995" ht="25.5" customHeight="1">
      <c r="A995" s="32">
        <v>20011.0</v>
      </c>
      <c r="B995" s="37" t="b">
        <v>1</v>
      </c>
      <c r="C995" s="62" t="s">
        <v>274</v>
      </c>
      <c r="D995" s="62">
        <v>82.0</v>
      </c>
      <c r="E995" s="13" t="b">
        <v>0</v>
      </c>
      <c r="F995" s="13" t="b">
        <v>1</v>
      </c>
      <c r="G995" s="62" t="s">
        <v>224</v>
      </c>
      <c r="H995" s="62"/>
      <c r="I995" s="62" t="s">
        <v>196</v>
      </c>
      <c r="J995" s="67">
        <v>1.0</v>
      </c>
      <c r="K995" s="62" t="s">
        <v>219</v>
      </c>
      <c r="L995" s="62">
        <v>105.0</v>
      </c>
      <c r="M995" s="62" t="s">
        <v>239</v>
      </c>
      <c r="N995" s="38">
        <v>4000.0</v>
      </c>
      <c r="O995" s="62" t="s">
        <v>127</v>
      </c>
      <c r="P995" s="58"/>
      <c r="Q995" s="62" t="s">
        <v>117</v>
      </c>
      <c r="R995" s="67"/>
      <c r="S995" s="62"/>
      <c r="T995" s="62"/>
      <c r="U995" s="62"/>
      <c r="V995" s="62"/>
      <c r="W995" s="62"/>
      <c r="X995" s="62"/>
      <c r="Y995" s="62" t="s">
        <v>244</v>
      </c>
      <c r="Z995" s="62" t="s">
        <v>245</v>
      </c>
      <c r="AA995" s="62"/>
      <c r="AB995" s="62"/>
      <c r="AC995" s="62"/>
      <c r="AD995" s="62"/>
      <c r="AE995" s="62"/>
      <c r="AF995" s="62"/>
      <c r="AG995" s="32"/>
      <c r="AH995" s="32"/>
      <c r="AI995" s="32"/>
      <c r="AJ995" s="32"/>
      <c r="AK995" s="32"/>
      <c r="AL995" s="32"/>
      <c r="AM995" s="32"/>
      <c r="AN995" s="32"/>
      <c r="AO995" s="32"/>
      <c r="AP995" s="32"/>
      <c r="AQ995" s="32"/>
      <c r="AR995" s="32"/>
      <c r="AS995" s="32"/>
      <c r="AT995" s="32"/>
      <c r="AU995" s="32"/>
      <c r="AV995" s="32"/>
      <c r="AW995" s="32"/>
      <c r="AX995" s="32"/>
      <c r="AY995" s="32"/>
      <c r="AZ995" s="32"/>
      <c r="BA995" s="32"/>
      <c r="BB995" s="32" t="s">
        <v>246</v>
      </c>
      <c r="BC995" s="32">
        <v>1.0</v>
      </c>
      <c r="BD995" s="32" t="s">
        <v>223</v>
      </c>
      <c r="BE995" s="32" t="s">
        <v>37</v>
      </c>
      <c r="BF995" s="32"/>
      <c r="BG995" s="32"/>
      <c r="BH995" s="32"/>
      <c r="BI995" s="32"/>
      <c r="BJ995" s="32"/>
      <c r="BK995" s="32"/>
      <c r="BL995" s="32"/>
      <c r="BM995" s="32"/>
      <c r="BN995" s="32"/>
      <c r="BO995" s="32"/>
    </row>
    <row r="996" ht="25.5" customHeight="1">
      <c r="A996" s="32">
        <v>20026.0</v>
      </c>
      <c r="B996" s="37" t="b">
        <v>1</v>
      </c>
      <c r="C996" s="62" t="s">
        <v>274</v>
      </c>
      <c r="D996" s="62">
        <v>82.0</v>
      </c>
      <c r="E996" s="13" t="b">
        <v>0</v>
      </c>
      <c r="F996" s="13" t="b">
        <v>1</v>
      </c>
      <c r="G996" s="62" t="s">
        <v>224</v>
      </c>
      <c r="H996" s="62"/>
      <c r="I996" s="62" t="s">
        <v>376</v>
      </c>
      <c r="J996" s="67">
        <v>2.0</v>
      </c>
      <c r="K996" s="62" t="s">
        <v>524</v>
      </c>
      <c r="L996" s="62">
        <v>205.0</v>
      </c>
      <c r="M996" s="62" t="s">
        <v>239</v>
      </c>
      <c r="N996" s="38">
        <v>4000.0</v>
      </c>
      <c r="O996" s="62" t="s">
        <v>544</v>
      </c>
      <c r="P996" s="58"/>
      <c r="Q996" s="62" t="s">
        <v>111</v>
      </c>
      <c r="R996" s="67"/>
      <c r="S996" s="62"/>
      <c r="T996" s="62"/>
      <c r="U996" s="62"/>
      <c r="V996" s="62"/>
      <c r="W996" s="62"/>
      <c r="X996" s="62"/>
      <c r="Y996" s="50" t="s">
        <v>545</v>
      </c>
      <c r="Z996" s="50" t="s">
        <v>547</v>
      </c>
      <c r="AA996" s="62"/>
      <c r="AB996" s="62"/>
      <c r="AC996" s="62"/>
      <c r="AD996" s="62"/>
      <c r="AE996" s="62"/>
      <c r="AF996" s="62"/>
      <c r="AG996" s="32"/>
      <c r="AH996" s="32"/>
      <c r="AI996" s="32"/>
      <c r="AJ996" s="32"/>
      <c r="AK996" s="32"/>
      <c r="AL996" s="32"/>
      <c r="AM996" s="32"/>
      <c r="AN996" s="32"/>
      <c r="AO996" s="32"/>
      <c r="AP996" s="32"/>
      <c r="AQ996" s="32"/>
      <c r="AR996" s="32"/>
      <c r="AS996" s="32"/>
      <c r="AT996" s="32"/>
      <c r="AU996" s="32"/>
      <c r="AV996" s="32"/>
      <c r="AW996" s="32"/>
      <c r="AX996" s="32"/>
      <c r="AY996" s="32"/>
      <c r="AZ996" s="32"/>
      <c r="BA996" s="32"/>
      <c r="BB996" s="32"/>
      <c r="BC996" s="32">
        <v>3.0</v>
      </c>
      <c r="BD996" s="32" t="s">
        <v>548</v>
      </c>
      <c r="BE996" s="32" t="s">
        <v>426</v>
      </c>
      <c r="BF996" s="32"/>
      <c r="BG996" s="32"/>
      <c r="BH996" s="32"/>
      <c r="BI996" s="32"/>
      <c r="BJ996" s="32"/>
      <c r="BK996" s="32"/>
      <c r="BL996" s="32"/>
      <c r="BM996" s="32"/>
      <c r="BN996" s="32"/>
      <c r="BO996" s="32"/>
    </row>
    <row r="997" ht="25.5" customHeight="1">
      <c r="A997" s="32">
        <v>20031.0</v>
      </c>
      <c r="B997" s="37" t="b">
        <v>1</v>
      </c>
      <c r="C997" s="62" t="s">
        <v>274</v>
      </c>
      <c r="D997" s="62">
        <v>82.0</v>
      </c>
      <c r="E997" s="13" t="b">
        <v>0</v>
      </c>
      <c r="F997" s="13" t="b">
        <v>1</v>
      </c>
      <c r="G997" s="62" t="s">
        <v>224</v>
      </c>
      <c r="H997" s="62"/>
      <c r="I997" s="62" t="s">
        <v>490</v>
      </c>
      <c r="J997" s="67">
        <v>6.0</v>
      </c>
      <c r="K997" s="62" t="s">
        <v>684</v>
      </c>
      <c r="L997" s="62">
        <v>602.0</v>
      </c>
      <c r="M997" s="62" t="s">
        <v>239</v>
      </c>
      <c r="N997" s="38">
        <v>4000.0</v>
      </c>
      <c r="O997" s="62" t="s">
        <v>605</v>
      </c>
      <c r="P997" s="58"/>
      <c r="Q997" s="62" t="s">
        <v>431</v>
      </c>
      <c r="R997" s="67"/>
      <c r="S997" s="62"/>
      <c r="T997" s="62"/>
      <c r="U997" s="62"/>
      <c r="V997" s="62"/>
      <c r="W997" s="62"/>
      <c r="X997" s="62"/>
      <c r="Y997" s="62" t="s">
        <v>700</v>
      </c>
      <c r="Z997" s="62" t="s">
        <v>701</v>
      </c>
      <c r="AA997" s="62"/>
      <c r="AB997" s="62"/>
      <c r="AC997" s="62"/>
      <c r="AD997" s="62"/>
      <c r="AE997" s="62"/>
      <c r="AF997" s="62"/>
      <c r="AG997" s="32"/>
      <c r="AH997" s="32"/>
      <c r="AI997" s="32"/>
      <c r="AJ997" s="32"/>
      <c r="AK997" s="32"/>
      <c r="AL997" s="32"/>
      <c r="AM997" s="32"/>
      <c r="AN997" s="32"/>
      <c r="AO997" s="32"/>
      <c r="AP997" s="32"/>
      <c r="AQ997" s="32"/>
      <c r="AR997" s="32"/>
      <c r="AS997" s="32"/>
      <c r="AT997" s="32"/>
      <c r="AU997" s="32"/>
      <c r="AV997" s="32"/>
      <c r="AW997" s="32"/>
      <c r="AX997" s="32"/>
      <c r="AY997" s="32"/>
      <c r="AZ997" s="32"/>
      <c r="BA997" s="32"/>
      <c r="BB997" s="32"/>
      <c r="BC997" s="32">
        <v>1.0</v>
      </c>
      <c r="BD997" s="32" t="s">
        <v>703</v>
      </c>
      <c r="BE997" s="32" t="s">
        <v>704</v>
      </c>
      <c r="BF997" s="32"/>
      <c r="BG997" s="32"/>
      <c r="BH997" s="32"/>
      <c r="BI997" s="32"/>
      <c r="BJ997" s="32"/>
      <c r="BK997" s="32"/>
      <c r="BL997" s="32"/>
      <c r="BM997" s="32"/>
      <c r="BN997" s="32"/>
      <c r="BO997" s="32"/>
    </row>
    <row r="998" ht="25.5" customHeight="1">
      <c r="A998" s="32">
        <v>20033.0</v>
      </c>
      <c r="B998" s="37" t="b">
        <v>1</v>
      </c>
      <c r="C998" s="62" t="s">
        <v>274</v>
      </c>
      <c r="D998" s="62">
        <v>82.0</v>
      </c>
      <c r="E998" s="13" t="b">
        <v>0</v>
      </c>
      <c r="F998" s="13" t="b">
        <v>1</v>
      </c>
      <c r="G998" s="62" t="s">
        <v>224</v>
      </c>
      <c r="H998" s="62"/>
      <c r="I998" s="62" t="s">
        <v>490</v>
      </c>
      <c r="J998" s="67">
        <v>6.0</v>
      </c>
      <c r="K998" s="62" t="s">
        <v>720</v>
      </c>
      <c r="L998" s="62">
        <v>604.0</v>
      </c>
      <c r="M998" s="62" t="s">
        <v>239</v>
      </c>
      <c r="N998" s="38">
        <v>4000.0</v>
      </c>
      <c r="O998" s="62" t="s">
        <v>605</v>
      </c>
      <c r="P998" s="58"/>
      <c r="Q998" s="62" t="s">
        <v>431</v>
      </c>
      <c r="R998" s="67"/>
      <c r="S998" s="62"/>
      <c r="T998" s="62"/>
      <c r="U998" s="62"/>
      <c r="V998" s="62"/>
      <c r="W998" s="62"/>
      <c r="X998" s="62"/>
      <c r="Y998" s="62" t="s">
        <v>727</v>
      </c>
      <c r="Z998" s="62" t="s">
        <v>728</v>
      </c>
      <c r="AA998" s="62"/>
      <c r="AB998" s="62"/>
      <c r="AC998" s="62"/>
      <c r="AD998" s="62"/>
      <c r="AE998" s="62"/>
      <c r="AF998" s="62"/>
      <c r="AG998" s="32"/>
      <c r="AH998" s="32"/>
      <c r="AI998" s="32"/>
      <c r="AJ998" s="32"/>
      <c r="AK998" s="32"/>
      <c r="AL998" s="32"/>
      <c r="AM998" s="32"/>
      <c r="AN998" s="32"/>
      <c r="AO998" s="32"/>
      <c r="AP998" s="32"/>
      <c r="AQ998" s="32"/>
      <c r="AR998" s="32"/>
      <c r="AS998" s="32"/>
      <c r="AT998" s="32"/>
      <c r="AU998" s="32"/>
      <c r="AV998" s="32"/>
      <c r="AW998" s="32"/>
      <c r="AX998" s="32"/>
      <c r="AY998" s="32"/>
      <c r="AZ998" s="32"/>
      <c r="BA998" s="32"/>
      <c r="BB998" s="32"/>
      <c r="BC998" s="32">
        <v>3.0</v>
      </c>
      <c r="BD998" s="32" t="s">
        <v>729</v>
      </c>
      <c r="BE998" s="32" t="s">
        <v>730</v>
      </c>
      <c r="BF998" s="32"/>
      <c r="BG998" s="32"/>
      <c r="BH998" s="32"/>
      <c r="BI998" s="32"/>
      <c r="BJ998" s="32"/>
      <c r="BK998" s="32"/>
      <c r="BL998" s="32"/>
      <c r="BM998" s="32"/>
      <c r="BN998" s="32"/>
      <c r="BO998" s="32"/>
    </row>
    <row r="999" ht="25.5" customHeight="1">
      <c r="A999" s="32">
        <v>20035.0</v>
      </c>
      <c r="B999" s="37" t="b">
        <v>1</v>
      </c>
      <c r="C999" s="62" t="s">
        <v>274</v>
      </c>
      <c r="D999" s="62">
        <v>82.0</v>
      </c>
      <c r="E999" s="13" t="b">
        <v>0</v>
      </c>
      <c r="F999" s="13" t="b">
        <v>1</v>
      </c>
      <c r="G999" s="62" t="s">
        <v>224</v>
      </c>
      <c r="H999" s="62"/>
      <c r="I999" s="62" t="s">
        <v>490</v>
      </c>
      <c r="J999" s="67">
        <v>6.0</v>
      </c>
      <c r="K999" s="62" t="s">
        <v>491</v>
      </c>
      <c r="L999" s="38">
        <v>605.0</v>
      </c>
      <c r="M999" s="62" t="s">
        <v>239</v>
      </c>
      <c r="N999" s="38">
        <v>4000.0</v>
      </c>
      <c r="O999" s="62" t="s">
        <v>605</v>
      </c>
      <c r="P999" s="58"/>
      <c r="Q999" s="62" t="s">
        <v>298</v>
      </c>
      <c r="R999" s="67"/>
      <c r="S999" s="62"/>
      <c r="T999" s="62"/>
      <c r="U999" s="62"/>
      <c r="V999" s="62"/>
      <c r="W999" s="62"/>
      <c r="X999" s="62"/>
      <c r="Y999" s="62" t="s">
        <v>739</v>
      </c>
      <c r="Z999" s="62" t="s">
        <v>740</v>
      </c>
      <c r="AA999" s="62"/>
      <c r="AB999" s="62"/>
      <c r="AC999" s="62"/>
      <c r="AD999" s="62"/>
      <c r="AE999" s="62"/>
      <c r="AF999" s="62"/>
      <c r="AG999" s="32"/>
      <c r="AH999" s="32"/>
      <c r="AI999" s="32"/>
      <c r="AJ999" s="32"/>
      <c r="AK999" s="32"/>
      <c r="AL999" s="32"/>
      <c r="AM999" s="32"/>
      <c r="AN999" s="32"/>
      <c r="AO999" s="32"/>
      <c r="AP999" s="32"/>
      <c r="AQ999" s="32"/>
      <c r="AR999" s="32"/>
      <c r="AS999" s="32"/>
      <c r="AT999" s="32"/>
      <c r="AU999" s="32"/>
      <c r="AV999" s="32"/>
      <c r="AW999" s="32"/>
      <c r="AX999" s="32"/>
      <c r="AY999" s="32"/>
      <c r="AZ999" s="32"/>
      <c r="BA999" s="32"/>
      <c r="BB999" s="32"/>
      <c r="BC999" s="32">
        <v>1.0</v>
      </c>
      <c r="BD999" s="32" t="s">
        <v>741</v>
      </c>
      <c r="BE999" s="32" t="s">
        <v>742</v>
      </c>
      <c r="BF999" s="32"/>
      <c r="BG999" s="32"/>
      <c r="BH999" s="32"/>
      <c r="BI999" s="32"/>
      <c r="BJ999" s="32"/>
      <c r="BK999" s="32"/>
      <c r="BL999" s="32"/>
      <c r="BM999" s="32"/>
      <c r="BN999" s="32"/>
      <c r="BO999" s="32"/>
    </row>
    <row r="1000" ht="25.5" customHeight="1">
      <c r="A1000" s="32">
        <v>20047.0</v>
      </c>
      <c r="B1000" s="37" t="b">
        <v>1</v>
      </c>
      <c r="C1000" s="62" t="s">
        <v>274</v>
      </c>
      <c r="D1000" s="62">
        <v>82.0</v>
      </c>
      <c r="E1000" s="13" t="b">
        <v>0</v>
      </c>
      <c r="F1000" s="13" t="b">
        <v>1</v>
      </c>
      <c r="G1000" s="62" t="s">
        <v>224</v>
      </c>
      <c r="H1000" s="62"/>
      <c r="I1000" s="62" t="s">
        <v>68</v>
      </c>
      <c r="J1000" s="67">
        <v>7.0</v>
      </c>
      <c r="K1000" s="62" t="s">
        <v>160</v>
      </c>
      <c r="L1000" s="62">
        <v>703.0</v>
      </c>
      <c r="M1000" s="62" t="s">
        <v>239</v>
      </c>
      <c r="N1000" s="38">
        <v>4000.0</v>
      </c>
      <c r="O1000" s="62" t="s">
        <v>70</v>
      </c>
      <c r="P1000" s="58"/>
      <c r="Q1000" s="62" t="s">
        <v>117</v>
      </c>
      <c r="R1000" s="67"/>
      <c r="S1000" s="62"/>
      <c r="T1000" s="62"/>
      <c r="U1000" s="62"/>
      <c r="V1000" s="62"/>
      <c r="W1000" s="62"/>
      <c r="X1000" s="62"/>
      <c r="Y1000" s="62" t="s">
        <v>164</v>
      </c>
      <c r="Z1000" s="62" t="s">
        <v>165</v>
      </c>
      <c r="AA1000" s="62"/>
      <c r="AB1000" s="62"/>
      <c r="AC1000" s="62"/>
      <c r="AD1000" s="62"/>
      <c r="AE1000" s="62"/>
      <c r="AF1000" s="62"/>
      <c r="AG1000" s="32"/>
      <c r="AH1000" s="32"/>
      <c r="AI1000" s="32"/>
      <c r="AJ1000" s="32"/>
      <c r="AK1000" s="32"/>
      <c r="AL1000" s="32"/>
      <c r="AM1000" s="32"/>
      <c r="AN1000" s="32"/>
      <c r="AO1000" s="32"/>
      <c r="AP1000" s="32"/>
      <c r="AQ1000" s="32"/>
      <c r="AR1000" s="32"/>
      <c r="AS1000" s="32"/>
      <c r="AT1000" s="32"/>
      <c r="AU1000" s="32"/>
      <c r="AV1000" s="32"/>
      <c r="AW1000" s="32"/>
      <c r="AX1000" s="32"/>
      <c r="AY1000" s="32"/>
      <c r="AZ1000" s="32"/>
      <c r="BA1000" s="32"/>
      <c r="BB1000" s="32" t="s">
        <v>166</v>
      </c>
      <c r="BC1000" s="32">
        <v>1.0</v>
      </c>
      <c r="BD1000" s="32" t="s">
        <v>126</v>
      </c>
      <c r="BE1000" s="32" t="s">
        <v>37</v>
      </c>
      <c r="BF1000" s="32"/>
      <c r="BG1000" s="32"/>
      <c r="BH1000" s="32"/>
      <c r="BI1000" s="32"/>
      <c r="BJ1000" s="32"/>
      <c r="BK1000" s="32"/>
      <c r="BL1000" s="32"/>
      <c r="BM1000" s="32"/>
      <c r="BN1000" s="32"/>
      <c r="BO1000" s="32"/>
    </row>
    <row r="1001" ht="25.5" customHeight="1">
      <c r="A1001" s="32">
        <v>20052.0</v>
      </c>
      <c r="B1001" s="37" t="b">
        <v>1</v>
      </c>
      <c r="C1001" s="62" t="s">
        <v>274</v>
      </c>
      <c r="D1001" s="62">
        <v>82.0</v>
      </c>
      <c r="E1001" s="13" t="b">
        <v>0</v>
      </c>
      <c r="F1001" s="13" t="b">
        <v>1</v>
      </c>
      <c r="G1001" s="62" t="s">
        <v>224</v>
      </c>
      <c r="H1001" s="62"/>
      <c r="I1001" s="62" t="s">
        <v>68</v>
      </c>
      <c r="J1001" s="67">
        <v>7.0</v>
      </c>
      <c r="K1001" s="62" t="s">
        <v>69</v>
      </c>
      <c r="L1001" s="62">
        <v>700.0</v>
      </c>
      <c r="M1001" s="62" t="s">
        <v>239</v>
      </c>
      <c r="N1001" s="38">
        <v>4000.0</v>
      </c>
      <c r="O1001" s="62" t="s">
        <v>127</v>
      </c>
      <c r="P1001" s="58"/>
      <c r="Q1001" s="62" t="s">
        <v>117</v>
      </c>
      <c r="R1001" s="67"/>
      <c r="S1001" s="62"/>
      <c r="T1001" s="62"/>
      <c r="U1001" s="62"/>
      <c r="V1001" s="62"/>
      <c r="W1001" s="62"/>
      <c r="X1001" s="62"/>
      <c r="Y1001" s="62" t="s">
        <v>128</v>
      </c>
      <c r="Z1001" s="62" t="s">
        <v>129</v>
      </c>
      <c r="AA1001" s="62"/>
      <c r="AB1001" s="62"/>
      <c r="AC1001" s="62"/>
      <c r="AD1001" s="62"/>
      <c r="AE1001" s="62"/>
      <c r="AF1001" s="62"/>
      <c r="AG1001" s="32"/>
      <c r="AH1001" s="32"/>
      <c r="AI1001" s="32"/>
      <c r="AJ1001" s="32"/>
      <c r="AK1001" s="32"/>
      <c r="AL1001" s="32"/>
      <c r="AM1001" s="32"/>
      <c r="AN1001" s="32"/>
      <c r="AO1001" s="32"/>
      <c r="AP1001" s="32"/>
      <c r="AQ1001" s="32"/>
      <c r="AR1001" s="32"/>
      <c r="AS1001" s="32"/>
      <c r="AT1001" s="32"/>
      <c r="AU1001" s="32"/>
      <c r="AV1001" s="32"/>
      <c r="AW1001" s="32"/>
      <c r="AX1001" s="32"/>
      <c r="AY1001" s="32"/>
      <c r="AZ1001" s="32"/>
      <c r="BA1001" s="32"/>
      <c r="BB1001" s="32" t="s">
        <v>130</v>
      </c>
      <c r="BC1001" s="32">
        <v>1.0</v>
      </c>
      <c r="BD1001" s="32" t="s">
        <v>126</v>
      </c>
      <c r="BE1001" s="32" t="s">
        <v>37</v>
      </c>
      <c r="BF1001" s="32"/>
      <c r="BG1001" s="32"/>
      <c r="BH1001" s="32"/>
      <c r="BI1001" s="32"/>
      <c r="BJ1001" s="32"/>
      <c r="BK1001" s="32"/>
      <c r="BL1001" s="32"/>
      <c r="BM1001" s="32"/>
      <c r="BN1001" s="32"/>
      <c r="BO1001" s="32"/>
    </row>
    <row r="1002" ht="25.5" customHeight="1">
      <c r="A1002" s="32">
        <v>20071.0</v>
      </c>
      <c r="B1002" s="37" t="b">
        <v>1</v>
      </c>
      <c r="C1002" s="62" t="s">
        <v>274</v>
      </c>
      <c r="D1002" s="62">
        <v>82.0</v>
      </c>
      <c r="E1002" s="13" t="b">
        <v>0</v>
      </c>
      <c r="F1002" s="13" t="b">
        <v>1</v>
      </c>
      <c r="G1002" s="62" t="s">
        <v>224</v>
      </c>
      <c r="H1002" s="62"/>
      <c r="I1002" s="62" t="s">
        <v>772</v>
      </c>
      <c r="J1002" s="67">
        <v>5.0</v>
      </c>
      <c r="K1002" s="62" t="s">
        <v>847</v>
      </c>
      <c r="L1002" s="62">
        <v>506.0</v>
      </c>
      <c r="M1002" s="62" t="s">
        <v>239</v>
      </c>
      <c r="N1002" s="38">
        <v>4000.0</v>
      </c>
      <c r="O1002" s="62" t="s">
        <v>848</v>
      </c>
      <c r="P1002" s="58"/>
      <c r="Q1002" s="62" t="s">
        <v>431</v>
      </c>
      <c r="R1002" s="67"/>
      <c r="S1002" s="62"/>
      <c r="T1002" s="62"/>
      <c r="U1002" s="62"/>
      <c r="V1002" s="62"/>
      <c r="W1002" s="62"/>
      <c r="X1002" s="62"/>
      <c r="Y1002" s="62" t="s">
        <v>852</v>
      </c>
      <c r="Z1002" s="62" t="s">
        <v>853</v>
      </c>
      <c r="AA1002" s="62"/>
      <c r="AB1002" s="62"/>
      <c r="AC1002" s="62"/>
      <c r="AD1002" s="62"/>
      <c r="AE1002" s="62"/>
      <c r="AF1002" s="62"/>
      <c r="AG1002" s="32"/>
      <c r="AH1002" s="32"/>
      <c r="AI1002" s="32"/>
      <c r="AJ1002" s="32"/>
      <c r="AK1002" s="32"/>
      <c r="AL1002" s="32"/>
      <c r="AM1002" s="32"/>
      <c r="AN1002" s="32"/>
      <c r="AO1002" s="32"/>
      <c r="AP1002" s="32"/>
      <c r="AQ1002" s="32"/>
      <c r="AR1002" s="32"/>
      <c r="AS1002" s="32"/>
      <c r="AT1002" s="32"/>
      <c r="AU1002" s="32"/>
      <c r="AV1002" s="32"/>
      <c r="AW1002" s="32"/>
      <c r="AX1002" s="32"/>
      <c r="AY1002" s="32"/>
      <c r="AZ1002" s="32"/>
      <c r="BA1002" s="32"/>
      <c r="BB1002" s="32"/>
      <c r="BC1002" s="32">
        <v>3.0</v>
      </c>
      <c r="BD1002" s="32" t="s">
        <v>854</v>
      </c>
      <c r="BE1002" s="32" t="s">
        <v>114</v>
      </c>
      <c r="BF1002" s="32"/>
      <c r="BG1002" s="32"/>
      <c r="BH1002" s="32"/>
      <c r="BI1002" s="32"/>
      <c r="BJ1002" s="32"/>
      <c r="BK1002" s="32"/>
      <c r="BL1002" s="32"/>
      <c r="BM1002" s="32"/>
      <c r="BN1002" s="32"/>
      <c r="BO1002" s="32"/>
    </row>
    <row r="1003" ht="25.5" customHeight="1">
      <c r="A1003" s="32">
        <v>20017.0</v>
      </c>
      <c r="B1003" s="37" t="b">
        <v>1</v>
      </c>
      <c r="C1003" s="62" t="s">
        <v>274</v>
      </c>
      <c r="D1003" s="62">
        <v>82.0</v>
      </c>
      <c r="E1003" s="13" t="b">
        <v>0</v>
      </c>
      <c r="F1003" s="13" t="b">
        <v>1</v>
      </c>
      <c r="G1003" s="62" t="s">
        <v>224</v>
      </c>
      <c r="H1003" s="62"/>
      <c r="I1003" s="62" t="s">
        <v>429</v>
      </c>
      <c r="J1003" s="67">
        <v>2.0</v>
      </c>
      <c r="K1003" s="62" t="s">
        <v>560</v>
      </c>
      <c r="L1003" s="62">
        <v>206.0</v>
      </c>
      <c r="M1003" s="62" t="s">
        <v>321</v>
      </c>
      <c r="N1003" s="38">
        <v>7000.0</v>
      </c>
      <c r="O1003" s="62" t="s">
        <v>566</v>
      </c>
      <c r="P1003" s="58"/>
      <c r="Q1003" s="62" t="s">
        <v>431</v>
      </c>
      <c r="R1003" s="67"/>
      <c r="S1003" s="62"/>
      <c r="T1003" s="62"/>
      <c r="U1003" s="62"/>
      <c r="V1003" s="62"/>
      <c r="W1003" s="62"/>
      <c r="X1003" s="62"/>
      <c r="Y1003" s="62" t="s">
        <v>567</v>
      </c>
      <c r="Z1003" s="62" t="s">
        <v>568</v>
      </c>
      <c r="AA1003" s="62"/>
      <c r="AB1003" s="62"/>
      <c r="AC1003" s="62"/>
      <c r="AD1003" s="62"/>
      <c r="AE1003" s="62"/>
      <c r="AF1003" s="62"/>
      <c r="AG1003" s="32"/>
      <c r="AH1003" s="32"/>
      <c r="AI1003" s="32"/>
      <c r="AJ1003" s="32"/>
      <c r="AK1003" s="32"/>
      <c r="AL1003" s="32"/>
      <c r="AM1003" s="32"/>
      <c r="AN1003" s="32"/>
      <c r="AO1003" s="32"/>
      <c r="AP1003" s="32"/>
      <c r="AQ1003" s="32"/>
      <c r="AR1003" s="32"/>
      <c r="AS1003" s="32"/>
      <c r="AT1003" s="32"/>
      <c r="AU1003" s="32"/>
      <c r="AV1003" s="32"/>
      <c r="AW1003" s="32"/>
      <c r="AX1003" s="32"/>
      <c r="AY1003" s="32"/>
      <c r="AZ1003" s="32"/>
      <c r="BA1003" s="32"/>
      <c r="BB1003" s="32" t="s">
        <v>569</v>
      </c>
      <c r="BC1003" s="32">
        <v>3.0</v>
      </c>
      <c r="BD1003" s="32" t="s">
        <v>570</v>
      </c>
      <c r="BE1003" s="32" t="s">
        <v>114</v>
      </c>
      <c r="BF1003" s="32"/>
      <c r="BG1003" s="32"/>
      <c r="BH1003" s="32"/>
      <c r="BI1003" s="32"/>
      <c r="BJ1003" s="32"/>
      <c r="BK1003" s="32"/>
      <c r="BL1003" s="32"/>
      <c r="BM1003" s="32"/>
      <c r="BN1003" s="32"/>
      <c r="BO1003" s="32"/>
    </row>
    <row r="1004" ht="25.5" customHeight="1">
      <c r="A1004" s="32">
        <v>20022.0</v>
      </c>
      <c r="B1004" s="37" t="b">
        <v>1</v>
      </c>
      <c r="C1004" s="62" t="s">
        <v>274</v>
      </c>
      <c r="D1004" s="62">
        <v>82.0</v>
      </c>
      <c r="E1004" s="13" t="b">
        <v>0</v>
      </c>
      <c r="F1004" s="13" t="b">
        <v>1</v>
      </c>
      <c r="G1004" s="62" t="s">
        <v>224</v>
      </c>
      <c r="H1004" s="62"/>
      <c r="I1004" s="62" t="s">
        <v>429</v>
      </c>
      <c r="J1004" s="67">
        <v>2.0</v>
      </c>
      <c r="K1004" s="133" t="s">
        <v>444</v>
      </c>
      <c r="L1004" s="62"/>
      <c r="M1004" s="62" t="s">
        <v>321</v>
      </c>
      <c r="N1004" s="38">
        <v>7000.0</v>
      </c>
      <c r="O1004" s="62" t="s">
        <v>445</v>
      </c>
      <c r="P1004" s="58"/>
      <c r="Q1004" s="62" t="s">
        <v>111</v>
      </c>
      <c r="R1004" s="67"/>
      <c r="S1004" s="62"/>
      <c r="T1004" s="62"/>
      <c r="U1004" s="62"/>
      <c r="V1004" s="62"/>
      <c r="W1004" s="62"/>
      <c r="X1004" s="62"/>
      <c r="Y1004" s="62" t="s">
        <v>448</v>
      </c>
      <c r="Z1004" s="62" t="s">
        <v>449</v>
      </c>
      <c r="AA1004" s="62"/>
      <c r="AB1004" s="62"/>
      <c r="AC1004" s="62"/>
      <c r="AD1004" s="62"/>
      <c r="AE1004" s="62"/>
      <c r="AF1004" s="62"/>
      <c r="AG1004" s="32"/>
      <c r="AH1004" s="32"/>
      <c r="AI1004" s="32"/>
      <c r="AJ1004" s="32"/>
      <c r="AK1004" s="32"/>
      <c r="AL1004" s="32"/>
      <c r="AM1004" s="32"/>
      <c r="AN1004" s="32"/>
      <c r="AO1004" s="32"/>
      <c r="AP1004" s="32"/>
      <c r="AQ1004" s="32"/>
      <c r="AR1004" s="32"/>
      <c r="AS1004" s="32"/>
      <c r="AT1004" s="32"/>
      <c r="AU1004" s="32"/>
      <c r="AV1004" s="32"/>
      <c r="AW1004" s="32"/>
      <c r="AX1004" s="32"/>
      <c r="AY1004" s="32"/>
      <c r="AZ1004" s="32"/>
      <c r="BA1004" s="32"/>
      <c r="BB1004" s="32" t="s">
        <v>451</v>
      </c>
      <c r="BC1004" s="32">
        <v>1.0</v>
      </c>
      <c r="BD1004" s="32" t="s">
        <v>442</v>
      </c>
      <c r="BE1004" s="32" t="s">
        <v>375</v>
      </c>
      <c r="BF1004" s="32"/>
      <c r="BG1004" s="32"/>
      <c r="BH1004" s="32"/>
      <c r="BI1004" s="32"/>
      <c r="BJ1004" s="32"/>
      <c r="BK1004" s="32"/>
      <c r="BL1004" s="32"/>
      <c r="BM1004" s="32"/>
      <c r="BN1004" s="32"/>
      <c r="BO1004" s="32"/>
    </row>
    <row r="1005" ht="25.5" customHeight="1">
      <c r="A1005" s="32">
        <v>20000.0</v>
      </c>
      <c r="B1005" s="37" t="b">
        <v>1</v>
      </c>
      <c r="C1005" s="62" t="s">
        <v>274</v>
      </c>
      <c r="D1005" s="62">
        <v>82.0</v>
      </c>
      <c r="E1005" s="13" t="b">
        <v>0</v>
      </c>
      <c r="F1005" s="13" t="b">
        <v>1</v>
      </c>
      <c r="G1005" s="62" t="s">
        <v>224</v>
      </c>
      <c r="H1005" s="62"/>
      <c r="I1005" s="62" t="s">
        <v>265</v>
      </c>
      <c r="J1005" s="67">
        <v>9.0</v>
      </c>
      <c r="K1005" s="62" t="s">
        <v>356</v>
      </c>
      <c r="L1005" s="62">
        <v>906.0</v>
      </c>
      <c r="M1005" s="38" t="s">
        <v>359</v>
      </c>
      <c r="N1005" s="38">
        <v>10000.0</v>
      </c>
      <c r="O1005" s="62" t="s">
        <v>357</v>
      </c>
      <c r="P1005" s="58"/>
      <c r="Q1005" s="62" t="s">
        <v>117</v>
      </c>
      <c r="R1005" s="67"/>
      <c r="S1005" s="62"/>
      <c r="T1005" s="62"/>
      <c r="U1005" s="62"/>
      <c r="V1005" s="62"/>
      <c r="W1005" s="62"/>
      <c r="X1005" s="62"/>
      <c r="Y1005" s="62" t="s">
        <v>364</v>
      </c>
      <c r="Z1005" s="62" t="s">
        <v>369</v>
      </c>
      <c r="AA1005" s="62"/>
      <c r="AB1005" s="62"/>
      <c r="AC1005" s="62"/>
      <c r="AD1005" s="62"/>
      <c r="AE1005" s="68"/>
      <c r="AF1005" s="62"/>
      <c r="AG1005" s="32"/>
      <c r="AH1005" s="32"/>
      <c r="AI1005" s="32"/>
      <c r="AJ1005" s="32"/>
      <c r="AK1005" s="32"/>
      <c r="AL1005" s="32"/>
      <c r="AM1005" s="32"/>
      <c r="AN1005" s="32"/>
      <c r="AO1005" s="32"/>
      <c r="AP1005" s="32"/>
      <c r="AQ1005" s="32"/>
      <c r="AR1005" s="32"/>
      <c r="AS1005" s="32"/>
      <c r="AT1005" s="32"/>
      <c r="AU1005" s="32"/>
      <c r="AV1005" s="32"/>
      <c r="AW1005" s="32"/>
      <c r="AX1005" s="32"/>
      <c r="AY1005" s="32"/>
      <c r="AZ1005" s="32"/>
      <c r="BA1005" s="32"/>
      <c r="BB1005" s="32" t="s">
        <v>372</v>
      </c>
      <c r="BC1005" s="32">
        <v>1.0</v>
      </c>
      <c r="BD1005" s="32" t="s">
        <v>374</v>
      </c>
      <c r="BE1005" s="32" t="s">
        <v>375</v>
      </c>
      <c r="BF1005" s="32"/>
      <c r="BG1005" s="32"/>
      <c r="BH1005" s="32"/>
      <c r="BI1005" s="32"/>
      <c r="BJ1005" s="32"/>
      <c r="BK1005" s="32"/>
      <c r="BL1005" s="32"/>
      <c r="BM1005" s="32"/>
      <c r="BN1005" s="32"/>
      <c r="BO1005" s="32"/>
    </row>
    <row r="1006" ht="25.5" customHeight="1">
      <c r="A1006" s="32">
        <v>20055.0</v>
      </c>
      <c r="B1006" s="37" t="b">
        <v>1</v>
      </c>
      <c r="C1006" s="62" t="s">
        <v>274</v>
      </c>
      <c r="D1006" s="62">
        <v>82.0</v>
      </c>
      <c r="E1006" s="13" t="b">
        <v>0</v>
      </c>
      <c r="F1006" s="13" t="b">
        <v>1</v>
      </c>
      <c r="G1006" s="62" t="s">
        <v>224</v>
      </c>
      <c r="H1006" s="62"/>
      <c r="I1006" s="62" t="s">
        <v>68</v>
      </c>
      <c r="J1006" s="67">
        <v>7.0</v>
      </c>
      <c r="K1006" s="62" t="s">
        <v>141</v>
      </c>
      <c r="L1006" s="62">
        <v>702.0</v>
      </c>
      <c r="M1006" s="38" t="s">
        <v>367</v>
      </c>
      <c r="N1006" s="38">
        <v>11000.0</v>
      </c>
      <c r="O1006" s="62" t="s">
        <v>151</v>
      </c>
      <c r="P1006" s="58"/>
      <c r="Q1006" s="62" t="s">
        <v>152</v>
      </c>
      <c r="R1006" s="67"/>
      <c r="S1006" s="62"/>
      <c r="T1006" s="62"/>
      <c r="U1006" s="62"/>
      <c r="V1006" s="62"/>
      <c r="W1006" s="62"/>
      <c r="X1006" s="62"/>
      <c r="Y1006" s="62" t="s">
        <v>153</v>
      </c>
      <c r="Z1006" s="62" t="s">
        <v>154</v>
      </c>
      <c r="AA1006" s="62"/>
      <c r="AB1006" s="62"/>
      <c r="AC1006" s="62"/>
      <c r="AD1006" s="62"/>
      <c r="AE1006" s="62"/>
      <c r="AF1006" s="62"/>
      <c r="AG1006" s="32"/>
      <c r="AH1006" s="32"/>
      <c r="AI1006" s="32"/>
      <c r="AJ1006" s="32"/>
      <c r="AK1006" s="32"/>
      <c r="AL1006" s="32"/>
      <c r="AM1006" s="32"/>
      <c r="AN1006" s="32"/>
      <c r="AO1006" s="32"/>
      <c r="AP1006" s="32"/>
      <c r="AQ1006" s="32"/>
      <c r="AR1006" s="32"/>
      <c r="AS1006" s="32"/>
      <c r="AT1006" s="32"/>
      <c r="AU1006" s="32"/>
      <c r="AV1006" s="32"/>
      <c r="AW1006" s="32"/>
      <c r="AX1006" s="32"/>
      <c r="AY1006" s="32"/>
      <c r="AZ1006" s="32"/>
      <c r="BA1006" s="32"/>
      <c r="BB1006" s="32" t="s">
        <v>155</v>
      </c>
      <c r="BC1006" s="32">
        <v>1.0</v>
      </c>
      <c r="BD1006" s="32" t="s">
        <v>126</v>
      </c>
      <c r="BE1006" s="32" t="s">
        <v>37</v>
      </c>
      <c r="BF1006" s="32"/>
      <c r="BG1006" s="32"/>
      <c r="BH1006" s="32"/>
      <c r="BI1006" s="32"/>
      <c r="BJ1006" s="32"/>
      <c r="BK1006" s="32"/>
      <c r="BL1006" s="32"/>
      <c r="BM1006" s="32"/>
      <c r="BN1006" s="32"/>
      <c r="BO1006" s="32"/>
    </row>
    <row r="1007" ht="25.5" customHeight="1">
      <c r="A1007" s="32">
        <v>20006.0</v>
      </c>
      <c r="B1007" s="37" t="b">
        <v>1</v>
      </c>
      <c r="C1007" s="62" t="s">
        <v>274</v>
      </c>
      <c r="D1007" s="62">
        <v>82.0</v>
      </c>
      <c r="E1007" s="13" t="b">
        <v>0</v>
      </c>
      <c r="F1007" s="13" t="b">
        <v>1</v>
      </c>
      <c r="G1007" s="62" t="s">
        <v>224</v>
      </c>
      <c r="H1007" s="62"/>
      <c r="I1007" s="62" t="s">
        <v>265</v>
      </c>
      <c r="J1007" s="67">
        <v>9.0</v>
      </c>
      <c r="K1007" s="133" t="s">
        <v>292</v>
      </c>
      <c r="L1007" s="62"/>
      <c r="M1007" s="62" t="s">
        <v>388</v>
      </c>
      <c r="N1007" s="38">
        <v>14000.0</v>
      </c>
      <c r="O1007" s="62" t="s">
        <v>267</v>
      </c>
      <c r="P1007" s="58"/>
      <c r="Q1007" s="62" t="s">
        <v>117</v>
      </c>
      <c r="R1007" s="67"/>
      <c r="S1007" s="62"/>
      <c r="T1007" s="62"/>
      <c r="U1007" s="62"/>
      <c r="V1007" s="62"/>
      <c r="W1007" s="62"/>
      <c r="X1007" s="62"/>
      <c r="Y1007" s="62" t="s">
        <v>300</v>
      </c>
      <c r="Z1007" s="62" t="s">
        <v>301</v>
      </c>
      <c r="AA1007" s="62"/>
      <c r="AB1007" s="62"/>
      <c r="AC1007" s="62"/>
      <c r="AD1007" s="62"/>
      <c r="AE1007" s="62"/>
      <c r="AF1007" s="62"/>
      <c r="AG1007" s="32"/>
      <c r="AH1007" s="32"/>
      <c r="AI1007" s="32"/>
      <c r="AJ1007" s="32"/>
      <c r="AK1007" s="32"/>
      <c r="AL1007" s="32"/>
      <c r="AM1007" s="32"/>
      <c r="AN1007" s="32"/>
      <c r="AO1007" s="32"/>
      <c r="AP1007" s="32"/>
      <c r="AQ1007" s="32"/>
      <c r="AR1007" s="32"/>
      <c r="AS1007" s="32"/>
      <c r="AT1007" s="32"/>
      <c r="AU1007" s="32"/>
      <c r="AV1007" s="32"/>
      <c r="AW1007" s="32"/>
      <c r="AX1007" s="32"/>
      <c r="AY1007" s="32"/>
      <c r="AZ1007" s="32"/>
      <c r="BA1007" s="32"/>
      <c r="BB1007" s="32" t="s">
        <v>302</v>
      </c>
      <c r="BC1007" s="32">
        <v>1.0</v>
      </c>
      <c r="BD1007" s="32" t="s">
        <v>303</v>
      </c>
      <c r="BE1007" s="32" t="s">
        <v>304</v>
      </c>
      <c r="BF1007" s="32"/>
      <c r="BG1007" s="32"/>
      <c r="BH1007" s="32"/>
      <c r="BI1007" s="32"/>
      <c r="BJ1007" s="32"/>
      <c r="BK1007" s="32"/>
      <c r="BL1007" s="32"/>
      <c r="BM1007" s="32"/>
      <c r="BN1007" s="32"/>
      <c r="BO1007" s="32"/>
    </row>
    <row r="1008" ht="25.5" customHeight="1">
      <c r="A1008" s="32">
        <v>20007.0</v>
      </c>
      <c r="B1008" s="37" t="b">
        <v>1</v>
      </c>
      <c r="C1008" s="62" t="s">
        <v>274</v>
      </c>
      <c r="D1008" s="62">
        <v>82.0</v>
      </c>
      <c r="E1008" s="13" t="b">
        <v>0</v>
      </c>
      <c r="F1008" s="13" t="b">
        <v>1</v>
      </c>
      <c r="G1008" s="62" t="s">
        <v>224</v>
      </c>
      <c r="H1008" s="62"/>
      <c r="I1008" s="62" t="s">
        <v>265</v>
      </c>
      <c r="J1008" s="67">
        <v>9.0</v>
      </c>
      <c r="K1008" s="62" t="s">
        <v>266</v>
      </c>
      <c r="L1008" s="62">
        <v>901.0</v>
      </c>
      <c r="M1008" s="62" t="s">
        <v>388</v>
      </c>
      <c r="N1008" s="38">
        <v>14000.0</v>
      </c>
      <c r="O1008" s="62" t="s">
        <v>267</v>
      </c>
      <c r="P1008" s="58"/>
      <c r="Q1008" s="62" t="s">
        <v>152</v>
      </c>
      <c r="R1008" s="67"/>
      <c r="S1008" s="62"/>
      <c r="T1008" s="62"/>
      <c r="U1008" s="62"/>
      <c r="V1008" s="62"/>
      <c r="W1008" s="62"/>
      <c r="X1008" s="62"/>
      <c r="Y1008" s="62" t="s">
        <v>275</v>
      </c>
      <c r="Z1008" s="62" t="s">
        <v>278</v>
      </c>
      <c r="AA1008" s="62"/>
      <c r="AB1008" s="62"/>
      <c r="AC1008" s="62"/>
      <c r="AD1008" s="62"/>
      <c r="AE1008" s="62"/>
      <c r="AF1008" s="62"/>
      <c r="AG1008" s="32"/>
      <c r="AH1008" s="32"/>
      <c r="AI1008" s="32"/>
      <c r="AJ1008" s="32"/>
      <c r="AK1008" s="32"/>
      <c r="AL1008" s="32"/>
      <c r="AM1008" s="32"/>
      <c r="AN1008" s="32"/>
      <c r="AO1008" s="32"/>
      <c r="AP1008" s="32"/>
      <c r="AQ1008" s="32"/>
      <c r="AR1008" s="32"/>
      <c r="AS1008" s="32"/>
      <c r="AT1008" s="32"/>
      <c r="AU1008" s="32"/>
      <c r="AV1008" s="32"/>
      <c r="AW1008" s="32"/>
      <c r="AX1008" s="32"/>
      <c r="AY1008" s="32"/>
      <c r="AZ1008" s="32"/>
      <c r="BA1008" s="32"/>
      <c r="BB1008" s="32" t="s">
        <v>282</v>
      </c>
      <c r="BC1008" s="32">
        <v>3.0</v>
      </c>
      <c r="BD1008" s="32" t="s">
        <v>285</v>
      </c>
      <c r="BE1008" s="32" t="s">
        <v>288</v>
      </c>
      <c r="BF1008" s="32"/>
      <c r="BG1008" s="32"/>
      <c r="BH1008" s="32"/>
      <c r="BI1008" s="32"/>
      <c r="BJ1008" s="32"/>
      <c r="BK1008" s="32"/>
      <c r="BL1008" s="32"/>
      <c r="BM1008" s="32"/>
      <c r="BN1008" s="32"/>
      <c r="BO1008" s="32"/>
    </row>
    <row r="1009" ht="25.5" customHeight="1">
      <c r="A1009" s="32">
        <v>20012.0</v>
      </c>
      <c r="B1009" s="37" t="b">
        <v>1</v>
      </c>
      <c r="C1009" s="62" t="s">
        <v>274</v>
      </c>
      <c r="D1009" s="62">
        <v>82.0</v>
      </c>
      <c r="E1009" s="13" t="b">
        <v>0</v>
      </c>
      <c r="F1009" s="13" t="b">
        <v>1</v>
      </c>
      <c r="G1009" s="62" t="s">
        <v>224</v>
      </c>
      <c r="H1009" s="62"/>
      <c r="I1009" s="62" t="s">
        <v>196</v>
      </c>
      <c r="J1009" s="67">
        <v>1.0</v>
      </c>
      <c r="K1009" s="62" t="s">
        <v>219</v>
      </c>
      <c r="L1009" s="62">
        <v>105.0</v>
      </c>
      <c r="M1009" s="62" t="s">
        <v>388</v>
      </c>
      <c r="N1009" s="38">
        <v>14000.0</v>
      </c>
      <c r="O1009" s="62" t="s">
        <v>220</v>
      </c>
      <c r="P1009" s="58"/>
      <c r="Q1009" s="62" t="s">
        <v>117</v>
      </c>
      <c r="R1009" s="67"/>
      <c r="S1009" s="62"/>
      <c r="T1009" s="62"/>
      <c r="U1009" s="62"/>
      <c r="V1009" s="62"/>
      <c r="W1009" s="62"/>
      <c r="X1009" s="62"/>
      <c r="Y1009" s="62" t="s">
        <v>221</v>
      </c>
      <c r="Z1009" s="62" t="s">
        <v>222</v>
      </c>
      <c r="AA1009" s="62"/>
      <c r="AB1009" s="62"/>
      <c r="AC1009" s="62"/>
      <c r="AD1009" s="62"/>
      <c r="AE1009" s="62"/>
      <c r="AF1009" s="62"/>
      <c r="AG1009" s="32"/>
      <c r="AH1009" s="32"/>
      <c r="AI1009" s="32"/>
      <c r="AJ1009" s="32"/>
      <c r="AK1009" s="32"/>
      <c r="AL1009" s="32"/>
      <c r="AM1009" s="32"/>
      <c r="AN1009" s="32"/>
      <c r="AO1009" s="32"/>
      <c r="AP1009" s="32"/>
      <c r="AQ1009" s="32"/>
      <c r="AR1009" s="32"/>
      <c r="AS1009" s="32"/>
      <c r="AT1009" s="32"/>
      <c r="AU1009" s="32"/>
      <c r="AV1009" s="32"/>
      <c r="AW1009" s="32"/>
      <c r="AX1009" s="32"/>
      <c r="AY1009" s="32"/>
      <c r="AZ1009" s="32"/>
      <c r="BA1009" s="32"/>
      <c r="BB1009" s="32" t="s">
        <v>103</v>
      </c>
      <c r="BC1009" s="32">
        <v>1.0</v>
      </c>
      <c r="BD1009" s="32" t="s">
        <v>223</v>
      </c>
      <c r="BE1009" s="32" t="s">
        <v>37</v>
      </c>
      <c r="BF1009" s="32"/>
      <c r="BG1009" s="32"/>
      <c r="BH1009" s="32"/>
      <c r="BI1009" s="32"/>
      <c r="BJ1009" s="32"/>
      <c r="BK1009" s="32"/>
      <c r="BL1009" s="32"/>
      <c r="BM1009" s="32"/>
      <c r="BN1009" s="32"/>
      <c r="BO1009" s="32"/>
    </row>
    <row r="1010" ht="25.5" customHeight="1">
      <c r="A1010" s="32">
        <v>20034.0</v>
      </c>
      <c r="B1010" s="37" t="b">
        <v>1</v>
      </c>
      <c r="C1010" s="62" t="s">
        <v>274</v>
      </c>
      <c r="D1010" s="62">
        <v>82.0</v>
      </c>
      <c r="E1010" s="13" t="b">
        <v>0</v>
      </c>
      <c r="F1010" s="13" t="b">
        <v>1</v>
      </c>
      <c r="G1010" s="62" t="s">
        <v>224</v>
      </c>
      <c r="H1010" s="62"/>
      <c r="I1010" s="62" t="s">
        <v>490</v>
      </c>
      <c r="J1010" s="67">
        <v>6.0</v>
      </c>
      <c r="K1010" s="62" t="s">
        <v>720</v>
      </c>
      <c r="L1010" s="62">
        <v>604.0</v>
      </c>
      <c r="M1010" s="62" t="s">
        <v>388</v>
      </c>
      <c r="N1010" s="38">
        <v>14000.0</v>
      </c>
      <c r="O1010" s="62" t="s">
        <v>267</v>
      </c>
      <c r="P1010" s="58"/>
      <c r="Q1010" s="62" t="s">
        <v>431</v>
      </c>
      <c r="R1010" s="67"/>
      <c r="S1010" s="62"/>
      <c r="T1010" s="62"/>
      <c r="U1010" s="62"/>
      <c r="V1010" s="62"/>
      <c r="W1010" s="62"/>
      <c r="X1010" s="62"/>
      <c r="Y1010" s="62" t="s">
        <v>721</v>
      </c>
      <c r="Z1010" s="62" t="s">
        <v>722</v>
      </c>
      <c r="AA1010" s="62"/>
      <c r="AB1010" s="62"/>
      <c r="AC1010" s="62"/>
      <c r="AD1010" s="62"/>
      <c r="AE1010" s="62"/>
      <c r="AF1010" s="62"/>
      <c r="AG1010" s="32"/>
      <c r="AH1010" s="32"/>
      <c r="AI1010" s="32"/>
      <c r="AJ1010" s="32"/>
      <c r="AK1010" s="32"/>
      <c r="AL1010" s="32"/>
      <c r="AM1010" s="32"/>
      <c r="AN1010" s="32"/>
      <c r="AO1010" s="32"/>
      <c r="AP1010" s="32"/>
      <c r="AQ1010" s="32"/>
      <c r="AR1010" s="32"/>
      <c r="AS1010" s="32"/>
      <c r="AT1010" s="32"/>
      <c r="AU1010" s="32"/>
      <c r="AV1010" s="32"/>
      <c r="AW1010" s="32"/>
      <c r="AX1010" s="32"/>
      <c r="AY1010" s="32"/>
      <c r="AZ1010" s="32"/>
      <c r="BA1010" s="32"/>
      <c r="BB1010" s="32" t="s">
        <v>723</v>
      </c>
      <c r="BC1010" s="32">
        <v>3.0</v>
      </c>
      <c r="BD1010" s="32" t="s">
        <v>724</v>
      </c>
      <c r="BE1010" s="32" t="s">
        <v>114</v>
      </c>
      <c r="BF1010" s="32"/>
      <c r="BG1010" s="32"/>
      <c r="BH1010" s="32"/>
      <c r="BI1010" s="32"/>
      <c r="BJ1010" s="32"/>
      <c r="BK1010" s="32"/>
      <c r="BL1010" s="32"/>
      <c r="BM1010" s="32"/>
      <c r="BN1010" s="32"/>
      <c r="BO1010" s="32"/>
    </row>
    <row r="1011" ht="25.5" customHeight="1">
      <c r="A1011" s="32">
        <v>20040.0</v>
      </c>
      <c r="B1011" s="37" t="b">
        <v>1</v>
      </c>
      <c r="C1011" s="62" t="s">
        <v>274</v>
      </c>
      <c r="D1011" s="62">
        <v>82.0</v>
      </c>
      <c r="E1011" s="13" t="b">
        <v>0</v>
      </c>
      <c r="F1011" s="13" t="b">
        <v>1</v>
      </c>
      <c r="G1011" s="62" t="s">
        <v>224</v>
      </c>
      <c r="H1011" s="62"/>
      <c r="I1011" s="62" t="s">
        <v>490</v>
      </c>
      <c r="J1011" s="67">
        <v>6.0</v>
      </c>
      <c r="K1011" s="62" t="s">
        <v>708</v>
      </c>
      <c r="L1011" s="62">
        <v>603.0</v>
      </c>
      <c r="M1011" s="62" t="s">
        <v>388</v>
      </c>
      <c r="N1011" s="38">
        <v>14000.0</v>
      </c>
      <c r="O1011" s="62" t="s">
        <v>267</v>
      </c>
      <c r="P1011" s="58"/>
      <c r="Q1011" s="62" t="s">
        <v>431</v>
      </c>
      <c r="R1011" s="67"/>
      <c r="S1011" s="62"/>
      <c r="T1011" s="62"/>
      <c r="U1011" s="62"/>
      <c r="V1011" s="62"/>
      <c r="W1011" s="62"/>
      <c r="X1011" s="62"/>
      <c r="Y1011" s="62" t="s">
        <v>709</v>
      </c>
      <c r="Z1011" s="62" t="s">
        <v>710</v>
      </c>
      <c r="AA1011" s="62"/>
      <c r="AB1011" s="62"/>
      <c r="AC1011" s="62"/>
      <c r="AD1011" s="62"/>
      <c r="AE1011" s="62"/>
      <c r="AF1011" s="62"/>
      <c r="AG1011" s="32"/>
      <c r="AH1011" s="32"/>
      <c r="AI1011" s="32"/>
      <c r="AJ1011" s="32"/>
      <c r="AK1011" s="32"/>
      <c r="AL1011" s="32"/>
      <c r="AM1011" s="32"/>
      <c r="AN1011" s="32"/>
      <c r="AO1011" s="32"/>
      <c r="AP1011" s="32"/>
      <c r="AQ1011" s="32"/>
      <c r="AR1011" s="32"/>
      <c r="AS1011" s="32"/>
      <c r="AT1011" s="32"/>
      <c r="AU1011" s="32"/>
      <c r="AV1011" s="32"/>
      <c r="AW1011" s="32"/>
      <c r="AX1011" s="32"/>
      <c r="AY1011" s="32"/>
      <c r="AZ1011" s="32"/>
      <c r="BA1011" s="32"/>
      <c r="BB1011" s="32"/>
      <c r="BC1011" s="32">
        <v>3.0</v>
      </c>
      <c r="BD1011" s="32" t="s">
        <v>711</v>
      </c>
      <c r="BE1011" s="32" t="s">
        <v>713</v>
      </c>
      <c r="BF1011" s="32"/>
      <c r="BG1011" s="32"/>
      <c r="BH1011" s="32"/>
      <c r="BI1011" s="32"/>
      <c r="BJ1011" s="32"/>
      <c r="BK1011" s="32"/>
      <c r="BL1011" s="32"/>
      <c r="BM1011" s="32"/>
      <c r="BN1011" s="32"/>
      <c r="BO1011" s="32"/>
    </row>
    <row r="1012" ht="25.5" customHeight="1">
      <c r="A1012" s="32">
        <v>20042.0</v>
      </c>
      <c r="B1012" s="37" t="b">
        <v>1</v>
      </c>
      <c r="C1012" s="62" t="s">
        <v>274</v>
      </c>
      <c r="D1012" s="62">
        <v>82.0</v>
      </c>
      <c r="E1012" s="13" t="b">
        <v>0</v>
      </c>
      <c r="F1012" s="13" t="b">
        <v>1</v>
      </c>
      <c r="G1012" s="62" t="s">
        <v>224</v>
      </c>
      <c r="H1012" s="62"/>
      <c r="I1012" s="62" t="s">
        <v>490</v>
      </c>
      <c r="J1012" s="67">
        <v>6.0</v>
      </c>
      <c r="K1012" s="133" t="s">
        <v>666</v>
      </c>
      <c r="L1012" s="62"/>
      <c r="M1012" s="62" t="s">
        <v>388</v>
      </c>
      <c r="N1012" s="38">
        <v>14000.0</v>
      </c>
      <c r="O1012" s="62" t="s">
        <v>267</v>
      </c>
      <c r="P1012" s="58"/>
      <c r="Q1012" s="62" t="s">
        <v>431</v>
      </c>
      <c r="R1012" s="67"/>
      <c r="S1012" s="62"/>
      <c r="T1012" s="62"/>
      <c r="U1012" s="62"/>
      <c r="V1012" s="62"/>
      <c r="W1012" s="62"/>
      <c r="X1012" s="62"/>
      <c r="Y1012" s="62" t="s">
        <v>670</v>
      </c>
      <c r="Z1012" s="62" t="s">
        <v>671</v>
      </c>
      <c r="AA1012" s="62"/>
      <c r="AB1012" s="62"/>
      <c r="AC1012" s="62"/>
      <c r="AD1012" s="62"/>
      <c r="AE1012" s="62"/>
      <c r="AF1012" s="62"/>
      <c r="AG1012" s="32"/>
      <c r="AH1012" s="32"/>
      <c r="AI1012" s="32"/>
      <c r="AJ1012" s="32"/>
      <c r="AK1012" s="32"/>
      <c r="AL1012" s="32"/>
      <c r="AM1012" s="32"/>
      <c r="AN1012" s="32"/>
      <c r="AO1012" s="32"/>
      <c r="AP1012" s="32"/>
      <c r="AQ1012" s="32"/>
      <c r="AR1012" s="32"/>
      <c r="AS1012" s="32"/>
      <c r="AT1012" s="32"/>
      <c r="AU1012" s="32"/>
      <c r="AV1012" s="32"/>
      <c r="AW1012" s="32"/>
      <c r="AX1012" s="32"/>
      <c r="AY1012" s="32"/>
      <c r="AZ1012" s="32"/>
      <c r="BA1012" s="32"/>
      <c r="BB1012" s="32"/>
      <c r="BC1012" s="32">
        <v>1.0</v>
      </c>
      <c r="BD1012" s="32" t="s">
        <v>672</v>
      </c>
      <c r="BE1012" s="32" t="s">
        <v>375</v>
      </c>
      <c r="BF1012" s="32"/>
      <c r="BG1012" s="32"/>
      <c r="BH1012" s="32"/>
      <c r="BI1012" s="32"/>
      <c r="BJ1012" s="32"/>
      <c r="BK1012" s="32"/>
      <c r="BL1012" s="32"/>
      <c r="BM1012" s="32"/>
      <c r="BN1012" s="32"/>
      <c r="BO1012" s="32"/>
    </row>
    <row r="1013" ht="25.5" customHeight="1">
      <c r="A1013" s="32">
        <v>20059.0</v>
      </c>
      <c r="B1013" s="37" t="b">
        <v>1</v>
      </c>
      <c r="C1013" s="62" t="s">
        <v>274</v>
      </c>
      <c r="D1013" s="62">
        <v>82.0</v>
      </c>
      <c r="E1013" s="13" t="b">
        <v>0</v>
      </c>
      <c r="F1013" s="13" t="b">
        <v>1</v>
      </c>
      <c r="G1013" s="62" t="s">
        <v>224</v>
      </c>
      <c r="H1013" s="62"/>
      <c r="I1013" s="62" t="s">
        <v>387</v>
      </c>
      <c r="J1013" s="67">
        <v>8.0</v>
      </c>
      <c r="K1013" s="62" t="s">
        <v>389</v>
      </c>
      <c r="L1013" s="38">
        <v>802.0</v>
      </c>
      <c r="M1013" s="62" t="s">
        <v>388</v>
      </c>
      <c r="N1013" s="38">
        <v>14000.0</v>
      </c>
      <c r="O1013" s="62" t="s">
        <v>648</v>
      </c>
      <c r="P1013" s="58"/>
      <c r="Q1013" s="62" t="s">
        <v>431</v>
      </c>
      <c r="R1013" s="67"/>
      <c r="S1013" s="62"/>
      <c r="T1013" s="62"/>
      <c r="U1013" s="62"/>
      <c r="V1013" s="62"/>
      <c r="W1013" s="62"/>
      <c r="X1013" s="62"/>
      <c r="Y1013" s="62" t="s">
        <v>652</v>
      </c>
      <c r="Z1013" s="62" t="s">
        <v>654</v>
      </c>
      <c r="AA1013" s="62"/>
      <c r="AB1013" s="62"/>
      <c r="AC1013" s="62"/>
      <c r="AD1013" s="62"/>
      <c r="AE1013" s="62"/>
      <c r="AF1013" s="62"/>
      <c r="AG1013" s="32"/>
      <c r="AH1013" s="32"/>
      <c r="AI1013" s="32"/>
      <c r="AJ1013" s="32"/>
      <c r="AK1013" s="32"/>
      <c r="AL1013" s="32"/>
      <c r="AM1013" s="32"/>
      <c r="AN1013" s="32"/>
      <c r="AO1013" s="32"/>
      <c r="AP1013" s="32"/>
      <c r="AQ1013" s="32"/>
      <c r="AR1013" s="32"/>
      <c r="AS1013" s="32"/>
      <c r="AT1013" s="32"/>
      <c r="AU1013" s="32"/>
      <c r="AV1013" s="32"/>
      <c r="AW1013" s="32"/>
      <c r="AX1013" s="32"/>
      <c r="AY1013" s="32"/>
      <c r="AZ1013" s="32"/>
      <c r="BA1013" s="32"/>
      <c r="BB1013" s="32" t="s">
        <v>343</v>
      </c>
      <c r="BC1013" s="32">
        <v>1.0</v>
      </c>
      <c r="BD1013" s="32" t="s">
        <v>656</v>
      </c>
      <c r="BE1013" s="32" t="s">
        <v>140</v>
      </c>
      <c r="BF1013" s="32"/>
      <c r="BG1013" s="32"/>
      <c r="BH1013" s="32"/>
      <c r="BI1013" s="32"/>
      <c r="BJ1013" s="32"/>
      <c r="BK1013" s="32"/>
      <c r="BL1013" s="32"/>
      <c r="BM1013" s="32"/>
      <c r="BN1013" s="32"/>
      <c r="BO1013" s="32"/>
    </row>
    <row r="1014" ht="25.5" customHeight="1">
      <c r="A1014" s="32">
        <v>20067.0</v>
      </c>
      <c r="B1014" s="37" t="b">
        <v>1</v>
      </c>
      <c r="C1014" s="62" t="s">
        <v>274</v>
      </c>
      <c r="D1014" s="62">
        <v>82.0</v>
      </c>
      <c r="E1014" s="13" t="b">
        <v>0</v>
      </c>
      <c r="F1014" s="13" t="b">
        <v>1</v>
      </c>
      <c r="G1014" s="62" t="s">
        <v>224</v>
      </c>
      <c r="H1014" s="62"/>
      <c r="I1014" s="62" t="s">
        <v>387</v>
      </c>
      <c r="J1014" s="67">
        <v>8.0</v>
      </c>
      <c r="K1014" s="62" t="s">
        <v>657</v>
      </c>
      <c r="L1014" s="62">
        <v>803.0</v>
      </c>
      <c r="M1014" s="62" t="s">
        <v>388</v>
      </c>
      <c r="N1014" s="38">
        <v>14000.0</v>
      </c>
      <c r="O1014" s="62" t="s">
        <v>388</v>
      </c>
      <c r="P1014" s="58"/>
      <c r="Q1014" s="62" t="s">
        <v>111</v>
      </c>
      <c r="R1014" s="67"/>
      <c r="S1014" s="62"/>
      <c r="T1014" s="62"/>
      <c r="U1014" s="62"/>
      <c r="V1014" s="62"/>
      <c r="W1014" s="62"/>
      <c r="X1014" s="62"/>
      <c r="Y1014" s="62" t="s">
        <v>658</v>
      </c>
      <c r="Z1014" s="62" t="s">
        <v>659</v>
      </c>
      <c r="AA1014" s="62"/>
      <c r="AB1014" s="62"/>
      <c r="AC1014" s="62"/>
      <c r="AD1014" s="62"/>
      <c r="AE1014" s="62"/>
      <c r="AF1014" s="62"/>
      <c r="AG1014" s="32"/>
      <c r="AH1014" s="32"/>
      <c r="AI1014" s="32"/>
      <c r="AJ1014" s="32"/>
      <c r="AK1014" s="32"/>
      <c r="AL1014" s="32"/>
      <c r="AM1014" s="32"/>
      <c r="AN1014" s="32"/>
      <c r="AO1014" s="32"/>
      <c r="AP1014" s="32"/>
      <c r="AQ1014" s="32"/>
      <c r="AR1014" s="32"/>
      <c r="AS1014" s="32"/>
      <c r="AT1014" s="32"/>
      <c r="AU1014" s="32"/>
      <c r="AV1014" s="32"/>
      <c r="AW1014" s="32"/>
      <c r="AX1014" s="32"/>
      <c r="AY1014" s="32"/>
      <c r="AZ1014" s="32"/>
      <c r="BA1014" s="32"/>
      <c r="BB1014" s="32" t="s">
        <v>343</v>
      </c>
      <c r="BC1014" s="32">
        <v>1.0</v>
      </c>
      <c r="BD1014" s="32" t="s">
        <v>665</v>
      </c>
      <c r="BE1014" s="32" t="s">
        <v>140</v>
      </c>
      <c r="BF1014" s="32"/>
      <c r="BG1014" s="32"/>
      <c r="BH1014" s="32"/>
      <c r="BI1014" s="32"/>
      <c r="BJ1014" s="32"/>
      <c r="BK1014" s="32"/>
      <c r="BL1014" s="32"/>
      <c r="BM1014" s="32"/>
      <c r="BN1014" s="32"/>
      <c r="BO1014" s="32"/>
    </row>
    <row r="1015" ht="25.5" customHeight="1">
      <c r="A1015" s="32">
        <v>20069.0</v>
      </c>
      <c r="B1015" s="37" t="b">
        <v>1</v>
      </c>
      <c r="C1015" s="62" t="s">
        <v>274</v>
      </c>
      <c r="D1015" s="62">
        <v>82.0</v>
      </c>
      <c r="E1015" s="13" t="b">
        <v>0</v>
      </c>
      <c r="F1015" s="13" t="b">
        <v>1</v>
      </c>
      <c r="G1015" s="62" t="s">
        <v>224</v>
      </c>
      <c r="H1015" s="62"/>
      <c r="I1015" s="62" t="s">
        <v>772</v>
      </c>
      <c r="J1015" s="67">
        <v>5.0</v>
      </c>
      <c r="K1015" s="62" t="s">
        <v>840</v>
      </c>
      <c r="L1015" s="62">
        <v>505.0</v>
      </c>
      <c r="M1015" s="62" t="s">
        <v>388</v>
      </c>
      <c r="N1015" s="38">
        <v>14000.0</v>
      </c>
      <c r="O1015" s="62" t="s">
        <v>648</v>
      </c>
      <c r="P1015" s="58"/>
      <c r="Q1015" s="62" t="s">
        <v>431</v>
      </c>
      <c r="R1015" s="67"/>
      <c r="S1015" s="62"/>
      <c r="T1015" s="62"/>
      <c r="U1015" s="62"/>
      <c r="V1015" s="62"/>
      <c r="W1015" s="62"/>
      <c r="X1015" s="62"/>
      <c r="Y1015" s="62" t="s">
        <v>843</v>
      </c>
      <c r="Z1015" s="62" t="s">
        <v>844</v>
      </c>
      <c r="AA1015" s="62"/>
      <c r="AB1015" s="62"/>
      <c r="AC1015" s="62"/>
      <c r="AD1015" s="62"/>
      <c r="AE1015" s="62"/>
      <c r="AF1015" s="62"/>
      <c r="AG1015" s="32"/>
      <c r="AH1015" s="32"/>
      <c r="AI1015" s="32"/>
      <c r="AJ1015" s="32"/>
      <c r="AK1015" s="32"/>
      <c r="AL1015" s="32"/>
      <c r="AM1015" s="32"/>
      <c r="AN1015" s="32"/>
      <c r="AO1015" s="32"/>
      <c r="AP1015" s="32"/>
      <c r="AQ1015" s="32"/>
      <c r="AR1015" s="32"/>
      <c r="AS1015" s="32"/>
      <c r="AT1015" s="32"/>
      <c r="AU1015" s="32"/>
      <c r="AV1015" s="32"/>
      <c r="AW1015" s="32"/>
      <c r="AX1015" s="32"/>
      <c r="AY1015" s="32"/>
      <c r="AZ1015" s="32"/>
      <c r="BA1015" s="32"/>
      <c r="BB1015" s="32"/>
      <c r="BC1015" s="32">
        <v>3.0</v>
      </c>
      <c r="BD1015" s="32" t="s">
        <v>845</v>
      </c>
      <c r="BE1015" s="32" t="s">
        <v>846</v>
      </c>
      <c r="BF1015" s="32"/>
      <c r="BG1015" s="32"/>
      <c r="BH1015" s="32"/>
      <c r="BI1015" s="32"/>
      <c r="BJ1015" s="32"/>
      <c r="BK1015" s="32"/>
      <c r="BL1015" s="32"/>
      <c r="BM1015" s="32"/>
      <c r="BN1015" s="32"/>
      <c r="BO1015" s="32"/>
    </row>
    <row r="1016" ht="25.5" customHeight="1">
      <c r="A1016" s="32">
        <v>20066.0</v>
      </c>
      <c r="B1016" s="37" t="b">
        <v>1</v>
      </c>
      <c r="C1016" s="62" t="s">
        <v>274</v>
      </c>
      <c r="D1016" s="62">
        <v>82.0</v>
      </c>
      <c r="E1016" s="13" t="b">
        <v>0</v>
      </c>
      <c r="F1016" s="13" t="b">
        <v>1</v>
      </c>
      <c r="G1016" s="62" t="s">
        <v>224</v>
      </c>
      <c r="H1016" s="62"/>
      <c r="I1016" s="62" t="s">
        <v>387</v>
      </c>
      <c r="J1016" s="67">
        <v>8.0</v>
      </c>
      <c r="K1016" s="62" t="s">
        <v>594</v>
      </c>
      <c r="L1016" s="62">
        <v>801.0</v>
      </c>
      <c r="M1016" s="62" t="s">
        <v>395</v>
      </c>
      <c r="N1016" s="38">
        <v>16000.0</v>
      </c>
      <c r="O1016" s="62" t="s">
        <v>601</v>
      </c>
      <c r="P1016" s="58"/>
      <c r="Q1016" s="62" t="s">
        <v>111</v>
      </c>
      <c r="R1016" s="67"/>
      <c r="S1016" s="62"/>
      <c r="T1016" s="62"/>
      <c r="U1016" s="62"/>
      <c r="V1016" s="62"/>
      <c r="W1016" s="62"/>
      <c r="X1016" s="62"/>
      <c r="Y1016" s="62" t="s">
        <v>602</v>
      </c>
      <c r="Z1016" s="62" t="s">
        <v>604</v>
      </c>
      <c r="AA1016" s="62"/>
      <c r="AB1016" s="62"/>
      <c r="AC1016" s="62"/>
      <c r="AD1016" s="62"/>
      <c r="AE1016" s="62"/>
      <c r="AF1016" s="62"/>
      <c r="AG1016" s="32"/>
      <c r="AH1016" s="32"/>
      <c r="AI1016" s="32"/>
      <c r="AJ1016" s="32"/>
      <c r="AK1016" s="32"/>
      <c r="AL1016" s="32"/>
      <c r="AM1016" s="32"/>
      <c r="AN1016" s="32"/>
      <c r="AO1016" s="32"/>
      <c r="AP1016" s="32"/>
      <c r="AQ1016" s="32"/>
      <c r="AR1016" s="32"/>
      <c r="AS1016" s="32"/>
      <c r="AT1016" s="32"/>
      <c r="AU1016" s="32"/>
      <c r="AV1016" s="32"/>
      <c r="AW1016" s="32"/>
      <c r="AX1016" s="32"/>
      <c r="AY1016" s="32"/>
      <c r="AZ1016" s="32"/>
      <c r="BA1016" s="32"/>
      <c r="BB1016" s="32"/>
      <c r="BC1016" s="32">
        <v>1.0</v>
      </c>
      <c r="BD1016" s="32" t="s">
        <v>607</v>
      </c>
      <c r="BE1016" s="32"/>
      <c r="BF1016" s="32"/>
      <c r="BG1016" s="32"/>
      <c r="BH1016" s="32"/>
      <c r="BI1016" s="32"/>
      <c r="BJ1016" s="32"/>
      <c r="BK1016" s="32"/>
      <c r="BL1016" s="32"/>
      <c r="BM1016" s="32"/>
      <c r="BN1016" s="32"/>
      <c r="BO1016" s="32"/>
    </row>
    <row r="1017" ht="25.5" customHeight="1">
      <c r="A1017" s="32">
        <v>20018.0</v>
      </c>
      <c r="B1017" s="37" t="b">
        <v>1</v>
      </c>
      <c r="C1017" s="62" t="s">
        <v>274</v>
      </c>
      <c r="D1017" s="62">
        <v>82.0</v>
      </c>
      <c r="E1017" s="13" t="b">
        <v>0</v>
      </c>
      <c r="F1017" s="13" t="b">
        <v>1</v>
      </c>
      <c r="G1017" s="62" t="s">
        <v>224</v>
      </c>
      <c r="H1017" s="62"/>
      <c r="I1017" s="62" t="s">
        <v>429</v>
      </c>
      <c r="J1017" s="67">
        <v>2.0</v>
      </c>
      <c r="K1017" s="62" t="s">
        <v>560</v>
      </c>
      <c r="L1017" s="62">
        <v>206.0</v>
      </c>
      <c r="M1017" s="62" t="s">
        <v>408</v>
      </c>
      <c r="N1017" s="38">
        <v>20000.0</v>
      </c>
      <c r="O1017" s="62" t="s">
        <v>526</v>
      </c>
      <c r="P1017" s="58"/>
      <c r="Q1017" s="62" t="s">
        <v>431</v>
      </c>
      <c r="R1017" s="67"/>
      <c r="S1017" s="62"/>
      <c r="T1017" s="62"/>
      <c r="U1017" s="62"/>
      <c r="V1017" s="62"/>
      <c r="W1017" s="62"/>
      <c r="X1017" s="62"/>
      <c r="Y1017" s="62" t="s">
        <v>563</v>
      </c>
      <c r="Z1017" s="62" t="s">
        <v>564</v>
      </c>
      <c r="AA1017" s="62"/>
      <c r="AB1017" s="62"/>
      <c r="AC1017" s="62"/>
      <c r="AD1017" s="62"/>
      <c r="AE1017" s="62"/>
      <c r="AF1017" s="62"/>
      <c r="AG1017" s="32"/>
      <c r="AH1017" s="32"/>
      <c r="AI1017" s="32"/>
      <c r="AJ1017" s="32"/>
      <c r="AK1017" s="32"/>
      <c r="AL1017" s="32"/>
      <c r="AM1017" s="32"/>
      <c r="AN1017" s="32"/>
      <c r="AO1017" s="32"/>
      <c r="AP1017" s="32"/>
      <c r="AQ1017" s="32"/>
      <c r="AR1017" s="32"/>
      <c r="AS1017" s="32"/>
      <c r="AT1017" s="32"/>
      <c r="AU1017" s="32"/>
      <c r="AV1017" s="32"/>
      <c r="AW1017" s="32"/>
      <c r="AX1017" s="32"/>
      <c r="AY1017" s="32"/>
      <c r="AZ1017" s="32"/>
      <c r="BA1017" s="32"/>
      <c r="BB1017" s="32"/>
      <c r="BC1017" s="32">
        <v>3.0</v>
      </c>
      <c r="BD1017" s="32" t="s">
        <v>565</v>
      </c>
      <c r="BE1017" s="32" t="s">
        <v>114</v>
      </c>
      <c r="BF1017" s="32"/>
      <c r="BG1017" s="32"/>
      <c r="BH1017" s="32"/>
      <c r="BI1017" s="32"/>
      <c r="BJ1017" s="32"/>
      <c r="BK1017" s="32"/>
      <c r="BL1017" s="32"/>
      <c r="BM1017" s="32"/>
      <c r="BN1017" s="32"/>
      <c r="BO1017" s="32"/>
    </row>
    <row r="1018" ht="25.5" customHeight="1">
      <c r="A1018" s="32">
        <v>20021.0</v>
      </c>
      <c r="B1018" s="37" t="b">
        <v>1</v>
      </c>
      <c r="C1018" s="62" t="s">
        <v>274</v>
      </c>
      <c r="D1018" s="62">
        <v>82.0</v>
      </c>
      <c r="E1018" s="13" t="b">
        <v>0</v>
      </c>
      <c r="F1018" s="13" t="b">
        <v>1</v>
      </c>
      <c r="G1018" s="62" t="s">
        <v>224</v>
      </c>
      <c r="H1018" s="62"/>
      <c r="I1018" s="62" t="s">
        <v>429</v>
      </c>
      <c r="J1018" s="67">
        <v>2.0</v>
      </c>
      <c r="K1018" s="62" t="s">
        <v>524</v>
      </c>
      <c r="L1018" s="38">
        <v>205.0</v>
      </c>
      <c r="M1018" s="62" t="s">
        <v>408</v>
      </c>
      <c r="N1018" s="38">
        <v>20000.0</v>
      </c>
      <c r="O1018" s="62" t="s">
        <v>526</v>
      </c>
      <c r="P1018" s="58"/>
      <c r="Q1018" s="62" t="s">
        <v>111</v>
      </c>
      <c r="R1018" s="67"/>
      <c r="S1018" s="62"/>
      <c r="T1018" s="62"/>
      <c r="U1018" s="62"/>
      <c r="V1018" s="62"/>
      <c r="W1018" s="62"/>
      <c r="X1018" s="62"/>
      <c r="Y1018" s="62" t="s">
        <v>532</v>
      </c>
      <c r="Z1018" s="62" t="s">
        <v>533</v>
      </c>
      <c r="AA1018" s="62"/>
      <c r="AB1018" s="62"/>
      <c r="AC1018" s="62"/>
      <c r="AD1018" s="62"/>
      <c r="AE1018" s="62"/>
      <c r="AF1018" s="62"/>
      <c r="AG1018" s="32"/>
      <c r="AH1018" s="32"/>
      <c r="AI1018" s="32"/>
      <c r="AJ1018" s="32"/>
      <c r="AK1018" s="32"/>
      <c r="AL1018" s="32"/>
      <c r="AM1018" s="32"/>
      <c r="AN1018" s="32"/>
      <c r="AO1018" s="32"/>
      <c r="AP1018" s="32"/>
      <c r="AQ1018" s="32"/>
      <c r="AR1018" s="32"/>
      <c r="AS1018" s="32"/>
      <c r="AT1018" s="32"/>
      <c r="AU1018" s="32"/>
      <c r="AV1018" s="32"/>
      <c r="AW1018" s="32"/>
      <c r="AX1018" s="32"/>
      <c r="AY1018" s="32"/>
      <c r="AZ1018" s="32"/>
      <c r="BA1018" s="32"/>
      <c r="BB1018" s="32" t="s">
        <v>535</v>
      </c>
      <c r="BC1018" s="32">
        <v>1.0</v>
      </c>
      <c r="BD1018" s="32" t="s">
        <v>223</v>
      </c>
      <c r="BE1018" s="32" t="s">
        <v>375</v>
      </c>
      <c r="BF1018" s="32"/>
      <c r="BG1018" s="32"/>
      <c r="BH1018" s="32"/>
      <c r="BI1018" s="32"/>
      <c r="BJ1018" s="32"/>
      <c r="BK1018" s="32"/>
      <c r="BL1018" s="32"/>
      <c r="BM1018" s="32"/>
      <c r="BN1018" s="32"/>
      <c r="BO1018" s="32"/>
    </row>
    <row r="1019" ht="25.5" customHeight="1">
      <c r="A1019" s="32">
        <v>20041.0</v>
      </c>
      <c r="B1019" s="37" t="b">
        <v>1</v>
      </c>
      <c r="C1019" s="62" t="s">
        <v>274</v>
      </c>
      <c r="D1019" s="62">
        <v>82.0</v>
      </c>
      <c r="E1019" s="13" t="b">
        <v>0</v>
      </c>
      <c r="F1019" s="13" t="b">
        <v>1</v>
      </c>
      <c r="G1019" s="62" t="s">
        <v>224</v>
      </c>
      <c r="H1019" s="62"/>
      <c r="I1019" s="62" t="s">
        <v>490</v>
      </c>
      <c r="J1019" s="67">
        <v>6.0</v>
      </c>
      <c r="K1019" s="62" t="s">
        <v>708</v>
      </c>
      <c r="L1019" s="62">
        <v>603.0</v>
      </c>
      <c r="M1019" s="62" t="s">
        <v>408</v>
      </c>
      <c r="N1019" s="38">
        <v>20000.0</v>
      </c>
      <c r="O1019" s="62" t="s">
        <v>169</v>
      </c>
      <c r="P1019" s="58"/>
      <c r="Q1019" s="62" t="s">
        <v>111</v>
      </c>
      <c r="R1019" s="67"/>
      <c r="S1019" s="62"/>
      <c r="T1019" s="62"/>
      <c r="U1019" s="62"/>
      <c r="V1019" s="62"/>
      <c r="W1019" s="62"/>
      <c r="X1019" s="62"/>
      <c r="Y1019" s="62" t="s">
        <v>717</v>
      </c>
      <c r="Z1019" s="62" t="s">
        <v>718</v>
      </c>
      <c r="AA1019" s="62"/>
      <c r="AB1019" s="62"/>
      <c r="AC1019" s="62"/>
      <c r="AD1019" s="62"/>
      <c r="AE1019" s="62"/>
      <c r="AF1019" s="62"/>
      <c r="AG1019" s="32"/>
      <c r="AH1019" s="32"/>
      <c r="AI1019" s="32"/>
      <c r="AJ1019" s="32"/>
      <c r="AK1019" s="32"/>
      <c r="AL1019" s="32"/>
      <c r="AM1019" s="32"/>
      <c r="AN1019" s="32"/>
      <c r="AO1019" s="32"/>
      <c r="AP1019" s="32"/>
      <c r="AQ1019" s="32"/>
      <c r="AR1019" s="32"/>
      <c r="AS1019" s="32"/>
      <c r="AT1019" s="32"/>
      <c r="AU1019" s="32"/>
      <c r="AV1019" s="32"/>
      <c r="AW1019" s="32"/>
      <c r="AX1019" s="32"/>
      <c r="AY1019" s="32"/>
      <c r="AZ1019" s="32"/>
      <c r="BA1019" s="32"/>
      <c r="BB1019" s="32" t="s">
        <v>343</v>
      </c>
      <c r="BC1019" s="32">
        <v>1.0</v>
      </c>
      <c r="BD1019" s="32" t="s">
        <v>719</v>
      </c>
      <c r="BE1019" s="32" t="s">
        <v>146</v>
      </c>
      <c r="BF1019" s="32"/>
      <c r="BG1019" s="32"/>
      <c r="BH1019" s="32"/>
      <c r="BI1019" s="32"/>
      <c r="BJ1019" s="32"/>
      <c r="BK1019" s="32"/>
      <c r="BL1019" s="32"/>
      <c r="BM1019" s="32"/>
      <c r="BN1019" s="32"/>
      <c r="BO1019" s="32"/>
    </row>
    <row r="1020" ht="25.5" customHeight="1">
      <c r="A1020" s="32">
        <v>20043.0</v>
      </c>
      <c r="B1020" s="37" t="b">
        <v>1</v>
      </c>
      <c r="C1020" s="62" t="s">
        <v>274</v>
      </c>
      <c r="D1020" s="62">
        <v>82.0</v>
      </c>
      <c r="E1020" s="13" t="b">
        <v>0</v>
      </c>
      <c r="F1020" s="13" t="b">
        <v>1</v>
      </c>
      <c r="G1020" s="62" t="s">
        <v>224</v>
      </c>
      <c r="H1020" s="62"/>
      <c r="I1020" s="62" t="s">
        <v>167</v>
      </c>
      <c r="J1020" s="67">
        <v>10.0</v>
      </c>
      <c r="K1020" s="133" t="s">
        <v>168</v>
      </c>
      <c r="L1020" s="62"/>
      <c r="M1020" s="62" t="s">
        <v>408</v>
      </c>
      <c r="N1020" s="38">
        <v>20000.0</v>
      </c>
      <c r="O1020" s="62" t="s">
        <v>169</v>
      </c>
      <c r="P1020" s="58"/>
      <c r="Q1020" s="62" t="s">
        <v>117</v>
      </c>
      <c r="R1020" s="67"/>
      <c r="S1020" s="62"/>
      <c r="T1020" s="62"/>
      <c r="U1020" s="62"/>
      <c r="V1020" s="62"/>
      <c r="W1020" s="62"/>
      <c r="X1020" s="62"/>
      <c r="Y1020" s="62" t="s">
        <v>170</v>
      </c>
      <c r="Z1020" s="62" t="s">
        <v>171</v>
      </c>
      <c r="AA1020" s="62"/>
      <c r="AB1020" s="62"/>
      <c r="AC1020" s="62"/>
      <c r="AD1020" s="62"/>
      <c r="AE1020" s="62"/>
      <c r="AF1020" s="62"/>
      <c r="AG1020" s="32"/>
      <c r="AH1020" s="32"/>
      <c r="AI1020" s="32"/>
      <c r="AJ1020" s="32"/>
      <c r="AK1020" s="32"/>
      <c r="AL1020" s="32"/>
      <c r="AM1020" s="32"/>
      <c r="AN1020" s="32"/>
      <c r="AO1020" s="32"/>
      <c r="AP1020" s="32"/>
      <c r="AQ1020" s="32"/>
      <c r="AR1020" s="32"/>
      <c r="AS1020" s="32"/>
      <c r="AT1020" s="32"/>
      <c r="AU1020" s="32"/>
      <c r="AV1020" s="32"/>
      <c r="AW1020" s="32"/>
      <c r="AX1020" s="32"/>
      <c r="AY1020" s="32"/>
      <c r="AZ1020" s="32"/>
      <c r="BA1020" s="32"/>
      <c r="BB1020" s="32" t="s">
        <v>172</v>
      </c>
      <c r="BC1020" s="32">
        <v>1.0</v>
      </c>
      <c r="BD1020" s="32" t="s">
        <v>126</v>
      </c>
      <c r="BE1020" s="32" t="s">
        <v>37</v>
      </c>
      <c r="BF1020" s="32"/>
      <c r="BG1020" s="32"/>
      <c r="BH1020" s="32"/>
      <c r="BI1020" s="32"/>
      <c r="BJ1020" s="32"/>
      <c r="BK1020" s="32"/>
      <c r="BL1020" s="32"/>
      <c r="BM1020" s="32"/>
      <c r="BN1020" s="32"/>
      <c r="BO1020" s="32"/>
    </row>
    <row r="1021" ht="25.5" customHeight="1">
      <c r="A1021" s="32">
        <v>20013.0</v>
      </c>
      <c r="B1021" s="37" t="b">
        <v>1</v>
      </c>
      <c r="C1021" s="62" t="s">
        <v>274</v>
      </c>
      <c r="D1021" s="62">
        <v>82.0</v>
      </c>
      <c r="E1021" s="13" t="b">
        <v>0</v>
      </c>
      <c r="F1021" s="13" t="b">
        <v>1</v>
      </c>
      <c r="G1021" s="62" t="s">
        <v>224</v>
      </c>
      <c r="H1021" s="62"/>
      <c r="I1021" s="62" t="s">
        <v>196</v>
      </c>
      <c r="J1021" s="67">
        <v>1.0</v>
      </c>
      <c r="K1021" s="62" t="s">
        <v>219</v>
      </c>
      <c r="L1021" s="62">
        <v>105.0</v>
      </c>
      <c r="M1021" s="38" t="s">
        <v>411</v>
      </c>
      <c r="N1021" s="38">
        <v>21000.0</v>
      </c>
      <c r="O1021" s="62" t="s">
        <v>237</v>
      </c>
      <c r="P1021" s="58"/>
      <c r="Q1021" s="62" t="s">
        <v>95</v>
      </c>
      <c r="R1021" s="67"/>
      <c r="S1021" s="62"/>
      <c r="T1021" s="62"/>
      <c r="U1021" s="62"/>
      <c r="V1021" s="62"/>
      <c r="W1021" s="62"/>
      <c r="X1021" s="62"/>
      <c r="Y1021" s="62" t="s">
        <v>240</v>
      </c>
      <c r="Z1021" s="62" t="s">
        <v>241</v>
      </c>
      <c r="AA1021" s="62"/>
      <c r="AB1021" s="62"/>
      <c r="AC1021" s="62"/>
      <c r="AD1021" s="62"/>
      <c r="AE1021" s="62"/>
      <c r="AF1021" s="62"/>
      <c r="AG1021" s="32"/>
      <c r="AH1021" s="32"/>
      <c r="AI1021" s="32"/>
      <c r="AJ1021" s="32"/>
      <c r="AK1021" s="32"/>
      <c r="AL1021" s="32"/>
      <c r="AM1021" s="32"/>
      <c r="AN1021" s="32"/>
      <c r="AO1021" s="32"/>
      <c r="AP1021" s="32"/>
      <c r="AQ1021" s="32"/>
      <c r="AR1021" s="32"/>
      <c r="AS1021" s="32"/>
      <c r="AT1021" s="32"/>
      <c r="AU1021" s="32"/>
      <c r="AV1021" s="32"/>
      <c r="AW1021" s="32"/>
      <c r="AX1021" s="32"/>
      <c r="AY1021" s="32"/>
      <c r="AZ1021" s="32"/>
      <c r="BA1021" s="32"/>
      <c r="BB1021" s="32" t="s">
        <v>242</v>
      </c>
      <c r="BC1021" s="32">
        <v>1.0</v>
      </c>
      <c r="BD1021" s="32" t="s">
        <v>243</v>
      </c>
      <c r="BE1021" s="32" t="s">
        <v>37</v>
      </c>
      <c r="BF1021" s="32"/>
      <c r="BG1021" s="32"/>
      <c r="BH1021" s="32"/>
      <c r="BI1021" s="32"/>
      <c r="BJ1021" s="32"/>
      <c r="BK1021" s="32"/>
      <c r="BL1021" s="32"/>
      <c r="BM1021" s="32"/>
      <c r="BN1021" s="32"/>
      <c r="BO1021" s="32"/>
    </row>
    <row r="1022" ht="25.5" customHeight="1">
      <c r="A1022" s="32">
        <v>20016.0</v>
      </c>
      <c r="B1022" s="37" t="b">
        <v>1</v>
      </c>
      <c r="C1022" s="62" t="s">
        <v>274</v>
      </c>
      <c r="D1022" s="62">
        <v>82.0</v>
      </c>
      <c r="E1022" s="13" t="b">
        <v>0</v>
      </c>
      <c r="F1022" s="13" t="b">
        <v>1</v>
      </c>
      <c r="G1022" s="62" t="s">
        <v>224</v>
      </c>
      <c r="H1022" s="62"/>
      <c r="I1022" s="62" t="s">
        <v>429</v>
      </c>
      <c r="J1022" s="67">
        <v>2.0</v>
      </c>
      <c r="K1022" s="62" t="s">
        <v>464</v>
      </c>
      <c r="L1022" s="62">
        <v>204.0</v>
      </c>
      <c r="M1022" s="38" t="s">
        <v>411</v>
      </c>
      <c r="N1022" s="38">
        <v>21000.0</v>
      </c>
      <c r="O1022" s="62" t="s">
        <v>247</v>
      </c>
      <c r="P1022" s="58"/>
      <c r="Q1022" s="62" t="s">
        <v>117</v>
      </c>
      <c r="R1022" s="67"/>
      <c r="S1022" s="62"/>
      <c r="T1022" s="62"/>
      <c r="U1022" s="62"/>
      <c r="V1022" s="62"/>
      <c r="W1022" s="62"/>
      <c r="X1022" s="62"/>
      <c r="Y1022" s="62" t="s">
        <v>469</v>
      </c>
      <c r="Z1022" s="62" t="s">
        <v>472</v>
      </c>
      <c r="AA1022" s="62"/>
      <c r="AB1022" s="62"/>
      <c r="AC1022" s="62"/>
      <c r="AD1022" s="62"/>
      <c r="AE1022" s="62"/>
      <c r="AF1022" s="62"/>
      <c r="AG1022" s="32"/>
      <c r="AH1022" s="32"/>
      <c r="AI1022" s="32"/>
      <c r="AJ1022" s="32"/>
      <c r="AK1022" s="32"/>
      <c r="AL1022" s="32"/>
      <c r="AM1022" s="32"/>
      <c r="AN1022" s="32"/>
      <c r="AO1022" s="32"/>
      <c r="AP1022" s="32"/>
      <c r="AQ1022" s="32"/>
      <c r="AR1022" s="32"/>
      <c r="AS1022" s="32"/>
      <c r="AT1022" s="32"/>
      <c r="AU1022" s="32"/>
      <c r="AV1022" s="32"/>
      <c r="AW1022" s="32"/>
      <c r="AX1022" s="32"/>
      <c r="AY1022" s="32"/>
      <c r="AZ1022" s="32"/>
      <c r="BA1022" s="32"/>
      <c r="BB1022" s="32" t="s">
        <v>475</v>
      </c>
      <c r="BC1022" s="32">
        <v>3.0</v>
      </c>
      <c r="BD1022" s="32" t="s">
        <v>476</v>
      </c>
      <c r="BE1022" s="32" t="s">
        <v>426</v>
      </c>
      <c r="BF1022" s="32"/>
      <c r="BG1022" s="32"/>
      <c r="BH1022" s="32"/>
      <c r="BI1022" s="32"/>
      <c r="BJ1022" s="32"/>
      <c r="BK1022" s="32"/>
      <c r="BL1022" s="32"/>
      <c r="BM1022" s="32"/>
      <c r="BN1022" s="32"/>
      <c r="BO1022" s="32"/>
    </row>
    <row r="1023" ht="25.5" customHeight="1">
      <c r="A1023" s="32">
        <v>20024.0</v>
      </c>
      <c r="B1023" s="37" t="b">
        <v>1</v>
      </c>
      <c r="C1023" s="62" t="s">
        <v>274</v>
      </c>
      <c r="D1023" s="62">
        <v>82.0</v>
      </c>
      <c r="E1023" s="13" t="b">
        <v>0</v>
      </c>
      <c r="F1023" s="13" t="b">
        <v>1</v>
      </c>
      <c r="G1023" s="62" t="s">
        <v>224</v>
      </c>
      <c r="H1023" s="62"/>
      <c r="I1023" s="62" t="s">
        <v>429</v>
      </c>
      <c r="J1023" s="67">
        <v>2.0</v>
      </c>
      <c r="K1023" s="62" t="s">
        <v>478</v>
      </c>
      <c r="L1023" s="62">
        <v>201.0</v>
      </c>
      <c r="M1023" s="38" t="s">
        <v>411</v>
      </c>
      <c r="N1023" s="38">
        <v>21000.0</v>
      </c>
      <c r="O1023" s="62" t="s">
        <v>247</v>
      </c>
      <c r="P1023" s="58"/>
      <c r="Q1023" s="62" t="s">
        <v>431</v>
      </c>
      <c r="R1023" s="67"/>
      <c r="S1023" s="62"/>
      <c r="T1023" s="62"/>
      <c r="U1023" s="62"/>
      <c r="V1023" s="62"/>
      <c r="W1023" s="62"/>
      <c r="X1023" s="62"/>
      <c r="Y1023" s="62" t="s">
        <v>483</v>
      </c>
      <c r="Z1023" s="62" t="s">
        <v>486</v>
      </c>
      <c r="AA1023" s="62"/>
      <c r="AB1023" s="62"/>
      <c r="AC1023" s="62"/>
      <c r="AD1023" s="62"/>
      <c r="AE1023" s="62"/>
      <c r="AF1023" s="62"/>
      <c r="AG1023" s="32"/>
      <c r="AH1023" s="32"/>
      <c r="AI1023" s="32"/>
      <c r="AJ1023" s="32"/>
      <c r="AK1023" s="32"/>
      <c r="AL1023" s="32"/>
      <c r="AM1023" s="32"/>
      <c r="AN1023" s="32"/>
      <c r="AO1023" s="32"/>
      <c r="AP1023" s="32"/>
      <c r="AQ1023" s="32"/>
      <c r="AR1023" s="32"/>
      <c r="AS1023" s="32"/>
      <c r="AT1023" s="32"/>
      <c r="AU1023" s="32"/>
      <c r="AV1023" s="32"/>
      <c r="AW1023" s="32"/>
      <c r="AX1023" s="32"/>
      <c r="AY1023" s="32"/>
      <c r="AZ1023" s="32"/>
      <c r="BA1023" s="32"/>
      <c r="BB1023" s="32" t="s">
        <v>487</v>
      </c>
      <c r="BC1023" s="32">
        <v>1.0</v>
      </c>
      <c r="BD1023" s="32" t="s">
        <v>223</v>
      </c>
      <c r="BE1023" s="32" t="s">
        <v>375</v>
      </c>
      <c r="BF1023" s="32"/>
      <c r="BG1023" s="32"/>
      <c r="BH1023" s="32"/>
      <c r="BI1023" s="32"/>
      <c r="BJ1023" s="32"/>
      <c r="BK1023" s="32"/>
      <c r="BL1023" s="32"/>
      <c r="BM1023" s="32"/>
      <c r="BN1023" s="32"/>
      <c r="BO1023" s="32"/>
    </row>
    <row r="1024" ht="25.5" customHeight="1">
      <c r="A1024" s="32">
        <v>20027.0</v>
      </c>
      <c r="B1024" s="37" t="b">
        <v>1</v>
      </c>
      <c r="C1024" s="62" t="s">
        <v>274</v>
      </c>
      <c r="D1024" s="62">
        <v>82.0</v>
      </c>
      <c r="E1024" s="13" t="b">
        <v>0</v>
      </c>
      <c r="F1024" s="13" t="b">
        <v>1</v>
      </c>
      <c r="G1024" s="62" t="s">
        <v>224</v>
      </c>
      <c r="H1024" s="62"/>
      <c r="I1024" s="62" t="s">
        <v>376</v>
      </c>
      <c r="J1024" s="67">
        <v>2.0</v>
      </c>
      <c r="K1024" s="133" t="s">
        <v>430</v>
      </c>
      <c r="L1024" s="62"/>
      <c r="M1024" s="38" t="s">
        <v>411</v>
      </c>
      <c r="N1024" s="38">
        <v>21000.0</v>
      </c>
      <c r="O1024" s="62" t="s">
        <v>247</v>
      </c>
      <c r="P1024" s="58"/>
      <c r="Q1024" s="62" t="s">
        <v>117</v>
      </c>
      <c r="R1024" s="67"/>
      <c r="S1024" s="62"/>
      <c r="T1024" s="62"/>
      <c r="U1024" s="62"/>
      <c r="V1024" s="62"/>
      <c r="W1024" s="62"/>
      <c r="X1024" s="49"/>
      <c r="Y1024" s="62" t="s">
        <v>455</v>
      </c>
      <c r="Z1024" s="62" t="s">
        <v>457</v>
      </c>
      <c r="AA1024" s="62"/>
      <c r="AB1024" s="49"/>
      <c r="AC1024" s="62"/>
      <c r="AD1024" s="62"/>
      <c r="AE1024" s="62"/>
      <c r="AF1024" s="62"/>
      <c r="AG1024" s="32"/>
      <c r="AH1024" s="32"/>
      <c r="AI1024" s="32"/>
      <c r="AJ1024" s="32"/>
      <c r="AK1024" s="32"/>
      <c r="AL1024" s="32"/>
      <c r="AM1024" s="32"/>
      <c r="AN1024" s="32"/>
      <c r="AO1024" s="32"/>
      <c r="AP1024" s="32"/>
      <c r="AQ1024" s="32"/>
      <c r="AR1024" s="32"/>
      <c r="AS1024" s="32"/>
      <c r="AT1024" s="32"/>
      <c r="AU1024" s="32"/>
      <c r="AV1024" s="32"/>
      <c r="AW1024" s="32"/>
      <c r="AX1024" s="32"/>
      <c r="AY1024" s="32"/>
      <c r="AZ1024" s="32"/>
      <c r="BA1024" s="32"/>
      <c r="BB1024" s="32" t="s">
        <v>458</v>
      </c>
      <c r="BC1024" s="32">
        <v>1.0</v>
      </c>
      <c r="BD1024" s="32" t="s">
        <v>374</v>
      </c>
      <c r="BE1024" s="32" t="s">
        <v>460</v>
      </c>
      <c r="BF1024" s="32"/>
      <c r="BG1024" s="32"/>
      <c r="BH1024" s="32"/>
      <c r="BI1024" s="32"/>
      <c r="BJ1024" s="32"/>
      <c r="BK1024" s="32"/>
      <c r="BL1024" s="32"/>
      <c r="BM1024" s="32"/>
      <c r="BN1024" s="32"/>
      <c r="BO1024" s="32"/>
    </row>
    <row r="1025" ht="25.5" customHeight="1">
      <c r="A1025" s="32">
        <v>20028.0</v>
      </c>
      <c r="B1025" s="37" t="b">
        <v>1</v>
      </c>
      <c r="C1025" s="62" t="s">
        <v>274</v>
      </c>
      <c r="D1025" s="62">
        <v>82.0</v>
      </c>
      <c r="E1025" s="13" t="b">
        <v>0</v>
      </c>
      <c r="F1025" s="13" t="b">
        <v>1</v>
      </c>
      <c r="G1025" s="62" t="s">
        <v>224</v>
      </c>
      <c r="H1025" s="62"/>
      <c r="I1025" s="62" t="s">
        <v>376</v>
      </c>
      <c r="J1025" s="67">
        <v>2.0</v>
      </c>
      <c r="K1025" s="62" t="s">
        <v>378</v>
      </c>
      <c r="L1025" s="62">
        <v>200.0</v>
      </c>
      <c r="M1025" s="38" t="s">
        <v>411</v>
      </c>
      <c r="N1025" s="38">
        <v>21000.0</v>
      </c>
      <c r="O1025" s="62" t="s">
        <v>247</v>
      </c>
      <c r="P1025" s="58"/>
      <c r="Q1025" s="62" t="s">
        <v>117</v>
      </c>
      <c r="R1025" s="67"/>
      <c r="S1025" s="62"/>
      <c r="T1025" s="62"/>
      <c r="U1025" s="62"/>
      <c r="V1025" s="62"/>
      <c r="W1025" s="62"/>
      <c r="X1025" s="49"/>
      <c r="Y1025" s="62" t="s">
        <v>382</v>
      </c>
      <c r="Z1025" s="62" t="s">
        <v>384</v>
      </c>
      <c r="AA1025" s="62"/>
      <c r="AB1025" s="49"/>
      <c r="AC1025" s="62"/>
      <c r="AD1025" s="62"/>
      <c r="AE1025" s="62"/>
      <c r="AF1025" s="49"/>
      <c r="AG1025" s="95"/>
      <c r="AH1025" s="95"/>
      <c r="AI1025" s="95"/>
      <c r="AJ1025" s="95"/>
      <c r="AK1025" s="95"/>
      <c r="AL1025" s="95"/>
      <c r="AM1025" s="95"/>
      <c r="AN1025" s="95"/>
      <c r="AO1025" s="95"/>
      <c r="AP1025" s="95"/>
      <c r="AQ1025" s="95"/>
      <c r="AR1025" s="95"/>
      <c r="AS1025" s="95"/>
      <c r="AT1025" s="95"/>
      <c r="AU1025" s="95"/>
      <c r="AV1025" s="95"/>
      <c r="AW1025" s="95"/>
      <c r="AX1025" s="95"/>
      <c r="AY1025" s="95"/>
      <c r="AZ1025" s="95"/>
      <c r="BA1025" s="95"/>
      <c r="BB1025" s="32"/>
      <c r="BC1025" s="32">
        <v>3.0</v>
      </c>
      <c r="BD1025" s="56" t="s">
        <v>401</v>
      </c>
      <c r="BE1025" s="32" t="s">
        <v>426</v>
      </c>
      <c r="BF1025" s="32"/>
      <c r="BG1025" s="32"/>
      <c r="BH1025" s="32"/>
      <c r="BI1025" s="32"/>
      <c r="BJ1025" s="32"/>
      <c r="BK1025" s="32"/>
      <c r="BL1025" s="32"/>
      <c r="BM1025" s="32"/>
      <c r="BN1025" s="32"/>
      <c r="BO1025" s="32"/>
    </row>
    <row r="1026" ht="25.5" customHeight="1">
      <c r="A1026" s="32">
        <v>20032.0</v>
      </c>
      <c r="B1026" s="37" t="b">
        <v>1</v>
      </c>
      <c r="C1026" s="62" t="s">
        <v>274</v>
      </c>
      <c r="D1026" s="62">
        <v>82.0</v>
      </c>
      <c r="E1026" s="13" t="b">
        <v>0</v>
      </c>
      <c r="F1026" s="13" t="b">
        <v>1</v>
      </c>
      <c r="G1026" s="62" t="s">
        <v>224</v>
      </c>
      <c r="H1026" s="62"/>
      <c r="I1026" s="62" t="s">
        <v>490</v>
      </c>
      <c r="J1026" s="67">
        <v>6.0</v>
      </c>
      <c r="K1026" s="62" t="s">
        <v>684</v>
      </c>
      <c r="L1026" s="62">
        <v>602.0</v>
      </c>
      <c r="M1026" s="38" t="s">
        <v>411</v>
      </c>
      <c r="N1026" s="38">
        <v>21000.0</v>
      </c>
      <c r="O1026" s="62" t="s">
        <v>247</v>
      </c>
      <c r="P1026" s="58"/>
      <c r="Q1026" s="62" t="s">
        <v>117</v>
      </c>
      <c r="R1026" s="67"/>
      <c r="S1026" s="62"/>
      <c r="T1026" s="62"/>
      <c r="U1026" s="62"/>
      <c r="V1026" s="62"/>
      <c r="W1026" s="62"/>
      <c r="X1026" s="62"/>
      <c r="Y1026" s="62" t="s">
        <v>685</v>
      </c>
      <c r="Z1026" s="62" t="s">
        <v>686</v>
      </c>
      <c r="AA1026" s="62"/>
      <c r="AB1026" s="62"/>
      <c r="AC1026" s="62"/>
      <c r="AD1026" s="62"/>
      <c r="AE1026" s="62"/>
      <c r="AF1026" s="62"/>
      <c r="AG1026" s="32"/>
      <c r="AH1026" s="32"/>
      <c r="AI1026" s="32"/>
      <c r="AJ1026" s="32"/>
      <c r="AK1026" s="32"/>
      <c r="AL1026" s="32"/>
      <c r="AM1026" s="32"/>
      <c r="AN1026" s="32"/>
      <c r="AO1026" s="32"/>
      <c r="AP1026" s="32"/>
      <c r="AQ1026" s="32"/>
      <c r="AR1026" s="32"/>
      <c r="AS1026" s="32"/>
      <c r="AT1026" s="32"/>
      <c r="AU1026" s="32"/>
      <c r="AV1026" s="32"/>
      <c r="AW1026" s="32"/>
      <c r="AX1026" s="32"/>
      <c r="AY1026" s="32"/>
      <c r="AZ1026" s="32"/>
      <c r="BA1026" s="32"/>
      <c r="BB1026" s="32"/>
      <c r="BC1026" s="32">
        <v>1.0</v>
      </c>
      <c r="BD1026" s="32" t="s">
        <v>374</v>
      </c>
      <c r="BE1026" s="32"/>
      <c r="BF1026" s="32"/>
      <c r="BG1026" s="32"/>
      <c r="BH1026" s="32"/>
      <c r="BI1026" s="32"/>
      <c r="BJ1026" s="32"/>
      <c r="BK1026" s="32"/>
      <c r="BL1026" s="32"/>
      <c r="BM1026" s="32"/>
      <c r="BN1026" s="32"/>
      <c r="BO1026" s="32"/>
    </row>
    <row r="1027" ht="25.5" customHeight="1">
      <c r="A1027" s="32">
        <v>20048.0</v>
      </c>
      <c r="B1027" s="37" t="b">
        <v>1</v>
      </c>
      <c r="C1027" s="62" t="s">
        <v>274</v>
      </c>
      <c r="D1027" s="62">
        <v>82.0</v>
      </c>
      <c r="E1027" s="13" t="b">
        <v>0</v>
      </c>
      <c r="F1027" s="13" t="b">
        <v>1</v>
      </c>
      <c r="G1027" s="62" t="s">
        <v>224</v>
      </c>
      <c r="H1027" s="62"/>
      <c r="I1027" s="62" t="s">
        <v>68</v>
      </c>
      <c r="J1027" s="67">
        <v>7.0</v>
      </c>
      <c r="K1027" s="62" t="s">
        <v>160</v>
      </c>
      <c r="L1027" s="62">
        <v>703.0</v>
      </c>
      <c r="M1027" s="38" t="s">
        <v>411</v>
      </c>
      <c r="N1027" s="38">
        <v>21000.0</v>
      </c>
      <c r="O1027" s="62" t="s">
        <v>156</v>
      </c>
      <c r="P1027" s="58"/>
      <c r="Q1027" s="62" t="s">
        <v>117</v>
      </c>
      <c r="R1027" s="67"/>
      <c r="S1027" s="62"/>
      <c r="T1027" s="62"/>
      <c r="U1027" s="62"/>
      <c r="V1027" s="62"/>
      <c r="W1027" s="62"/>
      <c r="X1027" s="62"/>
      <c r="Y1027" s="62" t="s">
        <v>161</v>
      </c>
      <c r="Z1027" s="62" t="s">
        <v>162</v>
      </c>
      <c r="AA1027" s="62" t="s">
        <v>163</v>
      </c>
      <c r="AB1027" s="62"/>
      <c r="AC1027" s="62"/>
      <c r="AD1027" s="62"/>
      <c r="AE1027" s="62"/>
      <c r="AF1027" s="62"/>
      <c r="AG1027" s="32"/>
      <c r="AH1027" s="32"/>
      <c r="AI1027" s="32"/>
      <c r="AJ1027" s="32"/>
      <c r="AK1027" s="32"/>
      <c r="AL1027" s="32"/>
      <c r="AM1027" s="32"/>
      <c r="AN1027" s="32"/>
      <c r="AO1027" s="32"/>
      <c r="AP1027" s="32"/>
      <c r="AQ1027" s="32"/>
      <c r="AR1027" s="32"/>
      <c r="AS1027" s="32"/>
      <c r="AT1027" s="32"/>
      <c r="AU1027" s="32"/>
      <c r="AV1027" s="32"/>
      <c r="AW1027" s="32"/>
      <c r="AX1027" s="32"/>
      <c r="AY1027" s="32"/>
      <c r="AZ1027" s="32"/>
      <c r="BA1027" s="32"/>
      <c r="BB1027" s="32" t="s">
        <v>159</v>
      </c>
      <c r="BC1027" s="32">
        <v>1.0</v>
      </c>
      <c r="BD1027" s="32" t="s">
        <v>126</v>
      </c>
      <c r="BE1027" s="32" t="s">
        <v>37</v>
      </c>
      <c r="BF1027" s="32"/>
      <c r="BG1027" s="32"/>
      <c r="BH1027" s="32"/>
      <c r="BI1027" s="32"/>
      <c r="BJ1027" s="32"/>
      <c r="BK1027" s="32"/>
      <c r="BL1027" s="32"/>
      <c r="BM1027" s="32"/>
      <c r="BN1027" s="32"/>
      <c r="BO1027" s="32"/>
    </row>
    <row r="1028" ht="25.5" customHeight="1">
      <c r="A1028" s="32">
        <v>20056.0</v>
      </c>
      <c r="B1028" s="37" t="b">
        <v>1</v>
      </c>
      <c r="C1028" s="62" t="s">
        <v>274</v>
      </c>
      <c r="D1028" s="62">
        <v>82.0</v>
      </c>
      <c r="E1028" s="13" t="b">
        <v>0</v>
      </c>
      <c r="F1028" s="13" t="b">
        <v>1</v>
      </c>
      <c r="G1028" s="62" t="s">
        <v>224</v>
      </c>
      <c r="H1028" s="62"/>
      <c r="I1028" s="62" t="s">
        <v>68</v>
      </c>
      <c r="J1028" s="67">
        <v>7.0</v>
      </c>
      <c r="K1028" s="62" t="s">
        <v>141</v>
      </c>
      <c r="L1028" s="62">
        <v>702.0</v>
      </c>
      <c r="M1028" s="38" t="s">
        <v>411</v>
      </c>
      <c r="N1028" s="38">
        <v>21000.0</v>
      </c>
      <c r="O1028" s="62" t="s">
        <v>142</v>
      </c>
      <c r="P1028" s="58"/>
      <c r="Q1028" s="62" t="s">
        <v>117</v>
      </c>
      <c r="R1028" s="67"/>
      <c r="S1028" s="62"/>
      <c r="T1028" s="62"/>
      <c r="U1028" s="62"/>
      <c r="V1028" s="62"/>
      <c r="W1028" s="62"/>
      <c r="X1028" s="62"/>
      <c r="Y1028" s="62" t="s">
        <v>143</v>
      </c>
      <c r="Z1028" s="62" t="s">
        <v>144</v>
      </c>
      <c r="AA1028" s="62"/>
      <c r="AB1028" s="62"/>
      <c r="AC1028" s="62"/>
      <c r="AD1028" s="62"/>
      <c r="AE1028" s="62"/>
      <c r="AF1028" s="62"/>
      <c r="AG1028" s="32"/>
      <c r="AH1028" s="32"/>
      <c r="AI1028" s="32"/>
      <c r="AJ1028" s="32"/>
      <c r="AK1028" s="32"/>
      <c r="AL1028" s="32"/>
      <c r="AM1028" s="32"/>
      <c r="AN1028" s="32"/>
      <c r="AO1028" s="32"/>
      <c r="AP1028" s="32"/>
      <c r="AQ1028" s="32"/>
      <c r="AR1028" s="32"/>
      <c r="AS1028" s="32"/>
      <c r="AT1028" s="32"/>
      <c r="AU1028" s="32"/>
      <c r="AV1028" s="32"/>
      <c r="AW1028" s="32"/>
      <c r="AX1028" s="32"/>
      <c r="AY1028" s="32"/>
      <c r="AZ1028" s="32"/>
      <c r="BA1028" s="32"/>
      <c r="BB1028" s="32" t="s">
        <v>145</v>
      </c>
      <c r="BC1028" s="32">
        <v>1.0</v>
      </c>
      <c r="BD1028" s="32" t="s">
        <v>126</v>
      </c>
      <c r="BE1028" s="32" t="s">
        <v>146</v>
      </c>
      <c r="BF1028" s="32"/>
      <c r="BG1028" s="32"/>
      <c r="BH1028" s="32"/>
      <c r="BI1028" s="32"/>
      <c r="BJ1028" s="32"/>
      <c r="BK1028" s="32"/>
      <c r="BL1028" s="32"/>
      <c r="BM1028" s="32"/>
      <c r="BN1028" s="32"/>
      <c r="BO1028" s="32"/>
    </row>
    <row r="1029" ht="25.5" customHeight="1">
      <c r="A1029" s="32">
        <v>20057.0</v>
      </c>
      <c r="B1029" s="37" t="b">
        <v>1</v>
      </c>
      <c r="C1029" s="62" t="s">
        <v>274</v>
      </c>
      <c r="D1029" s="62">
        <v>82.0</v>
      </c>
      <c r="E1029" s="13" t="b">
        <v>0</v>
      </c>
      <c r="F1029" s="13" t="b">
        <v>1</v>
      </c>
      <c r="G1029" s="62" t="s">
        <v>224</v>
      </c>
      <c r="H1029" s="62"/>
      <c r="I1029" s="62" t="s">
        <v>68</v>
      </c>
      <c r="J1029" s="67">
        <v>7.0</v>
      </c>
      <c r="K1029" s="62" t="s">
        <v>141</v>
      </c>
      <c r="L1029" s="62">
        <v>702.0</v>
      </c>
      <c r="M1029" s="38" t="s">
        <v>411</v>
      </c>
      <c r="N1029" s="38">
        <v>21000.0</v>
      </c>
      <c r="O1029" s="62" t="s">
        <v>156</v>
      </c>
      <c r="P1029" s="58"/>
      <c r="Q1029" s="62" t="s">
        <v>117</v>
      </c>
      <c r="R1029" s="67"/>
      <c r="S1029" s="62"/>
      <c r="T1029" s="62"/>
      <c r="U1029" s="62"/>
      <c r="V1029" s="62"/>
      <c r="W1029" s="62"/>
      <c r="X1029" s="62"/>
      <c r="Y1029" s="62" t="s">
        <v>157</v>
      </c>
      <c r="Z1029" s="62" t="s">
        <v>158</v>
      </c>
      <c r="AA1029" s="62"/>
      <c r="AB1029" s="62"/>
      <c r="AC1029" s="62"/>
      <c r="AD1029" s="62"/>
      <c r="AE1029" s="62"/>
      <c r="AF1029" s="62"/>
      <c r="AG1029" s="32"/>
      <c r="AH1029" s="32"/>
      <c r="AI1029" s="32"/>
      <c r="AJ1029" s="32"/>
      <c r="AK1029" s="32"/>
      <c r="AL1029" s="32"/>
      <c r="AM1029" s="32"/>
      <c r="AN1029" s="32"/>
      <c r="AO1029" s="32"/>
      <c r="AP1029" s="32"/>
      <c r="AQ1029" s="32"/>
      <c r="AR1029" s="32"/>
      <c r="AS1029" s="32"/>
      <c r="AT1029" s="32"/>
      <c r="AU1029" s="32"/>
      <c r="AV1029" s="32"/>
      <c r="AW1029" s="32"/>
      <c r="AX1029" s="32"/>
      <c r="AY1029" s="32"/>
      <c r="AZ1029" s="32"/>
      <c r="BA1029" s="32"/>
      <c r="BB1029" s="32" t="s">
        <v>159</v>
      </c>
      <c r="BC1029" s="32">
        <v>1.0</v>
      </c>
      <c r="BD1029" s="32" t="s">
        <v>126</v>
      </c>
      <c r="BE1029" s="32" t="s">
        <v>37</v>
      </c>
      <c r="BF1029" s="32"/>
      <c r="BG1029" s="32"/>
      <c r="BH1029" s="32"/>
      <c r="BI1029" s="32"/>
      <c r="BJ1029" s="32"/>
      <c r="BK1029" s="32"/>
      <c r="BL1029" s="32"/>
      <c r="BM1029" s="32"/>
      <c r="BN1029" s="32"/>
      <c r="BO1029" s="32"/>
    </row>
    <row r="1030" ht="25.5" customHeight="1">
      <c r="A1030" s="32">
        <v>20074.0</v>
      </c>
      <c r="B1030" s="37" t="b">
        <v>1</v>
      </c>
      <c r="C1030" s="62" t="s">
        <v>274</v>
      </c>
      <c r="D1030" s="62">
        <v>82.0</v>
      </c>
      <c r="E1030" s="13" t="b">
        <v>0</v>
      </c>
      <c r="F1030" s="13" t="b">
        <v>1</v>
      </c>
      <c r="G1030" s="62" t="s">
        <v>224</v>
      </c>
      <c r="H1030" s="62"/>
      <c r="I1030" s="62" t="s">
        <v>772</v>
      </c>
      <c r="J1030" s="67">
        <v>5.0</v>
      </c>
      <c r="K1030" s="62" t="s">
        <v>773</v>
      </c>
      <c r="L1030" s="62">
        <v>500.0</v>
      </c>
      <c r="M1030" s="38" t="s">
        <v>411</v>
      </c>
      <c r="N1030" s="38">
        <v>21000.0</v>
      </c>
      <c r="O1030" s="62" t="s">
        <v>247</v>
      </c>
      <c r="P1030" s="58"/>
      <c r="Q1030" s="62" t="s">
        <v>431</v>
      </c>
      <c r="R1030" s="67"/>
      <c r="S1030" s="62"/>
      <c r="T1030" s="62"/>
      <c r="U1030" s="62"/>
      <c r="V1030" s="62"/>
      <c r="W1030" s="62"/>
      <c r="X1030" s="62"/>
      <c r="Y1030" s="62" t="s">
        <v>774</v>
      </c>
      <c r="Z1030" s="62" t="s">
        <v>775</v>
      </c>
      <c r="AA1030" s="62"/>
      <c r="AB1030" s="62"/>
      <c r="AC1030" s="62"/>
      <c r="AD1030" s="62"/>
      <c r="AE1030" s="62"/>
      <c r="AF1030" s="62"/>
      <c r="AG1030" s="32"/>
      <c r="AH1030" s="32"/>
      <c r="AI1030" s="32"/>
      <c r="AJ1030" s="32"/>
      <c r="AK1030" s="32"/>
      <c r="AL1030" s="32"/>
      <c r="AM1030" s="32"/>
      <c r="AN1030" s="32"/>
      <c r="AO1030" s="32"/>
      <c r="AP1030" s="32"/>
      <c r="AQ1030" s="32"/>
      <c r="AR1030" s="32"/>
      <c r="AS1030" s="32"/>
      <c r="AT1030" s="32"/>
      <c r="AU1030" s="32"/>
      <c r="AV1030" s="32"/>
      <c r="AW1030" s="32"/>
      <c r="AX1030" s="32"/>
      <c r="AY1030" s="32"/>
      <c r="AZ1030" s="32"/>
      <c r="BA1030" s="32"/>
      <c r="BB1030" s="32"/>
      <c r="BC1030" s="32">
        <v>3.0</v>
      </c>
      <c r="BD1030" s="32" t="s">
        <v>777</v>
      </c>
      <c r="BE1030" s="32" t="s">
        <v>114</v>
      </c>
      <c r="BF1030" s="32"/>
      <c r="BG1030" s="32"/>
      <c r="BH1030" s="32"/>
      <c r="BI1030" s="32"/>
      <c r="BJ1030" s="32"/>
      <c r="BK1030" s="32"/>
      <c r="BL1030" s="32"/>
      <c r="BM1030" s="32"/>
      <c r="BN1030" s="32"/>
      <c r="BO1030" s="32"/>
    </row>
    <row r="1031" ht="25.5" customHeight="1">
      <c r="A1031" s="32">
        <v>20015.0</v>
      </c>
      <c r="B1031" s="37" t="b">
        <v>1</v>
      </c>
      <c r="C1031" s="62" t="s">
        <v>274</v>
      </c>
      <c r="D1031" s="62">
        <v>82.0</v>
      </c>
      <c r="E1031" s="13" t="b">
        <v>0</v>
      </c>
      <c r="F1031" s="13" t="b">
        <v>1</v>
      </c>
      <c r="G1031" s="62" t="s">
        <v>224</v>
      </c>
      <c r="H1031" s="62"/>
      <c r="I1031" s="62" t="s">
        <v>196</v>
      </c>
      <c r="J1031" s="67">
        <v>1.0</v>
      </c>
      <c r="K1031" s="62" t="s">
        <v>204</v>
      </c>
      <c r="L1031" s="62">
        <v>102.0</v>
      </c>
      <c r="M1031" s="67"/>
      <c r="N1031" s="67"/>
      <c r="O1031" s="67"/>
      <c r="P1031" s="58"/>
      <c r="Q1031" s="62" t="s">
        <v>117</v>
      </c>
      <c r="R1031" s="67"/>
      <c r="S1031" s="62"/>
      <c r="T1031" s="62"/>
      <c r="U1031" s="62"/>
      <c r="V1031" s="62"/>
      <c r="W1031" s="62"/>
      <c r="X1031" s="62"/>
      <c r="Y1031" s="62" t="s">
        <v>206</v>
      </c>
      <c r="Z1031" s="62" t="s">
        <v>207</v>
      </c>
      <c r="AA1031" s="62"/>
      <c r="AB1031" s="62"/>
      <c r="AC1031" s="62"/>
      <c r="AD1031" s="62"/>
      <c r="AE1031" s="62"/>
      <c r="AF1031" s="62"/>
      <c r="AG1031" s="32"/>
      <c r="AH1031" s="32"/>
      <c r="AI1031" s="32"/>
      <c r="AJ1031" s="32"/>
      <c r="AK1031" s="32"/>
      <c r="AL1031" s="32"/>
      <c r="AM1031" s="32"/>
      <c r="AN1031" s="32"/>
      <c r="AO1031" s="32"/>
      <c r="AP1031" s="32"/>
      <c r="AQ1031" s="32"/>
      <c r="AR1031" s="32"/>
      <c r="AS1031" s="32"/>
      <c r="AT1031" s="32"/>
      <c r="AU1031" s="32"/>
      <c r="AV1031" s="32"/>
      <c r="AW1031" s="32"/>
      <c r="AX1031" s="32"/>
      <c r="AY1031" s="32"/>
      <c r="AZ1031" s="32"/>
      <c r="BA1031" s="32"/>
      <c r="BB1031" s="32" t="s">
        <v>208</v>
      </c>
      <c r="BC1031" s="32">
        <v>3.0</v>
      </c>
      <c r="BD1031" s="32" t="s">
        <v>209</v>
      </c>
      <c r="BE1031" s="32" t="s">
        <v>210</v>
      </c>
      <c r="BF1031" s="32"/>
      <c r="BG1031" s="32"/>
      <c r="BH1031" s="32"/>
      <c r="BI1031" s="32"/>
      <c r="BJ1031" s="32"/>
      <c r="BK1031" s="32"/>
      <c r="BL1031" s="32"/>
      <c r="BM1031" s="32"/>
      <c r="BN1031" s="32"/>
      <c r="BO1031" s="32"/>
    </row>
    <row r="1032" ht="25.5" customHeight="1">
      <c r="A1032" s="32">
        <v>20046.0</v>
      </c>
      <c r="B1032" s="37" t="b">
        <v>1</v>
      </c>
      <c r="C1032" s="62" t="s">
        <v>274</v>
      </c>
      <c r="D1032" s="62">
        <v>82.0</v>
      </c>
      <c r="E1032" s="13" t="b">
        <v>0</v>
      </c>
      <c r="F1032" s="13" t="b">
        <v>1</v>
      </c>
      <c r="G1032" s="62" t="s">
        <v>224</v>
      </c>
      <c r="H1032" s="62"/>
      <c r="I1032" s="62" t="s">
        <v>68</v>
      </c>
      <c r="J1032" s="67">
        <v>7.0</v>
      </c>
      <c r="K1032" s="133" t="s">
        <v>135</v>
      </c>
      <c r="L1032" s="62"/>
      <c r="M1032" s="62" t="s">
        <v>107</v>
      </c>
      <c r="N1032" s="38">
        <v>3000.0</v>
      </c>
      <c r="O1032" s="62" t="s">
        <v>131</v>
      </c>
      <c r="P1032" s="58"/>
      <c r="Q1032" s="62" t="s">
        <v>117</v>
      </c>
      <c r="R1032" s="67"/>
      <c r="S1032" s="62"/>
      <c r="T1032" s="62"/>
      <c r="U1032" s="62"/>
      <c r="V1032" s="62"/>
      <c r="W1032" s="62"/>
      <c r="X1032" s="62"/>
      <c r="Y1032" s="62" t="s">
        <v>136</v>
      </c>
      <c r="Z1032" s="62" t="s">
        <v>137</v>
      </c>
      <c r="AA1032" s="62"/>
      <c r="AB1032" s="62"/>
      <c r="AC1032" s="62"/>
      <c r="AD1032" s="62"/>
      <c r="AE1032" s="62"/>
      <c r="AF1032" s="62"/>
      <c r="AG1032" s="32"/>
      <c r="AH1032" s="32"/>
      <c r="AI1032" s="32"/>
      <c r="AJ1032" s="32"/>
      <c r="AK1032" s="32"/>
      <c r="AL1032" s="32"/>
      <c r="AM1032" s="32"/>
      <c r="AN1032" s="32"/>
      <c r="AO1032" s="32"/>
      <c r="AP1032" s="32"/>
      <c r="AQ1032" s="32"/>
      <c r="AR1032" s="32"/>
      <c r="AS1032" s="32"/>
      <c r="AT1032" s="32"/>
      <c r="AU1032" s="32"/>
      <c r="AV1032" s="32"/>
      <c r="AW1032" s="32"/>
      <c r="AX1032" s="32"/>
      <c r="AY1032" s="32"/>
      <c r="AZ1032" s="32"/>
      <c r="BA1032" s="32"/>
      <c r="BB1032" s="32" t="s">
        <v>138</v>
      </c>
      <c r="BC1032" s="32">
        <v>3.0</v>
      </c>
      <c r="BD1032" s="32" t="s">
        <v>139</v>
      </c>
      <c r="BE1032" s="32" t="s">
        <v>140</v>
      </c>
      <c r="BF1032" s="32"/>
      <c r="BG1032" s="32"/>
      <c r="BH1032" s="32"/>
      <c r="BI1032" s="32"/>
      <c r="BJ1032" s="32"/>
      <c r="BK1032" s="32"/>
      <c r="BL1032" s="32"/>
      <c r="BM1032" s="32"/>
      <c r="BN1032" s="32"/>
      <c r="BO1032" s="32"/>
    </row>
    <row r="1033" ht="25.5" customHeight="1">
      <c r="A1033" s="32">
        <v>20049.0</v>
      </c>
      <c r="B1033" s="37" t="b">
        <v>1</v>
      </c>
      <c r="C1033" s="62" t="s">
        <v>274</v>
      </c>
      <c r="D1033" s="62">
        <v>82.0</v>
      </c>
      <c r="E1033" s="13" t="b">
        <v>0</v>
      </c>
      <c r="F1033" s="13" t="b">
        <v>1</v>
      </c>
      <c r="G1033" s="62" t="s">
        <v>224</v>
      </c>
      <c r="H1033" s="62"/>
      <c r="I1033" s="62" t="s">
        <v>68</v>
      </c>
      <c r="J1033" s="67">
        <v>7.0</v>
      </c>
      <c r="K1033" s="62" t="s">
        <v>69</v>
      </c>
      <c r="L1033" s="62">
        <v>700.0</v>
      </c>
      <c r="M1033" s="62" t="s">
        <v>107</v>
      </c>
      <c r="N1033" s="38">
        <v>3000.0</v>
      </c>
      <c r="O1033" s="62" t="s">
        <v>116</v>
      </c>
      <c r="P1033" s="58"/>
      <c r="Q1033" s="62" t="s">
        <v>117</v>
      </c>
      <c r="R1033" s="67"/>
      <c r="S1033" s="62"/>
      <c r="T1033" s="62"/>
      <c r="U1033" s="62"/>
      <c r="V1033" s="62"/>
      <c r="W1033" s="62"/>
      <c r="X1033" s="62"/>
      <c r="Y1033" s="62" t="s">
        <v>118</v>
      </c>
      <c r="Z1033" s="62" t="s">
        <v>119</v>
      </c>
      <c r="AA1033" s="62"/>
      <c r="AB1033" s="62"/>
      <c r="AC1033" s="62"/>
      <c r="AD1033" s="62"/>
      <c r="AE1033" s="62"/>
      <c r="AF1033" s="62"/>
      <c r="AG1033" s="32"/>
      <c r="AH1033" s="32"/>
      <c r="AI1033" s="32"/>
      <c r="AJ1033" s="32"/>
      <c r="AK1033" s="32"/>
      <c r="AL1033" s="32"/>
      <c r="AM1033" s="32"/>
      <c r="AN1033" s="32"/>
      <c r="AO1033" s="32"/>
      <c r="AP1033" s="32"/>
      <c r="AQ1033" s="32"/>
      <c r="AR1033" s="32"/>
      <c r="AS1033" s="32"/>
      <c r="AT1033" s="32"/>
      <c r="AU1033" s="32"/>
      <c r="AV1033" s="32"/>
      <c r="AW1033" s="32"/>
      <c r="AX1033" s="32"/>
      <c r="AY1033" s="32"/>
      <c r="AZ1033" s="32"/>
      <c r="BA1033" s="32"/>
      <c r="BB1033" s="32" t="s">
        <v>120</v>
      </c>
      <c r="BC1033" s="32">
        <v>1.0</v>
      </c>
      <c r="BD1033" s="32" t="s">
        <v>121</v>
      </c>
      <c r="BE1033" s="32" t="s">
        <v>37</v>
      </c>
      <c r="BF1033" s="32"/>
      <c r="BG1033" s="32"/>
      <c r="BH1033" s="32"/>
      <c r="BI1033" s="32"/>
      <c r="BJ1033" s="32"/>
      <c r="BK1033" s="32"/>
      <c r="BL1033" s="32"/>
      <c r="BM1033" s="32"/>
      <c r="BN1033" s="32"/>
      <c r="BO1033" s="32"/>
    </row>
    <row r="1034" ht="25.5" customHeight="1">
      <c r="A1034" s="32">
        <v>20005.0</v>
      </c>
      <c r="B1034" s="37" t="b">
        <v>1</v>
      </c>
      <c r="C1034" s="62" t="s">
        <v>274</v>
      </c>
      <c r="D1034" s="62">
        <v>82.0</v>
      </c>
      <c r="E1034" s="13" t="b">
        <v>0</v>
      </c>
      <c r="F1034" s="13" t="b">
        <v>1</v>
      </c>
      <c r="G1034" s="62" t="s">
        <v>224</v>
      </c>
      <c r="H1034" s="62"/>
      <c r="I1034" s="62" t="s">
        <v>265</v>
      </c>
      <c r="J1034" s="67">
        <v>9.0</v>
      </c>
      <c r="K1034" s="62" t="s">
        <v>305</v>
      </c>
      <c r="L1034" s="62">
        <v>904.0</v>
      </c>
      <c r="M1034" s="62" t="s">
        <v>239</v>
      </c>
      <c r="N1034" s="38">
        <v>4000.0</v>
      </c>
      <c r="O1034" s="62" t="s">
        <v>70</v>
      </c>
      <c r="P1034" s="58"/>
      <c r="Q1034" s="62" t="s">
        <v>117</v>
      </c>
      <c r="R1034" s="67"/>
      <c r="S1034" s="62"/>
      <c r="T1034" s="62"/>
      <c r="U1034" s="62"/>
      <c r="V1034" s="62"/>
      <c r="W1034" s="62"/>
      <c r="X1034" s="62"/>
      <c r="Y1034" s="62" t="s">
        <v>348</v>
      </c>
      <c r="Z1034" s="62" t="s">
        <v>350</v>
      </c>
      <c r="AA1034" s="62"/>
      <c r="AB1034" s="62"/>
      <c r="AC1034" s="62"/>
      <c r="AD1034" s="62"/>
      <c r="AE1034" s="62"/>
      <c r="AF1034" s="62"/>
      <c r="AG1034" s="32"/>
      <c r="AH1034" s="32"/>
      <c r="AI1034" s="32"/>
      <c r="AJ1034" s="32"/>
      <c r="AK1034" s="32"/>
      <c r="AL1034" s="32"/>
      <c r="AM1034" s="32"/>
      <c r="AN1034" s="32"/>
      <c r="AO1034" s="32"/>
      <c r="AP1034" s="32"/>
      <c r="AQ1034" s="32"/>
      <c r="AR1034" s="32"/>
      <c r="AS1034" s="32"/>
      <c r="AT1034" s="32"/>
      <c r="AU1034" s="32"/>
      <c r="AV1034" s="32"/>
      <c r="AW1034" s="32"/>
      <c r="AX1034" s="32"/>
      <c r="AY1034" s="32"/>
      <c r="AZ1034" s="32"/>
      <c r="BA1034" s="32"/>
      <c r="BB1034" s="32" t="s">
        <v>352</v>
      </c>
      <c r="BC1034" s="32">
        <v>1.0</v>
      </c>
      <c r="BD1034" s="32" t="s">
        <v>354</v>
      </c>
      <c r="BE1034" s="32" t="s">
        <v>146</v>
      </c>
      <c r="BF1034" s="32"/>
      <c r="BG1034" s="32"/>
      <c r="BH1034" s="32"/>
      <c r="BI1034" s="32"/>
      <c r="BJ1034" s="32"/>
      <c r="BK1034" s="32"/>
      <c r="BL1034" s="32"/>
      <c r="BM1034" s="32"/>
      <c r="BN1034" s="32"/>
      <c r="BO1034" s="32"/>
    </row>
    <row r="1035" ht="25.5" customHeight="1">
      <c r="A1035" s="32">
        <v>20008.0</v>
      </c>
      <c r="B1035" s="37" t="b">
        <v>1</v>
      </c>
      <c r="C1035" s="62" t="s">
        <v>274</v>
      </c>
      <c r="D1035" s="62">
        <v>82.0</v>
      </c>
      <c r="E1035" s="13" t="b">
        <v>0</v>
      </c>
      <c r="F1035" s="13" t="b">
        <v>1</v>
      </c>
      <c r="G1035" s="62" t="s">
        <v>224</v>
      </c>
      <c r="H1035" s="62"/>
      <c r="I1035" s="62" t="s">
        <v>196</v>
      </c>
      <c r="J1035" s="67">
        <v>1.0</v>
      </c>
      <c r="K1035" s="62" t="s">
        <v>197</v>
      </c>
      <c r="L1035" s="62">
        <v>101.0</v>
      </c>
      <c r="M1035" s="62" t="s">
        <v>408</v>
      </c>
      <c r="N1035" s="38">
        <v>20000.0</v>
      </c>
      <c r="O1035" s="62" t="s">
        <v>198</v>
      </c>
      <c r="P1035" s="58"/>
      <c r="Q1035" s="62" t="s">
        <v>199</v>
      </c>
      <c r="R1035" s="67"/>
      <c r="S1035" s="62"/>
      <c r="T1035" s="62"/>
      <c r="U1035" s="62"/>
      <c r="V1035" s="62"/>
      <c r="W1035" s="62"/>
      <c r="X1035" s="62"/>
      <c r="Y1035" s="62" t="s">
        <v>200</v>
      </c>
      <c r="Z1035" s="62" t="s">
        <v>201</v>
      </c>
      <c r="AA1035" s="62" t="s">
        <v>202</v>
      </c>
      <c r="AB1035" s="62"/>
      <c r="AC1035" s="62"/>
      <c r="AD1035" s="62"/>
      <c r="AE1035" s="62"/>
      <c r="AF1035" s="62"/>
      <c r="AG1035" s="32"/>
      <c r="AH1035" s="32"/>
      <c r="AI1035" s="32"/>
      <c r="AJ1035" s="32"/>
      <c r="AK1035" s="32"/>
      <c r="AL1035" s="32"/>
      <c r="AM1035" s="32"/>
      <c r="AN1035" s="32"/>
      <c r="AO1035" s="32"/>
      <c r="AP1035" s="32"/>
      <c r="AQ1035" s="32"/>
      <c r="AR1035" s="32"/>
      <c r="AS1035" s="32"/>
      <c r="AT1035" s="32"/>
      <c r="AU1035" s="32"/>
      <c r="AV1035" s="32"/>
      <c r="AW1035" s="32"/>
      <c r="AX1035" s="32"/>
      <c r="AY1035" s="32"/>
      <c r="AZ1035" s="32"/>
      <c r="BA1035" s="32"/>
      <c r="BB1035" s="32"/>
      <c r="BC1035" s="32">
        <v>1.0</v>
      </c>
      <c r="BD1035" s="32" t="s">
        <v>203</v>
      </c>
      <c r="BE1035" s="32" t="s">
        <v>146</v>
      </c>
      <c r="BF1035" s="32"/>
      <c r="BG1035" s="32"/>
      <c r="BH1035" s="32"/>
      <c r="BI1035" s="32"/>
      <c r="BJ1035" s="32"/>
      <c r="BK1035" s="32"/>
      <c r="BL1035" s="32"/>
      <c r="BM1035" s="32"/>
      <c r="BN1035" s="32"/>
      <c r="BO1035" s="32"/>
    </row>
    <row r="1036" ht="25.5" customHeight="1">
      <c r="A1036" s="32">
        <v>20053.0</v>
      </c>
      <c r="B1036" s="37" t="b">
        <v>1</v>
      </c>
      <c r="C1036" s="62" t="s">
        <v>274</v>
      </c>
      <c r="D1036" s="62">
        <v>82.0</v>
      </c>
      <c r="E1036" s="13" t="b">
        <v>0</v>
      </c>
      <c r="F1036" s="13" t="b">
        <v>1</v>
      </c>
      <c r="G1036" s="62" t="s">
        <v>224</v>
      </c>
      <c r="H1036" s="62"/>
      <c r="I1036" s="62" t="s">
        <v>68</v>
      </c>
      <c r="J1036" s="67">
        <v>7.0</v>
      </c>
      <c r="K1036" s="62" t="s">
        <v>69</v>
      </c>
      <c r="L1036" s="62">
        <v>700.0</v>
      </c>
      <c r="M1036" s="62" t="s">
        <v>408</v>
      </c>
      <c r="N1036" s="38">
        <v>20000.0</v>
      </c>
      <c r="O1036" s="62" t="s">
        <v>122</v>
      </c>
      <c r="P1036" s="58"/>
      <c r="Q1036" s="62" t="s">
        <v>95</v>
      </c>
      <c r="R1036" s="67"/>
      <c r="S1036" s="62"/>
      <c r="T1036" s="62"/>
      <c r="U1036" s="62"/>
      <c r="V1036" s="62"/>
      <c r="W1036" s="62"/>
      <c r="X1036" s="62"/>
      <c r="Y1036" s="62" t="s">
        <v>123</v>
      </c>
      <c r="Z1036" s="62" t="s">
        <v>124</v>
      </c>
      <c r="AA1036" s="62"/>
      <c r="AB1036" s="62"/>
      <c r="AC1036" s="62"/>
      <c r="AD1036" s="62"/>
      <c r="AE1036" s="62"/>
      <c r="AF1036" s="62"/>
      <c r="AG1036" s="32"/>
      <c r="AH1036" s="32"/>
      <c r="AI1036" s="32"/>
      <c r="AJ1036" s="32"/>
      <c r="AK1036" s="32"/>
      <c r="AL1036" s="32"/>
      <c r="AM1036" s="32"/>
      <c r="AN1036" s="32"/>
      <c r="AO1036" s="32"/>
      <c r="AP1036" s="32"/>
      <c r="AQ1036" s="32"/>
      <c r="AR1036" s="32"/>
      <c r="AS1036" s="32"/>
      <c r="AT1036" s="32"/>
      <c r="AU1036" s="32"/>
      <c r="AV1036" s="32"/>
      <c r="AW1036" s="32"/>
      <c r="AX1036" s="32"/>
      <c r="AY1036" s="32"/>
      <c r="AZ1036" s="32"/>
      <c r="BA1036" s="32"/>
      <c r="BB1036" s="32" t="s">
        <v>125</v>
      </c>
      <c r="BC1036" s="32">
        <v>1.0</v>
      </c>
      <c r="BD1036" s="32" t="s">
        <v>126</v>
      </c>
      <c r="BE1036" s="32" t="s">
        <v>37</v>
      </c>
      <c r="BF1036" s="32"/>
      <c r="BG1036" s="32"/>
      <c r="BH1036" s="32"/>
      <c r="BI1036" s="32"/>
      <c r="BJ1036" s="32"/>
      <c r="BK1036" s="32"/>
      <c r="BL1036" s="32"/>
      <c r="BM1036" s="32"/>
      <c r="BN1036" s="32"/>
      <c r="BO1036" s="32"/>
    </row>
    <row r="1037" ht="25.5" customHeight="1">
      <c r="A1037" s="32">
        <v>20038.0</v>
      </c>
      <c r="B1037" s="37" t="b">
        <v>1</v>
      </c>
      <c r="C1037" s="62" t="s">
        <v>274</v>
      </c>
      <c r="D1037" s="62">
        <v>82.0</v>
      </c>
      <c r="E1037" s="13" t="b">
        <v>0</v>
      </c>
      <c r="F1037" s="13" t="b">
        <v>1</v>
      </c>
      <c r="G1037" s="62" t="s">
        <v>224</v>
      </c>
      <c r="H1037" s="62"/>
      <c r="I1037" s="62" t="s">
        <v>490</v>
      </c>
      <c r="J1037" s="67">
        <v>6.0</v>
      </c>
      <c r="K1037" s="62" t="s">
        <v>491</v>
      </c>
      <c r="L1037" s="38">
        <v>605.0</v>
      </c>
      <c r="M1037" s="38" t="s">
        <v>411</v>
      </c>
      <c r="N1037" s="38">
        <v>21000.0</v>
      </c>
      <c r="O1037" s="62" t="s">
        <v>247</v>
      </c>
      <c r="P1037" s="58"/>
      <c r="Q1037" s="62" t="s">
        <v>117</v>
      </c>
      <c r="R1037" s="67"/>
      <c r="S1037" s="62"/>
      <c r="T1037" s="62"/>
      <c r="U1037" s="62"/>
      <c r="V1037" s="62"/>
      <c r="W1037" s="62"/>
      <c r="X1037" s="62"/>
      <c r="Y1037" s="62" t="s">
        <v>732</v>
      </c>
      <c r="Z1037" s="62" t="s">
        <v>733</v>
      </c>
      <c r="AA1037" s="62"/>
      <c r="AB1037" s="62"/>
      <c r="AC1037" s="62"/>
      <c r="AD1037" s="62"/>
      <c r="AE1037" s="62"/>
      <c r="AF1037" s="62"/>
      <c r="AG1037" s="32"/>
      <c r="AH1037" s="32"/>
      <c r="AI1037" s="32"/>
      <c r="AJ1037" s="32"/>
      <c r="AK1037" s="32"/>
      <c r="AL1037" s="32"/>
      <c r="AM1037" s="32"/>
      <c r="AN1037" s="32"/>
      <c r="AO1037" s="32"/>
      <c r="AP1037" s="32"/>
      <c r="AQ1037" s="32"/>
      <c r="AR1037" s="32"/>
      <c r="AS1037" s="32"/>
      <c r="AT1037" s="32"/>
      <c r="AU1037" s="32"/>
      <c r="AV1037" s="32"/>
      <c r="AW1037" s="32"/>
      <c r="AX1037" s="32"/>
      <c r="AY1037" s="32"/>
      <c r="AZ1037" s="32"/>
      <c r="BA1037" s="32"/>
      <c r="BB1037" s="32"/>
      <c r="BC1037" s="32">
        <v>1.0</v>
      </c>
      <c r="BD1037" s="32" t="s">
        <v>719</v>
      </c>
      <c r="BE1037" s="32" t="s">
        <v>704</v>
      </c>
      <c r="BF1037" s="32"/>
      <c r="BG1037" s="32"/>
      <c r="BH1037" s="32"/>
      <c r="BI1037" s="32"/>
      <c r="BJ1037" s="32"/>
      <c r="BK1037" s="32"/>
      <c r="BL1037" s="32"/>
      <c r="BM1037" s="32"/>
      <c r="BN1037" s="32"/>
      <c r="BO1037" s="32"/>
    </row>
    <row r="1038" ht="25.5" customHeight="1">
      <c r="A1038" s="32">
        <v>20050.0</v>
      </c>
      <c r="B1038" s="37" t="b">
        <v>1</v>
      </c>
      <c r="C1038" s="62" t="s">
        <v>274</v>
      </c>
      <c r="D1038" s="62">
        <v>82.0</v>
      </c>
      <c r="G1038" s="62" t="s">
        <v>224</v>
      </c>
      <c r="H1038" s="62"/>
      <c r="I1038" s="62" t="s">
        <v>68</v>
      </c>
      <c r="J1038" s="67">
        <v>7.0</v>
      </c>
      <c r="K1038" s="62" t="s">
        <v>69</v>
      </c>
      <c r="L1038" s="62">
        <v>700.0</v>
      </c>
      <c r="M1038" s="62" t="s">
        <v>107</v>
      </c>
      <c r="N1038" s="38">
        <v>3000.0</v>
      </c>
      <c r="O1038" s="62" t="s">
        <v>131</v>
      </c>
      <c r="P1038" s="58"/>
      <c r="Q1038" s="62"/>
      <c r="R1038" s="67"/>
      <c r="S1038" s="62"/>
      <c r="T1038" s="62"/>
      <c r="U1038" s="62"/>
      <c r="V1038" s="62"/>
      <c r="W1038" s="62"/>
      <c r="X1038" s="62"/>
      <c r="Y1038" s="62" t="s">
        <v>132</v>
      </c>
      <c r="Z1038" s="62" t="s">
        <v>133</v>
      </c>
      <c r="AA1038" s="62"/>
      <c r="AB1038" s="62"/>
      <c r="AC1038" s="62"/>
      <c r="AD1038" s="62"/>
      <c r="AE1038" s="62"/>
      <c r="AF1038" s="62"/>
      <c r="AG1038" s="32"/>
      <c r="AH1038" s="32"/>
      <c r="AI1038" s="32"/>
      <c r="AJ1038" s="32"/>
      <c r="AK1038" s="32"/>
      <c r="AL1038" s="32"/>
      <c r="AM1038" s="32"/>
      <c r="AN1038" s="32"/>
      <c r="AO1038" s="32"/>
      <c r="AP1038" s="32"/>
      <c r="AQ1038" s="32"/>
      <c r="AR1038" s="32"/>
      <c r="AS1038" s="32"/>
      <c r="AT1038" s="32"/>
      <c r="AU1038" s="32"/>
      <c r="AV1038" s="32"/>
      <c r="AW1038" s="32"/>
      <c r="AX1038" s="32"/>
      <c r="AY1038" s="32"/>
      <c r="AZ1038" s="32"/>
      <c r="BA1038" s="32"/>
      <c r="BB1038" s="32" t="s">
        <v>134</v>
      </c>
      <c r="BC1038" s="32">
        <v>1.0</v>
      </c>
      <c r="BD1038" s="32" t="s">
        <v>126</v>
      </c>
      <c r="BE1038" s="32" t="s">
        <v>37</v>
      </c>
      <c r="BF1038" s="32"/>
      <c r="BG1038" s="32"/>
      <c r="BH1038" s="32"/>
      <c r="BI1038" s="32"/>
      <c r="BJ1038" s="32"/>
      <c r="BK1038" s="32"/>
      <c r="BL1038" s="32"/>
      <c r="BM1038" s="32"/>
      <c r="BN1038" s="32"/>
      <c r="BO1038" s="32"/>
    </row>
    <row r="1039" ht="25.5" customHeight="1">
      <c r="A1039" s="28"/>
      <c r="B1039" s="37"/>
      <c r="C1039" s="38"/>
      <c r="D1039" s="38"/>
      <c r="F1039" s="13"/>
      <c r="G1039" s="38"/>
      <c r="H1039" s="38"/>
      <c r="I1039" s="38"/>
      <c r="J1039" s="38"/>
      <c r="K1039" s="38"/>
      <c r="L1039" s="38"/>
      <c r="M1039" s="38"/>
      <c r="N1039" s="38"/>
      <c r="O1039" s="40"/>
      <c r="P1039" s="38"/>
      <c r="Q1039" s="38"/>
      <c r="R1039" s="38"/>
      <c r="S1039" s="38"/>
      <c r="T1039" s="38"/>
      <c r="U1039" s="38"/>
      <c r="V1039" s="38"/>
      <c r="W1039" s="38"/>
      <c r="X1039" s="38"/>
      <c r="Y1039" s="38"/>
      <c r="Z1039" s="38"/>
      <c r="AA1039" s="38"/>
      <c r="AB1039" s="38"/>
      <c r="AC1039" s="38"/>
      <c r="AD1039" s="38"/>
      <c r="AE1039" s="38"/>
      <c r="AF1039" s="28"/>
      <c r="AG1039" s="28"/>
      <c r="AH1039" s="28"/>
      <c r="AI1039" s="28"/>
      <c r="AJ1039" s="28"/>
      <c r="AK1039" s="28"/>
      <c r="AL1039" s="28"/>
      <c r="AM1039" s="28"/>
      <c r="AN1039" s="28"/>
      <c r="AO1039" s="28"/>
      <c r="AP1039" s="28"/>
      <c r="AQ1039" s="28"/>
      <c r="AR1039" s="28"/>
      <c r="AS1039" s="28"/>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354"/>
    </row>
    <row r="1040" ht="25.5" customHeight="1">
      <c r="A1040" s="28"/>
      <c r="B1040" s="37"/>
      <c r="C1040" s="38"/>
      <c r="D1040" s="38"/>
      <c r="E1040" s="38"/>
      <c r="F1040" s="38"/>
      <c r="G1040" s="38"/>
      <c r="H1040" s="38"/>
      <c r="I1040" s="38"/>
      <c r="J1040" s="38"/>
      <c r="K1040" s="38"/>
      <c r="L1040" s="38"/>
      <c r="M1040" s="38"/>
      <c r="N1040" s="40"/>
      <c r="O1040" s="38"/>
      <c r="P1040" s="38"/>
      <c r="Q1040" s="38"/>
      <c r="R1040" s="38"/>
      <c r="S1040" s="38"/>
      <c r="T1040" s="38"/>
      <c r="U1040" s="38"/>
      <c r="V1040" s="38"/>
      <c r="W1040" s="38"/>
      <c r="X1040" s="38"/>
      <c r="Y1040" s="38"/>
      <c r="Z1040" s="38"/>
      <c r="AA1040" s="38"/>
      <c r="AB1040" s="38"/>
      <c r="AC1040" s="38"/>
      <c r="AD1040" s="38"/>
      <c r="AE1040" s="28"/>
      <c r="AF1040" s="28"/>
      <c r="AG1040" s="28"/>
      <c r="AH1040" s="28"/>
      <c r="AI1040" s="28"/>
      <c r="AJ1040" s="28"/>
      <c r="AK1040" s="28"/>
      <c r="AL1040" s="28"/>
      <c r="AM1040" s="28"/>
      <c r="AN1040" s="28"/>
      <c r="AO1040" s="28"/>
      <c r="AP1040" s="28"/>
      <c r="AQ1040" s="28"/>
      <c r="AR1040" s="28"/>
      <c r="AS1040" s="28"/>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354"/>
      <c r="BO1040" s="354"/>
    </row>
    <row r="1041" ht="25.5" customHeight="1">
      <c r="A1041" s="28"/>
      <c r="B1041" s="37"/>
      <c r="C1041" s="38"/>
      <c r="D1041" s="38"/>
      <c r="E1041" s="38"/>
      <c r="F1041" s="38"/>
      <c r="G1041" s="38"/>
      <c r="H1041" s="38"/>
      <c r="I1041" s="38"/>
      <c r="J1041" s="38"/>
      <c r="K1041" s="38"/>
      <c r="L1041" s="38"/>
      <c r="M1041" s="38"/>
      <c r="N1041" s="40"/>
      <c r="O1041" s="38"/>
      <c r="P1041" s="38"/>
      <c r="Q1041" s="38"/>
      <c r="R1041" s="38"/>
      <c r="S1041" s="38"/>
      <c r="T1041" s="38"/>
      <c r="U1041" s="38"/>
      <c r="V1041" s="38"/>
      <c r="W1041" s="38"/>
      <c r="X1041" s="38"/>
      <c r="Y1041" s="38"/>
      <c r="Z1041" s="38"/>
      <c r="AA1041" s="38"/>
      <c r="AB1041" s="38"/>
      <c r="AC1041" s="38"/>
      <c r="AD1041" s="38"/>
      <c r="AE1041" s="28"/>
      <c r="AF1041" s="28"/>
      <c r="AG1041" s="28"/>
      <c r="AH1041" s="28"/>
      <c r="AI1041" s="28"/>
      <c r="AJ1041" s="28"/>
      <c r="AK1041" s="28"/>
      <c r="AL1041" s="28"/>
      <c r="AM1041" s="28"/>
      <c r="AN1041" s="28"/>
      <c r="AO1041" s="28"/>
      <c r="AP1041" s="28"/>
      <c r="AQ1041" s="28"/>
      <c r="AR1041" s="28"/>
      <c r="AS1041" s="28"/>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354"/>
      <c r="BO1041" s="354"/>
    </row>
    <row r="1042" ht="25.5" customHeight="1">
      <c r="A1042" s="28"/>
      <c r="B1042" s="37"/>
      <c r="C1042" s="38"/>
      <c r="D1042" s="38"/>
      <c r="E1042" s="38"/>
      <c r="F1042" s="38"/>
      <c r="G1042" s="38"/>
      <c r="H1042" s="38"/>
      <c r="I1042" s="38"/>
      <c r="J1042" s="38"/>
      <c r="K1042" s="38"/>
      <c r="L1042" s="38"/>
      <c r="M1042" s="38"/>
      <c r="N1042" s="40"/>
      <c r="O1042" s="38"/>
      <c r="P1042" s="38"/>
      <c r="Q1042" s="38"/>
      <c r="R1042" s="38"/>
      <c r="S1042" s="38"/>
      <c r="T1042" s="38"/>
      <c r="U1042" s="38"/>
      <c r="V1042" s="38"/>
      <c r="W1042" s="38"/>
      <c r="X1042" s="38"/>
      <c r="Y1042" s="38"/>
      <c r="Z1042" s="38"/>
      <c r="AA1042" s="38"/>
      <c r="AB1042" s="38"/>
      <c r="AC1042" s="38"/>
      <c r="AD1042" s="38"/>
      <c r="AE1042" s="28"/>
      <c r="AF1042" s="28"/>
      <c r="AG1042" s="28"/>
      <c r="AH1042" s="28"/>
      <c r="AI1042" s="28"/>
      <c r="AJ1042" s="28"/>
      <c r="AK1042" s="28"/>
      <c r="AL1042" s="28"/>
      <c r="AM1042" s="28"/>
      <c r="AN1042" s="28"/>
      <c r="AO1042" s="28"/>
      <c r="AP1042" s="28"/>
      <c r="AQ1042" s="28"/>
      <c r="AR1042" s="28"/>
      <c r="AS1042" s="28"/>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354"/>
      <c r="BO1042" s="354"/>
    </row>
    <row r="1043" ht="25.5" customHeight="1">
      <c r="A1043" s="28"/>
      <c r="B1043" s="38"/>
      <c r="C1043" s="38"/>
      <c r="D1043" s="38"/>
      <c r="E1043" s="38"/>
      <c r="F1043" s="38"/>
      <c r="G1043" s="38"/>
      <c r="H1043" s="38"/>
      <c r="I1043" s="38"/>
      <c r="J1043" s="38"/>
      <c r="K1043" s="38"/>
      <c r="L1043" s="38"/>
      <c r="M1043" s="38"/>
      <c r="N1043" s="40"/>
      <c r="O1043" s="38"/>
      <c r="P1043" s="38"/>
      <c r="Q1043" s="38"/>
      <c r="R1043" s="38"/>
      <c r="S1043" s="38"/>
      <c r="T1043" s="38"/>
      <c r="U1043" s="38"/>
      <c r="V1043" s="38"/>
      <c r="W1043" s="38"/>
      <c r="X1043" s="38"/>
      <c r="Y1043" s="38"/>
      <c r="Z1043" s="38"/>
      <c r="AA1043" s="38"/>
      <c r="AB1043" s="38"/>
      <c r="AC1043" s="38"/>
      <c r="AD1043" s="38"/>
      <c r="AE1043" s="28"/>
      <c r="AF1043" s="28"/>
      <c r="AG1043" s="28"/>
      <c r="AH1043" s="28"/>
      <c r="AI1043" s="28"/>
      <c r="AJ1043" s="28"/>
      <c r="AK1043" s="28"/>
      <c r="AL1043" s="28"/>
      <c r="AM1043" s="28"/>
      <c r="AN1043" s="28"/>
      <c r="AO1043" s="28"/>
      <c r="AP1043" s="28"/>
      <c r="AQ1043" s="28"/>
      <c r="AR1043" s="28"/>
      <c r="AS1043" s="28"/>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354"/>
      <c r="BO1043" s="354"/>
    </row>
    <row r="1044" ht="25.5" customHeight="1">
      <c r="A1044" s="28"/>
      <c r="B1044" s="38"/>
      <c r="C1044" s="38"/>
      <c r="D1044" s="38"/>
      <c r="E1044" s="38"/>
      <c r="F1044" s="38"/>
      <c r="G1044" s="38"/>
      <c r="H1044" s="38"/>
      <c r="I1044" s="38"/>
      <c r="J1044" s="38"/>
      <c r="K1044" s="38"/>
      <c r="L1044" s="38"/>
      <c r="M1044" s="38"/>
      <c r="N1044" s="40"/>
      <c r="O1044" s="38"/>
      <c r="P1044" s="38"/>
      <c r="Q1044" s="38"/>
      <c r="R1044" s="38"/>
      <c r="S1044" s="38"/>
      <c r="T1044" s="38"/>
      <c r="U1044" s="38"/>
      <c r="V1044" s="38"/>
      <c r="W1044" s="38"/>
      <c r="X1044" s="38"/>
      <c r="Y1044" s="38"/>
      <c r="Z1044" s="38"/>
      <c r="AA1044" s="38"/>
      <c r="AB1044" s="38"/>
      <c r="AC1044" s="38"/>
      <c r="AD1044" s="38"/>
      <c r="AE1044" s="28"/>
      <c r="AF1044" s="28"/>
      <c r="AG1044" s="28"/>
      <c r="AH1044" s="28"/>
      <c r="AI1044" s="28"/>
      <c r="AJ1044" s="28"/>
      <c r="AK1044" s="28"/>
      <c r="AL1044" s="28"/>
      <c r="AM1044" s="28"/>
      <c r="AN1044" s="28"/>
      <c r="AO1044" s="28"/>
      <c r="AP1044" s="28"/>
      <c r="AQ1044" s="28"/>
      <c r="AR1044" s="28"/>
      <c r="AS1044" s="28"/>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354"/>
      <c r="BO1044" s="354"/>
    </row>
    <row r="1045" ht="25.5" customHeight="1">
      <c r="A1045" s="28"/>
      <c r="B1045" s="38"/>
      <c r="C1045" s="38"/>
      <c r="D1045" s="38"/>
      <c r="E1045" s="38"/>
      <c r="F1045" s="38"/>
      <c r="G1045" s="38"/>
      <c r="H1045" s="38"/>
      <c r="I1045" s="38"/>
      <c r="J1045" s="38"/>
      <c r="K1045" s="38"/>
      <c r="L1045" s="38"/>
      <c r="M1045" s="38"/>
      <c r="N1045" s="40"/>
      <c r="O1045" s="38"/>
      <c r="P1045" s="38"/>
      <c r="Q1045" s="38"/>
      <c r="R1045" s="38"/>
      <c r="S1045" s="38"/>
      <c r="T1045" s="38"/>
      <c r="U1045" s="38"/>
      <c r="V1045" s="38"/>
      <c r="W1045" s="38"/>
      <c r="X1045" s="38"/>
      <c r="Y1045" s="38"/>
      <c r="Z1045" s="38"/>
      <c r="AA1045" s="38"/>
      <c r="AB1045" s="38"/>
      <c r="AC1045" s="38"/>
      <c r="AD1045" s="38"/>
      <c r="AE1045" s="28"/>
      <c r="AF1045" s="28"/>
      <c r="AG1045" s="28"/>
      <c r="AH1045" s="28"/>
      <c r="AI1045" s="28"/>
      <c r="AJ1045" s="28"/>
      <c r="AK1045" s="28"/>
      <c r="AL1045" s="28"/>
      <c r="AM1045" s="28"/>
      <c r="AN1045" s="28"/>
      <c r="AO1045" s="28"/>
      <c r="AP1045" s="28"/>
      <c r="AQ1045" s="28"/>
      <c r="AR1045" s="28"/>
      <c r="AS1045" s="28"/>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354"/>
      <c r="BO1045" s="354"/>
    </row>
    <row r="1046" ht="25.5" customHeight="1">
      <c r="A1046" s="28"/>
      <c r="B1046" s="38"/>
      <c r="C1046" s="38"/>
      <c r="D1046" s="38"/>
      <c r="E1046" s="38"/>
      <c r="F1046" s="38"/>
      <c r="G1046" s="38"/>
      <c r="H1046" s="38"/>
      <c r="I1046" s="38"/>
      <c r="J1046" s="38"/>
      <c r="K1046" s="38"/>
      <c r="L1046" s="38"/>
      <c r="M1046" s="38"/>
      <c r="N1046" s="40"/>
      <c r="O1046" s="38"/>
      <c r="P1046" s="38"/>
      <c r="Q1046" s="38"/>
      <c r="R1046" s="38"/>
      <c r="S1046" s="38"/>
      <c r="T1046" s="38"/>
      <c r="U1046" s="38"/>
      <c r="V1046" s="38"/>
      <c r="W1046" s="38"/>
      <c r="X1046" s="38"/>
      <c r="Y1046" s="38"/>
      <c r="Z1046" s="38"/>
      <c r="AA1046" s="38"/>
      <c r="AB1046" s="38"/>
      <c r="AC1046" s="38"/>
      <c r="AD1046" s="38"/>
      <c r="AE1046" s="28"/>
      <c r="AF1046" s="28"/>
      <c r="AG1046" s="28"/>
      <c r="AH1046" s="28"/>
      <c r="AI1046" s="28"/>
      <c r="AJ1046" s="28"/>
      <c r="AK1046" s="28"/>
      <c r="AL1046" s="28"/>
      <c r="AM1046" s="28"/>
      <c r="AN1046" s="28"/>
      <c r="AO1046" s="28"/>
      <c r="AP1046" s="28"/>
      <c r="AQ1046" s="28"/>
      <c r="AR1046" s="28"/>
      <c r="AS1046" s="28"/>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354"/>
      <c r="BO1046" s="354"/>
    </row>
    <row r="1047" ht="25.5" customHeight="1">
      <c r="A1047" s="28"/>
      <c r="B1047" s="38"/>
      <c r="C1047" s="38"/>
      <c r="D1047" s="38"/>
      <c r="E1047" s="38"/>
      <c r="F1047" s="38"/>
      <c r="G1047" s="38"/>
      <c r="H1047" s="38"/>
      <c r="I1047" s="38"/>
      <c r="J1047" s="38"/>
      <c r="K1047" s="38"/>
      <c r="L1047" s="38"/>
      <c r="M1047" s="38"/>
      <c r="N1047" s="40"/>
      <c r="O1047" s="38"/>
      <c r="P1047" s="38"/>
      <c r="Q1047" s="38"/>
      <c r="R1047" s="38"/>
      <c r="S1047" s="38"/>
      <c r="T1047" s="38"/>
      <c r="U1047" s="38"/>
      <c r="V1047" s="38"/>
      <c r="W1047" s="38"/>
      <c r="X1047" s="38"/>
      <c r="Y1047" s="38"/>
      <c r="Z1047" s="38"/>
      <c r="AA1047" s="38"/>
      <c r="AB1047" s="38"/>
      <c r="AC1047" s="38"/>
      <c r="AD1047" s="38"/>
      <c r="AE1047" s="28"/>
      <c r="AF1047" s="28"/>
      <c r="AG1047" s="28"/>
      <c r="AH1047" s="28"/>
      <c r="AI1047" s="28"/>
      <c r="AJ1047" s="28"/>
      <c r="AK1047" s="28"/>
      <c r="AL1047" s="28"/>
      <c r="AM1047" s="28"/>
      <c r="AN1047" s="28"/>
      <c r="AO1047" s="28"/>
      <c r="AP1047" s="28"/>
      <c r="AQ1047" s="28"/>
      <c r="AR1047" s="28"/>
      <c r="AS1047" s="28"/>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354"/>
      <c r="BO1047" s="354"/>
    </row>
    <row r="1048" ht="25.5" customHeight="1">
      <c r="A1048" s="28"/>
      <c r="B1048" s="38"/>
      <c r="C1048" s="38"/>
      <c r="D1048" s="38"/>
      <c r="E1048" s="38"/>
      <c r="F1048" s="38"/>
      <c r="G1048" s="38"/>
      <c r="H1048" s="38"/>
      <c r="I1048" s="38"/>
      <c r="J1048" s="38"/>
      <c r="K1048" s="38"/>
      <c r="L1048" s="38"/>
      <c r="M1048" s="38"/>
      <c r="N1048" s="40"/>
      <c r="O1048" s="38"/>
      <c r="P1048" s="38"/>
      <c r="Q1048" s="38"/>
      <c r="R1048" s="38"/>
      <c r="S1048" s="38"/>
      <c r="T1048" s="38"/>
      <c r="U1048" s="38"/>
      <c r="V1048" s="38"/>
      <c r="W1048" s="38"/>
      <c r="X1048" s="38"/>
      <c r="Y1048" s="38"/>
      <c r="Z1048" s="38"/>
      <c r="AA1048" s="38"/>
      <c r="AB1048" s="38"/>
      <c r="AC1048" s="38"/>
      <c r="AD1048" s="38"/>
      <c r="AE1048" s="28"/>
      <c r="AF1048" s="28"/>
      <c r="AG1048" s="28"/>
      <c r="AH1048" s="28"/>
      <c r="AI1048" s="28"/>
      <c r="AJ1048" s="28"/>
      <c r="AK1048" s="28"/>
      <c r="AL1048" s="28"/>
      <c r="AM1048" s="28"/>
      <c r="AN1048" s="28"/>
      <c r="AO1048" s="28"/>
      <c r="AP1048" s="28"/>
      <c r="AQ1048" s="28"/>
      <c r="AR1048" s="28"/>
      <c r="AS1048" s="28"/>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354"/>
      <c r="BO1048" s="354"/>
    </row>
    <row r="1049" ht="25.5" customHeight="1">
      <c r="A1049" s="28"/>
      <c r="B1049" s="38"/>
      <c r="C1049" s="38"/>
      <c r="D1049" s="38"/>
      <c r="E1049" s="38"/>
      <c r="F1049" s="38"/>
      <c r="G1049" s="38"/>
      <c r="H1049" s="38"/>
      <c r="I1049" s="38"/>
      <c r="J1049" s="38"/>
      <c r="K1049" s="38"/>
      <c r="L1049" s="38"/>
      <c r="M1049" s="38"/>
      <c r="N1049" s="40"/>
      <c r="O1049" s="38"/>
      <c r="P1049" s="38"/>
      <c r="Q1049" s="38"/>
      <c r="R1049" s="38"/>
      <c r="S1049" s="38"/>
      <c r="T1049" s="38"/>
      <c r="U1049" s="38"/>
      <c r="V1049" s="38"/>
      <c r="W1049" s="38"/>
      <c r="X1049" s="38"/>
      <c r="Y1049" s="38"/>
      <c r="Z1049" s="38"/>
      <c r="AA1049" s="38"/>
      <c r="AB1049" s="38"/>
      <c r="AC1049" s="38"/>
      <c r="AD1049" s="38"/>
      <c r="AE1049" s="28"/>
      <c r="AF1049" s="28"/>
      <c r="AG1049" s="28"/>
      <c r="AH1049" s="28"/>
      <c r="AI1049" s="28"/>
      <c r="AJ1049" s="28"/>
      <c r="AK1049" s="28"/>
      <c r="AL1049" s="28"/>
      <c r="AM1049" s="28"/>
      <c r="AN1049" s="28"/>
      <c r="AO1049" s="28"/>
      <c r="AP1049" s="28"/>
      <c r="AQ1049" s="28"/>
      <c r="AR1049" s="28"/>
      <c r="AS1049" s="28"/>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354"/>
      <c r="BO1049" s="354"/>
    </row>
    <row r="1050" ht="25.5" customHeight="1">
      <c r="A1050" s="28"/>
      <c r="B1050" s="38"/>
      <c r="C1050" s="38"/>
      <c r="D1050" s="38"/>
      <c r="E1050" s="38"/>
      <c r="F1050" s="38"/>
      <c r="G1050" s="38"/>
      <c r="H1050" s="38"/>
      <c r="I1050" s="38"/>
      <c r="J1050" s="38"/>
      <c r="K1050" s="38"/>
      <c r="L1050" s="38"/>
      <c r="M1050" s="38"/>
      <c r="N1050" s="40"/>
      <c r="O1050" s="38"/>
      <c r="P1050" s="38"/>
      <c r="Q1050" s="38"/>
      <c r="R1050" s="38"/>
      <c r="S1050" s="38"/>
      <c r="T1050" s="38"/>
      <c r="U1050" s="38"/>
      <c r="V1050" s="38"/>
      <c r="W1050" s="38"/>
      <c r="X1050" s="38"/>
      <c r="Y1050" s="38"/>
      <c r="Z1050" s="38"/>
      <c r="AA1050" s="38"/>
      <c r="AB1050" s="38"/>
      <c r="AC1050" s="38"/>
      <c r="AD1050" s="38"/>
      <c r="AE1050" s="28"/>
      <c r="AF1050" s="28"/>
      <c r="AG1050" s="28"/>
      <c r="AH1050" s="28"/>
      <c r="AI1050" s="28"/>
      <c r="AJ1050" s="28"/>
      <c r="AK1050" s="28"/>
      <c r="AL1050" s="28"/>
      <c r="AM1050" s="28"/>
      <c r="AN1050" s="28"/>
      <c r="AO1050" s="28"/>
      <c r="AP1050" s="28"/>
      <c r="AQ1050" s="28"/>
      <c r="AR1050" s="28"/>
      <c r="AS1050" s="28"/>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354"/>
      <c r="BO1050" s="354"/>
    </row>
    <row r="1051" ht="25.5" customHeight="1">
      <c r="A1051" s="28"/>
      <c r="B1051" s="38"/>
      <c r="C1051" s="38"/>
      <c r="D1051" s="38"/>
      <c r="E1051" s="38"/>
      <c r="F1051" s="38"/>
      <c r="G1051" s="38"/>
      <c r="H1051" s="38"/>
      <c r="I1051" s="38"/>
      <c r="J1051" s="38"/>
      <c r="K1051" s="38"/>
      <c r="L1051" s="38"/>
      <c r="M1051" s="38"/>
      <c r="N1051" s="40"/>
      <c r="O1051" s="38"/>
      <c r="P1051" s="38"/>
      <c r="Q1051" s="38"/>
      <c r="R1051" s="38"/>
      <c r="S1051" s="38"/>
      <c r="T1051" s="38"/>
      <c r="U1051" s="38"/>
      <c r="V1051" s="38"/>
      <c r="W1051" s="38"/>
      <c r="X1051" s="38"/>
      <c r="Y1051" s="38"/>
      <c r="Z1051" s="38"/>
      <c r="AA1051" s="38"/>
      <c r="AB1051" s="38"/>
      <c r="AC1051" s="38"/>
      <c r="AD1051" s="38"/>
      <c r="AE1051" s="28"/>
      <c r="AF1051" s="28"/>
      <c r="AG1051" s="28"/>
      <c r="AH1051" s="28"/>
      <c r="AI1051" s="28"/>
      <c r="AJ1051" s="28"/>
      <c r="AK1051" s="28"/>
      <c r="AL1051" s="28"/>
      <c r="AM1051" s="28"/>
      <c r="AN1051" s="28"/>
      <c r="AO1051" s="28"/>
      <c r="AP1051" s="28"/>
      <c r="AQ1051" s="28"/>
      <c r="AR1051" s="28"/>
      <c r="AS1051" s="28"/>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354"/>
      <c r="BO1051" s="354"/>
    </row>
    <row r="1052" ht="25.5" customHeight="1">
      <c r="A1052" s="28"/>
      <c r="B1052" s="38"/>
      <c r="C1052" s="38"/>
      <c r="D1052" s="38"/>
      <c r="E1052" s="38"/>
      <c r="F1052" s="38"/>
      <c r="G1052" s="38"/>
      <c r="H1052" s="38"/>
      <c r="I1052" s="38"/>
      <c r="J1052" s="38"/>
      <c r="K1052" s="38"/>
      <c r="L1052" s="38"/>
      <c r="M1052" s="38"/>
      <c r="N1052" s="40"/>
      <c r="O1052" s="38"/>
      <c r="P1052" s="38"/>
      <c r="Q1052" s="38"/>
      <c r="R1052" s="38"/>
      <c r="S1052" s="38"/>
      <c r="T1052" s="38"/>
      <c r="U1052" s="38"/>
      <c r="V1052" s="38"/>
      <c r="W1052" s="38"/>
      <c r="X1052" s="38"/>
      <c r="Y1052" s="38"/>
      <c r="Z1052" s="38"/>
      <c r="AA1052" s="38"/>
      <c r="AB1052" s="38"/>
      <c r="AC1052" s="38"/>
      <c r="AD1052" s="38"/>
      <c r="AE1052" s="28"/>
      <c r="AF1052" s="28"/>
      <c r="AG1052" s="28"/>
      <c r="AH1052" s="28"/>
      <c r="AI1052" s="28"/>
      <c r="AJ1052" s="28"/>
      <c r="AK1052" s="28"/>
      <c r="AL1052" s="28"/>
      <c r="AM1052" s="28"/>
      <c r="AN1052" s="28"/>
      <c r="AO1052" s="28"/>
      <c r="AP1052" s="28"/>
      <c r="AQ1052" s="28"/>
      <c r="AR1052" s="28"/>
      <c r="AS1052" s="28"/>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354"/>
      <c r="BO1052" s="354"/>
    </row>
    <row r="1053" ht="25.5" customHeight="1">
      <c r="A1053" s="28"/>
      <c r="B1053" s="38"/>
      <c r="C1053" s="38"/>
      <c r="D1053" s="38"/>
      <c r="E1053" s="38"/>
      <c r="F1053" s="38"/>
      <c r="G1053" s="38"/>
      <c r="H1053" s="38"/>
      <c r="I1053" s="38"/>
      <c r="J1053" s="38"/>
      <c r="K1053" s="38"/>
      <c r="L1053" s="38"/>
      <c r="M1053" s="38"/>
      <c r="N1053" s="40"/>
      <c r="O1053" s="38"/>
      <c r="P1053" s="38"/>
      <c r="Q1053" s="38"/>
      <c r="R1053" s="38"/>
      <c r="S1053" s="38"/>
      <c r="T1053" s="38"/>
      <c r="U1053" s="38"/>
      <c r="V1053" s="38"/>
      <c r="W1053" s="38"/>
      <c r="X1053" s="38"/>
      <c r="Y1053" s="38"/>
      <c r="Z1053" s="38"/>
      <c r="AA1053" s="38"/>
      <c r="AB1053" s="38"/>
      <c r="AC1053" s="38"/>
      <c r="AD1053" s="38"/>
      <c r="AE1053" s="28"/>
      <c r="AF1053" s="28"/>
      <c r="AG1053" s="28"/>
      <c r="AH1053" s="28"/>
      <c r="AI1053" s="28"/>
      <c r="AJ1053" s="28"/>
      <c r="AK1053" s="28"/>
      <c r="AL1053" s="28"/>
      <c r="AM1053" s="28"/>
      <c r="AN1053" s="28"/>
      <c r="AO1053" s="28"/>
      <c r="AP1053" s="28"/>
      <c r="AQ1053" s="28"/>
      <c r="AR1053" s="28"/>
      <c r="AS1053" s="28"/>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354"/>
      <c r="BO1053" s="354"/>
    </row>
    <row r="1054" ht="25.5" customHeight="1">
      <c r="A1054" s="28"/>
      <c r="B1054" s="38"/>
      <c r="C1054" s="38"/>
      <c r="D1054" s="38"/>
      <c r="E1054" s="38"/>
      <c r="F1054" s="38"/>
      <c r="G1054" s="38"/>
      <c r="H1054" s="38"/>
      <c r="I1054" s="38"/>
      <c r="J1054" s="38"/>
      <c r="K1054" s="38"/>
      <c r="L1054" s="38"/>
      <c r="M1054" s="38"/>
      <c r="N1054" s="40"/>
      <c r="O1054" s="38"/>
      <c r="P1054" s="38"/>
      <c r="Q1054" s="38"/>
      <c r="R1054" s="38"/>
      <c r="S1054" s="38"/>
      <c r="T1054" s="38"/>
      <c r="U1054" s="38"/>
      <c r="V1054" s="38"/>
      <c r="W1054" s="38"/>
      <c r="X1054" s="38"/>
      <c r="Y1054" s="38"/>
      <c r="Z1054" s="38"/>
      <c r="AA1054" s="38"/>
      <c r="AB1054" s="38"/>
      <c r="AC1054" s="38"/>
      <c r="AD1054" s="38"/>
      <c r="AE1054" s="28"/>
      <c r="AF1054" s="28"/>
      <c r="AG1054" s="28"/>
      <c r="AH1054" s="28"/>
      <c r="AI1054" s="28"/>
      <c r="AJ1054" s="28"/>
      <c r="AK1054" s="28"/>
      <c r="AL1054" s="28"/>
      <c r="AM1054" s="28"/>
      <c r="AN1054" s="28"/>
      <c r="AO1054" s="28"/>
      <c r="AP1054" s="28"/>
      <c r="AQ1054" s="28"/>
      <c r="AR1054" s="28"/>
      <c r="AS1054" s="28"/>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354"/>
      <c r="BO1054" s="354"/>
    </row>
    <row r="1055" ht="25.5" customHeight="1">
      <c r="A1055" s="28"/>
      <c r="B1055" s="38"/>
      <c r="C1055" s="38"/>
      <c r="D1055" s="38"/>
      <c r="E1055" s="38"/>
      <c r="F1055" s="38"/>
      <c r="G1055" s="38"/>
      <c r="H1055" s="38"/>
      <c r="I1055" s="38"/>
      <c r="J1055" s="38"/>
      <c r="K1055" s="38"/>
      <c r="L1055" s="38"/>
      <c r="M1055" s="38"/>
      <c r="N1055" s="40"/>
      <c r="O1055" s="38"/>
      <c r="P1055" s="38"/>
      <c r="Q1055" s="38"/>
      <c r="R1055" s="38"/>
      <c r="S1055" s="38"/>
      <c r="T1055" s="38"/>
      <c r="U1055" s="38"/>
      <c r="V1055" s="38"/>
      <c r="W1055" s="38"/>
      <c r="X1055" s="38"/>
      <c r="Y1055" s="38"/>
      <c r="Z1055" s="38"/>
      <c r="AA1055" s="38"/>
      <c r="AB1055" s="38"/>
      <c r="AC1055" s="38"/>
      <c r="AD1055" s="38"/>
      <c r="AE1055" s="28"/>
      <c r="AF1055" s="28"/>
      <c r="AG1055" s="28"/>
      <c r="AH1055" s="28"/>
      <c r="AI1055" s="28"/>
      <c r="AJ1055" s="28"/>
      <c r="AK1055" s="28"/>
      <c r="AL1055" s="28"/>
      <c r="AM1055" s="28"/>
      <c r="AN1055" s="28"/>
      <c r="AO1055" s="28"/>
      <c r="AP1055" s="28"/>
      <c r="AQ1055" s="28"/>
      <c r="AR1055" s="28"/>
      <c r="AS1055" s="28"/>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354"/>
      <c r="BO1055" s="354"/>
    </row>
    <row r="1056" ht="25.5" customHeight="1">
      <c r="A1056" s="28"/>
      <c r="B1056" s="38"/>
      <c r="C1056" s="38"/>
      <c r="D1056" s="38"/>
      <c r="E1056" s="38"/>
      <c r="F1056" s="38"/>
      <c r="G1056" s="38"/>
      <c r="H1056" s="38"/>
      <c r="I1056" s="38"/>
      <c r="J1056" s="38"/>
      <c r="K1056" s="38"/>
      <c r="L1056" s="38"/>
      <c r="M1056" s="38"/>
      <c r="N1056" s="40"/>
      <c r="O1056" s="38"/>
      <c r="P1056" s="38"/>
      <c r="Q1056" s="38"/>
      <c r="R1056" s="38"/>
      <c r="S1056" s="38"/>
      <c r="T1056" s="38"/>
      <c r="U1056" s="38"/>
      <c r="V1056" s="38"/>
      <c r="W1056" s="38"/>
      <c r="X1056" s="38"/>
      <c r="Y1056" s="38"/>
      <c r="Z1056" s="38"/>
      <c r="AA1056" s="38"/>
      <c r="AB1056" s="38"/>
      <c r="AC1056" s="38"/>
      <c r="AD1056" s="38"/>
      <c r="AE1056" s="28"/>
      <c r="AF1056" s="28"/>
      <c r="AG1056" s="28"/>
      <c r="AH1056" s="28"/>
      <c r="AI1056" s="28"/>
      <c r="AJ1056" s="28"/>
      <c r="AK1056" s="28"/>
      <c r="AL1056" s="28"/>
      <c r="AM1056" s="28"/>
      <c r="AN1056" s="28"/>
      <c r="AO1056" s="28"/>
      <c r="AP1056" s="28"/>
      <c r="AQ1056" s="28"/>
      <c r="AR1056" s="28"/>
      <c r="AS1056" s="28"/>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354"/>
      <c r="BO1056" s="354"/>
    </row>
    <row r="1057" ht="25.5" customHeight="1">
      <c r="A1057" s="28"/>
      <c r="B1057" s="38"/>
      <c r="C1057" s="38"/>
      <c r="D1057" s="38"/>
      <c r="E1057" s="38"/>
      <c r="F1057" s="38"/>
      <c r="G1057" s="38"/>
      <c r="H1057" s="38"/>
      <c r="I1057" s="38"/>
      <c r="J1057" s="38"/>
      <c r="K1057" s="38"/>
      <c r="L1057" s="38"/>
      <c r="M1057" s="38"/>
      <c r="N1057" s="40"/>
      <c r="O1057" s="38"/>
      <c r="P1057" s="38"/>
      <c r="Q1057" s="38"/>
      <c r="R1057" s="38"/>
      <c r="S1057" s="38"/>
      <c r="T1057" s="38"/>
      <c r="U1057" s="38"/>
      <c r="V1057" s="38"/>
      <c r="W1057" s="38"/>
      <c r="X1057" s="38"/>
      <c r="Y1057" s="38"/>
      <c r="Z1057" s="38"/>
      <c r="AA1057" s="38"/>
      <c r="AB1057" s="38"/>
      <c r="AC1057" s="38"/>
      <c r="AD1057" s="38"/>
      <c r="AE1057" s="28"/>
      <c r="AF1057" s="28"/>
      <c r="AG1057" s="28"/>
      <c r="AH1057" s="28"/>
      <c r="AI1057" s="28"/>
      <c r="AJ1057" s="28"/>
      <c r="AK1057" s="28"/>
      <c r="AL1057" s="28"/>
      <c r="AM1057" s="28"/>
      <c r="AN1057" s="28"/>
      <c r="AO1057" s="28"/>
      <c r="AP1057" s="28"/>
      <c r="AQ1057" s="28"/>
      <c r="AR1057" s="28"/>
      <c r="AS1057" s="28"/>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354"/>
      <c r="BO1057" s="354"/>
    </row>
    <row r="1058" ht="25.5" customHeight="1">
      <c r="A1058" s="28"/>
      <c r="B1058" s="38"/>
      <c r="C1058" s="38"/>
      <c r="D1058" s="38"/>
      <c r="E1058" s="38"/>
      <c r="F1058" s="38"/>
      <c r="G1058" s="38"/>
      <c r="H1058" s="38"/>
      <c r="I1058" s="38"/>
      <c r="J1058" s="38"/>
      <c r="K1058" s="38"/>
      <c r="L1058" s="38"/>
      <c r="M1058" s="38"/>
      <c r="N1058" s="40"/>
      <c r="O1058" s="38"/>
      <c r="P1058" s="38"/>
      <c r="Q1058" s="38"/>
      <c r="R1058" s="38"/>
      <c r="S1058" s="38"/>
      <c r="T1058" s="38"/>
      <c r="U1058" s="38"/>
      <c r="V1058" s="38"/>
      <c r="W1058" s="38"/>
      <c r="X1058" s="38"/>
      <c r="Y1058" s="38"/>
      <c r="Z1058" s="38"/>
      <c r="AA1058" s="38"/>
      <c r="AB1058" s="38"/>
      <c r="AC1058" s="38"/>
      <c r="AD1058" s="38"/>
      <c r="AE1058" s="28"/>
      <c r="AF1058" s="28"/>
      <c r="AG1058" s="28"/>
      <c r="AH1058" s="28"/>
      <c r="AI1058" s="28"/>
      <c r="AJ1058" s="28"/>
      <c r="AK1058" s="28"/>
      <c r="AL1058" s="28"/>
      <c r="AM1058" s="28"/>
      <c r="AN1058" s="28"/>
      <c r="AO1058" s="28"/>
      <c r="AP1058" s="28"/>
      <c r="AQ1058" s="28"/>
      <c r="AR1058" s="28"/>
      <c r="AS1058" s="28"/>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354"/>
      <c r="BO1058" s="354"/>
    </row>
    <row r="1059" ht="25.5" customHeight="1">
      <c r="A1059" s="28"/>
      <c r="B1059" s="38"/>
      <c r="C1059" s="38"/>
      <c r="D1059" s="38"/>
      <c r="E1059" s="38"/>
      <c r="F1059" s="38"/>
      <c r="G1059" s="38"/>
      <c r="H1059" s="38"/>
      <c r="I1059" s="38"/>
      <c r="J1059" s="38"/>
      <c r="K1059" s="38"/>
      <c r="L1059" s="38"/>
      <c r="M1059" s="38"/>
      <c r="N1059" s="40"/>
      <c r="O1059" s="38"/>
      <c r="P1059" s="38"/>
      <c r="Q1059" s="38"/>
      <c r="R1059" s="38"/>
      <c r="S1059" s="38"/>
      <c r="T1059" s="38"/>
      <c r="U1059" s="38"/>
      <c r="V1059" s="38"/>
      <c r="W1059" s="38"/>
      <c r="X1059" s="38"/>
      <c r="Y1059" s="38"/>
      <c r="Z1059" s="38"/>
      <c r="AA1059" s="38"/>
      <c r="AB1059" s="38"/>
      <c r="AC1059" s="38"/>
      <c r="AD1059" s="38"/>
      <c r="AE1059" s="28"/>
      <c r="AF1059" s="28"/>
      <c r="AG1059" s="28"/>
      <c r="AH1059" s="28"/>
      <c r="AI1059" s="28"/>
      <c r="AJ1059" s="28"/>
      <c r="AK1059" s="28"/>
      <c r="AL1059" s="28"/>
      <c r="AM1059" s="28"/>
      <c r="AN1059" s="28"/>
      <c r="AO1059" s="28"/>
      <c r="AP1059" s="28"/>
      <c r="AQ1059" s="28"/>
      <c r="AR1059" s="28"/>
      <c r="AS1059" s="28"/>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354"/>
      <c r="BO1059" s="354"/>
    </row>
    <row r="1060" ht="25.5" customHeight="1">
      <c r="A1060" s="28"/>
      <c r="B1060" s="38"/>
      <c r="C1060" s="38"/>
      <c r="D1060" s="38"/>
      <c r="E1060" s="38"/>
      <c r="F1060" s="38"/>
      <c r="G1060" s="38"/>
      <c r="H1060" s="38"/>
      <c r="I1060" s="38"/>
      <c r="J1060" s="38"/>
      <c r="K1060" s="38"/>
      <c r="L1060" s="38"/>
      <c r="M1060" s="38"/>
      <c r="N1060" s="40"/>
      <c r="O1060" s="38"/>
      <c r="P1060" s="38"/>
      <c r="Q1060" s="38"/>
      <c r="R1060" s="38"/>
      <c r="S1060" s="38"/>
      <c r="T1060" s="38"/>
      <c r="U1060" s="38"/>
      <c r="V1060" s="38"/>
      <c r="W1060" s="38"/>
      <c r="X1060" s="38"/>
      <c r="Y1060" s="38"/>
      <c r="Z1060" s="38"/>
      <c r="AA1060" s="38"/>
      <c r="AB1060" s="38"/>
      <c r="AC1060" s="38"/>
      <c r="AD1060" s="38"/>
      <c r="AE1060" s="28"/>
      <c r="AF1060" s="28"/>
      <c r="AG1060" s="28"/>
      <c r="AH1060" s="28"/>
      <c r="AI1060" s="28"/>
      <c r="AJ1060" s="28"/>
      <c r="AK1060" s="28"/>
      <c r="AL1060" s="28"/>
      <c r="AM1060" s="28"/>
      <c r="AN1060" s="28"/>
      <c r="AO1060" s="28"/>
      <c r="AP1060" s="28"/>
      <c r="AQ1060" s="28"/>
      <c r="AR1060" s="28"/>
      <c r="AS1060" s="28"/>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354"/>
      <c r="BO1060" s="354"/>
    </row>
    <row r="1061" ht="25.5" customHeight="1">
      <c r="A1061" s="28"/>
      <c r="B1061" s="38"/>
      <c r="C1061" s="38"/>
      <c r="D1061" s="38"/>
      <c r="E1061" s="38"/>
      <c r="F1061" s="38"/>
      <c r="G1061" s="38"/>
      <c r="H1061" s="38"/>
      <c r="I1061" s="38"/>
      <c r="J1061" s="38"/>
      <c r="K1061" s="38"/>
      <c r="L1061" s="38"/>
      <c r="M1061" s="38"/>
      <c r="N1061" s="40"/>
      <c r="O1061" s="38"/>
      <c r="P1061" s="38"/>
      <c r="Q1061" s="38"/>
      <c r="R1061" s="38"/>
      <c r="S1061" s="38"/>
      <c r="T1061" s="38"/>
      <c r="U1061" s="38"/>
      <c r="V1061" s="38"/>
      <c r="W1061" s="38"/>
      <c r="X1061" s="38"/>
      <c r="Y1061" s="38"/>
      <c r="Z1061" s="38"/>
      <c r="AA1061" s="38"/>
      <c r="AB1061" s="38"/>
      <c r="AC1061" s="38"/>
      <c r="AD1061" s="38"/>
      <c r="AE1061" s="28"/>
      <c r="AF1061" s="28"/>
      <c r="AG1061" s="28"/>
      <c r="AH1061" s="28"/>
      <c r="AI1061" s="28"/>
      <c r="AJ1061" s="28"/>
      <c r="AK1061" s="28"/>
      <c r="AL1061" s="28"/>
      <c r="AM1061" s="28"/>
      <c r="AN1061" s="28"/>
      <c r="AO1061" s="28"/>
      <c r="AP1061" s="28"/>
      <c r="AQ1061" s="28"/>
      <c r="AR1061" s="28"/>
      <c r="AS1061" s="28"/>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354"/>
      <c r="BO1061" s="354"/>
    </row>
    <row r="1062" ht="25.5" customHeight="1">
      <c r="A1062" s="28"/>
      <c r="B1062" s="38"/>
      <c r="C1062" s="38"/>
      <c r="D1062" s="38"/>
      <c r="E1062" s="38"/>
      <c r="F1062" s="38"/>
      <c r="G1062" s="38"/>
      <c r="H1062" s="38"/>
      <c r="I1062" s="38"/>
      <c r="J1062" s="38"/>
      <c r="K1062" s="38"/>
      <c r="L1062" s="38"/>
      <c r="M1062" s="38"/>
      <c r="N1062" s="40"/>
      <c r="O1062" s="38"/>
      <c r="P1062" s="38"/>
      <c r="Q1062" s="38"/>
      <c r="R1062" s="38"/>
      <c r="S1062" s="38"/>
      <c r="T1062" s="38"/>
      <c r="U1062" s="38"/>
      <c r="V1062" s="38"/>
      <c r="W1062" s="38"/>
      <c r="X1062" s="38"/>
      <c r="Y1062" s="38"/>
      <c r="Z1062" s="38"/>
      <c r="AA1062" s="38"/>
      <c r="AB1062" s="38"/>
      <c r="AC1062" s="38"/>
      <c r="AD1062" s="38"/>
      <c r="AE1062" s="28"/>
      <c r="AF1062" s="28"/>
      <c r="AG1062" s="28"/>
      <c r="AH1062" s="28"/>
      <c r="AI1062" s="28"/>
      <c r="AJ1062" s="28"/>
      <c r="AK1062" s="28"/>
      <c r="AL1062" s="28"/>
      <c r="AM1062" s="28"/>
      <c r="AN1062" s="28"/>
      <c r="AO1062" s="28"/>
      <c r="AP1062" s="28"/>
      <c r="AQ1062" s="28"/>
      <c r="AR1062" s="28"/>
      <c r="AS1062" s="28"/>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354"/>
      <c r="BO1062" s="354"/>
    </row>
    <row r="1063" ht="25.5" customHeight="1">
      <c r="A1063" s="28"/>
      <c r="B1063" s="38"/>
      <c r="C1063" s="38"/>
      <c r="D1063" s="38"/>
      <c r="E1063" s="38"/>
      <c r="F1063" s="38"/>
      <c r="G1063" s="38"/>
      <c r="H1063" s="38"/>
      <c r="I1063" s="38"/>
      <c r="J1063" s="38"/>
      <c r="K1063" s="38"/>
      <c r="L1063" s="38"/>
      <c r="M1063" s="38"/>
      <c r="N1063" s="40"/>
      <c r="O1063" s="38"/>
      <c r="P1063" s="38"/>
      <c r="Q1063" s="38"/>
      <c r="R1063" s="38"/>
      <c r="S1063" s="38"/>
      <c r="T1063" s="38"/>
      <c r="U1063" s="38"/>
      <c r="V1063" s="38"/>
      <c r="W1063" s="38"/>
      <c r="X1063" s="38"/>
      <c r="Y1063" s="38"/>
      <c r="Z1063" s="38"/>
      <c r="AA1063" s="38"/>
      <c r="AB1063" s="38"/>
      <c r="AC1063" s="38"/>
      <c r="AD1063" s="38"/>
      <c r="AE1063" s="28"/>
      <c r="AF1063" s="28"/>
      <c r="AG1063" s="28"/>
      <c r="AH1063" s="28"/>
      <c r="AI1063" s="28"/>
      <c r="AJ1063" s="28"/>
      <c r="AK1063" s="28"/>
      <c r="AL1063" s="28"/>
      <c r="AM1063" s="28"/>
      <c r="AN1063" s="28"/>
      <c r="AO1063" s="28"/>
      <c r="AP1063" s="28"/>
      <c r="AQ1063" s="28"/>
      <c r="AR1063" s="28"/>
      <c r="AS1063" s="28"/>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354"/>
      <c r="BO1063" s="354"/>
    </row>
    <row r="1064" ht="25.5" customHeight="1">
      <c r="A1064" s="28"/>
      <c r="B1064" s="38"/>
      <c r="C1064" s="38"/>
      <c r="D1064" s="38"/>
      <c r="E1064" s="38"/>
      <c r="F1064" s="38"/>
      <c r="G1064" s="38"/>
      <c r="H1064" s="38"/>
      <c r="I1064" s="38"/>
      <c r="J1064" s="38"/>
      <c r="K1064" s="38"/>
      <c r="L1064" s="38"/>
      <c r="M1064" s="38"/>
      <c r="N1064" s="40"/>
      <c r="O1064" s="38"/>
      <c r="P1064" s="38"/>
      <c r="Q1064" s="38"/>
      <c r="R1064" s="38"/>
      <c r="S1064" s="38"/>
      <c r="T1064" s="38"/>
      <c r="U1064" s="38"/>
      <c r="V1064" s="38"/>
      <c r="W1064" s="38"/>
      <c r="X1064" s="38"/>
      <c r="Y1064" s="38"/>
      <c r="Z1064" s="38"/>
      <c r="AA1064" s="38"/>
      <c r="AB1064" s="38"/>
      <c r="AC1064" s="38"/>
      <c r="AD1064" s="38"/>
      <c r="AE1064" s="28"/>
      <c r="AF1064" s="28"/>
      <c r="AG1064" s="28"/>
      <c r="AH1064" s="28"/>
      <c r="AI1064" s="28"/>
      <c r="AJ1064" s="28"/>
      <c r="AK1064" s="28"/>
      <c r="AL1064" s="28"/>
      <c r="AM1064" s="28"/>
      <c r="AN1064" s="28"/>
      <c r="AO1064" s="28"/>
      <c r="AP1064" s="28"/>
      <c r="AQ1064" s="28"/>
      <c r="AR1064" s="28"/>
      <c r="AS1064" s="28"/>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354"/>
      <c r="BO1064" s="354"/>
    </row>
    <row r="1065" ht="25.5" customHeight="1">
      <c r="A1065" s="28"/>
      <c r="B1065" s="38"/>
      <c r="C1065" s="38"/>
      <c r="D1065" s="38"/>
      <c r="E1065" s="38"/>
      <c r="F1065" s="38"/>
      <c r="G1065" s="38"/>
      <c r="H1065" s="38"/>
      <c r="I1065" s="38"/>
      <c r="J1065" s="38"/>
      <c r="K1065" s="38"/>
      <c r="L1065" s="38"/>
      <c r="M1065" s="38"/>
      <c r="N1065" s="40"/>
      <c r="O1065" s="38"/>
      <c r="P1065" s="38"/>
      <c r="Q1065" s="38"/>
      <c r="R1065" s="38"/>
      <c r="S1065" s="38"/>
      <c r="T1065" s="38"/>
      <c r="U1065" s="38"/>
      <c r="V1065" s="38"/>
      <c r="W1065" s="38"/>
      <c r="X1065" s="38"/>
      <c r="Y1065" s="38"/>
      <c r="Z1065" s="38"/>
      <c r="AA1065" s="38"/>
      <c r="AB1065" s="38"/>
      <c r="AC1065" s="38"/>
      <c r="AD1065" s="38"/>
      <c r="AE1065" s="28"/>
      <c r="AF1065" s="28"/>
      <c r="AG1065" s="28"/>
      <c r="AH1065" s="28"/>
      <c r="AI1065" s="28"/>
      <c r="AJ1065" s="28"/>
      <c r="AK1065" s="28"/>
      <c r="AL1065" s="28"/>
      <c r="AM1065" s="28"/>
      <c r="AN1065" s="28"/>
      <c r="AO1065" s="28"/>
      <c r="AP1065" s="28"/>
      <c r="AQ1065" s="28"/>
      <c r="AR1065" s="28"/>
      <c r="AS1065" s="28"/>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354"/>
      <c r="BO1065" s="354"/>
    </row>
    <row r="1066" ht="25.5" customHeight="1">
      <c r="A1066" s="28"/>
      <c r="B1066" s="38"/>
      <c r="C1066" s="38"/>
      <c r="D1066" s="38"/>
      <c r="E1066" s="38"/>
      <c r="F1066" s="38"/>
      <c r="G1066" s="38"/>
      <c r="H1066" s="38"/>
      <c r="I1066" s="38"/>
      <c r="J1066" s="38"/>
      <c r="K1066" s="38"/>
      <c r="L1066" s="38"/>
      <c r="M1066" s="38"/>
      <c r="N1066" s="40"/>
      <c r="O1066" s="38"/>
      <c r="P1066" s="38"/>
      <c r="Q1066" s="38"/>
      <c r="R1066" s="38"/>
      <c r="S1066" s="38"/>
      <c r="T1066" s="38"/>
      <c r="U1066" s="38"/>
      <c r="V1066" s="38"/>
      <c r="W1066" s="38"/>
      <c r="X1066" s="38"/>
      <c r="Y1066" s="38"/>
      <c r="Z1066" s="38"/>
      <c r="AA1066" s="38"/>
      <c r="AB1066" s="38"/>
      <c r="AC1066" s="38"/>
      <c r="AD1066" s="38"/>
      <c r="AE1066" s="28"/>
      <c r="AF1066" s="28"/>
      <c r="AG1066" s="28"/>
      <c r="AH1066" s="28"/>
      <c r="AI1066" s="28"/>
      <c r="AJ1066" s="28"/>
      <c r="AK1066" s="28"/>
      <c r="AL1066" s="28"/>
      <c r="AM1066" s="28"/>
      <c r="AN1066" s="28"/>
      <c r="AO1066" s="28"/>
      <c r="AP1066" s="28"/>
      <c r="AQ1066" s="28"/>
      <c r="AR1066" s="28"/>
      <c r="AS1066" s="28"/>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354"/>
      <c r="BO1066" s="354"/>
    </row>
    <row r="1067" ht="25.5" customHeight="1">
      <c r="A1067" s="28"/>
      <c r="B1067" s="38"/>
      <c r="C1067" s="38"/>
      <c r="D1067" s="38"/>
      <c r="E1067" s="38"/>
      <c r="F1067" s="38"/>
      <c r="G1067" s="38"/>
      <c r="H1067" s="38"/>
      <c r="I1067" s="38"/>
      <c r="J1067" s="38"/>
      <c r="K1067" s="38"/>
      <c r="L1067" s="38"/>
      <c r="M1067" s="38"/>
      <c r="N1067" s="40"/>
      <c r="O1067" s="38"/>
      <c r="P1067" s="38"/>
      <c r="Q1067" s="38"/>
      <c r="R1067" s="38"/>
      <c r="S1067" s="38"/>
      <c r="T1067" s="38"/>
      <c r="U1067" s="38"/>
      <c r="V1067" s="38"/>
      <c r="W1067" s="38"/>
      <c r="X1067" s="38"/>
      <c r="Y1067" s="38"/>
      <c r="Z1067" s="38"/>
      <c r="AA1067" s="38"/>
      <c r="AB1067" s="38"/>
      <c r="AC1067" s="38"/>
      <c r="AD1067" s="38"/>
      <c r="AE1067" s="28"/>
      <c r="AF1067" s="28"/>
      <c r="AG1067" s="28"/>
      <c r="AH1067" s="28"/>
      <c r="AI1067" s="28"/>
      <c r="AJ1067" s="28"/>
      <c r="AK1067" s="28"/>
      <c r="AL1067" s="28"/>
      <c r="AM1067" s="28"/>
      <c r="AN1067" s="28"/>
      <c r="AO1067" s="28"/>
      <c r="AP1067" s="28"/>
      <c r="AQ1067" s="28"/>
      <c r="AR1067" s="28"/>
      <c r="AS1067" s="28"/>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354"/>
      <c r="BO1067" s="354"/>
    </row>
    <row r="1068" ht="25.5" customHeight="1">
      <c r="A1068" s="28"/>
      <c r="B1068" s="38"/>
      <c r="C1068" s="38"/>
      <c r="D1068" s="38"/>
      <c r="E1068" s="38"/>
      <c r="F1068" s="38"/>
      <c r="G1068" s="38"/>
      <c r="H1068" s="38"/>
      <c r="I1068" s="38"/>
      <c r="J1068" s="38"/>
      <c r="K1068" s="38"/>
      <c r="L1068" s="38"/>
      <c r="M1068" s="38"/>
      <c r="N1068" s="40"/>
      <c r="O1068" s="38"/>
      <c r="P1068" s="38"/>
      <c r="Q1068" s="38"/>
      <c r="R1068" s="38"/>
      <c r="S1068" s="38"/>
      <c r="T1068" s="38"/>
      <c r="U1068" s="38"/>
      <c r="V1068" s="38"/>
      <c r="W1068" s="38"/>
      <c r="X1068" s="38"/>
      <c r="Y1068" s="38"/>
      <c r="Z1068" s="38"/>
      <c r="AA1068" s="38"/>
      <c r="AB1068" s="38"/>
      <c r="AC1068" s="38"/>
      <c r="AD1068" s="38"/>
      <c r="AE1068" s="28"/>
      <c r="AF1068" s="28"/>
      <c r="AG1068" s="28"/>
      <c r="AH1068" s="28"/>
      <c r="AI1068" s="28"/>
      <c r="AJ1068" s="28"/>
      <c r="AK1068" s="28"/>
      <c r="AL1068" s="28"/>
      <c r="AM1068" s="28"/>
      <c r="AN1068" s="28"/>
      <c r="AO1068" s="28"/>
      <c r="AP1068" s="28"/>
      <c r="AQ1068" s="28"/>
      <c r="AR1068" s="28"/>
      <c r="AS1068" s="28"/>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354"/>
      <c r="BO1068" s="354"/>
    </row>
    <row r="1069" ht="25.5" customHeight="1">
      <c r="A1069" s="28"/>
      <c r="B1069" s="38"/>
      <c r="C1069" s="38"/>
      <c r="D1069" s="38"/>
      <c r="E1069" s="38"/>
      <c r="F1069" s="38"/>
      <c r="G1069" s="38"/>
      <c r="H1069" s="38"/>
      <c r="I1069" s="38"/>
      <c r="J1069" s="38"/>
      <c r="K1069" s="38"/>
      <c r="L1069" s="38"/>
      <c r="M1069" s="38"/>
      <c r="N1069" s="40"/>
      <c r="O1069" s="38"/>
      <c r="P1069" s="38"/>
      <c r="Q1069" s="38"/>
      <c r="R1069" s="38"/>
      <c r="S1069" s="38"/>
      <c r="T1069" s="38"/>
      <c r="U1069" s="38"/>
      <c r="V1069" s="38"/>
      <c r="W1069" s="38"/>
      <c r="X1069" s="38"/>
      <c r="Y1069" s="38"/>
      <c r="Z1069" s="38"/>
      <c r="AA1069" s="38"/>
      <c r="AB1069" s="38"/>
      <c r="AC1069" s="38"/>
      <c r="AD1069" s="38"/>
      <c r="AE1069" s="28"/>
      <c r="AF1069" s="28"/>
      <c r="AG1069" s="28"/>
      <c r="AH1069" s="28"/>
      <c r="AI1069" s="28"/>
      <c r="AJ1069" s="28"/>
      <c r="AK1069" s="28"/>
      <c r="AL1069" s="28"/>
      <c r="AM1069" s="28"/>
      <c r="AN1069" s="28"/>
      <c r="AO1069" s="28"/>
      <c r="AP1069" s="28"/>
      <c r="AQ1069" s="28"/>
      <c r="AR1069" s="28"/>
      <c r="AS1069" s="28"/>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354"/>
      <c r="BO1069" s="354"/>
    </row>
    <row r="1070" ht="25.5" customHeight="1">
      <c r="A1070" s="28"/>
      <c r="B1070" s="38"/>
      <c r="C1070" s="38"/>
      <c r="D1070" s="38"/>
      <c r="E1070" s="38"/>
      <c r="F1070" s="38"/>
      <c r="G1070" s="38"/>
      <c r="H1070" s="38"/>
      <c r="I1070" s="38"/>
      <c r="J1070" s="38"/>
      <c r="K1070" s="38"/>
      <c r="L1070" s="38"/>
      <c r="M1070" s="38"/>
      <c r="N1070" s="40"/>
      <c r="O1070" s="38"/>
      <c r="P1070" s="38"/>
      <c r="Q1070" s="38"/>
      <c r="R1070" s="38"/>
      <c r="S1070" s="38"/>
      <c r="T1070" s="38"/>
      <c r="U1070" s="38"/>
      <c r="V1070" s="38"/>
      <c r="W1070" s="38"/>
      <c r="X1070" s="38"/>
      <c r="Y1070" s="38"/>
      <c r="Z1070" s="38"/>
      <c r="AA1070" s="38"/>
      <c r="AB1070" s="38"/>
      <c r="AC1070" s="38"/>
      <c r="AD1070" s="38"/>
      <c r="AE1070" s="28"/>
      <c r="AF1070" s="28"/>
      <c r="AG1070" s="28"/>
      <c r="AH1070" s="28"/>
      <c r="AI1070" s="28"/>
      <c r="AJ1070" s="28"/>
      <c r="AK1070" s="28"/>
      <c r="AL1070" s="28"/>
      <c r="AM1070" s="28"/>
      <c r="AN1070" s="28"/>
      <c r="AO1070" s="28"/>
      <c r="AP1070" s="28"/>
      <c r="AQ1070" s="28"/>
      <c r="AR1070" s="28"/>
      <c r="AS1070" s="28"/>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354"/>
      <c r="BO1070" s="354"/>
    </row>
    <row r="1071" ht="25.5" customHeight="1">
      <c r="A1071" s="28"/>
      <c r="B1071" s="38"/>
      <c r="C1071" s="38"/>
      <c r="D1071" s="38"/>
      <c r="E1071" s="38"/>
      <c r="F1071" s="38"/>
      <c r="G1071" s="38"/>
      <c r="H1071" s="38"/>
      <c r="I1071" s="38"/>
      <c r="J1071" s="38"/>
      <c r="K1071" s="38"/>
      <c r="L1071" s="38"/>
      <c r="M1071" s="38"/>
      <c r="N1071" s="40"/>
      <c r="O1071" s="38"/>
      <c r="P1071" s="38"/>
      <c r="Q1071" s="38"/>
      <c r="R1071" s="61"/>
      <c r="S1071" s="38"/>
      <c r="T1071" s="38"/>
      <c r="U1071" s="55"/>
      <c r="V1071" s="38"/>
      <c r="W1071" s="38"/>
      <c r="X1071" s="38"/>
      <c r="Y1071" s="38"/>
      <c r="Z1071" s="38"/>
      <c r="AA1071" s="38"/>
      <c r="AB1071" s="38"/>
      <c r="AC1071" s="38"/>
      <c r="AD1071" s="38"/>
      <c r="AE1071" s="28"/>
      <c r="AF1071" s="28"/>
      <c r="AG1071" s="28"/>
      <c r="AH1071" s="28"/>
      <c r="AI1071" s="28"/>
      <c r="AJ1071" s="28"/>
      <c r="AK1071" s="28"/>
      <c r="AL1071" s="28"/>
      <c r="AM1071" s="28"/>
      <c r="AN1071" s="28"/>
      <c r="AO1071" s="28"/>
      <c r="AP1071" s="28"/>
      <c r="AQ1071" s="28"/>
      <c r="AR1071" s="28"/>
      <c r="AS1071" s="28"/>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354"/>
      <c r="BO1071" s="354"/>
    </row>
  </sheetData>
  <autoFilter ref="$A$1:$BO$1038"/>
  <hyperlinks>
    <hyperlink r:id="rId2" ref="X6"/>
    <hyperlink r:id="rId3" ref="X10"/>
    <hyperlink r:id="rId4" ref="X12"/>
    <hyperlink r:id="rId5" ref="X17"/>
    <hyperlink r:id="rId6" ref="X18"/>
    <hyperlink r:id="rId7" ref="X19"/>
    <hyperlink r:id="rId8" ref="X26"/>
    <hyperlink r:id="rId9" ref="X28"/>
    <hyperlink r:id="rId10" ref="X35"/>
    <hyperlink r:id="rId11" ref="X36"/>
    <hyperlink r:id="rId12" ref="T37"/>
    <hyperlink r:id="rId13" ref="U37"/>
    <hyperlink r:id="rId14" ref="X39"/>
    <hyperlink r:id="rId15" ref="X40"/>
    <hyperlink r:id="rId16" ref="X44"/>
    <hyperlink r:id="rId17" ref="X45"/>
    <hyperlink r:id="rId18" ref="X47"/>
    <hyperlink r:id="rId19" ref="X53"/>
    <hyperlink r:id="rId20" ref="X54"/>
    <hyperlink r:id="rId21" ref="X57"/>
    <hyperlink r:id="rId22" ref="X60"/>
    <hyperlink r:id="rId23" ref="X61"/>
    <hyperlink r:id="rId24" ref="X62"/>
    <hyperlink r:id="rId25" ref="X63"/>
    <hyperlink r:id="rId26" ref="X66"/>
    <hyperlink r:id="rId27" ref="X70"/>
    <hyperlink r:id="rId28" ref="T73"/>
    <hyperlink r:id="rId29" ref="X73"/>
    <hyperlink r:id="rId30" ref="X77"/>
    <hyperlink r:id="rId31" ref="X78"/>
    <hyperlink r:id="rId32" ref="X79"/>
    <hyperlink r:id="rId33" ref="X81"/>
    <hyperlink r:id="rId34" ref="X82"/>
    <hyperlink r:id="rId35" ref="X86"/>
    <hyperlink r:id="rId36" ref="T87"/>
    <hyperlink r:id="rId37" ref="X87"/>
    <hyperlink r:id="rId38" ref="X88"/>
    <hyperlink r:id="rId39" ref="X89"/>
    <hyperlink r:id="rId40" ref="X90"/>
    <hyperlink r:id="rId41" ref="X91"/>
    <hyperlink r:id="rId42" ref="X92"/>
    <hyperlink r:id="rId43" ref="X93"/>
    <hyperlink r:id="rId44" ref="X94"/>
    <hyperlink r:id="rId45" ref="X95"/>
    <hyperlink r:id="rId46" location="bees" ref="X96"/>
    <hyperlink r:id="rId47" ref="X97"/>
    <hyperlink r:id="rId48" ref="X98"/>
    <hyperlink r:id="rId49" ref="X99"/>
    <hyperlink r:id="rId50" ref="X100"/>
    <hyperlink r:id="rId51" ref="X101"/>
    <hyperlink r:id="rId52" ref="X102"/>
    <hyperlink r:id="rId53" ref="X103"/>
    <hyperlink r:id="rId54" ref="X104"/>
    <hyperlink r:id="rId55" ref="X105"/>
    <hyperlink r:id="rId56" ref="AM105"/>
    <hyperlink r:id="rId57" ref="X106"/>
    <hyperlink r:id="rId58" ref="X107"/>
    <hyperlink r:id="rId59" ref="X108"/>
    <hyperlink r:id="rId60" ref="X109"/>
    <hyperlink r:id="rId61" ref="X110"/>
    <hyperlink r:id="rId62" ref="X111"/>
    <hyperlink r:id="rId63" ref="X112"/>
    <hyperlink r:id="rId64" ref="X113"/>
    <hyperlink r:id="rId65" ref="X114"/>
    <hyperlink r:id="rId66" ref="X116"/>
    <hyperlink r:id="rId67" ref="X117"/>
    <hyperlink r:id="rId68" ref="X118"/>
    <hyperlink r:id="rId69" ref="X120"/>
    <hyperlink r:id="rId70" ref="X122"/>
    <hyperlink r:id="rId71" ref="X123"/>
    <hyperlink r:id="rId72" ref="X124"/>
    <hyperlink r:id="rId73" ref="S126"/>
    <hyperlink r:id="rId74" ref="X129"/>
    <hyperlink r:id="rId75" ref="X130"/>
    <hyperlink r:id="rId76" ref="X131"/>
    <hyperlink r:id="rId77" ref="X132"/>
    <hyperlink r:id="rId78" ref="X133"/>
    <hyperlink r:id="rId79" ref="AP133"/>
    <hyperlink r:id="rId80" ref="X136"/>
    <hyperlink r:id="rId81" ref="X139"/>
    <hyperlink r:id="rId82" ref="X142"/>
    <hyperlink r:id="rId83" ref="X143"/>
    <hyperlink r:id="rId84" ref="X151"/>
    <hyperlink r:id="rId85" location=".VwQ4ofkrLIV" ref="X157"/>
    <hyperlink r:id="rId86" location=".VXm7rPlVhBc" ref="X158"/>
    <hyperlink r:id="rId87" ref="X159"/>
    <hyperlink r:id="rId88" ref="X164"/>
    <hyperlink r:id="rId89" ref="X165"/>
    <hyperlink r:id="rId90" ref="X166"/>
    <hyperlink r:id="rId91" ref="X168"/>
    <hyperlink r:id="rId92" ref="X169"/>
    <hyperlink r:id="rId93" ref="X170"/>
    <hyperlink r:id="rId94" ref="X171"/>
    <hyperlink r:id="rId95" ref="X172"/>
    <hyperlink r:id="rId96" ref="X173"/>
    <hyperlink r:id="rId97" ref="X174"/>
    <hyperlink r:id="rId98" ref="X175"/>
    <hyperlink r:id="rId99" ref="X176"/>
    <hyperlink r:id="rId100" ref="X177"/>
    <hyperlink r:id="rId101" ref="X178"/>
    <hyperlink r:id="rId102" ref="X179"/>
    <hyperlink r:id="rId103" ref="X180"/>
    <hyperlink r:id="rId104" ref="X181"/>
    <hyperlink r:id="rId105" ref="X182"/>
    <hyperlink r:id="rId106" ref="X183"/>
    <hyperlink r:id="rId107" ref="X184"/>
    <hyperlink r:id="rId108" ref="X185"/>
    <hyperlink r:id="rId109" ref="X186"/>
    <hyperlink r:id="rId110" ref="X187"/>
    <hyperlink r:id="rId111" ref="X188"/>
    <hyperlink r:id="rId112" ref="X189"/>
    <hyperlink r:id="rId113" ref="X190"/>
    <hyperlink r:id="rId114" ref="X191"/>
    <hyperlink r:id="rId115" ref="X192"/>
    <hyperlink r:id="rId116" ref="X193"/>
    <hyperlink r:id="rId117" ref="X194"/>
    <hyperlink r:id="rId118" ref="X196"/>
    <hyperlink r:id="rId119" ref="X198"/>
    <hyperlink r:id="rId120" ref="X201"/>
    <hyperlink r:id="rId121" ref="X205"/>
    <hyperlink r:id="rId122" ref="X206"/>
    <hyperlink r:id="rId123" ref="X207"/>
    <hyperlink r:id="rId124" ref="X211"/>
    <hyperlink r:id="rId125" ref="X216"/>
    <hyperlink r:id="rId126" ref="X220"/>
    <hyperlink r:id="rId127" ref="AP220"/>
    <hyperlink r:id="rId128" ref="X221"/>
    <hyperlink r:id="rId129" ref="X222"/>
    <hyperlink r:id="rId130" ref="X223"/>
    <hyperlink r:id="rId131" ref="X224"/>
    <hyperlink r:id="rId132" ref="X225"/>
    <hyperlink r:id="rId133" ref="X233"/>
    <hyperlink r:id="rId134" ref="X235"/>
    <hyperlink r:id="rId135" ref="X236"/>
    <hyperlink r:id="rId136" ref="X239"/>
    <hyperlink r:id="rId137" ref="X242"/>
    <hyperlink r:id="rId138" ref="X243"/>
    <hyperlink r:id="rId139" ref="X253"/>
    <hyperlink r:id="rId140" ref="X267"/>
    <hyperlink r:id="rId141" ref="X274"/>
    <hyperlink r:id="rId142" ref="X276"/>
    <hyperlink r:id="rId143" ref="X279"/>
    <hyperlink r:id="rId144" ref="X281"/>
    <hyperlink r:id="rId145" ref="X284"/>
    <hyperlink r:id="rId146" ref="X285"/>
    <hyperlink r:id="rId147" ref="X286"/>
    <hyperlink r:id="rId148" ref="X287"/>
    <hyperlink r:id="rId149" ref="T289"/>
    <hyperlink r:id="rId150" ref="X289"/>
    <hyperlink r:id="rId151" location="axzz3rh5c0Tt3" ref="X290"/>
    <hyperlink r:id="rId152" ref="X291"/>
    <hyperlink r:id="rId153" ref="X292"/>
    <hyperlink r:id="rId154" ref="X293"/>
    <hyperlink r:id="rId155" ref="X295"/>
    <hyperlink r:id="rId156" ref="X296"/>
    <hyperlink r:id="rId157" ref="X301"/>
    <hyperlink r:id="rId158" ref="X302"/>
    <hyperlink r:id="rId159" ref="X303"/>
    <hyperlink r:id="rId160" ref="X304"/>
    <hyperlink r:id="rId161" ref="X305"/>
    <hyperlink r:id="rId162" ref="X306"/>
    <hyperlink r:id="rId163" ref="X307"/>
    <hyperlink r:id="rId164" ref="X308"/>
    <hyperlink r:id="rId165" ref="X309"/>
    <hyperlink r:id="rId166" ref="X310"/>
    <hyperlink r:id="rId167" ref="X311"/>
    <hyperlink r:id="rId168" ref="X312"/>
    <hyperlink r:id="rId169" ref="X313"/>
    <hyperlink r:id="rId170" ref="X316"/>
    <hyperlink r:id="rId171" ref="X317"/>
    <hyperlink r:id="rId172" ref="T318"/>
    <hyperlink r:id="rId173" ref="U318"/>
    <hyperlink r:id="rId174" ref="S321"/>
    <hyperlink r:id="rId175" ref="X321"/>
    <hyperlink r:id="rId176" ref="X322"/>
    <hyperlink r:id="rId177" ref="X325"/>
    <hyperlink r:id="rId178" ref="X327"/>
    <hyperlink r:id="rId179" ref="X328"/>
    <hyperlink r:id="rId180" ref="X329"/>
    <hyperlink r:id="rId181" ref="X330"/>
    <hyperlink r:id="rId182" ref="X331"/>
    <hyperlink r:id="rId183" ref="X332"/>
    <hyperlink r:id="rId184" ref="X333"/>
    <hyperlink r:id="rId185" ref="X334"/>
    <hyperlink r:id="rId186" ref="X335"/>
    <hyperlink r:id="rId187" ref="AP335"/>
    <hyperlink r:id="rId188" ref="X336"/>
    <hyperlink r:id="rId189" ref="T337"/>
    <hyperlink r:id="rId190" ref="X337"/>
    <hyperlink r:id="rId191" ref="X338"/>
    <hyperlink r:id="rId192" ref="X339"/>
    <hyperlink r:id="rId193" ref="X340"/>
    <hyperlink r:id="rId194" ref="X341"/>
    <hyperlink r:id="rId195" ref="X342"/>
    <hyperlink r:id="rId196" ref="X343"/>
    <hyperlink r:id="rId197" ref="X344"/>
    <hyperlink r:id="rId198" ref="X345"/>
    <hyperlink r:id="rId199" ref="X346"/>
    <hyperlink r:id="rId200" ref="X347"/>
    <hyperlink r:id="rId201" ref="X349"/>
    <hyperlink r:id="rId202" ref="X355"/>
    <hyperlink r:id="rId203" ref="X356"/>
    <hyperlink r:id="rId204" ref="X357"/>
    <hyperlink r:id="rId205" ref="X358"/>
    <hyperlink r:id="rId206" ref="X368"/>
    <hyperlink r:id="rId207" ref="X369"/>
    <hyperlink r:id="rId208" ref="X376"/>
    <hyperlink r:id="rId209" ref="X378"/>
    <hyperlink r:id="rId210" ref="X379"/>
    <hyperlink r:id="rId211" ref="X380"/>
    <hyperlink r:id="rId212" ref="X383"/>
    <hyperlink r:id="rId213" ref="X385"/>
    <hyperlink r:id="rId214" ref="X387"/>
    <hyperlink r:id="rId215" ref="X388"/>
    <hyperlink r:id="rId216" ref="X393"/>
    <hyperlink r:id="rId217" ref="X394"/>
    <hyperlink r:id="rId218" ref="X395"/>
    <hyperlink r:id="rId219" ref="X396"/>
    <hyperlink r:id="rId220" ref="X397"/>
    <hyperlink r:id="rId221" ref="X398"/>
    <hyperlink r:id="rId222" ref="X405"/>
    <hyperlink r:id="rId223" ref="X407"/>
    <hyperlink r:id="rId224" ref="X415"/>
    <hyperlink r:id="rId225" ref="X432"/>
    <hyperlink r:id="rId226" ref="X440"/>
    <hyperlink r:id="rId227" ref="X442"/>
    <hyperlink r:id="rId228" ref="X449"/>
    <hyperlink r:id="rId229" ref="X454"/>
    <hyperlink r:id="rId230" ref="X463"/>
    <hyperlink r:id="rId231" ref="X475"/>
    <hyperlink r:id="rId232" ref="X476"/>
    <hyperlink r:id="rId233" ref="X479"/>
    <hyperlink r:id="rId234" ref="X486"/>
    <hyperlink r:id="rId235" ref="X495"/>
    <hyperlink r:id="rId236" ref="X498"/>
    <hyperlink r:id="rId237" ref="X500"/>
    <hyperlink r:id="rId238" ref="X503"/>
    <hyperlink r:id="rId239" ref="X509"/>
    <hyperlink r:id="rId240" ref="X510"/>
    <hyperlink r:id="rId241" ref="X518"/>
    <hyperlink r:id="rId242" ref="X522"/>
    <hyperlink r:id="rId243" ref="X525"/>
    <hyperlink r:id="rId244" ref="X526"/>
    <hyperlink r:id="rId245" ref="T527"/>
    <hyperlink r:id="rId246" ref="V527"/>
    <hyperlink r:id="rId247" ref="X527"/>
    <hyperlink r:id="rId248" ref="X528"/>
    <hyperlink r:id="rId249" ref="X529"/>
    <hyperlink r:id="rId250" ref="X530"/>
    <hyperlink r:id="rId251" ref="X531"/>
    <hyperlink r:id="rId252" ref="X532"/>
    <hyperlink r:id="rId253" ref="X533"/>
    <hyperlink r:id="rId254" ref="X534"/>
    <hyperlink r:id="rId255" ref="X535"/>
    <hyperlink r:id="rId256" ref="X537"/>
    <hyperlink r:id="rId257" ref="X538"/>
    <hyperlink r:id="rId258" ref="X539"/>
    <hyperlink r:id="rId259" ref="X540"/>
    <hyperlink r:id="rId260" ref="X541"/>
    <hyperlink r:id="rId261" ref="X542"/>
    <hyperlink r:id="rId262" ref="X543"/>
    <hyperlink r:id="rId263" ref="X544"/>
    <hyperlink r:id="rId264" ref="X545"/>
    <hyperlink r:id="rId265" ref="X548"/>
    <hyperlink r:id="rId266" ref="X550"/>
    <hyperlink r:id="rId267" ref="X551"/>
    <hyperlink r:id="rId268" ref="X552"/>
    <hyperlink r:id="rId269" ref="X554"/>
    <hyperlink r:id="rId270" ref="X555"/>
    <hyperlink r:id="rId271" ref="X556"/>
    <hyperlink r:id="rId272" ref="X559"/>
    <hyperlink r:id="rId273" ref="X560"/>
    <hyperlink r:id="rId274" ref="X562"/>
    <hyperlink r:id="rId275" ref="X564"/>
    <hyperlink r:id="rId276" ref="X565"/>
    <hyperlink r:id="rId277" ref="X566"/>
    <hyperlink r:id="rId278" ref="X567"/>
    <hyperlink r:id="rId279" ref="X575"/>
    <hyperlink r:id="rId280" ref="X576"/>
    <hyperlink r:id="rId281" ref="X577"/>
    <hyperlink r:id="rId282" ref="X578"/>
    <hyperlink r:id="rId283" ref="X579"/>
    <hyperlink r:id="rId284" ref="X580"/>
    <hyperlink r:id="rId285" ref="X581"/>
    <hyperlink r:id="rId286" ref="X582"/>
    <hyperlink r:id="rId287" ref="X583"/>
    <hyperlink r:id="rId288" ref="X585"/>
    <hyperlink r:id="rId289" ref="X586"/>
    <hyperlink r:id="rId290" ref="X587"/>
    <hyperlink r:id="rId291" ref="X588"/>
    <hyperlink r:id="rId292" ref="X589"/>
    <hyperlink r:id="rId293" ref="X590"/>
    <hyperlink r:id="rId294" ref="X591"/>
    <hyperlink r:id="rId295" ref="X593"/>
    <hyperlink r:id="rId296" ref="X594"/>
    <hyperlink r:id="rId297" ref="X595"/>
    <hyperlink r:id="rId298" ref="X596"/>
    <hyperlink r:id="rId299" ref="X597"/>
    <hyperlink r:id="rId300" ref="X598"/>
    <hyperlink r:id="rId301" ref="X599"/>
    <hyperlink r:id="rId302" ref="X600"/>
    <hyperlink r:id="rId303" ref="X601"/>
    <hyperlink r:id="rId304" ref="S603"/>
    <hyperlink r:id="rId305" ref="X603"/>
    <hyperlink r:id="rId306" ref="X606"/>
    <hyperlink r:id="rId307" ref="X607"/>
    <hyperlink r:id="rId308" ref="X608"/>
    <hyperlink r:id="rId309" ref="X612"/>
    <hyperlink r:id="rId310" ref="X613"/>
    <hyperlink r:id="rId311" ref="AP613"/>
    <hyperlink r:id="rId312" location=".naruae2of" ref="X614"/>
    <hyperlink r:id="rId313" ref="X615"/>
    <hyperlink r:id="rId314" ref="W616"/>
    <hyperlink r:id="rId315" ref="X616"/>
    <hyperlink r:id="rId316" ref="X617"/>
    <hyperlink r:id="rId317" ref="X624"/>
    <hyperlink r:id="rId318" ref="X626"/>
    <hyperlink r:id="rId319" ref="AP626"/>
    <hyperlink r:id="rId320" ref="X628"/>
    <hyperlink r:id="rId321" ref="T629"/>
    <hyperlink r:id="rId322" ref="X629"/>
    <hyperlink r:id="rId323" ref="X638"/>
    <hyperlink r:id="rId324" ref="X639"/>
    <hyperlink r:id="rId325" ref="X640"/>
    <hyperlink r:id="rId326" ref="X643"/>
    <hyperlink r:id="rId327" ref="X648"/>
    <hyperlink r:id="rId328" ref="X654"/>
    <hyperlink r:id="rId329" ref="X658"/>
    <hyperlink r:id="rId330" ref="X660"/>
    <hyperlink r:id="rId331" ref="S661"/>
    <hyperlink r:id="rId332" ref="X662"/>
    <hyperlink r:id="rId333" ref="X663"/>
    <hyperlink r:id="rId334" ref="X664"/>
    <hyperlink r:id="rId335" ref="X665"/>
    <hyperlink r:id="rId336" ref="X669"/>
    <hyperlink r:id="rId337" ref="X671"/>
    <hyperlink r:id="rId338" ref="X672"/>
    <hyperlink r:id="rId339" ref="X673"/>
    <hyperlink r:id="rId340" ref="X674"/>
    <hyperlink r:id="rId341" ref="X675"/>
    <hyperlink r:id="rId342" ref="X676"/>
    <hyperlink r:id="rId343" ref="X677"/>
    <hyperlink r:id="rId344" ref="X678"/>
    <hyperlink r:id="rId345" ref="X681"/>
    <hyperlink r:id="rId346" ref="X685"/>
    <hyperlink r:id="rId347" ref="X687"/>
    <hyperlink r:id="rId348" ref="X690"/>
    <hyperlink r:id="rId349" location=".V09S1fkrLIU" ref="X691"/>
    <hyperlink r:id="rId350" location=".V09TIvkrLIU" ref="X692"/>
    <hyperlink r:id="rId351" location=".V09TH_krLIU" ref="X693"/>
    <hyperlink r:id="rId352" location=".V09TKPkrLIU" ref="X694"/>
    <hyperlink r:id="rId353" location=".V090i_krLIU" ref="X695"/>
    <hyperlink r:id="rId354" location=".V09f__krLIU" ref="X696"/>
    <hyperlink r:id="rId355" location=".V09gBvkrLIU" ref="X697"/>
    <hyperlink r:id="rId356" ref="X698"/>
    <hyperlink r:id="rId357" ref="U699"/>
    <hyperlink r:id="rId358" ref="X704"/>
    <hyperlink r:id="rId359" ref="X708"/>
    <hyperlink r:id="rId360" ref="X710"/>
    <hyperlink r:id="rId361" ref="X711"/>
    <hyperlink r:id="rId362" ref="X714"/>
    <hyperlink r:id="rId363" ref="X715"/>
    <hyperlink r:id="rId364" ref="AP715"/>
    <hyperlink r:id="rId365" ref="X716"/>
    <hyperlink r:id="rId366" ref="X717"/>
    <hyperlink r:id="rId367" ref="X718"/>
    <hyperlink r:id="rId368" ref="X719"/>
    <hyperlink r:id="rId369" ref="X720"/>
    <hyperlink r:id="rId370" ref="X721"/>
    <hyperlink r:id="rId371" ref="X722"/>
    <hyperlink r:id="rId372" ref="X723"/>
    <hyperlink r:id="rId373" ref="X724"/>
    <hyperlink r:id="rId374" ref="X726"/>
    <hyperlink r:id="rId375" ref="X728"/>
    <hyperlink r:id="rId376" ref="X729"/>
    <hyperlink r:id="rId377" ref="X730"/>
    <hyperlink r:id="rId378" ref="X731"/>
    <hyperlink r:id="rId379" ref="X732"/>
    <hyperlink r:id="rId380" ref="X733"/>
    <hyperlink r:id="rId381" ref="X737"/>
    <hyperlink r:id="rId382" ref="X740"/>
    <hyperlink r:id="rId383" ref="X741"/>
    <hyperlink r:id="rId384" ref="X742"/>
    <hyperlink r:id="rId385" ref="X744"/>
    <hyperlink r:id="rId386" ref="X745"/>
    <hyperlink r:id="rId387" ref="X749"/>
    <hyperlink r:id="rId388" ref="X750"/>
    <hyperlink r:id="rId389" ref="X751"/>
    <hyperlink r:id="rId390" ref="X752"/>
    <hyperlink r:id="rId391" ref="X753"/>
    <hyperlink r:id="rId392" ref="X755"/>
    <hyperlink r:id="rId393" ref="X756"/>
    <hyperlink r:id="rId394" ref="X757"/>
    <hyperlink r:id="rId395" ref="X758"/>
    <hyperlink r:id="rId396" ref="X759"/>
    <hyperlink r:id="rId397" ref="X760"/>
    <hyperlink r:id="rId398" ref="X761"/>
    <hyperlink r:id="rId399" ref="X762"/>
    <hyperlink r:id="rId400" ref="X764"/>
    <hyperlink r:id="rId401" ref="X768"/>
    <hyperlink r:id="rId402" ref="X769"/>
    <hyperlink r:id="rId403" ref="X770"/>
    <hyperlink r:id="rId404" ref="X772"/>
    <hyperlink r:id="rId405" ref="X773"/>
    <hyperlink r:id="rId406" ref="X774"/>
    <hyperlink r:id="rId407" ref="X775"/>
    <hyperlink r:id="rId408" ref="T776"/>
    <hyperlink r:id="rId409" ref="X777"/>
    <hyperlink r:id="rId410" ref="X779"/>
    <hyperlink r:id="rId411" ref="X780"/>
    <hyperlink r:id="rId412" ref="AP780"/>
    <hyperlink r:id="rId413" ref="X781"/>
    <hyperlink r:id="rId414" ref="X782"/>
    <hyperlink r:id="rId415" ref="X783"/>
    <hyperlink r:id="rId416" ref="X784"/>
    <hyperlink r:id="rId417" ref="X785"/>
    <hyperlink r:id="rId418" ref="X786"/>
    <hyperlink r:id="rId419" ref="X787"/>
    <hyperlink r:id="rId420" ref="X788"/>
    <hyperlink r:id="rId421" ref="X789"/>
    <hyperlink r:id="rId422" ref="X790"/>
    <hyperlink r:id="rId423" ref="X791"/>
    <hyperlink r:id="rId424" ref="X792"/>
    <hyperlink r:id="rId425" ref="X793"/>
    <hyperlink r:id="rId426" ref="X794"/>
    <hyperlink r:id="rId427" ref="X795"/>
    <hyperlink r:id="rId428" ref="X796"/>
    <hyperlink r:id="rId429" ref="X797"/>
    <hyperlink r:id="rId430" ref="X798"/>
    <hyperlink r:id="rId431" ref="X799"/>
    <hyperlink r:id="rId432" ref="X800"/>
    <hyperlink r:id="rId433" ref="X801"/>
    <hyperlink r:id="rId434" ref="X802"/>
    <hyperlink r:id="rId435" ref="X803"/>
    <hyperlink r:id="rId436" ref="X804"/>
    <hyperlink r:id="rId437" ref="X805"/>
    <hyperlink r:id="rId438" ref="X806"/>
    <hyperlink r:id="rId439" ref="X807"/>
    <hyperlink r:id="rId440" ref="X808"/>
    <hyperlink r:id="rId441" ref="AP808"/>
    <hyperlink r:id="rId442" ref="X809"/>
    <hyperlink r:id="rId443" ref="X810"/>
    <hyperlink r:id="rId444" ref="X811"/>
    <hyperlink r:id="rId445" ref="X812"/>
    <hyperlink r:id="rId446" ref="X813"/>
    <hyperlink r:id="rId447" ref="X814"/>
    <hyperlink r:id="rId448" ref="X815"/>
    <hyperlink r:id="rId449" ref="X816"/>
    <hyperlink r:id="rId450" ref="X817"/>
    <hyperlink r:id="rId451" ref="X818"/>
    <hyperlink r:id="rId452" ref="X819"/>
    <hyperlink r:id="rId453" ref="X820"/>
    <hyperlink r:id="rId454" ref="X821"/>
    <hyperlink r:id="rId455" ref="X822"/>
    <hyperlink r:id="rId456" ref="X823"/>
    <hyperlink r:id="rId457" ref="X830"/>
    <hyperlink r:id="rId458" ref="X831"/>
    <hyperlink r:id="rId459" ref="X832"/>
    <hyperlink r:id="rId460" ref="X833"/>
    <hyperlink r:id="rId461" ref="X834"/>
    <hyperlink r:id="rId462" ref="X835"/>
    <hyperlink r:id="rId463" ref="X836"/>
    <hyperlink r:id="rId464" ref="X837"/>
    <hyperlink r:id="rId465" ref="X838"/>
    <hyperlink r:id="rId466" ref="X839"/>
    <hyperlink r:id="rId467" ref="X840"/>
    <hyperlink r:id="rId468" ref="X841"/>
    <hyperlink r:id="rId469" ref="X842"/>
    <hyperlink r:id="rId470" ref="X843"/>
    <hyperlink r:id="rId471" ref="X844"/>
    <hyperlink r:id="rId472" ref="X845"/>
    <hyperlink r:id="rId473" ref="X846"/>
    <hyperlink r:id="rId474" ref="X847"/>
    <hyperlink r:id="rId475" ref="X848"/>
    <hyperlink r:id="rId476" ref="X849"/>
    <hyperlink r:id="rId477" ref="X850"/>
    <hyperlink r:id="rId478" location=".VdLqKzZRHIV" ref="X853"/>
    <hyperlink r:id="rId479" ref="X854"/>
    <hyperlink r:id="rId480" ref="X855"/>
    <hyperlink r:id="rId481" ref="AP855"/>
    <hyperlink r:id="rId482" ref="X856"/>
    <hyperlink r:id="rId483" ref="X857"/>
    <hyperlink r:id="rId484" ref="AP857"/>
    <hyperlink r:id="rId485" ref="X858"/>
    <hyperlink r:id="rId486" ref="X859"/>
    <hyperlink r:id="rId487" ref="X860"/>
    <hyperlink r:id="rId488" ref="X861"/>
    <hyperlink r:id="rId489" ref="X862"/>
    <hyperlink r:id="rId490" ref="X863"/>
    <hyperlink r:id="rId491" ref="X864"/>
    <hyperlink r:id="rId492" ref="X865"/>
    <hyperlink r:id="rId493" ref="X866"/>
    <hyperlink r:id="rId494" ref="X867"/>
    <hyperlink r:id="rId495" ref="X868"/>
    <hyperlink r:id="rId496" ref="X870"/>
    <hyperlink r:id="rId497" ref="X871"/>
    <hyperlink r:id="rId498" ref="X872"/>
    <hyperlink r:id="rId499" ref="X873"/>
    <hyperlink r:id="rId500" ref="X874"/>
    <hyperlink r:id="rId501" ref="X875"/>
    <hyperlink r:id="rId502" ref="X876"/>
    <hyperlink r:id="rId503" ref="X877"/>
    <hyperlink r:id="rId504" ref="X878"/>
    <hyperlink r:id="rId505" ref="X880"/>
    <hyperlink r:id="rId506" ref="X881"/>
    <hyperlink r:id="rId507" ref="X882"/>
    <hyperlink r:id="rId508" ref="X883"/>
    <hyperlink r:id="rId509" ref="X884"/>
    <hyperlink r:id="rId510" ref="X886"/>
    <hyperlink r:id="rId511" ref="X887"/>
    <hyperlink r:id="rId512" ref="X888"/>
    <hyperlink r:id="rId513" ref="X889"/>
    <hyperlink r:id="rId514" ref="X890"/>
    <hyperlink r:id="rId515" ref="X893"/>
    <hyperlink r:id="rId516" ref="X894"/>
    <hyperlink r:id="rId517" ref="X896"/>
    <hyperlink r:id="rId518" ref="X897"/>
    <hyperlink r:id="rId519" ref="X899"/>
    <hyperlink r:id="rId520" ref="X900"/>
    <hyperlink r:id="rId521" ref="X901"/>
    <hyperlink r:id="rId522" ref="X902"/>
    <hyperlink r:id="rId523" ref="X903"/>
    <hyperlink r:id="rId524" ref="X905"/>
    <hyperlink r:id="rId525" ref="X906"/>
    <hyperlink r:id="rId526" ref="X910"/>
    <hyperlink r:id="rId527" ref="X911"/>
    <hyperlink r:id="rId528" ref="X912"/>
    <hyperlink r:id="rId529" ref="X913"/>
    <hyperlink r:id="rId530" ref="X915"/>
    <hyperlink r:id="rId531" ref="X916"/>
    <hyperlink r:id="rId532" ref="X917"/>
    <hyperlink r:id="rId533" ref="X922"/>
    <hyperlink r:id="rId534" ref="AP922"/>
    <hyperlink r:id="rId535" ref="X923"/>
    <hyperlink r:id="rId536" ref="X926"/>
    <hyperlink r:id="rId537" ref="X927"/>
    <hyperlink r:id="rId538" ref="X931"/>
    <hyperlink r:id="rId539" ref="X932"/>
    <hyperlink r:id="rId540" ref="X933"/>
    <hyperlink r:id="rId541" ref="X934"/>
    <hyperlink r:id="rId542" ref="X935"/>
    <hyperlink r:id="rId543" location=".VZBXRFJMUZx" ref="X936"/>
    <hyperlink r:id="rId544" ref="X938"/>
    <hyperlink r:id="rId545" ref="X939"/>
    <hyperlink r:id="rId546" ref="X940"/>
    <hyperlink r:id="rId547" ref="X941"/>
    <hyperlink r:id="rId548" ref="X942"/>
    <hyperlink r:id="rId549" ref="X944"/>
    <hyperlink r:id="rId550" ref="X946"/>
    <hyperlink r:id="rId551" ref="X948"/>
    <hyperlink r:id="rId552" ref="X949"/>
    <hyperlink r:id="rId553" ref="X953"/>
    <hyperlink r:id="rId554" ref="X954"/>
    <hyperlink r:id="rId555" ref="X955"/>
    <hyperlink r:id="rId556" ref="X956"/>
    <hyperlink r:id="rId557" ref="AM956"/>
    <hyperlink r:id="rId558" ref="T958"/>
    <hyperlink r:id="rId559" ref="X958"/>
    <hyperlink r:id="rId560" ref="X959"/>
    <hyperlink r:id="rId561" ref="X961"/>
    <hyperlink r:id="rId562" ref="X964"/>
    <hyperlink r:id="rId563" ref="X965"/>
    <hyperlink r:id="rId564" ref="X968"/>
    <hyperlink r:id="rId565" ref="X969"/>
    <hyperlink r:id="rId566" ref="X970"/>
    <hyperlink r:id="rId567" ref="AP970"/>
    <hyperlink r:id="rId568" ref="X971"/>
    <hyperlink r:id="rId569" ref="X972"/>
    <hyperlink r:id="rId570" ref="X973"/>
    <hyperlink r:id="rId571" ref="X974"/>
    <hyperlink r:id="rId572" ref="AP974"/>
  </hyperlinks>
  <drawing r:id="rId573"/>
  <legacyDrawing r:id="rId57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1" width="10.78"/>
    <col customWidth="1" min="2" max="2" width="18.11"/>
    <col customWidth="1" min="3" max="3" width="16.78"/>
    <col customWidth="1" min="4" max="4" width="14.44"/>
    <col customWidth="1" min="5" max="5" width="17.11"/>
    <col customWidth="1" min="6" max="6" width="10.78"/>
    <col customWidth="1" min="7" max="7" width="27.22"/>
    <col customWidth="1" min="8" max="8" width="10.78"/>
    <col customWidth="1" min="9" max="9" width="21.0"/>
    <col customWidth="1" min="10" max="10" width="13.89"/>
    <col customWidth="1" min="11" max="11" width="10.56"/>
    <col customWidth="1" min="12" max="12" width="21.89"/>
    <col customWidth="1" min="13" max="13" width="10.56"/>
    <col customWidth="1" min="14" max="14" width="24.44"/>
    <col customWidth="1" min="15" max="24" width="10.56"/>
  </cols>
  <sheetData>
    <row r="1" ht="12.75" customHeight="1">
      <c r="A1" s="1" t="s">
        <v>0</v>
      </c>
      <c r="B1" s="2"/>
      <c r="C1" s="1" t="s">
        <v>3</v>
      </c>
      <c r="D1" s="2"/>
      <c r="E1" s="2"/>
      <c r="F1" s="1" t="s">
        <v>4</v>
      </c>
      <c r="G1" s="2"/>
      <c r="H1" s="1" t="s">
        <v>5</v>
      </c>
      <c r="I1" s="6"/>
      <c r="J1" s="2"/>
      <c r="K1" s="1" t="s">
        <v>11</v>
      </c>
      <c r="L1" s="2"/>
      <c r="M1" s="1" t="s">
        <v>12</v>
      </c>
      <c r="N1" s="2"/>
      <c r="O1" s="8" t="s">
        <v>13</v>
      </c>
      <c r="P1" s="2"/>
      <c r="Q1" s="2"/>
      <c r="R1" s="2"/>
      <c r="S1" s="2"/>
      <c r="T1" s="2"/>
      <c r="U1" s="2"/>
      <c r="V1" s="2"/>
      <c r="W1" s="2"/>
      <c r="X1" s="2"/>
    </row>
    <row r="2" ht="12.75" customHeight="1">
      <c r="A2" s="13" t="s">
        <v>16</v>
      </c>
      <c r="B2" s="13" t="s">
        <v>31</v>
      </c>
      <c r="C2" s="13" t="s">
        <v>16</v>
      </c>
      <c r="D2" s="13" t="s">
        <v>31</v>
      </c>
      <c r="E2" s="13" t="s">
        <v>32</v>
      </c>
      <c r="F2" s="13" t="s">
        <v>16</v>
      </c>
      <c r="G2" s="13" t="s">
        <v>31</v>
      </c>
      <c r="H2" s="13" t="s">
        <v>16</v>
      </c>
      <c r="I2" s="13" t="s">
        <v>31</v>
      </c>
      <c r="J2" s="13" t="s">
        <v>33</v>
      </c>
      <c r="K2" s="13" t="s">
        <v>16</v>
      </c>
      <c r="L2" s="13" t="s">
        <v>31</v>
      </c>
      <c r="M2" s="13" t="s">
        <v>16</v>
      </c>
      <c r="N2" s="13" t="s">
        <v>31</v>
      </c>
      <c r="O2" s="13" t="s">
        <v>16</v>
      </c>
      <c r="P2" s="13" t="s">
        <v>31</v>
      </c>
      <c r="Q2" s="2"/>
      <c r="R2" s="2"/>
      <c r="S2" s="2"/>
      <c r="T2" s="2"/>
      <c r="U2" s="2"/>
      <c r="V2" s="2"/>
      <c r="W2" s="2"/>
      <c r="X2" s="2"/>
    </row>
    <row r="3" ht="12.75" customHeight="1">
      <c r="A3" s="15">
        <v>2000.0</v>
      </c>
      <c r="B3" s="17" t="s">
        <v>35</v>
      </c>
      <c r="C3" s="2">
        <v>2001.0</v>
      </c>
      <c r="D3" s="2" t="s">
        <v>38</v>
      </c>
      <c r="E3" s="25">
        <v>2000.0</v>
      </c>
      <c r="F3" s="2">
        <v>1.0</v>
      </c>
      <c r="G3" s="2" t="s">
        <v>97</v>
      </c>
      <c r="H3" s="2">
        <v>100.0</v>
      </c>
      <c r="I3" s="31" t="s">
        <v>98</v>
      </c>
      <c r="J3" s="25">
        <v>1.0</v>
      </c>
      <c r="K3" s="2">
        <v>40.0</v>
      </c>
      <c r="L3" s="2" t="s">
        <v>104</v>
      </c>
      <c r="M3" s="2">
        <v>50.0</v>
      </c>
      <c r="N3" s="6" t="s">
        <v>105</v>
      </c>
      <c r="O3" s="15">
        <v>80.0</v>
      </c>
      <c r="P3" s="2" t="s">
        <v>106</v>
      </c>
      <c r="Q3" s="2"/>
      <c r="R3" s="2"/>
      <c r="S3" s="2"/>
      <c r="T3" s="2"/>
      <c r="U3" s="2"/>
      <c r="V3" s="2"/>
      <c r="W3" s="2"/>
      <c r="X3" s="2"/>
    </row>
    <row r="4" ht="12.75" customHeight="1">
      <c r="A4" s="15">
        <v>3000.0</v>
      </c>
      <c r="B4" s="17" t="s">
        <v>107</v>
      </c>
      <c r="C4" s="2">
        <v>2002.0</v>
      </c>
      <c r="D4" s="2" t="s">
        <v>108</v>
      </c>
      <c r="E4" s="25">
        <v>2000.0</v>
      </c>
      <c r="F4" s="2">
        <v>2.0</v>
      </c>
      <c r="G4" s="2" t="s">
        <v>109</v>
      </c>
      <c r="H4" s="2">
        <v>101.0</v>
      </c>
      <c r="I4" s="31" t="s">
        <v>110</v>
      </c>
      <c r="J4" s="25">
        <v>1.0</v>
      </c>
      <c r="K4" s="2">
        <v>41.0</v>
      </c>
      <c r="L4" s="2" t="s">
        <v>111</v>
      </c>
      <c r="M4" s="2">
        <v>51.0</v>
      </c>
      <c r="N4" s="6" t="s">
        <v>112</v>
      </c>
      <c r="O4" s="39">
        <v>81.0</v>
      </c>
      <c r="P4" s="2" t="s">
        <v>238</v>
      </c>
      <c r="Q4" s="2"/>
      <c r="R4" s="2"/>
      <c r="S4" s="2"/>
      <c r="T4" s="2"/>
      <c r="U4" s="2"/>
      <c r="V4" s="2"/>
      <c r="W4" s="2"/>
      <c r="X4" s="2"/>
    </row>
    <row r="5" ht="12.75" customHeight="1">
      <c r="A5" s="2">
        <v>4000.0</v>
      </c>
      <c r="B5" s="41" t="s">
        <v>239</v>
      </c>
      <c r="C5" s="2">
        <v>2003.0</v>
      </c>
      <c r="D5" s="2" t="s">
        <v>268</v>
      </c>
      <c r="E5" s="25">
        <v>2000.0</v>
      </c>
      <c r="F5" s="2">
        <v>3.0</v>
      </c>
      <c r="G5" s="2" t="s">
        <v>271</v>
      </c>
      <c r="H5" s="2">
        <v>102.0</v>
      </c>
      <c r="I5" s="31" t="s">
        <v>204</v>
      </c>
      <c r="J5" s="25">
        <v>1.0</v>
      </c>
      <c r="K5" s="2">
        <v>42.0</v>
      </c>
      <c r="L5" s="2" t="s">
        <v>272</v>
      </c>
      <c r="M5" s="2">
        <v>52.0</v>
      </c>
      <c r="N5" s="6" t="s">
        <v>273</v>
      </c>
      <c r="O5" s="39">
        <v>82.0</v>
      </c>
      <c r="P5" s="2" t="s">
        <v>274</v>
      </c>
      <c r="Q5" s="2"/>
      <c r="R5" s="2"/>
      <c r="S5" s="2"/>
      <c r="T5" s="2"/>
      <c r="U5" s="2"/>
      <c r="V5" s="2"/>
      <c r="W5" s="2"/>
      <c r="X5" s="2"/>
    </row>
    <row r="6" ht="12.75" customHeight="1">
      <c r="A6" s="2">
        <v>5000.0</v>
      </c>
      <c r="B6" s="41" t="s">
        <v>276</v>
      </c>
      <c r="C6" s="2">
        <v>2004.0</v>
      </c>
      <c r="D6" s="2" t="s">
        <v>277</v>
      </c>
      <c r="E6" s="25">
        <v>2000.0</v>
      </c>
      <c r="F6" s="2">
        <v>4.0</v>
      </c>
      <c r="G6" s="2" t="s">
        <v>279</v>
      </c>
      <c r="H6" s="2">
        <v>103.0</v>
      </c>
      <c r="I6" s="31" t="s">
        <v>281</v>
      </c>
      <c r="J6" s="25">
        <v>1.0</v>
      </c>
      <c r="K6" s="2">
        <v>43.0</v>
      </c>
      <c r="L6" s="2" t="s">
        <v>283</v>
      </c>
      <c r="M6" s="2">
        <v>53.0</v>
      </c>
      <c r="N6" s="6" t="s">
        <v>284</v>
      </c>
      <c r="O6" s="15">
        <v>83.0</v>
      </c>
      <c r="P6" s="2" t="s">
        <v>287</v>
      </c>
      <c r="Q6" s="2"/>
      <c r="R6" s="2"/>
      <c r="S6" s="2"/>
      <c r="T6" s="2"/>
      <c r="U6" s="2"/>
      <c r="V6" s="2"/>
      <c r="W6" s="2"/>
      <c r="X6" s="2"/>
    </row>
    <row r="7" ht="12.75" customHeight="1">
      <c r="A7" s="2">
        <v>6000.0</v>
      </c>
      <c r="B7" s="41" t="s">
        <v>290</v>
      </c>
      <c r="C7" s="2">
        <v>2005.0</v>
      </c>
      <c r="D7" s="2" t="s">
        <v>293</v>
      </c>
      <c r="E7" s="25">
        <v>2000.0</v>
      </c>
      <c r="F7" s="2">
        <v>5.0</v>
      </c>
      <c r="G7" s="2" t="s">
        <v>295</v>
      </c>
      <c r="H7" s="2">
        <v>104.0</v>
      </c>
      <c r="I7" s="31" t="s">
        <v>297</v>
      </c>
      <c r="J7" s="25">
        <v>1.0</v>
      </c>
      <c r="K7" s="2">
        <v>44.0</v>
      </c>
      <c r="L7" s="2" t="s">
        <v>298</v>
      </c>
      <c r="M7" s="2">
        <v>54.0</v>
      </c>
      <c r="N7" s="6" t="s">
        <v>299</v>
      </c>
      <c r="O7" s="43">
        <v>84.0</v>
      </c>
      <c r="P7" s="2" t="s">
        <v>318</v>
      </c>
      <c r="Q7" s="2"/>
      <c r="R7" s="2"/>
      <c r="S7" s="2"/>
      <c r="T7" s="2"/>
      <c r="U7" s="2"/>
      <c r="V7" s="2"/>
      <c r="W7" s="2"/>
      <c r="X7" s="2"/>
    </row>
    <row r="8" ht="12.75" customHeight="1">
      <c r="A8" s="2">
        <v>7000.0</v>
      </c>
      <c r="B8" s="41" t="s">
        <v>321</v>
      </c>
      <c r="C8" s="2">
        <v>2006.0</v>
      </c>
      <c r="D8" s="2" t="s">
        <v>323</v>
      </c>
      <c r="E8" s="25">
        <v>2000.0</v>
      </c>
      <c r="F8" s="2">
        <v>6.0</v>
      </c>
      <c r="G8" s="2" t="s">
        <v>326</v>
      </c>
      <c r="H8" s="2">
        <v>105.0</v>
      </c>
      <c r="I8" s="31" t="s">
        <v>219</v>
      </c>
      <c r="J8" s="25">
        <v>1.0</v>
      </c>
      <c r="K8" s="2">
        <v>45.0</v>
      </c>
      <c r="L8" s="2" t="s">
        <v>331</v>
      </c>
      <c r="M8" s="2">
        <v>55.0</v>
      </c>
      <c r="N8" s="6" t="s">
        <v>332</v>
      </c>
      <c r="O8" s="2"/>
      <c r="P8" s="2"/>
      <c r="Q8" s="2"/>
      <c r="R8" s="2"/>
      <c r="S8" s="2"/>
      <c r="T8" s="2"/>
      <c r="U8" s="2"/>
      <c r="V8" s="2"/>
      <c r="W8" s="2"/>
      <c r="X8" s="2"/>
    </row>
    <row r="9" ht="12.75" customHeight="1">
      <c r="A9" s="2">
        <v>8000.0</v>
      </c>
      <c r="B9" s="41" t="s">
        <v>335</v>
      </c>
      <c r="C9" s="2">
        <v>3001.0</v>
      </c>
      <c r="D9" s="2" t="s">
        <v>337</v>
      </c>
      <c r="E9" s="25">
        <v>3000.0</v>
      </c>
      <c r="F9" s="2">
        <v>7.0</v>
      </c>
      <c r="G9" s="2" t="s">
        <v>338</v>
      </c>
      <c r="H9" s="2">
        <v>106.0</v>
      </c>
      <c r="I9" s="44" t="s">
        <v>339</v>
      </c>
      <c r="J9" s="25">
        <v>1.0</v>
      </c>
      <c r="K9" s="2"/>
      <c r="L9" s="2"/>
      <c r="M9" s="2">
        <v>56.0</v>
      </c>
      <c r="N9" s="6" t="s">
        <v>347</v>
      </c>
      <c r="O9" s="2"/>
      <c r="P9" s="2"/>
      <c r="Q9" s="2"/>
      <c r="R9" s="2"/>
      <c r="S9" s="2"/>
      <c r="T9" s="2"/>
      <c r="U9" s="2"/>
      <c r="V9" s="2"/>
      <c r="W9" s="2"/>
      <c r="X9" s="2"/>
    </row>
    <row r="10" ht="12.75" customHeight="1">
      <c r="A10" s="2">
        <v>9000.0</v>
      </c>
      <c r="B10" s="41" t="s">
        <v>349</v>
      </c>
      <c r="C10" s="2"/>
      <c r="F10" s="2">
        <v>8.0</v>
      </c>
      <c r="G10" s="2" t="s">
        <v>351</v>
      </c>
      <c r="H10" s="2">
        <v>107.0</v>
      </c>
      <c r="I10" s="31" t="s">
        <v>353</v>
      </c>
      <c r="J10" s="25">
        <v>1.0</v>
      </c>
      <c r="M10" s="2">
        <v>57.0</v>
      </c>
      <c r="N10" s="6" t="s">
        <v>355</v>
      </c>
      <c r="O10" s="2"/>
      <c r="P10" s="2"/>
      <c r="Q10" s="2"/>
      <c r="R10" s="2"/>
      <c r="S10" s="2"/>
      <c r="T10" s="2"/>
      <c r="U10" s="2"/>
      <c r="V10" s="2"/>
      <c r="W10" s="2"/>
      <c r="X10" s="2"/>
    </row>
    <row r="11" ht="12.75" customHeight="1">
      <c r="A11" s="2">
        <v>10000.0</v>
      </c>
      <c r="B11" s="41" t="s">
        <v>359</v>
      </c>
      <c r="C11" s="2"/>
      <c r="F11" s="2">
        <v>9.0</v>
      </c>
      <c r="G11" s="2" t="s">
        <v>360</v>
      </c>
      <c r="H11" s="2">
        <v>200.0</v>
      </c>
      <c r="I11" s="31" t="s">
        <v>362</v>
      </c>
      <c r="J11" s="25">
        <v>2.0</v>
      </c>
      <c r="M11" s="2">
        <v>58.0</v>
      </c>
      <c r="N11" s="6" t="s">
        <v>363</v>
      </c>
      <c r="O11" s="2"/>
      <c r="P11" s="2"/>
      <c r="Q11" s="2"/>
      <c r="R11" s="2"/>
      <c r="S11" s="2"/>
      <c r="T11" s="2"/>
      <c r="U11" s="2"/>
      <c r="V11" s="2"/>
      <c r="W11" s="2"/>
      <c r="X11" s="2"/>
    </row>
    <row r="12" ht="12.75" customHeight="1">
      <c r="A12" s="2">
        <v>11000.0</v>
      </c>
      <c r="B12" s="41" t="s">
        <v>367</v>
      </c>
      <c r="C12" s="2"/>
      <c r="F12" s="2">
        <v>10.0</v>
      </c>
      <c r="G12" s="2" t="s">
        <v>370</v>
      </c>
      <c r="H12" s="2">
        <v>201.0</v>
      </c>
      <c r="I12" s="31" t="s">
        <v>371</v>
      </c>
      <c r="J12" s="25">
        <v>2.0</v>
      </c>
      <c r="M12" s="2">
        <v>59.0</v>
      </c>
      <c r="N12" s="6" t="s">
        <v>373</v>
      </c>
      <c r="O12" s="2"/>
      <c r="P12" s="2"/>
      <c r="Q12" s="2"/>
      <c r="R12" s="2"/>
      <c r="S12" s="2"/>
      <c r="T12" s="2"/>
      <c r="U12" s="2"/>
      <c r="V12" s="2"/>
      <c r="W12" s="2"/>
      <c r="X12" s="2"/>
    </row>
    <row r="13" ht="12.75" customHeight="1">
      <c r="A13" s="2">
        <v>12000.0</v>
      </c>
      <c r="B13" s="41" t="s">
        <v>377</v>
      </c>
      <c r="C13" s="2"/>
      <c r="F13" s="2">
        <v>11.0</v>
      </c>
      <c r="G13" s="2" t="s">
        <v>323</v>
      </c>
      <c r="H13" s="2">
        <v>202.0</v>
      </c>
      <c r="I13" s="31" t="s">
        <v>379</v>
      </c>
      <c r="J13" s="25">
        <v>2.0</v>
      </c>
      <c r="M13" s="2">
        <v>60.0</v>
      </c>
      <c r="N13" s="6" t="s">
        <v>381</v>
      </c>
      <c r="O13" s="2"/>
      <c r="P13" s="2"/>
      <c r="Q13" s="2"/>
      <c r="R13" s="2"/>
      <c r="S13" s="2"/>
      <c r="T13" s="2"/>
      <c r="U13" s="2"/>
      <c r="V13" s="2"/>
      <c r="W13" s="2"/>
      <c r="X13" s="2"/>
    </row>
    <row r="14" ht="12.75" customHeight="1">
      <c r="A14" s="2">
        <v>13000.0</v>
      </c>
      <c r="B14" s="41" t="s">
        <v>383</v>
      </c>
      <c r="C14" s="2"/>
      <c r="F14" s="2"/>
      <c r="G14" s="6"/>
      <c r="H14" s="2">
        <v>203.0</v>
      </c>
      <c r="I14" s="44" t="s">
        <v>385</v>
      </c>
      <c r="J14" s="25">
        <v>2.0</v>
      </c>
      <c r="M14" s="2">
        <v>61.0</v>
      </c>
      <c r="N14" s="6" t="s">
        <v>386</v>
      </c>
      <c r="O14" s="2"/>
      <c r="P14" s="2"/>
      <c r="Q14" s="2"/>
      <c r="R14" s="2"/>
      <c r="S14" s="2"/>
      <c r="T14" s="2"/>
      <c r="U14" s="2"/>
      <c r="V14" s="2"/>
      <c r="W14" s="2"/>
      <c r="X14" s="2"/>
    </row>
    <row r="15" ht="12.75" customHeight="1">
      <c r="A15" s="2">
        <v>14000.0</v>
      </c>
      <c r="B15" s="41" t="s">
        <v>388</v>
      </c>
      <c r="C15" s="2"/>
      <c r="H15" s="2">
        <v>204.0</v>
      </c>
      <c r="I15" s="31" t="s">
        <v>390</v>
      </c>
      <c r="J15" s="25">
        <v>2.0</v>
      </c>
      <c r="M15" s="2">
        <v>62.0</v>
      </c>
      <c r="N15" s="6" t="s">
        <v>391</v>
      </c>
      <c r="O15" s="2"/>
      <c r="P15" s="2"/>
      <c r="Q15" s="2"/>
      <c r="R15" s="2"/>
      <c r="S15" s="2"/>
      <c r="T15" s="2"/>
      <c r="U15" s="2"/>
      <c r="V15" s="2"/>
      <c r="W15" s="2"/>
      <c r="X15" s="2"/>
    </row>
    <row r="16" ht="12.75" customHeight="1">
      <c r="A16" s="2">
        <v>15000.0</v>
      </c>
      <c r="B16" s="41" t="s">
        <v>392</v>
      </c>
      <c r="C16" s="2"/>
      <c r="H16" s="2">
        <v>205.0</v>
      </c>
      <c r="I16" s="31" t="s">
        <v>393</v>
      </c>
      <c r="J16" s="25">
        <v>2.0</v>
      </c>
      <c r="M16" s="2">
        <v>63.0</v>
      </c>
      <c r="N16" s="6" t="s">
        <v>394</v>
      </c>
      <c r="O16" s="2"/>
      <c r="P16" s="2"/>
      <c r="Q16" s="2"/>
      <c r="R16" s="2"/>
      <c r="S16" s="2"/>
      <c r="T16" s="2"/>
      <c r="U16" s="2"/>
      <c r="V16" s="2"/>
      <c r="W16" s="2"/>
      <c r="X16" s="2"/>
    </row>
    <row r="17" ht="12.75" customHeight="1">
      <c r="A17" s="2">
        <v>16000.0</v>
      </c>
      <c r="B17" s="41" t="s">
        <v>395</v>
      </c>
      <c r="C17" s="2"/>
      <c r="H17" s="2">
        <v>206.0</v>
      </c>
      <c r="I17" s="31" t="s">
        <v>396</v>
      </c>
      <c r="J17" s="25">
        <v>2.0</v>
      </c>
      <c r="M17" s="2">
        <v>64.0</v>
      </c>
      <c r="N17" s="6" t="s">
        <v>397</v>
      </c>
      <c r="O17" s="2"/>
      <c r="P17" s="2"/>
      <c r="Q17" s="2"/>
      <c r="R17" s="2"/>
      <c r="S17" s="2"/>
      <c r="T17" s="2"/>
      <c r="U17" s="2"/>
      <c r="V17" s="2"/>
      <c r="W17" s="2"/>
      <c r="X17" s="2"/>
    </row>
    <row r="18" ht="12.75" customHeight="1">
      <c r="A18" s="2">
        <v>17000.0</v>
      </c>
      <c r="B18" s="41" t="s">
        <v>398</v>
      </c>
      <c r="C18" s="2"/>
      <c r="H18" s="2">
        <v>300.0</v>
      </c>
      <c r="I18" s="31" t="s">
        <v>399</v>
      </c>
      <c r="J18" s="25">
        <v>3.0</v>
      </c>
      <c r="M18" s="2">
        <v>65.0</v>
      </c>
      <c r="N18" s="6" t="s">
        <v>400</v>
      </c>
      <c r="O18" s="2"/>
      <c r="P18" s="2"/>
      <c r="Q18" s="2"/>
      <c r="R18" s="2"/>
      <c r="S18" s="2"/>
      <c r="T18" s="2"/>
      <c r="U18" s="2"/>
      <c r="V18" s="2"/>
      <c r="W18" s="2"/>
      <c r="X18" s="2"/>
    </row>
    <row r="19" ht="12.75" customHeight="1">
      <c r="A19" s="2">
        <v>18000.0</v>
      </c>
      <c r="B19" s="41" t="s">
        <v>402</v>
      </c>
      <c r="C19" s="2"/>
      <c r="H19" s="2">
        <v>301.0</v>
      </c>
      <c r="I19" s="44" t="s">
        <v>403</v>
      </c>
      <c r="J19" s="25">
        <v>3.0</v>
      </c>
      <c r="M19" s="2">
        <v>66.0</v>
      </c>
      <c r="N19" s="2" t="s">
        <v>404</v>
      </c>
      <c r="O19" s="2"/>
      <c r="P19" s="2"/>
      <c r="Q19" s="2"/>
      <c r="R19" s="2"/>
      <c r="S19" s="2"/>
      <c r="T19" s="2"/>
      <c r="U19" s="2"/>
      <c r="V19" s="2"/>
      <c r="W19" s="2"/>
      <c r="X19" s="2"/>
    </row>
    <row r="20" ht="12.75" customHeight="1">
      <c r="A20" s="2">
        <v>19000.0</v>
      </c>
      <c r="B20" s="41" t="s">
        <v>405</v>
      </c>
      <c r="C20" s="2"/>
      <c r="H20" s="2">
        <v>302.0</v>
      </c>
      <c r="I20" s="44" t="s">
        <v>406</v>
      </c>
      <c r="J20" s="25">
        <v>3.0</v>
      </c>
      <c r="M20" s="2">
        <v>67.0</v>
      </c>
      <c r="N20" s="6" t="s">
        <v>407</v>
      </c>
      <c r="O20" s="2"/>
      <c r="P20" s="2"/>
      <c r="Q20" s="2"/>
      <c r="R20" s="2"/>
      <c r="S20" s="2"/>
      <c r="T20" s="2"/>
      <c r="U20" s="2"/>
      <c r="V20" s="2"/>
      <c r="W20" s="2"/>
      <c r="X20" s="2"/>
    </row>
    <row r="21" ht="12.75" customHeight="1">
      <c r="A21" s="2">
        <v>20000.0</v>
      </c>
      <c r="B21" s="41" t="s">
        <v>408</v>
      </c>
      <c r="C21" s="2"/>
      <c r="H21" s="2">
        <v>303.0</v>
      </c>
      <c r="I21" s="31" t="s">
        <v>409</v>
      </c>
      <c r="J21" s="25">
        <v>3.0</v>
      </c>
      <c r="M21" s="2">
        <v>68.0</v>
      </c>
      <c r="N21" s="6" t="s">
        <v>410</v>
      </c>
      <c r="O21" s="2"/>
      <c r="P21" s="2"/>
      <c r="Q21" s="2"/>
      <c r="R21" s="2"/>
      <c r="S21" s="2"/>
      <c r="T21" s="2"/>
      <c r="U21" s="2"/>
      <c r="V21" s="2"/>
      <c r="W21" s="2"/>
      <c r="X21" s="2"/>
    </row>
    <row r="22" ht="12.75" customHeight="1">
      <c r="A22" s="2">
        <v>21000.0</v>
      </c>
      <c r="B22" s="41" t="s">
        <v>411</v>
      </c>
      <c r="C22" s="2"/>
      <c r="H22" s="2">
        <v>304.0</v>
      </c>
      <c r="I22" s="44" t="s">
        <v>412</v>
      </c>
      <c r="J22" s="25">
        <v>3.0</v>
      </c>
      <c r="M22" s="2">
        <v>69.0</v>
      </c>
      <c r="N22" s="6" t="s">
        <v>413</v>
      </c>
      <c r="O22" s="2"/>
      <c r="P22" s="2"/>
      <c r="Q22" s="2"/>
      <c r="R22" s="2"/>
      <c r="S22" s="2"/>
      <c r="T22" s="2"/>
      <c r="U22" s="2"/>
      <c r="V22" s="2"/>
      <c r="W22" s="2"/>
      <c r="X22" s="2"/>
    </row>
    <row r="23" ht="12.75" customHeight="1">
      <c r="A23" s="2">
        <v>22000.0</v>
      </c>
      <c r="B23" s="41" t="s">
        <v>414</v>
      </c>
      <c r="C23" s="2"/>
      <c r="H23" s="2">
        <v>305.0</v>
      </c>
      <c r="I23" s="31" t="s">
        <v>415</v>
      </c>
      <c r="J23" s="25">
        <v>3.0</v>
      </c>
      <c r="M23" s="44"/>
      <c r="N23" s="31"/>
      <c r="O23" s="2"/>
      <c r="P23" s="2"/>
      <c r="Q23" s="2"/>
      <c r="R23" s="2"/>
      <c r="S23" s="2"/>
      <c r="T23" s="2"/>
      <c r="U23" s="2"/>
      <c r="V23" s="2"/>
      <c r="W23" s="2"/>
      <c r="X23" s="2"/>
    </row>
    <row r="24" ht="12.75" customHeight="1">
      <c r="A24" s="2">
        <v>23000.0</v>
      </c>
      <c r="B24" s="41" t="s">
        <v>419</v>
      </c>
      <c r="C24" s="2"/>
      <c r="H24" s="2">
        <v>306.0</v>
      </c>
      <c r="I24" s="31" t="s">
        <v>420</v>
      </c>
      <c r="J24" s="25">
        <v>3.0</v>
      </c>
      <c r="P24" s="2"/>
      <c r="Q24" s="2"/>
      <c r="R24" s="2"/>
      <c r="S24" s="2"/>
      <c r="T24" s="2"/>
      <c r="U24" s="2"/>
      <c r="V24" s="2"/>
      <c r="W24" s="2"/>
      <c r="X24" s="2"/>
    </row>
    <row r="25" ht="12.75" customHeight="1">
      <c r="A25" s="2">
        <v>24000.0</v>
      </c>
      <c r="B25" s="41" t="s">
        <v>421</v>
      </c>
      <c r="C25" s="2"/>
      <c r="H25" s="2">
        <v>400.0</v>
      </c>
      <c r="I25" s="31" t="s">
        <v>422</v>
      </c>
      <c r="J25" s="25">
        <v>4.0</v>
      </c>
      <c r="P25" s="2"/>
      <c r="Q25" s="2"/>
      <c r="R25" s="2"/>
      <c r="S25" s="2"/>
      <c r="T25" s="2"/>
      <c r="U25" s="2"/>
      <c r="V25" s="2"/>
      <c r="W25" s="2"/>
      <c r="X25" s="2"/>
    </row>
    <row r="26" ht="12.75" customHeight="1">
      <c r="A26" s="2"/>
      <c r="B26" s="2"/>
      <c r="C26" s="2"/>
      <c r="H26" s="2">
        <v>401.0</v>
      </c>
      <c r="I26" s="31" t="s">
        <v>424</v>
      </c>
      <c r="J26" s="25">
        <v>4.0</v>
      </c>
      <c r="P26" s="2"/>
      <c r="Q26" s="2"/>
      <c r="R26" s="2"/>
      <c r="S26" s="2"/>
      <c r="T26" s="2"/>
      <c r="U26" s="2"/>
      <c r="V26" s="2"/>
      <c r="W26" s="2"/>
      <c r="X26" s="2"/>
    </row>
    <row r="27" ht="12.75" customHeight="1">
      <c r="H27" s="2">
        <v>402.0</v>
      </c>
      <c r="I27" s="31" t="s">
        <v>425</v>
      </c>
      <c r="J27" s="25">
        <v>4.0</v>
      </c>
      <c r="P27" s="2"/>
      <c r="Q27" s="2"/>
      <c r="R27" s="2"/>
      <c r="S27" s="2"/>
      <c r="T27" s="2"/>
      <c r="U27" s="2"/>
      <c r="V27" s="2"/>
      <c r="W27" s="2"/>
      <c r="X27" s="2"/>
    </row>
    <row r="28" ht="12.75" customHeight="1">
      <c r="H28" s="2">
        <v>403.0</v>
      </c>
      <c r="I28" s="31" t="s">
        <v>427</v>
      </c>
      <c r="J28" s="25">
        <v>4.0</v>
      </c>
      <c r="P28" s="2"/>
      <c r="Q28" s="2"/>
      <c r="R28" s="2"/>
      <c r="S28" s="2"/>
      <c r="T28" s="2"/>
      <c r="U28" s="2"/>
      <c r="V28" s="2"/>
      <c r="W28" s="2"/>
      <c r="X28" s="2"/>
    </row>
    <row r="29" ht="12.75" customHeight="1">
      <c r="H29" s="2">
        <v>404.0</v>
      </c>
      <c r="I29" s="31" t="s">
        <v>432</v>
      </c>
      <c r="J29" s="25">
        <v>4.0</v>
      </c>
      <c r="P29" s="2"/>
      <c r="Q29" s="2"/>
      <c r="R29" s="2"/>
      <c r="S29" s="2"/>
      <c r="T29" s="2"/>
      <c r="U29" s="2"/>
      <c r="V29" s="2"/>
      <c r="W29" s="2"/>
      <c r="X29" s="2"/>
    </row>
    <row r="30" ht="12.75" customHeight="1">
      <c r="H30" s="2">
        <v>500.0</v>
      </c>
      <c r="I30" s="31" t="s">
        <v>433</v>
      </c>
      <c r="J30" s="25">
        <v>5.0</v>
      </c>
      <c r="P30" s="2"/>
      <c r="Q30" s="2"/>
      <c r="R30" s="2"/>
      <c r="S30" s="2"/>
      <c r="T30" s="2"/>
      <c r="U30" s="2"/>
      <c r="V30" s="2"/>
      <c r="W30" s="2"/>
      <c r="X30" s="2"/>
    </row>
    <row r="31" ht="12.75" customHeight="1">
      <c r="H31" s="2">
        <v>501.0</v>
      </c>
      <c r="I31" s="31" t="s">
        <v>435</v>
      </c>
      <c r="J31" s="25">
        <v>5.0</v>
      </c>
      <c r="N31" s="2"/>
      <c r="O31" s="2"/>
      <c r="P31" s="2"/>
      <c r="Q31" s="2"/>
      <c r="R31" s="2"/>
      <c r="S31" s="2"/>
      <c r="T31" s="2"/>
      <c r="U31" s="2"/>
      <c r="V31" s="2"/>
      <c r="W31" s="2"/>
      <c r="X31" s="2"/>
    </row>
    <row r="32" ht="12.75" customHeight="1">
      <c r="H32" s="2">
        <v>502.0</v>
      </c>
      <c r="I32" s="31" t="s">
        <v>440</v>
      </c>
      <c r="J32" s="25">
        <v>5.0</v>
      </c>
      <c r="N32" s="2"/>
      <c r="O32" s="2"/>
      <c r="P32" s="2"/>
      <c r="Q32" s="2"/>
      <c r="R32" s="2"/>
      <c r="S32" s="2"/>
      <c r="T32" s="2"/>
      <c r="U32" s="2"/>
      <c r="V32" s="2"/>
      <c r="W32" s="2"/>
      <c r="X32" s="2"/>
    </row>
    <row r="33" ht="12.75" customHeight="1">
      <c r="H33" s="2">
        <v>503.0</v>
      </c>
      <c r="I33" s="31" t="s">
        <v>443</v>
      </c>
      <c r="J33" s="25">
        <v>5.0</v>
      </c>
      <c r="N33" s="2"/>
      <c r="O33" s="2"/>
      <c r="P33" s="2"/>
      <c r="Q33" s="2"/>
      <c r="R33" s="2"/>
      <c r="S33" s="2"/>
      <c r="T33" s="2"/>
      <c r="U33" s="2"/>
      <c r="V33" s="2"/>
      <c r="W33" s="2"/>
      <c r="X33" s="2"/>
    </row>
    <row r="34" ht="12.75" customHeight="1">
      <c r="H34" s="2">
        <v>504.0</v>
      </c>
      <c r="I34" s="31" t="s">
        <v>446</v>
      </c>
      <c r="J34" s="25">
        <v>5.0</v>
      </c>
      <c r="N34" s="2"/>
      <c r="O34" s="2"/>
      <c r="P34" s="2"/>
      <c r="Q34" s="2"/>
      <c r="R34" s="2"/>
      <c r="S34" s="2"/>
      <c r="T34" s="2"/>
      <c r="U34" s="2"/>
      <c r="V34" s="2"/>
      <c r="W34" s="2"/>
      <c r="X34" s="2"/>
    </row>
    <row r="35" ht="12.75" customHeight="1">
      <c r="H35" s="2">
        <v>505.0</v>
      </c>
      <c r="I35" s="31" t="s">
        <v>447</v>
      </c>
      <c r="J35" s="25">
        <v>5.0</v>
      </c>
      <c r="N35" s="2"/>
      <c r="O35" s="2"/>
      <c r="P35" s="2"/>
      <c r="Q35" s="2"/>
      <c r="R35" s="2"/>
      <c r="S35" s="2"/>
      <c r="T35" s="2"/>
      <c r="U35" s="2"/>
      <c r="V35" s="2"/>
      <c r="W35" s="2"/>
      <c r="X35" s="2"/>
    </row>
    <row r="36" ht="12.75" customHeight="1">
      <c r="A36" s="2"/>
      <c r="B36" s="2"/>
      <c r="C36" s="2"/>
      <c r="H36" s="2">
        <v>506.0</v>
      </c>
      <c r="I36" s="31" t="s">
        <v>450</v>
      </c>
      <c r="J36" s="25">
        <v>5.0</v>
      </c>
      <c r="N36" s="2"/>
      <c r="O36" s="2"/>
      <c r="P36" s="2"/>
      <c r="Q36" s="2"/>
      <c r="R36" s="2"/>
      <c r="S36" s="2"/>
      <c r="T36" s="2"/>
      <c r="U36" s="2"/>
      <c r="V36" s="2"/>
      <c r="W36" s="2"/>
      <c r="X36" s="2"/>
    </row>
    <row r="37" ht="12.75" customHeight="1">
      <c r="A37" s="2"/>
      <c r="B37" s="2"/>
      <c r="C37" s="2"/>
      <c r="H37" s="2">
        <v>600.0</v>
      </c>
      <c r="I37" s="44" t="s">
        <v>452</v>
      </c>
      <c r="J37" s="25">
        <v>6.0</v>
      </c>
      <c r="N37" s="2"/>
      <c r="O37" s="2"/>
      <c r="P37" s="2"/>
      <c r="Q37" s="2"/>
      <c r="R37" s="2"/>
      <c r="S37" s="2"/>
      <c r="T37" s="2"/>
      <c r="U37" s="2"/>
      <c r="V37" s="2"/>
      <c r="W37" s="2"/>
      <c r="X37" s="2"/>
    </row>
    <row r="38" ht="12.75" customHeight="1">
      <c r="A38" s="2"/>
      <c r="B38" s="2"/>
      <c r="C38" s="2"/>
      <c r="H38" s="2">
        <v>601.0</v>
      </c>
      <c r="I38" s="31" t="s">
        <v>453</v>
      </c>
      <c r="J38" s="25">
        <v>6.0</v>
      </c>
      <c r="N38" s="2"/>
      <c r="O38" s="2"/>
      <c r="P38" s="2"/>
      <c r="Q38" s="2"/>
      <c r="R38" s="2"/>
      <c r="S38" s="2"/>
      <c r="T38" s="2"/>
      <c r="U38" s="2"/>
      <c r="V38" s="2"/>
      <c r="W38" s="2"/>
      <c r="X38" s="2"/>
    </row>
    <row r="39" ht="12.75" customHeight="1">
      <c r="A39" s="2"/>
      <c r="B39" s="2"/>
      <c r="C39" s="2"/>
      <c r="H39" s="2">
        <v>602.0</v>
      </c>
      <c r="I39" s="31" t="s">
        <v>454</v>
      </c>
      <c r="J39" s="25">
        <v>6.0</v>
      </c>
      <c r="N39" s="2"/>
      <c r="O39" s="2"/>
      <c r="P39" s="2"/>
      <c r="Q39" s="2"/>
      <c r="R39" s="2"/>
      <c r="S39" s="2"/>
      <c r="T39" s="2"/>
      <c r="U39" s="2"/>
      <c r="V39" s="2"/>
      <c r="W39" s="2"/>
      <c r="X39" s="2"/>
    </row>
    <row r="40" ht="12.75" customHeight="1">
      <c r="A40" s="2"/>
      <c r="B40" s="2"/>
      <c r="C40" s="2"/>
      <c r="H40" s="2">
        <v>603.0</v>
      </c>
      <c r="I40" s="44" t="s">
        <v>456</v>
      </c>
      <c r="J40" s="25">
        <v>6.0</v>
      </c>
      <c r="L40" s="2"/>
      <c r="M40" s="2"/>
      <c r="N40" s="2"/>
      <c r="O40" s="2"/>
      <c r="P40" s="2"/>
      <c r="Q40" s="2"/>
      <c r="R40" s="2"/>
      <c r="S40" s="2"/>
      <c r="T40" s="2"/>
      <c r="U40" s="2"/>
      <c r="V40" s="2"/>
      <c r="W40" s="2"/>
      <c r="X40" s="2"/>
    </row>
    <row r="41" ht="12.75" customHeight="1">
      <c r="A41" s="2"/>
      <c r="B41" s="2"/>
      <c r="C41" s="2"/>
      <c r="H41" s="2">
        <v>604.0</v>
      </c>
      <c r="I41" s="31" t="s">
        <v>459</v>
      </c>
      <c r="J41" s="25">
        <v>6.0</v>
      </c>
      <c r="L41" s="2"/>
      <c r="M41" s="2"/>
      <c r="N41" s="2"/>
      <c r="O41" s="2"/>
      <c r="P41" s="2"/>
      <c r="Q41" s="2"/>
      <c r="R41" s="2"/>
      <c r="S41" s="2"/>
      <c r="T41" s="2"/>
      <c r="U41" s="2"/>
      <c r="V41" s="2"/>
      <c r="W41" s="2"/>
      <c r="X41" s="2"/>
    </row>
    <row r="42" ht="12.75" customHeight="1">
      <c r="A42" s="2"/>
      <c r="B42" s="2"/>
      <c r="C42" s="2"/>
      <c r="H42" s="2">
        <v>605.0</v>
      </c>
      <c r="I42" s="31" t="s">
        <v>463</v>
      </c>
      <c r="J42" s="25">
        <v>6.0</v>
      </c>
      <c r="L42" s="2"/>
      <c r="M42" s="2"/>
      <c r="N42" s="2"/>
      <c r="O42" s="2"/>
      <c r="P42" s="2"/>
      <c r="Q42" s="2"/>
      <c r="R42" s="2"/>
      <c r="S42" s="2"/>
      <c r="T42" s="2"/>
      <c r="U42" s="2"/>
      <c r="V42" s="2"/>
      <c r="W42" s="2"/>
      <c r="X42" s="2"/>
    </row>
    <row r="43" ht="12.75" customHeight="1">
      <c r="A43" s="2"/>
      <c r="B43" s="2"/>
      <c r="C43" s="2"/>
      <c r="H43" s="2">
        <v>700.0</v>
      </c>
      <c r="I43" s="31" t="s">
        <v>465</v>
      </c>
      <c r="J43" s="25">
        <v>7.0</v>
      </c>
      <c r="L43" s="2"/>
      <c r="M43" s="2"/>
      <c r="N43" s="2"/>
      <c r="O43" s="2"/>
      <c r="P43" s="2"/>
      <c r="Q43" s="2"/>
      <c r="R43" s="2"/>
      <c r="S43" s="2"/>
      <c r="T43" s="2"/>
      <c r="U43" s="2"/>
      <c r="V43" s="2"/>
      <c r="W43" s="2"/>
      <c r="X43" s="2"/>
    </row>
    <row r="44" ht="12.75" customHeight="1">
      <c r="A44" s="2"/>
      <c r="B44" s="2"/>
      <c r="C44" s="2"/>
      <c r="H44" s="2">
        <v>701.0</v>
      </c>
      <c r="I44" s="44" t="s">
        <v>468</v>
      </c>
      <c r="J44" s="25">
        <v>7.0</v>
      </c>
      <c r="K44" s="2"/>
      <c r="L44" s="2"/>
      <c r="M44" s="2"/>
      <c r="N44" s="2"/>
      <c r="O44" s="2"/>
      <c r="P44" s="2"/>
      <c r="Q44" s="2"/>
      <c r="R44" s="2"/>
      <c r="S44" s="2"/>
      <c r="T44" s="2"/>
      <c r="U44" s="2"/>
      <c r="V44" s="2"/>
      <c r="W44" s="2"/>
      <c r="X44" s="2"/>
    </row>
    <row r="45" ht="12.75" customHeight="1">
      <c r="A45" s="2"/>
      <c r="B45" s="2"/>
      <c r="C45" s="2"/>
      <c r="H45" s="2">
        <v>702.0</v>
      </c>
      <c r="I45" s="31" t="s">
        <v>471</v>
      </c>
      <c r="J45" s="25">
        <v>7.0</v>
      </c>
      <c r="K45" s="2"/>
      <c r="L45" s="2"/>
      <c r="M45" s="2"/>
      <c r="N45" s="2"/>
      <c r="O45" s="2"/>
      <c r="P45" s="2"/>
      <c r="Q45" s="2"/>
      <c r="R45" s="2"/>
      <c r="S45" s="2"/>
      <c r="T45" s="2"/>
      <c r="U45" s="2"/>
      <c r="V45" s="2"/>
      <c r="W45" s="2"/>
      <c r="X45" s="2"/>
    </row>
    <row r="46" ht="12.75" customHeight="1">
      <c r="A46" s="2"/>
      <c r="B46" s="2"/>
      <c r="C46" s="2"/>
      <c r="H46" s="2">
        <v>703.0</v>
      </c>
      <c r="I46" s="31" t="s">
        <v>160</v>
      </c>
      <c r="J46" s="25">
        <v>7.0</v>
      </c>
      <c r="K46" s="2"/>
      <c r="L46" s="2"/>
      <c r="M46" s="2"/>
      <c r="N46" s="2"/>
      <c r="O46" s="2"/>
      <c r="P46" s="2"/>
      <c r="Q46" s="2"/>
      <c r="R46" s="2"/>
      <c r="S46" s="2"/>
      <c r="T46" s="2"/>
      <c r="U46" s="2"/>
      <c r="V46" s="2"/>
      <c r="W46" s="2"/>
      <c r="X46" s="2"/>
    </row>
    <row r="47" ht="12.75" customHeight="1">
      <c r="A47" s="2"/>
      <c r="B47" s="2"/>
      <c r="C47" s="2"/>
      <c r="H47" s="2">
        <v>704.0</v>
      </c>
      <c r="I47" s="31" t="s">
        <v>477</v>
      </c>
      <c r="J47" s="25">
        <v>7.0</v>
      </c>
      <c r="K47" s="2"/>
      <c r="L47" s="2"/>
      <c r="M47" s="2"/>
      <c r="N47" s="2"/>
      <c r="O47" s="2"/>
      <c r="P47" s="2"/>
      <c r="Q47" s="2"/>
      <c r="R47" s="2"/>
      <c r="S47" s="2"/>
      <c r="T47" s="2"/>
      <c r="U47" s="2"/>
      <c r="V47" s="2"/>
      <c r="W47" s="2"/>
      <c r="X47" s="2"/>
    </row>
    <row r="48" ht="12.75" customHeight="1">
      <c r="A48" s="2"/>
      <c r="B48" s="2"/>
      <c r="C48" s="2"/>
      <c r="H48" s="2">
        <v>705.0</v>
      </c>
      <c r="I48" s="31" t="s">
        <v>480</v>
      </c>
      <c r="J48" s="25">
        <v>7.0</v>
      </c>
      <c r="K48" s="2"/>
      <c r="L48" s="2"/>
      <c r="M48" s="2"/>
      <c r="N48" s="2"/>
      <c r="O48" s="2"/>
      <c r="P48" s="2"/>
      <c r="Q48" s="2"/>
      <c r="R48" s="2"/>
      <c r="S48" s="2"/>
      <c r="T48" s="2"/>
      <c r="U48" s="2"/>
      <c r="V48" s="2"/>
      <c r="W48" s="2"/>
      <c r="X48" s="2"/>
    </row>
    <row r="49" ht="12.75" customHeight="1">
      <c r="A49" s="2"/>
      <c r="B49" s="2"/>
      <c r="C49" s="2"/>
      <c r="H49" s="2">
        <v>800.0</v>
      </c>
      <c r="I49" s="31" t="s">
        <v>482</v>
      </c>
      <c r="J49" s="25">
        <v>8.0</v>
      </c>
      <c r="K49" s="2"/>
      <c r="L49" s="2"/>
      <c r="M49" s="2"/>
      <c r="N49" s="2"/>
      <c r="O49" s="2"/>
      <c r="P49" s="2"/>
      <c r="Q49" s="2"/>
      <c r="R49" s="2"/>
      <c r="S49" s="2"/>
      <c r="T49" s="2"/>
      <c r="U49" s="2"/>
      <c r="V49" s="2"/>
      <c r="W49" s="2"/>
      <c r="X49" s="2"/>
    </row>
    <row r="50" ht="12.75" customHeight="1">
      <c r="A50" s="2"/>
      <c r="B50" s="2"/>
      <c r="C50" s="2"/>
      <c r="H50" s="2">
        <v>801.0</v>
      </c>
      <c r="I50" s="31" t="s">
        <v>485</v>
      </c>
      <c r="J50" s="25">
        <v>8.0</v>
      </c>
      <c r="K50" s="2"/>
      <c r="L50" s="2"/>
      <c r="M50" s="2"/>
      <c r="N50" s="2"/>
      <c r="O50" s="2"/>
      <c r="P50" s="2"/>
      <c r="Q50" s="2"/>
      <c r="R50" s="2"/>
      <c r="S50" s="2"/>
      <c r="T50" s="2"/>
      <c r="U50" s="2"/>
      <c r="V50" s="2"/>
      <c r="W50" s="2"/>
      <c r="X50" s="2"/>
    </row>
    <row r="51" ht="12.75" customHeight="1">
      <c r="A51" s="2"/>
      <c r="B51" s="2"/>
      <c r="C51" s="2"/>
      <c r="H51" s="2">
        <v>802.0</v>
      </c>
      <c r="I51" s="31" t="s">
        <v>488</v>
      </c>
      <c r="J51" s="25">
        <v>8.0</v>
      </c>
      <c r="K51" s="2"/>
      <c r="L51" s="2"/>
      <c r="M51" s="2"/>
      <c r="N51" s="2"/>
      <c r="O51" s="2"/>
      <c r="P51" s="2"/>
      <c r="Q51" s="2"/>
      <c r="R51" s="2"/>
      <c r="S51" s="2"/>
      <c r="T51" s="2"/>
      <c r="U51" s="2"/>
      <c r="V51" s="2"/>
      <c r="W51" s="2"/>
      <c r="X51" s="2"/>
    </row>
    <row r="52" ht="12.75" customHeight="1">
      <c r="A52" s="2"/>
      <c r="B52" s="2"/>
      <c r="C52" s="2"/>
      <c r="H52" s="2">
        <v>803.0</v>
      </c>
      <c r="I52" s="31" t="s">
        <v>489</v>
      </c>
      <c r="J52" s="25">
        <v>8.0</v>
      </c>
      <c r="K52" s="2"/>
      <c r="L52" s="2"/>
      <c r="M52" s="2"/>
      <c r="N52" s="2"/>
      <c r="O52" s="2"/>
      <c r="P52" s="2"/>
      <c r="Q52" s="2"/>
      <c r="R52" s="2"/>
      <c r="S52" s="2"/>
      <c r="T52" s="2"/>
      <c r="U52" s="2"/>
      <c r="V52" s="2"/>
      <c r="W52" s="2"/>
      <c r="X52" s="2"/>
    </row>
    <row r="53" ht="12.75" customHeight="1">
      <c r="A53" s="2"/>
      <c r="B53" s="2"/>
      <c r="C53" s="2"/>
      <c r="H53" s="2">
        <v>804.0</v>
      </c>
      <c r="I53" s="31" t="s">
        <v>492</v>
      </c>
      <c r="J53" s="25">
        <v>8.0</v>
      </c>
      <c r="K53" s="2"/>
      <c r="L53" s="2"/>
      <c r="M53" s="2"/>
      <c r="N53" s="2"/>
      <c r="O53" s="2"/>
      <c r="P53" s="2"/>
      <c r="Q53" s="2"/>
      <c r="R53" s="2"/>
      <c r="S53" s="2"/>
      <c r="T53" s="2"/>
      <c r="U53" s="2"/>
      <c r="V53" s="2"/>
      <c r="W53" s="2"/>
      <c r="X53" s="2"/>
    </row>
    <row r="54" ht="12.75" customHeight="1">
      <c r="A54" s="2"/>
      <c r="B54" s="2"/>
      <c r="C54" s="2"/>
      <c r="H54" s="2">
        <v>805.0</v>
      </c>
      <c r="I54" s="31" t="s">
        <v>495</v>
      </c>
      <c r="J54" s="25">
        <v>8.0</v>
      </c>
      <c r="K54" s="2"/>
      <c r="L54" s="2"/>
      <c r="M54" s="2"/>
      <c r="N54" s="2"/>
      <c r="O54" s="2"/>
      <c r="P54" s="2"/>
      <c r="Q54" s="2"/>
      <c r="R54" s="2"/>
      <c r="S54" s="2"/>
      <c r="T54" s="2"/>
      <c r="U54" s="2"/>
      <c r="V54" s="2"/>
      <c r="W54" s="2"/>
      <c r="X54" s="2"/>
    </row>
    <row r="55" ht="12.75" customHeight="1">
      <c r="A55" s="2"/>
      <c r="B55" s="2"/>
      <c r="C55" s="2"/>
      <c r="H55" s="2">
        <v>806.0</v>
      </c>
      <c r="I55" s="31" t="s">
        <v>499</v>
      </c>
      <c r="J55" s="25">
        <v>8.0</v>
      </c>
      <c r="K55" s="2"/>
      <c r="L55" s="2"/>
      <c r="M55" s="2"/>
      <c r="N55" s="2"/>
      <c r="O55" s="2"/>
      <c r="P55" s="2"/>
      <c r="Q55" s="2"/>
      <c r="R55" s="2"/>
      <c r="S55" s="2"/>
      <c r="T55" s="2"/>
      <c r="U55" s="2"/>
      <c r="V55" s="2"/>
      <c r="W55" s="2"/>
      <c r="X55" s="2"/>
    </row>
    <row r="56" ht="12.75" customHeight="1">
      <c r="A56" s="2"/>
      <c r="B56" s="2"/>
      <c r="C56" s="2"/>
      <c r="H56" s="2">
        <v>900.0</v>
      </c>
      <c r="I56" s="31" t="s">
        <v>503</v>
      </c>
      <c r="J56" s="25">
        <v>9.0</v>
      </c>
      <c r="K56" s="2"/>
      <c r="L56" s="2"/>
      <c r="M56" s="2"/>
      <c r="N56" s="2"/>
      <c r="O56" s="2"/>
      <c r="P56" s="2"/>
      <c r="Q56" s="2"/>
      <c r="R56" s="2"/>
      <c r="S56" s="2"/>
      <c r="T56" s="2"/>
      <c r="U56" s="2"/>
      <c r="V56" s="2"/>
      <c r="W56" s="2"/>
      <c r="X56" s="2"/>
    </row>
    <row r="57" ht="12.75" customHeight="1">
      <c r="A57" s="2"/>
      <c r="B57" s="2"/>
      <c r="C57" s="2"/>
      <c r="H57" s="2">
        <v>901.0</v>
      </c>
      <c r="I57" s="31" t="s">
        <v>266</v>
      </c>
      <c r="J57" s="25">
        <v>9.0</v>
      </c>
      <c r="K57" s="2"/>
      <c r="L57" s="2"/>
      <c r="M57" s="2"/>
      <c r="N57" s="2"/>
      <c r="O57" s="2"/>
      <c r="P57" s="2"/>
      <c r="Q57" s="2"/>
      <c r="R57" s="2"/>
      <c r="S57" s="2"/>
      <c r="T57" s="2"/>
      <c r="U57" s="2"/>
      <c r="V57" s="2"/>
      <c r="W57" s="2"/>
      <c r="X57" s="2"/>
    </row>
    <row r="58" ht="12.75" customHeight="1">
      <c r="A58" s="2"/>
      <c r="B58" s="2"/>
      <c r="C58" s="2"/>
      <c r="H58" s="2">
        <v>902.0</v>
      </c>
      <c r="I58" s="44" t="s">
        <v>507</v>
      </c>
      <c r="J58" s="25">
        <v>9.0</v>
      </c>
      <c r="K58" s="2"/>
      <c r="L58" s="2"/>
      <c r="M58" s="2"/>
      <c r="N58" s="2"/>
      <c r="O58" s="2"/>
      <c r="P58" s="2"/>
      <c r="Q58" s="2"/>
      <c r="R58" s="2"/>
      <c r="S58" s="2"/>
      <c r="T58" s="2"/>
      <c r="U58" s="2"/>
      <c r="V58" s="2"/>
      <c r="W58" s="2"/>
      <c r="X58" s="2"/>
    </row>
    <row r="59" ht="12.75" customHeight="1">
      <c r="A59" s="2"/>
      <c r="B59" s="2"/>
      <c r="C59" s="2"/>
      <c r="H59" s="2">
        <v>903.0</v>
      </c>
      <c r="I59" s="31" t="s">
        <v>508</v>
      </c>
      <c r="J59" s="25">
        <v>9.0</v>
      </c>
      <c r="K59" s="2"/>
      <c r="L59" s="2"/>
      <c r="M59" s="2"/>
      <c r="N59" s="2"/>
      <c r="O59" s="2"/>
      <c r="P59" s="2"/>
      <c r="Q59" s="2"/>
      <c r="R59" s="2"/>
      <c r="S59" s="2"/>
      <c r="T59" s="2"/>
      <c r="U59" s="2"/>
      <c r="V59" s="2"/>
      <c r="W59" s="2"/>
      <c r="X59" s="2"/>
    </row>
    <row r="60" ht="12.75" customHeight="1">
      <c r="A60" s="2"/>
      <c r="B60" s="2"/>
      <c r="C60" s="2"/>
      <c r="H60" s="2">
        <v>904.0</v>
      </c>
      <c r="I60" s="31" t="s">
        <v>509</v>
      </c>
      <c r="J60" s="25">
        <v>9.0</v>
      </c>
      <c r="K60" s="2"/>
      <c r="L60" s="2"/>
      <c r="M60" s="2"/>
      <c r="N60" s="2"/>
      <c r="O60" s="2"/>
      <c r="P60" s="2"/>
      <c r="Q60" s="2"/>
      <c r="R60" s="2"/>
      <c r="S60" s="2"/>
      <c r="T60" s="2"/>
      <c r="U60" s="2"/>
      <c r="V60" s="2"/>
      <c r="W60" s="2"/>
      <c r="X60" s="2"/>
    </row>
    <row r="61" ht="12.75" customHeight="1">
      <c r="A61" s="2"/>
      <c r="B61" s="2"/>
      <c r="C61" s="2"/>
      <c r="H61" s="2">
        <v>905.0</v>
      </c>
      <c r="I61" s="44" t="s">
        <v>512</v>
      </c>
      <c r="J61" s="25">
        <v>9.0</v>
      </c>
      <c r="K61" s="2"/>
      <c r="L61" s="2"/>
      <c r="M61" s="2"/>
      <c r="N61" s="2"/>
      <c r="O61" s="2"/>
      <c r="P61" s="2"/>
      <c r="Q61" s="2"/>
      <c r="R61" s="2"/>
      <c r="S61" s="2"/>
      <c r="T61" s="2"/>
      <c r="U61" s="2"/>
      <c r="V61" s="2"/>
      <c r="W61" s="2"/>
      <c r="X61" s="2"/>
    </row>
    <row r="62" ht="12.75" customHeight="1">
      <c r="A62" s="2"/>
      <c r="B62" s="2"/>
      <c r="C62" s="2"/>
      <c r="H62" s="2">
        <v>906.0</v>
      </c>
      <c r="I62" s="6" t="s">
        <v>516</v>
      </c>
      <c r="J62" s="25">
        <v>9.0</v>
      </c>
      <c r="K62" s="2"/>
      <c r="L62" s="2"/>
      <c r="M62" s="2"/>
      <c r="N62" s="2"/>
      <c r="O62" s="2"/>
      <c r="P62" s="2"/>
      <c r="Q62" s="2"/>
      <c r="R62" s="2"/>
      <c r="S62" s="2"/>
      <c r="T62" s="2"/>
      <c r="U62" s="2"/>
      <c r="V62" s="2"/>
      <c r="W62" s="2"/>
      <c r="X62" s="2"/>
    </row>
    <row r="63" ht="12.75" customHeight="1">
      <c r="A63" s="2"/>
      <c r="B63" s="2"/>
      <c r="C63" s="2"/>
      <c r="H63" s="2">
        <v>1000.0</v>
      </c>
      <c r="I63" s="31" t="s">
        <v>519</v>
      </c>
      <c r="J63" s="25">
        <v>10.0</v>
      </c>
      <c r="K63" s="2"/>
      <c r="L63" s="2"/>
      <c r="M63" s="2"/>
      <c r="N63" s="2"/>
      <c r="O63" s="2"/>
      <c r="P63" s="2"/>
      <c r="Q63" s="2"/>
      <c r="R63" s="2"/>
      <c r="S63" s="2"/>
      <c r="T63" s="2"/>
      <c r="U63" s="2"/>
      <c r="V63" s="2"/>
      <c r="W63" s="2"/>
      <c r="X63" s="2"/>
    </row>
    <row r="64" ht="12.75" customHeight="1">
      <c r="A64" s="2"/>
      <c r="B64" s="2"/>
      <c r="C64" s="2"/>
      <c r="H64" s="2">
        <v>1001.0</v>
      </c>
      <c r="I64" s="44" t="s">
        <v>523</v>
      </c>
      <c r="J64" s="25">
        <v>10.0</v>
      </c>
      <c r="K64" s="2"/>
      <c r="L64" s="2"/>
      <c r="M64" s="2"/>
      <c r="N64" s="2"/>
      <c r="O64" s="2"/>
      <c r="P64" s="2"/>
      <c r="Q64" s="2"/>
      <c r="R64" s="2"/>
      <c r="S64" s="2"/>
      <c r="T64" s="2"/>
      <c r="U64" s="2"/>
      <c r="V64" s="2"/>
      <c r="W64" s="2"/>
      <c r="X64" s="2"/>
    </row>
    <row r="65" ht="12.75" customHeight="1">
      <c r="A65" s="2"/>
      <c r="B65" s="2"/>
      <c r="C65" s="2"/>
      <c r="H65" s="2">
        <v>1002.0</v>
      </c>
      <c r="I65" s="44" t="s">
        <v>528</v>
      </c>
      <c r="J65" s="25">
        <v>10.0</v>
      </c>
      <c r="K65" s="2"/>
      <c r="L65" s="2"/>
      <c r="M65" s="2"/>
      <c r="N65" s="2"/>
      <c r="O65" s="2"/>
      <c r="P65" s="2"/>
      <c r="Q65" s="2"/>
      <c r="R65" s="2"/>
      <c r="S65" s="2"/>
      <c r="T65" s="2"/>
      <c r="U65" s="2"/>
      <c r="V65" s="2"/>
      <c r="W65" s="2"/>
      <c r="X65" s="2"/>
    </row>
    <row r="66" ht="12.75" customHeight="1">
      <c r="A66" s="2"/>
      <c r="B66" s="2"/>
      <c r="C66" s="2"/>
      <c r="H66" s="2">
        <v>1003.0</v>
      </c>
      <c r="I66" s="31" t="s">
        <v>531</v>
      </c>
      <c r="J66" s="25">
        <v>10.0</v>
      </c>
      <c r="K66" s="2"/>
      <c r="L66" s="2"/>
      <c r="M66" s="2"/>
      <c r="N66" s="2"/>
      <c r="O66" s="2"/>
      <c r="P66" s="2"/>
      <c r="Q66" s="2"/>
      <c r="R66" s="2"/>
      <c r="S66" s="2"/>
      <c r="T66" s="2"/>
      <c r="U66" s="2"/>
      <c r="V66" s="2"/>
      <c r="W66" s="2"/>
      <c r="X66" s="2"/>
    </row>
    <row r="67" ht="12.75" customHeight="1">
      <c r="A67" s="2"/>
      <c r="B67" s="2"/>
      <c r="C67" s="2"/>
      <c r="H67" s="2">
        <v>1004.0</v>
      </c>
      <c r="I67" s="31" t="s">
        <v>534</v>
      </c>
      <c r="J67" s="25">
        <v>10.0</v>
      </c>
      <c r="K67" s="2"/>
      <c r="L67" s="2"/>
      <c r="M67" s="2"/>
      <c r="N67" s="2"/>
      <c r="O67" s="2"/>
      <c r="P67" s="2"/>
      <c r="Q67" s="2"/>
      <c r="R67" s="2"/>
      <c r="S67" s="2"/>
      <c r="T67" s="2"/>
      <c r="U67" s="2"/>
      <c r="V67" s="2"/>
      <c r="W67" s="2"/>
      <c r="X67" s="2"/>
    </row>
    <row r="68" ht="12.75" customHeight="1">
      <c r="A68" s="2"/>
      <c r="B68" s="2"/>
      <c r="C68" s="2"/>
      <c r="I68" s="2"/>
      <c r="J68" s="31"/>
      <c r="K68" s="2"/>
      <c r="L68" s="2"/>
      <c r="M68" s="2"/>
      <c r="N68" s="2"/>
      <c r="O68" s="2"/>
      <c r="P68" s="2"/>
      <c r="Q68" s="2"/>
      <c r="R68" s="2"/>
      <c r="S68" s="2"/>
      <c r="T68" s="2"/>
      <c r="U68" s="2"/>
      <c r="V68" s="2"/>
      <c r="W68" s="2"/>
      <c r="X68" s="2"/>
    </row>
    <row r="69" ht="12.75" customHeight="1">
      <c r="A69" s="2"/>
      <c r="B69" s="2"/>
      <c r="C69" s="2"/>
      <c r="I69" s="2"/>
      <c r="J69" s="31"/>
      <c r="K69" s="2"/>
      <c r="L69" s="2"/>
      <c r="M69" s="2"/>
      <c r="N69" s="2"/>
      <c r="O69" s="2"/>
      <c r="P69" s="2"/>
      <c r="Q69" s="2"/>
      <c r="R69" s="2"/>
      <c r="S69" s="2"/>
      <c r="T69" s="2"/>
      <c r="U69" s="2"/>
      <c r="V69" s="2"/>
      <c r="W69" s="2"/>
      <c r="X69" s="2"/>
    </row>
    <row r="70" ht="12.75" customHeight="1">
      <c r="A70" s="2"/>
      <c r="B70" s="2"/>
      <c r="C70" s="2"/>
      <c r="I70" s="2"/>
      <c r="J70" s="2"/>
      <c r="K70" s="2"/>
      <c r="L70" s="2"/>
      <c r="M70" s="2"/>
      <c r="N70" s="2"/>
      <c r="O70" s="2"/>
      <c r="P70" s="2"/>
      <c r="Q70" s="2"/>
      <c r="R70" s="2"/>
      <c r="S70" s="2"/>
      <c r="T70" s="2"/>
      <c r="U70" s="2"/>
      <c r="V70" s="2"/>
      <c r="W70" s="2"/>
      <c r="X70" s="2"/>
    </row>
    <row r="71" ht="12.75" customHeight="1">
      <c r="A71" s="2"/>
      <c r="B71" s="2"/>
      <c r="C71" s="2"/>
      <c r="I71" s="2"/>
      <c r="J71" s="44"/>
      <c r="K71" s="2"/>
      <c r="L71" s="2"/>
      <c r="M71" s="2"/>
      <c r="N71" s="2"/>
      <c r="O71" s="2"/>
      <c r="P71" s="2"/>
      <c r="Q71" s="2"/>
      <c r="R71" s="2"/>
      <c r="S71" s="2"/>
      <c r="T71" s="2"/>
      <c r="U71" s="2"/>
      <c r="V71" s="2"/>
      <c r="W71" s="2"/>
      <c r="X71" s="2"/>
    </row>
    <row r="72" ht="12.75" customHeight="1">
      <c r="A72" s="2"/>
      <c r="B72" s="2"/>
      <c r="C72" s="2"/>
      <c r="I72" s="2"/>
      <c r="J72" s="52"/>
      <c r="K72" s="2"/>
      <c r="L72" s="2"/>
      <c r="M72" s="2"/>
      <c r="N72" s="2"/>
      <c r="O72" s="2"/>
      <c r="P72" s="2"/>
      <c r="Q72" s="2"/>
      <c r="R72" s="2"/>
      <c r="S72" s="2"/>
      <c r="T72" s="2"/>
      <c r="U72" s="2"/>
      <c r="V72" s="2"/>
      <c r="W72" s="2"/>
      <c r="X72" s="2"/>
    </row>
    <row r="73" ht="12.75" customHeight="1">
      <c r="A73" s="2"/>
      <c r="B73" s="2"/>
      <c r="C73" s="2"/>
      <c r="I73" s="2"/>
      <c r="J73" s="2"/>
      <c r="K73" s="2"/>
      <c r="L73" s="2"/>
      <c r="M73" s="2"/>
      <c r="N73" s="2"/>
      <c r="O73" s="2"/>
      <c r="P73" s="2"/>
      <c r="Q73" s="2"/>
      <c r="R73" s="2"/>
      <c r="S73" s="2"/>
      <c r="T73" s="2"/>
      <c r="U73" s="2"/>
      <c r="V73" s="2"/>
      <c r="W73" s="2"/>
      <c r="X73" s="2"/>
    </row>
    <row r="74" ht="12.75" customHeight="1">
      <c r="A74" s="2"/>
      <c r="B74" s="2"/>
      <c r="C74" s="2"/>
      <c r="I74" s="2"/>
      <c r="J74" s="31"/>
      <c r="K74" s="2"/>
      <c r="L74" s="2"/>
      <c r="M74" s="2"/>
      <c r="N74" s="2"/>
      <c r="O74" s="2"/>
      <c r="P74" s="2"/>
      <c r="Q74" s="2"/>
      <c r="R74" s="2"/>
      <c r="S74" s="2"/>
      <c r="T74" s="2"/>
      <c r="U74" s="2"/>
      <c r="V74" s="2"/>
      <c r="W74" s="2"/>
      <c r="X74" s="2"/>
    </row>
    <row r="75" ht="12.75" customHeight="1">
      <c r="A75" s="2"/>
      <c r="B75" s="2"/>
      <c r="C75" s="2"/>
      <c r="I75" s="2"/>
      <c r="J75" s="31"/>
      <c r="K75" s="2"/>
      <c r="L75" s="2"/>
      <c r="M75" s="2"/>
      <c r="N75" s="2"/>
      <c r="O75" s="2"/>
      <c r="P75" s="2"/>
      <c r="Q75" s="2"/>
      <c r="R75" s="2"/>
      <c r="S75" s="2"/>
      <c r="T75" s="2"/>
      <c r="U75" s="2"/>
      <c r="V75" s="2"/>
      <c r="W75" s="2"/>
      <c r="X75" s="2"/>
    </row>
    <row r="76" ht="12.75" customHeight="1">
      <c r="A76" s="2"/>
      <c r="B76" s="2"/>
      <c r="C76" s="2"/>
      <c r="I76" s="31"/>
      <c r="J76" s="2"/>
      <c r="K76" s="2"/>
      <c r="L76" s="2"/>
      <c r="M76" s="2"/>
      <c r="N76" s="2"/>
      <c r="O76" s="2"/>
      <c r="P76" s="2"/>
      <c r="Q76" s="2"/>
      <c r="R76" s="2"/>
      <c r="S76" s="2"/>
      <c r="T76" s="2"/>
      <c r="U76" s="2"/>
      <c r="V76" s="2"/>
      <c r="W76" s="2"/>
      <c r="X76" s="2"/>
    </row>
    <row r="77" ht="12.75" customHeight="1">
      <c r="A77" s="2"/>
      <c r="B77" s="2"/>
      <c r="C77" s="2"/>
      <c r="I77" s="2"/>
      <c r="J77" s="31"/>
      <c r="K77" s="2"/>
      <c r="L77" s="2"/>
      <c r="M77" s="2"/>
      <c r="N77" s="2"/>
      <c r="O77" s="2"/>
      <c r="P77" s="2"/>
      <c r="Q77" s="2"/>
      <c r="R77" s="2"/>
      <c r="S77" s="2"/>
      <c r="T77" s="2"/>
      <c r="U77" s="2"/>
      <c r="V77" s="2"/>
      <c r="W77" s="2"/>
      <c r="X77" s="2"/>
    </row>
    <row r="78" ht="12.75" customHeight="1">
      <c r="A78" s="2"/>
      <c r="B78" s="2"/>
      <c r="C78" s="2"/>
      <c r="I78" s="44"/>
      <c r="J78" s="52"/>
      <c r="K78" s="2"/>
      <c r="L78" s="2"/>
      <c r="M78" s="2"/>
      <c r="N78" s="2"/>
      <c r="O78" s="2"/>
      <c r="P78" s="2"/>
      <c r="Q78" s="2"/>
      <c r="R78" s="2"/>
      <c r="S78" s="2"/>
      <c r="T78" s="2"/>
      <c r="U78" s="2"/>
      <c r="V78" s="2"/>
      <c r="W78" s="2"/>
      <c r="X78" s="2"/>
    </row>
    <row r="79" ht="12.75" customHeight="1">
      <c r="A79" s="2"/>
      <c r="B79" s="2"/>
      <c r="C79" s="2"/>
      <c r="I79" s="2"/>
      <c r="J79" s="2"/>
      <c r="K79" s="2"/>
      <c r="L79" s="2"/>
      <c r="M79" s="2"/>
      <c r="N79" s="2"/>
      <c r="O79" s="2"/>
      <c r="P79" s="2"/>
      <c r="Q79" s="2"/>
      <c r="R79" s="2"/>
      <c r="S79" s="2"/>
      <c r="T79" s="2"/>
      <c r="U79" s="2"/>
      <c r="V79" s="2"/>
      <c r="W79" s="2"/>
      <c r="X79" s="2"/>
    </row>
    <row r="80" ht="12.75" customHeight="1">
      <c r="A80" s="2"/>
      <c r="B80" s="2"/>
      <c r="C80" s="2"/>
      <c r="I80" s="31"/>
      <c r="J80" s="31"/>
      <c r="K80" s="2"/>
      <c r="L80" s="2"/>
      <c r="M80" s="2"/>
      <c r="N80" s="2"/>
      <c r="O80" s="2"/>
      <c r="P80" s="2"/>
      <c r="Q80" s="2"/>
      <c r="R80" s="2"/>
      <c r="S80" s="2"/>
      <c r="T80" s="2"/>
      <c r="U80" s="2"/>
      <c r="V80" s="2"/>
      <c r="W80" s="2"/>
      <c r="X80" s="2"/>
    </row>
    <row r="81" ht="12.75" customHeight="1">
      <c r="A81" s="2"/>
      <c r="B81" s="2"/>
      <c r="C81" s="2"/>
      <c r="D81" s="2"/>
      <c r="E81" s="6"/>
      <c r="I81" s="2"/>
      <c r="J81" s="2"/>
      <c r="K81" s="2"/>
      <c r="L81" s="2"/>
      <c r="M81" s="2"/>
      <c r="N81" s="2"/>
      <c r="O81" s="2"/>
      <c r="P81" s="2"/>
      <c r="Q81" s="2"/>
      <c r="R81" s="2"/>
      <c r="S81" s="2"/>
      <c r="T81" s="2"/>
      <c r="U81" s="2"/>
      <c r="V81" s="2"/>
      <c r="W81" s="2"/>
      <c r="X81" s="2"/>
    </row>
    <row r="82" ht="12.75" customHeight="1">
      <c r="A82" s="2"/>
      <c r="B82" s="2"/>
      <c r="C82" s="2"/>
      <c r="D82" s="2"/>
      <c r="E82" s="6"/>
      <c r="F82" s="2"/>
      <c r="G82" s="2"/>
      <c r="H82" s="2"/>
      <c r="I82" s="2"/>
      <c r="J82" s="2"/>
      <c r="K82" s="2"/>
      <c r="L82" s="2"/>
      <c r="M82" s="2"/>
      <c r="N82" s="2"/>
      <c r="O82" s="2"/>
      <c r="P82" s="2"/>
      <c r="Q82" s="2"/>
      <c r="R82" s="2"/>
      <c r="S82" s="2"/>
      <c r="T82" s="2"/>
      <c r="U82" s="2"/>
      <c r="V82" s="2"/>
      <c r="W82" s="2"/>
      <c r="X82" s="2"/>
    </row>
    <row r="83" ht="12.75" customHeight="1">
      <c r="A83" s="2"/>
      <c r="B83" s="2"/>
      <c r="C83" s="2"/>
      <c r="D83" s="2"/>
      <c r="E83" s="6"/>
      <c r="F83" s="2"/>
      <c r="G83" s="31"/>
      <c r="H83" s="31"/>
      <c r="I83" s="2"/>
      <c r="J83" s="2"/>
      <c r="K83" s="2"/>
      <c r="L83" s="2"/>
      <c r="M83" s="2"/>
      <c r="N83" s="2"/>
      <c r="O83" s="2"/>
      <c r="P83" s="2"/>
      <c r="Q83" s="2"/>
      <c r="R83" s="2"/>
      <c r="S83" s="2"/>
      <c r="T83" s="2"/>
      <c r="U83" s="2"/>
      <c r="V83" s="2"/>
      <c r="W83" s="2"/>
      <c r="X83" s="2"/>
    </row>
    <row r="84" ht="12.75" customHeight="1">
      <c r="A84" s="2"/>
      <c r="B84" s="2"/>
      <c r="C84" s="2"/>
      <c r="D84" s="2"/>
      <c r="E84" s="6"/>
      <c r="F84" s="2"/>
      <c r="G84" s="31"/>
      <c r="H84" s="31"/>
      <c r="I84" s="2"/>
      <c r="J84" s="2"/>
      <c r="K84" s="2"/>
      <c r="L84" s="2"/>
      <c r="M84" s="2"/>
      <c r="N84" s="2"/>
      <c r="O84" s="2"/>
      <c r="P84" s="2"/>
      <c r="Q84" s="2"/>
      <c r="R84" s="2"/>
      <c r="S84" s="2"/>
      <c r="T84" s="2"/>
      <c r="U84" s="2"/>
      <c r="V84" s="2"/>
      <c r="W84" s="2"/>
      <c r="X84" s="2"/>
    </row>
    <row r="85" ht="12.75" customHeight="1">
      <c r="A85" s="2"/>
      <c r="B85" s="2"/>
      <c r="C85" s="2"/>
      <c r="D85" s="2"/>
      <c r="E85" s="6"/>
      <c r="F85" s="2"/>
      <c r="G85" s="2"/>
      <c r="H85" s="2"/>
      <c r="I85" s="2"/>
      <c r="J85" s="2"/>
      <c r="K85" s="2"/>
      <c r="L85" s="2"/>
      <c r="M85" s="2"/>
      <c r="N85" s="2"/>
      <c r="O85" s="2"/>
      <c r="P85" s="2"/>
      <c r="Q85" s="2"/>
      <c r="R85" s="2"/>
      <c r="S85" s="2"/>
      <c r="T85" s="2"/>
      <c r="U85" s="2"/>
      <c r="V85" s="2"/>
      <c r="W85" s="2"/>
      <c r="X85" s="2"/>
    </row>
    <row r="86" ht="12.75" customHeight="1">
      <c r="A86" s="2"/>
      <c r="B86" s="2"/>
      <c r="C86" s="2"/>
      <c r="D86" s="2"/>
      <c r="E86" s="2"/>
      <c r="F86" s="2"/>
      <c r="G86" s="31"/>
      <c r="H86" s="2"/>
      <c r="I86" s="2"/>
      <c r="J86" s="2"/>
      <c r="K86" s="2"/>
      <c r="L86" s="2"/>
      <c r="M86" s="2"/>
      <c r="N86" s="2"/>
      <c r="O86" s="2"/>
      <c r="P86" s="2"/>
      <c r="Q86" s="2"/>
      <c r="R86" s="2"/>
      <c r="S86" s="2"/>
      <c r="T86" s="2"/>
      <c r="U86" s="2"/>
      <c r="V86" s="2"/>
      <c r="W86" s="2"/>
      <c r="X86" s="2"/>
    </row>
    <row r="87" ht="12.75" customHeight="1">
      <c r="A87" s="2"/>
      <c r="B87" s="2"/>
      <c r="C87" s="2"/>
      <c r="D87" s="2"/>
      <c r="E87" s="2"/>
      <c r="F87" s="2"/>
      <c r="G87" s="31"/>
      <c r="H87" s="31"/>
      <c r="I87" s="2"/>
      <c r="J87" s="2"/>
      <c r="K87" s="2"/>
      <c r="L87" s="2"/>
      <c r="M87" s="2"/>
      <c r="N87" s="2"/>
      <c r="O87" s="2"/>
      <c r="P87" s="2"/>
      <c r="Q87" s="2"/>
      <c r="R87" s="2"/>
      <c r="S87" s="2"/>
      <c r="T87" s="2"/>
      <c r="U87" s="2"/>
      <c r="V87" s="2"/>
      <c r="W87" s="2"/>
      <c r="X87" s="2"/>
    </row>
    <row r="88" ht="12.75" customHeight="1">
      <c r="A88" s="2"/>
      <c r="B88" s="2"/>
      <c r="C88" s="2"/>
      <c r="D88" s="2"/>
      <c r="E88" s="2"/>
      <c r="F88" s="2"/>
      <c r="G88" s="2"/>
      <c r="H88" s="2"/>
      <c r="I88" s="2"/>
      <c r="J88" s="2"/>
      <c r="K88" s="2"/>
      <c r="L88" s="2"/>
      <c r="M88" s="2"/>
      <c r="N88" s="2"/>
      <c r="O88" s="2"/>
      <c r="P88" s="2"/>
      <c r="Q88" s="2"/>
      <c r="R88" s="2"/>
      <c r="S88" s="2"/>
      <c r="T88" s="2"/>
      <c r="U88" s="2"/>
      <c r="V88" s="2"/>
      <c r="W88" s="2"/>
      <c r="X88" s="2"/>
    </row>
    <row r="89" ht="12.75" customHeight="1">
      <c r="A89" s="2"/>
      <c r="B89" s="2"/>
      <c r="C89" s="2"/>
      <c r="D89" s="2"/>
      <c r="E89" s="2"/>
      <c r="F89" s="2"/>
      <c r="G89" s="2"/>
      <c r="H89" s="31"/>
      <c r="I89" s="2"/>
      <c r="J89" s="2"/>
      <c r="K89" s="2"/>
      <c r="L89" s="2"/>
      <c r="M89" s="2"/>
      <c r="N89" s="2"/>
      <c r="O89" s="2"/>
      <c r="P89" s="2"/>
      <c r="Q89" s="2"/>
      <c r="R89" s="2"/>
      <c r="S89" s="2"/>
      <c r="T89" s="2"/>
      <c r="U89" s="2"/>
      <c r="V89" s="2"/>
      <c r="W89" s="2"/>
      <c r="X89" s="2"/>
    </row>
    <row r="90" ht="12.75" customHeight="1">
      <c r="A90" s="2"/>
      <c r="B90" s="2"/>
      <c r="C90" s="2"/>
      <c r="D90" s="2"/>
      <c r="E90" s="2"/>
      <c r="F90" s="2"/>
      <c r="G90" s="2"/>
      <c r="H90" s="2"/>
      <c r="I90" s="2"/>
      <c r="J90" s="2"/>
      <c r="K90" s="2"/>
      <c r="L90" s="2"/>
      <c r="M90" s="2"/>
      <c r="N90" s="2"/>
      <c r="O90" s="2"/>
      <c r="P90" s="2"/>
      <c r="Q90" s="2"/>
      <c r="R90" s="2"/>
      <c r="S90" s="2"/>
      <c r="T90" s="2"/>
      <c r="U90" s="2"/>
      <c r="V90" s="2"/>
      <c r="W90" s="2"/>
      <c r="X90" s="2"/>
    </row>
    <row r="91" ht="12.75" customHeight="1">
      <c r="A91" s="2"/>
      <c r="B91" s="2"/>
      <c r="C91" s="2"/>
      <c r="D91" s="2"/>
      <c r="E91" s="2"/>
      <c r="F91" s="2"/>
      <c r="G91" s="2"/>
      <c r="H91" s="31"/>
      <c r="I91" s="2"/>
      <c r="J91" s="2"/>
      <c r="K91" s="2"/>
      <c r="L91" s="2"/>
      <c r="M91" s="2"/>
      <c r="N91" s="2"/>
      <c r="O91" s="2"/>
      <c r="P91" s="2"/>
      <c r="Q91" s="2"/>
      <c r="R91" s="2"/>
      <c r="S91" s="2"/>
      <c r="T91" s="2"/>
      <c r="U91" s="2"/>
      <c r="V91" s="2"/>
      <c r="W91" s="2"/>
      <c r="X91" s="2"/>
    </row>
    <row r="92" ht="12.75" customHeight="1">
      <c r="A92" s="2"/>
      <c r="B92" s="2"/>
      <c r="C92" s="2"/>
      <c r="D92" s="2"/>
      <c r="E92" s="2"/>
      <c r="F92" s="2"/>
      <c r="G92" s="2"/>
      <c r="H92" s="31"/>
      <c r="I92" s="2"/>
      <c r="J92" s="2"/>
      <c r="K92" s="2"/>
      <c r="L92" s="2"/>
      <c r="M92" s="2"/>
      <c r="N92" s="2"/>
      <c r="O92" s="2"/>
      <c r="P92" s="2"/>
      <c r="Q92" s="2"/>
      <c r="R92" s="2"/>
      <c r="S92" s="2"/>
      <c r="T92" s="2"/>
      <c r="U92" s="2"/>
      <c r="V92" s="2"/>
      <c r="W92" s="2"/>
      <c r="X92" s="2"/>
    </row>
    <row r="93" ht="12.75" customHeight="1">
      <c r="A93" s="2"/>
      <c r="B93" s="2"/>
      <c r="C93" s="2"/>
      <c r="D93" s="2"/>
      <c r="E93" s="2"/>
      <c r="F93" s="2"/>
      <c r="G93" s="2"/>
      <c r="H93" s="2"/>
      <c r="I93" s="2"/>
      <c r="J93" s="2"/>
      <c r="K93" s="2"/>
      <c r="L93" s="2"/>
      <c r="M93" s="2"/>
      <c r="N93" s="2"/>
      <c r="O93" s="2"/>
      <c r="P93" s="2"/>
      <c r="Q93" s="2"/>
      <c r="R93" s="2"/>
      <c r="S93" s="2"/>
      <c r="T93" s="2"/>
      <c r="U93" s="2"/>
      <c r="V93" s="2"/>
      <c r="W93" s="2"/>
      <c r="X93" s="2"/>
    </row>
    <row r="94" ht="12.75" customHeight="1">
      <c r="A94" s="2"/>
      <c r="B94" s="2"/>
      <c r="C94" s="2"/>
      <c r="D94" s="2"/>
      <c r="E94" s="2"/>
      <c r="F94" s="2"/>
      <c r="G94" s="2"/>
      <c r="H94" s="31"/>
      <c r="I94" s="2"/>
      <c r="J94" s="2"/>
      <c r="K94" s="2"/>
      <c r="L94" s="2"/>
      <c r="M94" s="2"/>
      <c r="N94" s="2"/>
      <c r="O94" s="2"/>
      <c r="P94" s="2"/>
      <c r="Q94" s="2"/>
      <c r="R94" s="2"/>
      <c r="S94" s="2"/>
      <c r="T94" s="2"/>
      <c r="U94" s="2"/>
      <c r="V94" s="2"/>
      <c r="W94" s="2"/>
      <c r="X94" s="2"/>
    </row>
    <row r="95" ht="12.75" customHeight="1">
      <c r="A95" s="2"/>
      <c r="B95" s="2"/>
      <c r="C95" s="2"/>
      <c r="D95" s="2"/>
      <c r="E95" s="2"/>
      <c r="F95" s="2"/>
      <c r="G95" s="2"/>
      <c r="H95" s="31"/>
      <c r="I95" s="2"/>
      <c r="J95" s="2"/>
      <c r="K95" s="2"/>
      <c r="L95" s="2"/>
      <c r="M95" s="2"/>
      <c r="N95" s="2"/>
      <c r="O95" s="2"/>
      <c r="P95" s="2"/>
      <c r="Q95" s="2"/>
      <c r="R95" s="2"/>
      <c r="S95" s="2"/>
      <c r="T95" s="2"/>
      <c r="U95" s="2"/>
      <c r="V95" s="2"/>
      <c r="W95" s="2"/>
      <c r="X95" s="2"/>
    </row>
    <row r="96" ht="12.75" customHeight="1">
      <c r="A96" s="2"/>
      <c r="B96" s="2"/>
      <c r="C96" s="2"/>
      <c r="D96" s="2"/>
      <c r="E96" s="2"/>
      <c r="F96" s="2"/>
      <c r="G96" s="2"/>
      <c r="H96" s="2"/>
      <c r="I96" s="2"/>
      <c r="J96" s="2"/>
      <c r="K96" s="2"/>
      <c r="L96" s="2"/>
      <c r="M96" s="2"/>
      <c r="N96" s="2"/>
      <c r="O96" s="2"/>
      <c r="P96" s="2"/>
      <c r="Q96" s="2"/>
      <c r="R96" s="2"/>
      <c r="S96" s="2"/>
      <c r="T96" s="2"/>
      <c r="U96" s="2"/>
      <c r="V96" s="2"/>
      <c r="W96" s="2"/>
      <c r="X96" s="2"/>
    </row>
    <row r="97" ht="12.75" customHeight="1">
      <c r="A97" s="2"/>
      <c r="B97" s="2"/>
      <c r="C97" s="2"/>
      <c r="D97" s="2"/>
      <c r="E97" s="2"/>
      <c r="F97" s="2"/>
      <c r="G97" s="2"/>
      <c r="H97" s="31"/>
      <c r="I97" s="2"/>
      <c r="J97" s="2"/>
      <c r="K97" s="2"/>
      <c r="L97" s="2"/>
      <c r="M97" s="2"/>
      <c r="N97" s="2"/>
      <c r="O97" s="2"/>
      <c r="P97" s="2"/>
      <c r="Q97" s="2"/>
      <c r="R97" s="2"/>
      <c r="S97" s="2"/>
      <c r="T97" s="2"/>
      <c r="U97" s="2"/>
      <c r="V97" s="2"/>
      <c r="W97" s="2"/>
      <c r="X97" s="2"/>
    </row>
    <row r="98" ht="12.75" customHeight="1">
      <c r="A98" s="2"/>
      <c r="B98" s="2"/>
      <c r="C98" s="2"/>
      <c r="D98" s="2"/>
      <c r="E98" s="2"/>
      <c r="F98" s="2"/>
      <c r="G98" s="2"/>
      <c r="H98" s="31"/>
      <c r="I98" s="2"/>
      <c r="J98" s="2"/>
      <c r="K98" s="2"/>
      <c r="L98" s="2"/>
      <c r="M98" s="2"/>
      <c r="N98" s="2"/>
      <c r="O98" s="2"/>
      <c r="P98" s="2"/>
      <c r="Q98" s="2"/>
      <c r="R98" s="2"/>
      <c r="S98" s="2"/>
      <c r="T98" s="2"/>
      <c r="U98" s="2"/>
      <c r="V98" s="2"/>
      <c r="W98" s="2"/>
      <c r="X98" s="2"/>
    </row>
    <row r="99" ht="12.75" customHeight="1">
      <c r="A99" s="2"/>
      <c r="B99" s="2"/>
      <c r="C99" s="2"/>
      <c r="D99" s="2"/>
      <c r="E99" s="2"/>
      <c r="F99" s="2"/>
      <c r="G99" s="2"/>
      <c r="H99" s="2"/>
      <c r="I99" s="2"/>
      <c r="J99" s="2"/>
      <c r="K99" s="2"/>
      <c r="L99" s="2"/>
      <c r="M99" s="2"/>
      <c r="N99" s="2"/>
      <c r="O99" s="2"/>
      <c r="P99" s="2"/>
      <c r="Q99" s="2"/>
      <c r="R99" s="2"/>
      <c r="S99" s="2"/>
      <c r="T99" s="2"/>
      <c r="U99" s="2"/>
      <c r="V99" s="2"/>
      <c r="W99" s="2"/>
      <c r="X99" s="2"/>
    </row>
    <row r="100" ht="12.75" customHeight="1">
      <c r="A100" s="2"/>
      <c r="B100" s="2"/>
      <c r="C100" s="2"/>
      <c r="D100" s="2"/>
      <c r="E100" s="2"/>
      <c r="F100" s="2"/>
      <c r="G100" s="2"/>
      <c r="H100" s="31"/>
      <c r="I100" s="2"/>
      <c r="J100" s="2"/>
      <c r="K100" s="2"/>
      <c r="L100" s="2"/>
      <c r="M100" s="2"/>
      <c r="N100" s="2"/>
      <c r="O100" s="2"/>
      <c r="P100" s="2"/>
      <c r="Q100" s="2"/>
      <c r="R100" s="2"/>
      <c r="S100" s="2"/>
      <c r="T100" s="2"/>
      <c r="U100" s="2"/>
      <c r="V100" s="2"/>
      <c r="W100" s="2"/>
      <c r="X100" s="2"/>
    </row>
    <row r="101" ht="12.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row>
    <row r="102" ht="12.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row>
    <row r="103" ht="12.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row>
    <row r="104" ht="12.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row>
    <row r="105" ht="12.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row>
    <row r="106" ht="12.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row>
    <row r="107" ht="12.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row>
    <row r="108" ht="12.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row>
    <row r="109" ht="12.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row>
    <row r="110" ht="12.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row>
    <row r="111" ht="12.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row>
    <row r="112" ht="12.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row>
    <row r="113" ht="12.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row>
    <row r="114" ht="12.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row>
    <row r="115" ht="12.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row>
    <row r="116" ht="12.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row>
    <row r="117" ht="12.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row>
    <row r="118" ht="12.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row>
    <row r="119" ht="12.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row>
    <row r="120" ht="12.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row>
    <row r="121" ht="12.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row>
    <row r="122" ht="12.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row>
    <row r="123" ht="12.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row>
    <row r="124" ht="12.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row>
    <row r="125" ht="12.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row>
    <row r="126" ht="12.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row>
    <row r="127" ht="12.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row>
    <row r="128" ht="12.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row>
    <row r="129" ht="12.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row>
    <row r="130" ht="12.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row>
    <row r="131" ht="12.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row>
    <row r="132" ht="12.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row>
    <row r="133" ht="12.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row>
    <row r="134" ht="12.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row>
    <row r="135" ht="12.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row>
    <row r="136" ht="12.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row>
    <row r="137" ht="12.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row>
    <row r="138" ht="12.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row>
    <row r="139" ht="12.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row>
    <row r="140" ht="12.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row>
    <row r="141" ht="12.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row>
    <row r="142" ht="12.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row>
    <row r="143" ht="12.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row>
    <row r="144" ht="12.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row>
    <row r="145" ht="12.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row>
    <row r="146" ht="12.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row>
    <row r="147" ht="12.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row>
    <row r="148" ht="12.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row>
    <row r="149" ht="12.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row>
    <row r="150" ht="12.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row>
    <row r="151" ht="12.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row>
    <row r="152" ht="12.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row>
    <row r="153" ht="12.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row>
    <row r="154" ht="12.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row>
    <row r="155" ht="12.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row>
    <row r="156" ht="12.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row>
    <row r="157" ht="12.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row>
    <row r="158" ht="12.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row>
    <row r="159" ht="12.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row>
    <row r="160" ht="12.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row>
    <row r="161" ht="12.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row>
    <row r="162" ht="12.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row>
    <row r="163" ht="12.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row>
    <row r="164" ht="12.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row>
    <row r="165" ht="12.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row>
    <row r="166" ht="12.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row>
    <row r="167" ht="12.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row>
    <row r="168" ht="12.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row>
    <row r="169" ht="12.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row>
    <row r="170" ht="12.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row>
    <row r="171" ht="12.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row>
    <row r="172" ht="12.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row>
    <row r="173" ht="12.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row>
    <row r="174" ht="12.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row>
    <row r="175" ht="12.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row>
    <row r="176" ht="12.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row>
    <row r="177" ht="12.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row>
    <row r="178" ht="12.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row>
    <row r="179" ht="12.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row>
    <row r="180" ht="12.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row>
    <row r="181" ht="12.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row>
    <row r="182" ht="12.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row>
    <row r="183" ht="12.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row>
    <row r="184" ht="12.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row>
    <row r="185" ht="12.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row>
    <row r="186" ht="12.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row>
    <row r="187" ht="12.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row>
    <row r="188" ht="12.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row>
    <row r="189" ht="12.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row>
    <row r="190" ht="12.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row>
    <row r="191" ht="12.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row>
    <row r="192" ht="12.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row>
    <row r="193" ht="12.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row>
    <row r="194" ht="12.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row>
    <row r="195" ht="12.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row>
    <row r="196" ht="12.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row>
    <row r="197" ht="12.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row>
    <row r="198" ht="12.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row>
    <row r="199" ht="12.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row>
    <row r="200" ht="12.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row>
    <row r="201" ht="12.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row>
    <row r="202" ht="12.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row>
    <row r="203" ht="12.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row>
    <row r="204" ht="12.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row>
    <row r="205" ht="12.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row>
    <row r="206" ht="12.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row>
    <row r="207" ht="12.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row>
    <row r="208" ht="12.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row>
    <row r="209" ht="12.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row>
    <row r="210" ht="12.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row>
    <row r="211" ht="12.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row>
    <row r="212" ht="12.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row>
    <row r="213" ht="12.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row>
    <row r="214" ht="12.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row>
    <row r="215" ht="12.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row>
    <row r="216" ht="12.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row>
    <row r="217" ht="12.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row>
    <row r="218" ht="12.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row>
    <row r="219" ht="12.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row>
    <row r="220" ht="12.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row>
    <row r="221" ht="12.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row>
    <row r="222" ht="12.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row>
    <row r="223" ht="12.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row>
    <row r="224" ht="12.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row>
    <row r="225" ht="12.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row>
    <row r="226" ht="12.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row>
    <row r="227" ht="12.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row>
    <row r="228" ht="12.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row>
    <row r="229" ht="12.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row>
    <row r="230" ht="12.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row>
    <row r="231" ht="12.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row>
    <row r="232" ht="12.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row>
    <row r="233" ht="12.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row>
    <row r="234" ht="12.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row>
    <row r="235" ht="12.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row>
    <row r="236" ht="12.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row>
    <row r="237" ht="12.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row>
    <row r="238" ht="12.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row>
    <row r="239" ht="12.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row>
    <row r="240" ht="12.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row>
    <row r="241" ht="12.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row>
    <row r="242" ht="12.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row>
    <row r="243" ht="12.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row>
    <row r="244" ht="12.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row>
    <row r="245" ht="12.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row>
    <row r="246" ht="12.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row>
    <row r="247" ht="12.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row>
    <row r="248" ht="12.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row>
    <row r="249" ht="12.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row>
    <row r="250" ht="12.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row>
    <row r="251" ht="12.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row>
    <row r="252" ht="12.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row>
    <row r="253" ht="12.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row>
    <row r="254" ht="12.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row>
    <row r="255" ht="12.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row>
    <row r="256" ht="12.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row>
    <row r="257" ht="12.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row>
    <row r="258" ht="12.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row>
    <row r="259" ht="12.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row>
    <row r="260" ht="12.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row>
    <row r="261" ht="12.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row>
    <row r="262" ht="12.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row>
    <row r="263" ht="12.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row>
    <row r="264" ht="12.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row>
    <row r="265" ht="12.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row>
    <row r="266" ht="12.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row>
    <row r="267" ht="12.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row>
    <row r="268" ht="12.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row>
    <row r="269" ht="12.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row>
    <row r="270" ht="12.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row>
    <row r="271" ht="12.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row>
    <row r="272" ht="12.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row>
    <row r="273" ht="12.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row>
    <row r="274" ht="12.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row>
    <row r="275" ht="12.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row>
    <row r="276" ht="12.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row>
    <row r="277" ht="12.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row>
    <row r="278" ht="12.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row>
    <row r="279" ht="12.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row>
    <row r="280" ht="12.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row>
    <row r="281" ht="12.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row>
    <row r="282" ht="12.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row>
    <row r="283" ht="12.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row>
    <row r="284" ht="12.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row>
    <row r="285" ht="12.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row>
    <row r="286" ht="12.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row>
    <row r="287" ht="12.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row>
    <row r="288" ht="12.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row>
    <row r="289" ht="12.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row>
    <row r="290" ht="12.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row>
    <row r="291" ht="12.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row>
    <row r="292" ht="12.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row>
    <row r="293" ht="12.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row>
    <row r="294" ht="12.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row>
    <row r="295" ht="12.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row>
    <row r="296" ht="12.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row>
    <row r="297" ht="12.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row>
    <row r="298" ht="12.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row>
    <row r="299" ht="12.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row>
    <row r="300" ht="12.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row>
    <row r="301" ht="12.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row>
    <row r="302" ht="12.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row>
    <row r="303" ht="12.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row>
    <row r="304" ht="12.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row>
    <row r="305" ht="12.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row>
    <row r="306" ht="12.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row>
    <row r="307" ht="12.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row>
    <row r="308" ht="12.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row>
    <row r="309" ht="12.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row>
    <row r="310" ht="12.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row>
    <row r="311" ht="12.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row>
    <row r="312" ht="12.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row>
    <row r="313" ht="12.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row>
    <row r="314" ht="12.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row>
    <row r="315" ht="12.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row>
    <row r="316" ht="12.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row>
    <row r="317" ht="12.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row>
    <row r="318" ht="12.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row>
    <row r="319" ht="12.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row>
    <row r="320" ht="12.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row>
    <row r="321" ht="12.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row>
    <row r="322" ht="12.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row>
    <row r="323" ht="12.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row>
    <row r="324" ht="12.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row>
    <row r="325" ht="12.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row>
    <row r="326" ht="12.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row>
    <row r="327" ht="12.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row>
    <row r="328" ht="12.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row>
    <row r="329" ht="12.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row>
    <row r="330" ht="12.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row>
    <row r="331" ht="12.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row>
    <row r="332" ht="12.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row>
    <row r="333" ht="12.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row>
    <row r="334" ht="12.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row>
    <row r="335" ht="12.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row>
    <row r="336" ht="12.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row>
    <row r="337" ht="12.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row>
    <row r="338" ht="12.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row>
    <row r="339" ht="12.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row>
    <row r="340" ht="12.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row>
    <row r="341" ht="12.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row>
    <row r="342" ht="12.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row>
    <row r="343" ht="12.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row>
    <row r="344" ht="12.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row>
    <row r="345" ht="12.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row>
    <row r="346" ht="12.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row>
    <row r="347" ht="12.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row>
    <row r="348" ht="12.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row>
    <row r="349" ht="12.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row>
    <row r="350" ht="12.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row>
    <row r="351" ht="12.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row>
    <row r="352" ht="12.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row>
    <row r="353" ht="12.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row>
    <row r="354" ht="12.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row>
    <row r="355" ht="12.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row>
    <row r="356" ht="12.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row>
    <row r="357" ht="12.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row>
    <row r="358" ht="12.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row>
    <row r="359" ht="12.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row>
    <row r="360" ht="12.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row>
    <row r="361" ht="12.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row>
    <row r="362" ht="12.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row>
    <row r="363" ht="12.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row>
    <row r="364" ht="12.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row>
    <row r="365" ht="12.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row>
    <row r="366" ht="12.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row>
    <row r="367" ht="12.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row>
    <row r="368" ht="12.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row>
    <row r="369" ht="12.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row>
    <row r="370" ht="12.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row>
    <row r="371" ht="12.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row>
    <row r="372" ht="12.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row>
    <row r="373" ht="12.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row>
    <row r="374" ht="12.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row>
    <row r="375" ht="12.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row>
    <row r="376" ht="12.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row>
    <row r="377" ht="12.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row>
    <row r="378" ht="12.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row>
    <row r="379" ht="12.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row>
    <row r="380" ht="12.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row>
    <row r="381" ht="12.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row>
    <row r="382" ht="12.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row>
    <row r="383" ht="12.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row>
    <row r="384" ht="12.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row>
    <row r="385" ht="12.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row>
    <row r="386" ht="12.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row>
    <row r="387" ht="12.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row>
    <row r="388" ht="12.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row>
    <row r="389" ht="12.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row>
    <row r="390" ht="12.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row>
    <row r="391" ht="12.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row>
    <row r="392" ht="12.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row>
    <row r="393" ht="12.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row>
    <row r="394" ht="12.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row>
    <row r="395" ht="12.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row>
    <row r="396" ht="12.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row>
    <row r="397" ht="12.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row>
    <row r="398" ht="12.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row>
    <row r="399" ht="12.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row>
    <row r="400" ht="12.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row>
    <row r="401" ht="12.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row>
    <row r="402" ht="12.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row>
    <row r="403" ht="12.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row>
    <row r="404" ht="12.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row>
    <row r="405" ht="12.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row>
    <row r="406" ht="12.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row>
    <row r="407" ht="12.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row>
    <row r="408" ht="12.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row>
    <row r="409" ht="12.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row>
    <row r="410" ht="12.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row>
    <row r="411" ht="12.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row>
    <row r="412" ht="12.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row>
    <row r="413" ht="12.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row>
    <row r="414" ht="12.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row>
    <row r="415" ht="12.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row>
    <row r="416" ht="12.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row>
    <row r="417" ht="12.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row>
    <row r="418" ht="12.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row>
    <row r="419" ht="12.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row>
    <row r="420" ht="12.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row>
    <row r="421" ht="12.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row>
    <row r="422" ht="12.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row>
    <row r="423" ht="12.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row>
    <row r="424" ht="12.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row>
    <row r="425" ht="12.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row>
    <row r="426" ht="12.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row>
    <row r="427" ht="12.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row>
    <row r="428" ht="12.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row>
    <row r="429" ht="12.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row>
    <row r="430" ht="12.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row>
    <row r="431" ht="12.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row>
    <row r="432" ht="12.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row>
    <row r="433" ht="12.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row>
    <row r="434" ht="12.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row>
    <row r="435" ht="12.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row>
    <row r="436" ht="12.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row>
    <row r="437" ht="12.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row>
    <row r="438" ht="12.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row>
    <row r="439" ht="12.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row>
    <row r="440" ht="12.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row>
    <row r="441" ht="12.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row>
    <row r="442" ht="12.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row>
    <row r="443" ht="12.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row>
    <row r="444" ht="12.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row>
    <row r="445" ht="12.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row>
    <row r="446" ht="12.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row>
    <row r="447" ht="12.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row>
    <row r="448" ht="12.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row>
    <row r="449" ht="12.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row>
    <row r="450" ht="12.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row>
    <row r="451" ht="12.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row>
    <row r="452" ht="12.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row>
    <row r="453" ht="12.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row>
    <row r="454" ht="12.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row>
    <row r="455" ht="12.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row>
    <row r="456" ht="12.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row>
    <row r="457" ht="12.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row>
    <row r="458" ht="12.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row>
    <row r="459" ht="12.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row>
    <row r="460" ht="12.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row>
    <row r="461" ht="12.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row>
    <row r="462" ht="12.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row>
    <row r="463" ht="12.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row>
    <row r="464" ht="12.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row>
    <row r="465" ht="12.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row>
    <row r="466" ht="12.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row>
    <row r="467" ht="12.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row>
    <row r="468" ht="12.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row>
    <row r="469" ht="12.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row>
    <row r="470" ht="12.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row>
    <row r="471" ht="12.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row>
    <row r="472" ht="12.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row>
    <row r="473" ht="12.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row>
    <row r="474" ht="12.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row>
    <row r="475" ht="12.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row>
    <row r="476" ht="12.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row>
    <row r="477" ht="12.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row>
    <row r="478" ht="12.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row>
    <row r="479" ht="12.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row>
    <row r="480" ht="12.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row>
    <row r="481" ht="12.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row>
    <row r="482" ht="12.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row>
    <row r="483" ht="12.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row>
    <row r="484" ht="12.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row>
    <row r="485" ht="12.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row>
    <row r="486" ht="12.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row>
    <row r="487" ht="12.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row>
    <row r="488" ht="12.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row>
    <row r="489" ht="12.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row>
    <row r="490" ht="12.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row>
    <row r="491" ht="12.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row>
    <row r="492" ht="12.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row>
    <row r="493" ht="12.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row>
    <row r="494" ht="12.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row>
    <row r="495" ht="12.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row>
    <row r="496" ht="12.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row>
    <row r="497" ht="12.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row>
    <row r="498" ht="12.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row>
    <row r="499" ht="12.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row>
    <row r="500" ht="12.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row>
    <row r="501" ht="12.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row>
    <row r="502" ht="12.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row>
    <row r="503" ht="12.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row>
    <row r="504" ht="12.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row>
    <row r="505" ht="12.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row>
    <row r="506" ht="12.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row>
    <row r="507" ht="12.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row>
    <row r="508" ht="12.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row>
    <row r="509" ht="12.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row>
    <row r="510" ht="12.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row>
    <row r="511" ht="12.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row>
    <row r="512" ht="12.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row>
    <row r="513" ht="12.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row>
    <row r="514" ht="12.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row>
    <row r="515" ht="12.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row>
    <row r="516" ht="12.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row>
    <row r="517" ht="12.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row>
    <row r="518" ht="12.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row>
    <row r="519" ht="12.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row>
    <row r="520" ht="12.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row>
    <row r="521" ht="12.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row>
    <row r="522" ht="12.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row>
    <row r="523" ht="12.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row>
    <row r="524" ht="12.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row>
    <row r="525" ht="12.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row>
    <row r="526" ht="12.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row>
    <row r="527" ht="12.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row>
    <row r="528" ht="12.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row>
    <row r="529" ht="12.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row>
    <row r="530" ht="12.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row>
    <row r="531" ht="12.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row>
    <row r="532" ht="12.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row>
    <row r="533" ht="12.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row>
    <row r="534" ht="12.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row>
    <row r="535" ht="12.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row>
    <row r="536" ht="12.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row>
    <row r="537" ht="12.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row>
    <row r="538" ht="12.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row>
    <row r="539" ht="12.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row>
    <row r="540" ht="12.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row>
    <row r="541" ht="12.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row>
    <row r="542" ht="12.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row>
    <row r="543" ht="12.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row>
    <row r="544" ht="12.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row>
    <row r="545" ht="12.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row>
    <row r="546" ht="12.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row>
    <row r="547" ht="12.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row>
    <row r="548" ht="12.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row>
    <row r="549" ht="12.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row>
    <row r="550" ht="12.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row>
    <row r="551" ht="12.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row>
    <row r="552" ht="12.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row>
    <row r="553" ht="12.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row>
    <row r="554" ht="12.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row>
    <row r="555" ht="12.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row>
    <row r="556" ht="12.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row>
    <row r="557" ht="12.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row>
    <row r="558" ht="12.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row>
    <row r="559" ht="12.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row>
    <row r="560" ht="12.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row>
    <row r="561" ht="12.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row>
    <row r="562" ht="12.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row>
    <row r="563" ht="12.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row>
    <row r="564" ht="12.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row>
    <row r="565" ht="12.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row>
    <row r="566" ht="12.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row>
    <row r="567" ht="12.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row>
    <row r="568" ht="12.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row>
    <row r="569" ht="12.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row>
    <row r="570" ht="12.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row>
    <row r="571" ht="12.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row>
    <row r="572" ht="12.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row>
    <row r="573" ht="12.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row>
    <row r="574" ht="12.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row>
    <row r="575" ht="12.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row>
    <row r="576" ht="12.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row>
    <row r="577" ht="12.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row>
    <row r="578" ht="12.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row>
    <row r="579" ht="12.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row>
    <row r="580" ht="12.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row>
    <row r="581" ht="12.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row>
    <row r="582" ht="12.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row>
    <row r="583" ht="12.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row>
    <row r="584" ht="12.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row>
    <row r="585" ht="12.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row>
    <row r="586" ht="12.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row>
    <row r="587" ht="12.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row>
    <row r="588" ht="12.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row>
    <row r="589" ht="12.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row>
    <row r="590" ht="12.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row>
    <row r="591" ht="12.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row>
    <row r="592" ht="12.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row>
    <row r="593" ht="12.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row>
    <row r="594" ht="12.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row>
    <row r="595" ht="12.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row>
    <row r="596" ht="12.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row>
    <row r="597" ht="12.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row>
    <row r="598" ht="12.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row>
    <row r="599" ht="12.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row>
    <row r="600" ht="12.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row>
    <row r="601" ht="12.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row>
    <row r="602" ht="12.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row>
    <row r="603" ht="12.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row>
    <row r="604" ht="12.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row>
    <row r="605" ht="12.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row>
    <row r="606" ht="12.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row>
    <row r="607" ht="12.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row>
    <row r="608" ht="12.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row>
    <row r="609" ht="12.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row>
    <row r="610" ht="12.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row>
    <row r="611" ht="12.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row>
    <row r="612" ht="12.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row>
    <row r="613" ht="12.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row>
    <row r="614" ht="12.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row>
    <row r="615" ht="12.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row>
    <row r="616" ht="12.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row>
    <row r="617" ht="12.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row>
    <row r="618" ht="12.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row>
    <row r="619" ht="12.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row>
    <row r="620" ht="12.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row>
    <row r="621" ht="12.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row>
    <row r="622" ht="12.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row>
    <row r="623" ht="12.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row>
    <row r="624" ht="12.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row>
    <row r="625" ht="12.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row>
    <row r="626" ht="12.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row>
    <row r="627" ht="12.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row>
    <row r="628" ht="12.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row>
    <row r="629" ht="12.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row>
    <row r="630" ht="12.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row>
    <row r="631" ht="12.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row>
    <row r="632" ht="12.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row>
    <row r="633" ht="12.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row>
    <row r="634" ht="12.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row>
    <row r="635" ht="12.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row>
    <row r="636" ht="12.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row>
    <row r="637" ht="12.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row>
    <row r="638" ht="12.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row>
    <row r="639" ht="12.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row>
    <row r="640" ht="12.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row>
    <row r="641" ht="12.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row>
    <row r="642" ht="12.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row>
    <row r="643" ht="12.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row>
    <row r="644" ht="12.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row>
    <row r="645" ht="12.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row>
    <row r="646" ht="12.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row>
    <row r="647" ht="12.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row>
    <row r="648" ht="12.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row>
    <row r="649" ht="12.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row>
    <row r="650" ht="12.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row>
    <row r="651" ht="12.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row>
    <row r="652" ht="12.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row>
    <row r="653" ht="12.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row>
    <row r="654" ht="12.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row>
    <row r="655" ht="12.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row>
    <row r="656" ht="12.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row>
    <row r="657" ht="12.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row>
    <row r="658" ht="12.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row>
    <row r="659" ht="12.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row>
    <row r="660" ht="12.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row>
    <row r="661" ht="12.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row>
    <row r="662" ht="12.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row>
    <row r="663" ht="12.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row>
    <row r="664" ht="12.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row>
    <row r="665" ht="12.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row>
    <row r="666" ht="12.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row>
    <row r="667" ht="12.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row>
    <row r="668" ht="12.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row>
    <row r="669" ht="12.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row>
    <row r="670" ht="12.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row>
    <row r="671" ht="12.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row>
    <row r="672" ht="12.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row>
    <row r="673" ht="12.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row>
    <row r="674" ht="12.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row>
    <row r="675" ht="12.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row>
    <row r="676" ht="12.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row>
    <row r="677" ht="12.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row>
    <row r="678" ht="12.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row>
    <row r="679" ht="12.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row>
    <row r="680" ht="12.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row>
    <row r="681" ht="12.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row>
    <row r="682" ht="12.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row>
    <row r="683" ht="12.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row>
    <row r="684" ht="12.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row>
    <row r="685" ht="12.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row>
    <row r="686" ht="12.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row>
    <row r="687" ht="12.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row>
    <row r="688" ht="12.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row>
    <row r="689" ht="12.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row>
    <row r="690" ht="12.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row>
    <row r="691" ht="12.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row>
    <row r="692" ht="12.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row>
    <row r="693" ht="12.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row>
    <row r="694" ht="12.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row>
    <row r="695" ht="12.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row>
    <row r="696" ht="12.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row>
    <row r="697" ht="12.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row>
    <row r="698" ht="12.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row>
    <row r="699" ht="12.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row>
    <row r="700" ht="12.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row>
    <row r="701" ht="12.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row>
    <row r="702" ht="12.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row>
    <row r="703" ht="12.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row>
    <row r="704" ht="12.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row>
    <row r="705" ht="12.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row>
    <row r="706" ht="12.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row>
    <row r="707" ht="12.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row>
    <row r="708" ht="12.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row>
    <row r="709" ht="12.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row>
    <row r="710" ht="12.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row>
    <row r="711" ht="12.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row>
    <row r="712" ht="12.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row>
    <row r="713" ht="12.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row>
    <row r="714" ht="12.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row>
    <row r="715" ht="12.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row>
    <row r="716" ht="12.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row>
    <row r="717" ht="12.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row>
    <row r="718" ht="12.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row>
    <row r="719" ht="12.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row>
    <row r="720" ht="12.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row>
    <row r="721" ht="12.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row>
    <row r="722" ht="12.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row>
    <row r="723" ht="12.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row>
    <row r="724" ht="12.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row>
    <row r="725" ht="12.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row>
    <row r="726" ht="12.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row>
    <row r="727" ht="12.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row>
    <row r="728" ht="12.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row>
    <row r="729" ht="12.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row>
    <row r="730" ht="12.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row>
    <row r="731" ht="12.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row>
    <row r="732" ht="12.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row>
    <row r="733" ht="12.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row>
    <row r="734" ht="12.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row>
    <row r="735" ht="12.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row>
    <row r="736" ht="12.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row>
    <row r="737" ht="12.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row>
    <row r="738" ht="12.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row>
    <row r="739" ht="12.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row>
    <row r="740" ht="12.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row>
    <row r="741" ht="12.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row>
    <row r="742" ht="12.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row>
    <row r="743" ht="12.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row>
    <row r="744" ht="12.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row>
    <row r="745" ht="12.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row>
    <row r="746" ht="12.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row>
    <row r="747" ht="12.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row>
    <row r="748" ht="12.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row>
    <row r="749" ht="12.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row>
    <row r="750" ht="12.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row>
    <row r="751" ht="12.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row>
    <row r="752" ht="12.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row>
    <row r="753" ht="12.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row>
    <row r="754" ht="12.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row>
    <row r="755" ht="12.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row>
    <row r="756" ht="12.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row>
    <row r="757" ht="12.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row>
    <row r="758" ht="12.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row>
    <row r="759" ht="12.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row>
    <row r="760" ht="12.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row>
    <row r="761" ht="12.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row>
    <row r="762" ht="12.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row>
    <row r="763" ht="12.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row>
    <row r="764" ht="12.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row>
    <row r="765" ht="12.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row>
    <row r="766" ht="12.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row>
    <row r="767" ht="12.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row>
    <row r="768" ht="12.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row>
    <row r="769" ht="12.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row>
    <row r="770" ht="12.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row>
    <row r="771" ht="12.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row>
    <row r="772" ht="12.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row>
    <row r="773" ht="12.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row>
    <row r="774" ht="12.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row>
    <row r="775" ht="12.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row>
    <row r="776" ht="12.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row>
    <row r="777" ht="12.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row>
    <row r="778" ht="12.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row>
    <row r="779" ht="12.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row>
    <row r="780" ht="12.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row>
    <row r="781" ht="12.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row>
    <row r="782" ht="12.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row>
    <row r="783" ht="12.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row>
    <row r="784" ht="12.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row>
    <row r="785" ht="12.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row>
    <row r="786" ht="12.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row>
    <row r="787" ht="12.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row>
    <row r="788" ht="12.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row>
    <row r="789" ht="12.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row>
    <row r="790" ht="12.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row>
    <row r="791" ht="12.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row>
    <row r="792" ht="12.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row>
    <row r="793" ht="12.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row>
    <row r="794" ht="12.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row>
    <row r="795" ht="12.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row>
    <row r="796" ht="12.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row>
    <row r="797" ht="12.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row>
    <row r="798" ht="12.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row>
    <row r="799" ht="12.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row>
    <row r="800" ht="12.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row>
    <row r="801" ht="12.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row>
    <row r="802" ht="12.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row>
    <row r="803" ht="12.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row>
    <row r="804" ht="12.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row>
    <row r="805" ht="12.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row>
    <row r="806" ht="12.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row>
    <row r="807" ht="12.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row>
    <row r="808" ht="12.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row>
    <row r="809" ht="12.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row>
    <row r="810" ht="12.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row>
    <row r="811" ht="12.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row>
    <row r="812" ht="12.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row>
    <row r="813" ht="12.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row>
    <row r="814" ht="12.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row>
    <row r="815" ht="12.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row>
    <row r="816" ht="12.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row>
    <row r="817" ht="12.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row>
    <row r="818" ht="12.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row>
    <row r="819" ht="12.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row>
    <row r="820" ht="12.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row>
    <row r="821" ht="12.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row>
    <row r="822" ht="12.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row>
    <row r="823" ht="12.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row>
    <row r="824" ht="12.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row>
    <row r="825" ht="12.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row>
    <row r="826" ht="12.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row>
    <row r="827" ht="12.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row>
    <row r="828" ht="12.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row>
    <row r="829" ht="12.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row>
    <row r="830" ht="12.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row>
    <row r="831" ht="12.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row>
    <row r="832" ht="12.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row>
    <row r="833" ht="12.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row>
    <row r="834" ht="12.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row>
    <row r="835" ht="12.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row>
    <row r="836" ht="12.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row>
    <row r="837" ht="12.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row>
    <row r="838" ht="12.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row>
    <row r="839" ht="12.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row>
    <row r="840" ht="12.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row>
    <row r="841" ht="12.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row>
    <row r="842" ht="12.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row>
    <row r="843" ht="12.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row>
    <row r="844" ht="12.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row>
    <row r="845" ht="12.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row>
    <row r="846" ht="12.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row>
    <row r="847" ht="12.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row>
    <row r="848" ht="12.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row>
    <row r="849" ht="12.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row>
    <row r="850" ht="12.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row>
    <row r="851" ht="12.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row>
    <row r="852" ht="12.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row>
    <row r="853" ht="12.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row>
    <row r="854" ht="12.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row>
    <row r="855" ht="12.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row>
    <row r="856" ht="12.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row>
    <row r="857" ht="12.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row>
    <row r="858" ht="12.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row>
    <row r="859" ht="12.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row>
    <row r="860" ht="12.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row>
    <row r="861" ht="12.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row>
    <row r="862" ht="12.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row>
    <row r="863" ht="12.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row>
    <row r="864" ht="12.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row>
    <row r="865" ht="12.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row>
    <row r="866" ht="12.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row>
    <row r="867" ht="12.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row>
    <row r="868" ht="12.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row>
    <row r="869" ht="12.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row>
    <row r="870" ht="12.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row>
    <row r="871" ht="12.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row>
    <row r="872" ht="12.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row>
    <row r="873" ht="12.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row>
    <row r="874" ht="12.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row>
    <row r="875" ht="12.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row>
    <row r="876" ht="12.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row>
    <row r="877" ht="12.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row>
    <row r="878" ht="12.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row>
    <row r="879" ht="12.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row>
    <row r="880" ht="12.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row>
    <row r="881" ht="12.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row>
    <row r="882" ht="12.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row>
    <row r="883" ht="12.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row>
    <row r="884" ht="12.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row>
    <row r="885" ht="12.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row>
    <row r="886" ht="12.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row>
    <row r="887" ht="12.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row>
    <row r="888" ht="12.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row>
    <row r="889" ht="12.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row>
    <row r="890" ht="12.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row>
    <row r="891" ht="12.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row>
    <row r="892" ht="12.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row>
    <row r="893" ht="12.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row>
    <row r="894" ht="12.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row>
    <row r="895" ht="12.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row>
    <row r="896" ht="12.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row>
    <row r="897" ht="12.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row>
    <row r="898" ht="12.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row>
    <row r="899" ht="12.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row>
    <row r="900" ht="12.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row>
    <row r="901" ht="12.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row>
    <row r="902" ht="12.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row>
    <row r="903" ht="12.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row>
    <row r="904" ht="12.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row>
    <row r="905" ht="12.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row>
    <row r="906" ht="12.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row>
    <row r="907" ht="12.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row>
    <row r="908" ht="12.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row>
    <row r="909" ht="12.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row>
    <row r="910" ht="12.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row>
    <row r="911" ht="12.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row>
    <row r="912" ht="12.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row>
    <row r="913" ht="12.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row>
    <row r="914" ht="12.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row>
    <row r="915" ht="12.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row>
    <row r="916" ht="12.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row>
    <row r="917" ht="12.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row>
    <row r="918" ht="12.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row>
    <row r="919" ht="12.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row>
    <row r="920" ht="12.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row>
    <row r="921" ht="12.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row>
    <row r="922" ht="12.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row>
    <row r="923" ht="12.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row>
    <row r="924" ht="12.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row>
    <row r="925" ht="12.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row>
    <row r="926" ht="12.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row>
    <row r="927" ht="12.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row>
    <row r="928" ht="12.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row>
    <row r="929" ht="12.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row>
    <row r="930" ht="12.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row>
    <row r="931" ht="12.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row>
    <row r="932" ht="12.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row>
    <row r="933" ht="12.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row>
    <row r="934" ht="12.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row>
    <row r="935" ht="12.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row>
    <row r="936" ht="12.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row>
    <row r="937" ht="12.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row>
    <row r="938" ht="12.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row>
    <row r="939" ht="12.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row>
    <row r="940" ht="12.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row>
    <row r="941" ht="12.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row>
    <row r="942" ht="12.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row>
    <row r="943" ht="12.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row>
    <row r="944" ht="12.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row>
    <row r="945" ht="12.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row>
    <row r="946" ht="12.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row>
    <row r="947" ht="12.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row>
    <row r="948" ht="12.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row>
    <row r="949" ht="12.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row>
    <row r="950" ht="12.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row>
    <row r="951" ht="12.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row>
    <row r="952" ht="12.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row>
    <row r="953" ht="12.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row>
    <row r="954" ht="12.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row>
    <row r="955" ht="12.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row>
    <row r="956" ht="12.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row>
    <row r="957" ht="12.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row>
    <row r="958" ht="12.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row>
    <row r="959" ht="12.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row>
    <row r="960" ht="12.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row>
    <row r="961" ht="12.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row>
    <row r="962" ht="12.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row>
    <row r="963" ht="12.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row>
    <row r="964" ht="12.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row>
    <row r="965" ht="12.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row>
    <row r="966" ht="12.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row>
    <row r="967" ht="12.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row>
    <row r="968" ht="12.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row>
    <row r="969" ht="12.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row>
    <row r="970" ht="12.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row>
    <row r="971" ht="12.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row>
    <row r="972" ht="12.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row>
    <row r="973" ht="12.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row>
    <row r="974" ht="12.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row>
    <row r="975" ht="12.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row>
    <row r="976" ht="12.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row>
    <row r="977" ht="12.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row>
    <row r="978" ht="12.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row>
    <row r="979" ht="12.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row>
    <row r="980" ht="12.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row>
    <row r="981" ht="12.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row>
    <row r="982" ht="12.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row>
    <row r="983" ht="12.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row>
    <row r="984" ht="12.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row>
    <row r="985" ht="12.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row>
    <row r="986" ht="12.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row>
    <row r="987" ht="12.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row>
    <row r="988" ht="12.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row>
    <row r="989" ht="12.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row>
    <row r="990" ht="12.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row>
    <row r="991" ht="12.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row>
    <row r="992" ht="12.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row>
    <row r="993" ht="12.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row>
    <row r="994" ht="12.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row>
    <row r="995" ht="12.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row>
    <row r="996" ht="12.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row>
    <row r="997" ht="12.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row>
    <row r="998" ht="12.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row>
    <row r="999" ht="12.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row>
    <row r="1000" ht="12.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26" width="10.78"/>
  </cols>
  <sheetData>
    <row r="1" ht="129.75" customHeight="1">
      <c r="A1" s="3" t="s">
        <v>1</v>
      </c>
      <c r="B1" s="5" t="s">
        <v>6</v>
      </c>
      <c r="C1" s="5" t="s">
        <v>8</v>
      </c>
      <c r="D1" s="5" t="s">
        <v>9</v>
      </c>
      <c r="E1" s="7" t="s">
        <v>10</v>
      </c>
      <c r="F1" s="7" t="s">
        <v>14</v>
      </c>
      <c r="G1" s="9" t="s">
        <v>15</v>
      </c>
      <c r="H1" s="10" t="s">
        <v>17</v>
      </c>
      <c r="I1" s="11" t="s">
        <v>18</v>
      </c>
      <c r="J1" s="11" t="s">
        <v>19</v>
      </c>
      <c r="K1" s="12" t="s">
        <v>20</v>
      </c>
      <c r="L1" s="12" t="s">
        <v>21</v>
      </c>
      <c r="M1" s="12" t="s">
        <v>22</v>
      </c>
      <c r="N1" s="12" t="s">
        <v>23</v>
      </c>
      <c r="O1" s="12" t="s">
        <v>24</v>
      </c>
      <c r="P1" s="12" t="s">
        <v>25</v>
      </c>
      <c r="Q1" s="12" t="s">
        <v>26</v>
      </c>
      <c r="R1" s="12" t="s">
        <v>27</v>
      </c>
      <c r="S1" s="12" t="s">
        <v>28</v>
      </c>
      <c r="T1" s="12" t="s">
        <v>29</v>
      </c>
      <c r="U1" s="14" t="s">
        <v>30</v>
      </c>
      <c r="V1" s="16" t="s">
        <v>34</v>
      </c>
      <c r="W1" s="16" t="s">
        <v>36</v>
      </c>
      <c r="X1" s="14" t="s">
        <v>37</v>
      </c>
      <c r="Y1" s="18"/>
      <c r="Z1" s="18"/>
    </row>
    <row r="2" ht="72.75" customHeight="1">
      <c r="A2" s="20" t="s">
        <v>39</v>
      </c>
      <c r="B2" s="21" t="s">
        <v>64</v>
      </c>
      <c r="C2" s="21" t="s">
        <v>68</v>
      </c>
      <c r="D2" s="21" t="s">
        <v>69</v>
      </c>
      <c r="E2" s="23" t="s">
        <v>70</v>
      </c>
      <c r="F2" s="23"/>
      <c r="G2" s="24" t="s">
        <v>95</v>
      </c>
      <c r="H2" s="26" t="s">
        <v>96</v>
      </c>
      <c r="I2" s="11"/>
      <c r="J2" s="27"/>
      <c r="K2" s="29" t="s">
        <v>99</v>
      </c>
      <c r="L2" s="29" t="s">
        <v>100</v>
      </c>
      <c r="M2" s="29" t="s">
        <v>101</v>
      </c>
      <c r="N2" s="30">
        <v>41659.0</v>
      </c>
      <c r="O2" s="29" t="s">
        <v>102</v>
      </c>
      <c r="P2" s="29"/>
      <c r="Q2" s="29"/>
      <c r="R2" s="29"/>
      <c r="S2" s="29"/>
      <c r="T2" s="29"/>
      <c r="U2" s="32" t="s">
        <v>103</v>
      </c>
      <c r="V2" s="16">
        <v>3.0</v>
      </c>
      <c r="W2" s="33" t="s">
        <v>113</v>
      </c>
      <c r="X2" s="32" t="s">
        <v>114</v>
      </c>
      <c r="Y2" s="32"/>
      <c r="Z2" s="32"/>
    </row>
    <row r="3" ht="60.75" customHeight="1">
      <c r="A3" s="20" t="s">
        <v>39</v>
      </c>
      <c r="B3" s="21" t="s">
        <v>115</v>
      </c>
      <c r="C3" s="21" t="s">
        <v>68</v>
      </c>
      <c r="D3" s="21" t="s">
        <v>69</v>
      </c>
      <c r="E3" s="23" t="s">
        <v>116</v>
      </c>
      <c r="F3" s="23"/>
      <c r="G3" s="24" t="s">
        <v>117</v>
      </c>
      <c r="H3" s="26" t="s">
        <v>118</v>
      </c>
      <c r="I3" s="27" t="s">
        <v>119</v>
      </c>
      <c r="J3" s="27"/>
      <c r="K3" s="29"/>
      <c r="L3" s="29"/>
      <c r="M3" s="29"/>
      <c r="N3" s="29"/>
      <c r="O3" s="29"/>
      <c r="P3" s="29"/>
      <c r="Q3" s="29"/>
      <c r="R3" s="29"/>
      <c r="S3" s="29"/>
      <c r="T3" s="29"/>
      <c r="U3" s="32" t="s">
        <v>120</v>
      </c>
      <c r="V3" s="16">
        <v>1.0</v>
      </c>
      <c r="W3" s="33" t="s">
        <v>121</v>
      </c>
      <c r="X3" s="32" t="s">
        <v>37</v>
      </c>
      <c r="Y3" s="32"/>
      <c r="Z3" s="32"/>
    </row>
    <row r="4" ht="75.75" customHeight="1">
      <c r="A4" s="20" t="s">
        <v>39</v>
      </c>
      <c r="B4" s="21" t="s">
        <v>115</v>
      </c>
      <c r="C4" s="21" t="s">
        <v>68</v>
      </c>
      <c r="D4" s="21" t="s">
        <v>69</v>
      </c>
      <c r="E4" s="23" t="s">
        <v>122</v>
      </c>
      <c r="F4" s="23"/>
      <c r="G4" s="24" t="s">
        <v>95</v>
      </c>
      <c r="H4" s="26" t="s">
        <v>123</v>
      </c>
      <c r="I4" s="27" t="s">
        <v>124</v>
      </c>
      <c r="J4" s="27"/>
      <c r="K4" s="29"/>
      <c r="L4" s="29"/>
      <c r="M4" s="29"/>
      <c r="N4" s="29"/>
      <c r="O4" s="29"/>
      <c r="P4" s="29"/>
      <c r="Q4" s="29"/>
      <c r="R4" s="29"/>
      <c r="S4" s="29"/>
      <c r="T4" s="29"/>
      <c r="U4" s="32" t="s">
        <v>125</v>
      </c>
      <c r="V4" s="16">
        <v>1.0</v>
      </c>
      <c r="W4" s="33" t="s">
        <v>126</v>
      </c>
      <c r="X4" s="32" t="s">
        <v>37</v>
      </c>
      <c r="Y4" s="32"/>
      <c r="Z4" s="32"/>
    </row>
    <row r="5" ht="70.5" customHeight="1">
      <c r="A5" s="20" t="s">
        <v>39</v>
      </c>
      <c r="B5" s="21" t="s">
        <v>64</v>
      </c>
      <c r="C5" s="21" t="s">
        <v>68</v>
      </c>
      <c r="D5" s="21" t="s">
        <v>69</v>
      </c>
      <c r="E5" s="23" t="s">
        <v>127</v>
      </c>
      <c r="F5" s="23"/>
      <c r="G5" s="24" t="s">
        <v>117</v>
      </c>
      <c r="H5" s="34" t="s">
        <v>128</v>
      </c>
      <c r="I5" s="27" t="s">
        <v>129</v>
      </c>
      <c r="J5" s="27"/>
      <c r="K5" s="29"/>
      <c r="L5" s="29"/>
      <c r="M5" s="29"/>
      <c r="N5" s="29"/>
      <c r="O5" s="29"/>
      <c r="P5" s="29"/>
      <c r="Q5" s="29"/>
      <c r="R5" s="29"/>
      <c r="S5" s="29"/>
      <c r="T5" s="29"/>
      <c r="U5" s="32" t="s">
        <v>130</v>
      </c>
      <c r="V5" s="16">
        <v>1.0</v>
      </c>
      <c r="W5" s="33" t="s">
        <v>126</v>
      </c>
      <c r="X5" s="32" t="s">
        <v>37</v>
      </c>
      <c r="Y5" s="32"/>
      <c r="Z5" s="32"/>
    </row>
    <row r="6" ht="81.75" customHeight="1">
      <c r="A6" s="20" t="s">
        <v>39</v>
      </c>
      <c r="B6" s="21"/>
      <c r="C6" s="21" t="s">
        <v>68</v>
      </c>
      <c r="D6" s="21" t="s">
        <v>69</v>
      </c>
      <c r="E6" s="23" t="s">
        <v>131</v>
      </c>
      <c r="F6" s="23"/>
      <c r="G6" s="24"/>
      <c r="H6" s="26" t="s">
        <v>132</v>
      </c>
      <c r="I6" s="27" t="s">
        <v>133</v>
      </c>
      <c r="J6" s="27"/>
      <c r="K6" s="29"/>
      <c r="L6" s="29"/>
      <c r="M6" s="29"/>
      <c r="N6" s="29"/>
      <c r="O6" s="29"/>
      <c r="P6" s="29"/>
      <c r="Q6" s="29"/>
      <c r="R6" s="29"/>
      <c r="S6" s="29"/>
      <c r="T6" s="29"/>
      <c r="U6" s="32" t="s">
        <v>134</v>
      </c>
      <c r="V6" s="16">
        <v>1.0</v>
      </c>
      <c r="W6" s="33" t="s">
        <v>126</v>
      </c>
      <c r="X6" s="32" t="s">
        <v>37</v>
      </c>
      <c r="Y6" s="32"/>
      <c r="Z6" s="32"/>
    </row>
    <row r="7" ht="70.5" customHeight="1">
      <c r="A7" s="20" t="s">
        <v>39</v>
      </c>
      <c r="B7" s="21" t="s">
        <v>115</v>
      </c>
      <c r="C7" s="21" t="s">
        <v>68</v>
      </c>
      <c r="D7" s="21" t="s">
        <v>135</v>
      </c>
      <c r="E7" s="23" t="s">
        <v>131</v>
      </c>
      <c r="F7" s="23"/>
      <c r="G7" s="24" t="s">
        <v>117</v>
      </c>
      <c r="H7" s="26" t="s">
        <v>136</v>
      </c>
      <c r="I7" s="27" t="s">
        <v>137</v>
      </c>
      <c r="J7" s="27"/>
      <c r="K7" s="29"/>
      <c r="L7" s="29"/>
      <c r="M7" s="29"/>
      <c r="N7" s="29"/>
      <c r="O7" s="29"/>
      <c r="P7" s="29"/>
      <c r="Q7" s="29"/>
      <c r="R7" s="29"/>
      <c r="S7" s="29"/>
      <c r="T7" s="29"/>
      <c r="U7" s="32" t="s">
        <v>138</v>
      </c>
      <c r="V7" s="16">
        <v>3.0</v>
      </c>
      <c r="W7" s="33" t="s">
        <v>139</v>
      </c>
      <c r="X7" s="32" t="s">
        <v>140</v>
      </c>
      <c r="Y7" s="32"/>
      <c r="Z7" s="32"/>
    </row>
    <row r="8" ht="76.5" customHeight="1">
      <c r="A8" s="20" t="s">
        <v>39</v>
      </c>
      <c r="B8" s="21" t="s">
        <v>64</v>
      </c>
      <c r="C8" s="21" t="s">
        <v>68</v>
      </c>
      <c r="D8" s="21" t="s">
        <v>141</v>
      </c>
      <c r="E8" s="23" t="s">
        <v>142</v>
      </c>
      <c r="F8" s="23"/>
      <c r="G8" s="24" t="s">
        <v>117</v>
      </c>
      <c r="H8" s="26" t="s">
        <v>143</v>
      </c>
      <c r="I8" s="27" t="s">
        <v>144</v>
      </c>
      <c r="J8" s="27"/>
      <c r="K8" s="29"/>
      <c r="L8" s="29"/>
      <c r="M8" s="29"/>
      <c r="N8" s="29"/>
      <c r="O8" s="29"/>
      <c r="P8" s="29"/>
      <c r="Q8" s="29"/>
      <c r="R8" s="29"/>
      <c r="S8" s="29"/>
      <c r="T8" s="29"/>
      <c r="U8" s="32" t="s">
        <v>145</v>
      </c>
      <c r="V8" s="16">
        <v>1.0</v>
      </c>
      <c r="W8" s="33" t="s">
        <v>126</v>
      </c>
      <c r="X8" s="32" t="s">
        <v>146</v>
      </c>
      <c r="Y8" s="32"/>
      <c r="Z8" s="32"/>
    </row>
    <row r="9" ht="72.75" customHeight="1">
      <c r="A9" s="20" t="s">
        <v>39</v>
      </c>
      <c r="B9" s="21" t="s">
        <v>64</v>
      </c>
      <c r="C9" s="21" t="s">
        <v>68</v>
      </c>
      <c r="D9" s="21" t="s">
        <v>141</v>
      </c>
      <c r="E9" s="23" t="s">
        <v>131</v>
      </c>
      <c r="F9" s="23"/>
      <c r="G9" s="24" t="s">
        <v>117</v>
      </c>
      <c r="H9" s="26" t="s">
        <v>147</v>
      </c>
      <c r="I9" s="27" t="s">
        <v>148</v>
      </c>
      <c r="J9" s="27"/>
      <c r="K9" s="29"/>
      <c r="L9" s="29"/>
      <c r="M9" s="29"/>
      <c r="N9" s="29"/>
      <c r="O9" s="29"/>
      <c r="P9" s="29"/>
      <c r="Q9" s="29"/>
      <c r="R9" s="29"/>
      <c r="S9" s="29"/>
      <c r="T9" s="29"/>
      <c r="U9" s="32" t="s">
        <v>149</v>
      </c>
      <c r="V9" s="16">
        <v>1.0</v>
      </c>
      <c r="W9" s="33" t="s">
        <v>150</v>
      </c>
      <c r="X9" s="32" t="s">
        <v>114</v>
      </c>
      <c r="Y9" s="32"/>
      <c r="Z9" s="32"/>
    </row>
    <row r="10" ht="88.5" customHeight="1">
      <c r="A10" s="20" t="s">
        <v>39</v>
      </c>
      <c r="B10" s="21" t="s">
        <v>64</v>
      </c>
      <c r="C10" s="21" t="s">
        <v>68</v>
      </c>
      <c r="D10" s="21" t="s">
        <v>141</v>
      </c>
      <c r="E10" s="23" t="s">
        <v>151</v>
      </c>
      <c r="F10" s="23"/>
      <c r="G10" s="24" t="s">
        <v>152</v>
      </c>
      <c r="H10" s="26" t="s">
        <v>153</v>
      </c>
      <c r="I10" s="27" t="s">
        <v>154</v>
      </c>
      <c r="J10" s="27"/>
      <c r="K10" s="29"/>
      <c r="L10" s="29"/>
      <c r="M10" s="29"/>
      <c r="N10" s="29"/>
      <c r="O10" s="29"/>
      <c r="P10" s="29"/>
      <c r="Q10" s="29"/>
      <c r="R10" s="29"/>
      <c r="S10" s="29"/>
      <c r="T10" s="29"/>
      <c r="U10" s="32" t="s">
        <v>155</v>
      </c>
      <c r="V10" s="16">
        <v>1.0</v>
      </c>
      <c r="W10" s="33" t="s">
        <v>126</v>
      </c>
      <c r="X10" s="32" t="s">
        <v>37</v>
      </c>
      <c r="Y10" s="32"/>
      <c r="Z10" s="32"/>
    </row>
    <row r="11" ht="82.5" customHeight="1">
      <c r="A11" s="20" t="s">
        <v>39</v>
      </c>
      <c r="B11" s="21" t="s">
        <v>64</v>
      </c>
      <c r="C11" s="21" t="s">
        <v>68</v>
      </c>
      <c r="D11" s="21" t="s">
        <v>141</v>
      </c>
      <c r="E11" s="23" t="s">
        <v>156</v>
      </c>
      <c r="F11" s="23"/>
      <c r="G11" s="24" t="s">
        <v>117</v>
      </c>
      <c r="H11" s="26" t="s">
        <v>157</v>
      </c>
      <c r="I11" s="27" t="s">
        <v>158</v>
      </c>
      <c r="J11" s="27"/>
      <c r="K11" s="29"/>
      <c r="L11" s="29"/>
      <c r="M11" s="29"/>
      <c r="N11" s="29"/>
      <c r="O11" s="29"/>
      <c r="P11" s="29"/>
      <c r="Q11" s="29"/>
      <c r="R11" s="29"/>
      <c r="S11" s="29"/>
      <c r="T11" s="29"/>
      <c r="U11" s="32" t="s">
        <v>159</v>
      </c>
      <c r="V11" s="16">
        <v>1.0</v>
      </c>
      <c r="W11" s="33" t="s">
        <v>126</v>
      </c>
      <c r="X11" s="32" t="s">
        <v>37</v>
      </c>
      <c r="Y11" s="32"/>
      <c r="Z11" s="32"/>
    </row>
    <row r="12" ht="78.0" customHeight="1">
      <c r="A12" s="20" t="s">
        <v>39</v>
      </c>
      <c r="B12" s="21" t="s">
        <v>64</v>
      </c>
      <c r="C12" s="21" t="s">
        <v>68</v>
      </c>
      <c r="D12" s="21" t="s">
        <v>160</v>
      </c>
      <c r="E12" s="23" t="s">
        <v>156</v>
      </c>
      <c r="F12" s="23"/>
      <c r="G12" s="24" t="s">
        <v>117</v>
      </c>
      <c r="H12" s="26" t="s">
        <v>161</v>
      </c>
      <c r="I12" s="27" t="s">
        <v>162</v>
      </c>
      <c r="J12" s="27" t="s">
        <v>163</v>
      </c>
      <c r="K12" s="29"/>
      <c r="L12" s="29"/>
      <c r="M12" s="29"/>
      <c r="N12" s="29"/>
      <c r="O12" s="29"/>
      <c r="P12" s="29"/>
      <c r="Q12" s="29"/>
      <c r="R12" s="29"/>
      <c r="S12" s="29"/>
      <c r="T12" s="29"/>
      <c r="U12" s="32" t="s">
        <v>159</v>
      </c>
      <c r="V12" s="16">
        <v>1.0</v>
      </c>
      <c r="W12" s="33" t="s">
        <v>126</v>
      </c>
      <c r="X12" s="32" t="s">
        <v>37</v>
      </c>
      <c r="Y12" s="32"/>
      <c r="Z12" s="32"/>
    </row>
    <row r="13" ht="78.0" customHeight="1">
      <c r="A13" s="20" t="s">
        <v>39</v>
      </c>
      <c r="B13" s="21" t="s">
        <v>64</v>
      </c>
      <c r="C13" s="21" t="s">
        <v>68</v>
      </c>
      <c r="D13" s="21" t="s">
        <v>160</v>
      </c>
      <c r="E13" s="23" t="s">
        <v>70</v>
      </c>
      <c r="F13" s="23"/>
      <c r="G13" s="24" t="s">
        <v>117</v>
      </c>
      <c r="H13" s="26" t="s">
        <v>164</v>
      </c>
      <c r="I13" s="27" t="s">
        <v>165</v>
      </c>
      <c r="J13" s="27"/>
      <c r="K13" s="29"/>
      <c r="L13" s="29"/>
      <c r="M13" s="29"/>
      <c r="N13" s="29"/>
      <c r="O13" s="29"/>
      <c r="P13" s="29"/>
      <c r="Q13" s="29"/>
      <c r="R13" s="29"/>
      <c r="S13" s="29"/>
      <c r="T13" s="29"/>
      <c r="U13" s="32" t="s">
        <v>166</v>
      </c>
      <c r="V13" s="16">
        <v>1.0</v>
      </c>
      <c r="W13" s="33" t="s">
        <v>126</v>
      </c>
      <c r="X13" s="32" t="s">
        <v>37</v>
      </c>
      <c r="Y13" s="32"/>
      <c r="Z13" s="32"/>
    </row>
    <row r="14" ht="78.0" customHeight="1">
      <c r="A14" s="20" t="s">
        <v>39</v>
      </c>
      <c r="B14" s="21" t="s">
        <v>64</v>
      </c>
      <c r="C14" s="21" t="s">
        <v>167</v>
      </c>
      <c r="D14" s="21" t="s">
        <v>168</v>
      </c>
      <c r="E14" s="23" t="s">
        <v>169</v>
      </c>
      <c r="F14" s="23"/>
      <c r="G14" s="24" t="s">
        <v>117</v>
      </c>
      <c r="H14" s="26" t="s">
        <v>170</v>
      </c>
      <c r="I14" s="27" t="s">
        <v>171</v>
      </c>
      <c r="J14" s="27"/>
      <c r="K14" s="29"/>
      <c r="L14" s="29"/>
      <c r="M14" s="29"/>
      <c r="N14" s="29"/>
      <c r="O14" s="29"/>
      <c r="P14" s="29"/>
      <c r="Q14" s="29"/>
      <c r="R14" s="29"/>
      <c r="S14" s="29"/>
      <c r="T14" s="29"/>
      <c r="U14" s="32" t="s">
        <v>172</v>
      </c>
      <c r="V14" s="16">
        <v>1.0</v>
      </c>
      <c r="W14" s="33" t="s">
        <v>126</v>
      </c>
      <c r="X14" s="32" t="s">
        <v>37</v>
      </c>
      <c r="Y14" s="32"/>
      <c r="Z14" s="32"/>
    </row>
    <row r="15" ht="73.5" customHeight="1">
      <c r="A15" s="20" t="s">
        <v>39</v>
      </c>
      <c r="B15" s="21" t="s">
        <v>173</v>
      </c>
      <c r="C15" s="21" t="s">
        <v>167</v>
      </c>
      <c r="D15" s="21" t="s">
        <v>174</v>
      </c>
      <c r="E15" s="23" t="s">
        <v>175</v>
      </c>
      <c r="F15" s="23"/>
      <c r="G15" s="24" t="s">
        <v>117</v>
      </c>
      <c r="H15" s="26" t="s">
        <v>176</v>
      </c>
      <c r="I15" s="27" t="s">
        <v>177</v>
      </c>
      <c r="J15" s="27"/>
      <c r="K15" s="35" t="s">
        <v>178</v>
      </c>
      <c r="L15" s="35" t="s">
        <v>179</v>
      </c>
      <c r="M15" s="35" t="s">
        <v>180</v>
      </c>
      <c r="N15" s="36">
        <v>42145.0</v>
      </c>
      <c r="O15" s="35" t="s">
        <v>181</v>
      </c>
      <c r="P15" s="29"/>
      <c r="Q15" s="29"/>
      <c r="R15" s="29"/>
      <c r="S15" s="29"/>
      <c r="T15" s="29"/>
      <c r="U15" s="32" t="s">
        <v>182</v>
      </c>
      <c r="V15" s="16">
        <v>1.0</v>
      </c>
      <c r="W15" s="33" t="s">
        <v>183</v>
      </c>
      <c r="X15" s="32" t="s">
        <v>37</v>
      </c>
      <c r="Y15" s="32"/>
      <c r="Z15" s="32"/>
    </row>
    <row r="16" ht="75.0" customHeight="1">
      <c r="A16" s="20" t="s">
        <v>39</v>
      </c>
      <c r="B16" s="21" t="s">
        <v>64</v>
      </c>
      <c r="C16" s="21" t="s">
        <v>167</v>
      </c>
      <c r="D16" s="21" t="s">
        <v>184</v>
      </c>
      <c r="E16" s="23"/>
      <c r="F16" s="23" t="s">
        <v>185</v>
      </c>
      <c r="G16" s="24" t="s">
        <v>117</v>
      </c>
      <c r="H16" s="26" t="s">
        <v>186</v>
      </c>
      <c r="I16" s="27"/>
      <c r="J16" s="27"/>
      <c r="K16" s="29" t="s">
        <v>187</v>
      </c>
      <c r="L16" s="29" t="s">
        <v>188</v>
      </c>
      <c r="M16" s="29" t="s">
        <v>189</v>
      </c>
      <c r="N16" s="29" t="s">
        <v>188</v>
      </c>
      <c r="O16" s="29" t="s">
        <v>190</v>
      </c>
      <c r="P16" s="29" t="s">
        <v>191</v>
      </c>
      <c r="Q16" s="29" t="s">
        <v>188</v>
      </c>
      <c r="R16" s="29" t="s">
        <v>189</v>
      </c>
      <c r="S16" s="29" t="s">
        <v>188</v>
      </c>
      <c r="T16" s="29" t="s">
        <v>192</v>
      </c>
      <c r="U16" s="32" t="s">
        <v>193</v>
      </c>
      <c r="V16" s="16">
        <v>3.0</v>
      </c>
      <c r="W16" s="33" t="s">
        <v>194</v>
      </c>
      <c r="X16" s="32" t="s">
        <v>195</v>
      </c>
      <c r="Y16" s="32"/>
      <c r="Z16" s="32"/>
    </row>
    <row r="17" ht="66.75" customHeight="1">
      <c r="A17" s="20" t="s">
        <v>39</v>
      </c>
      <c r="B17" s="21" t="s">
        <v>115</v>
      </c>
      <c r="C17" s="21" t="s">
        <v>196</v>
      </c>
      <c r="D17" s="21" t="s">
        <v>197</v>
      </c>
      <c r="E17" s="23" t="s">
        <v>198</v>
      </c>
      <c r="F17" s="23"/>
      <c r="G17" s="24" t="s">
        <v>199</v>
      </c>
      <c r="H17" s="26" t="s">
        <v>200</v>
      </c>
      <c r="I17" s="27" t="s">
        <v>201</v>
      </c>
      <c r="J17" s="27" t="s">
        <v>202</v>
      </c>
      <c r="K17" s="29"/>
      <c r="L17" s="29"/>
      <c r="M17" s="29"/>
      <c r="N17" s="29"/>
      <c r="O17" s="29"/>
      <c r="P17" s="29"/>
      <c r="Q17" s="29"/>
      <c r="R17" s="29"/>
      <c r="S17" s="29"/>
      <c r="T17" s="29"/>
      <c r="U17" s="26"/>
      <c r="V17" s="16">
        <v>1.0</v>
      </c>
      <c r="W17" s="33" t="s">
        <v>203</v>
      </c>
      <c r="X17" s="32" t="s">
        <v>146</v>
      </c>
      <c r="Y17" s="32"/>
      <c r="Z17" s="32"/>
    </row>
    <row r="18" ht="67.5" customHeight="1">
      <c r="A18" s="20" t="s">
        <v>39</v>
      </c>
      <c r="B18" s="21" t="s">
        <v>64</v>
      </c>
      <c r="C18" s="21" t="s">
        <v>196</v>
      </c>
      <c r="D18" s="21" t="s">
        <v>204</v>
      </c>
      <c r="E18" s="23"/>
      <c r="F18" s="23" t="s">
        <v>205</v>
      </c>
      <c r="G18" s="24" t="s">
        <v>117</v>
      </c>
      <c r="H18" s="26" t="s">
        <v>206</v>
      </c>
      <c r="I18" s="27" t="s">
        <v>207</v>
      </c>
      <c r="J18" s="27"/>
      <c r="K18" s="29"/>
      <c r="L18" s="29"/>
      <c r="M18" s="29"/>
      <c r="N18" s="29"/>
      <c r="O18" s="29"/>
      <c r="P18" s="29"/>
      <c r="Q18" s="29"/>
      <c r="R18" s="29"/>
      <c r="S18" s="29"/>
      <c r="T18" s="29"/>
      <c r="U18" s="32" t="s">
        <v>208</v>
      </c>
      <c r="V18" s="16">
        <v>3.0</v>
      </c>
      <c r="W18" s="33" t="s">
        <v>209</v>
      </c>
      <c r="X18" s="32" t="s">
        <v>210</v>
      </c>
      <c r="Y18" s="32"/>
      <c r="Z18" s="32"/>
    </row>
    <row r="19" ht="73.5" customHeight="1">
      <c r="A19" s="20" t="s">
        <v>39</v>
      </c>
      <c r="B19" s="21" t="s">
        <v>64</v>
      </c>
      <c r="C19" s="21" t="s">
        <v>196</v>
      </c>
      <c r="D19" s="21" t="s">
        <v>211</v>
      </c>
      <c r="E19" s="23"/>
      <c r="F19" s="23"/>
      <c r="G19" s="24" t="s">
        <v>152</v>
      </c>
      <c r="H19" s="26" t="s">
        <v>212</v>
      </c>
      <c r="I19" s="27"/>
      <c r="J19" s="27"/>
      <c r="K19" s="29" t="s">
        <v>213</v>
      </c>
      <c r="L19" s="29" t="s">
        <v>188</v>
      </c>
      <c r="M19" s="29" t="s">
        <v>214</v>
      </c>
      <c r="N19" s="29" t="s">
        <v>215</v>
      </c>
      <c r="O19" s="29" t="s">
        <v>216</v>
      </c>
      <c r="P19" s="29"/>
      <c r="Q19" s="29"/>
      <c r="R19" s="29"/>
      <c r="S19" s="29"/>
      <c r="T19" s="29"/>
      <c r="U19" s="32" t="s">
        <v>217</v>
      </c>
      <c r="V19" s="16">
        <v>3.0</v>
      </c>
      <c r="W19" s="33" t="s">
        <v>218</v>
      </c>
      <c r="X19" s="32" t="s">
        <v>140</v>
      </c>
      <c r="Y19" s="32"/>
      <c r="Z19" s="32"/>
    </row>
    <row r="20" ht="63.0" customHeight="1">
      <c r="A20" s="20" t="s">
        <v>39</v>
      </c>
      <c r="B20" s="21" t="s">
        <v>64</v>
      </c>
      <c r="C20" s="21" t="s">
        <v>196</v>
      </c>
      <c r="D20" s="21" t="s">
        <v>219</v>
      </c>
      <c r="E20" s="23" t="s">
        <v>220</v>
      </c>
      <c r="F20" s="23"/>
      <c r="G20" s="24" t="s">
        <v>117</v>
      </c>
      <c r="H20" s="26" t="s">
        <v>221</v>
      </c>
      <c r="I20" s="27" t="s">
        <v>222</v>
      </c>
      <c r="J20" s="27"/>
      <c r="K20" s="29"/>
      <c r="L20" s="29"/>
      <c r="M20" s="29"/>
      <c r="N20" s="29"/>
      <c r="O20" s="29"/>
      <c r="P20" s="29"/>
      <c r="Q20" s="29"/>
      <c r="R20" s="29"/>
      <c r="S20" s="29"/>
      <c r="T20" s="29"/>
      <c r="U20" s="32" t="s">
        <v>103</v>
      </c>
      <c r="V20" s="16">
        <v>1.0</v>
      </c>
      <c r="W20" s="33" t="s">
        <v>223</v>
      </c>
      <c r="X20" s="32" t="s">
        <v>37</v>
      </c>
      <c r="Y20" s="32"/>
      <c r="Z20" s="32"/>
    </row>
    <row r="21" ht="91.5" customHeight="1">
      <c r="A21" s="20" t="s">
        <v>39</v>
      </c>
      <c r="B21" s="21" t="s">
        <v>64</v>
      </c>
      <c r="C21" s="21" t="s">
        <v>196</v>
      </c>
      <c r="D21" s="21" t="s">
        <v>219</v>
      </c>
      <c r="E21" s="23" t="s">
        <v>225</v>
      </c>
      <c r="F21" s="23"/>
      <c r="G21" s="24" t="s">
        <v>227</v>
      </c>
      <c r="H21" s="26" t="s">
        <v>231</v>
      </c>
      <c r="I21" s="27"/>
      <c r="J21" s="27"/>
      <c r="K21" s="29" t="s">
        <v>232</v>
      </c>
      <c r="L21" s="29" t="s">
        <v>233</v>
      </c>
      <c r="M21" s="29" t="s">
        <v>234</v>
      </c>
      <c r="N21" s="30">
        <v>41845.0</v>
      </c>
      <c r="O21" s="29" t="s">
        <v>235</v>
      </c>
      <c r="P21" s="29"/>
      <c r="Q21" s="29"/>
      <c r="R21" s="29"/>
      <c r="S21" s="29"/>
      <c r="T21" s="29"/>
      <c r="U21" s="32"/>
      <c r="V21" s="16">
        <v>3.0</v>
      </c>
      <c r="W21" s="33" t="s">
        <v>236</v>
      </c>
      <c r="X21" s="32" t="s">
        <v>114</v>
      </c>
      <c r="Y21" s="32"/>
      <c r="Z21" s="32"/>
    </row>
    <row r="22" ht="79.5" customHeight="1">
      <c r="A22" s="20" t="s">
        <v>39</v>
      </c>
      <c r="B22" s="21" t="s">
        <v>64</v>
      </c>
      <c r="C22" s="21" t="s">
        <v>196</v>
      </c>
      <c r="D22" s="21" t="s">
        <v>219</v>
      </c>
      <c r="E22" s="23" t="s">
        <v>237</v>
      </c>
      <c r="F22" s="23"/>
      <c r="G22" s="24" t="s">
        <v>95</v>
      </c>
      <c r="H22" s="26" t="s">
        <v>240</v>
      </c>
      <c r="I22" s="27" t="s">
        <v>241</v>
      </c>
      <c r="J22" s="27"/>
      <c r="K22" s="29"/>
      <c r="L22" s="29"/>
      <c r="M22" s="29"/>
      <c r="N22" s="29"/>
      <c r="O22" s="29"/>
      <c r="P22" s="29"/>
      <c r="Q22" s="29"/>
      <c r="R22" s="29"/>
      <c r="S22" s="29"/>
      <c r="T22" s="29"/>
      <c r="U22" s="32" t="s">
        <v>242</v>
      </c>
      <c r="V22" s="16">
        <v>1.0</v>
      </c>
      <c r="W22" s="33" t="s">
        <v>243</v>
      </c>
      <c r="X22" s="32" t="s">
        <v>37</v>
      </c>
      <c r="Y22" s="32"/>
      <c r="Z22" s="32"/>
    </row>
    <row r="23" ht="87.0" customHeight="1">
      <c r="A23" s="20" t="s">
        <v>39</v>
      </c>
      <c r="B23" s="21" t="s">
        <v>64</v>
      </c>
      <c r="C23" s="21" t="s">
        <v>196</v>
      </c>
      <c r="D23" s="21" t="s">
        <v>219</v>
      </c>
      <c r="E23" s="23" t="s">
        <v>127</v>
      </c>
      <c r="F23" s="23"/>
      <c r="G23" s="24" t="s">
        <v>117</v>
      </c>
      <c r="H23" s="26" t="s">
        <v>244</v>
      </c>
      <c r="I23" s="27" t="s">
        <v>245</v>
      </c>
      <c r="J23" s="27"/>
      <c r="K23" s="29"/>
      <c r="L23" s="29"/>
      <c r="M23" s="29"/>
      <c r="N23" s="29"/>
      <c r="O23" s="29"/>
      <c r="P23" s="29"/>
      <c r="Q23" s="29"/>
      <c r="R23" s="29"/>
      <c r="S23" s="29"/>
      <c r="T23" s="29"/>
      <c r="U23" s="32" t="s">
        <v>246</v>
      </c>
      <c r="V23" s="16">
        <v>1.0</v>
      </c>
      <c r="W23" s="33" t="s">
        <v>223</v>
      </c>
      <c r="X23" s="32" t="s">
        <v>37</v>
      </c>
      <c r="Y23" s="32"/>
      <c r="Z23" s="32"/>
    </row>
    <row r="24" ht="78.0" customHeight="1">
      <c r="A24" s="20" t="s">
        <v>39</v>
      </c>
      <c r="B24" s="21" t="s">
        <v>115</v>
      </c>
      <c r="C24" s="21" t="s">
        <v>196</v>
      </c>
      <c r="D24" s="21" t="s">
        <v>219</v>
      </c>
      <c r="E24" s="23" t="s">
        <v>247</v>
      </c>
      <c r="F24" s="23"/>
      <c r="G24" s="24" t="s">
        <v>152</v>
      </c>
      <c r="H24" s="26" t="s">
        <v>249</v>
      </c>
      <c r="I24" s="27"/>
      <c r="J24" s="27"/>
      <c r="K24" s="29" t="s">
        <v>251</v>
      </c>
      <c r="L24" s="29" t="s">
        <v>253</v>
      </c>
      <c r="M24" s="29" t="s">
        <v>254</v>
      </c>
      <c r="N24" s="30">
        <v>42193.0</v>
      </c>
      <c r="O24" s="29" t="s">
        <v>255</v>
      </c>
      <c r="P24" s="29" t="s">
        <v>256</v>
      </c>
      <c r="Q24" s="29" t="s">
        <v>257</v>
      </c>
      <c r="R24" s="29" t="s">
        <v>258</v>
      </c>
      <c r="S24" s="30">
        <v>41094.0</v>
      </c>
      <c r="T24" s="29" t="s">
        <v>259</v>
      </c>
      <c r="U24" s="32"/>
      <c r="V24" s="33" t="s">
        <v>260</v>
      </c>
      <c r="W24" s="33" t="s">
        <v>261</v>
      </c>
      <c r="X24" s="32" t="s">
        <v>263</v>
      </c>
      <c r="Y24" s="32"/>
      <c r="Z24" s="32"/>
    </row>
    <row r="25" ht="105.75" customHeight="1">
      <c r="A25" s="20" t="s">
        <v>39</v>
      </c>
      <c r="B25" s="21" t="s">
        <v>64</v>
      </c>
      <c r="C25" s="21" t="s">
        <v>265</v>
      </c>
      <c r="D25" s="21" t="s">
        <v>266</v>
      </c>
      <c r="E25" s="23" t="s">
        <v>267</v>
      </c>
      <c r="F25" s="23"/>
      <c r="G25" s="24" t="s">
        <v>152</v>
      </c>
      <c r="H25" s="26" t="s">
        <v>275</v>
      </c>
      <c r="I25" s="27" t="s">
        <v>278</v>
      </c>
      <c r="J25" s="27"/>
      <c r="K25" s="29"/>
      <c r="L25" s="29"/>
      <c r="M25" s="29"/>
      <c r="N25" s="29"/>
      <c r="O25" s="29"/>
      <c r="P25" s="29"/>
      <c r="Q25" s="29"/>
      <c r="R25" s="29"/>
      <c r="S25" s="29"/>
      <c r="T25" s="29"/>
      <c r="U25" s="32" t="s">
        <v>282</v>
      </c>
      <c r="V25" s="16">
        <v>3.0</v>
      </c>
      <c r="W25" s="33" t="s">
        <v>285</v>
      </c>
      <c r="X25" s="32" t="s">
        <v>288</v>
      </c>
      <c r="Y25" s="32"/>
      <c r="Z25" s="32"/>
    </row>
    <row r="26" ht="72.0" customHeight="1">
      <c r="A26" s="20" t="s">
        <v>39</v>
      </c>
      <c r="B26" s="21" t="s">
        <v>64</v>
      </c>
      <c r="C26" s="21" t="s">
        <v>265</v>
      </c>
      <c r="D26" s="21" t="s">
        <v>292</v>
      </c>
      <c r="E26" s="23" t="s">
        <v>267</v>
      </c>
      <c r="F26" s="23"/>
      <c r="G26" s="24" t="s">
        <v>117</v>
      </c>
      <c r="H26" s="26" t="s">
        <v>300</v>
      </c>
      <c r="I26" s="27" t="s">
        <v>301</v>
      </c>
      <c r="J26" s="27"/>
      <c r="K26" s="29"/>
      <c r="L26" s="29"/>
      <c r="M26" s="29"/>
      <c r="N26" s="29"/>
      <c r="O26" s="29"/>
      <c r="P26" s="29"/>
      <c r="Q26" s="29"/>
      <c r="R26" s="29"/>
      <c r="S26" s="29"/>
      <c r="T26" s="29"/>
      <c r="U26" s="32" t="s">
        <v>302</v>
      </c>
      <c r="V26" s="16">
        <v>1.0</v>
      </c>
      <c r="W26" s="33" t="s">
        <v>303</v>
      </c>
      <c r="X26" s="32" t="s">
        <v>304</v>
      </c>
      <c r="Y26" s="32"/>
      <c r="Z26" s="32"/>
    </row>
    <row r="27" ht="93.75" customHeight="1">
      <c r="A27" s="20" t="s">
        <v>39</v>
      </c>
      <c r="B27" s="21" t="s">
        <v>64</v>
      </c>
      <c r="C27" s="21" t="s">
        <v>265</v>
      </c>
      <c r="D27" s="21" t="s">
        <v>305</v>
      </c>
      <c r="E27" s="23" t="s">
        <v>306</v>
      </c>
      <c r="F27" s="23"/>
      <c r="G27" s="24" t="s">
        <v>117</v>
      </c>
      <c r="H27" s="26" t="s">
        <v>307</v>
      </c>
      <c r="I27" s="27"/>
      <c r="J27" s="27"/>
      <c r="K27" s="29" t="s">
        <v>308</v>
      </c>
      <c r="L27" s="29" t="s">
        <v>188</v>
      </c>
      <c r="M27" s="29" t="s">
        <v>309</v>
      </c>
      <c r="N27" s="29" t="s">
        <v>215</v>
      </c>
      <c r="O27" s="29" t="s">
        <v>310</v>
      </c>
      <c r="P27" s="29"/>
      <c r="Q27" s="29"/>
      <c r="R27" s="29"/>
      <c r="S27" s="29"/>
      <c r="T27" s="29"/>
      <c r="U27" s="32"/>
      <c r="V27" s="16">
        <v>3.0</v>
      </c>
      <c r="W27" s="33" t="s">
        <v>312</v>
      </c>
      <c r="X27" s="32" t="s">
        <v>114</v>
      </c>
      <c r="Y27" s="32"/>
      <c r="Z27" s="32"/>
    </row>
    <row r="28" ht="85.5" customHeight="1">
      <c r="A28" s="20" t="s">
        <v>39</v>
      </c>
      <c r="B28" s="21" t="s">
        <v>64</v>
      </c>
      <c r="C28" s="21" t="s">
        <v>265</v>
      </c>
      <c r="D28" s="21" t="s">
        <v>305</v>
      </c>
      <c r="E28" s="23" t="s">
        <v>70</v>
      </c>
      <c r="F28" s="23"/>
      <c r="G28" s="24" t="s">
        <v>117</v>
      </c>
      <c r="H28" s="26" t="s">
        <v>315</v>
      </c>
      <c r="I28" s="27" t="s">
        <v>316</v>
      </c>
      <c r="J28" s="27"/>
      <c r="K28" s="29"/>
      <c r="L28" s="29"/>
      <c r="M28" s="29"/>
      <c r="N28" s="29"/>
      <c r="O28" s="29"/>
      <c r="P28" s="29"/>
      <c r="Q28" s="29"/>
      <c r="R28" s="29"/>
      <c r="S28" s="29"/>
      <c r="T28" s="29"/>
      <c r="U28" s="32" t="s">
        <v>317</v>
      </c>
      <c r="V28" s="16">
        <v>1.0</v>
      </c>
      <c r="W28" s="33" t="s">
        <v>126</v>
      </c>
      <c r="X28" s="32" t="s">
        <v>146</v>
      </c>
      <c r="Y28" s="32"/>
      <c r="Z28" s="32"/>
    </row>
    <row r="29" ht="84.75" customHeight="1">
      <c r="A29" s="20" t="s">
        <v>39</v>
      </c>
      <c r="B29" s="21" t="s">
        <v>64</v>
      </c>
      <c r="C29" s="21" t="s">
        <v>265</v>
      </c>
      <c r="D29" s="21" t="s">
        <v>305</v>
      </c>
      <c r="E29" s="23" t="s">
        <v>70</v>
      </c>
      <c r="F29" s="23"/>
      <c r="G29" s="24" t="s">
        <v>117</v>
      </c>
      <c r="H29" s="26" t="s">
        <v>330</v>
      </c>
      <c r="I29" s="27" t="s">
        <v>333</v>
      </c>
      <c r="J29" s="27"/>
      <c r="K29" s="29"/>
      <c r="L29" s="29"/>
      <c r="M29" s="29"/>
      <c r="N29" s="29"/>
      <c r="O29" s="29"/>
      <c r="P29" s="29"/>
      <c r="Q29" s="29"/>
      <c r="R29" s="29"/>
      <c r="S29" s="29"/>
      <c r="T29" s="29"/>
      <c r="U29" s="32" t="s">
        <v>334</v>
      </c>
      <c r="V29" s="16">
        <v>3.0</v>
      </c>
      <c r="W29" s="33" t="s">
        <v>336</v>
      </c>
      <c r="X29" s="32" t="s">
        <v>114</v>
      </c>
      <c r="Y29" s="32"/>
      <c r="Z29" s="32"/>
    </row>
    <row r="30" ht="99.75" customHeight="1">
      <c r="A30" s="20" t="s">
        <v>39</v>
      </c>
      <c r="B30" s="21" t="s">
        <v>64</v>
      </c>
      <c r="C30" s="21" t="s">
        <v>265</v>
      </c>
      <c r="D30" s="21" t="s">
        <v>305</v>
      </c>
      <c r="E30" s="23" t="s">
        <v>70</v>
      </c>
      <c r="F30" s="23"/>
      <c r="G30" s="24" t="s">
        <v>117</v>
      </c>
      <c r="H30" s="26" t="s">
        <v>341</v>
      </c>
      <c r="I30" s="27" t="s">
        <v>342</v>
      </c>
      <c r="J30" s="27"/>
      <c r="K30" s="29"/>
      <c r="L30" s="29"/>
      <c r="M30" s="29"/>
      <c r="N30" s="29"/>
      <c r="O30" s="29"/>
      <c r="P30" s="29"/>
      <c r="Q30" s="29"/>
      <c r="R30" s="29"/>
      <c r="S30" s="29"/>
      <c r="T30" s="29"/>
      <c r="U30" s="32" t="s">
        <v>343</v>
      </c>
      <c r="V30" s="16">
        <v>3.0</v>
      </c>
      <c r="W30" s="33" t="s">
        <v>344</v>
      </c>
      <c r="X30" s="32" t="s">
        <v>345</v>
      </c>
      <c r="Y30" s="32"/>
      <c r="Z30" s="32"/>
    </row>
    <row r="31" ht="81.75" customHeight="1">
      <c r="A31" s="20" t="s">
        <v>39</v>
      </c>
      <c r="B31" s="21" t="s">
        <v>115</v>
      </c>
      <c r="C31" s="21" t="s">
        <v>265</v>
      </c>
      <c r="D31" s="21" t="s">
        <v>305</v>
      </c>
      <c r="E31" s="23" t="s">
        <v>70</v>
      </c>
      <c r="F31" s="23"/>
      <c r="G31" s="24" t="s">
        <v>117</v>
      </c>
      <c r="H31" s="26" t="s">
        <v>348</v>
      </c>
      <c r="I31" s="27" t="s">
        <v>350</v>
      </c>
      <c r="J31" s="27"/>
      <c r="K31" s="29"/>
      <c r="L31" s="29"/>
      <c r="M31" s="29"/>
      <c r="N31" s="29"/>
      <c r="O31" s="29"/>
      <c r="P31" s="29"/>
      <c r="Q31" s="29"/>
      <c r="R31" s="29"/>
      <c r="S31" s="29"/>
      <c r="T31" s="29"/>
      <c r="U31" s="32" t="s">
        <v>352</v>
      </c>
      <c r="V31" s="16">
        <v>1.0</v>
      </c>
      <c r="W31" s="33" t="s">
        <v>354</v>
      </c>
      <c r="X31" s="32" t="s">
        <v>146</v>
      </c>
      <c r="Y31" s="32"/>
      <c r="Z31" s="32"/>
    </row>
    <row r="32" ht="93.0" customHeight="1">
      <c r="A32" s="20" t="s">
        <v>39</v>
      </c>
      <c r="B32" s="21" t="s">
        <v>64</v>
      </c>
      <c r="C32" s="21" t="s">
        <v>265</v>
      </c>
      <c r="D32" s="21" t="s">
        <v>356</v>
      </c>
      <c r="E32" s="23" t="s">
        <v>357</v>
      </c>
      <c r="F32" s="23"/>
      <c r="G32" s="24" t="s">
        <v>117</v>
      </c>
      <c r="H32" s="26" t="s">
        <v>364</v>
      </c>
      <c r="I32" s="27" t="s">
        <v>369</v>
      </c>
      <c r="J32" s="27"/>
      <c r="K32" s="29"/>
      <c r="L32" s="29"/>
      <c r="M32" s="29"/>
      <c r="N32" s="29"/>
      <c r="O32" s="29"/>
      <c r="P32" s="29"/>
      <c r="Q32" s="29"/>
      <c r="R32" s="29"/>
      <c r="S32" s="30"/>
      <c r="T32" s="29"/>
      <c r="U32" s="32" t="s">
        <v>372</v>
      </c>
      <c r="V32" s="16">
        <v>1.0</v>
      </c>
      <c r="W32" s="33" t="s">
        <v>374</v>
      </c>
      <c r="X32" s="32" t="s">
        <v>375</v>
      </c>
      <c r="Y32" s="32"/>
      <c r="Z32" s="32"/>
    </row>
    <row r="33" ht="84.0" customHeight="1">
      <c r="A33" s="20" t="s">
        <v>39</v>
      </c>
      <c r="B33" s="21" t="s">
        <v>64</v>
      </c>
      <c r="C33" s="21" t="s">
        <v>376</v>
      </c>
      <c r="D33" s="21" t="s">
        <v>378</v>
      </c>
      <c r="E33" s="23" t="s">
        <v>247</v>
      </c>
      <c r="F33" s="23"/>
      <c r="G33" s="24" t="s">
        <v>117</v>
      </c>
      <c r="H33" s="32" t="s">
        <v>382</v>
      </c>
      <c r="I33" s="27" t="s">
        <v>384</v>
      </c>
      <c r="J33" s="27"/>
      <c r="K33" s="29"/>
      <c r="L33" s="29"/>
      <c r="M33" s="29"/>
      <c r="N33" s="29"/>
      <c r="O33" s="46"/>
      <c r="P33" s="46"/>
      <c r="Q33" s="29"/>
      <c r="R33" s="29"/>
      <c r="S33" s="29"/>
      <c r="T33" s="46"/>
      <c r="U33" s="32"/>
      <c r="V33" s="16">
        <v>3.0</v>
      </c>
      <c r="W33" s="48" t="s">
        <v>401</v>
      </c>
      <c r="X33" s="32" t="s">
        <v>426</v>
      </c>
      <c r="Y33" s="32"/>
      <c r="Z33" s="32"/>
    </row>
    <row r="34" ht="87.0" customHeight="1">
      <c r="A34" s="20" t="s">
        <v>428</v>
      </c>
      <c r="B34" s="21" t="s">
        <v>64</v>
      </c>
      <c r="C34" s="21" t="s">
        <v>429</v>
      </c>
      <c r="D34" s="21" t="s">
        <v>430</v>
      </c>
      <c r="E34" s="23" t="s">
        <v>247</v>
      </c>
      <c r="F34" s="23"/>
      <c r="G34" s="24" t="s">
        <v>431</v>
      </c>
      <c r="H34" s="32" t="s">
        <v>434</v>
      </c>
      <c r="I34" s="27" t="s">
        <v>436</v>
      </c>
      <c r="J34" s="27"/>
      <c r="K34" s="35" t="s">
        <v>437</v>
      </c>
      <c r="L34" s="35" t="s">
        <v>438</v>
      </c>
      <c r="M34" s="35" t="s">
        <v>439</v>
      </c>
      <c r="N34" s="36">
        <v>39840.0</v>
      </c>
      <c r="O34" s="35" t="s">
        <v>441</v>
      </c>
      <c r="P34" s="29"/>
      <c r="Q34" s="29"/>
      <c r="R34" s="29"/>
      <c r="S34" s="29"/>
      <c r="T34" s="29"/>
      <c r="U34" s="32"/>
      <c r="V34" s="16">
        <v>1.0</v>
      </c>
      <c r="W34" s="33" t="s">
        <v>442</v>
      </c>
      <c r="X34" s="32" t="s">
        <v>375</v>
      </c>
      <c r="Y34" s="32"/>
      <c r="Z34" s="32"/>
    </row>
    <row r="35" ht="85.5" customHeight="1">
      <c r="A35" s="20" t="s">
        <v>428</v>
      </c>
      <c r="B35" s="21" t="s">
        <v>64</v>
      </c>
      <c r="C35" s="21" t="s">
        <v>429</v>
      </c>
      <c r="D35" s="21" t="s">
        <v>444</v>
      </c>
      <c r="E35" s="23" t="s">
        <v>445</v>
      </c>
      <c r="F35" s="23"/>
      <c r="G35" s="24" t="s">
        <v>111</v>
      </c>
      <c r="H35" s="32" t="s">
        <v>448</v>
      </c>
      <c r="I35" s="27" t="s">
        <v>449</v>
      </c>
      <c r="J35" s="27"/>
      <c r="K35" s="29"/>
      <c r="L35" s="29"/>
      <c r="M35" s="29"/>
      <c r="N35" s="29"/>
      <c r="O35" s="29"/>
      <c r="P35" s="29"/>
      <c r="Q35" s="29"/>
      <c r="R35" s="29"/>
      <c r="S35" s="29"/>
      <c r="T35" s="29"/>
      <c r="U35" s="32" t="s">
        <v>451</v>
      </c>
      <c r="V35" s="16">
        <v>1.0</v>
      </c>
      <c r="W35" s="33" t="s">
        <v>442</v>
      </c>
      <c r="X35" s="32" t="s">
        <v>375</v>
      </c>
      <c r="Y35" s="32"/>
      <c r="Z35" s="32"/>
    </row>
    <row r="36" ht="75.75" customHeight="1">
      <c r="A36" s="20" t="s">
        <v>428</v>
      </c>
      <c r="B36" s="21" t="s">
        <v>64</v>
      </c>
      <c r="C36" s="21" t="s">
        <v>376</v>
      </c>
      <c r="D36" s="21" t="s">
        <v>430</v>
      </c>
      <c r="E36" s="23" t="s">
        <v>247</v>
      </c>
      <c r="F36" s="23"/>
      <c r="G36" s="24" t="s">
        <v>117</v>
      </c>
      <c r="H36" s="32" t="s">
        <v>455</v>
      </c>
      <c r="I36" s="27" t="s">
        <v>457</v>
      </c>
      <c r="J36" s="27"/>
      <c r="K36" s="29"/>
      <c r="L36" s="29"/>
      <c r="M36" s="29"/>
      <c r="N36" s="29"/>
      <c r="O36" s="46"/>
      <c r="P36" s="46"/>
      <c r="Q36" s="29"/>
      <c r="R36" s="29"/>
      <c r="S36" s="29"/>
      <c r="T36" s="29"/>
      <c r="U36" s="32" t="s">
        <v>458</v>
      </c>
      <c r="V36" s="16">
        <v>1.0</v>
      </c>
      <c r="W36" s="33" t="s">
        <v>374</v>
      </c>
      <c r="X36" s="32" t="s">
        <v>460</v>
      </c>
      <c r="Y36" s="32"/>
      <c r="Z36" s="32"/>
    </row>
    <row r="37" ht="84.75" customHeight="1">
      <c r="A37" s="20" t="s">
        <v>428</v>
      </c>
      <c r="B37" s="21" t="s">
        <v>64</v>
      </c>
      <c r="C37" s="21" t="s">
        <v>429</v>
      </c>
      <c r="D37" s="21" t="s">
        <v>464</v>
      </c>
      <c r="E37" s="23" t="s">
        <v>247</v>
      </c>
      <c r="F37" s="23"/>
      <c r="G37" s="24" t="s">
        <v>117</v>
      </c>
      <c r="H37" s="32" t="s">
        <v>469</v>
      </c>
      <c r="I37" s="27" t="s">
        <v>472</v>
      </c>
      <c r="J37" s="27"/>
      <c r="K37" s="29"/>
      <c r="L37" s="29"/>
      <c r="M37" s="29"/>
      <c r="N37" s="29"/>
      <c r="O37" s="29"/>
      <c r="P37" s="29"/>
      <c r="Q37" s="29"/>
      <c r="R37" s="29"/>
      <c r="S37" s="29"/>
      <c r="T37" s="29"/>
      <c r="U37" s="32" t="s">
        <v>475</v>
      </c>
      <c r="V37" s="16">
        <v>3.0</v>
      </c>
      <c r="W37" s="33" t="s">
        <v>476</v>
      </c>
      <c r="X37" s="32" t="s">
        <v>426</v>
      </c>
      <c r="Y37" s="32"/>
      <c r="Z37" s="32"/>
    </row>
    <row r="38" ht="93.0" customHeight="1">
      <c r="A38" s="20" t="s">
        <v>428</v>
      </c>
      <c r="B38" s="21" t="s">
        <v>64</v>
      </c>
      <c r="C38" s="21" t="s">
        <v>429</v>
      </c>
      <c r="D38" s="21" t="s">
        <v>478</v>
      </c>
      <c r="E38" s="23" t="s">
        <v>247</v>
      </c>
      <c r="F38" s="23"/>
      <c r="G38" s="24" t="s">
        <v>431</v>
      </c>
      <c r="H38" s="32" t="s">
        <v>483</v>
      </c>
      <c r="I38" s="27" t="s">
        <v>486</v>
      </c>
      <c r="J38" s="27"/>
      <c r="K38" s="29"/>
      <c r="L38" s="29"/>
      <c r="M38" s="29"/>
      <c r="N38" s="29"/>
      <c r="O38" s="29"/>
      <c r="P38" s="29"/>
      <c r="Q38" s="29"/>
      <c r="R38" s="29"/>
      <c r="S38" s="29"/>
      <c r="T38" s="29"/>
      <c r="U38" s="32" t="s">
        <v>487</v>
      </c>
      <c r="V38" s="16">
        <v>1.0</v>
      </c>
      <c r="W38" s="33" t="s">
        <v>223</v>
      </c>
      <c r="X38" s="32" t="s">
        <v>375</v>
      </c>
      <c r="Y38" s="32"/>
      <c r="Z38" s="32"/>
    </row>
    <row r="39" ht="72.0" customHeight="1">
      <c r="A39" s="20" t="s">
        <v>39</v>
      </c>
      <c r="B39" s="21" t="s">
        <v>64</v>
      </c>
      <c r="C39" s="21" t="s">
        <v>429</v>
      </c>
      <c r="D39" s="21" t="s">
        <v>478</v>
      </c>
      <c r="E39" s="23" t="s">
        <v>247</v>
      </c>
      <c r="F39" s="23"/>
      <c r="G39" s="24" t="s">
        <v>111</v>
      </c>
      <c r="H39" s="32" t="s">
        <v>498</v>
      </c>
      <c r="I39" s="27"/>
      <c r="J39" s="27"/>
      <c r="K39" s="29" t="s">
        <v>500</v>
      </c>
      <c r="L39" s="29" t="s">
        <v>501</v>
      </c>
      <c r="M39" s="29" t="s">
        <v>502</v>
      </c>
      <c r="N39" s="30">
        <v>42013.0</v>
      </c>
      <c r="O39" s="46" t="str">
        <f>HYPERLINK("http://www.zerowastescotland.org.uk/content/edinburgh-%E2%80%98nudging%E2%80%99-success-recycling","http://www.zerowastescotland.org.uk/content/edinburgh-%E2%80%98nudging%E2%80%99-success-recycling")</f>
        <v>http://www.zerowastescotland.org.uk/content/edinburgh-%E2%80%98nudging%E2%80%99-success-recycling</v>
      </c>
      <c r="P39" s="46"/>
      <c r="Q39" s="29"/>
      <c r="R39" s="29"/>
      <c r="S39" s="29"/>
      <c r="T39" s="29"/>
      <c r="U39" s="32" t="s">
        <v>520</v>
      </c>
      <c r="V39" s="33">
        <v>3.0</v>
      </c>
      <c r="W39" s="33" t="s">
        <v>521</v>
      </c>
      <c r="X39" s="32" t="s">
        <v>522</v>
      </c>
      <c r="Y39" s="32"/>
      <c r="Z39" s="32"/>
    </row>
    <row r="40" ht="75.0" customHeight="1">
      <c r="A40" s="20" t="s">
        <v>428</v>
      </c>
      <c r="B40" s="21" t="s">
        <v>64</v>
      </c>
      <c r="C40" s="21" t="s">
        <v>429</v>
      </c>
      <c r="D40" s="21" t="s">
        <v>524</v>
      </c>
      <c r="E40" s="23" t="s">
        <v>526</v>
      </c>
      <c r="F40" s="23"/>
      <c r="G40" s="24" t="s">
        <v>111</v>
      </c>
      <c r="H40" s="32" t="s">
        <v>532</v>
      </c>
      <c r="I40" s="27" t="s">
        <v>533</v>
      </c>
      <c r="J40" s="27"/>
      <c r="K40" s="29"/>
      <c r="L40" s="29"/>
      <c r="M40" s="29"/>
      <c r="N40" s="29"/>
      <c r="O40" s="29"/>
      <c r="P40" s="29"/>
      <c r="Q40" s="29"/>
      <c r="R40" s="29"/>
      <c r="S40" s="29"/>
      <c r="T40" s="29"/>
      <c r="U40" s="32" t="s">
        <v>535</v>
      </c>
      <c r="V40" s="16">
        <v>1.0</v>
      </c>
      <c r="W40" s="33" t="s">
        <v>223</v>
      </c>
      <c r="X40" s="32" t="s">
        <v>375</v>
      </c>
      <c r="Y40" s="32"/>
      <c r="Z40" s="32"/>
    </row>
    <row r="41" ht="84.0" customHeight="1">
      <c r="A41" s="20" t="s">
        <v>428</v>
      </c>
      <c r="B41" s="21" t="s">
        <v>64</v>
      </c>
      <c r="C41" s="21" t="s">
        <v>429</v>
      </c>
      <c r="D41" s="21" t="s">
        <v>524</v>
      </c>
      <c r="E41" s="23" t="s">
        <v>537</v>
      </c>
      <c r="F41" s="23"/>
      <c r="G41" s="24" t="s">
        <v>431</v>
      </c>
      <c r="H41" s="32" t="s">
        <v>540</v>
      </c>
      <c r="I41" s="27" t="s">
        <v>543</v>
      </c>
      <c r="J41" s="27"/>
      <c r="K41" s="29"/>
      <c r="L41" s="29"/>
      <c r="M41" s="29"/>
      <c r="N41" s="29"/>
      <c r="O41" s="29"/>
      <c r="P41" s="29"/>
      <c r="Q41" s="29"/>
      <c r="R41" s="29"/>
      <c r="S41" s="29"/>
      <c r="T41" s="29"/>
      <c r="U41" s="32"/>
      <c r="V41" s="16">
        <v>1.0</v>
      </c>
      <c r="W41" s="33" t="s">
        <v>374</v>
      </c>
      <c r="X41" s="32" t="s">
        <v>375</v>
      </c>
      <c r="Y41" s="32"/>
      <c r="Z41" s="32"/>
    </row>
    <row r="42" ht="93.0" customHeight="1">
      <c r="A42" s="20" t="s">
        <v>428</v>
      </c>
      <c r="B42" s="21" t="s">
        <v>64</v>
      </c>
      <c r="C42" s="21" t="s">
        <v>376</v>
      </c>
      <c r="D42" s="21" t="s">
        <v>524</v>
      </c>
      <c r="E42" s="23" t="s">
        <v>544</v>
      </c>
      <c r="F42" s="23"/>
      <c r="G42" s="24" t="s">
        <v>111</v>
      </c>
      <c r="H42" s="51" t="s">
        <v>545</v>
      </c>
      <c r="I42" s="53" t="s">
        <v>547</v>
      </c>
      <c r="J42" s="27"/>
      <c r="K42" s="29"/>
      <c r="L42" s="29"/>
      <c r="M42" s="29"/>
      <c r="N42" s="29"/>
      <c r="O42" s="29"/>
      <c r="P42" s="29"/>
      <c r="Q42" s="29"/>
      <c r="R42" s="29"/>
      <c r="S42" s="29"/>
      <c r="T42" s="29"/>
      <c r="U42" s="32"/>
      <c r="V42" s="16">
        <v>3.0</v>
      </c>
      <c r="W42" s="33" t="s">
        <v>548</v>
      </c>
      <c r="X42" s="32" t="s">
        <v>426</v>
      </c>
      <c r="Y42" s="32"/>
      <c r="Z42" s="32"/>
    </row>
    <row r="43" ht="88.5" customHeight="1">
      <c r="A43" s="20" t="s">
        <v>428</v>
      </c>
      <c r="B43" s="21" t="s">
        <v>64</v>
      </c>
      <c r="C43" s="21" t="s">
        <v>429</v>
      </c>
      <c r="D43" s="21" t="s">
        <v>550</v>
      </c>
      <c r="E43" s="23" t="s">
        <v>551</v>
      </c>
      <c r="F43" s="23"/>
      <c r="G43" s="24" t="s">
        <v>111</v>
      </c>
      <c r="H43" s="32" t="s">
        <v>556</v>
      </c>
      <c r="I43" s="27" t="s">
        <v>557</v>
      </c>
      <c r="J43" s="27"/>
      <c r="K43" s="29"/>
      <c r="L43" s="29"/>
      <c r="M43" s="29"/>
      <c r="N43" s="29"/>
      <c r="O43" s="29"/>
      <c r="P43" s="29"/>
      <c r="Q43" s="29"/>
      <c r="R43" s="29"/>
      <c r="S43" s="29"/>
      <c r="T43" s="29"/>
      <c r="U43" s="32"/>
      <c r="V43" s="16">
        <v>1.0</v>
      </c>
      <c r="W43" s="33" t="s">
        <v>558</v>
      </c>
      <c r="X43" s="32" t="s">
        <v>375</v>
      </c>
      <c r="Y43" s="32"/>
      <c r="Z43" s="32"/>
    </row>
    <row r="44" ht="84.75" customHeight="1">
      <c r="A44" s="20" t="s">
        <v>428</v>
      </c>
      <c r="B44" s="21" t="s">
        <v>64</v>
      </c>
      <c r="C44" s="21" t="s">
        <v>429</v>
      </c>
      <c r="D44" s="21" t="s">
        <v>560</v>
      </c>
      <c r="E44" s="23" t="s">
        <v>526</v>
      </c>
      <c r="F44" s="23"/>
      <c r="G44" s="24" t="s">
        <v>431</v>
      </c>
      <c r="H44" s="32" t="s">
        <v>563</v>
      </c>
      <c r="I44" s="27" t="s">
        <v>564</v>
      </c>
      <c r="J44" s="27"/>
      <c r="K44" s="29"/>
      <c r="L44" s="29"/>
      <c r="M44" s="29"/>
      <c r="N44" s="29"/>
      <c r="O44" s="29"/>
      <c r="P44" s="29"/>
      <c r="Q44" s="29"/>
      <c r="R44" s="29"/>
      <c r="S44" s="29"/>
      <c r="T44" s="29"/>
      <c r="U44" s="32"/>
      <c r="V44" s="16">
        <v>3.0</v>
      </c>
      <c r="W44" s="33" t="s">
        <v>565</v>
      </c>
      <c r="X44" s="32" t="s">
        <v>114</v>
      </c>
      <c r="Y44" s="32"/>
      <c r="Z44" s="32"/>
    </row>
    <row r="45" ht="96.0" customHeight="1">
      <c r="A45" s="20" t="s">
        <v>39</v>
      </c>
      <c r="B45" s="21" t="s">
        <v>64</v>
      </c>
      <c r="C45" s="21" t="s">
        <v>429</v>
      </c>
      <c r="D45" s="21" t="s">
        <v>560</v>
      </c>
      <c r="E45" s="23" t="s">
        <v>566</v>
      </c>
      <c r="F45" s="23"/>
      <c r="G45" s="24" t="s">
        <v>431</v>
      </c>
      <c r="H45" s="32" t="s">
        <v>567</v>
      </c>
      <c r="I45" s="27" t="s">
        <v>568</v>
      </c>
      <c r="J45" s="27"/>
      <c r="K45" s="29"/>
      <c r="L45" s="29"/>
      <c r="M45" s="29"/>
      <c r="N45" s="29"/>
      <c r="O45" s="29"/>
      <c r="P45" s="29"/>
      <c r="Q45" s="29"/>
      <c r="R45" s="29"/>
      <c r="S45" s="29"/>
      <c r="T45" s="29"/>
      <c r="U45" s="32" t="s">
        <v>569</v>
      </c>
      <c r="V45" s="16">
        <v>3.0</v>
      </c>
      <c r="W45" s="33" t="s">
        <v>570</v>
      </c>
      <c r="X45" s="32" t="s">
        <v>114</v>
      </c>
      <c r="Y45" s="32"/>
      <c r="Z45" s="32"/>
    </row>
    <row r="46" ht="99.75" customHeight="1">
      <c r="A46" s="20" t="s">
        <v>428</v>
      </c>
      <c r="B46" s="21" t="s">
        <v>64</v>
      </c>
      <c r="C46" s="21" t="s">
        <v>387</v>
      </c>
      <c r="D46" s="21" t="s">
        <v>571</v>
      </c>
      <c r="E46" s="23" t="s">
        <v>70</v>
      </c>
      <c r="F46" s="23"/>
      <c r="G46" s="24" t="s">
        <v>298</v>
      </c>
      <c r="H46" s="32" t="s">
        <v>572</v>
      </c>
      <c r="I46" s="27" t="s">
        <v>573</v>
      </c>
      <c r="J46" s="27"/>
      <c r="K46" s="29" t="s">
        <v>575</v>
      </c>
      <c r="L46" s="29" t="s">
        <v>188</v>
      </c>
      <c r="M46" s="29" t="s">
        <v>576</v>
      </c>
      <c r="N46" s="29" t="s">
        <v>577</v>
      </c>
      <c r="O46" s="29" t="s">
        <v>579</v>
      </c>
      <c r="P46" s="29" t="s">
        <v>580</v>
      </c>
      <c r="Q46" s="29" t="s">
        <v>188</v>
      </c>
      <c r="R46" s="29" t="s">
        <v>581</v>
      </c>
      <c r="S46" s="29"/>
      <c r="T46" s="29" t="s">
        <v>582</v>
      </c>
      <c r="U46" s="32"/>
      <c r="V46" s="16">
        <v>4.0</v>
      </c>
      <c r="W46" s="33" t="s">
        <v>583</v>
      </c>
      <c r="X46" s="32" t="s">
        <v>114</v>
      </c>
      <c r="Y46" s="32"/>
      <c r="Z46" s="32"/>
    </row>
    <row r="47" ht="76.5" customHeight="1">
      <c r="A47" s="20" t="s">
        <v>428</v>
      </c>
      <c r="B47" s="21" t="s">
        <v>64</v>
      </c>
      <c r="C47" s="21" t="s">
        <v>387</v>
      </c>
      <c r="D47" s="21" t="s">
        <v>571</v>
      </c>
      <c r="E47" s="23" t="s">
        <v>587</v>
      </c>
      <c r="F47" s="23"/>
      <c r="G47" s="24" t="s">
        <v>431</v>
      </c>
      <c r="H47" s="32" t="s">
        <v>588</v>
      </c>
      <c r="I47" s="27" t="s">
        <v>589</v>
      </c>
      <c r="J47" s="27"/>
      <c r="K47" s="29" t="s">
        <v>590</v>
      </c>
      <c r="L47" s="29" t="s">
        <v>591</v>
      </c>
      <c r="M47" s="29" t="s">
        <v>592</v>
      </c>
      <c r="N47" s="30">
        <v>42032.0</v>
      </c>
      <c r="O47" s="46" t="str">
        <f>HYPERLINK("http://www.scientificamerican.com/article/what-do-farmers-think-about-climate-change/","http://www.scientificamerican.com/article/what-do-farmers-think-about-climate-change/")</f>
        <v>http://www.scientificamerican.com/article/what-do-farmers-think-about-climate-change/</v>
      </c>
      <c r="P47" s="46"/>
      <c r="Q47" s="29"/>
      <c r="R47" s="29"/>
      <c r="S47" s="29"/>
      <c r="T47" s="29"/>
      <c r="U47" s="32"/>
      <c r="V47" s="16">
        <v>4.0</v>
      </c>
      <c r="W47" s="33" t="s">
        <v>593</v>
      </c>
      <c r="X47" s="32" t="s">
        <v>114</v>
      </c>
      <c r="Y47" s="32"/>
      <c r="Z47" s="32"/>
    </row>
    <row r="48" ht="69.0" customHeight="1">
      <c r="A48" s="20" t="s">
        <v>428</v>
      </c>
      <c r="B48" s="21" t="s">
        <v>64</v>
      </c>
      <c r="C48" s="21" t="s">
        <v>387</v>
      </c>
      <c r="D48" s="21" t="s">
        <v>594</v>
      </c>
      <c r="E48" s="23" t="s">
        <v>595</v>
      </c>
      <c r="F48" s="23"/>
      <c r="G48" s="24" t="s">
        <v>431</v>
      </c>
      <c r="H48" s="32" t="s">
        <v>596</v>
      </c>
      <c r="I48" s="27" t="s">
        <v>597</v>
      </c>
      <c r="J48" s="27"/>
      <c r="K48" s="29"/>
      <c r="L48" s="29"/>
      <c r="M48" s="29"/>
      <c r="N48" s="29"/>
      <c r="O48" s="29"/>
      <c r="P48" s="29"/>
      <c r="Q48" s="29"/>
      <c r="R48" s="29"/>
      <c r="S48" s="29"/>
      <c r="T48" s="29"/>
      <c r="U48" s="32" t="s">
        <v>598</v>
      </c>
      <c r="V48" s="16">
        <v>3.0</v>
      </c>
      <c r="W48" s="33" t="s">
        <v>599</v>
      </c>
      <c r="X48" s="32" t="s">
        <v>114</v>
      </c>
      <c r="Y48" s="32"/>
      <c r="Z48" s="32"/>
    </row>
    <row r="49" ht="94.5" customHeight="1">
      <c r="A49" s="20" t="s">
        <v>428</v>
      </c>
      <c r="B49" s="21" t="s">
        <v>64</v>
      </c>
      <c r="C49" s="21" t="s">
        <v>387</v>
      </c>
      <c r="D49" s="21" t="s">
        <v>594</v>
      </c>
      <c r="E49" s="23" t="s">
        <v>601</v>
      </c>
      <c r="F49" s="23"/>
      <c r="G49" s="24" t="s">
        <v>111</v>
      </c>
      <c r="H49" s="32" t="s">
        <v>602</v>
      </c>
      <c r="I49" s="27" t="s">
        <v>604</v>
      </c>
      <c r="J49" s="27"/>
      <c r="K49" s="29"/>
      <c r="L49" s="29"/>
      <c r="M49" s="29"/>
      <c r="N49" s="29"/>
      <c r="O49" s="29"/>
      <c r="P49" s="29"/>
      <c r="Q49" s="29"/>
      <c r="R49" s="29"/>
      <c r="S49" s="29"/>
      <c r="T49" s="29"/>
      <c r="U49" s="32"/>
      <c r="V49" s="16">
        <v>1.0</v>
      </c>
      <c r="W49" s="33" t="s">
        <v>607</v>
      </c>
      <c r="X49" s="32"/>
      <c r="Y49" s="32"/>
      <c r="Z49" s="32"/>
    </row>
    <row r="50" ht="106.5" customHeight="1">
      <c r="A50" s="20" t="s">
        <v>428</v>
      </c>
      <c r="B50" s="21" t="s">
        <v>64</v>
      </c>
      <c r="C50" s="21" t="s">
        <v>387</v>
      </c>
      <c r="D50" s="21" t="s">
        <v>594</v>
      </c>
      <c r="E50" s="23" t="s">
        <v>612</v>
      </c>
      <c r="F50" s="23"/>
      <c r="G50" s="24" t="s">
        <v>431</v>
      </c>
      <c r="H50" s="32" t="s">
        <v>614</v>
      </c>
      <c r="I50" s="27" t="s">
        <v>616</v>
      </c>
      <c r="J50" s="27"/>
      <c r="K50" s="29"/>
      <c r="L50" s="29"/>
      <c r="M50" s="29"/>
      <c r="N50" s="29"/>
      <c r="O50" s="29"/>
      <c r="P50" s="29"/>
      <c r="Q50" s="29"/>
      <c r="R50" s="29"/>
      <c r="S50" s="29"/>
      <c r="T50" s="29"/>
      <c r="U50" s="32"/>
      <c r="V50" s="33">
        <v>3.0</v>
      </c>
      <c r="W50" s="33" t="s">
        <v>617</v>
      </c>
      <c r="X50" s="56" t="s">
        <v>618</v>
      </c>
      <c r="Y50" s="32"/>
      <c r="Z50" s="32"/>
    </row>
    <row r="51" ht="78.0" customHeight="1">
      <c r="A51" s="20" t="s">
        <v>428</v>
      </c>
      <c r="B51" s="21" t="s">
        <v>64</v>
      </c>
      <c r="C51" s="21" t="s">
        <v>387</v>
      </c>
      <c r="D51" s="21" t="s">
        <v>594</v>
      </c>
      <c r="E51" s="23" t="s">
        <v>629</v>
      </c>
      <c r="F51" s="23"/>
      <c r="G51" s="24" t="s">
        <v>111</v>
      </c>
      <c r="H51" s="32" t="s">
        <v>631</v>
      </c>
      <c r="I51" s="27" t="s">
        <v>632</v>
      </c>
      <c r="J51" s="27"/>
      <c r="K51" s="29"/>
      <c r="L51" s="29"/>
      <c r="M51" s="29"/>
      <c r="N51" s="29"/>
      <c r="O51" s="29"/>
      <c r="P51" s="29"/>
      <c r="Q51" s="29"/>
      <c r="R51" s="29"/>
      <c r="S51" s="29"/>
      <c r="T51" s="29"/>
      <c r="U51" s="32"/>
      <c r="V51" s="33">
        <v>3.0</v>
      </c>
      <c r="W51" s="33" t="s">
        <v>633</v>
      </c>
      <c r="X51" s="32" t="s">
        <v>114</v>
      </c>
      <c r="Y51" s="32"/>
      <c r="Z51" s="32"/>
    </row>
    <row r="52" ht="72.75" customHeight="1">
      <c r="A52" s="20" t="s">
        <v>428</v>
      </c>
      <c r="B52" s="21" t="s">
        <v>64</v>
      </c>
      <c r="C52" s="21" t="s">
        <v>387</v>
      </c>
      <c r="D52" s="21" t="s">
        <v>389</v>
      </c>
      <c r="E52" s="23" t="s">
        <v>634</v>
      </c>
      <c r="F52" s="23"/>
      <c r="G52" s="24" t="s">
        <v>117</v>
      </c>
      <c r="H52" s="32" t="s">
        <v>637</v>
      </c>
      <c r="I52" s="27" t="s">
        <v>638</v>
      </c>
      <c r="J52" s="27"/>
      <c r="K52" s="29" t="s">
        <v>188</v>
      </c>
      <c r="L52" s="29" t="s">
        <v>188</v>
      </c>
      <c r="M52" s="29" t="s">
        <v>639</v>
      </c>
      <c r="N52" s="29" t="s">
        <v>188</v>
      </c>
      <c r="O52" s="29" t="s">
        <v>640</v>
      </c>
      <c r="P52" s="29"/>
      <c r="Q52" s="29"/>
      <c r="R52" s="29"/>
      <c r="S52" s="29"/>
      <c r="T52" s="29"/>
      <c r="U52" s="32"/>
      <c r="V52" s="16">
        <v>3.0</v>
      </c>
      <c r="W52" s="33" t="s">
        <v>641</v>
      </c>
      <c r="X52" s="32" t="s">
        <v>114</v>
      </c>
      <c r="Y52" s="32"/>
      <c r="Z52" s="32"/>
    </row>
    <row r="53" ht="90.0" customHeight="1">
      <c r="A53" s="20" t="s">
        <v>428</v>
      </c>
      <c r="B53" s="21" t="s">
        <v>64</v>
      </c>
      <c r="C53" s="21" t="s">
        <v>387</v>
      </c>
      <c r="D53" s="21" t="s">
        <v>389</v>
      </c>
      <c r="E53" s="23" t="s">
        <v>644</v>
      </c>
      <c r="F53" s="23"/>
      <c r="G53" s="24" t="s">
        <v>431</v>
      </c>
      <c r="H53" s="32" t="s">
        <v>645</v>
      </c>
      <c r="I53" s="27" t="s">
        <v>646</v>
      </c>
      <c r="J53" s="27"/>
      <c r="K53" s="29"/>
      <c r="L53" s="29"/>
      <c r="M53" s="29"/>
      <c r="N53" s="29"/>
      <c r="O53" s="29"/>
      <c r="P53" s="29"/>
      <c r="Q53" s="29"/>
      <c r="R53" s="29"/>
      <c r="S53" s="29"/>
      <c r="T53" s="29"/>
      <c r="U53" s="32"/>
      <c r="V53" s="16">
        <v>1.0</v>
      </c>
      <c r="W53" s="33" t="s">
        <v>647</v>
      </c>
      <c r="X53" s="32" t="s">
        <v>146</v>
      </c>
      <c r="Y53" s="32"/>
      <c r="Z53" s="32"/>
    </row>
    <row r="54" ht="121.5" customHeight="1">
      <c r="A54" s="20" t="s">
        <v>428</v>
      </c>
      <c r="B54" s="21" t="s">
        <v>64</v>
      </c>
      <c r="C54" s="21" t="s">
        <v>387</v>
      </c>
      <c r="D54" s="21" t="s">
        <v>389</v>
      </c>
      <c r="E54" s="23" t="s">
        <v>648</v>
      </c>
      <c r="F54" s="23"/>
      <c r="G54" s="24" t="s">
        <v>431</v>
      </c>
      <c r="H54" s="32" t="s">
        <v>652</v>
      </c>
      <c r="I54" s="27" t="s">
        <v>654</v>
      </c>
      <c r="J54" s="27"/>
      <c r="K54" s="29"/>
      <c r="L54" s="29"/>
      <c r="M54" s="29"/>
      <c r="N54" s="29"/>
      <c r="O54" s="29"/>
      <c r="P54" s="29"/>
      <c r="Q54" s="29"/>
      <c r="R54" s="29"/>
      <c r="S54" s="29"/>
      <c r="T54" s="29"/>
      <c r="U54" s="32" t="s">
        <v>343</v>
      </c>
      <c r="V54" s="33">
        <v>1.0</v>
      </c>
      <c r="W54" s="33" t="s">
        <v>656</v>
      </c>
      <c r="X54" s="32" t="s">
        <v>140</v>
      </c>
      <c r="Y54" s="32"/>
      <c r="Z54" s="32"/>
    </row>
    <row r="55" ht="103.5" customHeight="1">
      <c r="A55" s="20" t="s">
        <v>428</v>
      </c>
      <c r="B55" s="21" t="s">
        <v>64</v>
      </c>
      <c r="C55" s="21" t="s">
        <v>387</v>
      </c>
      <c r="D55" s="21" t="s">
        <v>657</v>
      </c>
      <c r="E55" s="23" t="s">
        <v>388</v>
      </c>
      <c r="F55" s="23"/>
      <c r="G55" s="24" t="s">
        <v>111</v>
      </c>
      <c r="H55" s="32" t="s">
        <v>658</v>
      </c>
      <c r="I55" s="27" t="s">
        <v>659</v>
      </c>
      <c r="J55" s="27"/>
      <c r="K55" s="29"/>
      <c r="L55" s="29"/>
      <c r="M55" s="29"/>
      <c r="N55" s="29"/>
      <c r="O55" s="29"/>
      <c r="P55" s="29"/>
      <c r="Q55" s="29"/>
      <c r="R55" s="29"/>
      <c r="S55" s="29"/>
      <c r="T55" s="29"/>
      <c r="U55" s="57" t="s">
        <v>343</v>
      </c>
      <c r="V55" s="16">
        <v>1.0</v>
      </c>
      <c r="W55" s="33" t="s">
        <v>665</v>
      </c>
      <c r="X55" s="32" t="s">
        <v>140</v>
      </c>
      <c r="Y55" s="32"/>
      <c r="Z55" s="32"/>
    </row>
    <row r="56" ht="105.0" customHeight="1">
      <c r="A56" s="20" t="s">
        <v>428</v>
      </c>
      <c r="B56" s="21" t="s">
        <v>64</v>
      </c>
      <c r="C56" s="21" t="s">
        <v>490</v>
      </c>
      <c r="D56" s="21" t="s">
        <v>666</v>
      </c>
      <c r="E56" s="23" t="s">
        <v>267</v>
      </c>
      <c r="F56" s="23"/>
      <c r="G56" s="24" t="s">
        <v>431</v>
      </c>
      <c r="H56" s="32" t="s">
        <v>670</v>
      </c>
      <c r="I56" s="27" t="s">
        <v>671</v>
      </c>
      <c r="J56" s="27"/>
      <c r="K56" s="29"/>
      <c r="L56" s="29"/>
      <c r="M56" s="29"/>
      <c r="N56" s="29"/>
      <c r="O56" s="29"/>
      <c r="P56" s="29"/>
      <c r="Q56" s="29"/>
      <c r="R56" s="29"/>
      <c r="S56" s="29"/>
      <c r="T56" s="29"/>
      <c r="U56" s="57"/>
      <c r="V56" s="16">
        <v>1.0</v>
      </c>
      <c r="W56" s="33" t="s">
        <v>672</v>
      </c>
      <c r="X56" s="32" t="s">
        <v>375</v>
      </c>
      <c r="Y56" s="32"/>
      <c r="Z56" s="32"/>
    </row>
    <row r="57" ht="109.5" customHeight="1">
      <c r="A57" s="20" t="s">
        <v>428</v>
      </c>
      <c r="B57" s="21" t="s">
        <v>64</v>
      </c>
      <c r="C57" s="21" t="s">
        <v>490</v>
      </c>
      <c r="D57" s="21" t="s">
        <v>673</v>
      </c>
      <c r="E57" s="23" t="s">
        <v>674</v>
      </c>
      <c r="F57" s="23"/>
      <c r="G57" s="58" t="s">
        <v>431</v>
      </c>
      <c r="H57" s="32" t="s">
        <v>679</v>
      </c>
      <c r="I57" s="27" t="s">
        <v>680</v>
      </c>
      <c r="J57" s="27"/>
      <c r="K57" s="29"/>
      <c r="L57" s="29"/>
      <c r="M57" s="29"/>
      <c r="N57" s="29"/>
      <c r="O57" s="46"/>
      <c r="P57" s="46"/>
      <c r="Q57" s="29"/>
      <c r="R57" s="29"/>
      <c r="S57" s="29"/>
      <c r="T57" s="29"/>
      <c r="U57" s="57"/>
      <c r="V57" s="33">
        <v>3.0</v>
      </c>
      <c r="W57" s="33" t="s">
        <v>681</v>
      </c>
      <c r="X57" s="32" t="s">
        <v>682</v>
      </c>
      <c r="Y57" s="32"/>
      <c r="Z57" s="32"/>
    </row>
    <row r="58" ht="123.0" customHeight="1">
      <c r="A58" s="3" t="s">
        <v>683</v>
      </c>
      <c r="B58" s="5" t="s">
        <v>64</v>
      </c>
      <c r="C58" s="5" t="s">
        <v>490</v>
      </c>
      <c r="D58" s="5" t="s">
        <v>684</v>
      </c>
      <c r="E58" s="7" t="s">
        <v>247</v>
      </c>
      <c r="F58" s="7"/>
      <c r="G58" s="9" t="s">
        <v>117</v>
      </c>
      <c r="H58" s="14" t="s">
        <v>685</v>
      </c>
      <c r="I58" s="11" t="s">
        <v>686</v>
      </c>
      <c r="J58" s="11"/>
      <c r="K58" s="12"/>
      <c r="L58" s="12"/>
      <c r="M58" s="12"/>
      <c r="N58" s="12"/>
      <c r="O58" s="12"/>
      <c r="P58" s="12"/>
      <c r="Q58" s="12"/>
      <c r="R58" s="12"/>
      <c r="S58" s="12"/>
      <c r="T58" s="12"/>
      <c r="U58" s="59"/>
      <c r="V58" s="16">
        <v>1.0</v>
      </c>
      <c r="W58" s="16" t="s">
        <v>374</v>
      </c>
      <c r="X58" s="14"/>
      <c r="Y58" s="60"/>
      <c r="Z58" s="60"/>
    </row>
    <row r="59" ht="84.75" customHeight="1">
      <c r="A59" s="20" t="s">
        <v>428</v>
      </c>
      <c r="B59" s="21" t="s">
        <v>64</v>
      </c>
      <c r="C59" s="21" t="s">
        <v>490</v>
      </c>
      <c r="D59" s="21" t="s">
        <v>684</v>
      </c>
      <c r="E59" s="23" t="s">
        <v>470</v>
      </c>
      <c r="F59" s="23"/>
      <c r="G59" s="24" t="s">
        <v>95</v>
      </c>
      <c r="H59" s="32" t="s">
        <v>693</v>
      </c>
      <c r="I59" s="27" t="s">
        <v>694</v>
      </c>
      <c r="J59" s="27"/>
      <c r="K59" s="29"/>
      <c r="L59" s="29"/>
      <c r="M59" s="29"/>
      <c r="N59" s="29"/>
      <c r="O59" s="29"/>
      <c r="P59" s="29"/>
      <c r="Q59" s="29"/>
      <c r="R59" s="29"/>
      <c r="S59" s="29"/>
      <c r="T59" s="29"/>
      <c r="U59" s="57"/>
      <c r="V59" s="16">
        <v>1.0</v>
      </c>
      <c r="W59" s="33" t="s">
        <v>695</v>
      </c>
      <c r="X59" s="32" t="s">
        <v>114</v>
      </c>
      <c r="Y59" s="32"/>
      <c r="Z59" s="32"/>
    </row>
    <row r="60" ht="79.5" customHeight="1">
      <c r="A60" s="20" t="s">
        <v>428</v>
      </c>
      <c r="B60" s="21" t="s">
        <v>64</v>
      </c>
      <c r="C60" s="21" t="s">
        <v>490</v>
      </c>
      <c r="D60" s="21" t="s">
        <v>684</v>
      </c>
      <c r="E60" s="23" t="s">
        <v>605</v>
      </c>
      <c r="F60" s="23"/>
      <c r="G60" s="24" t="s">
        <v>431</v>
      </c>
      <c r="H60" s="32" t="s">
        <v>700</v>
      </c>
      <c r="I60" s="27" t="s">
        <v>701</v>
      </c>
      <c r="J60" s="27"/>
      <c r="K60" s="29"/>
      <c r="L60" s="29"/>
      <c r="M60" s="29"/>
      <c r="N60" s="29"/>
      <c r="O60" s="29"/>
      <c r="P60" s="29"/>
      <c r="Q60" s="29"/>
      <c r="R60" s="29"/>
      <c r="S60" s="29"/>
      <c r="T60" s="29"/>
      <c r="U60" s="57"/>
      <c r="V60" s="33">
        <v>1.0</v>
      </c>
      <c r="W60" s="33" t="s">
        <v>703</v>
      </c>
      <c r="X60" s="32" t="s">
        <v>704</v>
      </c>
      <c r="Y60" s="32"/>
      <c r="Z60" s="32"/>
    </row>
    <row r="61" ht="90.75" customHeight="1">
      <c r="A61" s="20" t="s">
        <v>428</v>
      </c>
      <c r="B61" s="21" t="s">
        <v>64</v>
      </c>
      <c r="C61" s="21" t="s">
        <v>490</v>
      </c>
      <c r="D61" s="21" t="s">
        <v>684</v>
      </c>
      <c r="E61" s="23" t="s">
        <v>116</v>
      </c>
      <c r="F61" s="23"/>
      <c r="G61" s="24" t="s">
        <v>431</v>
      </c>
      <c r="H61" s="32" t="s">
        <v>705</v>
      </c>
      <c r="I61" s="27" t="s">
        <v>706</v>
      </c>
      <c r="J61" s="27"/>
      <c r="K61" s="29"/>
      <c r="L61" s="29"/>
      <c r="M61" s="29"/>
      <c r="N61" s="29"/>
      <c r="O61" s="29"/>
      <c r="P61" s="29"/>
      <c r="Q61" s="29"/>
      <c r="R61" s="29"/>
      <c r="S61" s="29"/>
      <c r="T61" s="29"/>
      <c r="U61" s="57" t="s">
        <v>343</v>
      </c>
      <c r="V61" s="33">
        <v>1.0</v>
      </c>
      <c r="W61" s="33" t="s">
        <v>707</v>
      </c>
      <c r="X61" s="32" t="s">
        <v>704</v>
      </c>
      <c r="Y61" s="32"/>
      <c r="Z61" s="32"/>
    </row>
    <row r="62" ht="93.75" customHeight="1">
      <c r="A62" s="20" t="s">
        <v>428</v>
      </c>
      <c r="B62" s="21" t="s">
        <v>64</v>
      </c>
      <c r="C62" s="21" t="s">
        <v>490</v>
      </c>
      <c r="D62" s="21" t="s">
        <v>708</v>
      </c>
      <c r="E62" s="23" t="s">
        <v>267</v>
      </c>
      <c r="F62" s="23"/>
      <c r="G62" s="24" t="s">
        <v>431</v>
      </c>
      <c r="H62" s="32" t="s">
        <v>709</v>
      </c>
      <c r="I62" s="27" t="s">
        <v>710</v>
      </c>
      <c r="J62" s="27"/>
      <c r="K62" s="29"/>
      <c r="L62" s="29"/>
      <c r="M62" s="29"/>
      <c r="N62" s="29"/>
      <c r="O62" s="29"/>
      <c r="P62" s="29"/>
      <c r="Q62" s="29"/>
      <c r="R62" s="29"/>
      <c r="S62" s="29"/>
      <c r="T62" s="29"/>
      <c r="U62" s="57"/>
      <c r="V62" s="16">
        <v>3.0</v>
      </c>
      <c r="W62" s="33" t="s">
        <v>711</v>
      </c>
      <c r="X62" s="32" t="s">
        <v>713</v>
      </c>
      <c r="Y62" s="32"/>
      <c r="Z62" s="32"/>
    </row>
    <row r="63" ht="90.0" customHeight="1">
      <c r="A63" s="20" t="s">
        <v>428</v>
      </c>
      <c r="B63" s="21" t="s">
        <v>64</v>
      </c>
      <c r="C63" s="21" t="s">
        <v>490</v>
      </c>
      <c r="D63" s="21" t="s">
        <v>708</v>
      </c>
      <c r="E63" s="23" t="s">
        <v>169</v>
      </c>
      <c r="F63" s="23"/>
      <c r="G63" s="24" t="s">
        <v>111</v>
      </c>
      <c r="H63" s="32" t="s">
        <v>717</v>
      </c>
      <c r="I63" s="27" t="s">
        <v>718</v>
      </c>
      <c r="J63" s="27"/>
      <c r="K63" s="29"/>
      <c r="L63" s="29"/>
      <c r="M63" s="29"/>
      <c r="N63" s="29"/>
      <c r="O63" s="29"/>
      <c r="P63" s="29"/>
      <c r="Q63" s="29"/>
      <c r="R63" s="29"/>
      <c r="S63" s="29"/>
      <c r="T63" s="29"/>
      <c r="U63" s="57" t="s">
        <v>343</v>
      </c>
      <c r="V63" s="33">
        <v>1.0</v>
      </c>
      <c r="W63" s="33" t="s">
        <v>719</v>
      </c>
      <c r="X63" s="32" t="s">
        <v>146</v>
      </c>
      <c r="Y63" s="32"/>
      <c r="Z63" s="32"/>
    </row>
    <row r="64" ht="102.75" customHeight="1">
      <c r="A64" s="20" t="s">
        <v>428</v>
      </c>
      <c r="B64" s="21" t="s">
        <v>64</v>
      </c>
      <c r="C64" s="21" t="s">
        <v>490</v>
      </c>
      <c r="D64" s="21" t="s">
        <v>720</v>
      </c>
      <c r="E64" s="23" t="s">
        <v>267</v>
      </c>
      <c r="F64" s="23"/>
      <c r="G64" s="24" t="s">
        <v>431</v>
      </c>
      <c r="H64" s="32" t="s">
        <v>721</v>
      </c>
      <c r="I64" s="27" t="s">
        <v>722</v>
      </c>
      <c r="J64" s="27"/>
      <c r="K64" s="29"/>
      <c r="L64" s="29"/>
      <c r="M64" s="29"/>
      <c r="N64" s="29"/>
      <c r="O64" s="29"/>
      <c r="P64" s="29"/>
      <c r="Q64" s="29"/>
      <c r="R64" s="29"/>
      <c r="S64" s="29"/>
      <c r="T64" s="29"/>
      <c r="U64" s="57" t="s">
        <v>723</v>
      </c>
      <c r="V64" s="16">
        <v>3.0</v>
      </c>
      <c r="W64" s="33" t="s">
        <v>724</v>
      </c>
      <c r="X64" s="32" t="s">
        <v>114</v>
      </c>
      <c r="Y64" s="32"/>
      <c r="Z64" s="32"/>
    </row>
    <row r="65" ht="91.5" customHeight="1">
      <c r="A65" s="20" t="s">
        <v>428</v>
      </c>
      <c r="B65" s="21" t="s">
        <v>64</v>
      </c>
      <c r="C65" s="21" t="s">
        <v>490</v>
      </c>
      <c r="D65" s="21" t="s">
        <v>720</v>
      </c>
      <c r="E65" s="23" t="s">
        <v>605</v>
      </c>
      <c r="F65" s="23"/>
      <c r="G65" s="24" t="s">
        <v>431</v>
      </c>
      <c r="H65" s="32" t="s">
        <v>727</v>
      </c>
      <c r="I65" s="27" t="s">
        <v>728</v>
      </c>
      <c r="J65" s="27"/>
      <c r="K65" s="29"/>
      <c r="L65" s="29"/>
      <c r="M65" s="29"/>
      <c r="N65" s="29"/>
      <c r="O65" s="29"/>
      <c r="P65" s="29"/>
      <c r="Q65" s="29"/>
      <c r="R65" s="29"/>
      <c r="S65" s="29"/>
      <c r="T65" s="29"/>
      <c r="U65" s="57"/>
      <c r="V65" s="33">
        <v>3.0</v>
      </c>
      <c r="W65" s="33" t="s">
        <v>729</v>
      </c>
      <c r="X65" s="32" t="s">
        <v>730</v>
      </c>
      <c r="Y65" s="32"/>
      <c r="Z65" s="32"/>
    </row>
    <row r="66" ht="102.0" customHeight="1">
      <c r="A66" s="20" t="s">
        <v>39</v>
      </c>
      <c r="B66" s="21" t="s">
        <v>115</v>
      </c>
      <c r="C66" s="21" t="s">
        <v>490</v>
      </c>
      <c r="D66" s="21" t="s">
        <v>491</v>
      </c>
      <c r="E66" s="23" t="s">
        <v>247</v>
      </c>
      <c r="F66" s="23"/>
      <c r="G66" s="24" t="s">
        <v>117</v>
      </c>
      <c r="H66" s="32" t="s">
        <v>732</v>
      </c>
      <c r="I66" s="27" t="s">
        <v>733</v>
      </c>
      <c r="J66" s="27"/>
      <c r="K66" s="29"/>
      <c r="L66" s="29"/>
      <c r="M66" s="29"/>
      <c r="N66" s="29"/>
      <c r="O66" s="29"/>
      <c r="P66" s="29"/>
      <c r="Q66" s="29"/>
      <c r="R66" s="29"/>
      <c r="S66" s="29"/>
      <c r="T66" s="29"/>
      <c r="U66" s="57"/>
      <c r="V66" s="33">
        <v>1.0</v>
      </c>
      <c r="W66" s="33" t="s">
        <v>719</v>
      </c>
      <c r="X66" s="32" t="s">
        <v>704</v>
      </c>
      <c r="Y66" s="32"/>
      <c r="Z66" s="32"/>
    </row>
    <row r="67" ht="96.75" customHeight="1">
      <c r="A67" s="20" t="s">
        <v>428</v>
      </c>
      <c r="B67" s="21" t="s">
        <v>64</v>
      </c>
      <c r="C67" s="21" t="s">
        <v>490</v>
      </c>
      <c r="D67" s="21" t="s">
        <v>491</v>
      </c>
      <c r="E67" s="23" t="s">
        <v>605</v>
      </c>
      <c r="F67" s="23"/>
      <c r="G67" s="24" t="s">
        <v>298</v>
      </c>
      <c r="H67" s="32" t="s">
        <v>739</v>
      </c>
      <c r="I67" s="27" t="s">
        <v>740</v>
      </c>
      <c r="J67" s="27"/>
      <c r="K67" s="29"/>
      <c r="L67" s="29"/>
      <c r="M67" s="29"/>
      <c r="N67" s="29"/>
      <c r="O67" s="29"/>
      <c r="P67" s="29"/>
      <c r="Q67" s="29"/>
      <c r="R67" s="29"/>
      <c r="S67" s="29"/>
      <c r="T67" s="29"/>
      <c r="U67" s="57"/>
      <c r="V67" s="33">
        <v>1.0</v>
      </c>
      <c r="W67" s="33" t="s">
        <v>741</v>
      </c>
      <c r="X67" s="32" t="s">
        <v>742</v>
      </c>
      <c r="Y67" s="32"/>
      <c r="Z67" s="32"/>
    </row>
    <row r="68" ht="87.0" customHeight="1">
      <c r="A68" s="20" t="s">
        <v>428</v>
      </c>
      <c r="B68" s="21" t="s">
        <v>173</v>
      </c>
      <c r="C68" s="21" t="s">
        <v>490</v>
      </c>
      <c r="D68" s="21" t="s">
        <v>491</v>
      </c>
      <c r="E68" s="23" t="s">
        <v>388</v>
      </c>
      <c r="F68" s="23"/>
      <c r="G68" s="58" t="s">
        <v>431</v>
      </c>
      <c r="H68" s="32" t="s">
        <v>747</v>
      </c>
      <c r="I68" s="27" t="s">
        <v>749</v>
      </c>
      <c r="J68" s="27" t="s">
        <v>751</v>
      </c>
      <c r="K68" s="29"/>
      <c r="L68" s="35" t="s">
        <v>752</v>
      </c>
      <c r="M68" s="35" t="s">
        <v>754</v>
      </c>
      <c r="N68" s="36">
        <v>41767.0</v>
      </c>
      <c r="O68" s="46" t="str">
        <f>HYPERLINK("http://www.nytimes.com/2014/05/09/upshot/vaccine-opponents-can-be-immune-to-education.html?partner=rss&amp;emc=rss&amp;smid=tw-upshot&amp;_r=1&amp;abt=0002&amp;abg=0","http://www.nytimes.com/2014/05/09/upshot/vaccine-opponents-can-be-immune-to-education.html?partner=rss&amp;emc=rss&amp;smid=tw-upshot&amp;_r=1&amp;abt=0002&amp;abg=0 ")</f>
        <v>http://www.nytimes.com/2014/05/09/upshot/vaccine-opponents-can-be-immune-to-education.html?partner=rss&amp;emc=rss&amp;smid=tw-upshot&amp;_r=1&amp;abt=0002&amp;abg=0 </v>
      </c>
      <c r="P68" s="46"/>
      <c r="Q68" s="29"/>
      <c r="R68" s="29"/>
      <c r="S68" s="29"/>
      <c r="T68" s="29"/>
      <c r="U68" s="57"/>
      <c r="V68" s="16">
        <v>3.0</v>
      </c>
      <c r="W68" s="33" t="s">
        <v>760</v>
      </c>
      <c r="X68" s="32" t="s">
        <v>114</v>
      </c>
      <c r="Y68" s="32"/>
      <c r="Z68" s="32"/>
    </row>
    <row r="69" ht="75.0" customHeight="1">
      <c r="A69" s="20" t="s">
        <v>428</v>
      </c>
      <c r="B69" s="21" t="s">
        <v>173</v>
      </c>
      <c r="C69" s="21" t="s">
        <v>490</v>
      </c>
      <c r="D69" s="21" t="s">
        <v>491</v>
      </c>
      <c r="E69" s="23" t="s">
        <v>762</v>
      </c>
      <c r="F69" s="23"/>
      <c r="G69" s="58" t="s">
        <v>111</v>
      </c>
      <c r="H69" s="32" t="s">
        <v>766</v>
      </c>
      <c r="I69" s="27" t="s">
        <v>768</v>
      </c>
      <c r="J69" s="27"/>
      <c r="K69" s="29"/>
      <c r="L69" s="29"/>
      <c r="M69" s="29"/>
      <c r="N69" s="29"/>
      <c r="O69" s="29"/>
      <c r="P69" s="29"/>
      <c r="Q69" s="29"/>
      <c r="R69" s="29"/>
      <c r="S69" s="29"/>
      <c r="T69" s="29"/>
      <c r="U69" s="57"/>
      <c r="V69" s="16">
        <v>1.0</v>
      </c>
      <c r="W69" s="33" t="s">
        <v>770</v>
      </c>
      <c r="X69" s="32" t="s">
        <v>114</v>
      </c>
      <c r="Y69" s="32"/>
      <c r="Z69" s="32"/>
    </row>
    <row r="70" ht="100.5" customHeight="1">
      <c r="A70" s="20" t="s">
        <v>428</v>
      </c>
      <c r="B70" s="21" t="s">
        <v>64</v>
      </c>
      <c r="C70" s="21" t="s">
        <v>772</v>
      </c>
      <c r="D70" s="21" t="s">
        <v>773</v>
      </c>
      <c r="E70" s="23" t="s">
        <v>247</v>
      </c>
      <c r="F70" s="23"/>
      <c r="G70" s="58" t="s">
        <v>431</v>
      </c>
      <c r="H70" s="32" t="s">
        <v>774</v>
      </c>
      <c r="I70" s="27" t="s">
        <v>775</v>
      </c>
      <c r="J70" s="27"/>
      <c r="K70" s="29"/>
      <c r="L70" s="29"/>
      <c r="M70" s="29"/>
      <c r="N70" s="29"/>
      <c r="O70" s="29"/>
      <c r="P70" s="29"/>
      <c r="Q70" s="29"/>
      <c r="R70" s="29"/>
      <c r="S70" s="29"/>
      <c r="T70" s="29"/>
      <c r="U70" s="32"/>
      <c r="V70" s="16">
        <v>3.0</v>
      </c>
      <c r="W70" s="33" t="s">
        <v>777</v>
      </c>
      <c r="X70" s="32" t="s">
        <v>114</v>
      </c>
      <c r="Y70" s="32"/>
      <c r="Z70" s="32"/>
    </row>
    <row r="71" ht="82.5" customHeight="1">
      <c r="A71" s="20" t="s">
        <v>39</v>
      </c>
      <c r="B71" s="21" t="s">
        <v>115</v>
      </c>
      <c r="C71" s="21" t="s">
        <v>779</v>
      </c>
      <c r="D71" s="21" t="s">
        <v>773</v>
      </c>
      <c r="E71" s="23" t="s">
        <v>267</v>
      </c>
      <c r="F71" s="23"/>
      <c r="G71" s="58" t="s">
        <v>95</v>
      </c>
      <c r="H71" s="32" t="s">
        <v>782</v>
      </c>
      <c r="I71" s="27"/>
      <c r="J71" s="27"/>
      <c r="K71" s="29" t="s">
        <v>783</v>
      </c>
      <c r="L71" s="29" t="s">
        <v>784</v>
      </c>
      <c r="M71" s="29" t="s">
        <v>785</v>
      </c>
      <c r="N71" s="29">
        <v>2013.0</v>
      </c>
      <c r="O71" s="29" t="s">
        <v>786</v>
      </c>
      <c r="P71" s="29"/>
      <c r="Q71" s="29"/>
      <c r="R71" s="29"/>
      <c r="S71" s="29"/>
      <c r="T71" s="29"/>
      <c r="U71" s="32"/>
      <c r="V71" s="16" t="s">
        <v>260</v>
      </c>
      <c r="W71" s="33" t="s">
        <v>711</v>
      </c>
      <c r="X71" s="32" t="s">
        <v>140</v>
      </c>
      <c r="Y71" s="32"/>
      <c r="Z71" s="32"/>
    </row>
    <row r="72" ht="78.0" customHeight="1">
      <c r="A72" s="20" t="s">
        <v>39</v>
      </c>
      <c r="B72" s="21" t="s">
        <v>64</v>
      </c>
      <c r="C72" s="21" t="s">
        <v>779</v>
      </c>
      <c r="D72" s="21" t="s">
        <v>788</v>
      </c>
      <c r="E72" s="23" t="s">
        <v>789</v>
      </c>
      <c r="F72" s="23"/>
      <c r="G72" s="58" t="s">
        <v>95</v>
      </c>
      <c r="H72" s="32" t="s">
        <v>791</v>
      </c>
      <c r="I72" s="27"/>
      <c r="J72" s="27"/>
      <c r="K72" s="29" t="s">
        <v>793</v>
      </c>
      <c r="L72" s="29" t="s">
        <v>794</v>
      </c>
      <c r="M72" s="29" t="s">
        <v>101</v>
      </c>
      <c r="N72" s="30">
        <v>40955.0</v>
      </c>
      <c r="O72" s="29" t="s">
        <v>795</v>
      </c>
      <c r="P72" s="29"/>
      <c r="Q72" s="29"/>
      <c r="R72" s="29"/>
      <c r="S72" s="29"/>
      <c r="T72" s="29"/>
      <c r="U72" s="32"/>
      <c r="V72" s="16">
        <v>3.0</v>
      </c>
      <c r="W72" s="33" t="s">
        <v>796</v>
      </c>
      <c r="X72" s="32" t="s">
        <v>114</v>
      </c>
      <c r="Y72" s="32"/>
      <c r="Z72" s="32"/>
    </row>
    <row r="73" ht="81.75" customHeight="1">
      <c r="A73" s="20" t="s">
        <v>39</v>
      </c>
      <c r="B73" s="21" t="s">
        <v>64</v>
      </c>
      <c r="C73" s="21" t="s">
        <v>779</v>
      </c>
      <c r="D73" s="21" t="s">
        <v>797</v>
      </c>
      <c r="E73" s="23" t="s">
        <v>798</v>
      </c>
      <c r="F73" s="23"/>
      <c r="G73" s="58" t="s">
        <v>117</v>
      </c>
      <c r="H73" s="32" t="s">
        <v>799</v>
      </c>
      <c r="I73" s="27" t="s">
        <v>800</v>
      </c>
      <c r="J73" s="27"/>
      <c r="K73" s="29"/>
      <c r="L73" s="29"/>
      <c r="M73" s="29"/>
      <c r="N73" s="29"/>
      <c r="O73" s="29"/>
      <c r="P73" s="29"/>
      <c r="Q73" s="29"/>
      <c r="R73" s="29"/>
      <c r="S73" s="29"/>
      <c r="T73" s="29"/>
      <c r="U73" s="32"/>
      <c r="V73" s="16">
        <v>3.0</v>
      </c>
      <c r="W73" s="33" t="s">
        <v>801</v>
      </c>
      <c r="X73" s="32" t="s">
        <v>114</v>
      </c>
      <c r="Y73" s="32"/>
      <c r="Z73" s="32"/>
    </row>
    <row r="74" ht="70.5" customHeight="1">
      <c r="A74" s="20" t="s">
        <v>39</v>
      </c>
      <c r="B74" s="21" t="s">
        <v>64</v>
      </c>
      <c r="C74" s="21" t="s">
        <v>779</v>
      </c>
      <c r="D74" s="21" t="s">
        <v>797</v>
      </c>
      <c r="E74" s="23" t="s">
        <v>805</v>
      </c>
      <c r="F74" s="23"/>
      <c r="G74" s="58" t="s">
        <v>117</v>
      </c>
      <c r="H74" s="32" t="s">
        <v>808</v>
      </c>
      <c r="I74" s="27"/>
      <c r="J74" s="27"/>
      <c r="K74" s="29" t="s">
        <v>809</v>
      </c>
      <c r="L74" s="29" t="s">
        <v>811</v>
      </c>
      <c r="M74" s="29" t="s">
        <v>813</v>
      </c>
      <c r="N74" s="30">
        <v>38875.0</v>
      </c>
      <c r="O74" s="29" t="s">
        <v>814</v>
      </c>
      <c r="P74" s="29" t="s">
        <v>815</v>
      </c>
      <c r="Q74" s="29" t="s">
        <v>816</v>
      </c>
      <c r="R74" s="29" t="s">
        <v>817</v>
      </c>
      <c r="S74" s="30">
        <v>38875.0</v>
      </c>
      <c r="T74" s="29" t="s">
        <v>818</v>
      </c>
      <c r="U74" s="32"/>
      <c r="V74" s="16">
        <v>3.0</v>
      </c>
      <c r="W74" s="33" t="s">
        <v>819</v>
      </c>
      <c r="X74" s="32" t="s">
        <v>114</v>
      </c>
      <c r="Y74" s="32"/>
      <c r="Z74" s="32"/>
    </row>
    <row r="75" ht="120.75" customHeight="1">
      <c r="A75" s="20" t="s">
        <v>428</v>
      </c>
      <c r="B75" s="21" t="s">
        <v>64</v>
      </c>
      <c r="C75" s="21" t="s">
        <v>772</v>
      </c>
      <c r="D75" s="21" t="s">
        <v>820</v>
      </c>
      <c r="E75" s="23" t="s">
        <v>821</v>
      </c>
      <c r="F75" s="23"/>
      <c r="G75" s="24" t="s">
        <v>431</v>
      </c>
      <c r="H75" s="32" t="s">
        <v>823</v>
      </c>
      <c r="I75" s="27" t="s">
        <v>824</v>
      </c>
      <c r="J75" s="27"/>
      <c r="K75" s="29"/>
      <c r="L75" s="29"/>
      <c r="M75" s="29"/>
      <c r="N75" s="29"/>
      <c r="O75" s="29"/>
      <c r="P75" s="29"/>
      <c r="Q75" s="29"/>
      <c r="R75" s="29"/>
      <c r="S75" s="29"/>
      <c r="T75" s="29"/>
      <c r="U75" s="32"/>
      <c r="V75" s="16">
        <v>1.0</v>
      </c>
      <c r="W75" s="33" t="s">
        <v>719</v>
      </c>
      <c r="X75" s="32" t="s">
        <v>704</v>
      </c>
      <c r="Y75" s="32"/>
      <c r="Z75" s="32"/>
    </row>
    <row r="76" ht="84.75" customHeight="1">
      <c r="A76" s="20" t="s">
        <v>428</v>
      </c>
      <c r="B76" s="21" t="s">
        <v>64</v>
      </c>
      <c r="C76" s="21" t="s">
        <v>772</v>
      </c>
      <c r="D76" s="21" t="s">
        <v>820</v>
      </c>
      <c r="E76" s="23" t="s">
        <v>445</v>
      </c>
      <c r="F76" s="23"/>
      <c r="G76" s="24" t="s">
        <v>117</v>
      </c>
      <c r="H76" s="32" t="s">
        <v>825</v>
      </c>
      <c r="I76" s="27" t="s">
        <v>826</v>
      </c>
      <c r="J76" s="27"/>
      <c r="K76" s="29" t="s">
        <v>827</v>
      </c>
      <c r="L76" s="29" t="s">
        <v>828</v>
      </c>
      <c r="M76" s="29" t="s">
        <v>829</v>
      </c>
      <c r="N76" s="30">
        <v>42374.0</v>
      </c>
      <c r="O76" s="29" t="s">
        <v>830</v>
      </c>
      <c r="P76" s="63"/>
      <c r="Q76" s="63"/>
      <c r="R76" s="63"/>
      <c r="S76" s="63"/>
      <c r="T76" s="63"/>
      <c r="U76" s="32"/>
      <c r="V76" s="16">
        <v>3.0</v>
      </c>
      <c r="W76" s="33" t="s">
        <v>835</v>
      </c>
      <c r="X76" s="32" t="s">
        <v>114</v>
      </c>
      <c r="Y76" s="32"/>
      <c r="Z76" s="32"/>
    </row>
    <row r="77" ht="88.5" customHeight="1">
      <c r="A77" s="20" t="s">
        <v>428</v>
      </c>
      <c r="B77" s="21" t="s">
        <v>64</v>
      </c>
      <c r="C77" s="21" t="s">
        <v>772</v>
      </c>
      <c r="D77" s="21" t="s">
        <v>836</v>
      </c>
      <c r="E77" s="23" t="s">
        <v>837</v>
      </c>
      <c r="F77" s="23"/>
      <c r="G77" s="24" t="s">
        <v>431</v>
      </c>
      <c r="H77" s="32" t="s">
        <v>838</v>
      </c>
      <c r="I77" s="27" t="s">
        <v>839</v>
      </c>
      <c r="J77" s="27"/>
      <c r="K77" s="29"/>
      <c r="L77" s="29"/>
      <c r="M77" s="29"/>
      <c r="N77" s="29"/>
      <c r="O77" s="29"/>
      <c r="P77" s="29"/>
      <c r="Q77" s="29"/>
      <c r="R77" s="29"/>
      <c r="S77" s="29"/>
      <c r="T77" s="29"/>
      <c r="U77" s="32"/>
      <c r="V77" s="16">
        <v>1.0</v>
      </c>
      <c r="W77" s="33" t="s">
        <v>374</v>
      </c>
      <c r="X77" s="32" t="s">
        <v>146</v>
      </c>
      <c r="Y77" s="32"/>
      <c r="Z77" s="32"/>
    </row>
    <row r="78" ht="75.0" customHeight="1">
      <c r="A78" s="20" t="s">
        <v>428</v>
      </c>
      <c r="B78" s="21" t="s">
        <v>64</v>
      </c>
      <c r="C78" s="21" t="s">
        <v>772</v>
      </c>
      <c r="D78" s="21" t="s">
        <v>840</v>
      </c>
      <c r="E78" s="23" t="s">
        <v>648</v>
      </c>
      <c r="F78" s="23"/>
      <c r="G78" s="24" t="s">
        <v>431</v>
      </c>
      <c r="H78" s="32" t="s">
        <v>843</v>
      </c>
      <c r="I78" s="27" t="s">
        <v>844</v>
      </c>
      <c r="J78" s="27"/>
      <c r="K78" s="29"/>
      <c r="L78" s="29"/>
      <c r="M78" s="29"/>
      <c r="N78" s="29"/>
      <c r="O78" s="29"/>
      <c r="P78" s="29"/>
      <c r="Q78" s="29"/>
      <c r="R78" s="29"/>
      <c r="S78" s="29"/>
      <c r="T78" s="29"/>
      <c r="U78" s="32"/>
      <c r="V78" s="16">
        <v>3.0</v>
      </c>
      <c r="W78" s="33" t="s">
        <v>845</v>
      </c>
      <c r="X78" s="32" t="s">
        <v>846</v>
      </c>
      <c r="Y78" s="32"/>
      <c r="Z78" s="32"/>
    </row>
    <row r="79" ht="79.5" customHeight="1">
      <c r="A79" s="20" t="s">
        <v>428</v>
      </c>
      <c r="B79" s="21" t="s">
        <v>64</v>
      </c>
      <c r="C79" s="21" t="s">
        <v>772</v>
      </c>
      <c r="D79" s="21" t="s">
        <v>847</v>
      </c>
      <c r="E79" s="23" t="s">
        <v>848</v>
      </c>
      <c r="F79" s="23"/>
      <c r="G79" s="24" t="s">
        <v>431</v>
      </c>
      <c r="H79" s="32" t="s">
        <v>852</v>
      </c>
      <c r="I79" s="27" t="s">
        <v>853</v>
      </c>
      <c r="J79" s="27"/>
      <c r="K79" s="29"/>
      <c r="L79" s="29"/>
      <c r="M79" s="29"/>
      <c r="N79" s="29"/>
      <c r="O79" s="29"/>
      <c r="P79" s="29"/>
      <c r="Q79" s="29"/>
      <c r="R79" s="29"/>
      <c r="S79" s="29"/>
      <c r="T79" s="29"/>
      <c r="U79" s="32"/>
      <c r="V79" s="16">
        <v>3.0</v>
      </c>
      <c r="W79" s="33" t="s">
        <v>854</v>
      </c>
      <c r="X79" s="32" t="s">
        <v>114</v>
      </c>
      <c r="Y79" s="32"/>
      <c r="Z79" s="32"/>
    </row>
    <row r="80" ht="85.5" customHeight="1">
      <c r="A80" s="20" t="s">
        <v>428</v>
      </c>
      <c r="B80" s="21" t="s">
        <v>64</v>
      </c>
      <c r="C80" s="21" t="s">
        <v>772</v>
      </c>
      <c r="D80" s="21" t="s">
        <v>847</v>
      </c>
      <c r="E80" s="23" t="s">
        <v>837</v>
      </c>
      <c r="F80" s="23"/>
      <c r="G80" s="24" t="s">
        <v>431</v>
      </c>
      <c r="H80" s="32" t="s">
        <v>856</v>
      </c>
      <c r="I80" s="27" t="s">
        <v>857</v>
      </c>
      <c r="J80" s="27"/>
      <c r="K80" s="29"/>
      <c r="L80" s="29"/>
      <c r="M80" s="29"/>
      <c r="N80" s="29"/>
      <c r="O80" s="29"/>
      <c r="P80" s="29"/>
      <c r="Q80" s="29"/>
      <c r="R80" s="29"/>
      <c r="S80" s="29"/>
      <c r="T80" s="29"/>
      <c r="U80" s="32"/>
      <c r="V80" s="16">
        <v>1.0</v>
      </c>
      <c r="W80" s="33" t="s">
        <v>374</v>
      </c>
      <c r="X80" s="32" t="s">
        <v>704</v>
      </c>
      <c r="Y80" s="32"/>
      <c r="Z80" s="32"/>
    </row>
    <row r="81" ht="70.5" customHeight="1">
      <c r="A81" s="20" t="s">
        <v>428</v>
      </c>
      <c r="B81" s="21" t="s">
        <v>64</v>
      </c>
      <c r="C81" s="21" t="s">
        <v>779</v>
      </c>
      <c r="D81" s="21" t="s">
        <v>858</v>
      </c>
      <c r="E81" s="23" t="s">
        <v>837</v>
      </c>
      <c r="F81" s="23"/>
      <c r="G81" s="24" t="s">
        <v>431</v>
      </c>
      <c r="H81" s="32" t="s">
        <v>859</v>
      </c>
      <c r="I81" s="27" t="s">
        <v>861</v>
      </c>
      <c r="J81" s="27"/>
      <c r="K81" s="29"/>
      <c r="L81" s="29"/>
      <c r="M81" s="29"/>
      <c r="N81" s="29"/>
      <c r="O81" s="29"/>
      <c r="P81" s="29"/>
      <c r="Q81" s="29"/>
      <c r="R81" s="29"/>
      <c r="S81" s="29"/>
      <c r="T81" s="29"/>
      <c r="U81" s="32"/>
      <c r="V81" s="16">
        <v>1.0</v>
      </c>
      <c r="W81" s="33" t="s">
        <v>374</v>
      </c>
      <c r="X81" s="32" t="s">
        <v>704</v>
      </c>
      <c r="Y81" s="32"/>
      <c r="Z81" s="32"/>
    </row>
    <row r="82" ht="82.5" customHeight="1">
      <c r="A82" s="3" t="s">
        <v>864</v>
      </c>
      <c r="B82" s="5" t="s">
        <v>64</v>
      </c>
      <c r="C82" s="5" t="s">
        <v>779</v>
      </c>
      <c r="D82" s="5" t="s">
        <v>858</v>
      </c>
      <c r="E82" s="7" t="s">
        <v>837</v>
      </c>
      <c r="F82" s="7"/>
      <c r="G82" s="9" t="s">
        <v>431</v>
      </c>
      <c r="H82" s="14" t="s">
        <v>865</v>
      </c>
      <c r="I82" s="11" t="s">
        <v>866</v>
      </c>
      <c r="J82" s="11"/>
      <c r="K82" s="12"/>
      <c r="L82" s="12"/>
      <c r="M82" s="12"/>
      <c r="N82" s="12"/>
      <c r="O82" s="12"/>
      <c r="P82" s="12"/>
      <c r="Q82" s="12"/>
      <c r="R82" s="12"/>
      <c r="S82" s="12"/>
      <c r="T82" s="12"/>
      <c r="U82" s="14"/>
      <c r="V82" s="16">
        <v>1.0</v>
      </c>
      <c r="W82" s="16" t="s">
        <v>374</v>
      </c>
      <c r="X82" s="14" t="s">
        <v>704</v>
      </c>
      <c r="Y82" s="18"/>
      <c r="Z82" s="18"/>
    </row>
    <row r="83" ht="12.75" customHeight="1">
      <c r="A83" s="64"/>
      <c r="B83" s="64"/>
      <c r="C83" s="64"/>
      <c r="D83" s="64"/>
      <c r="E83" s="64"/>
      <c r="F83" s="64"/>
      <c r="G83" s="64"/>
      <c r="H83" s="64"/>
      <c r="I83" s="64"/>
      <c r="J83" s="64"/>
      <c r="K83" s="64"/>
      <c r="L83" s="64"/>
      <c r="M83" s="64"/>
      <c r="N83" s="64"/>
      <c r="O83" s="64"/>
      <c r="P83" s="64"/>
      <c r="Q83" s="64"/>
      <c r="R83" s="64"/>
      <c r="S83" s="64"/>
      <c r="T83" s="64"/>
      <c r="U83" s="64"/>
      <c r="V83" s="64"/>
      <c r="W83" s="64"/>
      <c r="X83" s="32"/>
      <c r="Y83" s="32"/>
      <c r="Z83" s="32"/>
    </row>
    <row r="84" ht="12.75" customHeight="1">
      <c r="A84" s="64"/>
      <c r="B84" s="64"/>
      <c r="C84" s="64"/>
      <c r="D84" s="64"/>
      <c r="E84" s="64"/>
      <c r="F84" s="64"/>
      <c r="G84" s="64"/>
      <c r="H84" s="64"/>
      <c r="I84" s="64"/>
      <c r="J84" s="64"/>
      <c r="K84" s="64"/>
      <c r="L84" s="64"/>
      <c r="M84" s="64"/>
      <c r="N84" s="64"/>
      <c r="O84" s="64"/>
      <c r="P84" s="64"/>
      <c r="Q84" s="64"/>
      <c r="R84" s="64"/>
      <c r="S84" s="64"/>
      <c r="T84" s="64"/>
      <c r="U84" s="64"/>
      <c r="V84" s="64"/>
      <c r="W84" s="64"/>
      <c r="X84" s="32"/>
      <c r="Y84" s="32"/>
      <c r="Z84" s="32"/>
    </row>
    <row r="85" ht="12.75" customHeight="1">
      <c r="A85" s="64"/>
      <c r="B85" s="64"/>
      <c r="C85" s="64"/>
      <c r="D85" s="64"/>
      <c r="E85" s="64"/>
      <c r="F85" s="64"/>
      <c r="G85" s="64"/>
      <c r="H85" s="64"/>
      <c r="I85" s="64"/>
      <c r="J85" s="64"/>
      <c r="K85" s="64"/>
      <c r="L85" s="64"/>
      <c r="M85" s="64"/>
      <c r="N85" s="64"/>
      <c r="O85" s="64"/>
      <c r="P85" s="64"/>
      <c r="Q85" s="64"/>
      <c r="R85" s="64"/>
      <c r="S85" s="64"/>
      <c r="T85" s="64"/>
      <c r="U85" s="64"/>
      <c r="V85" s="64"/>
      <c r="W85" s="64"/>
      <c r="X85" s="32"/>
      <c r="Y85" s="32"/>
      <c r="Z85" s="32"/>
    </row>
    <row r="86" ht="12.75" customHeight="1">
      <c r="A86" s="64"/>
      <c r="B86" s="64"/>
      <c r="C86" s="64"/>
      <c r="D86" s="64"/>
      <c r="E86" s="64"/>
      <c r="F86" s="64"/>
      <c r="G86" s="64"/>
      <c r="H86" s="64"/>
      <c r="I86" s="64"/>
      <c r="J86" s="64"/>
      <c r="K86" s="64"/>
      <c r="L86" s="64"/>
      <c r="M86" s="64"/>
      <c r="N86" s="64"/>
      <c r="O86" s="64"/>
      <c r="P86" s="64"/>
      <c r="Q86" s="64"/>
      <c r="R86" s="64"/>
      <c r="S86" s="64"/>
      <c r="T86" s="64"/>
      <c r="U86" s="64"/>
      <c r="V86" s="64"/>
      <c r="W86" s="64"/>
      <c r="X86" s="32"/>
      <c r="Y86" s="32"/>
      <c r="Z86" s="32"/>
    </row>
    <row r="87" ht="12.75" customHeight="1">
      <c r="A87" s="64"/>
      <c r="B87" s="64"/>
      <c r="C87" s="64"/>
      <c r="D87" s="64"/>
      <c r="E87" s="64"/>
      <c r="F87" s="64"/>
      <c r="G87" s="64"/>
      <c r="H87" s="64"/>
      <c r="I87" s="64"/>
      <c r="J87" s="64"/>
      <c r="K87" s="64"/>
      <c r="L87" s="64"/>
      <c r="M87" s="64"/>
      <c r="N87" s="64"/>
      <c r="O87" s="64"/>
      <c r="P87" s="64"/>
      <c r="Q87" s="64"/>
      <c r="R87" s="64"/>
      <c r="S87" s="64"/>
      <c r="T87" s="64"/>
      <c r="U87" s="64"/>
      <c r="V87" s="64"/>
      <c r="W87" s="64"/>
      <c r="X87" s="32"/>
      <c r="Y87" s="32"/>
      <c r="Z87" s="32"/>
    </row>
    <row r="88" ht="12.75" customHeight="1">
      <c r="A88" s="64"/>
      <c r="B88" s="64"/>
      <c r="C88" s="64"/>
      <c r="D88" s="64"/>
      <c r="E88" s="64"/>
      <c r="F88" s="64"/>
      <c r="G88" s="64"/>
      <c r="H88" s="64"/>
      <c r="I88" s="64"/>
      <c r="J88" s="64"/>
      <c r="K88" s="64"/>
      <c r="L88" s="64"/>
      <c r="M88" s="64"/>
      <c r="N88" s="64"/>
      <c r="O88" s="64"/>
      <c r="P88" s="64"/>
      <c r="Q88" s="64"/>
      <c r="R88" s="64"/>
      <c r="S88" s="64"/>
      <c r="T88" s="64"/>
      <c r="U88" s="64"/>
      <c r="V88" s="64"/>
      <c r="W88" s="64"/>
      <c r="X88" s="32"/>
      <c r="Y88" s="32"/>
      <c r="Z88" s="32"/>
    </row>
    <row r="89" ht="12.75" customHeight="1">
      <c r="A89" s="64"/>
      <c r="B89" s="64"/>
      <c r="C89" s="64"/>
      <c r="D89" s="64"/>
      <c r="E89" s="64"/>
      <c r="F89" s="64"/>
      <c r="G89" s="64"/>
      <c r="H89" s="64"/>
      <c r="I89" s="64"/>
      <c r="J89" s="64"/>
      <c r="K89" s="64"/>
      <c r="L89" s="64"/>
      <c r="M89" s="64"/>
      <c r="N89" s="64"/>
      <c r="O89" s="64"/>
      <c r="P89" s="64"/>
      <c r="Q89" s="64"/>
      <c r="R89" s="64"/>
      <c r="S89" s="64"/>
      <c r="T89" s="64"/>
      <c r="U89" s="64"/>
      <c r="V89" s="64"/>
      <c r="W89" s="64"/>
      <c r="X89" s="32"/>
      <c r="Y89" s="32"/>
      <c r="Z89" s="32"/>
    </row>
    <row r="90" ht="12.75" customHeight="1">
      <c r="A90" s="64"/>
      <c r="B90" s="64"/>
      <c r="C90" s="64"/>
      <c r="D90" s="64"/>
      <c r="E90" s="64"/>
      <c r="F90" s="64"/>
      <c r="G90" s="64"/>
      <c r="H90" s="64"/>
      <c r="I90" s="64"/>
      <c r="J90" s="64"/>
      <c r="K90" s="64"/>
      <c r="L90" s="64"/>
      <c r="M90" s="64"/>
      <c r="N90" s="64"/>
      <c r="O90" s="64"/>
      <c r="P90" s="64"/>
      <c r="Q90" s="64"/>
      <c r="R90" s="64"/>
      <c r="S90" s="64"/>
      <c r="T90" s="64"/>
      <c r="U90" s="64"/>
      <c r="V90" s="64"/>
      <c r="W90" s="64"/>
      <c r="X90" s="32"/>
      <c r="Y90" s="32"/>
      <c r="Z90" s="32"/>
    </row>
    <row r="91" ht="12.75" customHeight="1">
      <c r="A91" s="64"/>
      <c r="B91" s="64"/>
      <c r="C91" s="64"/>
      <c r="D91" s="64"/>
      <c r="E91" s="64"/>
      <c r="F91" s="64"/>
      <c r="G91" s="64"/>
      <c r="H91" s="64"/>
      <c r="I91" s="64"/>
      <c r="J91" s="64"/>
      <c r="K91" s="64"/>
      <c r="L91" s="64"/>
      <c r="M91" s="64"/>
      <c r="N91" s="64"/>
      <c r="O91" s="64"/>
      <c r="P91" s="64"/>
      <c r="Q91" s="64"/>
      <c r="R91" s="64"/>
      <c r="S91" s="64"/>
      <c r="T91" s="64"/>
      <c r="U91" s="64"/>
      <c r="V91" s="64"/>
      <c r="W91" s="64"/>
      <c r="X91" s="32"/>
      <c r="Y91" s="32"/>
      <c r="Z91" s="32"/>
    </row>
    <row r="92" ht="12.75" customHeight="1">
      <c r="A92" s="64"/>
      <c r="B92" s="64"/>
      <c r="C92" s="64"/>
      <c r="D92" s="64"/>
      <c r="E92" s="64"/>
      <c r="F92" s="64"/>
      <c r="G92" s="64"/>
      <c r="H92" s="64"/>
      <c r="I92" s="64"/>
      <c r="J92" s="64"/>
      <c r="K92" s="64"/>
      <c r="L92" s="64"/>
      <c r="M92" s="64"/>
      <c r="N92" s="64"/>
      <c r="O92" s="64"/>
      <c r="P92" s="64"/>
      <c r="Q92" s="64"/>
      <c r="R92" s="64"/>
      <c r="S92" s="64"/>
      <c r="T92" s="64"/>
      <c r="U92" s="64"/>
      <c r="V92" s="64"/>
      <c r="W92" s="64"/>
      <c r="X92" s="32"/>
      <c r="Y92" s="32"/>
      <c r="Z92" s="32"/>
    </row>
    <row r="93" ht="12.75" customHeight="1">
      <c r="A93" s="64"/>
      <c r="B93" s="64"/>
      <c r="C93" s="64"/>
      <c r="D93" s="64"/>
      <c r="E93" s="64"/>
      <c r="F93" s="64"/>
      <c r="G93" s="64"/>
      <c r="H93" s="64"/>
      <c r="I93" s="64"/>
      <c r="J93" s="64"/>
      <c r="K93" s="64"/>
      <c r="L93" s="64"/>
      <c r="M93" s="64"/>
      <c r="N93" s="64"/>
      <c r="O93" s="64"/>
      <c r="P93" s="64"/>
      <c r="Q93" s="64"/>
      <c r="R93" s="64"/>
      <c r="S93" s="64"/>
      <c r="T93" s="64"/>
      <c r="U93" s="64"/>
      <c r="V93" s="64"/>
      <c r="W93" s="64"/>
      <c r="X93" s="32"/>
      <c r="Y93" s="32"/>
      <c r="Z93" s="32"/>
    </row>
    <row r="94" ht="12.75" customHeight="1">
      <c r="A94" s="64"/>
      <c r="B94" s="64"/>
      <c r="C94" s="64"/>
      <c r="D94" s="64"/>
      <c r="E94" s="64"/>
      <c r="F94" s="64"/>
      <c r="G94" s="64"/>
      <c r="H94" s="64"/>
      <c r="I94" s="64"/>
      <c r="J94" s="64"/>
      <c r="K94" s="64"/>
      <c r="L94" s="64"/>
      <c r="M94" s="64"/>
      <c r="N94" s="64"/>
      <c r="O94" s="64"/>
      <c r="P94" s="64"/>
      <c r="Q94" s="64"/>
      <c r="R94" s="64"/>
      <c r="S94" s="64"/>
      <c r="T94" s="64"/>
      <c r="U94" s="64"/>
      <c r="V94" s="64"/>
      <c r="W94" s="64"/>
      <c r="X94" s="32"/>
      <c r="Y94" s="32"/>
      <c r="Z94" s="32"/>
    </row>
    <row r="95" ht="12.75" customHeight="1">
      <c r="A95" s="64"/>
      <c r="B95" s="64"/>
      <c r="C95" s="64"/>
      <c r="D95" s="64"/>
      <c r="E95" s="64"/>
      <c r="F95" s="64"/>
      <c r="G95" s="64"/>
      <c r="H95" s="64"/>
      <c r="I95" s="64"/>
      <c r="J95" s="64"/>
      <c r="K95" s="64"/>
      <c r="L95" s="64"/>
      <c r="M95" s="64"/>
      <c r="N95" s="64"/>
      <c r="O95" s="64"/>
      <c r="P95" s="64"/>
      <c r="Q95" s="64"/>
      <c r="R95" s="64"/>
      <c r="S95" s="64"/>
      <c r="T95" s="64"/>
      <c r="U95" s="64"/>
      <c r="V95" s="64"/>
      <c r="W95" s="64"/>
      <c r="X95" s="32"/>
      <c r="Y95" s="32"/>
      <c r="Z95" s="32"/>
    </row>
    <row r="96" ht="12.75" customHeight="1">
      <c r="A96" s="64"/>
      <c r="B96" s="64"/>
      <c r="C96" s="64"/>
      <c r="D96" s="64"/>
      <c r="E96" s="64"/>
      <c r="F96" s="64"/>
      <c r="G96" s="64"/>
      <c r="H96" s="64"/>
      <c r="I96" s="64"/>
      <c r="J96" s="64"/>
      <c r="K96" s="64"/>
      <c r="L96" s="64"/>
      <c r="M96" s="64"/>
      <c r="N96" s="64"/>
      <c r="O96" s="64"/>
      <c r="P96" s="64"/>
      <c r="Q96" s="64"/>
      <c r="R96" s="64"/>
      <c r="S96" s="64"/>
      <c r="T96" s="64"/>
      <c r="U96" s="64"/>
      <c r="V96" s="64"/>
      <c r="W96" s="64"/>
      <c r="X96" s="32"/>
      <c r="Y96" s="32"/>
      <c r="Z96" s="32"/>
    </row>
    <row r="97" ht="12.75" customHeight="1">
      <c r="A97" s="64"/>
      <c r="B97" s="64"/>
      <c r="C97" s="64"/>
      <c r="D97" s="64"/>
      <c r="E97" s="64"/>
      <c r="F97" s="64"/>
      <c r="G97" s="64"/>
      <c r="H97" s="64"/>
      <c r="I97" s="64"/>
      <c r="J97" s="64"/>
      <c r="K97" s="64"/>
      <c r="L97" s="64"/>
      <c r="M97" s="64"/>
      <c r="N97" s="64"/>
      <c r="O97" s="64"/>
      <c r="P97" s="64"/>
      <c r="Q97" s="64"/>
      <c r="R97" s="64"/>
      <c r="S97" s="64"/>
      <c r="T97" s="64"/>
      <c r="U97" s="64"/>
      <c r="V97" s="64"/>
      <c r="W97" s="64"/>
      <c r="X97" s="32"/>
      <c r="Y97" s="32"/>
      <c r="Z97" s="32"/>
    </row>
    <row r="98" ht="12.75" customHeight="1">
      <c r="A98" s="64"/>
      <c r="B98" s="64"/>
      <c r="C98" s="64"/>
      <c r="D98" s="64"/>
      <c r="E98" s="64"/>
      <c r="F98" s="64"/>
      <c r="G98" s="64"/>
      <c r="H98" s="64"/>
      <c r="I98" s="64"/>
      <c r="J98" s="64"/>
      <c r="K98" s="64"/>
      <c r="L98" s="64"/>
      <c r="M98" s="64"/>
      <c r="N98" s="64"/>
      <c r="O98" s="64"/>
      <c r="P98" s="64"/>
      <c r="Q98" s="64"/>
      <c r="R98" s="64"/>
      <c r="S98" s="64"/>
      <c r="T98" s="64"/>
      <c r="U98" s="64"/>
      <c r="V98" s="64"/>
      <c r="W98" s="64"/>
      <c r="X98" s="32"/>
      <c r="Y98" s="32"/>
      <c r="Z98" s="32"/>
    </row>
    <row r="99" ht="12.75" customHeight="1">
      <c r="A99" s="64"/>
      <c r="B99" s="64"/>
      <c r="C99" s="64"/>
      <c r="D99" s="64"/>
      <c r="E99" s="64"/>
      <c r="F99" s="64"/>
      <c r="G99" s="64"/>
      <c r="H99" s="64"/>
      <c r="I99" s="64"/>
      <c r="J99" s="64"/>
      <c r="K99" s="64"/>
      <c r="L99" s="64"/>
      <c r="M99" s="64"/>
      <c r="N99" s="64"/>
      <c r="O99" s="64"/>
      <c r="P99" s="64"/>
      <c r="Q99" s="64"/>
      <c r="R99" s="64"/>
      <c r="S99" s="64"/>
      <c r="T99" s="64"/>
      <c r="U99" s="64"/>
      <c r="V99" s="64"/>
      <c r="W99" s="64"/>
      <c r="X99" s="32"/>
      <c r="Y99" s="32"/>
      <c r="Z99" s="32"/>
    </row>
    <row r="100" ht="12.75" customHeight="1">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32"/>
      <c r="Y100" s="32"/>
      <c r="Z100" s="32"/>
    </row>
    <row r="101" ht="12.75" customHeight="1">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32"/>
      <c r="Y101" s="32"/>
      <c r="Z101" s="32"/>
    </row>
    <row r="102" ht="12.75" customHeight="1">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32"/>
      <c r="Y102" s="32"/>
      <c r="Z102" s="32"/>
    </row>
    <row r="103" ht="12.75" customHeight="1">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32"/>
      <c r="Y103" s="32"/>
      <c r="Z103" s="32"/>
    </row>
    <row r="104" ht="12.75" customHeight="1">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32"/>
      <c r="Y104" s="32"/>
      <c r="Z104" s="32"/>
    </row>
    <row r="105" ht="12.75" customHeight="1">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32"/>
      <c r="Y105" s="32"/>
      <c r="Z105" s="32"/>
    </row>
    <row r="106" ht="12.75" customHeight="1">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32"/>
      <c r="Y106" s="32"/>
      <c r="Z106" s="32"/>
    </row>
    <row r="107" ht="12.75" customHeight="1">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32"/>
      <c r="Y107" s="32"/>
      <c r="Z107" s="32"/>
    </row>
    <row r="108" ht="12.75" customHeight="1">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32"/>
      <c r="Y108" s="32"/>
      <c r="Z108" s="32"/>
    </row>
    <row r="109" ht="12.75" customHeight="1">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32"/>
      <c r="Y109" s="32"/>
      <c r="Z109" s="32"/>
    </row>
    <row r="110" ht="12.75" customHeight="1">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32"/>
      <c r="Y110" s="32"/>
      <c r="Z110" s="32"/>
    </row>
    <row r="111" ht="12.75" customHeight="1">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32"/>
      <c r="Y111" s="32"/>
      <c r="Z111" s="32"/>
    </row>
    <row r="112" ht="12.75" customHeight="1">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32"/>
      <c r="Y112" s="32"/>
      <c r="Z112" s="32"/>
    </row>
    <row r="113" ht="12.75" customHeight="1">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32"/>
      <c r="Y113" s="32"/>
      <c r="Z113" s="32"/>
    </row>
    <row r="114" ht="12.75" customHeight="1">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32"/>
      <c r="Y114" s="32"/>
      <c r="Z114" s="32"/>
    </row>
    <row r="115" ht="12.75" customHeight="1">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32"/>
      <c r="Y115" s="32"/>
      <c r="Z115" s="32"/>
    </row>
    <row r="116" ht="12.75" customHeight="1">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32"/>
      <c r="Y116" s="32"/>
      <c r="Z116" s="32"/>
    </row>
    <row r="117" ht="12.75" customHeight="1">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32"/>
      <c r="Y117" s="32"/>
      <c r="Z117" s="32"/>
    </row>
    <row r="118" ht="12.75" customHeight="1">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32"/>
      <c r="Y118" s="32"/>
      <c r="Z118" s="32"/>
    </row>
    <row r="119" ht="12.75" customHeight="1">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32"/>
      <c r="Y119" s="32"/>
      <c r="Z119" s="32"/>
    </row>
    <row r="120" ht="12.75" customHeight="1">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32"/>
      <c r="Y120" s="32"/>
      <c r="Z120" s="32"/>
    </row>
    <row r="121" ht="12.75" customHeight="1">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32"/>
      <c r="Y121" s="32"/>
      <c r="Z121" s="32"/>
    </row>
    <row r="122" ht="12.75" customHeight="1">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32"/>
      <c r="Y122" s="32"/>
      <c r="Z122" s="32"/>
    </row>
    <row r="123" ht="12.75" customHeight="1">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32"/>
      <c r="Y123" s="32"/>
      <c r="Z123" s="32"/>
    </row>
    <row r="124" ht="12.75" customHeight="1">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32"/>
      <c r="Y124" s="32"/>
      <c r="Z124" s="32"/>
    </row>
    <row r="125" ht="12.75" customHeight="1">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32"/>
      <c r="Y125" s="32"/>
      <c r="Z125" s="32"/>
    </row>
    <row r="126" ht="12.75" customHeight="1">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32"/>
      <c r="Y126" s="32"/>
      <c r="Z126" s="32"/>
    </row>
    <row r="127" ht="12.75" customHeight="1">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32"/>
      <c r="Y127" s="32"/>
      <c r="Z127" s="32"/>
    </row>
    <row r="128" ht="12.75" customHeight="1">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32"/>
      <c r="Y128" s="32"/>
      <c r="Z128" s="32"/>
    </row>
    <row r="129" ht="12.75" customHeight="1">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32"/>
      <c r="Y129" s="32"/>
      <c r="Z129" s="32"/>
    </row>
    <row r="130" ht="12.75" customHeight="1">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32"/>
      <c r="Y130" s="32"/>
      <c r="Z130" s="32"/>
    </row>
    <row r="131" ht="12.75" customHeight="1">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32"/>
      <c r="Y131" s="32"/>
      <c r="Z131" s="32"/>
    </row>
    <row r="132" ht="12.75" customHeight="1">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32"/>
      <c r="Y132" s="32"/>
      <c r="Z132" s="32"/>
    </row>
    <row r="133" ht="12.75" customHeight="1">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32"/>
      <c r="Y133" s="32"/>
      <c r="Z133" s="32"/>
    </row>
    <row r="134" ht="12.75" customHeight="1">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32"/>
      <c r="Y134" s="32"/>
      <c r="Z134" s="32"/>
    </row>
    <row r="135" ht="12.75" customHeight="1">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32"/>
      <c r="Y135" s="32"/>
      <c r="Z135" s="32"/>
    </row>
    <row r="136" ht="12.75" customHeight="1">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32"/>
      <c r="Y136" s="32"/>
      <c r="Z136" s="32"/>
    </row>
    <row r="137" ht="12.75" customHeight="1">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32"/>
      <c r="Y137" s="32"/>
      <c r="Z137" s="32"/>
    </row>
    <row r="138" ht="12.75" customHeight="1">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32"/>
      <c r="Y138" s="32"/>
      <c r="Z138" s="32"/>
    </row>
    <row r="139" ht="12.75" customHeight="1">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32"/>
      <c r="Y139" s="32"/>
      <c r="Z139" s="32"/>
    </row>
    <row r="140" ht="12.75" customHeight="1">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32"/>
      <c r="Y140" s="32"/>
      <c r="Z140" s="32"/>
    </row>
    <row r="141" ht="12.75" customHeight="1">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32"/>
      <c r="Y141" s="32"/>
      <c r="Z141" s="32"/>
    </row>
    <row r="142" ht="12.75" customHeight="1">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32"/>
      <c r="Y142" s="32"/>
      <c r="Z142" s="32"/>
    </row>
    <row r="143" ht="12.75" customHeight="1">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32"/>
      <c r="Y143" s="32"/>
      <c r="Z143" s="32"/>
    </row>
    <row r="144" ht="12.75" customHeight="1">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32"/>
      <c r="Y144" s="32"/>
      <c r="Z144" s="32"/>
    </row>
    <row r="145" ht="12.75" customHeight="1">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32"/>
      <c r="Y145" s="32"/>
      <c r="Z145" s="32"/>
    </row>
    <row r="146" ht="12.75" customHeight="1">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32"/>
      <c r="Y146" s="32"/>
      <c r="Z146" s="32"/>
    </row>
    <row r="147" ht="12.75" customHeight="1">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32"/>
      <c r="Y147" s="32"/>
      <c r="Z147" s="32"/>
    </row>
    <row r="148" ht="12.75" customHeight="1">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32"/>
      <c r="Y148" s="32"/>
      <c r="Z148" s="32"/>
    </row>
    <row r="149" ht="12.75" customHeight="1">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32"/>
      <c r="Y149" s="32"/>
      <c r="Z149" s="32"/>
    </row>
    <row r="150" ht="12.75" customHeight="1">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32"/>
      <c r="Y150" s="32"/>
      <c r="Z150" s="32"/>
    </row>
    <row r="151" ht="12.75" customHeight="1">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32"/>
      <c r="Y151" s="32"/>
      <c r="Z151" s="32"/>
    </row>
    <row r="152" ht="12.75" customHeight="1">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32"/>
      <c r="Y152" s="32"/>
      <c r="Z152" s="32"/>
    </row>
    <row r="153" ht="12.75" customHeight="1">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32"/>
      <c r="Y153" s="32"/>
      <c r="Z153" s="32"/>
    </row>
    <row r="154" ht="12.75" customHeight="1">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32"/>
      <c r="Y154" s="32"/>
      <c r="Z154" s="32"/>
    </row>
    <row r="155" ht="12.75" customHeight="1">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32"/>
      <c r="Y155" s="32"/>
      <c r="Z155" s="32"/>
    </row>
    <row r="156" ht="12.75" customHeight="1">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32"/>
      <c r="Y156" s="32"/>
      <c r="Z156" s="32"/>
    </row>
    <row r="157" ht="12.75" customHeight="1">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32"/>
      <c r="Y157" s="32"/>
      <c r="Z157" s="32"/>
    </row>
    <row r="158" ht="12.75" customHeight="1">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32"/>
      <c r="Y158" s="32"/>
      <c r="Z158" s="32"/>
    </row>
    <row r="159" ht="12.75" customHeight="1">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32"/>
      <c r="Y159" s="32"/>
      <c r="Z159" s="32"/>
    </row>
    <row r="160" ht="12.75" customHeight="1">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32"/>
      <c r="Y160" s="32"/>
      <c r="Z160" s="32"/>
    </row>
    <row r="161" ht="12.75" customHeight="1">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32"/>
      <c r="Y161" s="32"/>
      <c r="Z161" s="32"/>
    </row>
    <row r="162" ht="12.75" customHeight="1">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32"/>
      <c r="Y162" s="32"/>
      <c r="Z162" s="32"/>
    </row>
    <row r="163" ht="12.75" customHeight="1">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32"/>
      <c r="Y163" s="32"/>
      <c r="Z163" s="32"/>
    </row>
    <row r="164" ht="12.75" customHeight="1">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32"/>
      <c r="Y164" s="32"/>
      <c r="Z164" s="32"/>
    </row>
    <row r="165" ht="12.75" customHeight="1">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32"/>
      <c r="Y165" s="32"/>
      <c r="Z165" s="32"/>
    </row>
    <row r="166" ht="12.75" customHeight="1">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32"/>
      <c r="Y166" s="32"/>
      <c r="Z166" s="32"/>
    </row>
    <row r="167" ht="12.75" customHeight="1">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32"/>
      <c r="Y167" s="32"/>
      <c r="Z167" s="32"/>
    </row>
    <row r="168" ht="12.75" customHeight="1">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32"/>
      <c r="Y168" s="32"/>
      <c r="Z168" s="32"/>
    </row>
    <row r="169" ht="12.75" customHeight="1">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32"/>
      <c r="Y169" s="32"/>
      <c r="Z169" s="32"/>
    </row>
    <row r="170" ht="12.75" customHeight="1">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32"/>
      <c r="Y170" s="32"/>
      <c r="Z170" s="32"/>
    </row>
    <row r="171" ht="12.75" customHeight="1">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32"/>
      <c r="Y171" s="32"/>
      <c r="Z171" s="32"/>
    </row>
    <row r="172" ht="12.75" customHeight="1">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32"/>
      <c r="Y172" s="32"/>
      <c r="Z172" s="32"/>
    </row>
    <row r="173" ht="12.75" customHeight="1">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32"/>
      <c r="Y173" s="32"/>
      <c r="Z173" s="32"/>
    </row>
    <row r="174" ht="12.75" customHeight="1">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32"/>
      <c r="Y174" s="32"/>
      <c r="Z174" s="32"/>
    </row>
    <row r="175" ht="12.75" customHeight="1">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32"/>
      <c r="Y175" s="32"/>
      <c r="Z175" s="32"/>
    </row>
    <row r="176" ht="12.75" customHeight="1">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32"/>
      <c r="Y176" s="32"/>
      <c r="Z176" s="32"/>
    </row>
    <row r="177" ht="12.75" customHeight="1">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32"/>
      <c r="Y177" s="32"/>
      <c r="Z177" s="32"/>
    </row>
    <row r="178" ht="12.75" customHeight="1">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32"/>
      <c r="Y178" s="32"/>
      <c r="Z178" s="32"/>
    </row>
    <row r="179" ht="12.75" customHeight="1">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32"/>
      <c r="Y179" s="32"/>
      <c r="Z179" s="32"/>
    </row>
    <row r="180" ht="12.75" customHeight="1">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32"/>
      <c r="Y180" s="32"/>
      <c r="Z180" s="32"/>
    </row>
    <row r="181" ht="12.75" customHeight="1">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32"/>
      <c r="Y181" s="32"/>
      <c r="Z181" s="32"/>
    </row>
    <row r="182" ht="12.75" customHeight="1">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32"/>
      <c r="Y182" s="32"/>
      <c r="Z182" s="32"/>
    </row>
    <row r="183" ht="12.75" customHeight="1">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32"/>
      <c r="Y183" s="32"/>
      <c r="Z183" s="32"/>
    </row>
    <row r="184" ht="12.75" customHeight="1">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32"/>
      <c r="Y184" s="32"/>
      <c r="Z184" s="32"/>
    </row>
    <row r="185" ht="12.75" customHeight="1">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32"/>
      <c r="Y185" s="32"/>
      <c r="Z185" s="32"/>
    </row>
    <row r="186" ht="12.75" customHeight="1">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32"/>
      <c r="Y186" s="32"/>
      <c r="Z186" s="32"/>
    </row>
    <row r="187" ht="12.75" customHeight="1">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32"/>
      <c r="Y187" s="32"/>
      <c r="Z187" s="32"/>
    </row>
    <row r="188" ht="12.75" customHeight="1">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32"/>
      <c r="Y188" s="32"/>
      <c r="Z188" s="32"/>
    </row>
    <row r="189" ht="12.75" customHeight="1">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32"/>
      <c r="Y189" s="32"/>
      <c r="Z189" s="32"/>
    </row>
    <row r="190" ht="12.75" customHeight="1">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32"/>
      <c r="Y190" s="32"/>
      <c r="Z190" s="32"/>
    </row>
    <row r="191" ht="12.75" customHeight="1">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32"/>
      <c r="Y191" s="32"/>
      <c r="Z191" s="32"/>
    </row>
    <row r="192" ht="12.75" customHeight="1">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32"/>
      <c r="Y192" s="32"/>
      <c r="Z192" s="32"/>
    </row>
    <row r="193" ht="12.75" customHeight="1">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32"/>
      <c r="Y193" s="32"/>
      <c r="Z193" s="32"/>
    </row>
    <row r="194" ht="12.75" customHeight="1">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32"/>
      <c r="Y194" s="32"/>
      <c r="Z194" s="32"/>
    </row>
    <row r="195" ht="12.75" customHeight="1">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32"/>
      <c r="Y195" s="32"/>
      <c r="Z195" s="32"/>
    </row>
    <row r="196" ht="12.75" customHeight="1">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32"/>
      <c r="Y196" s="32"/>
      <c r="Z196" s="32"/>
    </row>
    <row r="197" ht="12.75" customHeight="1">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32"/>
      <c r="Y197" s="32"/>
      <c r="Z197" s="32"/>
    </row>
    <row r="198" ht="12.75" customHeight="1">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32"/>
      <c r="Y198" s="32"/>
      <c r="Z198" s="32"/>
    </row>
    <row r="199" ht="12.75" customHeight="1">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32"/>
      <c r="Y199" s="32"/>
      <c r="Z199" s="32"/>
    </row>
    <row r="200" ht="12.75" customHeight="1">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32"/>
      <c r="Y200" s="32"/>
      <c r="Z200" s="32"/>
    </row>
    <row r="201" ht="12.75" customHeight="1">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32"/>
      <c r="Y201" s="32"/>
      <c r="Z201" s="32"/>
    </row>
    <row r="202" ht="12.75" customHeight="1">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32"/>
      <c r="Y202" s="32"/>
      <c r="Z202" s="32"/>
    </row>
    <row r="203" ht="12.75" customHeight="1">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32"/>
      <c r="Y203" s="32"/>
      <c r="Z203" s="32"/>
    </row>
    <row r="204" ht="12.75" customHeight="1">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32"/>
      <c r="Y204" s="32"/>
      <c r="Z204" s="32"/>
    </row>
    <row r="205" ht="12.75" customHeight="1">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32"/>
      <c r="Y205" s="32"/>
      <c r="Z205" s="32"/>
    </row>
    <row r="206" ht="12.75" customHeight="1">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32"/>
      <c r="Y206" s="32"/>
      <c r="Z206" s="32"/>
    </row>
    <row r="207" ht="12.75" customHeight="1">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32"/>
      <c r="Y207" s="32"/>
      <c r="Z207" s="32"/>
    </row>
    <row r="208" ht="12.75" customHeight="1">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32"/>
      <c r="Y208" s="32"/>
      <c r="Z208" s="32"/>
    </row>
    <row r="209" ht="12.75" customHeight="1">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32"/>
      <c r="Y209" s="32"/>
      <c r="Z209" s="32"/>
    </row>
    <row r="210" ht="12.75" customHeight="1">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32"/>
      <c r="Y210" s="32"/>
      <c r="Z210" s="32"/>
    </row>
    <row r="211" ht="12.75" customHeight="1">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32"/>
      <c r="Y211" s="32"/>
      <c r="Z211" s="32"/>
    </row>
    <row r="212" ht="12.75" customHeight="1">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32"/>
      <c r="Y212" s="32"/>
      <c r="Z212" s="32"/>
    </row>
    <row r="213" ht="12.75" customHeight="1">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32"/>
      <c r="Y213" s="32"/>
      <c r="Z213" s="32"/>
    </row>
    <row r="214" ht="12.75" customHeight="1">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32"/>
      <c r="Y214" s="32"/>
      <c r="Z214" s="32"/>
    </row>
    <row r="215" ht="12.75" customHeight="1">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32"/>
      <c r="Y215" s="32"/>
      <c r="Z215" s="32"/>
    </row>
    <row r="216" ht="12.75" customHeight="1">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32"/>
      <c r="Y216" s="32"/>
      <c r="Z216" s="32"/>
    </row>
    <row r="217" ht="12.75" customHeight="1">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32"/>
      <c r="Y217" s="32"/>
      <c r="Z217" s="32"/>
    </row>
    <row r="218" ht="12.75" customHeight="1">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32"/>
      <c r="Y218" s="32"/>
      <c r="Z218" s="32"/>
    </row>
    <row r="219" ht="12.75" customHeight="1">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32"/>
      <c r="Y219" s="32"/>
      <c r="Z219" s="32"/>
    </row>
    <row r="220" ht="12.75" customHeight="1">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32"/>
      <c r="Y220" s="32"/>
      <c r="Z220" s="32"/>
    </row>
    <row r="221" ht="12.75" customHeight="1">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32"/>
      <c r="Y221" s="32"/>
      <c r="Z221" s="32"/>
    </row>
    <row r="222" ht="12.75" customHeight="1">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32"/>
      <c r="Y222" s="32"/>
      <c r="Z222" s="32"/>
    </row>
    <row r="223" ht="12.75" customHeight="1">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32"/>
      <c r="Y223" s="32"/>
      <c r="Z223" s="32"/>
    </row>
    <row r="224" ht="12.75" customHeight="1">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32"/>
      <c r="Y224" s="32"/>
      <c r="Z224" s="32"/>
    </row>
    <row r="225" ht="12.75" customHeight="1">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32"/>
      <c r="Y225" s="32"/>
      <c r="Z225" s="32"/>
    </row>
    <row r="226" ht="12.75" customHeight="1">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32"/>
      <c r="Y226" s="32"/>
      <c r="Z226" s="32"/>
    </row>
    <row r="227" ht="12.75" customHeight="1">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32"/>
      <c r="Y227" s="32"/>
      <c r="Z227" s="32"/>
    </row>
    <row r="228" ht="12.75" customHeight="1">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32"/>
      <c r="Y228" s="32"/>
      <c r="Z228" s="32"/>
    </row>
    <row r="229" ht="12.75" customHeight="1">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32"/>
      <c r="Y229" s="32"/>
      <c r="Z229" s="32"/>
    </row>
    <row r="230" ht="12.75" customHeight="1">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32"/>
      <c r="Y230" s="32"/>
      <c r="Z230" s="32"/>
    </row>
    <row r="231" ht="12.75" customHeight="1">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32"/>
      <c r="Y231" s="32"/>
      <c r="Z231" s="32"/>
    </row>
    <row r="232" ht="12.75" customHeight="1">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32"/>
      <c r="Y232" s="32"/>
      <c r="Z232" s="32"/>
    </row>
    <row r="233" ht="12.75" customHeight="1">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32"/>
      <c r="Y233" s="32"/>
      <c r="Z233" s="32"/>
    </row>
    <row r="234" ht="12.75" customHeight="1">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32"/>
      <c r="Y234" s="32"/>
      <c r="Z234" s="32"/>
    </row>
    <row r="235" ht="12.75" customHeight="1">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32"/>
      <c r="Y235" s="32"/>
      <c r="Z235" s="32"/>
    </row>
    <row r="236" ht="12.75" customHeight="1">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32"/>
      <c r="Y236" s="32"/>
      <c r="Z236" s="32"/>
    </row>
    <row r="237" ht="12.75" customHeight="1">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32"/>
      <c r="Y237" s="32"/>
      <c r="Z237" s="32"/>
    </row>
    <row r="238" ht="12.75" customHeight="1">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32"/>
      <c r="Y238" s="32"/>
      <c r="Z238" s="32"/>
    </row>
    <row r="239" ht="12.75" customHeight="1">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32"/>
      <c r="Y239" s="32"/>
      <c r="Z239" s="32"/>
    </row>
    <row r="240" ht="12.75" customHeight="1">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32"/>
      <c r="Y240" s="32"/>
      <c r="Z240" s="32"/>
    </row>
    <row r="241" ht="12.75" customHeight="1">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32"/>
      <c r="Y241" s="32"/>
      <c r="Z241" s="32"/>
    </row>
    <row r="242" ht="12.75" customHeight="1">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32"/>
      <c r="Y242" s="32"/>
      <c r="Z242" s="32"/>
    </row>
    <row r="243" ht="12.75" customHeight="1">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32"/>
      <c r="Y243" s="32"/>
      <c r="Z243" s="32"/>
    </row>
    <row r="244" ht="12.75" customHeight="1">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32"/>
      <c r="Y244" s="32"/>
      <c r="Z244" s="32"/>
    </row>
    <row r="245" ht="12.75" customHeight="1">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32"/>
      <c r="Y245" s="32"/>
      <c r="Z245" s="32"/>
    </row>
    <row r="246" ht="12.75" customHeight="1">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32"/>
      <c r="Y246" s="32"/>
      <c r="Z246" s="32"/>
    </row>
    <row r="247" ht="12.75" customHeight="1">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32"/>
      <c r="Y247" s="32"/>
      <c r="Z247" s="32"/>
    </row>
    <row r="248" ht="12.75" customHeight="1">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32"/>
      <c r="Y248" s="32"/>
      <c r="Z248" s="32"/>
    </row>
    <row r="249" ht="12.75" customHeight="1">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32"/>
      <c r="Y249" s="32"/>
      <c r="Z249" s="32"/>
    </row>
    <row r="250" ht="12.75" customHeight="1">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32"/>
      <c r="Y250" s="32"/>
      <c r="Z250" s="32"/>
    </row>
    <row r="251" ht="12.75" customHeight="1">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32"/>
      <c r="Y251" s="32"/>
      <c r="Z251" s="32"/>
    </row>
    <row r="252" ht="12.75" customHeight="1">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32"/>
      <c r="Y252" s="32"/>
      <c r="Z252" s="32"/>
    </row>
    <row r="253" ht="12.75" customHeight="1">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32"/>
      <c r="Y253" s="32"/>
      <c r="Z253" s="32"/>
    </row>
    <row r="254" ht="12.75" customHeight="1">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32"/>
      <c r="Y254" s="32"/>
      <c r="Z254" s="32"/>
    </row>
    <row r="255" ht="12.75" customHeight="1">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32"/>
      <c r="Y255" s="32"/>
      <c r="Z255" s="32"/>
    </row>
    <row r="256" ht="12.75" customHeight="1">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32"/>
      <c r="Y256" s="32"/>
      <c r="Z256" s="32"/>
    </row>
    <row r="257" ht="12.75" customHeight="1">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32"/>
      <c r="Y257" s="32"/>
      <c r="Z257" s="32"/>
    </row>
    <row r="258" ht="12.75" customHeight="1">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32"/>
      <c r="Y258" s="32"/>
      <c r="Z258" s="32"/>
    </row>
    <row r="259" ht="12.75" customHeight="1">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32"/>
      <c r="Y259" s="32"/>
      <c r="Z259" s="32"/>
    </row>
    <row r="260" ht="12.75" customHeight="1">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32"/>
      <c r="Y260" s="32"/>
      <c r="Z260" s="32"/>
    </row>
    <row r="261" ht="12.75" customHeight="1">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32"/>
      <c r="Y261" s="32"/>
      <c r="Z261" s="32"/>
    </row>
    <row r="262" ht="12.75" customHeight="1">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32"/>
      <c r="Y262" s="32"/>
      <c r="Z262" s="32"/>
    </row>
    <row r="263" ht="12.75" customHeight="1">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32"/>
      <c r="Y263" s="32"/>
      <c r="Z263" s="32"/>
    </row>
    <row r="264" ht="12.75" customHeight="1">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32"/>
      <c r="Y264" s="32"/>
      <c r="Z264" s="32"/>
    </row>
    <row r="265" ht="12.75" customHeight="1">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32"/>
      <c r="Y265" s="32"/>
      <c r="Z265" s="32"/>
    </row>
    <row r="266" ht="12.75" customHeight="1">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32"/>
      <c r="Y266" s="32"/>
      <c r="Z266" s="32"/>
    </row>
    <row r="267" ht="12.75" customHeight="1">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32"/>
      <c r="Y267" s="32"/>
      <c r="Z267" s="32"/>
    </row>
    <row r="268" ht="12.75" customHeight="1">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32"/>
      <c r="Y268" s="32"/>
      <c r="Z268" s="32"/>
    </row>
    <row r="269" ht="12.75" customHeight="1">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32"/>
      <c r="Y269" s="32"/>
      <c r="Z269" s="32"/>
    </row>
    <row r="270" ht="12.75" customHeight="1">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32"/>
      <c r="Y270" s="32"/>
      <c r="Z270" s="32"/>
    </row>
    <row r="271" ht="12.75" customHeight="1">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32"/>
      <c r="Y271" s="32"/>
      <c r="Z271" s="32"/>
    </row>
    <row r="272" ht="12.75" customHeight="1">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32"/>
      <c r="Y272" s="32"/>
      <c r="Z272" s="32"/>
    </row>
    <row r="273" ht="12.75" customHeight="1">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32"/>
      <c r="Y273" s="32"/>
      <c r="Z273" s="32"/>
    </row>
    <row r="274" ht="12.75" customHeight="1">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32"/>
      <c r="Y274" s="32"/>
      <c r="Z274" s="32"/>
    </row>
    <row r="275" ht="12.75" customHeight="1">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32"/>
      <c r="Y275" s="32"/>
      <c r="Z275" s="32"/>
    </row>
    <row r="276" ht="12.75" customHeight="1">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32"/>
      <c r="Y276" s="32"/>
      <c r="Z276" s="32"/>
    </row>
    <row r="277" ht="12.75" customHeight="1">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32"/>
      <c r="Y277" s="32"/>
      <c r="Z277" s="32"/>
    </row>
    <row r="278" ht="12.75" customHeight="1">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32"/>
      <c r="Y278" s="32"/>
      <c r="Z278" s="32"/>
    </row>
    <row r="279" ht="12.75" customHeight="1">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32"/>
      <c r="Y279" s="32"/>
      <c r="Z279" s="32"/>
    </row>
    <row r="280" ht="12.75" customHeight="1">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32"/>
      <c r="Y280" s="32"/>
      <c r="Z280" s="32"/>
    </row>
    <row r="281" ht="12.75" customHeight="1">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32"/>
      <c r="Y281" s="32"/>
      <c r="Z281" s="32"/>
    </row>
    <row r="282" ht="12.75" customHeight="1">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32"/>
      <c r="Y282" s="32"/>
      <c r="Z282" s="32"/>
    </row>
    <row r="283" ht="12.75" customHeight="1">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32"/>
      <c r="Y283" s="32"/>
      <c r="Z283" s="32"/>
    </row>
    <row r="284" ht="12.75" customHeight="1">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32"/>
      <c r="Y284" s="32"/>
      <c r="Z284" s="32"/>
    </row>
    <row r="285" ht="12.75" customHeight="1">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32"/>
      <c r="Y285" s="32"/>
      <c r="Z285" s="32"/>
    </row>
    <row r="286" ht="12.75" customHeight="1">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32"/>
      <c r="Y286" s="32"/>
      <c r="Z286" s="32"/>
    </row>
    <row r="287" ht="12.75" customHeight="1">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32"/>
      <c r="Y287" s="32"/>
      <c r="Z287" s="32"/>
    </row>
    <row r="288" ht="12.75" customHeight="1">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32"/>
      <c r="Y288" s="32"/>
      <c r="Z288" s="32"/>
    </row>
    <row r="289" ht="12.75" customHeight="1">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32"/>
      <c r="Y289" s="32"/>
      <c r="Z289" s="32"/>
    </row>
    <row r="290" ht="12.75" customHeight="1">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32"/>
      <c r="Y290" s="32"/>
      <c r="Z290" s="32"/>
    </row>
    <row r="291" ht="12.75" customHeight="1">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32"/>
      <c r="Y291" s="32"/>
      <c r="Z291" s="32"/>
    </row>
    <row r="292" ht="12.75" customHeight="1">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32"/>
      <c r="Y292" s="32"/>
      <c r="Z292" s="32"/>
    </row>
    <row r="293" ht="12.75" customHeight="1">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32"/>
      <c r="Y293" s="32"/>
      <c r="Z293" s="32"/>
    </row>
    <row r="294" ht="12.75" customHeight="1">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32"/>
      <c r="Y294" s="32"/>
      <c r="Z294" s="32"/>
    </row>
    <row r="295" ht="12.75" customHeight="1">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32"/>
      <c r="Y295" s="32"/>
      <c r="Z295" s="32"/>
    </row>
    <row r="296" ht="12.75" customHeight="1">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32"/>
      <c r="Y296" s="32"/>
      <c r="Z296" s="32"/>
    </row>
    <row r="297" ht="12.75" customHeight="1">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32"/>
      <c r="Y297" s="32"/>
      <c r="Z297" s="32"/>
    </row>
    <row r="298" ht="12.75" customHeight="1">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32"/>
      <c r="Y298" s="32"/>
      <c r="Z298" s="32"/>
    </row>
    <row r="299" ht="12.75" customHeight="1">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32"/>
      <c r="Y299" s="32"/>
      <c r="Z299" s="32"/>
    </row>
    <row r="300" ht="12.75" customHeight="1">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32"/>
      <c r="Y300" s="32"/>
      <c r="Z300" s="32"/>
    </row>
    <row r="301" ht="12.75" customHeight="1">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32"/>
      <c r="Y301" s="32"/>
      <c r="Z301" s="32"/>
    </row>
    <row r="302" ht="12.75" customHeight="1">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32"/>
      <c r="Y302" s="32"/>
      <c r="Z302" s="32"/>
    </row>
    <row r="303" ht="12.75" customHeight="1">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32"/>
      <c r="Y303" s="32"/>
      <c r="Z303" s="32"/>
    </row>
    <row r="304" ht="12.75" customHeight="1">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32"/>
      <c r="Y304" s="32"/>
      <c r="Z304" s="32"/>
    </row>
    <row r="305" ht="12.75" customHeight="1">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32"/>
      <c r="Y305" s="32"/>
      <c r="Z305" s="32"/>
    </row>
    <row r="306" ht="12.75" customHeight="1">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32"/>
      <c r="Y306" s="32"/>
      <c r="Z306" s="32"/>
    </row>
    <row r="307" ht="12.75" customHeight="1">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32"/>
      <c r="Y307" s="32"/>
      <c r="Z307" s="32"/>
    </row>
    <row r="308" ht="12.75" customHeight="1">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32"/>
      <c r="Y308" s="32"/>
      <c r="Z308" s="32"/>
    </row>
    <row r="309" ht="12.75" customHeight="1">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32"/>
      <c r="Y309" s="32"/>
      <c r="Z309" s="32"/>
    </row>
    <row r="310" ht="12.75" customHeight="1">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32"/>
      <c r="Y310" s="32"/>
      <c r="Z310" s="32"/>
    </row>
    <row r="311" ht="12.75" customHeight="1">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32"/>
      <c r="Y311" s="32"/>
      <c r="Z311" s="32"/>
    </row>
    <row r="312" ht="12.75" customHeight="1">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32"/>
      <c r="Y312" s="32"/>
      <c r="Z312" s="32"/>
    </row>
    <row r="313" ht="12.75" customHeight="1">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32"/>
      <c r="Y313" s="32"/>
      <c r="Z313" s="32"/>
    </row>
    <row r="314" ht="12.75" customHeight="1">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32"/>
      <c r="Y314" s="32"/>
      <c r="Z314" s="32"/>
    </row>
    <row r="315" ht="12.75" customHeight="1">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32"/>
      <c r="Y315" s="32"/>
      <c r="Z315" s="32"/>
    </row>
    <row r="316" ht="12.75" customHeight="1">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32"/>
      <c r="Y316" s="32"/>
      <c r="Z316" s="32"/>
    </row>
    <row r="317" ht="12.75" customHeight="1">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32"/>
      <c r="Y317" s="32"/>
      <c r="Z317" s="32"/>
    </row>
    <row r="318" ht="12.75" customHeight="1">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32"/>
      <c r="Y318" s="32"/>
      <c r="Z318" s="32"/>
    </row>
    <row r="319" ht="12.75" customHeight="1">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32"/>
      <c r="Y319" s="32"/>
      <c r="Z319" s="32"/>
    </row>
    <row r="320" ht="12.75" customHeight="1">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32"/>
      <c r="Y320" s="32"/>
      <c r="Z320" s="32"/>
    </row>
    <row r="321" ht="12.75" customHeight="1">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32"/>
      <c r="Y321" s="32"/>
      <c r="Z321" s="32"/>
    </row>
    <row r="322" ht="12.75" customHeight="1">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32"/>
      <c r="Y322" s="32"/>
      <c r="Z322" s="32"/>
    </row>
    <row r="323" ht="12.75" customHeight="1">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32"/>
      <c r="Y323" s="32"/>
      <c r="Z323" s="32"/>
    </row>
    <row r="324" ht="12.75" customHeight="1">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32"/>
      <c r="Y324" s="32"/>
      <c r="Z324" s="32"/>
    </row>
    <row r="325" ht="12.75" customHeight="1">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32"/>
      <c r="Y325" s="32"/>
      <c r="Z325" s="32"/>
    </row>
    <row r="326" ht="12.75" customHeight="1">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32"/>
      <c r="Y326" s="32"/>
      <c r="Z326" s="32"/>
    </row>
    <row r="327" ht="12.75" customHeight="1">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32"/>
      <c r="Y327" s="32"/>
      <c r="Z327" s="32"/>
    </row>
    <row r="328" ht="12.75" customHeight="1">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32"/>
      <c r="Y328" s="32"/>
      <c r="Z328" s="32"/>
    </row>
    <row r="329" ht="12.75" customHeight="1">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32"/>
      <c r="Y329" s="32"/>
      <c r="Z329" s="32"/>
    </row>
    <row r="330" ht="12.75" customHeight="1">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32"/>
      <c r="Y330" s="32"/>
      <c r="Z330" s="32"/>
    </row>
    <row r="331" ht="12.75" customHeight="1">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32"/>
      <c r="Y331" s="32"/>
      <c r="Z331" s="32"/>
    </row>
    <row r="332" ht="12.75" customHeight="1">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32"/>
      <c r="Y332" s="32"/>
      <c r="Z332" s="32"/>
    </row>
    <row r="333" ht="12.75" customHeight="1">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32"/>
      <c r="Y333" s="32"/>
      <c r="Z333" s="32"/>
    </row>
    <row r="334" ht="12.75" customHeight="1">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32"/>
      <c r="Y334" s="32"/>
      <c r="Z334" s="32"/>
    </row>
    <row r="335" ht="12.75" customHeight="1">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32"/>
      <c r="Y335" s="32"/>
      <c r="Z335" s="32"/>
    </row>
    <row r="336" ht="12.75" customHeight="1">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32"/>
      <c r="Y336" s="32"/>
      <c r="Z336" s="32"/>
    </row>
    <row r="337" ht="12.75" customHeight="1">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32"/>
      <c r="Y337" s="32"/>
      <c r="Z337" s="32"/>
    </row>
    <row r="338" ht="12.75" customHeight="1">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32"/>
      <c r="Y338" s="32"/>
      <c r="Z338" s="32"/>
    </row>
    <row r="339" ht="12.75" customHeight="1">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32"/>
      <c r="Y339" s="32"/>
      <c r="Z339" s="32"/>
    </row>
    <row r="340" ht="12.75" customHeight="1">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32"/>
      <c r="Y340" s="32"/>
      <c r="Z340" s="32"/>
    </row>
    <row r="341" ht="12.75" customHeight="1">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32"/>
      <c r="Y341" s="32"/>
      <c r="Z341" s="32"/>
    </row>
    <row r="342" ht="12.75" customHeight="1">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32"/>
      <c r="Y342" s="32"/>
      <c r="Z342" s="32"/>
    </row>
    <row r="343" ht="12.75" customHeight="1">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32"/>
      <c r="Y343" s="32"/>
      <c r="Z343" s="32"/>
    </row>
    <row r="344" ht="12.75" customHeight="1">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32"/>
      <c r="Y344" s="32"/>
      <c r="Z344" s="32"/>
    </row>
    <row r="345" ht="12.75" customHeight="1">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32"/>
      <c r="Y345" s="32"/>
      <c r="Z345" s="32"/>
    </row>
    <row r="346" ht="12.75" customHeight="1">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32"/>
      <c r="Y346" s="32"/>
      <c r="Z346" s="32"/>
    </row>
    <row r="347" ht="12.75" customHeight="1">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32"/>
      <c r="Y347" s="32"/>
      <c r="Z347" s="32"/>
    </row>
    <row r="348" ht="12.75" customHeight="1">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32"/>
      <c r="Y348" s="32"/>
      <c r="Z348" s="32"/>
    </row>
    <row r="349" ht="12.75" customHeight="1">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32"/>
      <c r="Y349" s="32"/>
      <c r="Z349" s="32"/>
    </row>
    <row r="350" ht="12.75" customHeight="1">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32"/>
      <c r="Y350" s="32"/>
      <c r="Z350" s="32"/>
    </row>
    <row r="351" ht="12.75" customHeight="1">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32"/>
      <c r="Y351" s="32"/>
      <c r="Z351" s="32"/>
    </row>
    <row r="352" ht="12.75" customHeight="1">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32"/>
      <c r="Y352" s="32"/>
      <c r="Z352" s="32"/>
    </row>
    <row r="353" ht="12.75" customHeight="1">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32"/>
      <c r="Y353" s="32"/>
      <c r="Z353" s="32"/>
    </row>
    <row r="354" ht="12.75" customHeight="1">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32"/>
      <c r="Y354" s="32"/>
      <c r="Z354" s="32"/>
    </row>
    <row r="355" ht="12.75" customHeight="1">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32"/>
      <c r="Y355" s="32"/>
      <c r="Z355" s="32"/>
    </row>
    <row r="356" ht="12.75" customHeight="1">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32"/>
      <c r="Y356" s="32"/>
      <c r="Z356" s="32"/>
    </row>
    <row r="357" ht="12.75" customHeight="1">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32"/>
      <c r="Y357" s="32"/>
      <c r="Z357" s="32"/>
    </row>
    <row r="358" ht="12.75" customHeight="1">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32"/>
      <c r="Y358" s="32"/>
      <c r="Z358" s="32"/>
    </row>
    <row r="359" ht="12.75" customHeight="1">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32"/>
      <c r="Y359" s="32"/>
      <c r="Z359" s="32"/>
    </row>
    <row r="360" ht="12.75" customHeight="1">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32"/>
      <c r="Y360" s="32"/>
      <c r="Z360" s="32"/>
    </row>
    <row r="361" ht="12.75" customHeight="1">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32"/>
      <c r="Y361" s="32"/>
      <c r="Z361" s="32"/>
    </row>
    <row r="362" ht="12.75" customHeight="1">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32"/>
      <c r="Y362" s="32"/>
      <c r="Z362" s="32"/>
    </row>
    <row r="363" ht="12.75" customHeight="1">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32"/>
      <c r="Y363" s="32"/>
      <c r="Z363" s="32"/>
    </row>
    <row r="364" ht="12.75" customHeight="1">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32"/>
      <c r="Y364" s="32"/>
      <c r="Z364" s="32"/>
    </row>
    <row r="365" ht="12.75" customHeight="1">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32"/>
      <c r="Y365" s="32"/>
      <c r="Z365" s="32"/>
    </row>
    <row r="366" ht="12.75" customHeight="1">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32"/>
      <c r="Y366" s="32"/>
      <c r="Z366" s="32"/>
    </row>
    <row r="367" ht="12.75" customHeight="1">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32"/>
      <c r="Y367" s="32"/>
      <c r="Z367" s="32"/>
    </row>
    <row r="368" ht="12.75" customHeight="1">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32"/>
      <c r="Y368" s="32"/>
      <c r="Z368" s="32"/>
    </row>
    <row r="369" ht="12.75" customHeight="1">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32"/>
      <c r="Y369" s="32"/>
      <c r="Z369" s="32"/>
    </row>
    <row r="370" ht="12.75" customHeight="1">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32"/>
      <c r="Y370" s="32"/>
      <c r="Z370" s="32"/>
    </row>
    <row r="371" ht="12.75" customHeight="1">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32"/>
      <c r="Y371" s="32"/>
      <c r="Z371" s="32"/>
    </row>
    <row r="372" ht="12.75" customHeight="1">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32"/>
      <c r="Y372" s="32"/>
      <c r="Z372" s="32"/>
    </row>
    <row r="373" ht="12.75" customHeight="1">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32"/>
      <c r="Y373" s="32"/>
      <c r="Z373" s="32"/>
    </row>
    <row r="374" ht="12.75" customHeight="1">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32"/>
      <c r="Y374" s="32"/>
      <c r="Z374" s="32"/>
    </row>
    <row r="375" ht="12.75" customHeight="1">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32"/>
      <c r="Y375" s="32"/>
      <c r="Z375" s="32"/>
    </row>
    <row r="376" ht="12.75" customHeight="1">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32"/>
      <c r="Y376" s="32"/>
      <c r="Z376" s="32"/>
    </row>
    <row r="377" ht="12.75" customHeight="1">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32"/>
      <c r="Y377" s="32"/>
      <c r="Z377" s="32"/>
    </row>
    <row r="378" ht="12.75" customHeight="1">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32"/>
      <c r="Y378" s="32"/>
      <c r="Z378" s="32"/>
    </row>
    <row r="379" ht="12.75" customHeight="1">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32"/>
      <c r="Y379" s="32"/>
      <c r="Z379" s="32"/>
    </row>
    <row r="380" ht="12.75" customHeight="1">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32"/>
      <c r="Y380" s="32"/>
      <c r="Z380" s="32"/>
    </row>
    <row r="381" ht="12.75" customHeight="1">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32"/>
      <c r="Y381" s="32"/>
      <c r="Z381" s="32"/>
    </row>
    <row r="382" ht="12.75" customHeight="1">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32"/>
      <c r="Y382" s="32"/>
      <c r="Z382" s="32"/>
    </row>
    <row r="383" ht="12.75" customHeight="1">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32"/>
      <c r="Y383" s="32"/>
      <c r="Z383" s="32"/>
    </row>
    <row r="384" ht="12.75" customHeight="1">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32"/>
      <c r="Y384" s="32"/>
      <c r="Z384" s="32"/>
    </row>
    <row r="385" ht="12.75" customHeight="1">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32"/>
      <c r="Y385" s="32"/>
      <c r="Z385" s="32"/>
    </row>
    <row r="386" ht="12.75" customHeight="1">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32"/>
      <c r="Y386" s="32"/>
      <c r="Z386" s="32"/>
    </row>
    <row r="387" ht="12.75" customHeight="1">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32"/>
      <c r="Y387" s="32"/>
      <c r="Z387" s="32"/>
    </row>
    <row r="388" ht="12.75" customHeight="1">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32"/>
      <c r="Y388" s="32"/>
      <c r="Z388" s="32"/>
    </row>
    <row r="389" ht="12.75" customHeight="1">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32"/>
      <c r="Y389" s="32"/>
      <c r="Z389" s="32"/>
    </row>
    <row r="390" ht="12.75" customHeight="1">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32"/>
      <c r="Y390" s="32"/>
      <c r="Z390" s="32"/>
    </row>
    <row r="391" ht="12.75" customHeight="1">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32"/>
      <c r="Y391" s="32"/>
      <c r="Z391" s="32"/>
    </row>
    <row r="392" ht="12.75" customHeight="1">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32"/>
      <c r="Y392" s="32"/>
      <c r="Z392" s="32"/>
    </row>
    <row r="393" ht="12.75" customHeight="1">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32"/>
      <c r="Y393" s="32"/>
      <c r="Z393" s="32"/>
    </row>
    <row r="394" ht="12.75" customHeight="1">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32"/>
      <c r="Y394" s="32"/>
      <c r="Z394" s="32"/>
    </row>
    <row r="395" ht="12.75" customHeight="1">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32"/>
      <c r="Y395" s="32"/>
      <c r="Z395" s="32"/>
    </row>
    <row r="396" ht="12.75" customHeight="1">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32"/>
      <c r="Y396" s="32"/>
      <c r="Z396" s="32"/>
    </row>
    <row r="397" ht="12.75" customHeight="1">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32"/>
      <c r="Y397" s="32"/>
      <c r="Z397" s="32"/>
    </row>
    <row r="398" ht="12.75" customHeight="1">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32"/>
      <c r="Y398" s="32"/>
      <c r="Z398" s="32"/>
    </row>
    <row r="399" ht="12.75" customHeight="1">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32"/>
      <c r="Y399" s="32"/>
      <c r="Z399" s="32"/>
    </row>
    <row r="400" ht="12.75" customHeight="1">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32"/>
      <c r="Y400" s="32"/>
      <c r="Z400" s="32"/>
    </row>
    <row r="401" ht="12.75" customHeight="1">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32"/>
      <c r="Y401" s="32"/>
      <c r="Z401" s="32"/>
    </row>
    <row r="402" ht="12.75" customHeight="1">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32"/>
      <c r="Y402" s="32"/>
      <c r="Z402" s="32"/>
    </row>
    <row r="403" ht="12.75" customHeight="1">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32"/>
      <c r="Y403" s="32"/>
      <c r="Z403" s="32"/>
    </row>
    <row r="404" ht="12.75" customHeight="1">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32"/>
      <c r="Y404" s="32"/>
      <c r="Z404" s="32"/>
    </row>
    <row r="405" ht="12.75" customHeight="1">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32"/>
      <c r="Y405" s="32"/>
      <c r="Z405" s="32"/>
    </row>
    <row r="406" ht="12.75" customHeight="1">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32"/>
      <c r="Y406" s="32"/>
      <c r="Z406" s="32"/>
    </row>
    <row r="407" ht="12.75" customHeight="1">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32"/>
      <c r="Y407" s="32"/>
      <c r="Z407" s="32"/>
    </row>
    <row r="408" ht="12.75" customHeight="1">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32"/>
      <c r="Y408" s="32"/>
      <c r="Z408" s="32"/>
    </row>
    <row r="409" ht="12.75" customHeight="1">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32"/>
      <c r="Y409" s="32"/>
      <c r="Z409" s="32"/>
    </row>
    <row r="410" ht="12.75" customHeight="1">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32"/>
      <c r="Y410" s="32"/>
      <c r="Z410" s="32"/>
    </row>
    <row r="411" ht="12.75" customHeight="1">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32"/>
      <c r="Y411" s="32"/>
      <c r="Z411" s="32"/>
    </row>
    <row r="412" ht="12.75" customHeight="1">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32"/>
      <c r="Y412" s="32"/>
      <c r="Z412" s="32"/>
    </row>
    <row r="413" ht="12.75" customHeight="1">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32"/>
      <c r="Y413" s="32"/>
      <c r="Z413" s="32"/>
    </row>
    <row r="414" ht="12.75" customHeight="1">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32"/>
      <c r="Y414" s="32"/>
      <c r="Z414" s="32"/>
    </row>
    <row r="415" ht="12.75" customHeight="1">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32"/>
      <c r="Y415" s="32"/>
      <c r="Z415" s="32"/>
    </row>
    <row r="416" ht="12.75" customHeight="1">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32"/>
      <c r="Y416" s="32"/>
      <c r="Z416" s="32"/>
    </row>
    <row r="417" ht="12.75" customHeight="1">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32"/>
      <c r="Y417" s="32"/>
      <c r="Z417" s="32"/>
    </row>
    <row r="418" ht="12.75" customHeight="1">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32"/>
      <c r="Y418" s="32"/>
      <c r="Z418" s="32"/>
    </row>
    <row r="419" ht="12.75" customHeight="1">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32"/>
      <c r="Y419" s="32"/>
      <c r="Z419" s="32"/>
    </row>
    <row r="420" ht="12.75" customHeight="1">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32"/>
      <c r="Y420" s="32"/>
      <c r="Z420" s="32"/>
    </row>
    <row r="421" ht="12.75" customHeight="1">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32"/>
      <c r="Y421" s="32"/>
      <c r="Z421" s="32"/>
    </row>
    <row r="422" ht="12.75" customHeight="1">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32"/>
      <c r="Y422" s="32"/>
      <c r="Z422" s="32"/>
    </row>
    <row r="423" ht="12.75" customHeight="1">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32"/>
      <c r="Y423" s="32"/>
      <c r="Z423" s="32"/>
    </row>
    <row r="424" ht="12.75" customHeight="1">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32"/>
      <c r="Y424" s="32"/>
      <c r="Z424" s="32"/>
    </row>
    <row r="425" ht="12.75" customHeight="1">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32"/>
      <c r="Y425" s="32"/>
      <c r="Z425" s="32"/>
    </row>
    <row r="426" ht="12.75" customHeight="1">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32"/>
      <c r="Y426" s="32"/>
      <c r="Z426" s="32"/>
    </row>
    <row r="427" ht="12.75" customHeight="1">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32"/>
      <c r="Y427" s="32"/>
      <c r="Z427" s="32"/>
    </row>
    <row r="428" ht="12.75" customHeight="1">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32"/>
      <c r="Y428" s="32"/>
      <c r="Z428" s="32"/>
    </row>
    <row r="429" ht="12.75" customHeight="1">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32"/>
      <c r="Y429" s="32"/>
      <c r="Z429" s="32"/>
    </row>
    <row r="430" ht="12.75" customHeight="1">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32"/>
      <c r="Y430" s="32"/>
      <c r="Z430" s="32"/>
    </row>
    <row r="431" ht="12.75" customHeight="1">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32"/>
      <c r="Y431" s="32"/>
      <c r="Z431" s="32"/>
    </row>
    <row r="432" ht="12.75" customHeight="1">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32"/>
      <c r="Y432" s="32"/>
      <c r="Z432" s="32"/>
    </row>
    <row r="433" ht="12.75" customHeight="1">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32"/>
      <c r="Y433" s="32"/>
      <c r="Z433" s="32"/>
    </row>
    <row r="434" ht="12.75" customHeight="1">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32"/>
      <c r="Y434" s="32"/>
      <c r="Z434" s="32"/>
    </row>
    <row r="435" ht="12.75" customHeight="1">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32"/>
      <c r="Y435" s="32"/>
      <c r="Z435" s="32"/>
    </row>
    <row r="436" ht="12.75" customHeight="1">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32"/>
      <c r="Y436" s="32"/>
      <c r="Z436" s="32"/>
    </row>
    <row r="437" ht="12.75" customHeight="1">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32"/>
      <c r="Y437" s="32"/>
      <c r="Z437" s="32"/>
    </row>
    <row r="438" ht="12.75" customHeight="1">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32"/>
      <c r="Y438" s="32"/>
      <c r="Z438" s="32"/>
    </row>
    <row r="439" ht="12.75" customHeight="1">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32"/>
      <c r="Y439" s="32"/>
      <c r="Z439" s="32"/>
    </row>
    <row r="440" ht="12.75" customHeight="1">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32"/>
      <c r="Y440" s="32"/>
      <c r="Z440" s="32"/>
    </row>
    <row r="441" ht="12.75" customHeight="1">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32"/>
      <c r="Y441" s="32"/>
      <c r="Z441" s="32"/>
    </row>
    <row r="442" ht="12.75" customHeight="1">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32"/>
      <c r="Y442" s="32"/>
      <c r="Z442" s="32"/>
    </row>
    <row r="443" ht="12.75" customHeight="1">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32"/>
      <c r="Y443" s="32"/>
      <c r="Z443" s="32"/>
    </row>
    <row r="444" ht="12.75" customHeight="1">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32"/>
      <c r="Y444" s="32"/>
      <c r="Z444" s="32"/>
    </row>
    <row r="445" ht="12.75" customHeight="1">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32"/>
      <c r="Y445" s="32"/>
      <c r="Z445" s="32"/>
    </row>
    <row r="446" ht="12.75" customHeight="1">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32"/>
      <c r="Y446" s="32"/>
      <c r="Z446" s="32"/>
    </row>
    <row r="447" ht="12.75" customHeight="1">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32"/>
      <c r="Y447" s="32"/>
      <c r="Z447" s="32"/>
    </row>
    <row r="448" ht="12.75" customHeight="1">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32"/>
      <c r="Y448" s="32"/>
      <c r="Z448" s="32"/>
    </row>
    <row r="449" ht="12.75" customHeight="1">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32"/>
      <c r="Y449" s="32"/>
      <c r="Z449" s="32"/>
    </row>
    <row r="450" ht="12.75" customHeight="1">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32"/>
      <c r="Y450" s="32"/>
      <c r="Z450" s="32"/>
    </row>
    <row r="451" ht="12.75" customHeight="1">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32"/>
      <c r="Y451" s="32"/>
      <c r="Z451" s="32"/>
    </row>
    <row r="452" ht="12.75" customHeight="1">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32"/>
      <c r="Y452" s="32"/>
      <c r="Z452" s="32"/>
    </row>
    <row r="453" ht="12.75" customHeight="1">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32"/>
      <c r="Y453" s="32"/>
      <c r="Z453" s="32"/>
    </row>
    <row r="454" ht="12.75" customHeight="1">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32"/>
      <c r="Y454" s="32"/>
      <c r="Z454" s="32"/>
    </row>
    <row r="455" ht="12.75" customHeight="1">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32"/>
      <c r="Y455" s="32"/>
      <c r="Z455" s="32"/>
    </row>
    <row r="456" ht="12.75" customHeight="1">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32"/>
      <c r="Y456" s="32"/>
      <c r="Z456" s="32"/>
    </row>
    <row r="457" ht="12.75" customHeight="1">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32"/>
      <c r="Y457" s="32"/>
      <c r="Z457" s="32"/>
    </row>
    <row r="458" ht="12.75" customHeight="1">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32"/>
      <c r="Y458" s="32"/>
      <c r="Z458" s="32"/>
    </row>
    <row r="459" ht="12.75" customHeight="1">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32"/>
      <c r="Y459" s="32"/>
      <c r="Z459" s="32"/>
    </row>
    <row r="460" ht="12.75" customHeight="1">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32"/>
      <c r="Y460" s="32"/>
      <c r="Z460" s="32"/>
    </row>
    <row r="461" ht="12.75" customHeight="1">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32"/>
      <c r="Y461" s="32"/>
      <c r="Z461" s="32"/>
    </row>
    <row r="462" ht="12.75" customHeight="1">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32"/>
      <c r="Y462" s="32"/>
      <c r="Z462" s="32"/>
    </row>
    <row r="463" ht="12.75" customHeight="1">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32"/>
      <c r="Y463" s="32"/>
      <c r="Z463" s="32"/>
    </row>
    <row r="464" ht="12.75" customHeight="1">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32"/>
      <c r="Y464" s="32"/>
      <c r="Z464" s="32"/>
    </row>
    <row r="465" ht="12.75" customHeight="1">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32"/>
      <c r="Y465" s="32"/>
      <c r="Z465" s="32"/>
    </row>
    <row r="466" ht="12.75" customHeight="1">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32"/>
      <c r="Y466" s="32"/>
      <c r="Z466" s="32"/>
    </row>
    <row r="467" ht="12.75" customHeight="1">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32"/>
      <c r="Y467" s="32"/>
      <c r="Z467" s="32"/>
    </row>
    <row r="468" ht="12.75" customHeight="1">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32"/>
      <c r="Y468" s="32"/>
      <c r="Z468" s="32"/>
    </row>
    <row r="469" ht="12.75" customHeight="1">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32"/>
      <c r="Y469" s="32"/>
      <c r="Z469" s="32"/>
    </row>
    <row r="470" ht="12.75" customHeight="1">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32"/>
      <c r="Y470" s="32"/>
      <c r="Z470" s="32"/>
    </row>
    <row r="471" ht="12.75" customHeight="1">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32"/>
      <c r="Y471" s="32"/>
      <c r="Z471" s="32"/>
    </row>
    <row r="472" ht="12.75" customHeight="1">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32"/>
      <c r="Y472" s="32"/>
      <c r="Z472" s="32"/>
    </row>
    <row r="473" ht="12.75" customHeight="1">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32"/>
      <c r="Y473" s="32"/>
      <c r="Z473" s="32"/>
    </row>
    <row r="474" ht="12.75" customHeight="1">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32"/>
      <c r="Y474" s="32"/>
      <c r="Z474" s="32"/>
    </row>
    <row r="475" ht="12.75" customHeight="1">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32"/>
      <c r="Y475" s="32"/>
      <c r="Z475" s="32"/>
    </row>
    <row r="476" ht="12.75" customHeight="1">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32"/>
      <c r="Y476" s="32"/>
      <c r="Z476" s="32"/>
    </row>
    <row r="477" ht="12.75" customHeight="1">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32"/>
      <c r="Y477" s="32"/>
      <c r="Z477" s="32"/>
    </row>
    <row r="478" ht="12.75" customHeight="1">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32"/>
      <c r="Y478" s="32"/>
      <c r="Z478" s="32"/>
    </row>
    <row r="479" ht="12.75" customHeight="1">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32"/>
      <c r="Y479" s="32"/>
      <c r="Z479" s="32"/>
    </row>
    <row r="480" ht="12.75" customHeight="1">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32"/>
      <c r="Y480" s="32"/>
      <c r="Z480" s="32"/>
    </row>
    <row r="481" ht="12.75" customHeight="1">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32"/>
      <c r="Y481" s="32"/>
      <c r="Z481" s="32"/>
    </row>
    <row r="482" ht="12.75" customHeight="1">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32"/>
      <c r="Y482" s="32"/>
      <c r="Z482" s="32"/>
    </row>
    <row r="483" ht="12.75" customHeight="1">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32"/>
      <c r="Y483" s="32"/>
      <c r="Z483" s="32"/>
    </row>
    <row r="484" ht="12.75" customHeight="1">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32"/>
      <c r="Y484" s="32"/>
      <c r="Z484" s="32"/>
    </row>
    <row r="485" ht="12.75" customHeight="1">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32"/>
      <c r="Y485" s="32"/>
      <c r="Z485" s="32"/>
    </row>
    <row r="486" ht="12.75" customHeight="1">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32"/>
      <c r="Y486" s="32"/>
      <c r="Z486" s="32"/>
    </row>
    <row r="487" ht="12.75" customHeight="1">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32"/>
      <c r="Y487" s="32"/>
      <c r="Z487" s="32"/>
    </row>
    <row r="488" ht="12.75" customHeight="1">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32"/>
      <c r="Y488" s="32"/>
      <c r="Z488" s="32"/>
    </row>
    <row r="489" ht="12.75" customHeight="1">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32"/>
      <c r="Y489" s="32"/>
      <c r="Z489" s="32"/>
    </row>
    <row r="490" ht="12.75" customHeight="1">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32"/>
      <c r="Y490" s="32"/>
      <c r="Z490" s="32"/>
    </row>
    <row r="491" ht="12.75" customHeight="1">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32"/>
      <c r="Y491" s="32"/>
      <c r="Z491" s="32"/>
    </row>
    <row r="492" ht="12.75" customHeight="1">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32"/>
      <c r="Y492" s="32"/>
      <c r="Z492" s="32"/>
    </row>
    <row r="493" ht="12.75" customHeight="1">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32"/>
      <c r="Y493" s="32"/>
      <c r="Z493" s="32"/>
    </row>
    <row r="494" ht="12.75" customHeight="1">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32"/>
      <c r="Y494" s="32"/>
      <c r="Z494" s="32"/>
    </row>
    <row r="495" ht="12.75" customHeight="1">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32"/>
      <c r="Y495" s="32"/>
      <c r="Z495" s="32"/>
    </row>
    <row r="496" ht="12.75" customHeight="1">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32"/>
      <c r="Y496" s="32"/>
      <c r="Z496" s="32"/>
    </row>
    <row r="497" ht="12.75" customHeight="1">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32"/>
      <c r="Y497" s="32"/>
      <c r="Z497" s="32"/>
    </row>
    <row r="498" ht="12.75" customHeight="1">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32"/>
      <c r="Y498" s="32"/>
      <c r="Z498" s="32"/>
    </row>
    <row r="499" ht="12.75" customHeight="1">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32"/>
      <c r="Y499" s="32"/>
      <c r="Z499" s="32"/>
    </row>
    <row r="500" ht="12.75" customHeight="1">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32"/>
      <c r="Y500" s="32"/>
      <c r="Z500" s="32"/>
    </row>
    <row r="501" ht="12.75" customHeight="1">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32"/>
      <c r="Y501" s="32"/>
      <c r="Z501" s="32"/>
    </row>
    <row r="502" ht="12.75" customHeight="1">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32"/>
      <c r="Y502" s="32"/>
      <c r="Z502" s="32"/>
    </row>
    <row r="503" ht="12.75" customHeight="1">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32"/>
      <c r="Y503" s="32"/>
      <c r="Z503" s="32"/>
    </row>
    <row r="504" ht="12.75" customHeight="1">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32"/>
      <c r="Y504" s="32"/>
      <c r="Z504" s="32"/>
    </row>
    <row r="505" ht="12.75" customHeight="1">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32"/>
      <c r="Y505" s="32"/>
      <c r="Z505" s="32"/>
    </row>
    <row r="506" ht="12.75" customHeight="1">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32"/>
      <c r="Y506" s="32"/>
      <c r="Z506" s="32"/>
    </row>
    <row r="507" ht="12.75" customHeight="1">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32"/>
      <c r="Y507" s="32"/>
      <c r="Z507" s="32"/>
    </row>
    <row r="508" ht="12.75" customHeight="1">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32"/>
      <c r="Y508" s="32"/>
      <c r="Z508" s="32"/>
    </row>
    <row r="509" ht="12.75" customHeight="1">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32"/>
      <c r="Y509" s="32"/>
      <c r="Z509" s="32"/>
    </row>
    <row r="510" ht="12.75" customHeight="1">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32"/>
      <c r="Y510" s="32"/>
      <c r="Z510" s="32"/>
    </row>
    <row r="511" ht="12.75" customHeight="1">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32"/>
      <c r="Y511" s="32"/>
      <c r="Z511" s="32"/>
    </row>
    <row r="512" ht="12.75" customHeight="1">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32"/>
      <c r="Y512" s="32"/>
      <c r="Z512" s="32"/>
    </row>
    <row r="513" ht="12.75" customHeight="1">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32"/>
      <c r="Y513" s="32"/>
      <c r="Z513" s="32"/>
    </row>
    <row r="514" ht="12.75" customHeight="1">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32"/>
      <c r="Y514" s="32"/>
      <c r="Z514" s="32"/>
    </row>
    <row r="515" ht="12.75" customHeight="1">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32"/>
      <c r="Y515" s="32"/>
      <c r="Z515" s="32"/>
    </row>
    <row r="516" ht="12.75" customHeight="1">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32"/>
      <c r="Y516" s="32"/>
      <c r="Z516" s="32"/>
    </row>
    <row r="517" ht="12.75" customHeight="1">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32"/>
      <c r="Y517" s="32"/>
      <c r="Z517" s="32"/>
    </row>
    <row r="518" ht="12.75" customHeight="1">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32"/>
      <c r="Y518" s="32"/>
      <c r="Z518" s="32"/>
    </row>
    <row r="519" ht="12.75" customHeight="1">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32"/>
      <c r="Y519" s="32"/>
      <c r="Z519" s="32"/>
    </row>
    <row r="520" ht="12.75" customHeight="1">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32"/>
      <c r="Y520" s="32"/>
      <c r="Z520" s="32"/>
    </row>
    <row r="521" ht="12.75" customHeight="1">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32"/>
      <c r="Y521" s="32"/>
      <c r="Z521" s="32"/>
    </row>
    <row r="522" ht="12.75" customHeight="1">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32"/>
      <c r="Y522" s="32"/>
      <c r="Z522" s="32"/>
    </row>
    <row r="523" ht="12.75" customHeight="1">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32"/>
      <c r="Y523" s="32"/>
      <c r="Z523" s="32"/>
    </row>
    <row r="524" ht="12.75" customHeight="1">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32"/>
      <c r="Y524" s="32"/>
      <c r="Z524" s="32"/>
    </row>
    <row r="525" ht="12.75" customHeight="1">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32"/>
      <c r="Y525" s="32"/>
      <c r="Z525" s="32"/>
    </row>
    <row r="526" ht="12.75" customHeight="1">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32"/>
      <c r="Y526" s="32"/>
      <c r="Z526" s="32"/>
    </row>
    <row r="527" ht="12.75" customHeight="1">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32"/>
      <c r="Y527" s="32"/>
      <c r="Z527" s="32"/>
    </row>
    <row r="528" ht="12.75" customHeight="1">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32"/>
      <c r="Y528" s="32"/>
      <c r="Z528" s="32"/>
    </row>
    <row r="529" ht="12.75" customHeight="1">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32"/>
      <c r="Y529" s="32"/>
      <c r="Z529" s="32"/>
    </row>
    <row r="530" ht="12.75" customHeight="1">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32"/>
      <c r="Y530" s="32"/>
      <c r="Z530" s="32"/>
    </row>
    <row r="531" ht="12.75" customHeight="1">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32"/>
      <c r="Y531" s="32"/>
      <c r="Z531" s="32"/>
    </row>
    <row r="532" ht="12.75" customHeight="1">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32"/>
      <c r="Y532" s="32"/>
      <c r="Z532" s="32"/>
    </row>
    <row r="533" ht="12.75" customHeight="1">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32"/>
      <c r="Y533" s="32"/>
      <c r="Z533" s="32"/>
    </row>
    <row r="534" ht="12.75" customHeight="1">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32"/>
      <c r="Y534" s="32"/>
      <c r="Z534" s="32"/>
    </row>
    <row r="535" ht="12.75" customHeight="1">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32"/>
      <c r="Y535" s="32"/>
      <c r="Z535" s="32"/>
    </row>
    <row r="536" ht="12.75" customHeight="1">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32"/>
      <c r="Y536" s="32"/>
      <c r="Z536" s="32"/>
    </row>
    <row r="537" ht="12.75" customHeight="1">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32"/>
      <c r="Y537" s="32"/>
      <c r="Z537" s="32"/>
    </row>
    <row r="538" ht="12.75" customHeight="1">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32"/>
      <c r="Y538" s="32"/>
      <c r="Z538" s="32"/>
    </row>
    <row r="539" ht="12.75" customHeight="1">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32"/>
      <c r="Y539" s="32"/>
      <c r="Z539" s="32"/>
    </row>
    <row r="540" ht="12.75" customHeight="1">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32"/>
      <c r="Y540" s="32"/>
      <c r="Z540" s="32"/>
    </row>
    <row r="541" ht="12.75" customHeight="1">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32"/>
      <c r="Y541" s="32"/>
      <c r="Z541" s="32"/>
    </row>
    <row r="542" ht="12.75" customHeight="1">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32"/>
      <c r="Y542" s="32"/>
      <c r="Z542" s="32"/>
    </row>
    <row r="543" ht="12.75" customHeight="1">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32"/>
      <c r="Y543" s="32"/>
      <c r="Z543" s="32"/>
    </row>
    <row r="544" ht="12.75" customHeight="1">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32"/>
      <c r="Y544" s="32"/>
      <c r="Z544" s="32"/>
    </row>
    <row r="545" ht="12.75" customHeight="1">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32"/>
      <c r="Y545" s="32"/>
      <c r="Z545" s="32"/>
    </row>
    <row r="546" ht="12.75" customHeight="1">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32"/>
      <c r="Y546" s="32"/>
      <c r="Z546" s="32"/>
    </row>
    <row r="547" ht="12.75" customHeight="1">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32"/>
      <c r="Y547" s="32"/>
      <c r="Z547" s="32"/>
    </row>
    <row r="548" ht="12.75" customHeight="1">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32"/>
      <c r="Y548" s="32"/>
      <c r="Z548" s="32"/>
    </row>
    <row r="549" ht="12.75" customHeight="1">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32"/>
      <c r="Y549" s="32"/>
      <c r="Z549" s="32"/>
    </row>
    <row r="550" ht="12.75" customHeight="1">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32"/>
      <c r="Y550" s="32"/>
      <c r="Z550" s="32"/>
    </row>
    <row r="551" ht="12.75" customHeight="1">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32"/>
      <c r="Y551" s="32"/>
      <c r="Z551" s="32"/>
    </row>
    <row r="552" ht="12.75" customHeight="1">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32"/>
      <c r="Y552" s="32"/>
      <c r="Z552" s="32"/>
    </row>
    <row r="553" ht="12.75" customHeight="1">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32"/>
      <c r="Y553" s="32"/>
      <c r="Z553" s="32"/>
    </row>
    <row r="554" ht="12.75" customHeight="1">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32"/>
      <c r="Y554" s="32"/>
      <c r="Z554" s="32"/>
    </row>
    <row r="555" ht="12.75" customHeight="1">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32"/>
      <c r="Y555" s="32"/>
      <c r="Z555" s="32"/>
    </row>
    <row r="556" ht="12.75" customHeight="1">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32"/>
      <c r="Y556" s="32"/>
      <c r="Z556" s="32"/>
    </row>
    <row r="557" ht="12.75" customHeight="1">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32"/>
      <c r="Y557" s="32"/>
      <c r="Z557" s="32"/>
    </row>
    <row r="558" ht="12.75" customHeight="1">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32"/>
      <c r="Y558" s="32"/>
      <c r="Z558" s="32"/>
    </row>
    <row r="559" ht="12.75" customHeight="1">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32"/>
      <c r="Y559" s="32"/>
      <c r="Z559" s="32"/>
    </row>
    <row r="560" ht="12.75" customHeight="1">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32"/>
      <c r="Y560" s="32"/>
      <c r="Z560" s="32"/>
    </row>
    <row r="561" ht="12.75" customHeight="1">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32"/>
      <c r="Y561" s="32"/>
      <c r="Z561" s="32"/>
    </row>
    <row r="562" ht="12.75" customHeight="1">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32"/>
      <c r="Y562" s="32"/>
      <c r="Z562" s="32"/>
    </row>
    <row r="563" ht="12.75" customHeight="1">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32"/>
      <c r="Y563" s="32"/>
      <c r="Z563" s="32"/>
    </row>
    <row r="564" ht="12.75" customHeight="1">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32"/>
      <c r="Y564" s="32"/>
      <c r="Z564" s="32"/>
    </row>
    <row r="565" ht="12.75" customHeight="1">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32"/>
      <c r="Y565" s="32"/>
      <c r="Z565" s="32"/>
    </row>
    <row r="566" ht="12.75" customHeight="1">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32"/>
      <c r="Y566" s="32"/>
      <c r="Z566" s="32"/>
    </row>
    <row r="567" ht="12.75" customHeight="1">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32"/>
      <c r="Y567" s="32"/>
      <c r="Z567" s="32"/>
    </row>
    <row r="568" ht="12.75" customHeight="1">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32"/>
      <c r="Y568" s="32"/>
      <c r="Z568" s="32"/>
    </row>
    <row r="569" ht="12.75" customHeight="1">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32"/>
      <c r="Y569" s="32"/>
      <c r="Z569" s="32"/>
    </row>
    <row r="570" ht="12.75" customHeight="1">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32"/>
      <c r="Y570" s="32"/>
      <c r="Z570" s="32"/>
    </row>
    <row r="571" ht="12.75" customHeight="1">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32"/>
      <c r="Y571" s="32"/>
      <c r="Z571" s="32"/>
    </row>
    <row r="572" ht="12.75" customHeight="1">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32"/>
      <c r="Y572" s="32"/>
      <c r="Z572" s="32"/>
    </row>
    <row r="573" ht="12.75" customHeight="1">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32"/>
      <c r="Y573" s="32"/>
      <c r="Z573" s="32"/>
    </row>
    <row r="574" ht="12.75" customHeight="1">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32"/>
      <c r="Y574" s="32"/>
      <c r="Z574" s="32"/>
    </row>
    <row r="575" ht="12.75" customHeight="1">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32"/>
      <c r="Y575" s="32"/>
      <c r="Z575" s="32"/>
    </row>
    <row r="576" ht="12.75" customHeight="1">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32"/>
      <c r="Y576" s="32"/>
      <c r="Z576" s="32"/>
    </row>
    <row r="577" ht="12.75" customHeight="1">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32"/>
      <c r="Y577" s="32"/>
      <c r="Z577" s="32"/>
    </row>
    <row r="578" ht="12.75" customHeight="1">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32"/>
      <c r="Y578" s="32"/>
      <c r="Z578" s="32"/>
    </row>
    <row r="579" ht="12.75" customHeight="1">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32"/>
      <c r="Y579" s="32"/>
      <c r="Z579" s="32"/>
    </row>
    <row r="580" ht="12.75" customHeight="1">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32"/>
      <c r="Y580" s="32"/>
      <c r="Z580" s="32"/>
    </row>
    <row r="581" ht="12.75" customHeight="1">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32"/>
      <c r="Y581" s="32"/>
      <c r="Z581" s="32"/>
    </row>
    <row r="582" ht="12.75" customHeight="1">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32"/>
      <c r="Y582" s="32"/>
      <c r="Z582" s="32"/>
    </row>
    <row r="583" ht="12.75" customHeight="1">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32"/>
      <c r="Y583" s="32"/>
      <c r="Z583" s="32"/>
    </row>
    <row r="584" ht="12.75" customHeight="1">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32"/>
      <c r="Y584" s="32"/>
      <c r="Z584" s="32"/>
    </row>
    <row r="585" ht="12.75" customHeight="1">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32"/>
      <c r="Y585" s="32"/>
      <c r="Z585" s="32"/>
    </row>
    <row r="586" ht="12.75" customHeight="1">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32"/>
      <c r="Y586" s="32"/>
      <c r="Z586" s="32"/>
    </row>
    <row r="587" ht="12.75" customHeight="1">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32"/>
      <c r="Y587" s="32"/>
      <c r="Z587" s="32"/>
    </row>
    <row r="588" ht="12.75" customHeight="1">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32"/>
      <c r="Y588" s="32"/>
      <c r="Z588" s="32"/>
    </row>
    <row r="589" ht="12.75" customHeight="1">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32"/>
      <c r="Y589" s="32"/>
      <c r="Z589" s="32"/>
    </row>
    <row r="590" ht="12.75" customHeight="1">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32"/>
      <c r="Y590" s="32"/>
      <c r="Z590" s="32"/>
    </row>
    <row r="591" ht="12.75" customHeight="1">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32"/>
      <c r="Y591" s="32"/>
      <c r="Z591" s="32"/>
    </row>
    <row r="592" ht="12.75" customHeight="1">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32"/>
      <c r="Y592" s="32"/>
      <c r="Z592" s="32"/>
    </row>
    <row r="593" ht="12.75" customHeight="1">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32"/>
      <c r="Y593" s="32"/>
      <c r="Z593" s="32"/>
    </row>
    <row r="594" ht="12.75" customHeight="1">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32"/>
      <c r="Y594" s="32"/>
      <c r="Z594" s="32"/>
    </row>
    <row r="595" ht="12.75" customHeight="1">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32"/>
      <c r="Y595" s="32"/>
      <c r="Z595" s="32"/>
    </row>
    <row r="596" ht="12.75" customHeight="1">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32"/>
      <c r="Y596" s="32"/>
      <c r="Z596" s="32"/>
    </row>
    <row r="597" ht="12.75" customHeight="1">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32"/>
      <c r="Y597" s="32"/>
      <c r="Z597" s="32"/>
    </row>
    <row r="598" ht="12.75" customHeight="1">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32"/>
      <c r="Y598" s="32"/>
      <c r="Z598" s="32"/>
    </row>
    <row r="599" ht="12.75" customHeight="1">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32"/>
      <c r="Y599" s="32"/>
      <c r="Z599" s="32"/>
    </row>
    <row r="600" ht="12.75" customHeight="1">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32"/>
      <c r="Y600" s="32"/>
      <c r="Z600" s="32"/>
    </row>
    <row r="601" ht="12.75" customHeight="1">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32"/>
      <c r="Y601" s="32"/>
      <c r="Z601" s="32"/>
    </row>
    <row r="602" ht="12.75" customHeight="1">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32"/>
      <c r="Y602" s="32"/>
      <c r="Z602" s="32"/>
    </row>
    <row r="603" ht="12.75" customHeight="1">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32"/>
      <c r="Y603" s="32"/>
      <c r="Z603" s="32"/>
    </row>
    <row r="604" ht="12.75" customHeight="1">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32"/>
      <c r="Y604" s="32"/>
      <c r="Z604" s="32"/>
    </row>
    <row r="605" ht="12.75" customHeight="1">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32"/>
      <c r="Y605" s="32"/>
      <c r="Z605" s="32"/>
    </row>
    <row r="606" ht="12.75" customHeight="1">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32"/>
      <c r="Y606" s="32"/>
      <c r="Z606" s="32"/>
    </row>
    <row r="607" ht="12.75" customHeight="1">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32"/>
      <c r="Y607" s="32"/>
      <c r="Z607" s="32"/>
    </row>
    <row r="608" ht="12.75" customHeight="1">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32"/>
      <c r="Y608" s="32"/>
      <c r="Z608" s="32"/>
    </row>
    <row r="609" ht="12.75" customHeight="1">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32"/>
      <c r="Y609" s="32"/>
      <c r="Z609" s="32"/>
    </row>
    <row r="610" ht="12.75" customHeight="1">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32"/>
      <c r="Y610" s="32"/>
      <c r="Z610" s="32"/>
    </row>
    <row r="611" ht="12.75" customHeight="1">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32"/>
      <c r="Y611" s="32"/>
      <c r="Z611" s="32"/>
    </row>
    <row r="612" ht="12.75" customHeight="1">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32"/>
      <c r="Y612" s="32"/>
      <c r="Z612" s="32"/>
    </row>
    <row r="613" ht="12.75" customHeight="1">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32"/>
      <c r="Y613" s="32"/>
      <c r="Z613" s="32"/>
    </row>
    <row r="614" ht="12.75" customHeight="1">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32"/>
      <c r="Y614" s="32"/>
      <c r="Z614" s="32"/>
    </row>
    <row r="615" ht="12.75" customHeight="1">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32"/>
      <c r="Y615" s="32"/>
      <c r="Z615" s="32"/>
    </row>
    <row r="616" ht="12.75" customHeight="1">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32"/>
      <c r="Y616" s="32"/>
      <c r="Z616" s="32"/>
    </row>
    <row r="617" ht="12.75" customHeight="1">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32"/>
      <c r="Y617" s="32"/>
      <c r="Z617" s="32"/>
    </row>
    <row r="618" ht="12.75" customHeight="1">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32"/>
      <c r="Y618" s="32"/>
      <c r="Z618" s="32"/>
    </row>
    <row r="619" ht="12.75" customHeight="1">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32"/>
      <c r="Y619" s="32"/>
      <c r="Z619" s="32"/>
    </row>
    <row r="620" ht="12.75" customHeight="1">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32"/>
      <c r="Y620" s="32"/>
      <c r="Z620" s="32"/>
    </row>
    <row r="621" ht="12.75" customHeight="1">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32"/>
      <c r="Y621" s="32"/>
      <c r="Z621" s="32"/>
    </row>
    <row r="622" ht="12.75" customHeight="1">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32"/>
      <c r="Y622" s="32"/>
      <c r="Z622" s="32"/>
    </row>
    <row r="623" ht="12.75" customHeight="1">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32"/>
      <c r="Y623" s="32"/>
      <c r="Z623" s="32"/>
    </row>
    <row r="624" ht="12.75" customHeight="1">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32"/>
      <c r="Y624" s="32"/>
      <c r="Z624" s="32"/>
    </row>
    <row r="625" ht="12.75" customHeight="1">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32"/>
      <c r="Y625" s="32"/>
      <c r="Z625" s="32"/>
    </row>
    <row r="626" ht="12.75" customHeight="1">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32"/>
      <c r="Y626" s="32"/>
      <c r="Z626" s="32"/>
    </row>
    <row r="627" ht="12.75" customHeight="1">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32"/>
      <c r="Y627" s="32"/>
      <c r="Z627" s="32"/>
    </row>
    <row r="628" ht="12.75" customHeight="1">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32"/>
      <c r="Y628" s="32"/>
      <c r="Z628" s="32"/>
    </row>
    <row r="629" ht="12.75" customHeight="1">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32"/>
      <c r="Y629" s="32"/>
      <c r="Z629" s="32"/>
    </row>
    <row r="630" ht="12.75" customHeight="1">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32"/>
      <c r="Y630" s="32"/>
      <c r="Z630" s="32"/>
    </row>
    <row r="631" ht="12.75" customHeight="1">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32"/>
      <c r="Y631" s="32"/>
      <c r="Z631" s="32"/>
    </row>
    <row r="632" ht="12.75" customHeight="1">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32"/>
      <c r="Y632" s="32"/>
      <c r="Z632" s="32"/>
    </row>
    <row r="633" ht="12.75" customHeight="1">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32"/>
      <c r="Y633" s="32"/>
      <c r="Z633" s="32"/>
    </row>
    <row r="634" ht="12.75" customHeight="1">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32"/>
      <c r="Y634" s="32"/>
      <c r="Z634" s="32"/>
    </row>
    <row r="635" ht="12.75" customHeight="1">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32"/>
      <c r="Y635" s="32"/>
      <c r="Z635" s="32"/>
    </row>
    <row r="636" ht="12.75" customHeight="1">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32"/>
      <c r="Y636" s="32"/>
      <c r="Z636" s="32"/>
    </row>
    <row r="637" ht="12.75" customHeight="1">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32"/>
      <c r="Y637" s="32"/>
      <c r="Z637" s="32"/>
    </row>
    <row r="638" ht="12.75" customHeight="1">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32"/>
      <c r="Y638" s="32"/>
      <c r="Z638" s="32"/>
    </row>
    <row r="639" ht="12.75" customHeight="1">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32"/>
      <c r="Y639" s="32"/>
      <c r="Z639" s="32"/>
    </row>
    <row r="640" ht="12.75" customHeight="1">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32"/>
      <c r="Y640" s="32"/>
      <c r="Z640" s="32"/>
    </row>
    <row r="641" ht="12.75" customHeight="1">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32"/>
      <c r="Y641" s="32"/>
      <c r="Z641" s="32"/>
    </row>
    <row r="642" ht="12.75" customHeight="1">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32"/>
      <c r="Y642" s="32"/>
      <c r="Z642" s="32"/>
    </row>
    <row r="643" ht="12.75" customHeight="1">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32"/>
      <c r="Y643" s="32"/>
      <c r="Z643" s="32"/>
    </row>
    <row r="644" ht="12.75" customHeight="1">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32"/>
      <c r="Y644" s="32"/>
      <c r="Z644" s="32"/>
    </row>
    <row r="645" ht="12.75" customHeight="1">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32"/>
      <c r="Y645" s="32"/>
      <c r="Z645" s="32"/>
    </row>
    <row r="646" ht="12.75" customHeight="1">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32"/>
      <c r="Y646" s="32"/>
      <c r="Z646" s="32"/>
    </row>
    <row r="647" ht="12.75" customHeight="1">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32"/>
      <c r="Y647" s="32"/>
      <c r="Z647" s="32"/>
    </row>
    <row r="648" ht="12.75" customHeight="1">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32"/>
      <c r="Y648" s="32"/>
      <c r="Z648" s="32"/>
    </row>
    <row r="649" ht="12.75" customHeight="1">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32"/>
      <c r="Y649" s="32"/>
      <c r="Z649" s="32"/>
    </row>
    <row r="650" ht="12.75" customHeight="1">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32"/>
      <c r="Y650" s="32"/>
      <c r="Z650" s="32"/>
    </row>
    <row r="651" ht="12.75" customHeight="1">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32"/>
      <c r="Y651" s="32"/>
      <c r="Z651" s="32"/>
    </row>
    <row r="652" ht="12.75" customHeight="1">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32"/>
      <c r="Y652" s="32"/>
      <c r="Z652" s="32"/>
    </row>
    <row r="653" ht="12.75" customHeight="1">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32"/>
      <c r="Y653" s="32"/>
      <c r="Z653" s="32"/>
    </row>
    <row r="654" ht="12.75" customHeight="1">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32"/>
      <c r="Y654" s="32"/>
      <c r="Z654" s="32"/>
    </row>
    <row r="655" ht="12.75" customHeight="1">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32"/>
      <c r="Y655" s="32"/>
      <c r="Z655" s="32"/>
    </row>
    <row r="656" ht="12.75" customHeight="1">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32"/>
      <c r="Y656" s="32"/>
      <c r="Z656" s="32"/>
    </row>
    <row r="657" ht="12.75" customHeight="1">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32"/>
      <c r="Y657" s="32"/>
      <c r="Z657" s="32"/>
    </row>
    <row r="658" ht="12.75" customHeight="1">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32"/>
      <c r="Y658" s="32"/>
      <c r="Z658" s="32"/>
    </row>
    <row r="659" ht="12.75" customHeight="1">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32"/>
      <c r="Y659" s="32"/>
      <c r="Z659" s="32"/>
    </row>
    <row r="660" ht="12.75" customHeight="1">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32"/>
      <c r="Y660" s="32"/>
      <c r="Z660" s="32"/>
    </row>
    <row r="661" ht="12.75" customHeight="1">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32"/>
      <c r="Y661" s="32"/>
      <c r="Z661" s="32"/>
    </row>
    <row r="662" ht="12.75" customHeight="1">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32"/>
      <c r="Y662" s="32"/>
      <c r="Z662" s="32"/>
    </row>
    <row r="663" ht="12.75" customHeight="1">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32"/>
      <c r="Y663" s="32"/>
      <c r="Z663" s="32"/>
    </row>
    <row r="664" ht="12.75" customHeight="1">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32"/>
      <c r="Y664" s="32"/>
      <c r="Z664" s="32"/>
    </row>
    <row r="665" ht="12.75" customHeight="1">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32"/>
      <c r="Y665" s="32"/>
      <c r="Z665" s="32"/>
    </row>
    <row r="666" ht="12.75" customHeight="1">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32"/>
      <c r="Y666" s="32"/>
      <c r="Z666" s="32"/>
    </row>
    <row r="667" ht="12.75" customHeight="1">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32"/>
      <c r="Y667" s="32"/>
      <c r="Z667" s="32"/>
    </row>
    <row r="668" ht="12.75" customHeight="1">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32"/>
      <c r="Y668" s="32"/>
      <c r="Z668" s="32"/>
    </row>
    <row r="669" ht="12.75" customHeight="1">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32"/>
      <c r="Y669" s="32"/>
      <c r="Z669" s="32"/>
    </row>
    <row r="670" ht="12.75" customHeight="1">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32"/>
      <c r="Y670" s="32"/>
      <c r="Z670" s="32"/>
    </row>
    <row r="671" ht="12.75" customHeight="1">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32"/>
      <c r="Y671" s="32"/>
      <c r="Z671" s="32"/>
    </row>
    <row r="672" ht="12.75" customHeight="1">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32"/>
      <c r="Y672" s="32"/>
      <c r="Z672" s="32"/>
    </row>
    <row r="673" ht="12.75" customHeight="1">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32"/>
      <c r="Y673" s="32"/>
      <c r="Z673" s="32"/>
    </row>
    <row r="674" ht="12.75" customHeight="1">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32"/>
      <c r="Y674" s="32"/>
      <c r="Z674" s="32"/>
    </row>
    <row r="675" ht="12.75" customHeight="1">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32"/>
      <c r="Y675" s="32"/>
      <c r="Z675" s="32"/>
    </row>
    <row r="676" ht="12.75" customHeight="1">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32"/>
      <c r="Y676" s="32"/>
      <c r="Z676" s="32"/>
    </row>
    <row r="677" ht="12.75" customHeight="1">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32"/>
      <c r="Y677" s="32"/>
      <c r="Z677" s="32"/>
    </row>
    <row r="678" ht="12.75" customHeight="1">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32"/>
      <c r="Y678" s="32"/>
      <c r="Z678" s="32"/>
    </row>
    <row r="679" ht="12.75" customHeight="1">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32"/>
      <c r="Y679" s="32"/>
      <c r="Z679" s="32"/>
    </row>
    <row r="680" ht="12.75" customHeight="1">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32"/>
      <c r="Y680" s="32"/>
      <c r="Z680" s="32"/>
    </row>
    <row r="681" ht="12.75" customHeight="1">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32"/>
      <c r="Y681" s="32"/>
      <c r="Z681" s="32"/>
    </row>
    <row r="682" ht="12.75" customHeight="1">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32"/>
      <c r="Y682" s="32"/>
      <c r="Z682" s="32"/>
    </row>
    <row r="683" ht="12.75" customHeight="1">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32"/>
      <c r="Y683" s="32"/>
      <c r="Z683" s="32"/>
    </row>
    <row r="684" ht="12.75" customHeight="1">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32"/>
      <c r="Y684" s="32"/>
      <c r="Z684" s="32"/>
    </row>
    <row r="685" ht="12.75" customHeight="1">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32"/>
      <c r="Y685" s="32"/>
      <c r="Z685" s="32"/>
    </row>
    <row r="686" ht="12.75" customHeight="1">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32"/>
      <c r="Y686" s="32"/>
      <c r="Z686" s="32"/>
    </row>
    <row r="687" ht="12.75" customHeight="1">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32"/>
      <c r="Y687" s="32"/>
      <c r="Z687" s="32"/>
    </row>
    <row r="688" ht="12.75" customHeight="1">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32"/>
      <c r="Y688" s="32"/>
      <c r="Z688" s="32"/>
    </row>
    <row r="689" ht="12.75" customHeight="1">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32"/>
      <c r="Y689" s="32"/>
      <c r="Z689" s="32"/>
    </row>
    <row r="690" ht="12.75" customHeight="1">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32"/>
      <c r="Y690" s="32"/>
      <c r="Z690" s="32"/>
    </row>
    <row r="691" ht="12.75" customHeight="1">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32"/>
      <c r="Y691" s="32"/>
      <c r="Z691" s="32"/>
    </row>
    <row r="692" ht="12.75" customHeight="1">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32"/>
      <c r="Y692" s="32"/>
      <c r="Z692" s="32"/>
    </row>
    <row r="693" ht="12.75" customHeight="1">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32"/>
      <c r="Y693" s="32"/>
      <c r="Z693" s="32"/>
    </row>
    <row r="694" ht="12.75" customHeight="1">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32"/>
      <c r="Y694" s="32"/>
      <c r="Z694" s="32"/>
    </row>
    <row r="695" ht="12.75" customHeight="1">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32"/>
      <c r="Y695" s="32"/>
      <c r="Z695" s="32"/>
    </row>
    <row r="696" ht="12.75" customHeight="1">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32"/>
      <c r="Y696" s="32"/>
      <c r="Z696" s="32"/>
    </row>
    <row r="697" ht="12.75" customHeight="1">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32"/>
      <c r="Y697" s="32"/>
      <c r="Z697" s="32"/>
    </row>
    <row r="698" ht="12.75" customHeight="1">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32"/>
      <c r="Y698" s="32"/>
      <c r="Z698" s="32"/>
    </row>
    <row r="699" ht="12.75" customHeight="1">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32"/>
      <c r="Y699" s="32"/>
      <c r="Z699" s="32"/>
    </row>
    <row r="700" ht="12.75" customHeight="1">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32"/>
      <c r="Y700" s="32"/>
      <c r="Z700" s="32"/>
    </row>
    <row r="701" ht="12.75" customHeight="1">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32"/>
      <c r="Y701" s="32"/>
      <c r="Z701" s="32"/>
    </row>
    <row r="702" ht="12.75" customHeight="1">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32"/>
      <c r="Y702" s="32"/>
      <c r="Z702" s="32"/>
    </row>
    <row r="703" ht="12.75" customHeight="1">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32"/>
      <c r="Y703" s="32"/>
      <c r="Z703" s="32"/>
    </row>
    <row r="704" ht="12.75" customHeight="1">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32"/>
      <c r="Y704" s="32"/>
      <c r="Z704" s="32"/>
    </row>
    <row r="705" ht="12.75" customHeight="1">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32"/>
      <c r="Y705" s="32"/>
      <c r="Z705" s="32"/>
    </row>
    <row r="706" ht="12.75" customHeight="1">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32"/>
      <c r="Y706" s="32"/>
      <c r="Z706" s="32"/>
    </row>
    <row r="707" ht="12.75" customHeight="1">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32"/>
      <c r="Y707" s="32"/>
      <c r="Z707" s="32"/>
    </row>
    <row r="708" ht="12.75" customHeight="1">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32"/>
      <c r="Y708" s="32"/>
      <c r="Z708" s="32"/>
    </row>
    <row r="709" ht="12.75" customHeight="1">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32"/>
      <c r="Y709" s="32"/>
      <c r="Z709" s="32"/>
    </row>
    <row r="710" ht="12.75" customHeight="1">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32"/>
      <c r="Y710" s="32"/>
      <c r="Z710" s="32"/>
    </row>
    <row r="711" ht="12.75" customHeight="1">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32"/>
      <c r="Y711" s="32"/>
      <c r="Z711" s="32"/>
    </row>
    <row r="712" ht="12.75" customHeight="1">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32"/>
      <c r="Y712" s="32"/>
      <c r="Z712" s="32"/>
    </row>
    <row r="713" ht="12.75" customHeight="1">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32"/>
      <c r="Y713" s="32"/>
      <c r="Z713" s="32"/>
    </row>
    <row r="714" ht="12.75" customHeight="1">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32"/>
      <c r="Y714" s="32"/>
      <c r="Z714" s="32"/>
    </row>
    <row r="715" ht="12.75" customHeight="1">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32"/>
      <c r="Y715" s="32"/>
      <c r="Z715" s="32"/>
    </row>
    <row r="716" ht="12.75" customHeight="1">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32"/>
      <c r="Y716" s="32"/>
      <c r="Z716" s="32"/>
    </row>
    <row r="717" ht="12.75" customHeight="1">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32"/>
      <c r="Y717" s="32"/>
      <c r="Z717" s="32"/>
    </row>
    <row r="718" ht="12.75" customHeight="1">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32"/>
      <c r="Y718" s="32"/>
      <c r="Z718" s="32"/>
    </row>
    <row r="719" ht="12.75" customHeight="1">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32"/>
      <c r="Y719" s="32"/>
      <c r="Z719" s="32"/>
    </row>
    <row r="720" ht="12.75" customHeight="1">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32"/>
      <c r="Y720" s="32"/>
      <c r="Z720" s="32"/>
    </row>
    <row r="721" ht="12.75" customHeight="1">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32"/>
      <c r="Y721" s="32"/>
      <c r="Z721" s="32"/>
    </row>
    <row r="722" ht="12.75" customHeight="1">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32"/>
      <c r="Y722" s="32"/>
      <c r="Z722" s="32"/>
    </row>
    <row r="723" ht="12.75" customHeight="1">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32"/>
      <c r="Y723" s="32"/>
      <c r="Z723" s="32"/>
    </row>
    <row r="724" ht="12.75" customHeight="1">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32"/>
      <c r="Y724" s="32"/>
      <c r="Z724" s="32"/>
    </row>
    <row r="725" ht="12.75" customHeight="1">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32"/>
      <c r="Y725" s="32"/>
      <c r="Z725" s="32"/>
    </row>
    <row r="726" ht="12.75" customHeight="1">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32"/>
      <c r="Y726" s="32"/>
      <c r="Z726" s="32"/>
    </row>
    <row r="727" ht="12.75" customHeight="1">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32"/>
      <c r="Y727" s="32"/>
      <c r="Z727" s="32"/>
    </row>
    <row r="728" ht="12.75" customHeight="1">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32"/>
      <c r="Y728" s="32"/>
      <c r="Z728" s="32"/>
    </row>
    <row r="729" ht="12.75" customHeight="1">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32"/>
      <c r="Y729" s="32"/>
      <c r="Z729" s="32"/>
    </row>
    <row r="730" ht="12.75" customHeight="1">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32"/>
      <c r="Y730" s="32"/>
      <c r="Z730" s="32"/>
    </row>
    <row r="731" ht="12.75" customHeight="1">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32"/>
      <c r="Y731" s="32"/>
      <c r="Z731" s="32"/>
    </row>
    <row r="732" ht="12.75" customHeight="1">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32"/>
      <c r="Y732" s="32"/>
      <c r="Z732" s="32"/>
    </row>
    <row r="733" ht="12.75" customHeight="1">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32"/>
      <c r="Y733" s="32"/>
      <c r="Z733" s="32"/>
    </row>
    <row r="734" ht="12.75" customHeight="1">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32"/>
      <c r="Y734" s="32"/>
      <c r="Z734" s="32"/>
    </row>
    <row r="735" ht="12.75" customHeight="1">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32"/>
      <c r="Y735" s="32"/>
      <c r="Z735" s="32"/>
    </row>
    <row r="736" ht="12.75" customHeight="1">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32"/>
      <c r="Y736" s="32"/>
      <c r="Z736" s="32"/>
    </row>
    <row r="737" ht="12.75" customHeight="1">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32"/>
      <c r="Y737" s="32"/>
      <c r="Z737" s="32"/>
    </row>
    <row r="738" ht="12.75" customHeight="1">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32"/>
      <c r="Y738" s="32"/>
      <c r="Z738" s="32"/>
    </row>
    <row r="739" ht="12.75" customHeight="1">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32"/>
      <c r="Y739" s="32"/>
      <c r="Z739" s="32"/>
    </row>
    <row r="740" ht="12.75" customHeight="1">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32"/>
      <c r="Y740" s="32"/>
      <c r="Z740" s="32"/>
    </row>
    <row r="741" ht="12.75" customHeight="1">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32"/>
      <c r="Y741" s="32"/>
      <c r="Z741" s="32"/>
    </row>
    <row r="742" ht="12.75" customHeight="1">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32"/>
      <c r="Y742" s="32"/>
      <c r="Z742" s="32"/>
    </row>
    <row r="743" ht="12.75" customHeight="1">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32"/>
      <c r="Y743" s="32"/>
      <c r="Z743" s="32"/>
    </row>
    <row r="744" ht="12.75" customHeight="1">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32"/>
      <c r="Y744" s="32"/>
      <c r="Z744" s="32"/>
    </row>
    <row r="745" ht="12.75" customHeight="1">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32"/>
      <c r="Y745" s="32"/>
      <c r="Z745" s="32"/>
    </row>
    <row r="746" ht="12.75" customHeight="1">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32"/>
      <c r="Y746" s="32"/>
      <c r="Z746" s="32"/>
    </row>
    <row r="747" ht="12.75" customHeight="1">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32"/>
      <c r="Y747" s="32"/>
      <c r="Z747" s="32"/>
    </row>
    <row r="748" ht="12.75" customHeight="1">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32"/>
      <c r="Y748" s="32"/>
      <c r="Z748" s="32"/>
    </row>
    <row r="749" ht="12.75" customHeight="1">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32"/>
      <c r="Y749" s="32"/>
      <c r="Z749" s="32"/>
    </row>
    <row r="750" ht="12.75" customHeight="1">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32"/>
      <c r="Y750" s="32"/>
      <c r="Z750" s="32"/>
    </row>
    <row r="751" ht="12.75" customHeight="1">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32"/>
      <c r="Y751" s="32"/>
      <c r="Z751" s="32"/>
    </row>
    <row r="752" ht="12.75" customHeight="1">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32"/>
      <c r="Y752" s="32"/>
      <c r="Z752" s="32"/>
    </row>
    <row r="753" ht="12.75" customHeight="1">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32"/>
      <c r="Y753" s="32"/>
      <c r="Z753" s="32"/>
    </row>
    <row r="754" ht="12.75" customHeight="1">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32"/>
      <c r="Y754" s="32"/>
      <c r="Z754" s="32"/>
    </row>
    <row r="755" ht="12.75" customHeight="1">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32"/>
      <c r="Y755" s="32"/>
      <c r="Z755" s="32"/>
    </row>
    <row r="756" ht="12.75" customHeight="1">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32"/>
      <c r="Y756" s="32"/>
      <c r="Z756" s="32"/>
    </row>
    <row r="757" ht="12.75" customHeight="1">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32"/>
      <c r="Y757" s="32"/>
      <c r="Z757" s="32"/>
    </row>
    <row r="758" ht="12.75" customHeight="1">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32"/>
      <c r="Y758" s="32"/>
      <c r="Z758" s="32"/>
    </row>
    <row r="759" ht="12.75" customHeight="1">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32"/>
      <c r="Y759" s="32"/>
      <c r="Z759" s="32"/>
    </row>
    <row r="760" ht="12.75" customHeight="1">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32"/>
      <c r="Y760" s="32"/>
      <c r="Z760" s="32"/>
    </row>
    <row r="761" ht="12.75" customHeight="1">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32"/>
      <c r="Y761" s="32"/>
      <c r="Z761" s="32"/>
    </row>
    <row r="762" ht="12.75" customHeight="1">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32"/>
      <c r="Y762" s="32"/>
      <c r="Z762" s="32"/>
    </row>
    <row r="763" ht="12.75" customHeight="1">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32"/>
      <c r="Y763" s="32"/>
      <c r="Z763" s="32"/>
    </row>
    <row r="764" ht="12.75" customHeight="1">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32"/>
      <c r="Y764" s="32"/>
      <c r="Z764" s="32"/>
    </row>
    <row r="765" ht="12.75" customHeight="1">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32"/>
      <c r="Y765" s="32"/>
      <c r="Z765" s="32"/>
    </row>
    <row r="766" ht="12.75" customHeight="1">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32"/>
      <c r="Y766" s="32"/>
      <c r="Z766" s="32"/>
    </row>
    <row r="767" ht="12.75" customHeight="1">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32"/>
      <c r="Y767" s="32"/>
      <c r="Z767" s="32"/>
    </row>
    <row r="768" ht="12.75" customHeight="1">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32"/>
      <c r="Y768" s="32"/>
      <c r="Z768" s="32"/>
    </row>
    <row r="769" ht="12.75" customHeight="1">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32"/>
      <c r="Y769" s="32"/>
      <c r="Z769" s="32"/>
    </row>
    <row r="770" ht="12.75" customHeight="1">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32"/>
      <c r="Y770" s="32"/>
      <c r="Z770" s="32"/>
    </row>
    <row r="771" ht="12.75" customHeight="1">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32"/>
      <c r="Y771" s="32"/>
      <c r="Z771" s="32"/>
    </row>
    <row r="772" ht="12.75" customHeight="1">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32"/>
      <c r="Y772" s="32"/>
      <c r="Z772" s="32"/>
    </row>
    <row r="773" ht="12.75" customHeight="1">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32"/>
      <c r="Y773" s="32"/>
      <c r="Z773" s="32"/>
    </row>
    <row r="774" ht="12.75" customHeight="1">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32"/>
      <c r="Y774" s="32"/>
      <c r="Z774" s="32"/>
    </row>
    <row r="775" ht="12.75" customHeight="1">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32"/>
      <c r="Y775" s="32"/>
      <c r="Z775" s="32"/>
    </row>
    <row r="776" ht="12.75" customHeight="1">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32"/>
      <c r="Y776" s="32"/>
      <c r="Z776" s="32"/>
    </row>
    <row r="777" ht="12.75" customHeight="1">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32"/>
      <c r="Y777" s="32"/>
      <c r="Z777" s="32"/>
    </row>
    <row r="778" ht="12.75" customHeight="1">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32"/>
      <c r="Y778" s="32"/>
      <c r="Z778" s="32"/>
    </row>
    <row r="779" ht="12.75" customHeight="1">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32"/>
      <c r="Y779" s="32"/>
      <c r="Z779" s="32"/>
    </row>
    <row r="780" ht="12.75" customHeight="1">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32"/>
      <c r="Y780" s="32"/>
      <c r="Z780" s="32"/>
    </row>
    <row r="781" ht="12.75" customHeight="1">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32"/>
      <c r="Y781" s="32"/>
      <c r="Z781" s="32"/>
    </row>
    <row r="782" ht="12.75" customHeight="1">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32"/>
      <c r="Y782" s="32"/>
      <c r="Z782" s="32"/>
    </row>
    <row r="783" ht="12.75" customHeight="1">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32"/>
      <c r="Y783" s="32"/>
      <c r="Z783" s="32"/>
    </row>
    <row r="784" ht="12.75" customHeight="1">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32"/>
      <c r="Y784" s="32"/>
      <c r="Z784" s="32"/>
    </row>
    <row r="785" ht="12.75" customHeight="1">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32"/>
      <c r="Y785" s="32"/>
      <c r="Z785" s="32"/>
    </row>
    <row r="786" ht="12.75" customHeight="1">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32"/>
      <c r="Y786" s="32"/>
      <c r="Z786" s="32"/>
    </row>
    <row r="787" ht="12.75" customHeight="1">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32"/>
      <c r="Y787" s="32"/>
      <c r="Z787" s="32"/>
    </row>
    <row r="788" ht="12.75" customHeight="1">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32"/>
      <c r="Y788" s="32"/>
      <c r="Z788" s="32"/>
    </row>
    <row r="789" ht="12.75" customHeight="1">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32"/>
      <c r="Y789" s="32"/>
      <c r="Z789" s="32"/>
    </row>
    <row r="790" ht="12.75" customHeight="1">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32"/>
      <c r="Y790" s="32"/>
      <c r="Z790" s="32"/>
    </row>
    <row r="791" ht="12.75" customHeight="1">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32"/>
      <c r="Y791" s="32"/>
      <c r="Z791" s="32"/>
    </row>
    <row r="792" ht="12.75" customHeight="1">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32"/>
      <c r="Y792" s="32"/>
      <c r="Z792" s="32"/>
    </row>
    <row r="793" ht="12.75" customHeight="1">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32"/>
      <c r="Y793" s="32"/>
      <c r="Z793" s="32"/>
    </row>
    <row r="794" ht="12.75" customHeight="1">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32"/>
      <c r="Y794" s="32"/>
      <c r="Z794" s="32"/>
    </row>
    <row r="795" ht="12.75" customHeight="1">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32"/>
      <c r="Y795" s="32"/>
      <c r="Z795" s="32"/>
    </row>
    <row r="796" ht="12.75" customHeight="1">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32"/>
      <c r="Y796" s="32"/>
      <c r="Z796" s="32"/>
    </row>
    <row r="797" ht="12.75" customHeight="1">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32"/>
      <c r="Y797" s="32"/>
      <c r="Z797" s="32"/>
    </row>
    <row r="798" ht="12.75" customHeight="1">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32"/>
      <c r="Y798" s="32"/>
      <c r="Z798" s="32"/>
    </row>
    <row r="799" ht="12.75" customHeight="1">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32"/>
      <c r="Y799" s="32"/>
      <c r="Z799" s="32"/>
    </row>
    <row r="800" ht="12.75" customHeight="1">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32"/>
      <c r="Y800" s="32"/>
      <c r="Z800" s="32"/>
    </row>
    <row r="801" ht="12.75" customHeight="1">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32"/>
      <c r="Y801" s="32"/>
      <c r="Z801" s="32"/>
    </row>
    <row r="802" ht="12.75" customHeight="1">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32"/>
      <c r="Y802" s="32"/>
      <c r="Z802" s="32"/>
    </row>
    <row r="803" ht="12.75" customHeight="1">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32"/>
      <c r="Y803" s="32"/>
      <c r="Z803" s="32"/>
    </row>
    <row r="804" ht="12.75" customHeight="1">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32"/>
      <c r="Y804" s="32"/>
      <c r="Z804" s="32"/>
    </row>
    <row r="805" ht="12.75" customHeight="1">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32"/>
      <c r="Y805" s="32"/>
      <c r="Z805" s="32"/>
    </row>
    <row r="806" ht="12.75" customHeight="1">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32"/>
      <c r="Y806" s="32"/>
      <c r="Z806" s="32"/>
    </row>
    <row r="807" ht="12.75" customHeight="1">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32"/>
      <c r="Y807" s="32"/>
      <c r="Z807" s="32"/>
    </row>
    <row r="808" ht="12.75" customHeight="1">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32"/>
      <c r="Y808" s="32"/>
      <c r="Z808" s="32"/>
    </row>
    <row r="809" ht="12.75" customHeight="1">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32"/>
      <c r="Y809" s="32"/>
      <c r="Z809" s="32"/>
    </row>
    <row r="810" ht="12.75" customHeight="1">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32"/>
      <c r="Y810" s="32"/>
      <c r="Z810" s="32"/>
    </row>
    <row r="811" ht="12.75" customHeight="1">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32"/>
      <c r="Y811" s="32"/>
      <c r="Z811" s="32"/>
    </row>
    <row r="812" ht="12.75" customHeight="1">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32"/>
      <c r="Y812" s="32"/>
      <c r="Z812" s="32"/>
    </row>
    <row r="813" ht="12.75" customHeight="1">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32"/>
      <c r="Y813" s="32"/>
      <c r="Z813" s="32"/>
    </row>
    <row r="814" ht="12.75" customHeight="1">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32"/>
      <c r="Y814" s="32"/>
      <c r="Z814" s="32"/>
    </row>
    <row r="815" ht="12.75" customHeight="1">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32"/>
      <c r="Y815" s="32"/>
      <c r="Z815" s="32"/>
    </row>
    <row r="816" ht="12.75" customHeight="1">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32"/>
      <c r="Y816" s="32"/>
      <c r="Z816" s="32"/>
    </row>
    <row r="817" ht="12.75" customHeight="1">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32"/>
      <c r="Y817" s="32"/>
      <c r="Z817" s="32"/>
    </row>
    <row r="818" ht="12.75" customHeight="1">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32"/>
      <c r="Y818" s="32"/>
      <c r="Z818" s="32"/>
    </row>
    <row r="819" ht="12.75" customHeight="1">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32"/>
      <c r="Y819" s="32"/>
      <c r="Z819" s="32"/>
    </row>
    <row r="820" ht="12.75" customHeight="1">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32"/>
      <c r="Y820" s="32"/>
      <c r="Z820" s="32"/>
    </row>
    <row r="821" ht="12.75" customHeight="1">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32"/>
      <c r="Y821" s="32"/>
      <c r="Z821" s="32"/>
    </row>
    <row r="822" ht="12.75" customHeight="1">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32"/>
      <c r="Y822" s="32"/>
      <c r="Z822" s="32"/>
    </row>
    <row r="823" ht="12.75" customHeight="1">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32"/>
      <c r="Y823" s="32"/>
      <c r="Z823" s="32"/>
    </row>
    <row r="824" ht="12.75" customHeight="1">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32"/>
      <c r="Y824" s="32"/>
      <c r="Z824" s="32"/>
    </row>
    <row r="825" ht="12.75" customHeight="1">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32"/>
      <c r="Y825" s="32"/>
      <c r="Z825" s="32"/>
    </row>
    <row r="826" ht="12.75" customHeight="1">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32"/>
      <c r="Y826" s="32"/>
      <c r="Z826" s="32"/>
    </row>
    <row r="827" ht="12.75" customHeight="1">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32"/>
      <c r="Y827" s="32"/>
      <c r="Z827" s="32"/>
    </row>
    <row r="828" ht="12.75" customHeight="1">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32"/>
      <c r="Y828" s="32"/>
      <c r="Z828" s="32"/>
    </row>
    <row r="829" ht="12.75" customHeight="1">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32"/>
      <c r="Y829" s="32"/>
      <c r="Z829" s="32"/>
    </row>
    <row r="830" ht="12.75" customHeight="1">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32"/>
      <c r="Y830" s="32"/>
      <c r="Z830" s="32"/>
    </row>
    <row r="831" ht="12.75" customHeight="1">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32"/>
      <c r="Y831" s="32"/>
      <c r="Z831" s="32"/>
    </row>
    <row r="832" ht="12.75" customHeight="1">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32"/>
      <c r="Y832" s="32"/>
      <c r="Z832" s="32"/>
    </row>
    <row r="833" ht="12.75" customHeight="1">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32"/>
      <c r="Y833" s="32"/>
      <c r="Z833" s="32"/>
    </row>
    <row r="834" ht="12.75" customHeight="1">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32"/>
      <c r="Y834" s="32"/>
      <c r="Z834" s="32"/>
    </row>
    <row r="835" ht="12.75" customHeight="1">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32"/>
      <c r="Y835" s="32"/>
      <c r="Z835" s="32"/>
    </row>
    <row r="836" ht="12.75" customHeight="1">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32"/>
      <c r="Y836" s="32"/>
      <c r="Z836" s="32"/>
    </row>
    <row r="837" ht="12.75" customHeight="1">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32"/>
      <c r="Y837" s="32"/>
      <c r="Z837" s="32"/>
    </row>
    <row r="838" ht="12.75" customHeight="1">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32"/>
      <c r="Y838" s="32"/>
      <c r="Z838" s="32"/>
    </row>
    <row r="839" ht="12.75" customHeight="1">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32"/>
      <c r="Y839" s="32"/>
      <c r="Z839" s="32"/>
    </row>
    <row r="840" ht="12.75" customHeight="1">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32"/>
      <c r="Y840" s="32"/>
      <c r="Z840" s="32"/>
    </row>
    <row r="841" ht="12.75" customHeight="1">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32"/>
      <c r="Y841" s="32"/>
      <c r="Z841" s="32"/>
    </row>
    <row r="842" ht="12.75" customHeight="1">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32"/>
      <c r="Y842" s="32"/>
      <c r="Z842" s="32"/>
    </row>
    <row r="843" ht="12.75" customHeight="1">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32"/>
      <c r="Y843" s="32"/>
      <c r="Z843" s="32"/>
    </row>
    <row r="844" ht="12.75" customHeight="1">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32"/>
      <c r="Y844" s="32"/>
      <c r="Z844" s="32"/>
    </row>
    <row r="845" ht="12.75" customHeight="1">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32"/>
      <c r="Y845" s="32"/>
      <c r="Z845" s="32"/>
    </row>
    <row r="846" ht="12.75" customHeight="1">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32"/>
      <c r="Y846" s="32"/>
      <c r="Z846" s="32"/>
    </row>
    <row r="847" ht="12.75" customHeight="1">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32"/>
      <c r="Y847" s="32"/>
      <c r="Z847" s="32"/>
    </row>
    <row r="848" ht="12.75" customHeight="1">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32"/>
      <c r="Y848" s="32"/>
      <c r="Z848" s="32"/>
    </row>
    <row r="849" ht="12.75" customHeight="1">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32"/>
      <c r="Y849" s="32"/>
      <c r="Z849" s="32"/>
    </row>
    <row r="850" ht="12.75" customHeight="1">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32"/>
      <c r="Y850" s="32"/>
      <c r="Z850" s="32"/>
    </row>
    <row r="851" ht="12.75" customHeight="1">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32"/>
      <c r="Y851" s="32"/>
      <c r="Z851" s="32"/>
    </row>
    <row r="852" ht="12.75" customHeight="1">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32"/>
      <c r="Y852" s="32"/>
      <c r="Z852" s="32"/>
    </row>
    <row r="853" ht="12.75" customHeight="1">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32"/>
      <c r="Y853" s="32"/>
      <c r="Z853" s="32"/>
    </row>
    <row r="854" ht="12.75" customHeight="1">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32"/>
      <c r="Y854" s="32"/>
      <c r="Z854" s="32"/>
    </row>
    <row r="855" ht="12.75" customHeight="1">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32"/>
      <c r="Y855" s="32"/>
      <c r="Z855" s="32"/>
    </row>
    <row r="856" ht="12.75" customHeight="1">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32"/>
      <c r="Y856" s="32"/>
      <c r="Z856" s="32"/>
    </row>
    <row r="857" ht="12.75" customHeight="1">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32"/>
      <c r="Y857" s="32"/>
      <c r="Z857" s="32"/>
    </row>
    <row r="858" ht="12.75" customHeight="1">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32"/>
      <c r="Y858" s="32"/>
      <c r="Z858" s="32"/>
    </row>
    <row r="859" ht="12.75" customHeight="1">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32"/>
      <c r="Y859" s="32"/>
      <c r="Z859" s="32"/>
    </row>
    <row r="860" ht="12.75" customHeight="1">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32"/>
      <c r="Y860" s="32"/>
      <c r="Z860" s="32"/>
    </row>
    <row r="861" ht="12.75" customHeight="1">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32"/>
      <c r="Y861" s="32"/>
      <c r="Z861" s="32"/>
    </row>
    <row r="862" ht="12.75" customHeight="1">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32"/>
      <c r="Y862" s="32"/>
      <c r="Z862" s="32"/>
    </row>
    <row r="863" ht="12.75" customHeight="1">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32"/>
      <c r="Y863" s="32"/>
      <c r="Z863" s="32"/>
    </row>
    <row r="864" ht="12.75" customHeight="1">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32"/>
      <c r="Y864" s="32"/>
      <c r="Z864" s="32"/>
    </row>
    <row r="865" ht="12.75" customHeight="1">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32"/>
      <c r="Y865" s="32"/>
      <c r="Z865" s="32"/>
    </row>
    <row r="866" ht="12.75" customHeight="1">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32"/>
      <c r="Y866" s="32"/>
      <c r="Z866" s="32"/>
    </row>
    <row r="867" ht="12.75" customHeight="1">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32"/>
      <c r="Y867" s="32"/>
      <c r="Z867" s="32"/>
    </row>
    <row r="868" ht="12.75" customHeight="1">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32"/>
      <c r="Y868" s="32"/>
      <c r="Z868" s="32"/>
    </row>
    <row r="869" ht="12.75" customHeight="1">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32"/>
      <c r="Y869" s="32"/>
      <c r="Z869" s="32"/>
    </row>
    <row r="870" ht="12.75" customHeight="1">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32"/>
      <c r="Y870" s="32"/>
      <c r="Z870" s="32"/>
    </row>
    <row r="871" ht="12.75" customHeight="1">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32"/>
      <c r="Y871" s="32"/>
      <c r="Z871" s="32"/>
    </row>
    <row r="872" ht="12.75" customHeight="1">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32"/>
      <c r="Y872" s="32"/>
      <c r="Z872" s="32"/>
    </row>
    <row r="873" ht="12.75" customHeight="1">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32"/>
      <c r="Y873" s="32"/>
      <c r="Z873" s="32"/>
    </row>
    <row r="874" ht="12.75" customHeight="1">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32"/>
      <c r="Y874" s="32"/>
      <c r="Z874" s="32"/>
    </row>
    <row r="875" ht="12.75" customHeight="1">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32"/>
      <c r="Y875" s="32"/>
      <c r="Z875" s="32"/>
    </row>
    <row r="876" ht="12.75" customHeight="1">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32"/>
      <c r="Y876" s="32"/>
      <c r="Z876" s="32"/>
    </row>
    <row r="877" ht="12.75" customHeight="1">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32"/>
      <c r="Y877" s="32"/>
      <c r="Z877" s="32"/>
    </row>
    <row r="878" ht="12.75" customHeight="1">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32"/>
      <c r="Y878" s="32"/>
      <c r="Z878" s="32"/>
    </row>
    <row r="879" ht="12.75" customHeight="1">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32"/>
      <c r="Y879" s="32"/>
      <c r="Z879" s="32"/>
    </row>
    <row r="880" ht="12.75" customHeight="1">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32"/>
      <c r="Y880" s="32"/>
      <c r="Z880" s="32"/>
    </row>
    <row r="881" ht="12.75" customHeight="1">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32"/>
      <c r="Y881" s="32"/>
      <c r="Z881" s="32"/>
    </row>
    <row r="882" ht="12.75" customHeight="1">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32"/>
      <c r="Y882" s="32"/>
      <c r="Z882" s="32"/>
    </row>
    <row r="883" ht="12.75" customHeight="1">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32"/>
      <c r="Y883" s="32"/>
      <c r="Z883" s="32"/>
    </row>
    <row r="884" ht="12.75" customHeight="1">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32"/>
      <c r="Y884" s="32"/>
      <c r="Z884" s="32"/>
    </row>
    <row r="885" ht="12.75" customHeight="1">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32"/>
      <c r="Y885" s="32"/>
      <c r="Z885" s="32"/>
    </row>
    <row r="886" ht="12.75" customHeight="1">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32"/>
      <c r="Y886" s="32"/>
      <c r="Z886" s="32"/>
    </row>
    <row r="887" ht="12.75" customHeight="1">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32"/>
      <c r="Y887" s="32"/>
      <c r="Z887" s="32"/>
    </row>
    <row r="888" ht="12.75" customHeight="1">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32"/>
      <c r="Y888" s="32"/>
      <c r="Z888" s="32"/>
    </row>
    <row r="889" ht="12.75" customHeight="1">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32"/>
      <c r="Y889" s="32"/>
      <c r="Z889" s="32"/>
    </row>
    <row r="890" ht="12.75" customHeight="1">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32"/>
      <c r="Y890" s="32"/>
      <c r="Z890" s="32"/>
    </row>
    <row r="891" ht="12.75" customHeight="1">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32"/>
      <c r="Y891" s="32"/>
      <c r="Z891" s="32"/>
    </row>
    <row r="892" ht="12.75" customHeight="1">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32"/>
      <c r="Y892" s="32"/>
      <c r="Z892" s="32"/>
    </row>
    <row r="893" ht="12.75" customHeight="1">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32"/>
      <c r="Y893" s="32"/>
      <c r="Z893" s="32"/>
    </row>
    <row r="894" ht="12.75" customHeight="1">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32"/>
      <c r="Y894" s="32"/>
      <c r="Z894" s="32"/>
    </row>
    <row r="895" ht="12.75" customHeight="1">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32"/>
      <c r="Y895" s="32"/>
      <c r="Z895" s="32"/>
    </row>
    <row r="896" ht="12.75" customHeight="1">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32"/>
      <c r="Y896" s="32"/>
      <c r="Z896" s="32"/>
    </row>
    <row r="897" ht="12.75" customHeight="1">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32"/>
      <c r="Y897" s="32"/>
      <c r="Z897" s="32"/>
    </row>
    <row r="898" ht="12.75" customHeight="1">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32"/>
      <c r="Y898" s="32"/>
      <c r="Z898" s="32"/>
    </row>
    <row r="899" ht="12.75" customHeight="1">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32"/>
      <c r="Y899" s="32"/>
      <c r="Z899" s="32"/>
    </row>
    <row r="900" ht="12.75" customHeight="1">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32"/>
      <c r="Y900" s="32"/>
      <c r="Z900" s="32"/>
    </row>
    <row r="901" ht="12.75" customHeight="1">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32"/>
      <c r="Y901" s="32"/>
      <c r="Z901" s="32"/>
    </row>
    <row r="902" ht="12.75" customHeight="1">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32"/>
      <c r="Y902" s="32"/>
      <c r="Z902" s="32"/>
    </row>
    <row r="903" ht="12.75" customHeight="1">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32"/>
      <c r="Y903" s="32"/>
      <c r="Z903" s="32"/>
    </row>
    <row r="904" ht="12.75" customHeight="1">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32"/>
      <c r="Y904" s="32"/>
      <c r="Z904" s="32"/>
    </row>
    <row r="905" ht="12.75" customHeight="1">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32"/>
      <c r="Y905" s="32"/>
      <c r="Z905" s="32"/>
    </row>
    <row r="906" ht="12.75" customHeight="1">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32"/>
      <c r="Y906" s="32"/>
      <c r="Z906" s="32"/>
    </row>
    <row r="907" ht="12.75" customHeight="1">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32"/>
      <c r="Y907" s="32"/>
      <c r="Z907" s="32"/>
    </row>
    <row r="908" ht="12.75" customHeight="1">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32"/>
      <c r="Y908" s="32"/>
      <c r="Z908" s="32"/>
    </row>
    <row r="909" ht="12.75" customHeight="1">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32"/>
      <c r="Y909" s="32"/>
      <c r="Z909" s="32"/>
    </row>
    <row r="910" ht="12.75" customHeight="1">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32"/>
      <c r="Y910" s="32"/>
      <c r="Z910" s="32"/>
    </row>
    <row r="911" ht="12.75" customHeight="1">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32"/>
      <c r="Y911" s="32"/>
      <c r="Z911" s="32"/>
    </row>
    <row r="912" ht="12.75" customHeight="1">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32"/>
      <c r="Y912" s="32"/>
      <c r="Z912" s="32"/>
    </row>
    <row r="913" ht="12.75" customHeight="1">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32"/>
      <c r="Y913" s="32"/>
      <c r="Z913" s="32"/>
    </row>
    <row r="914" ht="12.75" customHeight="1">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32"/>
      <c r="Y914" s="32"/>
      <c r="Z914" s="32"/>
    </row>
    <row r="915" ht="12.75" customHeight="1">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32"/>
      <c r="Y915" s="32"/>
      <c r="Z915" s="32"/>
    </row>
    <row r="916" ht="12.75" customHeight="1">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32"/>
      <c r="Y916" s="32"/>
      <c r="Z916" s="32"/>
    </row>
    <row r="917" ht="12.75" customHeight="1">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32"/>
      <c r="Y917" s="32"/>
      <c r="Z917" s="32"/>
    </row>
    <row r="918" ht="12.75" customHeight="1">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32"/>
      <c r="Y918" s="32"/>
      <c r="Z918" s="32"/>
    </row>
    <row r="919" ht="12.75" customHeight="1">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32"/>
      <c r="Y919" s="32"/>
      <c r="Z919" s="32"/>
    </row>
    <row r="920" ht="12.75" customHeight="1">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32"/>
      <c r="Y920" s="32"/>
      <c r="Z920" s="32"/>
    </row>
    <row r="921" ht="12.75" customHeight="1">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32"/>
      <c r="Y921" s="32"/>
      <c r="Z921" s="32"/>
    </row>
    <row r="922" ht="12.75" customHeight="1">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32"/>
      <c r="Y922" s="32"/>
      <c r="Z922" s="32"/>
    </row>
    <row r="923" ht="12.75" customHeight="1">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32"/>
      <c r="Y923" s="32"/>
      <c r="Z923" s="32"/>
    </row>
    <row r="924" ht="12.75" customHeight="1">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32"/>
      <c r="Y924" s="32"/>
      <c r="Z924" s="32"/>
    </row>
    <row r="925" ht="12.75" customHeight="1">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32"/>
      <c r="Y925" s="32"/>
      <c r="Z925" s="32"/>
    </row>
    <row r="926" ht="12.75" customHeight="1">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32"/>
      <c r="Y926" s="32"/>
      <c r="Z926" s="32"/>
    </row>
    <row r="927" ht="12.75" customHeight="1">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32"/>
      <c r="Y927" s="32"/>
      <c r="Z927" s="32"/>
    </row>
    <row r="928" ht="12.75" customHeight="1">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32"/>
      <c r="Y928" s="32"/>
      <c r="Z928" s="32"/>
    </row>
    <row r="929" ht="12.75" customHeight="1">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32"/>
      <c r="Y929" s="32"/>
      <c r="Z929" s="32"/>
    </row>
    <row r="930" ht="12.75" customHeight="1">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32"/>
      <c r="Y930" s="32"/>
      <c r="Z930" s="32"/>
    </row>
    <row r="931" ht="12.75" customHeight="1">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32"/>
      <c r="Y931" s="32"/>
      <c r="Z931" s="32"/>
    </row>
    <row r="932" ht="12.75" customHeight="1">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32"/>
      <c r="Y932" s="32"/>
      <c r="Z932" s="32"/>
    </row>
    <row r="933" ht="12.75" customHeight="1">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32"/>
      <c r="Y933" s="32"/>
      <c r="Z933" s="32"/>
    </row>
    <row r="934" ht="12.75" customHeight="1">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32"/>
      <c r="Y934" s="32"/>
      <c r="Z934" s="32"/>
    </row>
    <row r="935" ht="12.75" customHeight="1">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32"/>
      <c r="Y935" s="32"/>
      <c r="Z935" s="32"/>
    </row>
    <row r="936" ht="12.75" customHeight="1">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32"/>
      <c r="Y936" s="32"/>
      <c r="Z936" s="32"/>
    </row>
    <row r="937" ht="12.75" customHeight="1">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32"/>
      <c r="Y937" s="32"/>
      <c r="Z937" s="32"/>
    </row>
    <row r="938" ht="12.75" customHeight="1">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32"/>
      <c r="Y938" s="32"/>
      <c r="Z938" s="32"/>
    </row>
    <row r="939" ht="12.75" customHeight="1">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32"/>
      <c r="Y939" s="32"/>
      <c r="Z939" s="32"/>
    </row>
    <row r="940" ht="12.75" customHeight="1">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32"/>
      <c r="Y940" s="32"/>
      <c r="Z940" s="32"/>
    </row>
    <row r="941" ht="12.75" customHeight="1">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32"/>
      <c r="Y941" s="32"/>
      <c r="Z941" s="32"/>
    </row>
    <row r="942" ht="12.75" customHeight="1">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32"/>
      <c r="Y942" s="32"/>
      <c r="Z942" s="32"/>
    </row>
    <row r="943" ht="12.75" customHeight="1">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32"/>
      <c r="Y943" s="32"/>
      <c r="Z943" s="32"/>
    </row>
    <row r="944" ht="12.75" customHeight="1">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32"/>
      <c r="Y944" s="32"/>
      <c r="Z944" s="32"/>
    </row>
    <row r="945" ht="12.75" customHeight="1">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32"/>
      <c r="Y945" s="32"/>
      <c r="Z945" s="32"/>
    </row>
    <row r="946" ht="12.75" customHeight="1">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32"/>
      <c r="Y946" s="32"/>
      <c r="Z946" s="32"/>
    </row>
    <row r="947" ht="12.75" customHeight="1">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32"/>
      <c r="Y947" s="32"/>
      <c r="Z947" s="32"/>
    </row>
    <row r="948" ht="12.75" customHeight="1">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32"/>
      <c r="Y948" s="32"/>
      <c r="Z948" s="32"/>
    </row>
    <row r="949" ht="12.75" customHeight="1">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32"/>
      <c r="Y949" s="32"/>
      <c r="Z949" s="32"/>
    </row>
    <row r="950" ht="12.75" customHeight="1">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32"/>
      <c r="Y950" s="32"/>
      <c r="Z950" s="32"/>
    </row>
    <row r="951" ht="12.75" customHeight="1">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32"/>
      <c r="Y951" s="32"/>
      <c r="Z951" s="32"/>
    </row>
    <row r="952" ht="12.75" customHeight="1">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32"/>
      <c r="Y952" s="32"/>
      <c r="Z952" s="32"/>
    </row>
    <row r="953" ht="12.75" customHeight="1">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32"/>
      <c r="Y953" s="32"/>
      <c r="Z953" s="32"/>
    </row>
    <row r="954" ht="12.75" customHeight="1">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32"/>
      <c r="Y954" s="32"/>
      <c r="Z954" s="32"/>
    </row>
    <row r="955" ht="12.75" customHeight="1">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32"/>
      <c r="Y955" s="32"/>
      <c r="Z955" s="32"/>
    </row>
    <row r="956" ht="12.75" customHeight="1">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32"/>
      <c r="Y956" s="32"/>
      <c r="Z956" s="32"/>
    </row>
    <row r="957" ht="12.75" customHeight="1">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32"/>
      <c r="Y957" s="32"/>
      <c r="Z957" s="32"/>
    </row>
    <row r="958" ht="12.75" customHeight="1">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32"/>
      <c r="Y958" s="32"/>
      <c r="Z958" s="32"/>
    </row>
    <row r="959" ht="12.75" customHeight="1">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32"/>
      <c r="Y959" s="32"/>
      <c r="Z959" s="32"/>
    </row>
    <row r="960" ht="12.75" customHeight="1">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32"/>
      <c r="Y960" s="32"/>
      <c r="Z960" s="32"/>
    </row>
    <row r="961" ht="12.75" customHeight="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32"/>
      <c r="Y961" s="32"/>
      <c r="Z961" s="32"/>
    </row>
    <row r="962" ht="12.75" customHeight="1">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32"/>
      <c r="Y962" s="32"/>
      <c r="Z962" s="32"/>
    </row>
    <row r="963" ht="12.75" customHeight="1">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32"/>
      <c r="Y963" s="32"/>
      <c r="Z963" s="32"/>
    </row>
    <row r="964" ht="12.75" customHeight="1">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32"/>
      <c r="Y964" s="32"/>
      <c r="Z964" s="32"/>
    </row>
    <row r="965" ht="12.75" customHeight="1">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32"/>
      <c r="Y965" s="32"/>
      <c r="Z965" s="32"/>
    </row>
    <row r="966" ht="12.75" customHeight="1">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32"/>
      <c r="Y966" s="32"/>
      <c r="Z966" s="32"/>
    </row>
    <row r="967" ht="12.75" customHeight="1">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32"/>
      <c r="Y967" s="32"/>
      <c r="Z967" s="32"/>
    </row>
    <row r="968" ht="12.75" customHeight="1">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32"/>
      <c r="Y968" s="32"/>
      <c r="Z968" s="32"/>
    </row>
    <row r="969" ht="12.75" customHeight="1">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32"/>
      <c r="Y969" s="32"/>
      <c r="Z969" s="32"/>
    </row>
    <row r="970" ht="12.75" customHeight="1">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32"/>
      <c r="Y970" s="32"/>
      <c r="Z970" s="32"/>
    </row>
    <row r="971" ht="12.75" customHeight="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32"/>
      <c r="Y971" s="32"/>
      <c r="Z971" s="32"/>
    </row>
    <row r="972" ht="12.75" customHeight="1">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32"/>
      <c r="Y972" s="32"/>
      <c r="Z972" s="32"/>
    </row>
    <row r="973" ht="12.75" customHeight="1">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32"/>
      <c r="Y973" s="32"/>
      <c r="Z973" s="32"/>
    </row>
    <row r="974" ht="12.75" customHeight="1">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32"/>
      <c r="Y974" s="32"/>
      <c r="Z974" s="32"/>
    </row>
    <row r="975" ht="12.75" customHeight="1">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32"/>
      <c r="Y975" s="32"/>
      <c r="Z975" s="32"/>
    </row>
    <row r="976" ht="12.75" customHeight="1">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32"/>
      <c r="Y976" s="32"/>
      <c r="Z976" s="32"/>
    </row>
    <row r="977" ht="12.75" customHeight="1">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32"/>
      <c r="Y977" s="32"/>
      <c r="Z977" s="32"/>
    </row>
    <row r="978" ht="12.75" customHeight="1">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32"/>
      <c r="Y978" s="32"/>
      <c r="Z978" s="32"/>
    </row>
    <row r="979" ht="12.75" customHeight="1">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32"/>
      <c r="Y979" s="32"/>
      <c r="Z979" s="32"/>
    </row>
    <row r="980" ht="12.75" customHeight="1">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32"/>
      <c r="Y980" s="32"/>
      <c r="Z980" s="32"/>
    </row>
    <row r="981" ht="12.75" customHeight="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32"/>
      <c r="Y981" s="32"/>
      <c r="Z981" s="32"/>
    </row>
    <row r="982" ht="12.75" customHeight="1">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32"/>
      <c r="Y982" s="32"/>
      <c r="Z982" s="32"/>
    </row>
    <row r="983" ht="12.75" customHeight="1">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32"/>
      <c r="Y983" s="32"/>
      <c r="Z983" s="32"/>
    </row>
    <row r="984" ht="12.75" customHeight="1">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32"/>
      <c r="Y984" s="32"/>
      <c r="Z984" s="32"/>
    </row>
    <row r="985" ht="12.75" customHeight="1">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32"/>
      <c r="Y985" s="32"/>
      <c r="Z985" s="32"/>
    </row>
    <row r="986" ht="12.75" customHeight="1">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32"/>
      <c r="Y986" s="32"/>
      <c r="Z986" s="32"/>
    </row>
    <row r="987" ht="12.75" customHeight="1">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32"/>
      <c r="Y987" s="32"/>
      <c r="Z987" s="32"/>
    </row>
    <row r="988" ht="12.75" customHeight="1">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32"/>
      <c r="Y988" s="32"/>
      <c r="Z988" s="32"/>
    </row>
    <row r="989" ht="12.75" customHeight="1">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32"/>
      <c r="Y989" s="32"/>
      <c r="Z989" s="32"/>
    </row>
    <row r="990" ht="12.75" customHeight="1">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32"/>
      <c r="Y990" s="32"/>
      <c r="Z990" s="32"/>
    </row>
    <row r="991" ht="12.75" customHeight="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32"/>
      <c r="Y991" s="32"/>
      <c r="Z991" s="32"/>
    </row>
    <row r="992" ht="12.75" customHeight="1">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32"/>
      <c r="Y992" s="32"/>
      <c r="Z992" s="32"/>
    </row>
    <row r="993" ht="12.75" customHeight="1">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32"/>
      <c r="Y993" s="32"/>
      <c r="Z993" s="32"/>
    </row>
    <row r="994" ht="12.75" customHeight="1">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32"/>
      <c r="Y994" s="32"/>
      <c r="Z994" s="32"/>
    </row>
    <row r="995" ht="12.75" customHeight="1">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32"/>
      <c r="Y995" s="32"/>
      <c r="Z995" s="32"/>
    </row>
    <row r="996" ht="12.75" customHeight="1">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32"/>
      <c r="Y996" s="32"/>
      <c r="Z996" s="32"/>
    </row>
    <row r="997" ht="12.75" customHeight="1">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32"/>
      <c r="Y997" s="32"/>
      <c r="Z997" s="32"/>
    </row>
    <row r="998" ht="12.75" customHeight="1">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32"/>
      <c r="Y998" s="32"/>
      <c r="Z998" s="32"/>
    </row>
    <row r="999" ht="12.75" customHeight="1">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32"/>
      <c r="Y999" s="32"/>
      <c r="Z999" s="32"/>
    </row>
    <row r="1000" ht="12.75" customHeight="1">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32"/>
      <c r="Y1000" s="32"/>
      <c r="Z1000" s="32"/>
    </row>
  </sheetData>
  <hyperlinks>
    <hyperlink r:id="rId1" ref="O39"/>
    <hyperlink r:id="rId2" ref="O47"/>
    <hyperlink r:id="rId3" ref="O68"/>
  </hyperlinks>
  <drawing r:id="rId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3.44" defaultRowHeight="15.0"/>
  <cols>
    <col customWidth="1" min="1" max="38" width="7.0"/>
  </cols>
  <sheetData>
    <row r="1" ht="94.5" customHeight="1">
      <c r="A1" s="73" t="s">
        <v>1212</v>
      </c>
      <c r="B1" s="73" t="s">
        <v>1213</v>
      </c>
      <c r="C1" s="73" t="s">
        <v>1214</v>
      </c>
      <c r="D1" s="73" t="s">
        <v>1215</v>
      </c>
      <c r="E1" s="73" t="s">
        <v>1216</v>
      </c>
      <c r="F1" s="75"/>
      <c r="G1" s="76" t="s">
        <v>9</v>
      </c>
      <c r="H1" s="73" t="s">
        <v>1217</v>
      </c>
      <c r="I1" s="75"/>
      <c r="J1" s="76" t="s">
        <v>1218</v>
      </c>
      <c r="K1" s="73" t="s">
        <v>15</v>
      </c>
      <c r="L1" s="75"/>
      <c r="M1" s="73" t="s">
        <v>1219</v>
      </c>
      <c r="N1" s="73" t="s">
        <v>1220</v>
      </c>
      <c r="O1" s="73" t="s">
        <v>1221</v>
      </c>
      <c r="P1" s="77" t="s">
        <v>1222</v>
      </c>
      <c r="Q1" s="78" t="s">
        <v>1228</v>
      </c>
      <c r="R1" s="73" t="s">
        <v>24</v>
      </c>
      <c r="S1" s="76" t="s">
        <v>67</v>
      </c>
      <c r="T1" s="76" t="s">
        <v>71</v>
      </c>
      <c r="U1" s="76" t="s">
        <v>72</v>
      </c>
      <c r="V1" s="76" t="s">
        <v>74</v>
      </c>
      <c r="W1" s="76" t="s">
        <v>75</v>
      </c>
      <c r="X1" s="76" t="s">
        <v>76</v>
      </c>
      <c r="Y1" s="76" t="s">
        <v>77</v>
      </c>
      <c r="Z1" s="76" t="s">
        <v>79</v>
      </c>
      <c r="AA1" s="76" t="s">
        <v>80</v>
      </c>
      <c r="AB1" s="76" t="s">
        <v>81</v>
      </c>
      <c r="AC1" s="76" t="s">
        <v>82</v>
      </c>
      <c r="AD1" s="76" t="s">
        <v>83</v>
      </c>
      <c r="AE1" s="76" t="s">
        <v>84</v>
      </c>
      <c r="AF1" s="76" t="s">
        <v>85</v>
      </c>
      <c r="AG1" s="76" t="s">
        <v>86</v>
      </c>
      <c r="AH1" s="76" t="s">
        <v>87</v>
      </c>
      <c r="AI1" s="76" t="s">
        <v>88</v>
      </c>
      <c r="AJ1" s="76" t="s">
        <v>89</v>
      </c>
      <c r="AK1" s="76" t="s">
        <v>90</v>
      </c>
      <c r="AL1" s="73"/>
    </row>
    <row r="2" ht="22.5" customHeight="1">
      <c r="A2" s="79">
        <v>10000.0</v>
      </c>
      <c r="B2" s="79" t="s">
        <v>1230</v>
      </c>
      <c r="C2" s="79" t="s">
        <v>238</v>
      </c>
      <c r="D2" s="79" t="s">
        <v>173</v>
      </c>
      <c r="E2" s="79" t="s">
        <v>574</v>
      </c>
      <c r="F2" s="80">
        <v>4.0</v>
      </c>
      <c r="G2" s="81"/>
      <c r="H2" s="79" t="s">
        <v>837</v>
      </c>
      <c r="I2" s="80">
        <v>2000.0</v>
      </c>
      <c r="J2" s="81"/>
      <c r="K2" s="79" t="s">
        <v>289</v>
      </c>
      <c r="L2" s="80">
        <v>40.0</v>
      </c>
      <c r="M2" s="79" t="s">
        <v>1237</v>
      </c>
      <c r="N2" s="79" t="s">
        <v>1238</v>
      </c>
      <c r="O2" s="79" t="s">
        <v>592</v>
      </c>
      <c r="P2" s="83">
        <v>42069.0</v>
      </c>
      <c r="Q2" s="81" t="s">
        <v>1245</v>
      </c>
      <c r="R2" s="86" t="str">
        <f>HYPERLINK("http://www.scientificamerican.com/article/how-to-win-friends-and-bamboozle-people-about-climate-change/","http://www.scientificamerican.com/article/how-to-win-friends-and-bamboozle-people-about-climate-change/")</f>
        <v>http://www.scientificamerican.com/article/how-to-win-friends-and-bamboozle-people-about-climate-change/</v>
      </c>
      <c r="S2" s="81"/>
      <c r="T2" s="81" t="s">
        <v>462</v>
      </c>
      <c r="U2" s="81" t="s">
        <v>462</v>
      </c>
      <c r="V2" s="81" t="s">
        <v>676</v>
      </c>
      <c r="W2" s="81" t="s">
        <v>600</v>
      </c>
      <c r="X2" s="81"/>
      <c r="Y2" s="88"/>
      <c r="Z2" s="81"/>
      <c r="AA2" s="81"/>
      <c r="AB2" s="81"/>
      <c r="AC2" s="88"/>
      <c r="AD2" s="81"/>
      <c r="AE2" s="81"/>
      <c r="AF2" s="81"/>
      <c r="AG2" s="81"/>
      <c r="AH2" s="81"/>
      <c r="AI2" s="81"/>
      <c r="AJ2" s="81"/>
      <c r="AK2" s="81"/>
      <c r="AL2" s="79"/>
    </row>
    <row r="3" ht="22.5" customHeight="1">
      <c r="A3" s="79">
        <v>10001.0</v>
      </c>
      <c r="B3" s="79" t="s">
        <v>1230</v>
      </c>
      <c r="C3" s="79" t="s">
        <v>238</v>
      </c>
      <c r="D3" s="79" t="s">
        <v>173</v>
      </c>
      <c r="E3" s="79" t="s">
        <v>574</v>
      </c>
      <c r="F3" s="80">
        <v>4.0</v>
      </c>
      <c r="G3" s="81"/>
      <c r="H3" s="79" t="s">
        <v>644</v>
      </c>
      <c r="I3" s="80">
        <v>2000.0</v>
      </c>
      <c r="J3" s="81"/>
      <c r="K3" s="79" t="s">
        <v>289</v>
      </c>
      <c r="L3" s="80">
        <v>40.0</v>
      </c>
      <c r="M3" s="79" t="s">
        <v>1262</v>
      </c>
      <c r="N3" s="79" t="s">
        <v>1263</v>
      </c>
      <c r="O3" s="79" t="s">
        <v>1265</v>
      </c>
      <c r="P3" s="83">
        <v>41739.0</v>
      </c>
      <c r="Q3" s="81" t="s">
        <v>1266</v>
      </c>
      <c r="R3" s="86" t="str">
        <f>HYPERLINK("http://grist.org/climate-energy/the-brutally-dishonest-attacks-on-showtimes-landmark-climate-series/","http://grist.org/climate-energy/the-brutally-dishonest-attacks-on-showtimes-landmark-climate-series/")</f>
        <v>http://grist.org/climate-energy/the-brutally-dishonest-attacks-on-showtimes-landmark-climate-series/</v>
      </c>
      <c r="S3" s="81" t="s">
        <v>1267</v>
      </c>
      <c r="T3" s="81" t="s">
        <v>462</v>
      </c>
      <c r="U3" s="81" t="s">
        <v>462</v>
      </c>
      <c r="V3" s="81" t="s">
        <v>676</v>
      </c>
      <c r="W3" s="81" t="s">
        <v>600</v>
      </c>
      <c r="X3" s="81"/>
      <c r="Y3" s="88"/>
      <c r="Z3" s="81"/>
      <c r="AA3" s="81"/>
      <c r="AB3" s="81"/>
      <c r="AC3" s="88"/>
      <c r="AD3" s="81"/>
      <c r="AE3" s="81"/>
      <c r="AF3" s="81"/>
      <c r="AG3" s="81"/>
      <c r="AH3" s="81"/>
      <c r="AI3" s="81"/>
      <c r="AJ3" s="81"/>
      <c r="AK3" s="81"/>
      <c r="AL3" s="79"/>
    </row>
    <row r="4" ht="22.5" customHeight="1">
      <c r="A4" s="79">
        <v>10002.0</v>
      </c>
      <c r="B4" s="79" t="s">
        <v>1230</v>
      </c>
      <c r="C4" s="79" t="s">
        <v>238</v>
      </c>
      <c r="D4" s="79" t="s">
        <v>173</v>
      </c>
      <c r="E4" s="79" t="s">
        <v>574</v>
      </c>
      <c r="F4" s="80">
        <v>4.0</v>
      </c>
      <c r="G4" s="81"/>
      <c r="H4" s="79" t="s">
        <v>837</v>
      </c>
      <c r="I4" s="80">
        <v>2000.0</v>
      </c>
      <c r="J4" s="81"/>
      <c r="K4" s="79" t="s">
        <v>289</v>
      </c>
      <c r="L4" s="80">
        <v>40.0</v>
      </c>
      <c r="M4" s="79" t="s">
        <v>1268</v>
      </c>
      <c r="N4" s="79" t="s">
        <v>1269</v>
      </c>
      <c r="O4" s="79" t="s">
        <v>1258</v>
      </c>
      <c r="P4" s="83">
        <v>42033.0</v>
      </c>
      <c r="Q4" s="81"/>
      <c r="R4" s="86" t="str">
        <f>HYPERLINK("http://www.theatlantic.com/health/archive/2015/01/americans-believe-in-science-just-not-its-findings/384937/","http://www.theatlantic.com/health/archive/2015/01/americans-believe-in-science-just-not-its-findings/384937/")</f>
        <v>http://www.theatlantic.com/health/archive/2015/01/americans-believe-in-science-just-not-its-findings/384937/</v>
      </c>
      <c r="S4" s="81"/>
      <c r="T4" s="81" t="s">
        <v>462</v>
      </c>
      <c r="U4" s="81" t="s">
        <v>462</v>
      </c>
      <c r="V4" s="81" t="s">
        <v>676</v>
      </c>
      <c r="W4" s="81" t="s">
        <v>769</v>
      </c>
      <c r="X4" s="81" t="s">
        <v>1277</v>
      </c>
      <c r="Y4" s="88">
        <v>42179.0</v>
      </c>
      <c r="Z4" s="88">
        <v>42506.0</v>
      </c>
      <c r="AA4" s="81" t="s">
        <v>769</v>
      </c>
      <c r="AB4" s="81"/>
      <c r="AC4" s="88">
        <v>42193.0</v>
      </c>
      <c r="AD4" s="81"/>
      <c r="AE4" s="88"/>
      <c r="AF4" s="81"/>
      <c r="AG4" s="81"/>
      <c r="AH4" s="81"/>
      <c r="AI4" s="81"/>
      <c r="AJ4" s="81"/>
      <c r="AK4" s="81"/>
      <c r="AL4" s="79"/>
    </row>
    <row r="5" ht="22.5" customHeight="1">
      <c r="A5" s="79">
        <v>10003.0</v>
      </c>
      <c r="B5" s="79" t="s">
        <v>1230</v>
      </c>
      <c r="C5" s="79" t="s">
        <v>238</v>
      </c>
      <c r="D5" s="79" t="s">
        <v>173</v>
      </c>
      <c r="E5" s="79" t="s">
        <v>574</v>
      </c>
      <c r="F5" s="80">
        <v>4.0</v>
      </c>
      <c r="G5" s="81"/>
      <c r="H5" s="79" t="s">
        <v>644</v>
      </c>
      <c r="I5" s="80">
        <v>2000.0</v>
      </c>
      <c r="J5" s="81"/>
      <c r="K5" s="79" t="s">
        <v>111</v>
      </c>
      <c r="L5" s="80">
        <v>41.0</v>
      </c>
      <c r="M5" s="79" t="s">
        <v>1279</v>
      </c>
      <c r="N5" s="79" t="s">
        <v>1280</v>
      </c>
      <c r="O5" s="79" t="s">
        <v>1281</v>
      </c>
      <c r="P5" s="83">
        <v>42058.0</v>
      </c>
      <c r="Q5" s="81" t="s">
        <v>1282</v>
      </c>
      <c r="R5" s="86" t="str">
        <f>HYPERLINK("http://www.theguardian.com/sustainable-business/2015/feb/23/five-ways-that-people-frame-climate-change-debates","http://www.theguardian.com/sustainable-business/2015/feb/23/five-ways-that-people-frame-climate-change-debates")</f>
        <v>http://www.theguardian.com/sustainable-business/2015/feb/23/five-ways-that-people-frame-climate-change-debates</v>
      </c>
      <c r="S5" s="81"/>
      <c r="T5" s="81" t="s">
        <v>462</v>
      </c>
      <c r="U5" s="81" t="s">
        <v>462</v>
      </c>
      <c r="V5" s="81" t="s">
        <v>663</v>
      </c>
      <c r="W5" s="81" t="s">
        <v>769</v>
      </c>
      <c r="X5" s="81" t="s">
        <v>1284</v>
      </c>
      <c r="Y5" s="88">
        <v>42058.0</v>
      </c>
      <c r="Z5" s="81"/>
      <c r="AA5" s="81" t="s">
        <v>769</v>
      </c>
      <c r="AB5" s="81"/>
      <c r="AC5" s="88">
        <v>42216.0</v>
      </c>
      <c r="AD5" s="81"/>
      <c r="AE5" s="81"/>
      <c r="AF5" s="81"/>
      <c r="AG5" s="81"/>
      <c r="AH5" s="81"/>
      <c r="AI5" s="81" t="s">
        <v>428</v>
      </c>
      <c r="AJ5" s="81"/>
      <c r="AK5" s="81"/>
      <c r="AL5" s="79"/>
    </row>
    <row r="6" ht="22.5" customHeight="1">
      <c r="A6" s="79">
        <v>10004.0</v>
      </c>
      <c r="B6" s="79" t="s">
        <v>1230</v>
      </c>
      <c r="C6" s="79" t="s">
        <v>238</v>
      </c>
      <c r="D6" s="79" t="s">
        <v>173</v>
      </c>
      <c r="E6" s="79" t="s">
        <v>574</v>
      </c>
      <c r="F6" s="80">
        <v>4.0</v>
      </c>
      <c r="G6" s="81"/>
      <c r="H6" s="79" t="s">
        <v>1223</v>
      </c>
      <c r="I6" s="80">
        <v>3000.0</v>
      </c>
      <c r="J6" s="81"/>
      <c r="K6" s="79" t="s">
        <v>289</v>
      </c>
      <c r="L6" s="80">
        <v>40.0</v>
      </c>
      <c r="M6" s="79" t="s">
        <v>1224</v>
      </c>
      <c r="N6" s="79" t="s">
        <v>1225</v>
      </c>
      <c r="O6" s="79" t="s">
        <v>1226</v>
      </c>
      <c r="P6" s="83">
        <v>41738.0</v>
      </c>
      <c r="Q6" s="81" t="s">
        <v>1227</v>
      </c>
      <c r="R6" s="86" t="str">
        <f>HYPERLINK("http://environmentalpolicy.ucdavis.edu/blog/2014/04/336","http://environmentalpolicy.ucdavis.edu/blog/2014/04/336")</f>
        <v>http://environmentalpolicy.ucdavis.edu/blog/2014/04/336</v>
      </c>
      <c r="S6" s="81"/>
      <c r="T6" s="81" t="s">
        <v>428</v>
      </c>
      <c r="U6" s="81" t="s">
        <v>462</v>
      </c>
      <c r="V6" s="81" t="s">
        <v>663</v>
      </c>
      <c r="W6" s="81" t="s">
        <v>600</v>
      </c>
      <c r="X6" s="81"/>
      <c r="Y6" s="88"/>
      <c r="Z6" s="81"/>
      <c r="AA6" s="81"/>
      <c r="AB6" s="81"/>
      <c r="AC6" s="88"/>
      <c r="AD6" s="81"/>
      <c r="AE6" s="81"/>
      <c r="AF6" s="81"/>
      <c r="AG6" s="81"/>
      <c r="AH6" s="81"/>
      <c r="AI6" s="81" t="s">
        <v>428</v>
      </c>
      <c r="AJ6" s="81"/>
      <c r="AK6" s="81"/>
      <c r="AL6" s="79"/>
    </row>
    <row r="7" ht="22.5" customHeight="1">
      <c r="A7" s="79">
        <v>10005.0</v>
      </c>
      <c r="B7" s="79" t="s">
        <v>1230</v>
      </c>
      <c r="C7" s="79" t="s">
        <v>238</v>
      </c>
      <c r="D7" s="79" t="s">
        <v>173</v>
      </c>
      <c r="E7" s="79" t="s">
        <v>574</v>
      </c>
      <c r="F7" s="80">
        <v>4.0</v>
      </c>
      <c r="G7" s="81"/>
      <c r="H7" s="79" t="s">
        <v>837</v>
      </c>
      <c r="I7" s="80">
        <v>2000.0</v>
      </c>
      <c r="J7" s="81"/>
      <c r="K7" s="79" t="s">
        <v>289</v>
      </c>
      <c r="L7" s="80">
        <v>40.0</v>
      </c>
      <c r="M7" s="79" t="s">
        <v>1295</v>
      </c>
      <c r="N7" s="79" t="s">
        <v>1297</v>
      </c>
      <c r="O7" s="79" t="s">
        <v>1298</v>
      </c>
      <c r="P7" s="83">
        <v>41737.0</v>
      </c>
      <c r="Q7" s="81" t="s">
        <v>1299</v>
      </c>
      <c r="R7" s="86" t="str">
        <f>HYPERLINK("http://www.nytimes.com/2014/04/09/opinion/global-warming-scare-tactics.html","http://www.nytimes.com/2014/04/09/opinion/global-warming-scare-tactics.html")</f>
        <v>http://www.nytimes.com/2014/04/09/opinion/global-warming-scare-tactics.html</v>
      </c>
      <c r="S7" s="81"/>
      <c r="T7" s="81" t="s">
        <v>462</v>
      </c>
      <c r="U7" s="81" t="s">
        <v>462</v>
      </c>
      <c r="V7" s="81" t="s">
        <v>1099</v>
      </c>
      <c r="W7" s="81" t="s">
        <v>600</v>
      </c>
      <c r="X7" s="81"/>
      <c r="Y7" s="81"/>
      <c r="Z7" s="81"/>
      <c r="AA7" s="81" t="s">
        <v>561</v>
      </c>
      <c r="AB7" s="81"/>
      <c r="AC7" s="88">
        <v>42384.0</v>
      </c>
      <c r="AD7" s="81"/>
      <c r="AE7" s="81"/>
      <c r="AF7" s="81"/>
      <c r="AG7" s="81"/>
      <c r="AH7" s="81"/>
      <c r="AI7" s="81"/>
      <c r="AJ7" s="81"/>
      <c r="AK7" s="81"/>
      <c r="AL7" s="79"/>
    </row>
    <row r="8" ht="22.5" customHeight="1">
      <c r="A8" s="79">
        <v>10006.0</v>
      </c>
      <c r="B8" s="79" t="s">
        <v>1230</v>
      </c>
      <c r="C8" s="79" t="s">
        <v>238</v>
      </c>
      <c r="D8" s="79" t="s">
        <v>173</v>
      </c>
      <c r="E8" s="79" t="s">
        <v>574</v>
      </c>
      <c r="F8" s="80">
        <v>4.0</v>
      </c>
      <c r="G8" s="81"/>
      <c r="H8" s="79" t="s">
        <v>290</v>
      </c>
      <c r="I8" s="80">
        <v>6000.0</v>
      </c>
      <c r="J8" s="81"/>
      <c r="K8" s="79" t="s">
        <v>111</v>
      </c>
      <c r="L8" s="80">
        <v>41.0</v>
      </c>
      <c r="M8" s="79" t="s">
        <v>1306</v>
      </c>
      <c r="N8" s="79" t="s">
        <v>1308</v>
      </c>
      <c r="O8" s="79" t="s">
        <v>1309</v>
      </c>
      <c r="P8" s="83">
        <v>42012.0</v>
      </c>
      <c r="Q8" s="81" t="s">
        <v>1310</v>
      </c>
      <c r="R8" s="86" t="str">
        <f>HYPERLINK("http://valuesandframes.org/some-psychological-consequences-of-putting-a-price-on-nature/","http://valuesandframes.org/some-psychological-consequences-of-putting-a-price-on-nature/")</f>
        <v>http://valuesandframes.org/some-psychological-consequences-of-putting-a-price-on-nature/</v>
      </c>
      <c r="S8" s="81"/>
      <c r="T8" s="81" t="s">
        <v>1316</v>
      </c>
      <c r="U8" s="81" t="s">
        <v>1317</v>
      </c>
      <c r="V8" s="81" t="s">
        <v>676</v>
      </c>
      <c r="W8" s="81" t="s">
        <v>769</v>
      </c>
      <c r="X8" s="81" t="s">
        <v>1320</v>
      </c>
      <c r="Y8" s="88">
        <v>42348.0</v>
      </c>
      <c r="Z8" s="88">
        <v>42544.0</v>
      </c>
      <c r="AA8" s="81"/>
      <c r="AB8" s="81"/>
      <c r="AC8" s="88"/>
      <c r="AD8" s="81" t="s">
        <v>1321</v>
      </c>
      <c r="AE8" s="81"/>
      <c r="AF8" s="81"/>
      <c r="AG8" s="81"/>
      <c r="AH8" s="81" t="s">
        <v>428</v>
      </c>
      <c r="AI8" s="81"/>
      <c r="AJ8" s="81"/>
      <c r="AK8" s="81"/>
      <c r="AL8" s="79"/>
    </row>
    <row r="9" ht="22.5" customHeight="1">
      <c r="A9" s="79">
        <v>10007.0</v>
      </c>
      <c r="B9" s="79" t="s">
        <v>1230</v>
      </c>
      <c r="C9" s="79" t="s">
        <v>238</v>
      </c>
      <c r="D9" s="79" t="s">
        <v>173</v>
      </c>
      <c r="E9" s="79" t="s">
        <v>1322</v>
      </c>
      <c r="F9" s="80">
        <v>4.0</v>
      </c>
      <c r="G9" s="81"/>
      <c r="H9" s="79" t="s">
        <v>837</v>
      </c>
      <c r="I9" s="80">
        <v>2000.0</v>
      </c>
      <c r="J9" s="81"/>
      <c r="K9" s="79" t="s">
        <v>289</v>
      </c>
      <c r="L9" s="80">
        <v>40.0</v>
      </c>
      <c r="M9" s="79" t="s">
        <v>1323</v>
      </c>
      <c r="N9" s="79" t="s">
        <v>1324</v>
      </c>
      <c r="O9" s="79" t="s">
        <v>1325</v>
      </c>
      <c r="P9" s="83">
        <v>42008.0</v>
      </c>
      <c r="Q9" s="81" t="s">
        <v>1326</v>
      </c>
      <c r="R9" s="86" t="str">
        <f>HYPERLINK("http://www.nytimes.com/roomfordebate/2015/01/04/are-conspiracy-theories-all-bad-17/the-negative-social-impact-of-conspiracy-theories","http://www.nytimes.com/roomfordebate/2015/01/04/are-conspiracy-theories-all-bad-17/the-negative-social-impact-of-conspiracy-theories")</f>
        <v>http://www.nytimes.com/roomfordebate/2015/01/04/are-conspiracy-theories-all-bad-17/the-negative-social-impact-of-conspiracy-theories</v>
      </c>
      <c r="S9" s="81"/>
      <c r="T9" s="81" t="s">
        <v>462</v>
      </c>
      <c r="U9" s="81" t="s">
        <v>462</v>
      </c>
      <c r="V9" s="81" t="s">
        <v>676</v>
      </c>
      <c r="W9" s="81" t="s">
        <v>600</v>
      </c>
      <c r="X9" s="81"/>
      <c r="Y9" s="88"/>
      <c r="Z9" s="81"/>
      <c r="AA9" s="81"/>
      <c r="AB9" s="81"/>
      <c r="AC9" s="88"/>
      <c r="AD9" s="81"/>
      <c r="AE9" s="81"/>
      <c r="AF9" s="81"/>
      <c r="AG9" s="81"/>
      <c r="AH9" s="81"/>
      <c r="AI9" s="81"/>
      <c r="AJ9" s="81"/>
      <c r="AK9" s="81"/>
      <c r="AL9" s="79"/>
    </row>
    <row r="10" ht="22.5" customHeight="1">
      <c r="A10" s="79">
        <v>10008.0</v>
      </c>
      <c r="B10" s="79" t="s">
        <v>1230</v>
      </c>
      <c r="C10" s="79" t="s">
        <v>238</v>
      </c>
      <c r="D10" s="79" t="s">
        <v>173</v>
      </c>
      <c r="E10" s="79" t="s">
        <v>1322</v>
      </c>
      <c r="F10" s="80">
        <v>4.0</v>
      </c>
      <c r="G10" s="81"/>
      <c r="H10" s="79" t="s">
        <v>1338</v>
      </c>
      <c r="I10" s="80">
        <v>13000.0</v>
      </c>
      <c r="J10" s="81"/>
      <c r="K10" s="79" t="s">
        <v>289</v>
      </c>
      <c r="L10" s="80">
        <v>40.0</v>
      </c>
      <c r="M10" s="79" t="s">
        <v>1341</v>
      </c>
      <c r="N10" s="79" t="s">
        <v>1343</v>
      </c>
      <c r="O10" s="79" t="s">
        <v>1344</v>
      </c>
      <c r="P10" s="83">
        <v>42086.0</v>
      </c>
      <c r="Q10" s="81" t="s">
        <v>1345</v>
      </c>
      <c r="R10" s="86" t="str">
        <f>HYPERLINK("http://www.earthmagazine.org/article/comment-our-flawed-perceptions-risk","http://www.earthmagazine.org/article/comment-our-flawed-perceptions-risk")</f>
        <v>http://www.earthmagazine.org/article/comment-our-flawed-perceptions-risk</v>
      </c>
      <c r="S10" s="81"/>
      <c r="T10" s="81" t="s">
        <v>462</v>
      </c>
      <c r="U10" s="81" t="s">
        <v>462</v>
      </c>
      <c r="V10" s="81" t="s">
        <v>1355</v>
      </c>
      <c r="W10" s="81" t="s">
        <v>769</v>
      </c>
      <c r="X10" s="81" t="s">
        <v>1356</v>
      </c>
      <c r="Y10" s="88">
        <v>42115.0</v>
      </c>
      <c r="Z10" s="81"/>
      <c r="AA10" s="81" t="s">
        <v>769</v>
      </c>
      <c r="AB10" s="81"/>
      <c r="AC10" s="88">
        <v>42143.0</v>
      </c>
      <c r="AD10" s="81"/>
      <c r="AE10" s="81"/>
      <c r="AF10" s="81"/>
      <c r="AG10" s="81"/>
      <c r="AH10" s="81"/>
      <c r="AI10" s="81"/>
      <c r="AJ10" s="81" t="s">
        <v>1357</v>
      </c>
      <c r="AK10" s="81"/>
      <c r="AL10" s="79"/>
    </row>
    <row r="11" ht="22.5" customHeight="1">
      <c r="A11" s="79">
        <v>10009.0</v>
      </c>
      <c r="B11" s="79" t="s">
        <v>1230</v>
      </c>
      <c r="C11" s="79" t="s">
        <v>238</v>
      </c>
      <c r="D11" s="79" t="s">
        <v>173</v>
      </c>
      <c r="E11" s="79" t="s">
        <v>972</v>
      </c>
      <c r="F11" s="80" t="s">
        <v>973</v>
      </c>
      <c r="G11" s="81"/>
      <c r="H11" s="79" t="s">
        <v>224</v>
      </c>
      <c r="I11" s="80"/>
      <c r="J11" s="81"/>
      <c r="K11" s="79" t="s">
        <v>289</v>
      </c>
      <c r="L11" s="80">
        <v>40.0</v>
      </c>
      <c r="M11" s="79" t="s">
        <v>974</v>
      </c>
      <c r="N11" s="79" t="s">
        <v>975</v>
      </c>
      <c r="O11" s="79" t="s">
        <v>976</v>
      </c>
      <c r="P11" s="83">
        <v>42047.0</v>
      </c>
      <c r="Q11" s="81" t="s">
        <v>977</v>
      </c>
      <c r="R11" s="86" t="str">
        <f>HYPERLINK("http://www.psychologicalscience.org/index.php/news/releases/people-value-resources-more-consistently-when-they-are-scarce.html","http://www.psychologicalscience.org/index.php/news/releases/people-value-resources-more-consistently-when-they-are-scarce.html")</f>
        <v>http://www.psychologicalscience.org/index.php/news/releases/people-value-resources-more-consistently-when-they-are-scarce.html</v>
      </c>
      <c r="S11" s="81"/>
      <c r="T11" s="81" t="s">
        <v>462</v>
      </c>
      <c r="U11" s="81" t="s">
        <v>462</v>
      </c>
      <c r="V11" s="81" t="s">
        <v>978</v>
      </c>
      <c r="W11" s="81" t="s">
        <v>769</v>
      </c>
      <c r="X11" s="81" t="s">
        <v>979</v>
      </c>
      <c r="Y11" s="88">
        <v>42124.0</v>
      </c>
      <c r="Z11" s="81"/>
      <c r="AA11" s="81" t="s">
        <v>769</v>
      </c>
      <c r="AB11" s="81"/>
      <c r="AC11" s="88">
        <v>42538.0</v>
      </c>
      <c r="AD11" s="81"/>
      <c r="AE11" s="81"/>
      <c r="AF11" s="81"/>
      <c r="AG11" s="81"/>
      <c r="AH11" s="81"/>
      <c r="AI11" s="81" t="s">
        <v>428</v>
      </c>
      <c r="AJ11" s="81"/>
      <c r="AK11" s="81"/>
      <c r="AL11" s="79"/>
    </row>
    <row r="12" ht="22.5" customHeight="1">
      <c r="A12" s="79">
        <v>10010.0</v>
      </c>
      <c r="B12" s="79" t="s">
        <v>1230</v>
      </c>
      <c r="C12" s="79" t="s">
        <v>238</v>
      </c>
      <c r="D12" s="79" t="s">
        <v>173</v>
      </c>
      <c r="E12" s="79" t="s">
        <v>1331</v>
      </c>
      <c r="F12" s="80" t="s">
        <v>1371</v>
      </c>
      <c r="G12" s="81"/>
      <c r="H12" s="79" t="s">
        <v>837</v>
      </c>
      <c r="I12" s="80">
        <v>2000.0</v>
      </c>
      <c r="J12" s="81"/>
      <c r="K12" s="79" t="s">
        <v>289</v>
      </c>
      <c r="L12" s="80">
        <v>40.0</v>
      </c>
      <c r="M12" s="79" t="s">
        <v>1373</v>
      </c>
      <c r="N12" s="79" t="s">
        <v>1374</v>
      </c>
      <c r="O12" s="79" t="s">
        <v>1375</v>
      </c>
      <c r="P12" s="83">
        <v>41953.0</v>
      </c>
      <c r="Q12" s="81"/>
      <c r="R12" s="86" t="str">
        <f>HYPERLINK("https://www.washingtonpost.com/news/wonk/wp/2014/11/10/conservatives-dont-hate-climate-science-they-hate-the-lefts-climate-solutions/","https://www.washingtonpost.com/news/wonk/wp/2014/11/10/conservatives-dont-hate-climate-science-they-hate-the-lefts-climate-solutions/")</f>
        <v>https://www.washingtonpost.com/news/wonk/wp/2014/11/10/conservatives-dont-hate-climate-science-they-hate-the-lefts-climate-solutions/</v>
      </c>
      <c r="S12" s="81"/>
      <c r="T12" s="81" t="s">
        <v>1380</v>
      </c>
      <c r="U12" s="81" t="s">
        <v>1381</v>
      </c>
      <c r="V12" s="81"/>
      <c r="W12" s="81" t="s">
        <v>600</v>
      </c>
      <c r="X12" s="81"/>
      <c r="Y12" s="88"/>
      <c r="Z12" s="88"/>
      <c r="AA12" s="81"/>
      <c r="AB12" s="81"/>
      <c r="AC12" s="88"/>
      <c r="AD12" s="81"/>
      <c r="AE12" s="81"/>
      <c r="AF12" s="81"/>
      <c r="AG12" s="81"/>
      <c r="AH12" s="81"/>
      <c r="AI12" s="81"/>
      <c r="AJ12" s="81"/>
      <c r="AK12" s="81"/>
      <c r="AL12" s="79"/>
    </row>
    <row r="13" ht="22.5" customHeight="1">
      <c r="A13" s="79">
        <v>10011.0</v>
      </c>
      <c r="B13" s="79" t="s">
        <v>1230</v>
      </c>
      <c r="C13" s="79" t="s">
        <v>238</v>
      </c>
      <c r="D13" s="79" t="s">
        <v>173</v>
      </c>
      <c r="E13" s="79" t="s">
        <v>1361</v>
      </c>
      <c r="F13" s="80" t="s">
        <v>1383</v>
      </c>
      <c r="G13" s="81"/>
      <c r="H13" s="79" t="s">
        <v>837</v>
      </c>
      <c r="I13" s="80">
        <v>2000.0</v>
      </c>
      <c r="J13" s="81"/>
      <c r="K13" s="79" t="s">
        <v>289</v>
      </c>
      <c r="L13" s="80">
        <v>40.0</v>
      </c>
      <c r="M13" s="79" t="s">
        <v>1384</v>
      </c>
      <c r="N13" s="79" t="s">
        <v>1385</v>
      </c>
      <c r="O13" s="79" t="s">
        <v>1325</v>
      </c>
      <c r="P13" s="83">
        <v>41953.0</v>
      </c>
      <c r="Q13" s="81" t="s">
        <v>1390</v>
      </c>
      <c r="R13" s="86" t="str">
        <f>HYPERLINK("http://dotearth.blogs.nytimes.com/2014/11/10/how-solution-aversion-and-global-warming-prescriptions-polarize-the-climate-debate/?emc=edit_tnt_20141111&amp;nlid=59604398&amp;tntemail0=y&amp;_r=2","http://dotearth.blogs.nytimes.com/2014/11/10/how-solution-aversion-and-global-warming-prescriptions-polarize-the-climate-debate/?emc=edit_tnt_20141111&amp;nlid=59604398&amp;tntemail0=y&amp;_r=2")</f>
        <v>http://dotearth.blogs.nytimes.com/2014/11/10/how-solution-aversion-and-global-warming-prescriptions-polarize-the-climate-debate/?emc=edit_tnt_20141111&amp;nlid=59604398&amp;tntemail0=y&amp;_r=2</v>
      </c>
      <c r="S13" s="81"/>
      <c r="T13" s="81" t="s">
        <v>462</v>
      </c>
      <c r="U13" s="81" t="s">
        <v>462</v>
      </c>
      <c r="V13" s="81" t="s">
        <v>676</v>
      </c>
      <c r="W13" s="81" t="s">
        <v>600</v>
      </c>
      <c r="X13" s="81"/>
      <c r="Y13" s="88"/>
      <c r="Z13" s="93"/>
      <c r="AA13" s="81"/>
      <c r="AB13" s="81"/>
      <c r="AC13" s="88"/>
      <c r="AD13" s="81" t="s">
        <v>1406</v>
      </c>
      <c r="AE13" s="81"/>
      <c r="AF13" s="81"/>
      <c r="AG13" s="81"/>
      <c r="AH13" s="81" t="s">
        <v>428</v>
      </c>
      <c r="AI13" s="81"/>
      <c r="AJ13" s="81"/>
      <c r="AK13" s="81"/>
      <c r="AL13" s="79"/>
    </row>
    <row r="14" ht="22.5" customHeight="1">
      <c r="A14" s="79">
        <v>10012.0</v>
      </c>
      <c r="B14" s="79" t="s">
        <v>1230</v>
      </c>
      <c r="C14" s="79" t="s">
        <v>238</v>
      </c>
      <c r="D14" s="79" t="s">
        <v>173</v>
      </c>
      <c r="E14" s="79" t="s">
        <v>887</v>
      </c>
      <c r="F14" s="80">
        <v>9.0</v>
      </c>
      <c r="G14" s="81"/>
      <c r="H14" s="79" t="s">
        <v>224</v>
      </c>
      <c r="I14" s="80"/>
      <c r="J14" s="81"/>
      <c r="K14" s="79" t="s">
        <v>324</v>
      </c>
      <c r="L14" s="80" t="s">
        <v>325</v>
      </c>
      <c r="M14" s="79" t="s">
        <v>1170</v>
      </c>
      <c r="N14" s="79" t="s">
        <v>1171</v>
      </c>
      <c r="O14" s="79" t="s">
        <v>1172</v>
      </c>
      <c r="P14" s="83">
        <v>42167.0</v>
      </c>
      <c r="Q14" s="81" t="s">
        <v>1173</v>
      </c>
      <c r="R14" s="86" t="str">
        <f>HYPERLINK("http://www.businessinsider.com/subtle-grocery-store-psychological-biases-2015-6?r=UK","http://www.businessinsider.com/subtle-grocery-store-psychological-biases-2015-6?r=UK")</f>
        <v>http://www.businessinsider.com/subtle-grocery-store-psychological-biases-2015-6?r=UK</v>
      </c>
      <c r="S14" s="81"/>
      <c r="T14" s="81" t="s">
        <v>462</v>
      </c>
      <c r="U14" s="81" t="s">
        <v>462</v>
      </c>
      <c r="V14" s="81" t="s">
        <v>676</v>
      </c>
      <c r="W14" s="81" t="s">
        <v>769</v>
      </c>
      <c r="X14" s="81"/>
      <c r="Y14" s="88">
        <v>45847.0</v>
      </c>
      <c r="Z14" s="81"/>
      <c r="AA14" s="81" t="s">
        <v>769</v>
      </c>
      <c r="AB14" s="81"/>
      <c r="AC14" s="88">
        <v>42219.0</v>
      </c>
      <c r="AD14" s="81"/>
      <c r="AE14" s="81"/>
      <c r="AF14" s="81"/>
      <c r="AG14" s="81"/>
      <c r="AH14" s="81"/>
      <c r="AI14" s="81"/>
      <c r="AJ14" s="81"/>
      <c r="AK14" s="81"/>
      <c r="AL14" s="79"/>
    </row>
    <row r="15" ht="22.5" customHeight="1">
      <c r="A15" s="79">
        <v>10013.0</v>
      </c>
      <c r="B15" s="79" t="s">
        <v>1230</v>
      </c>
      <c r="C15" s="79" t="s">
        <v>238</v>
      </c>
      <c r="D15" s="79" t="s">
        <v>173</v>
      </c>
      <c r="E15" s="79" t="s">
        <v>265</v>
      </c>
      <c r="F15" s="80">
        <v>9.0</v>
      </c>
      <c r="G15" s="81"/>
      <c r="H15" s="79" t="s">
        <v>224</v>
      </c>
      <c r="I15" s="80"/>
      <c r="J15" s="81"/>
      <c r="K15" s="79" t="s">
        <v>289</v>
      </c>
      <c r="L15" s="80">
        <v>40.0</v>
      </c>
      <c r="M15" s="79" t="s">
        <v>938</v>
      </c>
      <c r="N15" s="79" t="s">
        <v>939</v>
      </c>
      <c r="O15" s="79" t="s">
        <v>940</v>
      </c>
      <c r="P15" s="83">
        <v>42061.0</v>
      </c>
      <c r="Q15" s="81" t="s">
        <v>941</v>
      </c>
      <c r="R15" s="86" t="str">
        <f>HYPERLINK("https://appmothers.wordpress.com/2015/02/26/critical-thinking-first-remove-bias/","https://appmothers.wordpress.com/2015/02/26/critical-thinking-first-remove-bias/")</f>
        <v>https://appmothers.wordpress.com/2015/02/26/critical-thinking-first-remove-bias/</v>
      </c>
      <c r="S15" s="81"/>
      <c r="T15" s="81" t="s">
        <v>462</v>
      </c>
      <c r="U15" s="81" t="s">
        <v>462</v>
      </c>
      <c r="V15" s="81"/>
      <c r="W15" s="81" t="s">
        <v>769</v>
      </c>
      <c r="X15" s="81"/>
      <c r="Y15" s="88">
        <v>42558.0</v>
      </c>
      <c r="Z15" s="81"/>
      <c r="AA15" s="81"/>
      <c r="AB15" s="81"/>
      <c r="AC15" s="81"/>
      <c r="AD15" s="81"/>
      <c r="AE15" s="81"/>
      <c r="AF15" s="81"/>
      <c r="AG15" s="81"/>
      <c r="AH15" s="81"/>
      <c r="AI15" s="81"/>
      <c r="AJ15" s="81"/>
      <c r="AK15" s="81"/>
      <c r="AL15" s="79"/>
    </row>
    <row r="16" ht="22.5" customHeight="1">
      <c r="A16" s="79">
        <v>10014.0</v>
      </c>
      <c r="B16" s="79" t="s">
        <v>1230</v>
      </c>
      <c r="C16" s="79" t="s">
        <v>238</v>
      </c>
      <c r="D16" s="79" t="s">
        <v>173</v>
      </c>
      <c r="E16" s="79" t="s">
        <v>1422</v>
      </c>
      <c r="F16" s="80">
        <v>9.0</v>
      </c>
      <c r="G16" s="81"/>
      <c r="H16" s="79" t="s">
        <v>644</v>
      </c>
      <c r="I16" s="80">
        <v>2000.0</v>
      </c>
      <c r="J16" s="81"/>
      <c r="K16" s="79" t="s">
        <v>289</v>
      </c>
      <c r="L16" s="80">
        <v>40.0</v>
      </c>
      <c r="M16" s="79" t="s">
        <v>1423</v>
      </c>
      <c r="N16" s="79" t="s">
        <v>1424</v>
      </c>
      <c r="O16" s="79" t="s">
        <v>1265</v>
      </c>
      <c r="P16" s="83">
        <v>42181.0</v>
      </c>
      <c r="Q16" s="81" t="s">
        <v>1426</v>
      </c>
      <c r="R16" s="86" t="str">
        <f>HYPERLINK("http://grist.org/people/does-shame-have-a-place-in-the-climate-fight-jennifer-jacquet-thinks-so/?utm_source=twitter&amp;utm_medium=tweet&amp;utm_campaign=socialflow","http://grist.org/people/does-shame-have-a-place-in-the-climate-fight-jennifer-jacquet-thinks-so/?utm_source=twitter&amp;utm_medium=tweet&amp;utm_campaign=socialflow")</f>
        <v>http://grist.org/people/does-shame-have-a-place-in-the-climate-fight-jennifer-jacquet-thinks-so/?utm_source=twitter&amp;utm_medium=tweet&amp;utm_campaign=socialflow</v>
      </c>
      <c r="S16" s="81"/>
      <c r="T16" s="81" t="s">
        <v>462</v>
      </c>
      <c r="U16" s="81" t="s">
        <v>462</v>
      </c>
      <c r="V16" s="81" t="s">
        <v>676</v>
      </c>
      <c r="W16" s="81" t="s">
        <v>769</v>
      </c>
      <c r="X16" s="81" t="s">
        <v>1432</v>
      </c>
      <c r="Y16" s="88">
        <v>42188.0</v>
      </c>
      <c r="Z16" s="88">
        <v>42529.0</v>
      </c>
      <c r="AA16" s="81" t="s">
        <v>769</v>
      </c>
      <c r="AB16" s="81"/>
      <c r="AC16" s="88">
        <v>42221.0</v>
      </c>
      <c r="AD16" s="81"/>
      <c r="AE16" s="81"/>
      <c r="AF16" s="81"/>
      <c r="AG16" s="81"/>
      <c r="AH16" s="81"/>
      <c r="AI16" s="81"/>
      <c r="AJ16" s="81"/>
      <c r="AK16" s="81"/>
      <c r="AL16" s="79"/>
    </row>
    <row r="17" ht="22.5" customHeight="1">
      <c r="A17" s="79">
        <v>10015.0</v>
      </c>
      <c r="B17" s="79" t="s">
        <v>1230</v>
      </c>
      <c r="C17" s="79" t="s">
        <v>238</v>
      </c>
      <c r="D17" s="79" t="s">
        <v>173</v>
      </c>
      <c r="E17" s="79" t="s">
        <v>1422</v>
      </c>
      <c r="F17" s="80">
        <v>9.0</v>
      </c>
      <c r="G17" s="81"/>
      <c r="H17" s="79" t="s">
        <v>224</v>
      </c>
      <c r="I17" s="80"/>
      <c r="J17" s="81"/>
      <c r="K17" s="79" t="s">
        <v>289</v>
      </c>
      <c r="L17" s="80">
        <v>40.0</v>
      </c>
      <c r="M17" s="79" t="s">
        <v>1433</v>
      </c>
      <c r="N17" s="79" t="s">
        <v>188</v>
      </c>
      <c r="O17" s="79" t="s">
        <v>1434</v>
      </c>
      <c r="P17" s="83">
        <v>40087.0</v>
      </c>
      <c r="Q17" s="81" t="s">
        <v>1435</v>
      </c>
      <c r="R17" s="86" t="str">
        <f>HYPERLINK("http://www.brainfacts.org/sensing-thinking-behaving/awareness-and-attention/articles/2009/decision-making/","http://www.brainfacts.org/sensing-thinking-behaving/awareness-and-attention/articles/2009/decision-making/")</f>
        <v>http://www.brainfacts.org/sensing-thinking-behaving/awareness-and-attention/articles/2009/decision-making/</v>
      </c>
      <c r="S17" s="81"/>
      <c r="T17" s="81" t="s">
        <v>462</v>
      </c>
      <c r="U17" s="81" t="s">
        <v>462</v>
      </c>
      <c r="V17" s="81" t="s">
        <v>676</v>
      </c>
      <c r="W17" s="81" t="s">
        <v>769</v>
      </c>
      <c r="X17" s="81" t="s">
        <v>1442</v>
      </c>
      <c r="Y17" s="88">
        <v>42306.0</v>
      </c>
      <c r="Z17" s="88">
        <v>42637.0</v>
      </c>
      <c r="AA17" s="81"/>
      <c r="AB17" s="81"/>
      <c r="AC17" s="88"/>
      <c r="AD17" s="81"/>
      <c r="AE17" s="81"/>
      <c r="AF17" s="81"/>
      <c r="AG17" s="81"/>
      <c r="AH17" s="81"/>
      <c r="AI17" s="81"/>
      <c r="AJ17" s="79"/>
      <c r="AK17" s="79"/>
      <c r="AL17" s="79"/>
    </row>
    <row r="18" ht="22.5" customHeight="1">
      <c r="A18" s="79">
        <v>10016.0</v>
      </c>
      <c r="B18" s="79" t="s">
        <v>1230</v>
      </c>
      <c r="C18" s="79" t="s">
        <v>238</v>
      </c>
      <c r="D18" s="79" t="s">
        <v>173</v>
      </c>
      <c r="E18" s="79" t="s">
        <v>1443</v>
      </c>
      <c r="F18" s="80" t="s">
        <v>757</v>
      </c>
      <c r="G18" s="81"/>
      <c r="H18" s="79" t="s">
        <v>224</v>
      </c>
      <c r="I18" s="80"/>
      <c r="J18" s="81"/>
      <c r="K18" s="79" t="s">
        <v>289</v>
      </c>
      <c r="L18" s="80">
        <v>40.0</v>
      </c>
      <c r="M18" s="79" t="s">
        <v>1444</v>
      </c>
      <c r="N18" s="79" t="s">
        <v>1445</v>
      </c>
      <c r="O18" s="79" t="s">
        <v>1325</v>
      </c>
      <c r="P18" s="83">
        <v>42273.0</v>
      </c>
      <c r="Q18" s="81" t="s">
        <v>1446</v>
      </c>
      <c r="R18" s="86" t="str">
        <f>HYPERLINK("http://www.nytimes.com/2015/09/27/opinion/sunday/the-curious-politics-of-the-nudge.html?smid=tw-nytopinion&amp;smtyp=cur","http://www.nytimes.com/2015/09/27/opinion/sunday/the-curious-politics-of-the-nudge.html?smid=tw-nytopinion&amp;smtyp=cur")</f>
        <v>http://www.nytimes.com/2015/09/27/opinion/sunday/the-curious-politics-of-the-nudge.html?smid=tw-nytopinion&amp;smtyp=cur</v>
      </c>
      <c r="S18" s="81"/>
      <c r="T18" s="81" t="s">
        <v>462</v>
      </c>
      <c r="U18" s="81" t="s">
        <v>462</v>
      </c>
      <c r="V18" s="81" t="s">
        <v>676</v>
      </c>
      <c r="W18" s="81" t="s">
        <v>677</v>
      </c>
      <c r="X18" s="81"/>
      <c r="Y18" s="88"/>
      <c r="Z18" s="81"/>
      <c r="AA18" s="81"/>
      <c r="AB18" s="81"/>
      <c r="AC18" s="88"/>
      <c r="AD18" s="81"/>
      <c r="AE18" s="81"/>
      <c r="AF18" s="81"/>
      <c r="AG18" s="81"/>
      <c r="AH18" s="81"/>
      <c r="AI18" s="81"/>
      <c r="AJ18" s="79"/>
      <c r="AK18" s="79"/>
      <c r="AL18" s="79"/>
    </row>
    <row r="19" ht="22.5" customHeight="1">
      <c r="A19" s="79">
        <v>10017.0</v>
      </c>
      <c r="B19" s="79" t="s">
        <v>1230</v>
      </c>
      <c r="C19" s="79" t="s">
        <v>238</v>
      </c>
      <c r="D19" s="79" t="s">
        <v>173</v>
      </c>
      <c r="E19" s="79" t="s">
        <v>1454</v>
      </c>
      <c r="F19" s="80"/>
      <c r="G19" s="81"/>
      <c r="H19" s="79" t="s">
        <v>224</v>
      </c>
      <c r="I19" s="80"/>
      <c r="J19" s="81"/>
      <c r="K19" s="79" t="s">
        <v>289</v>
      </c>
      <c r="L19" s="80">
        <v>40.0</v>
      </c>
      <c r="M19" s="79" t="s">
        <v>1458</v>
      </c>
      <c r="N19" s="79" t="s">
        <v>1459</v>
      </c>
      <c r="O19" s="79" t="s">
        <v>1460</v>
      </c>
      <c r="P19" s="83">
        <v>40704.0</v>
      </c>
      <c r="Q19" s="81"/>
      <c r="R19" s="86" t="str">
        <f>HYPERLINK("http://youarenotsosmart.com/2011/06/10/the-backfire-effect/","http://youarenotsosmart.com/2011/06/10/the-backfire-effect/")</f>
        <v>http://youarenotsosmart.com/2011/06/10/the-backfire-effect/</v>
      </c>
      <c r="S19" s="81"/>
      <c r="T19" s="81" t="s">
        <v>428</v>
      </c>
      <c r="U19" s="81" t="s">
        <v>462</v>
      </c>
      <c r="V19" s="81"/>
      <c r="W19" s="81" t="s">
        <v>677</v>
      </c>
      <c r="X19" s="81"/>
      <c r="Y19" s="88"/>
      <c r="Z19" s="81"/>
      <c r="AA19" s="81"/>
      <c r="AB19" s="81"/>
      <c r="AC19" s="88"/>
      <c r="AD19" s="81"/>
      <c r="AE19" s="81"/>
      <c r="AF19" s="81"/>
      <c r="AG19" s="81"/>
      <c r="AH19" s="81"/>
      <c r="AI19" s="81"/>
      <c r="AJ19" s="79"/>
      <c r="AK19" s="79"/>
      <c r="AL19" s="79"/>
    </row>
    <row r="20" ht="22.5" customHeight="1">
      <c r="A20" s="79">
        <v>10018.0</v>
      </c>
      <c r="B20" s="79" t="s">
        <v>1230</v>
      </c>
      <c r="C20" s="79" t="s">
        <v>238</v>
      </c>
      <c r="D20" s="79" t="s">
        <v>173</v>
      </c>
      <c r="E20" s="79" t="s">
        <v>1466</v>
      </c>
      <c r="F20" s="80"/>
      <c r="G20" s="81"/>
      <c r="H20" s="79" t="s">
        <v>837</v>
      </c>
      <c r="I20" s="80">
        <v>2000.0</v>
      </c>
      <c r="J20" s="81"/>
      <c r="K20" s="79" t="s">
        <v>289</v>
      </c>
      <c r="L20" s="80">
        <v>40.0</v>
      </c>
      <c r="M20" s="79" t="s">
        <v>1467</v>
      </c>
      <c r="N20" s="79" t="s">
        <v>1468</v>
      </c>
      <c r="O20" s="79" t="s">
        <v>1265</v>
      </c>
      <c r="P20" s="83">
        <v>41767.0</v>
      </c>
      <c r="Q20" s="81"/>
      <c r="R20" s="86" t="str">
        <f>HYPERLINK("http://grist.org/politics/why-there-is-no-liberal-equivalent-to-climate-change-denial/","http://grist.org/politics/why-there-is-no-liberal-equivalent-to-climate-change-denial/")</f>
        <v>http://grist.org/politics/why-there-is-no-liberal-equivalent-to-climate-change-denial/</v>
      </c>
      <c r="S20" s="81" t="s">
        <v>1473</v>
      </c>
      <c r="T20" s="81" t="s">
        <v>462</v>
      </c>
      <c r="U20" s="81" t="s">
        <v>462</v>
      </c>
      <c r="V20" s="81" t="s">
        <v>1474</v>
      </c>
      <c r="W20" s="81" t="s">
        <v>769</v>
      </c>
      <c r="X20" s="81" t="s">
        <v>1475</v>
      </c>
      <c r="Y20" s="88">
        <v>42192.0</v>
      </c>
      <c r="Z20" s="81"/>
      <c r="AA20" s="81"/>
      <c r="AB20" s="81"/>
      <c r="AC20" s="88"/>
      <c r="AD20" s="81"/>
      <c r="AE20" s="81"/>
      <c r="AF20" s="81"/>
      <c r="AG20" s="81"/>
      <c r="AH20" s="81"/>
      <c r="AI20" s="81"/>
      <c r="AJ20" s="79"/>
      <c r="AK20" s="79"/>
      <c r="AL20" s="79"/>
    </row>
    <row r="21" ht="22.5" customHeight="1">
      <c r="A21" s="79">
        <v>10019.0</v>
      </c>
      <c r="B21" s="79" t="s">
        <v>1230</v>
      </c>
      <c r="C21" s="79" t="s">
        <v>238</v>
      </c>
      <c r="D21" s="79" t="s">
        <v>173</v>
      </c>
      <c r="E21" s="79" t="s">
        <v>1466</v>
      </c>
      <c r="F21" s="80"/>
      <c r="G21" s="81"/>
      <c r="H21" s="79" t="s">
        <v>224</v>
      </c>
      <c r="I21" s="80"/>
      <c r="J21" s="81"/>
      <c r="K21" s="79" t="s">
        <v>289</v>
      </c>
      <c r="L21" s="80">
        <v>40.0</v>
      </c>
      <c r="M21" s="79" t="s">
        <v>1479</v>
      </c>
      <c r="N21" s="79" t="s">
        <v>752</v>
      </c>
      <c r="O21" s="79" t="s">
        <v>1325</v>
      </c>
      <c r="P21" s="83">
        <v>41767.0</v>
      </c>
      <c r="Q21" s="81"/>
      <c r="R21" s="86" t="str">
        <f>HYPERLINK("http://www.nytimes.com/2014/05/09/upshot/vaccine-opponents-can-be-immune-to-education.html?partner=rss&amp;emc=rss&amp;smid=tw-upshot&amp;_r=2&amp;abt=0002&amp;abg=0","http://www.nytimes.com/2014/05/09/upshot/vaccine-opponents-can-be-immune-to-education.html?partner=rss&amp;emc=rss&amp;smid=tw-upshot&amp;_r=2&amp;abt=0002&amp;abg=0")</f>
        <v>http://www.nytimes.com/2014/05/09/upshot/vaccine-opponents-can-be-immune-to-education.html?partner=rss&amp;emc=rss&amp;smid=tw-upshot&amp;_r=2&amp;abt=0002&amp;abg=0</v>
      </c>
      <c r="S21" s="81"/>
      <c r="T21" s="81" t="s">
        <v>428</v>
      </c>
      <c r="U21" s="81" t="s">
        <v>462</v>
      </c>
      <c r="V21" s="81"/>
      <c r="W21" s="81" t="s">
        <v>677</v>
      </c>
      <c r="X21" s="81"/>
      <c r="Y21" s="88"/>
      <c r="Z21" s="81"/>
      <c r="AA21" s="81"/>
      <c r="AB21" s="81"/>
      <c r="AC21" s="88"/>
      <c r="AD21" s="81"/>
      <c r="AE21" s="81"/>
      <c r="AF21" s="81"/>
      <c r="AG21" s="81"/>
      <c r="AH21" s="81"/>
      <c r="AI21" s="81"/>
      <c r="AJ21" s="79"/>
      <c r="AK21" s="79"/>
      <c r="AL21" s="79"/>
    </row>
    <row r="22" ht="22.5" customHeight="1">
      <c r="A22" s="79">
        <v>10020.0</v>
      </c>
      <c r="B22" s="79" t="s">
        <v>1230</v>
      </c>
      <c r="C22" s="79" t="s">
        <v>238</v>
      </c>
      <c r="D22" s="79" t="s">
        <v>173</v>
      </c>
      <c r="E22" s="79" t="s">
        <v>1466</v>
      </c>
      <c r="F22" s="80"/>
      <c r="G22" s="81"/>
      <c r="H22" s="79" t="s">
        <v>837</v>
      </c>
      <c r="I22" s="80">
        <v>2000.0</v>
      </c>
      <c r="J22" s="81"/>
      <c r="K22" s="79" t="s">
        <v>289</v>
      </c>
      <c r="L22" s="80">
        <v>40.0</v>
      </c>
      <c r="M22" s="94" t="s">
        <v>1489</v>
      </c>
      <c r="N22" s="79" t="s">
        <v>1496</v>
      </c>
      <c r="O22" s="79" t="s">
        <v>1375</v>
      </c>
      <c r="P22" s="83">
        <v>42373.0</v>
      </c>
      <c r="Q22" s="81" t="s">
        <v>1497</v>
      </c>
      <c r="R22" s="86" t="str">
        <f>HYPERLINK("https://www.washingtonpost.com/news/energy-environment/wp/2016/01/04/heres-how-scientific-misinformation-such-as-climate-doubt-spreads-through-social-media/","https://www.washingtonpost.com/news/energy-environment/wp/2016/01/04/heres-how-scientific-misinformation-such-as-climate-doubt-spreads-through-social-media/")</f>
        <v>https://www.washingtonpost.com/news/energy-environment/wp/2016/01/04/heres-how-scientific-misinformation-such-as-climate-doubt-spreads-through-social-media/</v>
      </c>
      <c r="S22" s="81"/>
      <c r="T22" s="81"/>
      <c r="U22" s="81"/>
      <c r="V22" s="81"/>
      <c r="W22" s="81" t="s">
        <v>428</v>
      </c>
      <c r="X22" s="81" t="s">
        <v>1502</v>
      </c>
      <c r="Y22" s="88">
        <v>42654.0</v>
      </c>
      <c r="Z22" s="81"/>
      <c r="AA22" s="81"/>
      <c r="AB22" s="81"/>
      <c r="AC22" s="81"/>
      <c r="AD22" s="81"/>
      <c r="AE22" s="81"/>
      <c r="AF22" s="81"/>
      <c r="AG22" s="81"/>
      <c r="AH22" s="81"/>
      <c r="AI22" s="81" t="s">
        <v>428</v>
      </c>
      <c r="AJ22" s="79"/>
      <c r="AK22" s="79"/>
      <c r="AL22" s="79"/>
    </row>
    <row r="23" ht="22.5" customHeight="1">
      <c r="A23" s="79">
        <v>10021.0</v>
      </c>
      <c r="B23" s="79" t="s">
        <v>1230</v>
      </c>
      <c r="C23" s="79" t="s">
        <v>238</v>
      </c>
      <c r="D23" s="79" t="s">
        <v>173</v>
      </c>
      <c r="E23" s="79" t="s">
        <v>1466</v>
      </c>
      <c r="F23" s="80"/>
      <c r="G23" s="81"/>
      <c r="H23" s="79" t="s">
        <v>837</v>
      </c>
      <c r="I23" s="80">
        <v>2000.0</v>
      </c>
      <c r="J23" s="81"/>
      <c r="K23" s="79" t="s">
        <v>289</v>
      </c>
      <c r="L23" s="80">
        <v>40.0</v>
      </c>
      <c r="M23" s="79" t="s">
        <v>1504</v>
      </c>
      <c r="N23" s="79" t="s">
        <v>1374</v>
      </c>
      <c r="O23" s="79" t="s">
        <v>1505</v>
      </c>
      <c r="P23" s="79">
        <v>2011.0</v>
      </c>
      <c r="Q23" s="81"/>
      <c r="R23" s="86" t="str">
        <f>HYPERLINK("http://www.motherjones.com/politics/2011/03/denial-science-chris-mooney","http://www.motherjones.com/politics/2011/03/denial-science-chris-mooney")</f>
        <v>http://www.motherjones.com/politics/2011/03/denial-science-chris-mooney</v>
      </c>
      <c r="S23" s="81"/>
      <c r="T23" s="81" t="s">
        <v>428</v>
      </c>
      <c r="U23" s="81" t="s">
        <v>462</v>
      </c>
      <c r="V23" s="81"/>
      <c r="W23" s="81" t="s">
        <v>600</v>
      </c>
      <c r="X23" s="81"/>
      <c r="Y23" s="88"/>
      <c r="Z23" s="81"/>
      <c r="AA23" s="81"/>
      <c r="AB23" s="81"/>
      <c r="AC23" s="88"/>
      <c r="AD23" s="81"/>
      <c r="AE23" s="81"/>
      <c r="AF23" s="81"/>
      <c r="AG23" s="81"/>
      <c r="AH23" s="81"/>
      <c r="AI23" s="81"/>
      <c r="AJ23" s="79"/>
      <c r="AK23" s="79"/>
      <c r="AL23" s="79"/>
    </row>
    <row r="24" ht="22.5" customHeight="1">
      <c r="A24" s="79">
        <v>10022.0</v>
      </c>
      <c r="B24" s="79" t="s">
        <v>1230</v>
      </c>
      <c r="C24" s="79" t="s">
        <v>238</v>
      </c>
      <c r="D24" s="79" t="s">
        <v>173</v>
      </c>
      <c r="E24" s="79" t="s">
        <v>1466</v>
      </c>
      <c r="F24" s="80"/>
      <c r="G24" s="81"/>
      <c r="H24" s="79" t="s">
        <v>224</v>
      </c>
      <c r="I24" s="80"/>
      <c r="J24" s="81"/>
      <c r="K24" s="79" t="s">
        <v>289</v>
      </c>
      <c r="L24" s="80">
        <v>40.0</v>
      </c>
      <c r="M24" s="79" t="s">
        <v>1511</v>
      </c>
      <c r="N24" s="79" t="s">
        <v>1374</v>
      </c>
      <c r="O24" s="79" t="s">
        <v>1505</v>
      </c>
      <c r="P24" s="83">
        <v>41521.0</v>
      </c>
      <c r="Q24" s="81" t="s">
        <v>1512</v>
      </c>
      <c r="R24" s="86" t="str">
        <f>HYPERLINK("http://www.motherjones.com/politics/2013/09/new-study-politics-makes-you-innumerate","http://www.motherjones.com/politics/2013/09/new-study-politics-makes-you-innumerate")</f>
        <v>http://www.motherjones.com/politics/2013/09/new-study-politics-makes-you-innumerate</v>
      </c>
      <c r="S24" s="81"/>
      <c r="T24" s="81" t="s">
        <v>462</v>
      </c>
      <c r="U24" s="81" t="s">
        <v>462</v>
      </c>
      <c r="V24" s="81" t="s">
        <v>676</v>
      </c>
      <c r="W24" s="81" t="s">
        <v>769</v>
      </c>
      <c r="X24" s="81" t="s">
        <v>1516</v>
      </c>
      <c r="Y24" s="88">
        <v>41957.0</v>
      </c>
      <c r="Z24" s="81" t="s">
        <v>1517</v>
      </c>
      <c r="AA24" s="81" t="s">
        <v>530</v>
      </c>
      <c r="AB24" s="81"/>
      <c r="AC24" s="88"/>
      <c r="AD24" s="81"/>
      <c r="AE24" s="81"/>
      <c r="AF24" s="81"/>
      <c r="AG24" s="81"/>
      <c r="AH24" s="81"/>
      <c r="AI24" s="81"/>
      <c r="AJ24" s="79"/>
      <c r="AK24" s="79"/>
      <c r="AL24" s="79"/>
    </row>
    <row r="25" ht="22.5" customHeight="1">
      <c r="A25" s="79">
        <v>10023.0</v>
      </c>
      <c r="B25" s="79" t="s">
        <v>1230</v>
      </c>
      <c r="C25" s="79" t="s">
        <v>238</v>
      </c>
      <c r="D25" s="79" t="s">
        <v>173</v>
      </c>
      <c r="E25" s="79" t="s">
        <v>1466</v>
      </c>
      <c r="F25" s="80"/>
      <c r="G25" s="81"/>
      <c r="H25" s="79" t="s">
        <v>224</v>
      </c>
      <c r="I25" s="80"/>
      <c r="J25" s="81"/>
      <c r="K25" s="79" t="s">
        <v>289</v>
      </c>
      <c r="L25" s="80">
        <v>40.0</v>
      </c>
      <c r="M25" s="79" t="s">
        <v>1520</v>
      </c>
      <c r="N25" s="79" t="s">
        <v>1521</v>
      </c>
      <c r="O25" s="79" t="s">
        <v>592</v>
      </c>
      <c r="P25" s="83">
        <v>42066.0</v>
      </c>
      <c r="Q25" s="81" t="s">
        <v>1522</v>
      </c>
      <c r="R25" s="86" t="str">
        <f>HYPERLINK("http://www.scientificamerican.com/article/why-people-fly-from-facts/","http://www.scientificamerican.com/article/why-people-fly-from-facts/")</f>
        <v>http://www.scientificamerican.com/article/why-people-fly-from-facts/</v>
      </c>
      <c r="S25" s="81"/>
      <c r="T25" s="81" t="s">
        <v>462</v>
      </c>
      <c r="U25" s="81" t="s">
        <v>462</v>
      </c>
      <c r="V25" s="81" t="s">
        <v>676</v>
      </c>
      <c r="W25" s="81" t="s">
        <v>769</v>
      </c>
      <c r="X25" s="81" t="s">
        <v>1529</v>
      </c>
      <c r="Y25" s="88">
        <v>42193.0</v>
      </c>
      <c r="Z25" s="81"/>
      <c r="AA25" s="81" t="s">
        <v>769</v>
      </c>
      <c r="AB25" s="81"/>
      <c r="AC25" s="88">
        <v>42204.0</v>
      </c>
      <c r="AD25" s="81"/>
      <c r="AE25" s="81"/>
      <c r="AF25" s="81"/>
      <c r="AG25" s="81"/>
      <c r="AH25" s="81"/>
      <c r="AI25" s="81"/>
      <c r="AJ25" s="79"/>
      <c r="AK25" s="79"/>
      <c r="AL25" s="79"/>
    </row>
    <row r="26" ht="22.5" customHeight="1">
      <c r="A26" s="79">
        <v>10024.0</v>
      </c>
      <c r="B26" s="79" t="s">
        <v>1230</v>
      </c>
      <c r="C26" s="79" t="s">
        <v>238</v>
      </c>
      <c r="D26" s="79" t="s">
        <v>173</v>
      </c>
      <c r="E26" s="79" t="s">
        <v>1533</v>
      </c>
      <c r="F26" s="80"/>
      <c r="G26" s="81"/>
      <c r="H26" s="79" t="s">
        <v>578</v>
      </c>
      <c r="I26" s="80">
        <v>2000.0</v>
      </c>
      <c r="J26" s="81"/>
      <c r="K26" s="79" t="s">
        <v>289</v>
      </c>
      <c r="L26" s="80">
        <v>40.0</v>
      </c>
      <c r="M26" s="79" t="s">
        <v>1537</v>
      </c>
      <c r="N26" s="79" t="s">
        <v>1539</v>
      </c>
      <c r="O26" s="79" t="s">
        <v>1540</v>
      </c>
      <c r="P26" s="83">
        <v>42165.0</v>
      </c>
      <c r="Q26" s="81"/>
      <c r="R26" s="86" t="str">
        <f>HYPERLINK("http://motherboard.vice.com/read/apocalypse-neuro-why-our-brain-cant-process-the-planets-gravest-threats?utm_source=mbtwitter","http://motherboard.vice.com/read/apocalypse-neuro-why-our-brain-cant-process-the-planets-gravest-threats?utm_source=mbtwitter")</f>
        <v>http://motherboard.vice.com/read/apocalypse-neuro-why-our-brain-cant-process-the-planets-gravest-threats?utm_source=mbtwitter</v>
      </c>
      <c r="S26" s="81" t="s">
        <v>1542</v>
      </c>
      <c r="T26" s="81" t="s">
        <v>462</v>
      </c>
      <c r="U26" s="81" t="s">
        <v>462</v>
      </c>
      <c r="V26" s="81" t="s">
        <v>676</v>
      </c>
      <c r="W26" s="81" t="s">
        <v>769</v>
      </c>
      <c r="X26" s="81" t="s">
        <v>1544</v>
      </c>
      <c r="Y26" s="88">
        <v>42173.0</v>
      </c>
      <c r="Z26" s="88">
        <v>42583.0</v>
      </c>
      <c r="AA26" s="81"/>
      <c r="AB26" s="81"/>
      <c r="AC26" s="88"/>
      <c r="AD26" s="81" t="s">
        <v>1406</v>
      </c>
      <c r="AE26" s="81"/>
      <c r="AF26" s="81"/>
      <c r="AG26" s="81"/>
      <c r="AH26" s="81" t="s">
        <v>428</v>
      </c>
      <c r="AI26" s="81"/>
      <c r="AJ26" s="79"/>
      <c r="AK26" s="79"/>
      <c r="AL26" s="79"/>
    </row>
    <row r="27" ht="22.5" customHeight="1">
      <c r="A27" s="79">
        <v>10025.0</v>
      </c>
      <c r="B27" s="79" t="s">
        <v>1230</v>
      </c>
      <c r="C27" s="79" t="s">
        <v>238</v>
      </c>
      <c r="D27" s="79" t="s">
        <v>173</v>
      </c>
      <c r="E27" s="79" t="s">
        <v>1545</v>
      </c>
      <c r="F27" s="80"/>
      <c r="G27" s="81"/>
      <c r="H27" s="79" t="s">
        <v>837</v>
      </c>
      <c r="I27" s="80">
        <v>2000.0</v>
      </c>
      <c r="J27" s="81"/>
      <c r="K27" s="79" t="s">
        <v>289</v>
      </c>
      <c r="L27" s="80">
        <v>40.0</v>
      </c>
      <c r="M27" s="79" t="s">
        <v>1547</v>
      </c>
      <c r="N27" s="79" t="s">
        <v>1549</v>
      </c>
      <c r="O27" s="79" t="s">
        <v>1551</v>
      </c>
      <c r="P27" s="83">
        <v>42074.0</v>
      </c>
      <c r="Q27" s="81" t="s">
        <v>1552</v>
      </c>
      <c r="R27" s="86" t="str">
        <f>HYPERLINK("http://www.stanforddaily.com/2015/03/11/the-medias-role-in-climate-change-action/","http://www.stanforddaily.com/2015/03/11/the-medias-role-in-climate-change-action/")</f>
        <v>http://www.stanforddaily.com/2015/03/11/the-medias-role-in-climate-change-action/</v>
      </c>
      <c r="S27" s="81"/>
      <c r="T27" s="81" t="s">
        <v>462</v>
      </c>
      <c r="U27" s="81" t="s">
        <v>462</v>
      </c>
      <c r="V27" s="81"/>
      <c r="W27" s="81" t="s">
        <v>769</v>
      </c>
      <c r="X27" s="81" t="s">
        <v>1554</v>
      </c>
      <c r="Y27" s="88">
        <v>42082.0</v>
      </c>
      <c r="Z27" s="96" t="str">
        <f>HYPERLINK("http://t.co/xPyMtdeaky","6/15/2016")</f>
        <v>6/15/2016</v>
      </c>
      <c r="AA27" s="81" t="s">
        <v>769</v>
      </c>
      <c r="AB27" s="81"/>
      <c r="AC27" s="88">
        <v>42086.0</v>
      </c>
      <c r="AD27" s="81"/>
      <c r="AE27" s="81"/>
      <c r="AF27" s="81"/>
      <c r="AG27" s="81"/>
      <c r="AH27" s="81"/>
      <c r="AI27" s="81"/>
      <c r="AJ27" s="79"/>
      <c r="AK27" s="79"/>
      <c r="AL27" s="79"/>
    </row>
    <row r="28" ht="22.5" customHeight="1">
      <c r="A28" s="79">
        <v>10026.0</v>
      </c>
      <c r="B28" s="79" t="s">
        <v>1230</v>
      </c>
      <c r="C28" s="79" t="s">
        <v>238</v>
      </c>
      <c r="D28" s="79" t="s">
        <v>173</v>
      </c>
      <c r="E28" s="79" t="s">
        <v>1568</v>
      </c>
      <c r="F28" s="80"/>
      <c r="G28" s="81"/>
      <c r="H28" s="79" t="s">
        <v>224</v>
      </c>
      <c r="I28" s="80"/>
      <c r="J28" s="81"/>
      <c r="K28" s="79" t="s">
        <v>111</v>
      </c>
      <c r="L28" s="80">
        <v>41.0</v>
      </c>
      <c r="M28" s="79" t="s">
        <v>1569</v>
      </c>
      <c r="N28" s="79" t="s">
        <v>1570</v>
      </c>
      <c r="O28" s="79" t="s">
        <v>1571</v>
      </c>
      <c r="P28" s="83">
        <v>41414.0</v>
      </c>
      <c r="Q28" s="81" t="s">
        <v>1435</v>
      </c>
      <c r="R28" s="86" t="str">
        <f>HYPERLINK("https://www.psychologytoday.com/blog/the-power-prime/201305/cognitive-biases-are-bad-business","https://www.psychologytoday.com/blog/the-power-prime/201305/cognitive-biases-are-bad-business")</f>
        <v>https://www.psychologytoday.com/blog/the-power-prime/201305/cognitive-biases-are-bad-business</v>
      </c>
      <c r="S28" s="81"/>
      <c r="T28" s="81" t="s">
        <v>462</v>
      </c>
      <c r="U28" s="81" t="s">
        <v>462</v>
      </c>
      <c r="V28" s="81" t="s">
        <v>676</v>
      </c>
      <c r="W28" s="81" t="s">
        <v>769</v>
      </c>
      <c r="X28" s="81" t="s">
        <v>1574</v>
      </c>
      <c r="Y28" s="88">
        <v>42311.0</v>
      </c>
      <c r="Z28" s="81"/>
      <c r="AA28" s="81"/>
      <c r="AB28" s="81"/>
      <c r="AC28" s="88"/>
      <c r="AD28" s="81"/>
      <c r="AE28" s="81"/>
      <c r="AF28" s="81"/>
      <c r="AG28" s="81"/>
      <c r="AH28" s="81"/>
      <c r="AI28" s="81"/>
      <c r="AJ28" s="79"/>
      <c r="AK28" s="79"/>
      <c r="AL28" s="79"/>
    </row>
    <row r="29" ht="22.5" customHeight="1">
      <c r="A29" s="79">
        <v>10027.0</v>
      </c>
      <c r="B29" s="79" t="s">
        <v>1230</v>
      </c>
      <c r="C29" s="79" t="s">
        <v>238</v>
      </c>
      <c r="D29" s="79" t="s">
        <v>173</v>
      </c>
      <c r="E29" s="79" t="s">
        <v>1568</v>
      </c>
      <c r="F29" s="80"/>
      <c r="G29" s="81"/>
      <c r="H29" s="79" t="s">
        <v>224</v>
      </c>
      <c r="I29" s="80"/>
      <c r="J29" s="81"/>
      <c r="K29" s="79" t="s">
        <v>111</v>
      </c>
      <c r="L29" s="80">
        <v>41.0</v>
      </c>
      <c r="M29" s="79" t="s">
        <v>1575</v>
      </c>
      <c r="N29" s="79" t="s">
        <v>1576</v>
      </c>
      <c r="O29" s="79" t="s">
        <v>1577</v>
      </c>
      <c r="P29" s="83">
        <v>42031.0</v>
      </c>
      <c r="Q29" s="81" t="s">
        <v>1581</v>
      </c>
      <c r="R29" s="86" t="str">
        <f>HYPERLINK("http://www.wbs.ac.uk/news/blissful-ignorance-is-almost-our-natural-state/","http://www.wbs.ac.uk/news/blissful-ignorance-is-almost-our-natural-state/")</f>
        <v>http://www.wbs.ac.uk/news/blissful-ignorance-is-almost-our-natural-state/</v>
      </c>
      <c r="S29" s="81"/>
      <c r="T29" s="81" t="s">
        <v>462</v>
      </c>
      <c r="U29" s="81" t="s">
        <v>462</v>
      </c>
      <c r="V29" s="81"/>
      <c r="W29" s="81" t="s">
        <v>769</v>
      </c>
      <c r="X29" s="81" t="s">
        <v>1589</v>
      </c>
      <c r="Y29" s="88">
        <v>42445.0</v>
      </c>
      <c r="Z29" s="88"/>
      <c r="AA29" s="81" t="s">
        <v>769</v>
      </c>
      <c r="AB29" s="81"/>
      <c r="AC29" s="88">
        <v>42053.0</v>
      </c>
      <c r="AD29" s="81"/>
      <c r="AE29" s="81"/>
      <c r="AF29" s="81"/>
      <c r="AG29" s="81"/>
      <c r="AH29" s="81"/>
      <c r="AI29" s="81"/>
      <c r="AJ29" s="79"/>
      <c r="AK29" s="79"/>
      <c r="AL29" s="79"/>
    </row>
    <row r="30" ht="22.5" customHeight="1">
      <c r="A30" s="79">
        <v>10028.0</v>
      </c>
      <c r="B30" s="79" t="s">
        <v>1230</v>
      </c>
      <c r="C30" s="79" t="s">
        <v>238</v>
      </c>
      <c r="D30" s="79" t="s">
        <v>173</v>
      </c>
      <c r="E30" s="79" t="s">
        <v>1568</v>
      </c>
      <c r="F30" s="80"/>
      <c r="G30" s="81"/>
      <c r="H30" s="79" t="s">
        <v>224</v>
      </c>
      <c r="I30" s="80"/>
      <c r="J30" s="81"/>
      <c r="K30" s="79" t="s">
        <v>1590</v>
      </c>
      <c r="L30" s="80"/>
      <c r="M30" s="79" t="s">
        <v>1591</v>
      </c>
      <c r="N30" s="79" t="s">
        <v>577</v>
      </c>
      <c r="O30" s="79" t="s">
        <v>1592</v>
      </c>
      <c r="P30" s="83">
        <v>42284.0</v>
      </c>
      <c r="Q30" s="81" t="s">
        <v>1593</v>
      </c>
      <c r="R30" s="86" t="str">
        <f>HYPERLINK("http://www.nature.com/news/let-s-think-about-cognitive-bias-1.18520","http://www.nature.com/news/let-s-think-about-cognitive-bias-1.18520")</f>
        <v>http://www.nature.com/news/let-s-think-about-cognitive-bias-1.18520</v>
      </c>
      <c r="S30" s="81" t="s">
        <v>1601</v>
      </c>
      <c r="T30" s="81" t="s">
        <v>462</v>
      </c>
      <c r="U30" s="81" t="s">
        <v>462</v>
      </c>
      <c r="V30" s="81" t="s">
        <v>676</v>
      </c>
      <c r="W30" s="81" t="s">
        <v>769</v>
      </c>
      <c r="X30" s="81"/>
      <c r="Y30" s="88">
        <v>42340.0</v>
      </c>
      <c r="Z30" s="81"/>
      <c r="AA30" s="81"/>
      <c r="AB30" s="81"/>
      <c r="AC30" s="88"/>
      <c r="AD30" s="81"/>
      <c r="AE30" s="81"/>
      <c r="AF30" s="81"/>
      <c r="AG30" s="81"/>
      <c r="AH30" s="81"/>
      <c r="AI30" s="81"/>
      <c r="AJ30" s="79"/>
      <c r="AK30" s="79"/>
      <c r="AL30" s="79"/>
    </row>
    <row r="31" ht="22.5" customHeight="1">
      <c r="A31" s="79">
        <v>10029.0</v>
      </c>
      <c r="B31" s="79" t="s">
        <v>1230</v>
      </c>
      <c r="C31" s="79" t="s">
        <v>238</v>
      </c>
      <c r="D31" s="79" t="s">
        <v>173</v>
      </c>
      <c r="E31" s="79" t="s">
        <v>1568</v>
      </c>
      <c r="F31" s="80"/>
      <c r="G31" s="81"/>
      <c r="H31" s="79" t="s">
        <v>224</v>
      </c>
      <c r="I31" s="80"/>
      <c r="J31" s="81"/>
      <c r="K31" s="79" t="s">
        <v>289</v>
      </c>
      <c r="L31" s="80">
        <v>40.0</v>
      </c>
      <c r="M31" s="79" t="s">
        <v>1603</v>
      </c>
      <c r="N31" s="79" t="s">
        <v>1604</v>
      </c>
      <c r="O31" s="79" t="s">
        <v>1605</v>
      </c>
      <c r="P31" s="83">
        <v>42263.0</v>
      </c>
      <c r="Q31" s="81" t="s">
        <v>1606</v>
      </c>
      <c r="R31" s="86" t="str">
        <f>HYPERLINK("http://lifehacker.com/this-graphic-explains-20-cognitive-biases-that-affect-y-1730901381?utm_expid=66866090-55.VeucWPObSOiOW4XRx2RJDA.0","http://lifehacker.com/this-graphic-explains-20-cognitive-biases-that-affect-y-1730901381?utm_expid=66866090-55.VeucWPObSOiOW4XRx2RJDA.0")</f>
        <v>http://lifehacker.com/this-graphic-explains-20-cognitive-biases-that-affect-y-1730901381?utm_expid=66866090-55.VeucWPObSOiOW4XRx2RJDA.0</v>
      </c>
      <c r="S31" s="81"/>
      <c r="T31" s="81" t="s">
        <v>462</v>
      </c>
      <c r="U31" s="81" t="s">
        <v>462</v>
      </c>
      <c r="V31" s="81" t="s">
        <v>676</v>
      </c>
      <c r="W31" s="81" t="s">
        <v>769</v>
      </c>
      <c r="X31" s="81"/>
      <c r="Y31" s="88"/>
      <c r="Z31" s="81"/>
      <c r="AA31" s="81" t="s">
        <v>769</v>
      </c>
      <c r="AB31" s="81"/>
      <c r="AC31" s="88"/>
      <c r="AD31" s="81"/>
      <c r="AE31" s="81"/>
      <c r="AF31" s="81"/>
      <c r="AG31" s="81"/>
      <c r="AH31" s="81"/>
      <c r="AI31" s="81"/>
      <c r="AJ31" s="79"/>
      <c r="AK31" s="79"/>
      <c r="AL31" s="79"/>
    </row>
    <row r="32" ht="22.5" customHeight="1">
      <c r="A32" s="79">
        <v>10030.0</v>
      </c>
      <c r="B32" s="79" t="s">
        <v>1230</v>
      </c>
      <c r="C32" s="79" t="s">
        <v>238</v>
      </c>
      <c r="D32" s="79" t="s">
        <v>173</v>
      </c>
      <c r="E32" s="79" t="s">
        <v>1613</v>
      </c>
      <c r="F32" s="80"/>
      <c r="G32" s="81"/>
      <c r="H32" s="79" t="s">
        <v>224</v>
      </c>
      <c r="I32" s="80"/>
      <c r="J32" s="81"/>
      <c r="K32" s="79" t="s">
        <v>289</v>
      </c>
      <c r="L32" s="80">
        <v>40.0</v>
      </c>
      <c r="M32" s="79" t="s">
        <v>1174</v>
      </c>
      <c r="N32" s="79" t="s">
        <v>1175</v>
      </c>
      <c r="O32" s="79" t="s">
        <v>1172</v>
      </c>
      <c r="P32" s="83">
        <v>41808.0</v>
      </c>
      <c r="Q32" s="81" t="s">
        <v>1176</v>
      </c>
      <c r="R32" s="86" t="str">
        <f>HYPERLINK("http://www.businessinsider.com/cognitive-biases-2014-6?op=1","http://www.businessinsider.com/cognitive-biases-2014-6?op=1")</f>
        <v>http://www.businessinsider.com/cognitive-biases-2014-6?op=1</v>
      </c>
      <c r="S32" s="81"/>
      <c r="T32" s="81" t="s">
        <v>462</v>
      </c>
      <c r="U32" s="81" t="s">
        <v>462</v>
      </c>
      <c r="V32" s="81" t="s">
        <v>676</v>
      </c>
      <c r="W32" s="81" t="s">
        <v>677</v>
      </c>
      <c r="X32" s="81" t="s">
        <v>1177</v>
      </c>
      <c r="Y32" s="88">
        <v>41879.0</v>
      </c>
      <c r="Z32" s="88">
        <v>42619.0</v>
      </c>
      <c r="AA32" s="81" t="s">
        <v>769</v>
      </c>
      <c r="AB32" s="81"/>
      <c r="AC32" s="88">
        <v>41879.0</v>
      </c>
      <c r="AD32" s="81"/>
      <c r="AE32" s="81"/>
      <c r="AF32" s="81"/>
      <c r="AG32" s="81"/>
      <c r="AH32" s="81"/>
      <c r="AI32" s="81"/>
      <c r="AJ32" s="79"/>
      <c r="AK32" s="79"/>
      <c r="AL32" s="79"/>
    </row>
    <row r="33" ht="22.5" customHeight="1">
      <c r="A33" s="79">
        <v>10031.0</v>
      </c>
      <c r="B33" s="79" t="s">
        <v>1230</v>
      </c>
      <c r="C33" s="79" t="s">
        <v>238</v>
      </c>
      <c r="D33" s="79" t="s">
        <v>173</v>
      </c>
      <c r="E33" s="79" t="s">
        <v>1613</v>
      </c>
      <c r="F33" s="80"/>
      <c r="G33" s="81"/>
      <c r="H33" s="79" t="s">
        <v>224</v>
      </c>
      <c r="I33" s="80"/>
      <c r="J33" s="81"/>
      <c r="K33" s="79" t="s">
        <v>111</v>
      </c>
      <c r="L33" s="80">
        <v>41.0</v>
      </c>
      <c r="M33" s="79" t="s">
        <v>1629</v>
      </c>
      <c r="N33" s="79" t="s">
        <v>1630</v>
      </c>
      <c r="O33" s="79" t="s">
        <v>1631</v>
      </c>
      <c r="P33" s="83"/>
      <c r="Q33" s="81" t="s">
        <v>1633</v>
      </c>
      <c r="R33" s="86" t="str">
        <f>HYPERLINK("http://www.mindtools.com/pages/article/avoiding-psychological-bias.htm","http://www.mindtools.com/pages/article/avoiding-psychological-bias.htm")</f>
        <v>http://www.mindtools.com/pages/article/avoiding-psychological-bias.htm</v>
      </c>
      <c r="S33" s="81"/>
      <c r="T33" s="81" t="s">
        <v>428</v>
      </c>
      <c r="U33" s="81" t="s">
        <v>462</v>
      </c>
      <c r="V33" s="81"/>
      <c r="W33" s="81" t="s">
        <v>677</v>
      </c>
      <c r="X33" s="81"/>
      <c r="Y33" s="81"/>
      <c r="Z33" s="81"/>
      <c r="AA33" s="81"/>
      <c r="AB33" s="81"/>
      <c r="AC33" s="81"/>
      <c r="AD33" s="79"/>
      <c r="AE33" s="79"/>
      <c r="AF33" s="79"/>
      <c r="AG33" s="79"/>
      <c r="AH33" s="79"/>
      <c r="AI33" s="79"/>
      <c r="AJ33" s="79"/>
      <c r="AK33" s="79"/>
      <c r="AL33" s="79"/>
    </row>
    <row r="34" ht="22.5" customHeight="1">
      <c r="A34" s="79">
        <v>10032.0</v>
      </c>
      <c r="B34" s="79" t="s">
        <v>1230</v>
      </c>
      <c r="C34" s="79" t="s">
        <v>238</v>
      </c>
      <c r="D34" s="79" t="s">
        <v>173</v>
      </c>
      <c r="E34" s="79" t="s">
        <v>1646</v>
      </c>
      <c r="F34" s="80"/>
      <c r="G34" s="81"/>
      <c r="H34" s="79" t="s">
        <v>224</v>
      </c>
      <c r="I34" s="80"/>
      <c r="J34" s="81"/>
      <c r="K34" s="79" t="s">
        <v>289</v>
      </c>
      <c r="L34" s="80">
        <v>40.0</v>
      </c>
      <c r="M34" s="79" t="s">
        <v>1649</v>
      </c>
      <c r="N34" s="79" t="s">
        <v>1650</v>
      </c>
      <c r="O34" s="79" t="s">
        <v>1651</v>
      </c>
      <c r="P34" s="83">
        <v>42012.0</v>
      </c>
      <c r="Q34" s="81" t="s">
        <v>1652</v>
      </c>
      <c r="R34" s="86" t="str">
        <f>HYPERLINK("http://www.upworthy.com/the-bizarre-human-tendency-that-made-baby-jessica-a-household-name-in-1987","http://www.upworthy.com/the-bizarre-human-tendency-that-made-baby-jessica-a-household-name-in-1987")</f>
        <v>http://www.upworthy.com/the-bizarre-human-tendency-that-made-baby-jessica-a-household-name-in-1987</v>
      </c>
      <c r="S34" s="81"/>
      <c r="T34" s="81" t="s">
        <v>462</v>
      </c>
      <c r="U34" s="81" t="s">
        <v>428</v>
      </c>
      <c r="V34" s="81"/>
      <c r="W34" s="81" t="s">
        <v>677</v>
      </c>
      <c r="X34" s="81"/>
      <c r="Y34" s="81"/>
      <c r="Z34" s="81"/>
      <c r="AA34" s="81"/>
      <c r="AB34" s="81"/>
      <c r="AC34" s="81"/>
      <c r="AD34" s="79"/>
      <c r="AE34" s="79"/>
      <c r="AF34" s="79"/>
      <c r="AG34" s="79"/>
      <c r="AH34" s="79"/>
      <c r="AI34" s="79"/>
      <c r="AJ34" s="79"/>
      <c r="AK34" s="79"/>
      <c r="AL34" s="79"/>
    </row>
    <row r="35" ht="22.5" customHeight="1">
      <c r="A35" s="79">
        <v>10033.0</v>
      </c>
      <c r="B35" s="79" t="s">
        <v>1230</v>
      </c>
      <c r="C35" s="79" t="s">
        <v>238</v>
      </c>
      <c r="D35" s="79" t="s">
        <v>173</v>
      </c>
      <c r="E35" s="79" t="s">
        <v>1660</v>
      </c>
      <c r="F35" s="80"/>
      <c r="G35" s="81"/>
      <c r="H35" s="79" t="s">
        <v>224</v>
      </c>
      <c r="I35" s="80"/>
      <c r="J35" s="81"/>
      <c r="K35" s="79" t="s">
        <v>289</v>
      </c>
      <c r="L35" s="80">
        <v>40.0</v>
      </c>
      <c r="M35" s="79" t="s">
        <v>1662</v>
      </c>
      <c r="N35" s="79" t="s">
        <v>1663</v>
      </c>
      <c r="O35" s="79" t="s">
        <v>1664</v>
      </c>
      <c r="P35" s="83">
        <v>42052.0</v>
      </c>
      <c r="Q35" s="81" t="s">
        <v>1665</v>
      </c>
      <c r="R35" s="86" t="str">
        <f>HYPERLINK("http://fivethirtyeight.com/features/your-brain-is-primed-to-reach-false-conclusions/","http://fivethirtyeight.com/features/your-brain-is-primed-to-reach-false-conclusions/")</f>
        <v>http://fivethirtyeight.com/features/your-brain-is-primed-to-reach-false-conclusions/</v>
      </c>
      <c r="S35" s="81"/>
      <c r="T35" s="81" t="s">
        <v>428</v>
      </c>
      <c r="U35" s="81" t="s">
        <v>462</v>
      </c>
      <c r="V35" s="81"/>
      <c r="W35" s="81" t="s">
        <v>769</v>
      </c>
      <c r="X35" s="81" t="s">
        <v>1672</v>
      </c>
      <c r="Y35" s="88" t="s">
        <v>1673</v>
      </c>
      <c r="Z35" s="88">
        <v>42410.0</v>
      </c>
      <c r="AA35" s="81"/>
      <c r="AB35" s="81"/>
      <c r="AC35" s="88"/>
      <c r="AD35" s="79"/>
      <c r="AE35" s="79"/>
      <c r="AF35" s="79"/>
      <c r="AG35" s="79"/>
      <c r="AH35" s="79"/>
      <c r="AI35" s="79"/>
      <c r="AJ35" s="79"/>
      <c r="AK35" s="79"/>
      <c r="AL35" s="79"/>
    </row>
    <row r="36" ht="22.5" customHeight="1">
      <c r="A36" s="79">
        <v>10034.0</v>
      </c>
      <c r="B36" s="79" t="s">
        <v>1230</v>
      </c>
      <c r="C36" s="79" t="s">
        <v>238</v>
      </c>
      <c r="D36" s="79" t="s">
        <v>173</v>
      </c>
      <c r="E36" s="79" t="s">
        <v>1675</v>
      </c>
      <c r="F36" s="80"/>
      <c r="G36" s="81"/>
      <c r="H36" s="79" t="s">
        <v>224</v>
      </c>
      <c r="I36" s="80"/>
      <c r="J36" s="81"/>
      <c r="K36" s="79" t="s">
        <v>272</v>
      </c>
      <c r="L36" s="80">
        <v>42.0</v>
      </c>
      <c r="M36" s="79" t="s">
        <v>1676</v>
      </c>
      <c r="N36" s="79" t="s">
        <v>1677</v>
      </c>
      <c r="O36" s="79" t="s">
        <v>1258</v>
      </c>
      <c r="P36" s="83">
        <v>42137.0</v>
      </c>
      <c r="Q36" s="81" t="s">
        <v>1678</v>
      </c>
      <c r="R36" s="86" t="str">
        <f>HYPERLINK("http://www.theatlantic.com/business/archive/2015/05/an-economist-reads-marie-kondo/392921/","http://www.theatlantic.com/business/archive/2015/05/an-economist-reads-marie-kondo/392921/")</f>
        <v>http://www.theatlantic.com/business/archive/2015/05/an-economist-reads-marie-kondo/392921/</v>
      </c>
      <c r="S36" s="81"/>
      <c r="T36" s="81" t="s">
        <v>462</v>
      </c>
      <c r="U36" s="81" t="s">
        <v>462</v>
      </c>
      <c r="V36" s="81" t="s">
        <v>676</v>
      </c>
      <c r="W36" s="81" t="s">
        <v>600</v>
      </c>
      <c r="X36" s="81"/>
      <c r="Y36" s="88"/>
      <c r="Z36" s="81"/>
      <c r="AA36" s="81"/>
      <c r="AB36" s="81"/>
      <c r="AC36" s="88"/>
      <c r="AD36" s="79"/>
      <c r="AE36" s="79"/>
      <c r="AF36" s="79"/>
      <c r="AG36" s="79"/>
      <c r="AH36" s="79"/>
      <c r="AI36" s="79"/>
      <c r="AJ36" s="79"/>
      <c r="AK36" s="79"/>
      <c r="AL36" s="79"/>
    </row>
    <row r="37" ht="22.5" customHeight="1">
      <c r="A37" s="79">
        <v>10035.0</v>
      </c>
      <c r="B37" s="79" t="s">
        <v>1230</v>
      </c>
      <c r="C37" s="79" t="s">
        <v>238</v>
      </c>
      <c r="D37" s="79" t="s">
        <v>173</v>
      </c>
      <c r="E37" s="79" t="s">
        <v>1681</v>
      </c>
      <c r="F37" s="80"/>
      <c r="G37" s="81"/>
      <c r="H37" s="79" t="s">
        <v>1114</v>
      </c>
      <c r="I37" s="80">
        <v>2000.0</v>
      </c>
      <c r="J37" s="81"/>
      <c r="K37" s="79" t="s">
        <v>324</v>
      </c>
      <c r="L37" s="80" t="s">
        <v>325</v>
      </c>
      <c r="M37" s="79" t="s">
        <v>1682</v>
      </c>
      <c r="N37" s="79" t="s">
        <v>1374</v>
      </c>
      <c r="O37" s="79" t="s">
        <v>1375</v>
      </c>
      <c r="P37" s="83">
        <v>42083.0</v>
      </c>
      <c r="Q37" s="81" t="s">
        <v>1683</v>
      </c>
      <c r="R37" s="86" t="str">
        <f>HYPERLINK("http://www.washingtonpost.com/news/energy-environment/wp/2015/03/20/the-bizarre-way-that-we-justify-actions-that-waste-energy-and-are-bad-for-the-environment/?postshare=1531426944649616","http://www.washingtonpost.com/news/energy-environment/wp/2015/03/20/the-bizarre-way-that-we-justify-actions-that-waste-energy-and-are-bad-for-the-environment/?postshare=1531426944649616")</f>
        <v>http://www.washingtonpost.com/news/energy-environment/wp/2015/03/20/the-bizarre-way-that-we-justify-actions-that-waste-energy-and-are-bad-for-the-environment/?postshare=1531426944649616</v>
      </c>
      <c r="S37" s="81"/>
      <c r="T37" s="81" t="s">
        <v>462</v>
      </c>
      <c r="U37" s="81" t="s">
        <v>462</v>
      </c>
      <c r="V37" s="81"/>
      <c r="W37" s="81" t="s">
        <v>769</v>
      </c>
      <c r="X37" s="81" t="s">
        <v>1687</v>
      </c>
      <c r="Y37" s="88">
        <v>42186.0</v>
      </c>
      <c r="Z37" s="88">
        <v>42564.0</v>
      </c>
      <c r="AA37" s="81" t="s">
        <v>769</v>
      </c>
      <c r="AB37" s="81"/>
      <c r="AC37" s="88">
        <v>42200.0</v>
      </c>
      <c r="AD37" s="79"/>
      <c r="AE37" s="79"/>
      <c r="AF37" s="79"/>
      <c r="AG37" s="79"/>
      <c r="AH37" s="79"/>
      <c r="AI37" s="79"/>
      <c r="AJ37" s="79"/>
      <c r="AK37" s="79"/>
      <c r="AL37" s="79"/>
    </row>
    <row r="38" ht="22.5" customHeight="1">
      <c r="A38" s="79">
        <v>10036.0</v>
      </c>
      <c r="B38" s="79" t="s">
        <v>1230</v>
      </c>
      <c r="C38" s="79" t="s">
        <v>238</v>
      </c>
      <c r="D38" s="79" t="s">
        <v>173</v>
      </c>
      <c r="E38" s="79" t="s">
        <v>1681</v>
      </c>
      <c r="F38" s="80"/>
      <c r="G38" s="81"/>
      <c r="H38" s="79" t="s">
        <v>1114</v>
      </c>
      <c r="I38" s="80">
        <v>2000.0</v>
      </c>
      <c r="J38" s="81"/>
      <c r="K38" s="79" t="s">
        <v>289</v>
      </c>
      <c r="L38" s="80">
        <v>40.0</v>
      </c>
      <c r="M38" s="79" t="s">
        <v>1691</v>
      </c>
      <c r="N38" s="79" t="s">
        <v>1548</v>
      </c>
      <c r="O38" s="79" t="s">
        <v>1550</v>
      </c>
      <c r="P38" s="83">
        <v>42087.0</v>
      </c>
      <c r="Q38" s="81"/>
      <c r="R38" s="86" t="str">
        <f>HYPERLINK("http://ecoaffect.org/2015/03/24/why-one-climate-friendly-action-doesnt-always-lead-to-another-and-what-to-do-about-it/","http://ecoaffect.org/2015/03/24/why-one-climate-friendly-action-doesnt-always-lead-to-another-and-what-to-do-about-it/")</f>
        <v>http://ecoaffect.org/2015/03/24/why-one-climate-friendly-action-doesnt-always-lead-to-another-and-what-to-do-about-it/</v>
      </c>
      <c r="S38" s="81"/>
      <c r="T38" s="81" t="s">
        <v>462</v>
      </c>
      <c r="U38" s="81" t="s">
        <v>462</v>
      </c>
      <c r="V38" s="81"/>
      <c r="W38" s="81" t="s">
        <v>769</v>
      </c>
      <c r="X38" s="81" t="s">
        <v>1702</v>
      </c>
      <c r="Y38" s="88">
        <v>42465.0</v>
      </c>
      <c r="Z38" s="88"/>
      <c r="AA38" s="81"/>
      <c r="AB38" s="81"/>
      <c r="AC38" s="81"/>
      <c r="AD38" s="79"/>
      <c r="AE38" s="79"/>
      <c r="AF38" s="79"/>
      <c r="AG38" s="79"/>
      <c r="AH38" s="79"/>
      <c r="AI38" s="79"/>
      <c r="AJ38" s="79"/>
      <c r="AK38" s="79"/>
      <c r="AL38" s="79"/>
    </row>
    <row r="39" ht="22.5" customHeight="1">
      <c r="A39" s="79">
        <v>10037.0</v>
      </c>
      <c r="B39" s="79" t="s">
        <v>1230</v>
      </c>
      <c r="C39" s="79" t="s">
        <v>238</v>
      </c>
      <c r="D39" s="79" t="s">
        <v>173</v>
      </c>
      <c r="E39" s="79" t="s">
        <v>1681</v>
      </c>
      <c r="F39" s="80"/>
      <c r="G39" s="81"/>
      <c r="H39" s="79" t="s">
        <v>1223</v>
      </c>
      <c r="I39" s="80">
        <v>3000.0</v>
      </c>
      <c r="J39" s="81"/>
      <c r="K39" s="79" t="s">
        <v>289</v>
      </c>
      <c r="L39" s="80">
        <v>40.0</v>
      </c>
      <c r="M39" s="79" t="s">
        <v>1703</v>
      </c>
      <c r="N39" s="79" t="s">
        <v>1704</v>
      </c>
      <c r="O39" s="79" t="s">
        <v>1705</v>
      </c>
      <c r="P39" s="83">
        <v>40422.0</v>
      </c>
      <c r="Q39" s="81" t="s">
        <v>1706</v>
      </c>
      <c r="R39" s="86" t="str">
        <f>HYPERLINK("http://www.scientificamerican.com/article/green-and-mean/","http://www.scientificamerican.com/article/green-and-mean/")</f>
        <v>http://www.scientificamerican.com/article/green-and-mean/</v>
      </c>
      <c r="S39" s="81" t="s">
        <v>1710</v>
      </c>
      <c r="T39" s="81" t="s">
        <v>462</v>
      </c>
      <c r="U39" s="81" t="s">
        <v>462</v>
      </c>
      <c r="V39" s="81"/>
      <c r="W39" s="81" t="s">
        <v>600</v>
      </c>
      <c r="X39" s="81"/>
      <c r="Y39" s="88"/>
      <c r="Z39" s="81"/>
      <c r="AA39" s="81" t="s">
        <v>530</v>
      </c>
      <c r="AB39" s="81"/>
      <c r="AC39" s="88"/>
      <c r="AD39" s="79"/>
      <c r="AE39" s="79"/>
      <c r="AF39" s="79"/>
      <c r="AG39" s="79"/>
      <c r="AH39" s="79"/>
      <c r="AI39" s="79"/>
      <c r="AJ39" s="79"/>
      <c r="AK39" s="79"/>
      <c r="AL39" s="79"/>
    </row>
    <row r="40" ht="22.5" customHeight="1">
      <c r="A40" s="79">
        <v>10038.0</v>
      </c>
      <c r="B40" s="79" t="s">
        <v>1230</v>
      </c>
      <c r="C40" s="79" t="s">
        <v>238</v>
      </c>
      <c r="D40" s="79" t="s">
        <v>173</v>
      </c>
      <c r="E40" s="79" t="s">
        <v>1681</v>
      </c>
      <c r="F40" s="80"/>
      <c r="G40" s="81"/>
      <c r="H40" s="79" t="s">
        <v>1114</v>
      </c>
      <c r="I40" s="80">
        <v>2000.0</v>
      </c>
      <c r="J40" s="81"/>
      <c r="K40" s="79" t="s">
        <v>289</v>
      </c>
      <c r="L40" s="80">
        <v>40.0</v>
      </c>
      <c r="M40" s="79" t="s">
        <v>1712</v>
      </c>
      <c r="N40" s="79" t="s">
        <v>1713</v>
      </c>
      <c r="O40" s="79" t="s">
        <v>1375</v>
      </c>
      <c r="P40" s="83">
        <v>40377.0</v>
      </c>
      <c r="Q40" s="81" t="s">
        <v>1714</v>
      </c>
      <c r="R40" s="86" t="str">
        <f>HYPERLINK("http://www.washingtonpost.com/wp-dyn/content/article/2010/07/16/AR2010071606839.html","http://www.washingtonpost.com/wp-dyn/content/article/2010/07/16/AR2010071606839.html")</f>
        <v>http://www.washingtonpost.com/wp-dyn/content/article/2010/07/16/AR2010071606839.html</v>
      </c>
      <c r="S40" s="81" t="s">
        <v>1710</v>
      </c>
      <c r="T40" s="81" t="s">
        <v>462</v>
      </c>
      <c r="U40" s="81" t="s">
        <v>462</v>
      </c>
      <c r="V40" s="81"/>
      <c r="W40" s="81" t="s">
        <v>769</v>
      </c>
      <c r="X40" s="81"/>
      <c r="Y40" s="88">
        <v>42557.0</v>
      </c>
      <c r="Z40" s="81"/>
      <c r="AA40" s="81"/>
      <c r="AB40" s="81"/>
      <c r="AC40" s="88"/>
      <c r="AD40" s="79"/>
      <c r="AE40" s="79"/>
      <c r="AF40" s="79"/>
      <c r="AG40" s="79"/>
      <c r="AH40" s="79"/>
      <c r="AI40" s="79"/>
      <c r="AJ40" s="79"/>
      <c r="AK40" s="79"/>
      <c r="AL40" s="79"/>
    </row>
    <row r="41" ht="22.5" customHeight="1">
      <c r="A41" s="79">
        <v>10039.0</v>
      </c>
      <c r="B41" s="79" t="s">
        <v>1230</v>
      </c>
      <c r="C41" s="79" t="s">
        <v>238</v>
      </c>
      <c r="D41" s="79" t="s">
        <v>173</v>
      </c>
      <c r="E41" s="79" t="s">
        <v>1681</v>
      </c>
      <c r="F41" s="80"/>
      <c r="G41" s="81"/>
      <c r="H41" s="79" t="s">
        <v>224</v>
      </c>
      <c r="I41" s="80"/>
      <c r="J41" s="81"/>
      <c r="K41" s="79" t="s">
        <v>289</v>
      </c>
      <c r="L41" s="80">
        <v>40.0</v>
      </c>
      <c r="M41" s="79" t="s">
        <v>1716</v>
      </c>
      <c r="N41" s="79" t="s">
        <v>1717</v>
      </c>
      <c r="O41" s="79" t="s">
        <v>1430</v>
      </c>
      <c r="P41" s="83">
        <v>41904.0</v>
      </c>
      <c r="Q41" s="81" t="s">
        <v>1719</v>
      </c>
      <c r="R41" s="86" t="str">
        <f>HYPERLINK("http://www.npr.org/blogs/13.7/2014/09/22/350519216/being-good-isnt-zero-sum?utm_source=facebook.com&amp;utm_medium=social&amp;utm_campaign=npr&amp;utm_term=nprnews&amp;utm_content=20140922","http://www.npr.org/blogs/13.7/2014/09/22/350519216/being-good-isnt-zero-sum?utm_source=facebook.com&amp;utm_medium=social&amp;utm_campaign=npr&amp;utm_term=nprnews&amp;utm_content=20140922")</f>
        <v>http://www.npr.org/blogs/13.7/2014/09/22/350519216/being-good-isnt-zero-sum?utm_source=facebook.com&amp;utm_medium=social&amp;utm_campaign=npr&amp;utm_term=nprnews&amp;utm_content=20140922</v>
      </c>
      <c r="S41" s="81"/>
      <c r="T41" s="81" t="s">
        <v>462</v>
      </c>
      <c r="U41" s="81" t="s">
        <v>462</v>
      </c>
      <c r="V41" s="81" t="s">
        <v>676</v>
      </c>
      <c r="W41" s="81" t="s">
        <v>600</v>
      </c>
      <c r="X41" s="81" t="s">
        <v>1105</v>
      </c>
      <c r="Y41" s="88" t="s">
        <v>1105</v>
      </c>
      <c r="Z41" s="81"/>
      <c r="AA41" s="81" t="s">
        <v>769</v>
      </c>
      <c r="AB41" s="81"/>
      <c r="AC41" s="88">
        <v>41905.0</v>
      </c>
      <c r="AD41" s="79"/>
      <c r="AE41" s="79"/>
      <c r="AF41" s="79"/>
      <c r="AG41" s="79"/>
      <c r="AH41" s="79"/>
      <c r="AI41" s="79"/>
      <c r="AJ41" s="79"/>
      <c r="AK41" s="79"/>
      <c r="AL41" s="79"/>
    </row>
    <row r="42" ht="22.5" customHeight="1">
      <c r="A42" s="79">
        <v>10040.0</v>
      </c>
      <c r="B42" s="79" t="s">
        <v>1230</v>
      </c>
      <c r="C42" s="79" t="s">
        <v>238</v>
      </c>
      <c r="D42" s="79" t="s">
        <v>173</v>
      </c>
      <c r="E42" s="79" t="s">
        <v>1726</v>
      </c>
      <c r="F42" s="80"/>
      <c r="G42" s="81"/>
      <c r="H42" s="79" t="s">
        <v>224</v>
      </c>
      <c r="I42" s="80"/>
      <c r="J42" s="81"/>
      <c r="K42" s="79" t="s">
        <v>289</v>
      </c>
      <c r="L42" s="80">
        <v>40.0</v>
      </c>
      <c r="M42" s="79" t="s">
        <v>1729</v>
      </c>
      <c r="N42" s="79" t="s">
        <v>1374</v>
      </c>
      <c r="O42" s="79" t="s">
        <v>1730</v>
      </c>
      <c r="P42" s="83">
        <v>40668.0</v>
      </c>
      <c r="Q42" s="81"/>
      <c r="R42" s="86" t="str">
        <f>HYPERLINK("http://blogs.discovermagazine.com/intersection/2011/05/05/what-is-motivated-reasoning-how-does-it-work-dan-kahan-answers/#.VwQ4ofkrLIV","http://blogs.discovermagazine.com/intersection/2011/05/05/what-is-motivated-reasoning-how-does-it-work-dan-kahan-answers/#.VwQ4ofkrLIV")</f>
        <v>http://blogs.discovermagazine.com/intersection/2011/05/05/what-is-motivated-reasoning-how-does-it-work-dan-kahan-answers/#.VwQ4ofkrLIV</v>
      </c>
      <c r="S42" s="81"/>
      <c r="T42" s="81" t="s">
        <v>462</v>
      </c>
      <c r="U42" s="81" t="s">
        <v>462</v>
      </c>
      <c r="V42" s="81"/>
      <c r="W42" s="81" t="s">
        <v>677</v>
      </c>
      <c r="X42" s="81"/>
      <c r="Y42" s="81"/>
      <c r="Z42" s="81"/>
      <c r="AA42" s="81"/>
      <c r="AB42" s="81"/>
      <c r="AC42" s="81"/>
      <c r="AD42" s="79"/>
      <c r="AE42" s="79"/>
      <c r="AF42" s="79"/>
      <c r="AG42" s="79"/>
      <c r="AH42" s="79"/>
      <c r="AI42" s="79"/>
      <c r="AJ42" s="79"/>
      <c r="AK42" s="79"/>
      <c r="AL42" s="79"/>
    </row>
    <row r="43" ht="22.5" customHeight="1">
      <c r="A43" s="79">
        <v>10041.0</v>
      </c>
      <c r="B43" s="79" t="s">
        <v>1230</v>
      </c>
      <c r="C43" s="79" t="s">
        <v>238</v>
      </c>
      <c r="D43" s="79" t="s">
        <v>173</v>
      </c>
      <c r="E43" s="79" t="s">
        <v>1736</v>
      </c>
      <c r="F43" s="80"/>
      <c r="G43" s="81"/>
      <c r="H43" s="79" t="s">
        <v>578</v>
      </c>
      <c r="I43" s="80">
        <v>2000.0</v>
      </c>
      <c r="J43" s="81"/>
      <c r="K43" s="79" t="s">
        <v>289</v>
      </c>
      <c r="L43" s="80">
        <v>40.0</v>
      </c>
      <c r="M43" s="79" t="s">
        <v>1738</v>
      </c>
      <c r="N43" s="79" t="s">
        <v>1740</v>
      </c>
      <c r="O43" s="79" t="s">
        <v>1265</v>
      </c>
      <c r="P43" s="83">
        <v>41009.0</v>
      </c>
      <c r="Q43" s="81" t="s">
        <v>1742</v>
      </c>
      <c r="R43" s="86" t="str">
        <f>HYPERLINK("http://grist.org/list/80-percent-of-humans-are-delusionally-optimistic-says-science/","http://grist.org/list/80-percent-of-humans-are-delusionally-optimistic-says-science/")</f>
        <v>http://grist.org/list/80-percent-of-humans-are-delusionally-optimistic-says-science/</v>
      </c>
      <c r="S43" s="81" t="s">
        <v>1743</v>
      </c>
      <c r="T43" s="81" t="s">
        <v>462</v>
      </c>
      <c r="U43" s="81" t="s">
        <v>462</v>
      </c>
      <c r="V43" s="81" t="s">
        <v>676</v>
      </c>
      <c r="W43" s="81" t="s">
        <v>769</v>
      </c>
      <c r="X43" s="81" t="s">
        <v>1745</v>
      </c>
      <c r="Y43" s="88">
        <v>42113.0</v>
      </c>
      <c r="Z43" s="96" t="str">
        <f>HYPERLINK("http://bit.ly/1I7vt7Y","5/12/2016")</f>
        <v>5/12/2016</v>
      </c>
      <c r="AA43" s="81" t="s">
        <v>769</v>
      </c>
      <c r="AB43" s="81"/>
      <c r="AC43" s="88">
        <v>42121.0</v>
      </c>
      <c r="AD43" s="79"/>
      <c r="AE43" s="79"/>
      <c r="AF43" s="79"/>
      <c r="AG43" s="79"/>
      <c r="AH43" s="79"/>
      <c r="AI43" s="79"/>
      <c r="AJ43" s="79"/>
      <c r="AK43" s="79"/>
      <c r="AL43" s="79"/>
    </row>
    <row r="44" ht="22.5" customHeight="1">
      <c r="A44" s="79">
        <v>10042.0</v>
      </c>
      <c r="B44" s="79" t="s">
        <v>1230</v>
      </c>
      <c r="C44" s="79" t="s">
        <v>238</v>
      </c>
      <c r="D44" s="79" t="s">
        <v>173</v>
      </c>
      <c r="E44" s="79" t="s">
        <v>1736</v>
      </c>
      <c r="F44" s="80"/>
      <c r="G44" s="81"/>
      <c r="H44" s="79" t="s">
        <v>1338</v>
      </c>
      <c r="I44" s="80">
        <v>13000.0</v>
      </c>
      <c r="J44" s="81"/>
      <c r="K44" s="79" t="s">
        <v>289</v>
      </c>
      <c r="L44" s="80">
        <v>40.0</v>
      </c>
      <c r="M44" s="79" t="s">
        <v>1752</v>
      </c>
      <c r="N44" s="79" t="s">
        <v>1753</v>
      </c>
      <c r="O44" s="79" t="s">
        <v>1754</v>
      </c>
      <c r="P44" s="83">
        <v>41473.0</v>
      </c>
      <c r="Q44" s="81" t="s">
        <v>1742</v>
      </c>
      <c r="R44" s="86" t="str">
        <f>HYPERLINK("http://www.huffingtonpost.com/david-ropeik/putting-the-disaster-in-natural-disasters_b_3617132.html","http://www.huffingtonpost.com/david-ropeik/putting-the-disaster-in-natural-disasters_b_3617132.html")</f>
        <v>http://www.huffingtonpost.com/david-ropeik/putting-the-disaster-in-natural-disasters_b_3617132.html</v>
      </c>
      <c r="S44" s="81" t="s">
        <v>1743</v>
      </c>
      <c r="T44" s="81" t="s">
        <v>462</v>
      </c>
      <c r="U44" s="81" t="s">
        <v>462</v>
      </c>
      <c r="V44" s="81" t="s">
        <v>676</v>
      </c>
      <c r="W44" s="81" t="s">
        <v>600</v>
      </c>
      <c r="X44" s="81"/>
      <c r="Y44" s="88"/>
      <c r="Z44" s="81"/>
      <c r="AA44" s="81"/>
      <c r="AB44" s="81"/>
      <c r="AC44" s="88"/>
      <c r="AD44" s="79"/>
      <c r="AE44" s="79"/>
      <c r="AF44" s="79"/>
      <c r="AG44" s="79"/>
      <c r="AH44" s="79"/>
      <c r="AI44" s="79"/>
      <c r="AJ44" s="79"/>
      <c r="AK44" s="79"/>
      <c r="AL44" s="79"/>
    </row>
    <row r="45" ht="22.5" customHeight="1">
      <c r="A45" s="79">
        <v>10043.0</v>
      </c>
      <c r="B45" s="79" t="s">
        <v>1230</v>
      </c>
      <c r="C45" s="79" t="s">
        <v>238</v>
      </c>
      <c r="D45" s="79" t="s">
        <v>173</v>
      </c>
      <c r="E45" s="79" t="s">
        <v>1736</v>
      </c>
      <c r="F45" s="80"/>
      <c r="G45" s="81"/>
      <c r="H45" s="79" t="s">
        <v>224</v>
      </c>
      <c r="I45" s="80"/>
      <c r="J45" s="81"/>
      <c r="K45" s="79" t="s">
        <v>289</v>
      </c>
      <c r="L45" s="80">
        <v>40.0</v>
      </c>
      <c r="M45" s="79" t="s">
        <v>1762</v>
      </c>
      <c r="N45" s="79" t="s">
        <v>1763</v>
      </c>
      <c r="O45" s="79" t="s">
        <v>1764</v>
      </c>
      <c r="P45" s="83">
        <v>40691.0</v>
      </c>
      <c r="Q45" s="81" t="s">
        <v>1742</v>
      </c>
      <c r="R45" s="86" t="str">
        <f>HYPERLINK("http://content.time.com/time/health/article/0,8599,2074067-1,00.html","http://content.time.com/time/health/article/0,8599,2074067-1,00.html")</f>
        <v>http://content.time.com/time/health/article/0,8599,2074067-1,00.html</v>
      </c>
      <c r="S45" s="81" t="s">
        <v>1743</v>
      </c>
      <c r="T45" s="81" t="s">
        <v>462</v>
      </c>
      <c r="U45" s="81" t="s">
        <v>462</v>
      </c>
      <c r="V45" s="81" t="s">
        <v>676</v>
      </c>
      <c r="W45" s="81" t="s">
        <v>677</v>
      </c>
      <c r="X45" s="81"/>
      <c r="Y45" s="88"/>
      <c r="Z45" s="81"/>
      <c r="AA45" s="81"/>
      <c r="AB45" s="81"/>
      <c r="AC45" s="88"/>
      <c r="AD45" s="79"/>
      <c r="AE45" s="79"/>
      <c r="AF45" s="79"/>
      <c r="AG45" s="79"/>
      <c r="AH45" s="79"/>
      <c r="AI45" s="79"/>
      <c r="AJ45" s="79"/>
      <c r="AK45" s="79"/>
      <c r="AL45" s="79"/>
    </row>
    <row r="46" ht="22.5" customHeight="1">
      <c r="A46" s="79">
        <v>10044.0</v>
      </c>
      <c r="B46" s="79" t="s">
        <v>1230</v>
      </c>
      <c r="C46" s="79" t="s">
        <v>238</v>
      </c>
      <c r="D46" s="79" t="s">
        <v>173</v>
      </c>
      <c r="E46" s="79" t="s">
        <v>1771</v>
      </c>
      <c r="F46" s="80"/>
      <c r="G46" s="81"/>
      <c r="H46" s="79" t="s">
        <v>224</v>
      </c>
      <c r="I46" s="80"/>
      <c r="J46" s="81"/>
      <c r="K46" s="79" t="s">
        <v>289</v>
      </c>
      <c r="L46" s="80">
        <v>40.0</v>
      </c>
      <c r="M46" s="79" t="s">
        <v>1102</v>
      </c>
      <c r="N46" s="79" t="s">
        <v>1096</v>
      </c>
      <c r="O46" s="79" t="s">
        <v>1103</v>
      </c>
      <c r="P46" s="83">
        <v>41925.0</v>
      </c>
      <c r="Q46" s="81" t="s">
        <v>1104</v>
      </c>
      <c r="R46" s="86" t="str">
        <f>HYPERLINK("http://www.bloombergview.com/articles/2014-10-13/buyer-beware-of-cold-snaps","http://www.bloombergview.com/articles/2014-10-13/buyer-beware-of-cold-snaps")</f>
        <v>http://www.bloombergview.com/articles/2014-10-13/buyer-beware-of-cold-snaps</v>
      </c>
      <c r="S46" s="81"/>
      <c r="T46" s="81" t="s">
        <v>462</v>
      </c>
      <c r="U46" s="81" t="s">
        <v>462</v>
      </c>
      <c r="V46" s="81" t="s">
        <v>676</v>
      </c>
      <c r="W46" s="81" t="s">
        <v>677</v>
      </c>
      <c r="X46" s="81" t="s">
        <v>1105</v>
      </c>
      <c r="Y46" s="88" t="s">
        <v>1105</v>
      </c>
      <c r="Z46" s="81"/>
      <c r="AA46" s="81" t="s">
        <v>769</v>
      </c>
      <c r="AB46" s="81"/>
      <c r="AC46" s="88">
        <v>41935.0</v>
      </c>
      <c r="AD46" s="79"/>
      <c r="AE46" s="79"/>
      <c r="AF46" s="79"/>
      <c r="AG46" s="79"/>
      <c r="AH46" s="79"/>
      <c r="AI46" s="79"/>
      <c r="AJ46" s="79"/>
      <c r="AK46" s="79"/>
      <c r="AL46" s="79"/>
    </row>
    <row r="47" ht="22.5" customHeight="1">
      <c r="A47" s="79">
        <v>10045.0</v>
      </c>
      <c r="B47" s="79" t="s">
        <v>1230</v>
      </c>
      <c r="C47" s="79" t="s">
        <v>238</v>
      </c>
      <c r="D47" s="79" t="s">
        <v>173</v>
      </c>
      <c r="E47" s="79" t="s">
        <v>376</v>
      </c>
      <c r="F47" s="80">
        <v>2.0</v>
      </c>
      <c r="G47" s="81"/>
      <c r="H47" s="79" t="s">
        <v>224</v>
      </c>
      <c r="I47" s="80"/>
      <c r="J47" s="81"/>
      <c r="K47" s="79" t="s">
        <v>289</v>
      </c>
      <c r="L47" s="80">
        <v>40.0</v>
      </c>
      <c r="M47" s="79" t="s">
        <v>1786</v>
      </c>
      <c r="N47" s="79" t="s">
        <v>1788</v>
      </c>
      <c r="O47" s="79" t="s">
        <v>1789</v>
      </c>
      <c r="P47" s="83">
        <v>42170.0</v>
      </c>
      <c r="Q47" s="81" t="s">
        <v>1790</v>
      </c>
      <c r="R47" s="86" t="str">
        <f>HYPERLINK("http://www.econlife.com/how-rating-at-whole-foods-simplify-decision-making/","http://www.econlife.com/how-rating-at-whole-foods-simplify-decision-making/")</f>
        <v>http://www.econlife.com/how-rating-at-whole-foods-simplify-decision-making/</v>
      </c>
      <c r="S47" s="81"/>
      <c r="T47" s="81" t="s">
        <v>462</v>
      </c>
      <c r="U47" s="81" t="s">
        <v>462</v>
      </c>
      <c r="V47" s="81" t="s">
        <v>676</v>
      </c>
      <c r="W47" s="81" t="s">
        <v>769</v>
      </c>
      <c r="X47" s="81" t="s">
        <v>1797</v>
      </c>
      <c r="Y47" s="88">
        <v>42199.0</v>
      </c>
      <c r="Z47" s="81"/>
      <c r="AA47" s="81"/>
      <c r="AB47" s="81"/>
      <c r="AC47" s="88"/>
      <c r="AD47" s="79"/>
      <c r="AE47" s="79"/>
      <c r="AF47" s="79"/>
      <c r="AG47" s="79"/>
      <c r="AH47" s="79"/>
      <c r="AI47" s="79"/>
      <c r="AJ47" s="79"/>
      <c r="AK47" s="79"/>
      <c r="AL47" s="79"/>
    </row>
    <row r="48" ht="22.5" customHeight="1">
      <c r="A48" s="79">
        <v>10046.0</v>
      </c>
      <c r="B48" s="79" t="s">
        <v>1230</v>
      </c>
      <c r="C48" s="79" t="s">
        <v>238</v>
      </c>
      <c r="D48" s="79" t="s">
        <v>173</v>
      </c>
      <c r="E48" s="79" t="s">
        <v>376</v>
      </c>
      <c r="F48" s="80">
        <v>2.0</v>
      </c>
      <c r="G48" s="81"/>
      <c r="H48" s="79" t="s">
        <v>224</v>
      </c>
      <c r="I48" s="80"/>
      <c r="J48" s="81"/>
      <c r="K48" s="79" t="s">
        <v>289</v>
      </c>
      <c r="L48" s="80">
        <v>40.0</v>
      </c>
      <c r="M48" s="79" t="s">
        <v>1798</v>
      </c>
      <c r="N48" s="79" t="s">
        <v>1799</v>
      </c>
      <c r="O48" s="79" t="s">
        <v>1801</v>
      </c>
      <c r="P48" s="83">
        <v>40772.0</v>
      </c>
      <c r="Q48" s="81" t="s">
        <v>1803</v>
      </c>
      <c r="R48" s="86" t="str">
        <f>HYPERLINK("http://www.nytimes.com/2011/08/21/magazine/do-you-suffer-from-decision-fatigue.html?pagewanted=all","http://www.nytimes.com/2011/08/21/magazine/do-you-suffer-from-decision-fatigue.html?pagewanted=all")</f>
        <v>http://www.nytimes.com/2011/08/21/magazine/do-you-suffer-from-decision-fatigue.html?pagewanted=all</v>
      </c>
      <c r="S48" s="81" t="s">
        <v>1809</v>
      </c>
      <c r="T48" s="81" t="s">
        <v>1810</v>
      </c>
      <c r="U48" s="81" t="s">
        <v>1810</v>
      </c>
      <c r="V48" s="81"/>
      <c r="W48" s="81" t="s">
        <v>677</v>
      </c>
      <c r="X48" s="81"/>
      <c r="Y48" s="81"/>
      <c r="Z48" s="81"/>
      <c r="AA48" s="81" t="s">
        <v>1811</v>
      </c>
      <c r="AB48" s="81"/>
      <c r="AC48" s="81"/>
      <c r="AD48" s="79"/>
      <c r="AE48" s="79"/>
      <c r="AF48" s="79"/>
      <c r="AG48" s="79"/>
      <c r="AH48" s="79"/>
      <c r="AI48" s="79"/>
      <c r="AJ48" s="79"/>
      <c r="AK48" s="79"/>
      <c r="AL48" s="79"/>
    </row>
    <row r="49" ht="22.5" customHeight="1">
      <c r="A49" s="79">
        <v>10047.0</v>
      </c>
      <c r="B49" s="79" t="s">
        <v>1230</v>
      </c>
      <c r="C49" s="79" t="s">
        <v>238</v>
      </c>
      <c r="D49" s="79" t="s">
        <v>173</v>
      </c>
      <c r="E49" s="79" t="s">
        <v>376</v>
      </c>
      <c r="F49" s="80">
        <v>2.0</v>
      </c>
      <c r="G49" s="81"/>
      <c r="H49" s="79" t="s">
        <v>224</v>
      </c>
      <c r="I49" s="80"/>
      <c r="J49" s="81"/>
      <c r="K49" s="79" t="s">
        <v>289</v>
      </c>
      <c r="L49" s="80">
        <v>40.0</v>
      </c>
      <c r="M49" s="79" t="s">
        <v>1812</v>
      </c>
      <c r="N49" s="79" t="s">
        <v>1813</v>
      </c>
      <c r="O49" s="79" t="s">
        <v>1325</v>
      </c>
      <c r="P49" s="83">
        <v>41944.0</v>
      </c>
      <c r="Q49" s="81" t="s">
        <v>1814</v>
      </c>
      <c r="R49" s="86" t="str">
        <f>HYPERLINK("http://www.nytimes.com/2014/11/02/business/that-devil-on-your-shoulder-likes-to-sleep-in.html?smid=fb-share","http://www.nytimes.com/2014/11/02/business/that-devil-on-your-shoulder-likes-to-sleep-in.html?smid=fb-share")</f>
        <v>http://www.nytimes.com/2014/11/02/business/that-devil-on-your-shoulder-likes-to-sleep-in.html?smid=fb-share</v>
      </c>
      <c r="S49" s="81"/>
      <c r="T49" s="81" t="s">
        <v>462</v>
      </c>
      <c r="U49" s="81" t="s">
        <v>462</v>
      </c>
      <c r="V49" s="81" t="s">
        <v>676</v>
      </c>
      <c r="W49" s="81" t="s">
        <v>677</v>
      </c>
      <c r="X49" s="81" t="s">
        <v>1105</v>
      </c>
      <c r="Y49" s="88" t="s">
        <v>1105</v>
      </c>
      <c r="Z49" s="81"/>
      <c r="AA49" s="81" t="s">
        <v>769</v>
      </c>
      <c r="AB49" s="81"/>
      <c r="AC49" s="88">
        <v>41947.0</v>
      </c>
      <c r="AD49" s="81"/>
      <c r="AE49" s="81"/>
      <c r="AF49" s="81"/>
      <c r="AG49" s="81"/>
      <c r="AH49" s="81"/>
      <c r="AI49" s="81"/>
      <c r="AJ49" s="81"/>
      <c r="AK49" s="79"/>
      <c r="AL49" s="79"/>
    </row>
    <row r="50" ht="22.5" customHeight="1">
      <c r="A50" s="79">
        <v>10048.0</v>
      </c>
      <c r="B50" s="79" t="s">
        <v>1230</v>
      </c>
      <c r="C50" s="79" t="s">
        <v>238</v>
      </c>
      <c r="D50" s="79" t="s">
        <v>173</v>
      </c>
      <c r="E50" s="79" t="s">
        <v>376</v>
      </c>
      <c r="F50" s="80">
        <v>2.0</v>
      </c>
      <c r="G50" s="81"/>
      <c r="H50" s="79" t="s">
        <v>224</v>
      </c>
      <c r="I50" s="80"/>
      <c r="J50" s="81"/>
      <c r="K50" s="79" t="s">
        <v>289</v>
      </c>
      <c r="L50" s="80">
        <v>40.0</v>
      </c>
      <c r="M50" s="79" t="s">
        <v>1822</v>
      </c>
      <c r="N50" s="79" t="s">
        <v>1823</v>
      </c>
      <c r="O50" s="79" t="s">
        <v>1281</v>
      </c>
      <c r="P50" s="83">
        <v>42254.0</v>
      </c>
      <c r="Q50" s="81" t="s">
        <v>1825</v>
      </c>
      <c r="R50" s="86" t="str">
        <f>HYPERLINK("http://www.theguardian.com/science/neurophilosophy/2015/sep/07/self-control-saps-memory-resources","http://www.theguardian.com/science/neurophilosophy/2015/sep/07/self-control-saps-memory-resources")</f>
        <v>http://www.theguardian.com/science/neurophilosophy/2015/sep/07/self-control-saps-memory-resources</v>
      </c>
      <c r="S50" s="81"/>
      <c r="T50" s="81" t="s">
        <v>462</v>
      </c>
      <c r="U50" s="81" t="s">
        <v>462</v>
      </c>
      <c r="V50" s="81" t="s">
        <v>676</v>
      </c>
      <c r="W50" s="81" t="s">
        <v>677</v>
      </c>
      <c r="X50" s="81"/>
      <c r="Y50" s="88"/>
      <c r="Z50" s="81"/>
      <c r="AA50" s="81"/>
      <c r="AB50" s="81"/>
      <c r="AC50" s="88"/>
      <c r="AD50" s="81"/>
      <c r="AE50" s="81"/>
      <c r="AF50" s="81"/>
      <c r="AG50" s="81"/>
      <c r="AH50" s="81"/>
      <c r="AI50" s="81"/>
      <c r="AJ50" s="81"/>
      <c r="AK50" s="79"/>
      <c r="AL50" s="79"/>
    </row>
    <row r="51" ht="22.5" customHeight="1">
      <c r="A51" s="79">
        <v>10049.0</v>
      </c>
      <c r="B51" s="79" t="s">
        <v>1230</v>
      </c>
      <c r="C51" s="79" t="s">
        <v>238</v>
      </c>
      <c r="D51" s="79" t="s">
        <v>173</v>
      </c>
      <c r="E51" s="79" t="s">
        <v>323</v>
      </c>
      <c r="F51" s="80">
        <v>11.0</v>
      </c>
      <c r="G51" s="81"/>
      <c r="H51" s="79" t="s">
        <v>224</v>
      </c>
      <c r="I51" s="80"/>
      <c r="J51" s="81"/>
      <c r="K51" s="79" t="s">
        <v>289</v>
      </c>
      <c r="L51" s="80">
        <v>40.0</v>
      </c>
      <c r="M51" s="79" t="s">
        <v>1830</v>
      </c>
      <c r="N51" s="79" t="s">
        <v>1831</v>
      </c>
      <c r="O51" s="79" t="s">
        <v>1832</v>
      </c>
      <c r="P51" s="83">
        <v>42454.0</v>
      </c>
      <c r="Q51" s="81" t="s">
        <v>1834</v>
      </c>
      <c r="R51" s="86" t="str">
        <f>HYPERLINK("http://www.vox.com/2016/3/14/11219446/psychology-replication-crisis","http://www.vox.com/2016/3/14/11219446/psychology-replication-crisis")</f>
        <v>http://www.vox.com/2016/3/14/11219446/psychology-replication-crisis</v>
      </c>
      <c r="S51" s="81"/>
      <c r="T51" s="81" t="s">
        <v>462</v>
      </c>
      <c r="U51" s="81" t="s">
        <v>462</v>
      </c>
      <c r="V51" s="81"/>
      <c r="W51" s="81" t="s">
        <v>677</v>
      </c>
      <c r="X51" s="81"/>
      <c r="Y51" s="81"/>
      <c r="Z51" s="81"/>
      <c r="AA51" s="81"/>
      <c r="AB51" s="81"/>
      <c r="AC51" s="81"/>
      <c r="AD51" s="81"/>
      <c r="AE51" s="81"/>
      <c r="AF51" s="81"/>
      <c r="AG51" s="81"/>
      <c r="AH51" s="81"/>
      <c r="AI51" s="81"/>
      <c r="AJ51" s="81"/>
      <c r="AK51" s="79"/>
      <c r="AL51" s="79"/>
    </row>
    <row r="52" ht="22.5" customHeight="1">
      <c r="A52" s="79">
        <v>10050.0</v>
      </c>
      <c r="B52" s="79" t="s">
        <v>1230</v>
      </c>
      <c r="C52" s="79" t="s">
        <v>238</v>
      </c>
      <c r="D52" s="79" t="s">
        <v>173</v>
      </c>
      <c r="E52" s="79" t="s">
        <v>323</v>
      </c>
      <c r="F52" s="80">
        <v>11.0</v>
      </c>
      <c r="G52" s="81"/>
      <c r="H52" s="79" t="s">
        <v>224</v>
      </c>
      <c r="I52" s="80"/>
      <c r="J52" s="81"/>
      <c r="K52" s="79" t="s">
        <v>1839</v>
      </c>
      <c r="L52" s="80" t="s">
        <v>1840</v>
      </c>
      <c r="M52" s="79" t="s">
        <v>1841</v>
      </c>
      <c r="N52" s="79" t="s">
        <v>1843</v>
      </c>
      <c r="O52" s="79" t="s">
        <v>1844</v>
      </c>
      <c r="P52" s="83">
        <v>40699.0</v>
      </c>
      <c r="Q52" s="81" t="s">
        <v>1845</v>
      </c>
      <c r="R52" s="86" t="str">
        <f>HYPERLINK("http://www.newrepublic.com/article/environment-energy/89377/poverty-escape-psychology-self-control","http://www.newrepublic.com/article/environment-energy/89377/poverty-escape-psychology-self-control")</f>
        <v>http://www.newrepublic.com/article/environment-energy/89377/poverty-escape-psychology-self-control</v>
      </c>
      <c r="S52" s="81"/>
      <c r="T52" s="81" t="s">
        <v>462</v>
      </c>
      <c r="U52" s="81" t="s">
        <v>462</v>
      </c>
      <c r="V52" s="81" t="s">
        <v>676</v>
      </c>
      <c r="W52" s="81" t="s">
        <v>677</v>
      </c>
      <c r="X52" s="81"/>
      <c r="Y52" s="88"/>
      <c r="Z52" s="81"/>
      <c r="AA52" s="81"/>
      <c r="AB52" s="81"/>
      <c r="AC52" s="88"/>
      <c r="AD52" s="81"/>
      <c r="AE52" s="81"/>
      <c r="AF52" s="81"/>
      <c r="AG52" s="81"/>
      <c r="AH52" s="81"/>
      <c r="AI52" s="81"/>
      <c r="AJ52" s="81"/>
      <c r="AK52" s="79"/>
      <c r="AL52" s="79"/>
    </row>
    <row r="53" ht="22.5" customHeight="1">
      <c r="A53" s="79">
        <v>10051.0</v>
      </c>
      <c r="B53" s="79" t="s">
        <v>1230</v>
      </c>
      <c r="C53" s="79" t="s">
        <v>238</v>
      </c>
      <c r="D53" s="79" t="s">
        <v>173</v>
      </c>
      <c r="E53" s="79" t="s">
        <v>323</v>
      </c>
      <c r="F53" s="80">
        <v>11.0</v>
      </c>
      <c r="G53" s="81"/>
      <c r="H53" s="79" t="s">
        <v>1203</v>
      </c>
      <c r="I53" s="80">
        <v>21000.0</v>
      </c>
      <c r="J53" s="81"/>
      <c r="K53" s="79" t="s">
        <v>289</v>
      </c>
      <c r="L53" s="80">
        <v>40.0</v>
      </c>
      <c r="M53" s="79" t="s">
        <v>1852</v>
      </c>
      <c r="N53" s="79" t="s">
        <v>1853</v>
      </c>
      <c r="O53" s="79" t="s">
        <v>1430</v>
      </c>
      <c r="P53" s="83">
        <v>41544.0</v>
      </c>
      <c r="Q53" s="81" t="s">
        <v>1854</v>
      </c>
      <c r="R53" s="86" t="str">
        <f>HYPERLINK("http://www.npr.org/2013/09/27/226580668/how-recycling-bias-affects-what-you-toss-where","http://www.npr.org/2013/09/27/226580668/how-recycling-bias-affects-what-you-toss-where")</f>
        <v>http://www.npr.org/2013/09/27/226580668/how-recycling-bias-affects-what-you-toss-where</v>
      </c>
      <c r="S53" s="81" t="s">
        <v>1859</v>
      </c>
      <c r="T53" s="81" t="s">
        <v>462</v>
      </c>
      <c r="U53" s="81" t="s">
        <v>462</v>
      </c>
      <c r="V53" s="81"/>
      <c r="W53" s="81" t="s">
        <v>769</v>
      </c>
      <c r="X53" s="81" t="s">
        <v>1861</v>
      </c>
      <c r="Y53" s="88">
        <v>42466.0</v>
      </c>
      <c r="Z53" s="88">
        <v>42606.0</v>
      </c>
      <c r="AA53" s="81" t="s">
        <v>769</v>
      </c>
      <c r="AB53" s="81"/>
      <c r="AC53" s="88">
        <v>41948.0</v>
      </c>
      <c r="AD53" s="81"/>
      <c r="AE53" s="81"/>
      <c r="AF53" s="81"/>
      <c r="AG53" s="81"/>
      <c r="AH53" s="81"/>
      <c r="AI53" s="81"/>
      <c r="AJ53" s="81"/>
      <c r="AK53" s="79"/>
      <c r="AL53" s="79"/>
    </row>
    <row r="54" ht="22.5" customHeight="1">
      <c r="A54" s="79">
        <v>10052.0</v>
      </c>
      <c r="B54" s="79" t="s">
        <v>1230</v>
      </c>
      <c r="C54" s="79" t="s">
        <v>238</v>
      </c>
      <c r="D54" s="79" t="s">
        <v>173</v>
      </c>
      <c r="E54" s="79" t="s">
        <v>323</v>
      </c>
      <c r="F54" s="80">
        <v>11.0</v>
      </c>
      <c r="G54" s="81"/>
      <c r="H54" s="79" t="s">
        <v>116</v>
      </c>
      <c r="I54" s="80">
        <v>3000.0</v>
      </c>
      <c r="J54" s="81"/>
      <c r="K54" s="79" t="s">
        <v>289</v>
      </c>
      <c r="L54" s="80">
        <v>40.0</v>
      </c>
      <c r="M54" s="79" t="s">
        <v>1862</v>
      </c>
      <c r="N54" s="79" t="s">
        <v>1429</v>
      </c>
      <c r="O54" s="79" t="s">
        <v>1430</v>
      </c>
      <c r="P54" s="83">
        <v>42129.0</v>
      </c>
      <c r="Q54" s="81" t="s">
        <v>1864</v>
      </c>
      <c r="R54" s="86" t="str">
        <f>HYPERLINK("http://www.npr.org/2015/05/05/404352534/blame-cognitive-biases-when-efforts-to-conserve-water-aren-t-effective","http://www.npr.org/2015/05/05/404352534/blame-cognitive-biases-when-efforts-to-conserve-water-aren-t-effective")</f>
        <v>http://www.npr.org/2015/05/05/404352534/blame-cognitive-biases-when-efforts-to-conserve-water-aren-t-effective</v>
      </c>
      <c r="S54" s="81" t="s">
        <v>1868</v>
      </c>
      <c r="T54" s="81" t="s">
        <v>462</v>
      </c>
      <c r="U54" s="81" t="s">
        <v>462</v>
      </c>
      <c r="V54" s="81" t="s">
        <v>676</v>
      </c>
      <c r="W54" s="81" t="s">
        <v>769</v>
      </c>
      <c r="X54" s="81" t="s">
        <v>1870</v>
      </c>
      <c r="Y54" s="88">
        <v>42160.0</v>
      </c>
      <c r="Z54" s="88">
        <v>42513.0</v>
      </c>
      <c r="AA54" s="81" t="s">
        <v>769</v>
      </c>
      <c r="AB54" s="81"/>
      <c r="AC54" s="88">
        <v>42130.0</v>
      </c>
      <c r="AD54" s="81"/>
      <c r="AE54" s="81"/>
      <c r="AF54" s="81"/>
      <c r="AG54" s="81"/>
      <c r="AH54" s="81"/>
      <c r="AI54" s="81"/>
      <c r="AJ54" s="81"/>
      <c r="AK54" s="79"/>
      <c r="AL54" s="79"/>
    </row>
    <row r="55" ht="22.5" customHeight="1">
      <c r="A55" s="79">
        <v>10053.0</v>
      </c>
      <c r="B55" s="79" t="s">
        <v>1230</v>
      </c>
      <c r="C55" s="79" t="s">
        <v>238</v>
      </c>
      <c r="D55" s="79" t="s">
        <v>173</v>
      </c>
      <c r="E55" s="79" t="s">
        <v>1875</v>
      </c>
      <c r="F55" s="80" t="s">
        <v>1876</v>
      </c>
      <c r="G55" s="81"/>
      <c r="H55" s="79" t="s">
        <v>1114</v>
      </c>
      <c r="I55" s="80">
        <v>2000.0</v>
      </c>
      <c r="J55" s="81"/>
      <c r="K55" s="79" t="s">
        <v>1877</v>
      </c>
      <c r="L55" s="80" t="s">
        <v>1878</v>
      </c>
      <c r="M55" s="79" t="s">
        <v>1880</v>
      </c>
      <c r="N55" s="79" t="s">
        <v>1722</v>
      </c>
      <c r="O55" s="79" t="s">
        <v>1722</v>
      </c>
      <c r="P55" s="83">
        <v>41908.0</v>
      </c>
      <c r="Q55" s="81" t="s">
        <v>1881</v>
      </c>
      <c r="R55" s="86" t="str">
        <f>HYPERLINK("http://www.sustainablebrands.com/news_and_views/new_metrics/sustainable_brands/new_metrics_%E2%80%9914_increased_fears_about_environment_not_?utm_source=Twitter&amp;utm_medium=schtweets&amp;utm_campaign=editorial","http://www.sustainablebrands.com/news_and_views/new_metrics/sustainable_brands/new_metrics_%E2%80%9914_increased_fears_about_environment_not_?utm_source=Twitter&amp;utm_medium=schtweets&amp;utm_campaign=editorial")</f>
        <v>http://www.sustainablebrands.com/news_and_views/new_metrics/sustainable_brands/new_metrics_%E2%80%9914_increased_fears_about_environment_not_?utm_source=Twitter&amp;utm_medium=schtweets&amp;utm_campaign=editorial</v>
      </c>
      <c r="S55" s="81"/>
      <c r="T55" s="81" t="s">
        <v>462</v>
      </c>
      <c r="U55" s="81" t="s">
        <v>462</v>
      </c>
      <c r="V55" s="81" t="s">
        <v>676</v>
      </c>
      <c r="W55" s="81" t="s">
        <v>600</v>
      </c>
      <c r="X55" s="81"/>
      <c r="Y55" s="88"/>
      <c r="Z55" s="81"/>
      <c r="AA55" s="81"/>
      <c r="AB55" s="81"/>
      <c r="AC55" s="88"/>
      <c r="AD55" s="81"/>
      <c r="AE55" s="81"/>
      <c r="AF55" s="81"/>
      <c r="AG55" s="81"/>
      <c r="AH55" s="81"/>
      <c r="AI55" s="81"/>
      <c r="AJ55" s="81" t="s">
        <v>678</v>
      </c>
      <c r="AK55" s="79"/>
      <c r="AL55" s="79"/>
    </row>
    <row r="56" ht="22.5" customHeight="1">
      <c r="A56" s="79">
        <v>10054.0</v>
      </c>
      <c r="B56" s="79" t="s">
        <v>1230</v>
      </c>
      <c r="C56" s="79" t="s">
        <v>238</v>
      </c>
      <c r="D56" s="79" t="s">
        <v>173</v>
      </c>
      <c r="E56" s="79" t="s">
        <v>490</v>
      </c>
      <c r="F56" s="80">
        <v>6.0</v>
      </c>
      <c r="G56" s="81"/>
      <c r="H56" s="79" t="s">
        <v>224</v>
      </c>
      <c r="I56" s="80"/>
      <c r="J56" s="81"/>
      <c r="K56" s="79" t="s">
        <v>289</v>
      </c>
      <c r="L56" s="80">
        <v>40.0</v>
      </c>
      <c r="M56" s="79" t="s">
        <v>1889</v>
      </c>
      <c r="N56" s="79" t="s">
        <v>1799</v>
      </c>
      <c r="O56" s="79" t="s">
        <v>1325</v>
      </c>
      <c r="P56" s="83">
        <v>40205.0</v>
      </c>
      <c r="Q56" s="81" t="s">
        <v>1890</v>
      </c>
      <c r="R56" s="86" t="str">
        <f>HYPERLINK("http://tierneylab.blogs.nytimes.com/2010/01/27/monkeys-candy-and-cognitive-dissonance/?_r=0","http://tierneylab.blogs.nytimes.com/2010/01/27/monkeys-candy-and-cognitive-dissonance/?_r=0")</f>
        <v>http://tierneylab.blogs.nytimes.com/2010/01/27/monkeys-candy-and-cognitive-dissonance/?_r=0</v>
      </c>
      <c r="S56" s="81"/>
      <c r="T56" s="81" t="s">
        <v>428</v>
      </c>
      <c r="U56" s="81" t="s">
        <v>462</v>
      </c>
      <c r="V56" s="81"/>
      <c r="W56" s="81" t="s">
        <v>677</v>
      </c>
      <c r="X56" s="81"/>
      <c r="Y56" s="81"/>
      <c r="Z56" s="81"/>
      <c r="AA56" s="81"/>
      <c r="AB56" s="81"/>
      <c r="AC56" s="81"/>
      <c r="AD56" s="81"/>
      <c r="AE56" s="81"/>
      <c r="AF56" s="81"/>
      <c r="AG56" s="81"/>
      <c r="AH56" s="81"/>
      <c r="AI56" s="81"/>
      <c r="AJ56" s="81"/>
      <c r="AK56" s="79"/>
      <c r="AL56" s="79"/>
    </row>
    <row r="57" ht="22.5" customHeight="1">
      <c r="A57" s="79">
        <v>10055.0</v>
      </c>
      <c r="B57" s="79" t="s">
        <v>1230</v>
      </c>
      <c r="C57" s="79" t="s">
        <v>238</v>
      </c>
      <c r="D57" s="79" t="s">
        <v>173</v>
      </c>
      <c r="E57" s="79" t="s">
        <v>490</v>
      </c>
      <c r="F57" s="80">
        <v>6.0</v>
      </c>
      <c r="G57" s="81"/>
      <c r="H57" s="79" t="s">
        <v>224</v>
      </c>
      <c r="I57" s="80"/>
      <c r="J57" s="81"/>
      <c r="K57" s="79" t="s">
        <v>1590</v>
      </c>
      <c r="L57" s="80"/>
      <c r="M57" s="79" t="s">
        <v>1893</v>
      </c>
      <c r="N57" s="79" t="s">
        <v>1894</v>
      </c>
      <c r="O57" s="79" t="s">
        <v>1571</v>
      </c>
      <c r="P57" s="83">
        <v>74324.0</v>
      </c>
      <c r="Q57" s="81"/>
      <c r="R57" s="86" t="str">
        <f>HYPERLINK("https://www.psychologytoday.com/blog/culture-conscious/201306/is-cognitive-dissonance-universal","https://www.psychologytoday.com/blog/culture-conscious/201306/is-cognitive-dissonance-universal")</f>
        <v>https://www.psychologytoday.com/blog/culture-conscious/201306/is-cognitive-dissonance-universal</v>
      </c>
      <c r="S57" s="81"/>
      <c r="T57" s="81"/>
      <c r="U57" s="81"/>
      <c r="V57" s="81"/>
      <c r="W57" s="81"/>
      <c r="X57" s="102"/>
      <c r="Y57" s="81"/>
      <c r="Z57" s="81"/>
      <c r="AA57" s="81"/>
      <c r="AB57" s="81"/>
      <c r="AC57" s="81"/>
      <c r="AD57" s="81"/>
      <c r="AE57" s="81"/>
      <c r="AF57" s="81"/>
      <c r="AG57" s="81"/>
      <c r="AH57" s="81"/>
      <c r="AI57" s="81"/>
      <c r="AJ57" s="81" t="s">
        <v>491</v>
      </c>
      <c r="AK57" s="79"/>
      <c r="AL57" s="79"/>
    </row>
    <row r="58" ht="22.5" customHeight="1">
      <c r="A58" s="79">
        <v>10056.0</v>
      </c>
      <c r="B58" s="79" t="s">
        <v>1230</v>
      </c>
      <c r="C58" s="79" t="s">
        <v>238</v>
      </c>
      <c r="D58" s="79" t="s">
        <v>173</v>
      </c>
      <c r="E58" s="79" t="s">
        <v>490</v>
      </c>
      <c r="F58" s="80">
        <v>6.0</v>
      </c>
      <c r="G58" s="81"/>
      <c r="H58" s="79" t="s">
        <v>224</v>
      </c>
      <c r="I58" s="80"/>
      <c r="J58" s="81"/>
      <c r="K58" s="79" t="s">
        <v>289</v>
      </c>
      <c r="L58" s="80">
        <v>40.0</v>
      </c>
      <c r="M58" s="79" t="s">
        <v>1908</v>
      </c>
      <c r="N58" s="79" t="s">
        <v>1909</v>
      </c>
      <c r="O58" s="79" t="s">
        <v>1910</v>
      </c>
      <c r="P58" s="83">
        <v>40105.0</v>
      </c>
      <c r="Q58" s="81" t="s">
        <v>1912</v>
      </c>
      <c r="R58" s="86" t="str">
        <f>HYPERLINK("http://www.newsweek.com/our-brains-are-wired-hypocrisy-begley-80941","http://www.newsweek.com/our-brains-are-wired-hypocrisy-begley-80941")</f>
        <v>http://www.newsweek.com/our-brains-are-wired-hypocrisy-begley-80941</v>
      </c>
      <c r="S58" s="81"/>
      <c r="T58" s="81" t="s">
        <v>462</v>
      </c>
      <c r="U58" s="81" t="s">
        <v>462</v>
      </c>
      <c r="V58" s="81"/>
      <c r="W58" s="81" t="s">
        <v>769</v>
      </c>
      <c r="X58" s="81" t="s">
        <v>1918</v>
      </c>
      <c r="Y58" s="88">
        <v>42333.0</v>
      </c>
      <c r="Z58" s="81"/>
      <c r="AA58" s="81" t="s">
        <v>769</v>
      </c>
      <c r="AB58" s="81"/>
      <c r="AC58" s="88">
        <v>42534.0</v>
      </c>
      <c r="AD58" s="81"/>
      <c r="AE58" s="81"/>
      <c r="AF58" s="81"/>
      <c r="AG58" s="81"/>
      <c r="AH58" s="81"/>
      <c r="AI58" s="81"/>
      <c r="AJ58" s="81"/>
      <c r="AK58" s="79"/>
      <c r="AL58" s="79"/>
    </row>
    <row r="59" ht="22.5" customHeight="1">
      <c r="A59" s="79">
        <v>10057.0</v>
      </c>
      <c r="B59" s="79" t="s">
        <v>1230</v>
      </c>
      <c r="C59" s="79" t="s">
        <v>238</v>
      </c>
      <c r="D59" s="79" t="s">
        <v>173</v>
      </c>
      <c r="E59" s="79" t="s">
        <v>490</v>
      </c>
      <c r="F59" s="80">
        <v>6.0</v>
      </c>
      <c r="G59" s="81"/>
      <c r="H59" s="79" t="s">
        <v>837</v>
      </c>
      <c r="I59" s="80">
        <v>2000.0</v>
      </c>
      <c r="J59" s="81"/>
      <c r="K59" s="79" t="s">
        <v>289</v>
      </c>
      <c r="L59" s="80">
        <v>40.0</v>
      </c>
      <c r="M59" s="79" t="s">
        <v>1922</v>
      </c>
      <c r="N59" s="79" t="s">
        <v>1924</v>
      </c>
      <c r="O59" s="79" t="s">
        <v>1925</v>
      </c>
      <c r="P59" s="83">
        <v>40530.0</v>
      </c>
      <c r="Q59" s="81" t="s">
        <v>1927</v>
      </c>
      <c r="R59" s="86" t="str">
        <f>HYPERLINK("http://www.whydev.org/cognitive-dissonance-and-social-change-what-can-we-learn/","http://www.whydev.org/cognitive-dissonance-and-social-change-what-can-we-learn/")</f>
        <v>http://www.whydev.org/cognitive-dissonance-and-social-change-what-can-we-learn/</v>
      </c>
      <c r="S59" s="81"/>
      <c r="T59" s="81" t="s">
        <v>428</v>
      </c>
      <c r="U59" s="81" t="s">
        <v>462</v>
      </c>
      <c r="V59" s="81"/>
      <c r="W59" s="81" t="s">
        <v>769</v>
      </c>
      <c r="X59" s="81" t="s">
        <v>1929</v>
      </c>
      <c r="Y59" s="88">
        <v>42334.0</v>
      </c>
      <c r="Z59" s="88">
        <v>42549.0</v>
      </c>
      <c r="AA59" s="81"/>
      <c r="AB59" s="81"/>
      <c r="AC59" s="88"/>
      <c r="AD59" s="81"/>
      <c r="AE59" s="88"/>
      <c r="AF59" s="81"/>
      <c r="AG59" s="81"/>
      <c r="AH59" s="81"/>
      <c r="AI59" s="81"/>
      <c r="AJ59" s="81"/>
      <c r="AK59" s="79"/>
      <c r="AL59" s="79"/>
    </row>
    <row r="60" ht="22.5" customHeight="1">
      <c r="A60" s="79">
        <v>10058.0</v>
      </c>
      <c r="B60" s="79" t="s">
        <v>1230</v>
      </c>
      <c r="C60" s="79" t="s">
        <v>238</v>
      </c>
      <c r="D60" s="79" t="s">
        <v>173</v>
      </c>
      <c r="E60" s="79" t="s">
        <v>1153</v>
      </c>
      <c r="F60" s="80">
        <v>6.0</v>
      </c>
      <c r="G60" s="81"/>
      <c r="H60" s="79" t="s">
        <v>224</v>
      </c>
      <c r="I60" s="80"/>
      <c r="J60" s="81"/>
      <c r="K60" s="79" t="s">
        <v>289</v>
      </c>
      <c r="L60" s="80">
        <v>40.0</v>
      </c>
      <c r="M60" s="79" t="s">
        <v>1932</v>
      </c>
      <c r="N60" s="79" t="s">
        <v>1933</v>
      </c>
      <c r="O60" s="79" t="s">
        <v>1934</v>
      </c>
      <c r="P60" s="83">
        <v>41623.0</v>
      </c>
      <c r="Q60" s="81" t="s">
        <v>1706</v>
      </c>
      <c r="R60" s="86" t="str">
        <f>HYPERLINK("http://www.npr.org/blogs/itsallpolitics/2013/12/15/250735621/another-partisan-divide-mitt-romneys-looks","http://www.npr.org/blogs/itsallpolitics/2013/12/15/250735621/another-partisan-divide-mitt-romneys-looks")</f>
        <v>http://www.npr.org/blogs/itsallpolitics/2013/12/15/250735621/another-partisan-divide-mitt-romneys-looks</v>
      </c>
      <c r="S60" s="81"/>
      <c r="T60" s="81" t="s">
        <v>462</v>
      </c>
      <c r="U60" s="81" t="s">
        <v>462</v>
      </c>
      <c r="V60" s="81" t="s">
        <v>676</v>
      </c>
      <c r="W60" s="81" t="s">
        <v>677</v>
      </c>
      <c r="X60" s="81"/>
      <c r="Y60" s="88"/>
      <c r="Z60" s="81"/>
      <c r="AA60" s="81"/>
      <c r="AB60" s="81"/>
      <c r="AC60" s="88"/>
      <c r="AD60" s="81"/>
      <c r="AE60" s="81"/>
      <c r="AF60" s="81"/>
      <c r="AG60" s="81"/>
      <c r="AH60" s="81"/>
      <c r="AI60" s="81"/>
      <c r="AJ60" s="81"/>
      <c r="AK60" s="79"/>
      <c r="AL60" s="79"/>
    </row>
    <row r="61" ht="22.5" customHeight="1">
      <c r="A61" s="79">
        <v>10059.0</v>
      </c>
      <c r="B61" s="79" t="s">
        <v>1230</v>
      </c>
      <c r="C61" s="79" t="s">
        <v>238</v>
      </c>
      <c r="D61" s="79" t="s">
        <v>173</v>
      </c>
      <c r="E61" s="79" t="s">
        <v>1153</v>
      </c>
      <c r="F61" s="80">
        <v>6.0</v>
      </c>
      <c r="G61" s="81"/>
      <c r="H61" s="79" t="s">
        <v>837</v>
      </c>
      <c r="I61" s="80">
        <v>2000.0</v>
      </c>
      <c r="J61" s="81"/>
      <c r="K61" s="79" t="s">
        <v>1590</v>
      </c>
      <c r="L61" s="80"/>
      <c r="M61" s="94" t="s">
        <v>1944</v>
      </c>
      <c r="N61" s="79" t="s">
        <v>1945</v>
      </c>
      <c r="O61" s="79" t="s">
        <v>1265</v>
      </c>
      <c r="P61" s="83">
        <v>42214.0</v>
      </c>
      <c r="Q61" s="81" t="s">
        <v>1946</v>
      </c>
      <c r="R61" s="86" t="str">
        <f>HYPERLINK("http://grist.org/climate-energy/education-increases-belief-in-climate-change-everywhere-except-in-the-u-s/","http://grist.org/climate-energy/education-increases-belief-in-climate-change-everywhere-except-in-the-u-s/")</f>
        <v>http://grist.org/climate-energy/education-increases-belief-in-climate-change-everywhere-except-in-the-u-s/</v>
      </c>
      <c r="S61" s="81"/>
      <c r="T61" s="81"/>
      <c r="U61" s="81"/>
      <c r="V61" s="81"/>
      <c r="W61" s="81" t="s">
        <v>769</v>
      </c>
      <c r="X61" s="81" t="s">
        <v>1949</v>
      </c>
      <c r="Y61" s="88">
        <v>42648.0</v>
      </c>
      <c r="Z61" s="81"/>
      <c r="AA61" s="81"/>
      <c r="AB61" s="81"/>
      <c r="AC61" s="81"/>
      <c r="AD61" s="81"/>
      <c r="AE61" s="81"/>
      <c r="AF61" s="81"/>
      <c r="AG61" s="81"/>
      <c r="AH61" s="81"/>
      <c r="AI61" s="81" t="s">
        <v>428</v>
      </c>
      <c r="AJ61" s="81"/>
      <c r="AK61" s="79"/>
      <c r="AL61" s="79"/>
    </row>
    <row r="62" ht="22.5" customHeight="1">
      <c r="A62" s="79">
        <v>10060.0</v>
      </c>
      <c r="B62" s="79" t="s">
        <v>1230</v>
      </c>
      <c r="C62" s="79" t="s">
        <v>238</v>
      </c>
      <c r="D62" s="79" t="s">
        <v>173</v>
      </c>
      <c r="E62" s="79" t="s">
        <v>1153</v>
      </c>
      <c r="F62" s="80">
        <v>6.0</v>
      </c>
      <c r="G62" s="81"/>
      <c r="H62" s="79" t="s">
        <v>224</v>
      </c>
      <c r="I62" s="80"/>
      <c r="J62" s="81"/>
      <c r="K62" s="79" t="s">
        <v>289</v>
      </c>
      <c r="L62" s="80">
        <v>40.0</v>
      </c>
      <c r="M62" s="79" t="s">
        <v>1950</v>
      </c>
      <c r="N62" s="79" t="s">
        <v>1951</v>
      </c>
      <c r="O62" s="79" t="s">
        <v>1801</v>
      </c>
      <c r="P62" s="83">
        <v>41136.0</v>
      </c>
      <c r="Q62" s="81" t="s">
        <v>1953</v>
      </c>
      <c r="R62" s="86" t="str">
        <f>HYPERLINK("http://www.nytimes.com/2012/08/19/magazine/the-mind-of-a-flip-flopper.html","http://www.nytimes.com/2012/08/19/magazine/the-mind-of-a-flip-flopper.html")</f>
        <v>http://www.nytimes.com/2012/08/19/magazine/the-mind-of-a-flip-flopper.html</v>
      </c>
      <c r="S62" s="81"/>
      <c r="T62" s="81" t="s">
        <v>462</v>
      </c>
      <c r="U62" s="81" t="s">
        <v>462</v>
      </c>
      <c r="V62" s="81"/>
      <c r="W62" s="81" t="s">
        <v>1659</v>
      </c>
      <c r="X62" s="81"/>
      <c r="Y62" s="88"/>
      <c r="Z62" s="81"/>
      <c r="AA62" s="81"/>
      <c r="AB62" s="81"/>
      <c r="AC62" s="88"/>
      <c r="AD62" s="81"/>
      <c r="AE62" s="81"/>
      <c r="AF62" s="81"/>
      <c r="AG62" s="81"/>
      <c r="AH62" s="81"/>
      <c r="AI62" s="81"/>
      <c r="AJ62" s="81"/>
      <c r="AK62" s="79"/>
      <c r="AL62" s="79"/>
    </row>
    <row r="63" ht="22.5" customHeight="1">
      <c r="A63" s="79">
        <v>10061.0</v>
      </c>
      <c r="B63" s="79" t="s">
        <v>1230</v>
      </c>
      <c r="C63" s="79" t="s">
        <v>238</v>
      </c>
      <c r="D63" s="79" t="s">
        <v>173</v>
      </c>
      <c r="E63" s="79" t="s">
        <v>1153</v>
      </c>
      <c r="F63" s="80">
        <v>6.0</v>
      </c>
      <c r="G63" s="81"/>
      <c r="H63" s="79" t="s">
        <v>224</v>
      </c>
      <c r="I63" s="80"/>
      <c r="J63" s="81"/>
      <c r="K63" s="79" t="s">
        <v>289</v>
      </c>
      <c r="L63" s="80">
        <v>40.0</v>
      </c>
      <c r="M63" s="79" t="s">
        <v>1960</v>
      </c>
      <c r="N63" s="79" t="s">
        <v>1961</v>
      </c>
      <c r="O63" s="79" t="s">
        <v>1412</v>
      </c>
      <c r="P63" s="83">
        <v>41775.0</v>
      </c>
      <c r="Q63" s="81" t="s">
        <v>1962</v>
      </c>
      <c r="R63" s="79" t="s">
        <v>1963</v>
      </c>
      <c r="S63" s="81" t="s">
        <v>1964</v>
      </c>
      <c r="T63" s="81" t="s">
        <v>462</v>
      </c>
      <c r="U63" s="81" t="s">
        <v>462</v>
      </c>
      <c r="V63" s="81" t="s">
        <v>676</v>
      </c>
      <c r="W63" s="81" t="s">
        <v>677</v>
      </c>
      <c r="X63" s="81"/>
      <c r="Y63" s="88"/>
      <c r="Z63" s="81"/>
      <c r="AA63" s="81"/>
      <c r="AB63" s="81"/>
      <c r="AC63" s="88"/>
      <c r="AD63" s="81"/>
      <c r="AE63" s="81"/>
      <c r="AF63" s="81"/>
      <c r="AG63" s="81"/>
      <c r="AH63" s="81"/>
      <c r="AI63" s="81"/>
      <c r="AJ63" s="81"/>
      <c r="AK63" s="79"/>
      <c r="AL63" s="79"/>
    </row>
    <row r="64" ht="22.5" customHeight="1">
      <c r="A64" s="79">
        <v>10062.0</v>
      </c>
      <c r="B64" s="79" t="s">
        <v>1230</v>
      </c>
      <c r="C64" s="79" t="s">
        <v>238</v>
      </c>
      <c r="D64" s="79" t="s">
        <v>173</v>
      </c>
      <c r="E64" s="79" t="s">
        <v>280</v>
      </c>
      <c r="F64" s="80">
        <v>10.0</v>
      </c>
      <c r="G64" s="81"/>
      <c r="H64" s="79" t="s">
        <v>1114</v>
      </c>
      <c r="I64" s="80">
        <v>2000.0</v>
      </c>
      <c r="J64" s="81"/>
      <c r="K64" s="79" t="s">
        <v>1877</v>
      </c>
      <c r="L64" s="80" t="s">
        <v>1878</v>
      </c>
      <c r="M64" s="86" t="str">
        <f>HYPERLINK("http://globe-net.com/fears-environment-rising-sustainable-behavior-falling/","Fears About Environment Rising – Sustainable Behavior Falling")</f>
        <v>Fears About Environment Rising – Sustainable Behavior Falling</v>
      </c>
      <c r="N64" s="79" t="s">
        <v>577</v>
      </c>
      <c r="O64" s="79" t="s">
        <v>1969</v>
      </c>
      <c r="P64" s="83">
        <v>41935.0</v>
      </c>
      <c r="Q64" s="81" t="s">
        <v>1970</v>
      </c>
      <c r="R64" s="86" t="str">
        <f>HYPERLINK("http://globe-net.com/fears-environment-rising-sustainable-behavior-falling/","http://globe-net.com/fears-environment-rising-sustainable-behavior-falling/")</f>
        <v>http://globe-net.com/fears-environment-rising-sustainable-behavior-falling/</v>
      </c>
      <c r="S64" s="81"/>
      <c r="T64" s="81" t="s">
        <v>462</v>
      </c>
      <c r="U64" s="81" t="s">
        <v>462</v>
      </c>
      <c r="V64" s="81" t="s">
        <v>676</v>
      </c>
      <c r="W64" s="81" t="s">
        <v>769</v>
      </c>
      <c r="X64" s="81" t="s">
        <v>1973</v>
      </c>
      <c r="Y64" s="88">
        <v>42171.0</v>
      </c>
      <c r="Z64" s="88">
        <v>42541.0</v>
      </c>
      <c r="AA64" s="81"/>
      <c r="AB64" s="81"/>
      <c r="AC64" s="88"/>
      <c r="AD64" s="81"/>
      <c r="AE64" s="81"/>
      <c r="AF64" s="81"/>
      <c r="AG64" s="81"/>
      <c r="AH64" s="81"/>
      <c r="AI64" s="81"/>
      <c r="AJ64" s="81" t="s">
        <v>678</v>
      </c>
      <c r="AK64" s="79"/>
      <c r="AL64" s="79"/>
    </row>
    <row r="65" ht="22.5" customHeight="1">
      <c r="A65" s="79">
        <v>10063.0</v>
      </c>
      <c r="B65" s="79" t="s">
        <v>1230</v>
      </c>
      <c r="C65" s="79" t="s">
        <v>238</v>
      </c>
      <c r="D65" s="79" t="s">
        <v>173</v>
      </c>
      <c r="E65" s="79" t="s">
        <v>280</v>
      </c>
      <c r="F65" s="80">
        <v>10.0</v>
      </c>
      <c r="G65" s="81"/>
      <c r="H65" s="79" t="s">
        <v>224</v>
      </c>
      <c r="I65" s="80"/>
      <c r="J65" s="81"/>
      <c r="K65" s="79" t="s">
        <v>1976</v>
      </c>
      <c r="L65" s="80">
        <v>44.0</v>
      </c>
      <c r="M65" s="79" t="s">
        <v>1977</v>
      </c>
      <c r="N65" s="79" t="s">
        <v>1978</v>
      </c>
      <c r="O65" s="79" t="s">
        <v>1980</v>
      </c>
      <c r="P65" s="83">
        <v>41052.0</v>
      </c>
      <c r="Q65" s="81" t="s">
        <v>1981</v>
      </c>
      <c r="R65" s="79" t="s">
        <v>1982</v>
      </c>
      <c r="S65" s="81" t="s">
        <v>1983</v>
      </c>
      <c r="T65" s="81"/>
      <c r="U65" s="81"/>
      <c r="V65" s="81" t="s">
        <v>1984</v>
      </c>
      <c r="W65" s="81"/>
      <c r="X65" s="81"/>
      <c r="Y65" s="81"/>
      <c r="Z65" s="81"/>
      <c r="AA65" s="81"/>
      <c r="AB65" s="81"/>
      <c r="AC65" s="81"/>
      <c r="AD65" s="81"/>
      <c r="AE65" s="81"/>
      <c r="AF65" s="81"/>
      <c r="AG65" s="81"/>
      <c r="AH65" s="81"/>
      <c r="AI65" s="81"/>
      <c r="AJ65" s="79"/>
      <c r="AK65" s="79"/>
      <c r="AL65" s="79"/>
    </row>
    <row r="66" ht="22.5" customHeight="1">
      <c r="A66" s="79">
        <v>10064.0</v>
      </c>
      <c r="B66" s="79" t="s">
        <v>1985</v>
      </c>
      <c r="C66" s="79" t="s">
        <v>238</v>
      </c>
      <c r="D66" s="79" t="s">
        <v>1988</v>
      </c>
      <c r="E66" s="79" t="s">
        <v>1989</v>
      </c>
      <c r="F66" s="80" t="s">
        <v>1990</v>
      </c>
      <c r="G66" s="81"/>
      <c r="H66" s="79" t="s">
        <v>1114</v>
      </c>
      <c r="I66" s="80">
        <v>2000.0</v>
      </c>
      <c r="J66" s="81"/>
      <c r="K66" s="79" t="s">
        <v>117</v>
      </c>
      <c r="L66" s="80">
        <v>40.0</v>
      </c>
      <c r="M66" s="94" t="s">
        <v>1991</v>
      </c>
      <c r="N66" s="79" t="s">
        <v>1992</v>
      </c>
      <c r="O66" s="79" t="s">
        <v>1993</v>
      </c>
      <c r="P66" s="83">
        <v>41773.0</v>
      </c>
      <c r="Q66" s="81" t="s">
        <v>1995</v>
      </c>
      <c r="R66" s="79" t="s">
        <v>1997</v>
      </c>
      <c r="S66" s="81" t="s">
        <v>1998</v>
      </c>
      <c r="T66" s="81"/>
      <c r="U66" s="81"/>
      <c r="V66" s="81"/>
      <c r="W66" s="81"/>
      <c r="X66" s="81"/>
      <c r="Y66" s="81"/>
      <c r="Z66" s="81"/>
      <c r="AA66" s="81"/>
      <c r="AB66" s="81"/>
      <c r="AC66" s="81"/>
      <c r="AD66" s="81"/>
      <c r="AE66" s="81"/>
      <c r="AF66" s="81"/>
      <c r="AG66" s="81"/>
      <c r="AH66" s="81"/>
      <c r="AI66" s="81"/>
      <c r="AJ66" s="79"/>
      <c r="AK66" s="79"/>
      <c r="AL66" s="79"/>
    </row>
    <row r="67" ht="22.5" customHeight="1">
      <c r="A67" s="79">
        <v>10065.0</v>
      </c>
      <c r="B67" s="79" t="s">
        <v>1230</v>
      </c>
      <c r="C67" s="79" t="s">
        <v>238</v>
      </c>
      <c r="D67" s="79" t="s">
        <v>1988</v>
      </c>
      <c r="E67" s="79" t="s">
        <v>1999</v>
      </c>
      <c r="F67" s="80" t="s">
        <v>2000</v>
      </c>
      <c r="G67" s="81"/>
      <c r="H67" s="79" t="s">
        <v>837</v>
      </c>
      <c r="I67" s="80">
        <v>2000.0</v>
      </c>
      <c r="J67" s="81"/>
      <c r="K67" s="79" t="s">
        <v>289</v>
      </c>
      <c r="L67" s="80">
        <v>40.0</v>
      </c>
      <c r="M67" s="79" t="s">
        <v>2001</v>
      </c>
      <c r="N67" s="79" t="s">
        <v>1374</v>
      </c>
      <c r="O67" s="79" t="s">
        <v>1375</v>
      </c>
      <c r="P67" s="83">
        <v>42031.0</v>
      </c>
      <c r="Q67" s="81" t="s">
        <v>2002</v>
      </c>
      <c r="R67" s="86" t="str">
        <f>HYPERLINK("http://www.washingtonpost.com/news/energy-environment/wp/2015/01/27/can-your-personality-explain-how-you-feel-about-the-keystone-xl-pipeline/?postshare=3321422455709727","http://www.washingtonpost.com/news/energy-environment/wp/2015/01/27/can-your-personality-explain-how-you-feel-about-the-keystone-xl-pipeline/?postshare=3321422455709727")</f>
        <v>http://www.washingtonpost.com/news/energy-environment/wp/2015/01/27/can-your-personality-explain-how-you-feel-about-the-keystone-xl-pipeline/?postshare=3321422455709727</v>
      </c>
      <c r="S67" s="81"/>
      <c r="T67" s="81" t="s">
        <v>462</v>
      </c>
      <c r="U67" s="81" t="s">
        <v>462</v>
      </c>
      <c r="V67" s="81"/>
      <c r="W67" s="81" t="s">
        <v>600</v>
      </c>
      <c r="X67" s="81"/>
      <c r="Y67" s="81"/>
      <c r="Z67" s="81"/>
      <c r="AA67" s="81"/>
      <c r="AB67" s="81"/>
      <c r="AC67" s="81"/>
      <c r="AD67" s="81" t="s">
        <v>1321</v>
      </c>
      <c r="AE67" s="81"/>
      <c r="AF67" s="81"/>
      <c r="AG67" s="81"/>
      <c r="AH67" s="81"/>
      <c r="AI67" s="81"/>
      <c r="AJ67" s="79"/>
      <c r="AK67" s="79"/>
      <c r="AL67" s="79"/>
    </row>
    <row r="68" ht="22.5" customHeight="1">
      <c r="A68" s="79">
        <v>10066.0</v>
      </c>
      <c r="B68" s="79" t="s">
        <v>1230</v>
      </c>
      <c r="C68" s="79" t="s">
        <v>238</v>
      </c>
      <c r="D68" s="79" t="s">
        <v>1988</v>
      </c>
      <c r="E68" s="79" t="s">
        <v>1153</v>
      </c>
      <c r="F68" s="80">
        <v>6.0</v>
      </c>
      <c r="G68" s="81"/>
      <c r="H68" s="79" t="s">
        <v>224</v>
      </c>
      <c r="I68" s="80"/>
      <c r="J68" s="81"/>
      <c r="K68" s="79" t="s">
        <v>2012</v>
      </c>
      <c r="L68" s="80" t="s">
        <v>2013</v>
      </c>
      <c r="M68" s="79" t="s">
        <v>2014</v>
      </c>
      <c r="N68" s="79" t="s">
        <v>2015</v>
      </c>
      <c r="O68" s="79" t="s">
        <v>2017</v>
      </c>
      <c r="P68" s="83">
        <v>41330.0</v>
      </c>
      <c r="Q68" s="81" t="s">
        <v>2021</v>
      </c>
      <c r="R68" s="86" t="str">
        <f>HYPERLINK("http://www.psmag.com/books-and-culture/joe-henrich-weird-ultimatum-game-shaking-up-psychology-economics-53135","http://www.psmag.com/books-and-culture/joe-henrich-weird-ultimatum-game-shaking-up-psychology-economics-53135")</f>
        <v>http://www.psmag.com/books-and-culture/joe-henrich-weird-ultimatum-game-shaking-up-psychology-economics-53135</v>
      </c>
      <c r="S68" s="81"/>
      <c r="T68" s="81" t="s">
        <v>462</v>
      </c>
      <c r="U68" s="81" t="s">
        <v>462</v>
      </c>
      <c r="V68" s="81"/>
      <c r="W68" s="81" t="s">
        <v>677</v>
      </c>
      <c r="X68" s="81"/>
      <c r="Y68" s="88"/>
      <c r="Z68" s="81"/>
      <c r="AA68" s="81"/>
      <c r="AB68" s="81"/>
      <c r="AC68" s="88"/>
      <c r="AD68" s="81"/>
      <c r="AE68" s="81"/>
      <c r="AF68" s="81"/>
      <c r="AG68" s="81"/>
      <c r="AH68" s="81"/>
      <c r="AI68" s="81"/>
      <c r="AJ68" s="79"/>
      <c r="AK68" s="79"/>
      <c r="AL68" s="79"/>
    </row>
    <row r="69" ht="22.5" customHeight="1">
      <c r="A69" s="79">
        <v>10067.0</v>
      </c>
      <c r="B69" s="79" t="s">
        <v>1230</v>
      </c>
      <c r="C69" s="79" t="s">
        <v>238</v>
      </c>
      <c r="D69" s="79" t="s">
        <v>64</v>
      </c>
      <c r="E69" s="79" t="s">
        <v>574</v>
      </c>
      <c r="F69" s="80">
        <v>4.0</v>
      </c>
      <c r="G69" s="81"/>
      <c r="H69" s="79" t="s">
        <v>837</v>
      </c>
      <c r="I69" s="80">
        <v>2000.0</v>
      </c>
      <c r="J69" s="81"/>
      <c r="K69" s="79" t="s">
        <v>289</v>
      </c>
      <c r="L69" s="80">
        <v>40.0</v>
      </c>
      <c r="M69" s="79" t="s">
        <v>2031</v>
      </c>
      <c r="N69" s="79" t="s">
        <v>1286</v>
      </c>
      <c r="O69" s="79" t="s">
        <v>1281</v>
      </c>
      <c r="P69" s="83">
        <v>42062.0</v>
      </c>
      <c r="Q69" s="81" t="s">
        <v>2033</v>
      </c>
      <c r="R69" s="86" t="str">
        <f>HYPERLINK("http://www.theguardian.com/sustainable-business/2015/feb/27/most-people-are-neither-alarmist-nor-in-denial-about-climate-change","http://www.theguardian.com/sustainable-business/2015/feb/27/most-people-are-neither-alarmist-nor-in-denial-about-climate-change")</f>
        <v>http://www.theguardian.com/sustainable-business/2015/feb/27/most-people-are-neither-alarmist-nor-in-denial-about-climate-change</v>
      </c>
      <c r="S69" s="81"/>
      <c r="T69" s="81" t="s">
        <v>462</v>
      </c>
      <c r="U69" s="81" t="s">
        <v>462</v>
      </c>
      <c r="V69" s="81" t="s">
        <v>663</v>
      </c>
      <c r="W69" s="81" t="s">
        <v>769</v>
      </c>
      <c r="X69" s="81" t="s">
        <v>2034</v>
      </c>
      <c r="Y69" s="88">
        <v>42347.0</v>
      </c>
      <c r="Z69" s="88">
        <v>42543.0</v>
      </c>
      <c r="AA69" s="81" t="s">
        <v>769</v>
      </c>
      <c r="AB69" s="81"/>
      <c r="AC69" s="88">
        <v>42073.0</v>
      </c>
      <c r="AD69" s="81" t="s">
        <v>2035</v>
      </c>
      <c r="AE69" s="81"/>
      <c r="AF69" s="81"/>
      <c r="AG69" s="81"/>
      <c r="AH69" s="81"/>
      <c r="AI69" s="81" t="s">
        <v>428</v>
      </c>
      <c r="AJ69" s="79"/>
      <c r="AK69" s="79"/>
      <c r="AL69" s="79"/>
    </row>
    <row r="70" ht="22.5" customHeight="1">
      <c r="A70" s="79">
        <v>10068.0</v>
      </c>
      <c r="B70" s="79" t="s">
        <v>1230</v>
      </c>
      <c r="C70" s="79" t="s">
        <v>238</v>
      </c>
      <c r="D70" s="79" t="s">
        <v>64</v>
      </c>
      <c r="E70" s="79" t="s">
        <v>574</v>
      </c>
      <c r="F70" s="80">
        <v>4.0</v>
      </c>
      <c r="G70" s="81"/>
      <c r="H70" s="79" t="s">
        <v>837</v>
      </c>
      <c r="I70" s="80">
        <v>2000.0</v>
      </c>
      <c r="J70" s="81"/>
      <c r="K70" s="79" t="s">
        <v>111</v>
      </c>
      <c r="L70" s="80">
        <v>41.0</v>
      </c>
      <c r="M70" s="94" t="s">
        <v>1684</v>
      </c>
      <c r="N70" s="79" t="s">
        <v>1286</v>
      </c>
      <c r="O70" s="79" t="s">
        <v>1685</v>
      </c>
      <c r="P70" s="83">
        <v>42453.0</v>
      </c>
      <c r="Q70" s="81" t="s">
        <v>1686</v>
      </c>
      <c r="R70" s="86" t="str">
        <f>HYPERLINK("http://www.climatechangenews.com/2016/03/24/framing-climate-risk-we-need-more-than-a-few-magic-words/","http://www.climatechangenews.com/2016/03/24/framing-climate-risk-we-need-more-than-a-few-magic-words/")</f>
        <v>http://www.climatechangenews.com/2016/03/24/framing-climate-risk-we-need-more-than-a-few-magic-words/</v>
      </c>
      <c r="S70" s="81"/>
      <c r="T70" s="81"/>
      <c r="U70" s="81"/>
      <c r="V70" s="81"/>
      <c r="W70" s="81" t="s">
        <v>769</v>
      </c>
      <c r="X70" s="81" t="s">
        <v>1692</v>
      </c>
      <c r="Y70" s="88">
        <v>42725.0</v>
      </c>
      <c r="Z70" s="81"/>
      <c r="AA70" s="81" t="s">
        <v>769</v>
      </c>
      <c r="AB70" s="81" t="s">
        <v>1693</v>
      </c>
      <c r="AC70" s="88">
        <v>42646.0</v>
      </c>
      <c r="AD70" s="81"/>
      <c r="AE70" s="81"/>
      <c r="AF70" s="81"/>
      <c r="AG70" s="81"/>
      <c r="AH70" s="81"/>
      <c r="AI70" s="81" t="s">
        <v>428</v>
      </c>
      <c r="AJ70" s="79"/>
      <c r="AK70" s="79"/>
      <c r="AL70" s="79"/>
    </row>
    <row r="71" ht="22.5" customHeight="1">
      <c r="A71" s="79">
        <v>10069.0</v>
      </c>
      <c r="B71" s="79" t="s">
        <v>1230</v>
      </c>
      <c r="C71" s="79" t="s">
        <v>238</v>
      </c>
      <c r="D71" s="79" t="s">
        <v>64</v>
      </c>
      <c r="E71" s="79" t="s">
        <v>574</v>
      </c>
      <c r="F71" s="80">
        <v>4.0</v>
      </c>
      <c r="G71" s="81"/>
      <c r="H71" s="79" t="s">
        <v>644</v>
      </c>
      <c r="I71" s="80">
        <v>2000.0</v>
      </c>
      <c r="J71" s="81"/>
      <c r="K71" s="79" t="s">
        <v>289</v>
      </c>
      <c r="L71" s="80">
        <v>40.0</v>
      </c>
      <c r="M71" s="79" t="s">
        <v>2041</v>
      </c>
      <c r="N71" s="79" t="s">
        <v>1286</v>
      </c>
      <c r="O71" s="79" t="s">
        <v>1281</v>
      </c>
      <c r="P71" s="83">
        <v>42024.0</v>
      </c>
      <c r="Q71" s="81" t="s">
        <v>2042</v>
      </c>
      <c r="R71" s="86" t="str">
        <f>HYPERLINK("http://www.theguardian.com/environment/2015/jan/20/why-its-good-to-laugh-at-climate-change","http://www.theguardian.com/environment/2015/jan/20/why-its-good-to-laugh-at-climate-change")</f>
        <v>http://www.theguardian.com/environment/2015/jan/20/why-its-good-to-laugh-at-climate-change</v>
      </c>
      <c r="S71" s="81"/>
      <c r="T71" s="81" t="s">
        <v>462</v>
      </c>
      <c r="U71" s="81" t="s">
        <v>462</v>
      </c>
      <c r="V71" s="81" t="s">
        <v>676</v>
      </c>
      <c r="W71" s="81" t="s">
        <v>769</v>
      </c>
      <c r="X71" s="81" t="s">
        <v>2047</v>
      </c>
      <c r="Y71" s="88">
        <v>42486.0</v>
      </c>
      <c r="Z71" s="81"/>
      <c r="AA71" s="81" t="s">
        <v>769</v>
      </c>
      <c r="AB71" s="81"/>
      <c r="AC71" s="88">
        <v>42261.0</v>
      </c>
      <c r="AD71" s="81"/>
      <c r="AE71" s="81"/>
      <c r="AF71" s="81"/>
      <c r="AG71" s="81"/>
      <c r="AH71" s="81"/>
      <c r="AI71" s="81"/>
      <c r="AJ71" s="79"/>
      <c r="AK71" s="79"/>
      <c r="AL71" s="79"/>
    </row>
    <row r="72" ht="22.5" customHeight="1">
      <c r="A72" s="79">
        <v>10070.0</v>
      </c>
      <c r="B72" s="79" t="s">
        <v>1230</v>
      </c>
      <c r="C72" s="79" t="s">
        <v>238</v>
      </c>
      <c r="D72" s="79" t="s">
        <v>64</v>
      </c>
      <c r="E72" s="79" t="s">
        <v>574</v>
      </c>
      <c r="F72" s="80">
        <v>4.0</v>
      </c>
      <c r="G72" s="81"/>
      <c r="H72" s="79" t="s">
        <v>1882</v>
      </c>
      <c r="I72" s="80">
        <v>15000.0</v>
      </c>
      <c r="J72" s="81"/>
      <c r="K72" s="79" t="s">
        <v>111</v>
      </c>
      <c r="L72" s="80">
        <v>41.0</v>
      </c>
      <c r="M72" s="94" t="s">
        <v>1885</v>
      </c>
      <c r="N72" s="79" t="s">
        <v>1286</v>
      </c>
      <c r="O72" s="79" t="s">
        <v>1787</v>
      </c>
      <c r="P72" s="83">
        <v>42500.0</v>
      </c>
      <c r="Q72" s="81" t="s">
        <v>1888</v>
      </c>
      <c r="R72" s="86" t="str">
        <f>HYPERLINK("http://climateoutreach.org/ocean-acidification/","http://climateoutreach.org/ocean-acidification/")</f>
        <v>http://climateoutreach.org/ocean-acidification/</v>
      </c>
      <c r="S72" s="81"/>
      <c r="T72" s="81"/>
      <c r="U72" s="81"/>
      <c r="V72" s="81"/>
      <c r="W72" s="81" t="s">
        <v>600</v>
      </c>
      <c r="X72" s="81" t="s">
        <v>1892</v>
      </c>
      <c r="Y72" s="81"/>
      <c r="Z72" s="81"/>
      <c r="AA72" s="81" t="s">
        <v>462</v>
      </c>
      <c r="AB72" s="81" t="s">
        <v>1895</v>
      </c>
      <c r="AC72" s="81"/>
      <c r="AD72" s="81"/>
      <c r="AE72" s="81"/>
      <c r="AF72" s="81"/>
      <c r="AG72" s="81"/>
      <c r="AH72" s="81"/>
      <c r="AI72" s="81" t="s">
        <v>428</v>
      </c>
      <c r="AJ72" s="79"/>
      <c r="AK72" s="79"/>
      <c r="AL72" s="79"/>
    </row>
    <row r="73" ht="22.5" customHeight="1">
      <c r="A73" s="79">
        <v>10071.0</v>
      </c>
      <c r="B73" s="79" t="s">
        <v>1230</v>
      </c>
      <c r="C73" s="79" t="s">
        <v>238</v>
      </c>
      <c r="D73" s="79" t="s">
        <v>64</v>
      </c>
      <c r="E73" s="79" t="s">
        <v>574</v>
      </c>
      <c r="F73" s="80">
        <v>4.0</v>
      </c>
      <c r="G73" s="81"/>
      <c r="H73" s="79" t="s">
        <v>224</v>
      </c>
      <c r="I73" s="80"/>
      <c r="J73" s="81"/>
      <c r="K73" s="79" t="s">
        <v>289</v>
      </c>
      <c r="L73" s="80">
        <v>40.0</v>
      </c>
      <c r="M73" s="94" t="s">
        <v>2066</v>
      </c>
      <c r="N73" s="79" t="s">
        <v>2067</v>
      </c>
      <c r="O73" s="79" t="s">
        <v>2068</v>
      </c>
      <c r="P73" s="83">
        <v>42410.0</v>
      </c>
      <c r="Q73" s="81" t="s">
        <v>2069</v>
      </c>
      <c r="R73" s="86" t="str">
        <f>HYPERLINK("https://www.washingtonpost.com/news/wonk/wp/2016/02/10/how-to-change-someones-mind-according-to-science/","https://www.washingtonpost.com/news/wonk/wp/2016/02/10/how-to-change-someones-mind-according-to-science/")</f>
        <v>https://www.washingtonpost.com/news/wonk/wp/2016/02/10/how-to-change-someones-mind-according-to-science/</v>
      </c>
      <c r="S73" s="81"/>
      <c r="T73" s="81"/>
      <c r="U73" s="81"/>
      <c r="V73" s="81"/>
      <c r="W73" s="81" t="s">
        <v>677</v>
      </c>
      <c r="X73" s="81"/>
      <c r="Y73" s="81"/>
      <c r="Z73" s="81"/>
      <c r="AA73" s="81"/>
      <c r="AB73" s="81"/>
      <c r="AC73" s="81"/>
      <c r="AD73" s="81"/>
      <c r="AE73" s="81"/>
      <c r="AF73" s="81"/>
      <c r="AG73" s="81"/>
      <c r="AH73" s="81"/>
      <c r="AI73" s="81" t="s">
        <v>428</v>
      </c>
      <c r="AJ73" s="79"/>
      <c r="AK73" s="79"/>
      <c r="AL73" s="79"/>
    </row>
    <row r="74" ht="22.5" customHeight="1">
      <c r="A74" s="79">
        <v>10072.0</v>
      </c>
      <c r="B74" s="79" t="s">
        <v>1230</v>
      </c>
      <c r="C74" s="79" t="s">
        <v>238</v>
      </c>
      <c r="D74" s="79" t="s">
        <v>64</v>
      </c>
      <c r="E74" s="79" t="s">
        <v>574</v>
      </c>
      <c r="F74" s="80">
        <v>4.0</v>
      </c>
      <c r="G74" s="81"/>
      <c r="H74" s="79" t="s">
        <v>2078</v>
      </c>
      <c r="I74" s="80">
        <v>8000.0</v>
      </c>
      <c r="J74" s="81"/>
      <c r="K74" s="79" t="s">
        <v>289</v>
      </c>
      <c r="L74" s="80">
        <v>40.0</v>
      </c>
      <c r="M74" s="79" t="s">
        <v>2079</v>
      </c>
      <c r="N74" s="79" t="s">
        <v>2080</v>
      </c>
      <c r="O74" s="79" t="s">
        <v>1722</v>
      </c>
      <c r="P74" s="83">
        <v>42159.0</v>
      </c>
      <c r="Q74" s="81" t="s">
        <v>2081</v>
      </c>
      <c r="R74" s="86" t="str">
        <f>HYPERLINK("http://www.sustainablebrands.com/news_and_views/marketing_comms/brynn_mcnally/how_successfully_engage_consumers_around_water_sustaina?utm_source=Twitter&amp;utm_medium=schtweets&amp;utm_campaign=social","http://www.sustainablebrands.com/news_and_views/marketing_comms/brynn_mcnally/how_successfully_engage_consumers_around_water_sustaina?utm_source=Twitter&amp;utm_medium=schtweets&amp;utm_campaign=social")</f>
        <v>http://www.sustainablebrands.com/news_and_views/marketing_comms/brynn_mcnally/how_successfully_engage_consumers_around_water_sustaina?utm_source=Twitter&amp;utm_medium=schtweets&amp;utm_campaign=social</v>
      </c>
      <c r="S74" s="81"/>
      <c r="T74" s="81" t="s">
        <v>462</v>
      </c>
      <c r="U74" s="81" t="s">
        <v>462</v>
      </c>
      <c r="V74" s="81" t="s">
        <v>676</v>
      </c>
      <c r="W74" s="81" t="s">
        <v>769</v>
      </c>
      <c r="X74" s="81" t="s">
        <v>2084</v>
      </c>
      <c r="Y74" s="88">
        <v>42194.0</v>
      </c>
      <c r="Z74" s="88">
        <v>42564.0</v>
      </c>
      <c r="AA74" s="81"/>
      <c r="AB74" s="81"/>
      <c r="AC74" s="88"/>
      <c r="AD74" s="81"/>
      <c r="AE74" s="81"/>
      <c r="AF74" s="81"/>
      <c r="AG74" s="81"/>
      <c r="AH74" s="81"/>
      <c r="AI74" s="81"/>
      <c r="AJ74" s="79"/>
      <c r="AK74" s="79"/>
      <c r="AL74" s="79"/>
    </row>
    <row r="75" ht="22.5" customHeight="1">
      <c r="A75" s="79">
        <v>10073.0</v>
      </c>
      <c r="B75" s="79" t="s">
        <v>1230</v>
      </c>
      <c r="C75" s="79" t="s">
        <v>238</v>
      </c>
      <c r="D75" s="79" t="s">
        <v>64</v>
      </c>
      <c r="E75" s="79" t="s">
        <v>574</v>
      </c>
      <c r="F75" s="80">
        <v>4.0</v>
      </c>
      <c r="G75" s="81"/>
      <c r="H75" s="79" t="s">
        <v>837</v>
      </c>
      <c r="I75" s="80">
        <v>2000.0</v>
      </c>
      <c r="J75" s="81"/>
      <c r="K75" s="79" t="s">
        <v>324</v>
      </c>
      <c r="L75" s="80" t="s">
        <v>325</v>
      </c>
      <c r="M75" s="79" t="s">
        <v>2089</v>
      </c>
      <c r="N75" s="79" t="s">
        <v>1374</v>
      </c>
      <c r="O75" s="79" t="s">
        <v>1375</v>
      </c>
      <c r="P75" s="83">
        <v>42124.0</v>
      </c>
      <c r="Q75" s="81" t="s">
        <v>2091</v>
      </c>
      <c r="R75" s="86" t="str">
        <f>HYPERLINK("http://www.washingtonpost.com/news/energy-environment/wp/2015/04/30/pope-francis-has-given-the-climate-movement-just-what-it-needed-faith/?postshare=4411430764571913","http://www.washingtonpost.com/news/energy-environment/wp/2015/04/30/pope-francis-has-given-the-climate-movement-just-what-it-needed-faith/?postshare=4411430764571913")</f>
        <v>http://www.washingtonpost.com/news/energy-environment/wp/2015/04/30/pope-francis-has-given-the-climate-movement-just-what-it-needed-faith/?postshare=4411430764571913</v>
      </c>
      <c r="S75" s="81"/>
      <c r="T75" s="81" t="s">
        <v>462</v>
      </c>
      <c r="U75" s="81" t="s">
        <v>462</v>
      </c>
      <c r="V75" s="81" t="s">
        <v>1099</v>
      </c>
      <c r="W75" s="81" t="s">
        <v>769</v>
      </c>
      <c r="X75" s="81"/>
      <c r="Y75" s="88">
        <v>42128.0</v>
      </c>
      <c r="Z75" s="81"/>
      <c r="AA75" s="81" t="s">
        <v>769</v>
      </c>
      <c r="AB75" s="81"/>
      <c r="AC75" s="88">
        <v>42132.0</v>
      </c>
      <c r="AD75" s="81"/>
      <c r="AE75" s="81"/>
      <c r="AF75" s="81"/>
      <c r="AG75" s="81"/>
      <c r="AH75" s="81"/>
      <c r="AI75" s="81"/>
      <c r="AJ75" s="79"/>
      <c r="AK75" s="79"/>
      <c r="AL75" s="79"/>
    </row>
    <row r="76" ht="22.5" customHeight="1">
      <c r="A76" s="79">
        <v>10074.0</v>
      </c>
      <c r="B76" s="79" t="s">
        <v>1230</v>
      </c>
      <c r="C76" s="79" t="s">
        <v>238</v>
      </c>
      <c r="D76" s="79" t="s">
        <v>64</v>
      </c>
      <c r="E76" s="79" t="s">
        <v>574</v>
      </c>
      <c r="F76" s="80">
        <v>4.0</v>
      </c>
      <c r="G76" s="81"/>
      <c r="H76" s="79" t="s">
        <v>2095</v>
      </c>
      <c r="I76" s="80" t="s">
        <v>1045</v>
      </c>
      <c r="J76" s="81"/>
      <c r="K76" s="79" t="s">
        <v>289</v>
      </c>
      <c r="L76" s="80">
        <v>40.0</v>
      </c>
      <c r="M76" s="94" t="s">
        <v>2096</v>
      </c>
      <c r="N76" s="79" t="s">
        <v>1548</v>
      </c>
      <c r="O76" s="79" t="s">
        <v>1550</v>
      </c>
      <c r="P76" s="83">
        <v>42263.0</v>
      </c>
      <c r="Q76" s="81" t="s">
        <v>2099</v>
      </c>
      <c r="R76" s="86" t="str">
        <f>HYPERLINK("http://ecoaffect.org/2015/09/16/3-lessons-for-communicating-the-value-of-energy-efficiency/","http://ecoaffect.org/2015/09/16/3-lessons-for-communicating-the-value-of-energy-efficiency/")</f>
        <v>http://ecoaffect.org/2015/09/16/3-lessons-for-communicating-the-value-of-energy-efficiency/</v>
      </c>
      <c r="S76" s="81"/>
      <c r="T76" s="81"/>
      <c r="U76" s="81"/>
      <c r="V76" s="81"/>
      <c r="W76" s="81" t="s">
        <v>769</v>
      </c>
      <c r="X76" s="81" t="s">
        <v>2102</v>
      </c>
      <c r="Y76" s="88">
        <v>42713.0</v>
      </c>
      <c r="Z76" s="81"/>
      <c r="AA76" s="81"/>
      <c r="AB76" s="81"/>
      <c r="AC76" s="81"/>
      <c r="AD76" s="81"/>
      <c r="AE76" s="81"/>
      <c r="AF76" s="81"/>
      <c r="AG76" s="81"/>
      <c r="AH76" s="81"/>
      <c r="AI76" s="81" t="s">
        <v>428</v>
      </c>
      <c r="AJ76" s="79"/>
      <c r="AK76" s="79"/>
      <c r="AL76" s="79"/>
    </row>
    <row r="77" ht="22.5" customHeight="1">
      <c r="A77" s="79">
        <v>10075.0</v>
      </c>
      <c r="B77" s="79" t="s">
        <v>1230</v>
      </c>
      <c r="C77" s="79" t="s">
        <v>238</v>
      </c>
      <c r="D77" s="79" t="s">
        <v>64</v>
      </c>
      <c r="E77" s="79" t="s">
        <v>574</v>
      </c>
      <c r="F77" s="80">
        <v>4.0</v>
      </c>
      <c r="G77" s="81"/>
      <c r="H77" s="79" t="s">
        <v>2103</v>
      </c>
      <c r="I77" s="80">
        <v>7000.0</v>
      </c>
      <c r="J77" s="81"/>
      <c r="K77" s="79" t="s">
        <v>289</v>
      </c>
      <c r="L77" s="80">
        <v>40.0</v>
      </c>
      <c r="M77" s="94" t="s">
        <v>2105</v>
      </c>
      <c r="N77" s="79" t="s">
        <v>2107</v>
      </c>
      <c r="O77" s="79" t="s">
        <v>2108</v>
      </c>
      <c r="P77" s="83">
        <v>42342.0</v>
      </c>
      <c r="Q77" s="81" t="s">
        <v>2109</v>
      </c>
      <c r="R77" s="86" t="str">
        <f>HYPERLINK("http://www.resource-media.org/moving-beyond-organic-versus-conventional-when-it-comes-to-feeding-the-world/#.V09S1fkrLIU","http://www.resource-media.org/moving-beyond-organic-versus-conventional-when-it-comes-to-feeding-the-world/#.V09S1fkrLIU")</f>
        <v>http://www.resource-media.org/moving-beyond-organic-versus-conventional-when-it-comes-to-feeding-the-world/#.V09S1fkrLIU</v>
      </c>
      <c r="S77" s="81"/>
      <c r="T77" s="81"/>
      <c r="U77" s="81"/>
      <c r="V77" s="81"/>
      <c r="W77" s="81" t="s">
        <v>769</v>
      </c>
      <c r="X77" s="81" t="s">
        <v>2114</v>
      </c>
      <c r="Y77" s="88">
        <v>42691.0</v>
      </c>
      <c r="Z77" s="81"/>
      <c r="AA77" s="81"/>
      <c r="AB77" s="81"/>
      <c r="AC77" s="81"/>
      <c r="AD77" s="81"/>
      <c r="AE77" s="81"/>
      <c r="AF77" s="81"/>
      <c r="AG77" s="81"/>
      <c r="AH77" s="81"/>
      <c r="AI77" s="81" t="s">
        <v>428</v>
      </c>
      <c r="AJ77" s="79"/>
      <c r="AK77" s="79"/>
      <c r="AL77" s="79"/>
    </row>
    <row r="78" ht="22.5" customHeight="1">
      <c r="A78" s="79">
        <v>10076.0</v>
      </c>
      <c r="B78" s="79" t="s">
        <v>1230</v>
      </c>
      <c r="C78" s="79" t="s">
        <v>238</v>
      </c>
      <c r="D78" s="79" t="s">
        <v>64</v>
      </c>
      <c r="E78" s="79" t="s">
        <v>574</v>
      </c>
      <c r="F78" s="80">
        <v>4.0</v>
      </c>
      <c r="G78" s="81"/>
      <c r="H78" s="79" t="s">
        <v>837</v>
      </c>
      <c r="I78" s="80">
        <v>2000.0</v>
      </c>
      <c r="J78" s="81"/>
      <c r="K78" s="79" t="s">
        <v>289</v>
      </c>
      <c r="L78" s="80">
        <v>40.0</v>
      </c>
      <c r="M78" s="79" t="s">
        <v>2119</v>
      </c>
      <c r="N78" s="79" t="s">
        <v>2120</v>
      </c>
      <c r="O78" s="79" t="s">
        <v>2121</v>
      </c>
      <c r="P78" s="83">
        <v>42123.0</v>
      </c>
      <c r="Q78" s="81" t="s">
        <v>2122</v>
      </c>
      <c r="R78" s="86" t="str">
        <f>HYPERLINK("http://www.vox.com/2015/4/29/8512853/fossil-fuel-divestment","http://www.vox.com/2015/4/29/8512853/fossil-fuel-divestment")</f>
        <v>http://www.vox.com/2015/4/29/8512853/fossil-fuel-divestment</v>
      </c>
      <c r="S78" s="81"/>
      <c r="T78" s="81" t="s">
        <v>462</v>
      </c>
      <c r="U78" s="81" t="s">
        <v>462</v>
      </c>
      <c r="V78" s="81"/>
      <c r="W78" s="81" t="s">
        <v>600</v>
      </c>
      <c r="X78" s="88" t="s">
        <v>2125</v>
      </c>
      <c r="Y78" s="88">
        <v>42416.0</v>
      </c>
      <c r="Z78" s="88"/>
      <c r="AA78" s="81"/>
      <c r="AB78" s="81"/>
      <c r="AC78" s="81"/>
      <c r="AD78" s="81"/>
      <c r="AE78" s="81"/>
      <c r="AF78" s="81"/>
      <c r="AG78" s="81"/>
      <c r="AH78" s="81"/>
      <c r="AI78" s="81"/>
      <c r="AJ78" s="79"/>
      <c r="AK78" s="79"/>
      <c r="AL78" s="79"/>
    </row>
    <row r="79" ht="22.5" customHeight="1">
      <c r="A79" s="79">
        <v>10077.0</v>
      </c>
      <c r="B79" s="79" t="s">
        <v>1230</v>
      </c>
      <c r="C79" s="79" t="s">
        <v>238</v>
      </c>
      <c r="D79" s="79" t="s">
        <v>64</v>
      </c>
      <c r="E79" s="79" t="s">
        <v>574</v>
      </c>
      <c r="F79" s="80">
        <v>4.0</v>
      </c>
      <c r="G79" s="81"/>
      <c r="H79" s="79" t="s">
        <v>1863</v>
      </c>
      <c r="I79" s="80">
        <v>2000.0</v>
      </c>
      <c r="J79" s="81"/>
      <c r="K79" s="79" t="s">
        <v>289</v>
      </c>
      <c r="L79" s="80">
        <v>40.0</v>
      </c>
      <c r="M79" s="94" t="s">
        <v>2130</v>
      </c>
      <c r="N79" s="79" t="s">
        <v>2132</v>
      </c>
      <c r="O79" s="79" t="s">
        <v>1550</v>
      </c>
      <c r="P79" s="83">
        <v>42506.0</v>
      </c>
      <c r="Q79" s="81" t="s">
        <v>2133</v>
      </c>
      <c r="R79" s="86" t="str">
        <f>HYPERLINK("http://ecoaffect.org/2016/05/16/cause-effect-and-the-power-of-we-motivating-people-to-act-on-climate/","http://ecoaffect.org/2016/05/16/cause-effect-and-the-power-of-we-motivating-people-to-act-on-climate/")</f>
        <v>http://ecoaffect.org/2016/05/16/cause-effect-and-the-power-of-we-motivating-people-to-act-on-climate/</v>
      </c>
      <c r="S79" s="81"/>
      <c r="T79" s="81"/>
      <c r="U79" s="81"/>
      <c r="V79" s="81"/>
      <c r="W79" s="81" t="s">
        <v>769</v>
      </c>
      <c r="X79" s="81" t="s">
        <v>2134</v>
      </c>
      <c r="Y79" s="88">
        <v>42675.0</v>
      </c>
      <c r="Z79" s="81"/>
      <c r="AA79" s="81"/>
      <c r="AB79" s="81"/>
      <c r="AC79" s="81"/>
      <c r="AD79" s="81"/>
      <c r="AE79" s="81"/>
      <c r="AF79" s="81"/>
      <c r="AG79" s="81"/>
      <c r="AH79" s="81"/>
      <c r="AI79" s="81" t="s">
        <v>428</v>
      </c>
      <c r="AJ79" s="79"/>
      <c r="AK79" s="79"/>
      <c r="AL79" s="79"/>
    </row>
    <row r="80" ht="22.5" customHeight="1">
      <c r="A80" s="79">
        <v>10078.0</v>
      </c>
      <c r="B80" s="79" t="s">
        <v>1230</v>
      </c>
      <c r="C80" s="79" t="s">
        <v>238</v>
      </c>
      <c r="D80" s="79" t="s">
        <v>64</v>
      </c>
      <c r="E80" s="79" t="s">
        <v>574</v>
      </c>
      <c r="F80" s="80">
        <v>4.0</v>
      </c>
      <c r="G80" s="81"/>
      <c r="H80" s="79" t="s">
        <v>837</v>
      </c>
      <c r="I80" s="80">
        <v>2000.0</v>
      </c>
      <c r="J80" s="81"/>
      <c r="K80" s="79" t="s">
        <v>289</v>
      </c>
      <c r="L80" s="80">
        <v>40.0</v>
      </c>
      <c r="M80" s="79" t="s">
        <v>2136</v>
      </c>
      <c r="N80" s="79" t="s">
        <v>1525</v>
      </c>
      <c r="O80" s="79" t="s">
        <v>1526</v>
      </c>
      <c r="P80" s="83">
        <v>41876.0</v>
      </c>
      <c r="Q80" s="81"/>
      <c r="R80" s="86" t="str">
        <f>HYPERLINK("http://frameblog.org/2014/08/25/instead-of-arguing-about-whether-climate-change-is-real-change-the-story/","http://frameblog.org/2014/08/25/instead-of-arguing-about-whether-climate-change-is-real-change-the-story/")</f>
        <v>http://frameblog.org/2014/08/25/instead-of-arguing-about-whether-climate-change-is-real-change-the-story/</v>
      </c>
      <c r="S80" s="81"/>
      <c r="T80" s="81" t="s">
        <v>462</v>
      </c>
      <c r="U80" s="81" t="s">
        <v>462</v>
      </c>
      <c r="V80" s="81"/>
      <c r="W80" s="81" t="s">
        <v>600</v>
      </c>
      <c r="X80" s="88" t="s">
        <v>2141</v>
      </c>
      <c r="Y80" s="88">
        <v>42053.0</v>
      </c>
      <c r="Z80" s="88">
        <v>42479.0</v>
      </c>
      <c r="AA80" s="81" t="s">
        <v>561</v>
      </c>
      <c r="AB80" s="81"/>
      <c r="AC80" s="88">
        <v>42022.0</v>
      </c>
      <c r="AD80" s="81"/>
      <c r="AE80" s="81"/>
      <c r="AF80" s="81"/>
      <c r="AG80" s="81"/>
      <c r="AH80" s="81"/>
      <c r="AI80" s="81"/>
      <c r="AJ80" s="79"/>
      <c r="AK80" s="79"/>
      <c r="AL80" s="79"/>
    </row>
    <row r="81" ht="22.5" customHeight="1">
      <c r="A81" s="79">
        <v>10079.0</v>
      </c>
      <c r="B81" s="79" t="s">
        <v>1230</v>
      </c>
      <c r="C81" s="79" t="s">
        <v>238</v>
      </c>
      <c r="D81" s="79" t="s">
        <v>64</v>
      </c>
      <c r="E81" s="79" t="s">
        <v>574</v>
      </c>
      <c r="F81" s="80">
        <v>4.0</v>
      </c>
      <c r="G81" s="81"/>
      <c r="H81" s="79" t="s">
        <v>578</v>
      </c>
      <c r="I81" s="80">
        <v>2000.0</v>
      </c>
      <c r="J81" s="81"/>
      <c r="K81" s="79" t="s">
        <v>289</v>
      </c>
      <c r="L81" s="80">
        <v>40.0</v>
      </c>
      <c r="M81" s="79" t="s">
        <v>2145</v>
      </c>
      <c r="N81" s="79" t="s">
        <v>1525</v>
      </c>
      <c r="O81" s="79" t="s">
        <v>1526</v>
      </c>
      <c r="P81" s="83">
        <v>42011.0</v>
      </c>
      <c r="Q81" s="81" t="s">
        <v>2146</v>
      </c>
      <c r="R81" s="86" t="str">
        <f>HYPERLINK("http://frameblog.org/2015/01/07/valuing-the-science-of-climate-change/","http://frameblog.org/2015/01/07/valuing-the-science-of-climate-change/")</f>
        <v>http://frameblog.org/2015/01/07/valuing-the-science-of-climate-change/</v>
      </c>
      <c r="S81" s="81"/>
      <c r="T81" s="81" t="s">
        <v>462</v>
      </c>
      <c r="U81" s="81" t="s">
        <v>462</v>
      </c>
      <c r="V81" s="81" t="s">
        <v>1099</v>
      </c>
      <c r="W81" s="81" t="s">
        <v>600</v>
      </c>
      <c r="X81" s="88" t="s">
        <v>2151</v>
      </c>
      <c r="Y81" s="88" t="s">
        <v>2152</v>
      </c>
      <c r="Z81" s="88" t="s">
        <v>2153</v>
      </c>
      <c r="AA81" s="81"/>
      <c r="AB81" s="81"/>
      <c r="AC81" s="81"/>
      <c r="AD81" s="81"/>
      <c r="AE81" s="81"/>
      <c r="AF81" s="81"/>
      <c r="AG81" s="81"/>
      <c r="AH81" s="81"/>
      <c r="AI81" s="81"/>
      <c r="AJ81" s="81"/>
      <c r="AK81" s="81"/>
      <c r="AL81" s="79"/>
    </row>
    <row r="82" ht="22.5" customHeight="1">
      <c r="A82" s="79">
        <v>10080.0</v>
      </c>
      <c r="B82" s="79" t="s">
        <v>1230</v>
      </c>
      <c r="C82" s="79" t="s">
        <v>238</v>
      </c>
      <c r="D82" s="79" t="s">
        <v>64</v>
      </c>
      <c r="E82" s="79" t="s">
        <v>574</v>
      </c>
      <c r="F82" s="80">
        <v>4.0</v>
      </c>
      <c r="G82" s="81"/>
      <c r="H82" s="79" t="s">
        <v>578</v>
      </c>
      <c r="I82" s="80">
        <v>2000.0</v>
      </c>
      <c r="J82" s="81"/>
      <c r="K82" s="79" t="s">
        <v>289</v>
      </c>
      <c r="L82" s="80">
        <v>40.0</v>
      </c>
      <c r="M82" s="79" t="s">
        <v>2161</v>
      </c>
      <c r="N82" s="79" t="s">
        <v>2163</v>
      </c>
      <c r="O82" s="79" t="s">
        <v>1754</v>
      </c>
      <c r="P82" s="83">
        <v>40688.0</v>
      </c>
      <c r="Q82" s="81" t="s">
        <v>2165</v>
      </c>
      <c r="R82" s="86" t="str">
        <f>HYPERLINK("http://www.huffingtonpost.com/george-lakoff/why-environmental-underst_b_205477.html","http://www.huffingtonpost.com/george-lakoff/why-environmental-underst_b_205477.html")</f>
        <v>http://www.huffingtonpost.com/george-lakoff/why-environmental-underst_b_205477.html</v>
      </c>
      <c r="S82" s="81"/>
      <c r="T82" s="81" t="s">
        <v>462</v>
      </c>
      <c r="U82" s="81" t="s">
        <v>462</v>
      </c>
      <c r="V82" s="81" t="s">
        <v>1099</v>
      </c>
      <c r="W82" s="81" t="s">
        <v>600</v>
      </c>
      <c r="X82" s="88" t="s">
        <v>2171</v>
      </c>
      <c r="Y82" s="88">
        <v>42415.0</v>
      </c>
      <c r="Z82" s="88">
        <v>42605.0</v>
      </c>
      <c r="AA82" s="81"/>
      <c r="AB82" s="81"/>
      <c r="AC82" s="81"/>
      <c r="AD82" s="81"/>
      <c r="AE82" s="81"/>
      <c r="AF82" s="81"/>
      <c r="AG82" s="81"/>
      <c r="AH82" s="81"/>
      <c r="AI82" s="81"/>
      <c r="AJ82" s="81"/>
      <c r="AK82" s="81"/>
      <c r="AL82" s="79"/>
    </row>
    <row r="83" ht="22.5" customHeight="1">
      <c r="A83" s="79">
        <v>10081.0</v>
      </c>
      <c r="B83" s="79" t="s">
        <v>1230</v>
      </c>
      <c r="C83" s="79" t="s">
        <v>238</v>
      </c>
      <c r="D83" s="79" t="s">
        <v>64</v>
      </c>
      <c r="E83" s="79" t="s">
        <v>574</v>
      </c>
      <c r="F83" s="80">
        <v>4.0</v>
      </c>
      <c r="G83" s="81"/>
      <c r="H83" s="79" t="s">
        <v>644</v>
      </c>
      <c r="I83" s="80">
        <v>2000.0</v>
      </c>
      <c r="J83" s="81"/>
      <c r="K83" s="79" t="s">
        <v>289</v>
      </c>
      <c r="L83" s="80">
        <v>40.0</v>
      </c>
      <c r="M83" s="79" t="s">
        <v>1439</v>
      </c>
      <c r="N83" s="79" t="s">
        <v>1440</v>
      </c>
      <c r="O83" s="79" t="s">
        <v>1441</v>
      </c>
      <c r="P83" s="83">
        <v>42173.0</v>
      </c>
      <c r="Q83" s="81"/>
      <c r="R83" s="86" t="str">
        <f>HYPERLINK("http://www.climateaccess.org/blog/next-steps-towards-new-kind-climate-movement","http://www.climateaccess.org/blog/next-steps-towards-new-kind-climate-movement")</f>
        <v>http://www.climateaccess.org/blog/next-steps-towards-new-kind-climate-movement</v>
      </c>
      <c r="S83" s="81"/>
      <c r="T83" s="81" t="s">
        <v>462</v>
      </c>
      <c r="U83" s="81" t="s">
        <v>462</v>
      </c>
      <c r="V83" s="81"/>
      <c r="W83" s="81" t="s">
        <v>769</v>
      </c>
      <c r="X83" s="81" t="s">
        <v>1451</v>
      </c>
      <c r="Y83" s="88">
        <v>42215.0</v>
      </c>
      <c r="Z83" s="81"/>
      <c r="AA83" s="81"/>
      <c r="AB83" s="81"/>
      <c r="AC83" s="88"/>
      <c r="AD83" s="81"/>
      <c r="AE83" s="81"/>
      <c r="AF83" s="81"/>
      <c r="AG83" s="81"/>
      <c r="AH83" s="81"/>
      <c r="AI83" s="81"/>
      <c r="AJ83" s="81"/>
      <c r="AK83" s="81"/>
      <c r="AL83" s="79"/>
    </row>
    <row r="84" ht="22.5" customHeight="1">
      <c r="A84" s="79">
        <v>10082.0</v>
      </c>
      <c r="B84" s="79" t="s">
        <v>1230</v>
      </c>
      <c r="C84" s="79" t="s">
        <v>238</v>
      </c>
      <c r="D84" s="79" t="s">
        <v>64</v>
      </c>
      <c r="E84" s="79" t="s">
        <v>574</v>
      </c>
      <c r="F84" s="80">
        <v>4.0</v>
      </c>
      <c r="G84" s="81"/>
      <c r="H84" s="79" t="s">
        <v>644</v>
      </c>
      <c r="I84" s="80">
        <v>2000.0</v>
      </c>
      <c r="J84" s="81"/>
      <c r="K84" s="79" t="s">
        <v>289</v>
      </c>
      <c r="L84" s="80">
        <v>40.0</v>
      </c>
      <c r="M84" s="79" t="s">
        <v>2176</v>
      </c>
      <c r="N84" s="79" t="s">
        <v>1945</v>
      </c>
      <c r="O84" s="79" t="s">
        <v>1265</v>
      </c>
      <c r="P84" s="83">
        <v>41710.0</v>
      </c>
      <c r="Q84" s="81" t="s">
        <v>2177</v>
      </c>
      <c r="R84" s="86" t="str">
        <f>HYPERLINK("http://grist.org/climate-energy/want-everyone-else-to-buy-into-environmentalism-never-say-earth/","http://grist.org/climate-energy/want-everyone-else-to-buy-into-environmentalism-never-say-earth/")</f>
        <v>http://grist.org/climate-energy/want-everyone-else-to-buy-into-environmentalism-never-say-earth/</v>
      </c>
      <c r="S84" s="81"/>
      <c r="T84" s="81" t="s">
        <v>462</v>
      </c>
      <c r="U84" s="81" t="s">
        <v>462</v>
      </c>
      <c r="V84" s="81" t="s">
        <v>676</v>
      </c>
      <c r="W84" s="81" t="s">
        <v>769</v>
      </c>
      <c r="X84" s="81" t="s">
        <v>2184</v>
      </c>
      <c r="Y84" s="88">
        <v>42345.0</v>
      </c>
      <c r="Z84" s="81"/>
      <c r="AA84" s="81" t="s">
        <v>769</v>
      </c>
      <c r="AB84" s="81"/>
      <c r="AC84" s="88">
        <v>42352.0</v>
      </c>
      <c r="AD84" s="81"/>
      <c r="AE84" s="81"/>
      <c r="AF84" s="81"/>
      <c r="AG84" s="81"/>
      <c r="AH84" s="81"/>
      <c r="AI84" s="81"/>
      <c r="AJ84" s="81"/>
      <c r="AK84" s="81"/>
      <c r="AL84" s="79"/>
    </row>
    <row r="85" ht="22.5" customHeight="1">
      <c r="A85" s="79">
        <v>10083.0</v>
      </c>
      <c r="B85" s="79" t="s">
        <v>1230</v>
      </c>
      <c r="C85" s="79" t="s">
        <v>238</v>
      </c>
      <c r="D85" s="79" t="s">
        <v>64</v>
      </c>
      <c r="E85" s="79" t="s">
        <v>574</v>
      </c>
      <c r="F85" s="80">
        <v>4.0</v>
      </c>
      <c r="G85" s="81"/>
      <c r="H85" s="79" t="s">
        <v>2188</v>
      </c>
      <c r="I85" s="80" t="s">
        <v>2189</v>
      </c>
      <c r="J85" s="81"/>
      <c r="K85" s="79" t="s">
        <v>289</v>
      </c>
      <c r="L85" s="80">
        <v>40.0</v>
      </c>
      <c r="M85" s="79" t="s">
        <v>2190</v>
      </c>
      <c r="N85" s="79" t="s">
        <v>2191</v>
      </c>
      <c r="O85" s="79" t="s">
        <v>2108</v>
      </c>
      <c r="P85" s="83">
        <v>41990.0</v>
      </c>
      <c r="Q85" s="81" t="s">
        <v>2192</v>
      </c>
      <c r="R85" s="86" t="str">
        <f>HYPERLINK("http://www.resource-media.org/3-lessons-from-testing-images-and-appeals-for-online-action-in-2014/","http://www.resource-media.org/3-lessons-from-testing-images-and-appeals-for-online-action-in-2014/")</f>
        <v>http://www.resource-media.org/3-lessons-from-testing-images-and-appeals-for-online-action-in-2014/</v>
      </c>
      <c r="S85" s="81"/>
      <c r="T85" s="81" t="s">
        <v>462</v>
      </c>
      <c r="U85" s="81" t="s">
        <v>462</v>
      </c>
      <c r="V85" s="81" t="s">
        <v>1099</v>
      </c>
      <c r="W85" s="81" t="s">
        <v>600</v>
      </c>
      <c r="X85" s="81"/>
      <c r="Y85" s="81"/>
      <c r="Z85" s="81"/>
      <c r="AA85" s="81"/>
      <c r="AB85" s="81"/>
      <c r="AC85" s="81"/>
      <c r="AD85" s="81"/>
      <c r="AE85" s="81"/>
      <c r="AF85" s="81"/>
      <c r="AG85" s="81"/>
      <c r="AH85" s="81"/>
      <c r="AI85" s="81"/>
      <c r="AJ85" s="81"/>
      <c r="AK85" s="81" t="s">
        <v>2197</v>
      </c>
      <c r="AL85" s="79"/>
    </row>
    <row r="86" ht="22.5" customHeight="1">
      <c r="A86" s="79">
        <v>10084.0</v>
      </c>
      <c r="B86" s="79" t="s">
        <v>1230</v>
      </c>
      <c r="C86" s="79" t="s">
        <v>238</v>
      </c>
      <c r="D86" s="79" t="s">
        <v>64</v>
      </c>
      <c r="E86" s="79" t="s">
        <v>574</v>
      </c>
      <c r="F86" s="80">
        <v>4.0</v>
      </c>
      <c r="G86" s="81"/>
      <c r="H86" s="79" t="s">
        <v>644</v>
      </c>
      <c r="I86" s="80">
        <v>2000.0</v>
      </c>
      <c r="J86" s="81"/>
      <c r="K86" s="79" t="s">
        <v>289</v>
      </c>
      <c r="L86" s="80">
        <v>40.0</v>
      </c>
      <c r="M86" s="79" t="s">
        <v>2198</v>
      </c>
      <c r="N86" s="79" t="s">
        <v>2200</v>
      </c>
      <c r="O86" s="79" t="s">
        <v>2201</v>
      </c>
      <c r="P86" s="83">
        <v>41913.0</v>
      </c>
      <c r="Q86" s="81" t="s">
        <v>2202</v>
      </c>
      <c r="R86" s="86" t="str">
        <f>HYPERLINK("http://nymag.com/scienceofus/2014/09/how-to-convince-conservatives-on-climate-change.html?utm_content=buffercaf8d&amp;utm_medium=social&amp;utm_source=twitter.com&amp;utm_campaign=buffer","http://nymag.com/scienceofus/2014/09/how-to-convince-conservatives-on-climate-change.html?utm_content=buffercaf8d&amp;utm_medium=social&amp;utm_source=twitter.com&amp;utm_campaign=buffer")</f>
        <v>http://nymag.com/scienceofus/2014/09/how-to-convince-conservatives-on-climate-change.html?utm_content=buffercaf8d&amp;utm_medium=social&amp;utm_source=twitter.com&amp;utm_campaign=buffer</v>
      </c>
      <c r="S86" s="81"/>
      <c r="T86" s="81" t="s">
        <v>462</v>
      </c>
      <c r="U86" s="81" t="s">
        <v>462</v>
      </c>
      <c r="V86" s="81"/>
      <c r="W86" s="81" t="s">
        <v>600</v>
      </c>
      <c r="X86" s="81"/>
      <c r="Y86" s="88"/>
      <c r="Z86" s="81"/>
      <c r="AA86" s="81"/>
      <c r="AB86" s="81"/>
      <c r="AC86" s="88"/>
      <c r="AD86" s="81"/>
      <c r="AE86" s="81"/>
      <c r="AF86" s="81"/>
      <c r="AG86" s="81"/>
      <c r="AH86" s="81"/>
      <c r="AI86" s="81"/>
      <c r="AJ86" s="81"/>
      <c r="AK86" s="81"/>
      <c r="AL86" s="79"/>
    </row>
    <row r="87" ht="22.5" customHeight="1">
      <c r="A87" s="79">
        <v>10085.0</v>
      </c>
      <c r="B87" s="79" t="s">
        <v>1230</v>
      </c>
      <c r="C87" s="79" t="s">
        <v>238</v>
      </c>
      <c r="D87" s="79" t="s">
        <v>64</v>
      </c>
      <c r="E87" s="79" t="s">
        <v>574</v>
      </c>
      <c r="F87" s="80">
        <v>4.0</v>
      </c>
      <c r="G87" s="81"/>
      <c r="H87" s="79" t="s">
        <v>578</v>
      </c>
      <c r="I87" s="80">
        <v>2000.0</v>
      </c>
      <c r="J87" s="81"/>
      <c r="K87" s="79" t="s">
        <v>289</v>
      </c>
      <c r="L87" s="80">
        <v>40.0</v>
      </c>
      <c r="M87" s="79" t="s">
        <v>2210</v>
      </c>
      <c r="N87" s="79" t="s">
        <v>2211</v>
      </c>
      <c r="O87" s="79" t="s">
        <v>1325</v>
      </c>
      <c r="P87" s="83">
        <v>42047.0</v>
      </c>
      <c r="Q87" s="81"/>
      <c r="R87" s="86" t="str">
        <f>HYPERLINK("http://www.nytimes.com/2015/02/17/science/earth/in-climate-change-whats-in-a-name.html?action=click&amp;pgtype=Homepage&amp;module=c-column-middle-span-region&amp;region=c-column-middle-span-region&amp;WT.nav=c-column-middle-span-region","http://www.nytimes.com/2015/02/17/science/earth/in-climate-change-whats-in-a-name.html?action=click&amp;pgtype=Homepage&amp;module=c-column-middle-span-region&amp;region=c-column-middle-span-region&amp;WT.nav=c-column-middle-span-region")</f>
        <v>http://www.nytimes.com/2015/02/17/science/earth/in-climate-change-whats-in-a-name.html?action=click&amp;pgtype=Homepage&amp;module=c-column-middle-span-region&amp;region=c-column-middle-span-region&amp;WT.nav=c-column-middle-span-region</v>
      </c>
      <c r="S87" s="81"/>
      <c r="T87" s="81" t="s">
        <v>462</v>
      </c>
      <c r="U87" s="81" t="s">
        <v>462</v>
      </c>
      <c r="V87" s="81" t="s">
        <v>676</v>
      </c>
      <c r="W87" s="81" t="s">
        <v>769</v>
      </c>
      <c r="X87" s="81" t="s">
        <v>2217</v>
      </c>
      <c r="Y87" s="88">
        <v>42192.0</v>
      </c>
      <c r="Z87" s="81"/>
      <c r="AA87" s="81"/>
      <c r="AB87" s="81"/>
      <c r="AC87" s="88"/>
      <c r="AD87" s="81"/>
      <c r="AE87" s="81"/>
      <c r="AF87" s="81"/>
      <c r="AG87" s="81"/>
      <c r="AH87" s="81"/>
      <c r="AI87" s="81"/>
      <c r="AJ87" s="81"/>
      <c r="AK87" s="81"/>
      <c r="AL87" s="79"/>
    </row>
    <row r="88" ht="22.5" customHeight="1">
      <c r="A88" s="79">
        <v>10086.0</v>
      </c>
      <c r="B88" s="79" t="s">
        <v>1230</v>
      </c>
      <c r="C88" s="79" t="s">
        <v>238</v>
      </c>
      <c r="D88" s="79" t="s">
        <v>64</v>
      </c>
      <c r="E88" s="79" t="s">
        <v>574</v>
      </c>
      <c r="F88" s="80">
        <v>4.0</v>
      </c>
      <c r="G88" s="81"/>
      <c r="H88" s="79" t="s">
        <v>644</v>
      </c>
      <c r="I88" s="80">
        <v>2000.0</v>
      </c>
      <c r="J88" s="81"/>
      <c r="K88" s="79" t="s">
        <v>289</v>
      </c>
      <c r="L88" s="80">
        <v>40.0</v>
      </c>
      <c r="M88" s="94" t="s">
        <v>2219</v>
      </c>
      <c r="N88" s="79" t="s">
        <v>2220</v>
      </c>
      <c r="O88" s="105" t="s">
        <v>2221</v>
      </c>
      <c r="P88" s="83">
        <v>42224.0</v>
      </c>
      <c r="Q88" s="81" t="s">
        <v>2230</v>
      </c>
      <c r="R88" s="86" t="str">
        <f>HYPERLINK("http://www.medicaldaily.com/daily-show-and-colbert-report-may-be-why-so-many-more-people-believe-climate-change-346796","http://www.medicaldaily.com/daily-show-and-colbert-report-may-be-why-so-many-more-people-believe-climate-change-346796")</f>
        <v>http://www.medicaldaily.com/daily-show-and-colbert-report-may-be-why-so-many-more-people-believe-climate-change-346796</v>
      </c>
      <c r="S88" s="81"/>
      <c r="T88" s="81" t="s">
        <v>428</v>
      </c>
      <c r="U88" s="81"/>
      <c r="V88" s="81"/>
      <c r="W88" s="81" t="s">
        <v>769</v>
      </c>
      <c r="X88" s="81" t="s">
        <v>2238</v>
      </c>
      <c r="Y88" s="88">
        <v>42685.0</v>
      </c>
      <c r="Z88" s="81"/>
      <c r="AA88" s="81" t="s">
        <v>769</v>
      </c>
      <c r="AB88" s="88">
        <v>42642.0</v>
      </c>
      <c r="AC88" s="81"/>
      <c r="AD88" s="81"/>
      <c r="AE88" s="81"/>
      <c r="AF88" s="81"/>
      <c r="AG88" s="81"/>
      <c r="AH88" s="81"/>
      <c r="AI88" s="81" t="s">
        <v>428</v>
      </c>
      <c r="AJ88" s="81"/>
      <c r="AK88" s="81"/>
      <c r="AL88" s="79"/>
    </row>
    <row r="89" ht="22.5" customHeight="1">
      <c r="A89" s="79">
        <v>10087.0</v>
      </c>
      <c r="B89" s="79" t="s">
        <v>1230</v>
      </c>
      <c r="C89" s="79" t="s">
        <v>238</v>
      </c>
      <c r="D89" s="79" t="s">
        <v>64</v>
      </c>
      <c r="E89" s="79" t="s">
        <v>574</v>
      </c>
      <c r="F89" s="80">
        <v>4.0</v>
      </c>
      <c r="G89" s="81"/>
      <c r="H89" s="79" t="s">
        <v>224</v>
      </c>
      <c r="I89" s="80"/>
      <c r="J89" s="81"/>
      <c r="K89" s="79" t="s">
        <v>289</v>
      </c>
      <c r="L89" s="80">
        <v>40.0</v>
      </c>
      <c r="M89" s="79" t="s">
        <v>2244</v>
      </c>
      <c r="N89" s="79" t="s">
        <v>2246</v>
      </c>
      <c r="O89" s="79" t="s">
        <v>2249</v>
      </c>
      <c r="P89" s="83">
        <v>41961.0</v>
      </c>
      <c r="Q89" s="81" t="s">
        <v>574</v>
      </c>
      <c r="R89" s="86" t="str">
        <f>HYPERLINK("http://frameblog.org/2014/11/18/problems-need-solutions/","http://frameblog.org/2014/11/18/problems-need-solutions/")</f>
        <v>http://frameblog.org/2014/11/18/problems-need-solutions/</v>
      </c>
      <c r="S89" s="81"/>
      <c r="T89" s="81" t="s">
        <v>462</v>
      </c>
      <c r="U89" s="81" t="s">
        <v>462</v>
      </c>
      <c r="V89" s="81" t="s">
        <v>1099</v>
      </c>
      <c r="W89" s="81" t="s">
        <v>677</v>
      </c>
      <c r="X89" s="81"/>
      <c r="Y89" s="81"/>
      <c r="Z89" s="81"/>
      <c r="AA89" s="81"/>
      <c r="AB89" s="81"/>
      <c r="AC89" s="81"/>
      <c r="AD89" s="81"/>
      <c r="AE89" s="81"/>
      <c r="AF89" s="81"/>
      <c r="AG89" s="81"/>
      <c r="AH89" s="81"/>
      <c r="AI89" s="81"/>
      <c r="AJ89" s="81"/>
      <c r="AK89" s="81"/>
      <c r="AL89" s="79"/>
    </row>
    <row r="90" ht="22.5" customHeight="1">
      <c r="A90" s="79">
        <v>10088.0</v>
      </c>
      <c r="B90" s="79" t="s">
        <v>1230</v>
      </c>
      <c r="C90" s="79" t="s">
        <v>238</v>
      </c>
      <c r="D90" s="79" t="s">
        <v>64</v>
      </c>
      <c r="E90" s="79" t="s">
        <v>574</v>
      </c>
      <c r="F90" s="80">
        <v>4.0</v>
      </c>
      <c r="G90" s="81"/>
      <c r="H90" s="79" t="s">
        <v>578</v>
      </c>
      <c r="I90" s="80">
        <v>2000.0</v>
      </c>
      <c r="J90" s="81"/>
      <c r="K90" s="79" t="s">
        <v>289</v>
      </c>
      <c r="L90" s="80">
        <v>40.0</v>
      </c>
      <c r="M90" s="79" t="s">
        <v>584</v>
      </c>
      <c r="N90" s="79" t="s">
        <v>585</v>
      </c>
      <c r="O90" s="79" t="s">
        <v>586</v>
      </c>
      <c r="P90" s="83">
        <v>41330.0</v>
      </c>
      <c r="Q90" s="81" t="s">
        <v>574</v>
      </c>
      <c r="R90" s="86" t="str">
        <f>HYPERLINK("http://www.alternet.org/environment/study-suggests-moral-purity-may-overcome-right-wing-resistance-environmental-science","http://www.alternet.org/environment/study-suggests-moral-purity-may-overcome-right-wing-resistance-environmental-science")</f>
        <v>http://www.alternet.org/environment/study-suggests-moral-purity-may-overcome-right-wing-resistance-environmental-science</v>
      </c>
      <c r="S90" s="81"/>
      <c r="T90" s="81" t="s">
        <v>428</v>
      </c>
      <c r="U90" s="81" t="s">
        <v>462</v>
      </c>
      <c r="V90" s="81"/>
      <c r="W90" s="81" t="s">
        <v>600</v>
      </c>
      <c r="X90" s="81"/>
      <c r="Y90" s="88"/>
      <c r="Z90" s="88"/>
      <c r="AA90" s="81"/>
      <c r="AB90" s="81"/>
      <c r="AC90" s="88"/>
      <c r="AD90" s="81"/>
      <c r="AE90" s="81"/>
      <c r="AF90" s="81"/>
      <c r="AG90" s="81"/>
      <c r="AH90" s="81"/>
      <c r="AI90" s="81"/>
      <c r="AJ90" s="81"/>
      <c r="AK90" s="81"/>
      <c r="AL90" s="79"/>
    </row>
    <row r="91" ht="22.5" customHeight="1">
      <c r="A91" s="79">
        <v>10089.0</v>
      </c>
      <c r="B91" s="79" t="s">
        <v>1230</v>
      </c>
      <c r="C91" s="79" t="s">
        <v>238</v>
      </c>
      <c r="D91" s="79" t="s">
        <v>64</v>
      </c>
      <c r="E91" s="79" t="s">
        <v>574</v>
      </c>
      <c r="F91" s="80">
        <v>4.0</v>
      </c>
      <c r="G91" s="81"/>
      <c r="H91" s="79" t="s">
        <v>644</v>
      </c>
      <c r="I91" s="80">
        <v>2000.0</v>
      </c>
      <c r="J91" s="81"/>
      <c r="K91" s="79" t="s">
        <v>289</v>
      </c>
      <c r="L91" s="80">
        <v>40.0</v>
      </c>
      <c r="M91" s="79" t="s">
        <v>2267</v>
      </c>
      <c r="N91" s="79" t="s">
        <v>2268</v>
      </c>
      <c r="O91" s="79" t="s">
        <v>1375</v>
      </c>
      <c r="P91" s="83">
        <v>42053.0</v>
      </c>
      <c r="Q91" s="81" t="s">
        <v>2272</v>
      </c>
      <c r="R91" s="86" t="str">
        <f>HYPERLINK("http://www.washingtonpost.com/news/energy-environment/wp/2015/02/18/the-term-that-actually-makes-climate-change-less-political/?postshare=761424787135937","http://www.washingtonpost.com/news/energy-environment/wp/2015/02/18/the-term-that-actually-makes-climate-change-less-political/?postshare=761424787135937")</f>
        <v>http://www.washingtonpost.com/news/energy-environment/wp/2015/02/18/the-term-that-actually-makes-climate-change-less-political/?postshare=761424787135937</v>
      </c>
      <c r="S91" s="81"/>
      <c r="T91" s="81" t="s">
        <v>462</v>
      </c>
      <c r="U91" s="81" t="s">
        <v>462</v>
      </c>
      <c r="V91" s="81" t="s">
        <v>1099</v>
      </c>
      <c r="W91" s="81" t="s">
        <v>769</v>
      </c>
      <c r="X91" s="81" t="s">
        <v>2278</v>
      </c>
      <c r="Y91" s="88">
        <v>42353.0</v>
      </c>
      <c r="Z91" s="81"/>
      <c r="AA91" s="81" t="s">
        <v>769</v>
      </c>
      <c r="AB91" s="81"/>
      <c r="AC91" s="88">
        <v>42065.0</v>
      </c>
      <c r="AD91" s="81" t="s">
        <v>2045</v>
      </c>
      <c r="AE91" s="81"/>
      <c r="AF91" s="81"/>
      <c r="AG91" s="81"/>
      <c r="AH91" s="81"/>
      <c r="AI91" s="81"/>
      <c r="AJ91" s="81"/>
      <c r="AK91" s="81"/>
      <c r="AL91" s="79"/>
    </row>
    <row r="92" ht="22.5" customHeight="1">
      <c r="A92" s="79">
        <v>10090.0</v>
      </c>
      <c r="B92" s="79" t="s">
        <v>1230</v>
      </c>
      <c r="C92" s="79" t="s">
        <v>238</v>
      </c>
      <c r="D92" s="79" t="s">
        <v>64</v>
      </c>
      <c r="E92" s="79" t="s">
        <v>574</v>
      </c>
      <c r="F92" s="80">
        <v>4.0</v>
      </c>
      <c r="G92" s="81"/>
      <c r="H92" s="79" t="s">
        <v>837</v>
      </c>
      <c r="I92" s="80">
        <v>2000.0</v>
      </c>
      <c r="J92" s="81"/>
      <c r="K92" s="79" t="s">
        <v>289</v>
      </c>
      <c r="L92" s="80">
        <v>40.0</v>
      </c>
      <c r="M92" s="79" t="s">
        <v>2279</v>
      </c>
      <c r="N92" s="79" t="s">
        <v>2280</v>
      </c>
      <c r="O92" s="79" t="s">
        <v>1325</v>
      </c>
      <c r="P92" s="83">
        <v>42062.0</v>
      </c>
      <c r="Q92" s="81" t="s">
        <v>2283</v>
      </c>
      <c r="R92" s="86" t="str">
        <f>HYPERLINK("http://www.nytimes.com/2015/03/01/opinion/sunday/is-the-environment-a-moral-cause.html","http://www.nytimes.com/2015/03/01/opinion/sunday/is-the-environment-a-moral-cause.html")</f>
        <v>http://www.nytimes.com/2015/03/01/opinion/sunday/is-the-environment-a-moral-cause.html</v>
      </c>
      <c r="S92" s="81" t="s">
        <v>2290</v>
      </c>
      <c r="T92" s="81" t="s">
        <v>428</v>
      </c>
      <c r="U92" s="81" t="s">
        <v>462</v>
      </c>
      <c r="V92" s="81"/>
      <c r="W92" s="81" t="s">
        <v>769</v>
      </c>
      <c r="X92" s="81" t="s">
        <v>2292</v>
      </c>
      <c r="Y92" s="88">
        <v>42192.0</v>
      </c>
      <c r="Z92" s="81"/>
      <c r="AA92" s="81" t="s">
        <v>769</v>
      </c>
      <c r="AB92" s="81"/>
      <c r="AC92" s="88">
        <v>42114.0</v>
      </c>
      <c r="AD92" s="81"/>
      <c r="AE92" s="81"/>
      <c r="AF92" s="81"/>
      <c r="AG92" s="81"/>
      <c r="AH92" s="81"/>
      <c r="AI92" s="81"/>
      <c r="AJ92" s="81"/>
      <c r="AK92" s="81"/>
      <c r="AL92" s="79"/>
    </row>
    <row r="93" ht="22.5" customHeight="1">
      <c r="A93" s="79">
        <v>10091.0</v>
      </c>
      <c r="B93" s="79" t="s">
        <v>1230</v>
      </c>
      <c r="C93" s="79" t="s">
        <v>238</v>
      </c>
      <c r="D93" s="79" t="s">
        <v>64</v>
      </c>
      <c r="E93" s="79" t="s">
        <v>574</v>
      </c>
      <c r="F93" s="80">
        <v>4.0</v>
      </c>
      <c r="G93" s="81"/>
      <c r="H93" s="79" t="s">
        <v>2293</v>
      </c>
      <c r="I93" s="80">
        <v>23000.0</v>
      </c>
      <c r="J93" s="81"/>
      <c r="K93" s="79" t="s">
        <v>289</v>
      </c>
      <c r="L93" s="80">
        <v>40.0</v>
      </c>
      <c r="M93" s="79" t="s">
        <v>2294</v>
      </c>
      <c r="N93" s="79" t="s">
        <v>2296</v>
      </c>
      <c r="O93" s="79" t="s">
        <v>1430</v>
      </c>
      <c r="P93" s="83">
        <v>41699.0</v>
      </c>
      <c r="Q93" s="81" t="s">
        <v>2297</v>
      </c>
      <c r="R93" s="86" t="str">
        <f>HYPERLINK("http://www.npr.org/blogs/krulwich/2014/03/01/283993033/polar-bear-flip-flop-people-hated-then-loved-these-photos-what-changed","http://www.npr.org/blogs/krulwich/2014/03/01/283993033/polar-bear-flip-flop-people-hated-then-loved-these-photos-what-changed")</f>
        <v>http://www.npr.org/blogs/krulwich/2014/03/01/283993033/polar-bear-flip-flop-people-hated-then-loved-these-photos-what-changed</v>
      </c>
      <c r="S93" s="81" t="s">
        <v>2306</v>
      </c>
      <c r="T93" s="81" t="s">
        <v>462</v>
      </c>
      <c r="U93" s="81" t="s">
        <v>462</v>
      </c>
      <c r="V93" s="81" t="s">
        <v>676</v>
      </c>
      <c r="W93" s="81" t="s">
        <v>769</v>
      </c>
      <c r="X93" s="81" t="s">
        <v>2307</v>
      </c>
      <c r="Y93" s="88">
        <v>42170.0</v>
      </c>
      <c r="Z93" s="88">
        <v>42563.0</v>
      </c>
      <c r="AA93" s="81" t="s">
        <v>769</v>
      </c>
      <c r="AB93" s="81"/>
      <c r="AC93" s="88">
        <v>42177.0</v>
      </c>
      <c r="AD93" s="81"/>
      <c r="AE93" s="81"/>
      <c r="AF93" s="81"/>
      <c r="AG93" s="81"/>
      <c r="AH93" s="81"/>
      <c r="AI93" s="81"/>
      <c r="AJ93" s="81"/>
      <c r="AK93" s="81" t="s">
        <v>2312</v>
      </c>
      <c r="AL93" s="79"/>
    </row>
    <row r="94" ht="22.5" customHeight="1">
      <c r="A94" s="79">
        <v>10092.0</v>
      </c>
      <c r="B94" s="79" t="s">
        <v>1230</v>
      </c>
      <c r="C94" s="79" t="s">
        <v>238</v>
      </c>
      <c r="D94" s="79" t="s">
        <v>64</v>
      </c>
      <c r="E94" s="79" t="s">
        <v>574</v>
      </c>
      <c r="F94" s="80">
        <v>4.0</v>
      </c>
      <c r="G94" s="81"/>
      <c r="H94" s="79" t="s">
        <v>837</v>
      </c>
      <c r="I94" s="80">
        <v>2000.0</v>
      </c>
      <c r="J94" s="81"/>
      <c r="K94" s="79" t="s">
        <v>289</v>
      </c>
      <c r="L94" s="80">
        <v>40.0</v>
      </c>
      <c r="M94" s="79" t="s">
        <v>2316</v>
      </c>
      <c r="N94" s="79" t="s">
        <v>2317</v>
      </c>
      <c r="O94" s="79" t="s">
        <v>1336</v>
      </c>
      <c r="P94" s="83">
        <v>42101.0</v>
      </c>
      <c r="Q94" s="81" t="s">
        <v>2318</v>
      </c>
      <c r="R94" s="86" t="str">
        <f>HYPERLINK("http://environment.yale.edu/climate-communication/article/simple-messages-increase-understanding-of-the-climate-change-consensus/","http://environment.yale.edu/climate-communication/article/simple-messages-increase-understanding-of-the-climate-change-consensus/")</f>
        <v>http://environment.yale.edu/climate-communication/article/simple-messages-increase-understanding-of-the-climate-change-consensus/</v>
      </c>
      <c r="S94" s="81"/>
      <c r="T94" s="81" t="s">
        <v>462</v>
      </c>
      <c r="U94" s="81" t="s">
        <v>462</v>
      </c>
      <c r="V94" s="81" t="s">
        <v>1099</v>
      </c>
      <c r="W94" s="81" t="s">
        <v>769</v>
      </c>
      <c r="X94" s="81" t="s">
        <v>2327</v>
      </c>
      <c r="Y94" s="88" t="s">
        <v>2328</v>
      </c>
      <c r="Z94" s="88">
        <v>42721.0</v>
      </c>
      <c r="AA94" s="81"/>
      <c r="AB94" s="81"/>
      <c r="AC94" s="88"/>
      <c r="AD94" s="81"/>
      <c r="AE94" s="81"/>
      <c r="AF94" s="81"/>
      <c r="AG94" s="81"/>
      <c r="AH94" s="81"/>
      <c r="AI94" s="81"/>
      <c r="AJ94" s="81"/>
      <c r="AK94" s="81"/>
      <c r="AL94" s="79"/>
    </row>
    <row r="95" ht="22.5" customHeight="1">
      <c r="A95" s="79">
        <v>10093.0</v>
      </c>
      <c r="B95" s="79" t="s">
        <v>1230</v>
      </c>
      <c r="C95" s="79" t="s">
        <v>238</v>
      </c>
      <c r="D95" s="79" t="s">
        <v>64</v>
      </c>
      <c r="E95" s="79" t="s">
        <v>574</v>
      </c>
      <c r="F95" s="80">
        <v>4.0</v>
      </c>
      <c r="G95" s="81"/>
      <c r="H95" s="79" t="s">
        <v>578</v>
      </c>
      <c r="I95" s="80">
        <v>2000.0</v>
      </c>
      <c r="J95" s="81"/>
      <c r="K95" s="79" t="s">
        <v>111</v>
      </c>
      <c r="L95" s="80">
        <v>41.0</v>
      </c>
      <c r="M95" s="79" t="s">
        <v>2186</v>
      </c>
      <c r="N95" s="79" t="s">
        <v>1308</v>
      </c>
      <c r="O95" s="79" t="s">
        <v>1309</v>
      </c>
      <c r="P95" s="83">
        <v>41989.0</v>
      </c>
      <c r="Q95" s="81" t="s">
        <v>2187</v>
      </c>
      <c r="R95" s="86" t="str">
        <f>HYPERLINK("http://valuesandframes.org/no-cause-is-an-island/","http://valuesandframes.org/no-cause-is-an-island/")</f>
        <v>http://valuesandframes.org/no-cause-is-an-island/</v>
      </c>
      <c r="S95" s="81"/>
      <c r="T95" s="81" t="s">
        <v>2195</v>
      </c>
      <c r="U95" s="81" t="s">
        <v>2196</v>
      </c>
      <c r="V95" s="81" t="s">
        <v>1474</v>
      </c>
      <c r="W95" s="81" t="s">
        <v>677</v>
      </c>
      <c r="X95" s="81"/>
      <c r="Y95" s="81"/>
      <c r="Z95" s="81"/>
      <c r="AA95" s="81"/>
      <c r="AB95" s="81"/>
      <c r="AC95" s="81"/>
      <c r="AD95" s="81"/>
      <c r="AE95" s="81"/>
      <c r="AF95" s="81"/>
      <c r="AG95" s="81"/>
      <c r="AH95" s="81"/>
      <c r="AI95" s="81"/>
      <c r="AJ95" s="81"/>
      <c r="AK95" s="81"/>
      <c r="AL95" s="79"/>
    </row>
    <row r="96" ht="22.5" customHeight="1">
      <c r="A96" s="79">
        <v>10094.0</v>
      </c>
      <c r="B96" s="79" t="s">
        <v>1230</v>
      </c>
      <c r="C96" s="79" t="s">
        <v>238</v>
      </c>
      <c r="D96" s="79" t="s">
        <v>64</v>
      </c>
      <c r="E96" s="79" t="s">
        <v>574</v>
      </c>
      <c r="F96" s="80">
        <v>4.0</v>
      </c>
      <c r="G96" s="81"/>
      <c r="H96" s="79" t="s">
        <v>1114</v>
      </c>
      <c r="I96" s="80">
        <v>2000.0</v>
      </c>
      <c r="J96" s="81"/>
      <c r="K96" s="79" t="s">
        <v>111</v>
      </c>
      <c r="L96" s="80">
        <v>41.0</v>
      </c>
      <c r="M96" s="79" t="s">
        <v>2339</v>
      </c>
      <c r="N96" s="79" t="s">
        <v>2340</v>
      </c>
      <c r="O96" s="79" t="s">
        <v>2017</v>
      </c>
      <c r="P96" s="83">
        <v>42039.0</v>
      </c>
      <c r="Q96" s="81" t="s">
        <v>2341</v>
      </c>
      <c r="R96" s="86" t="str">
        <f>HYPERLINK("http://www.psmag.com/business-economics/time-as-money-mindset-decreases-green-behaviors","http://www.psmag.com/business-economics/time-as-money-mindset-decreases-green-behaviors")</f>
        <v>http://www.psmag.com/business-economics/time-as-money-mindset-decreases-green-behaviors</v>
      </c>
      <c r="S96" s="81"/>
      <c r="T96" s="81" t="s">
        <v>428</v>
      </c>
      <c r="U96" s="81" t="s">
        <v>462</v>
      </c>
      <c r="V96" s="81" t="s">
        <v>1099</v>
      </c>
      <c r="W96" s="81" t="s">
        <v>769</v>
      </c>
      <c r="X96" s="81" t="s">
        <v>2352</v>
      </c>
      <c r="Y96" s="88">
        <v>42052.0</v>
      </c>
      <c r="Z96" s="96" t="str">
        <f>HYPERLINK("http://t.co/vaoSsFfjeg","6/22/2016")</f>
        <v>6/22/2016</v>
      </c>
      <c r="AA96" s="81" t="s">
        <v>769</v>
      </c>
      <c r="AB96" s="81"/>
      <c r="AC96" s="88">
        <v>42061.0</v>
      </c>
      <c r="AD96" s="81" t="s">
        <v>2363</v>
      </c>
      <c r="AE96" s="81"/>
      <c r="AF96" s="81"/>
      <c r="AG96" s="81"/>
      <c r="AH96" s="81" t="s">
        <v>428</v>
      </c>
      <c r="AI96" s="81"/>
      <c r="AJ96" s="81"/>
      <c r="AK96" s="81"/>
      <c r="AL96" s="79"/>
    </row>
    <row r="97" ht="22.5" customHeight="1">
      <c r="A97" s="79">
        <v>10095.0</v>
      </c>
      <c r="B97" s="79" t="s">
        <v>1230</v>
      </c>
      <c r="C97" s="79" t="s">
        <v>238</v>
      </c>
      <c r="D97" s="79" t="s">
        <v>64</v>
      </c>
      <c r="E97" s="79" t="s">
        <v>574</v>
      </c>
      <c r="F97" s="80">
        <v>4.0</v>
      </c>
      <c r="G97" s="81"/>
      <c r="H97" s="79" t="s">
        <v>578</v>
      </c>
      <c r="I97" s="80">
        <v>2000.0</v>
      </c>
      <c r="J97" s="81"/>
      <c r="K97" s="79" t="s">
        <v>289</v>
      </c>
      <c r="L97" s="80">
        <v>40.0</v>
      </c>
      <c r="M97" s="79" t="s">
        <v>2365</v>
      </c>
      <c r="N97" s="79" t="s">
        <v>2366</v>
      </c>
      <c r="O97" s="79" t="s">
        <v>1754</v>
      </c>
      <c r="P97" s="83">
        <v>41479.0</v>
      </c>
      <c r="Q97" s="81" t="s">
        <v>2367</v>
      </c>
      <c r="R97" s="86" t="str">
        <f>HYPERLINK("http://www.huffingtonpost.com/wray-herbert/heat-wave-psychology-long_b_3644823.html","http://www.huffingtonpost.com/wray-herbert/heat-wave-psychology-long_b_3644823.html ")</f>
        <v>http://www.huffingtonpost.com/wray-herbert/heat-wave-psychology-long_b_3644823.html </v>
      </c>
      <c r="S97" s="81"/>
      <c r="T97" s="81" t="s">
        <v>462</v>
      </c>
      <c r="U97" s="81" t="s">
        <v>462</v>
      </c>
      <c r="V97" s="81" t="s">
        <v>676</v>
      </c>
      <c r="W97" s="81" t="s">
        <v>769</v>
      </c>
      <c r="X97" s="81" t="s">
        <v>2380</v>
      </c>
      <c r="Y97" s="88">
        <v>41934.0</v>
      </c>
      <c r="Z97" s="88">
        <v>42555.0</v>
      </c>
      <c r="AA97" s="81" t="s">
        <v>769</v>
      </c>
      <c r="AB97" s="81"/>
      <c r="AC97" s="88">
        <v>41954.0</v>
      </c>
      <c r="AD97" s="81"/>
      <c r="AE97" s="81"/>
      <c r="AF97" s="81"/>
      <c r="AG97" s="81"/>
      <c r="AH97" s="81"/>
      <c r="AI97" s="81"/>
      <c r="AJ97" s="81"/>
      <c r="AK97" s="81"/>
      <c r="AL97" s="79"/>
    </row>
    <row r="98" ht="22.5" customHeight="1">
      <c r="A98" s="79">
        <v>10096.0</v>
      </c>
      <c r="B98" s="79" t="s">
        <v>1230</v>
      </c>
      <c r="C98" s="79" t="s">
        <v>238</v>
      </c>
      <c r="D98" s="79" t="s">
        <v>64</v>
      </c>
      <c r="E98" s="79" t="s">
        <v>574</v>
      </c>
      <c r="F98" s="80">
        <v>4.0</v>
      </c>
      <c r="G98" s="81"/>
      <c r="H98" s="79" t="s">
        <v>837</v>
      </c>
      <c r="I98" s="80">
        <v>2000.0</v>
      </c>
      <c r="J98" s="81"/>
      <c r="K98" s="79" t="s">
        <v>289</v>
      </c>
      <c r="L98" s="80">
        <v>40.0</v>
      </c>
      <c r="M98" s="79" t="s">
        <v>2383</v>
      </c>
      <c r="N98" s="79" t="s">
        <v>2384</v>
      </c>
      <c r="O98" s="79" t="s">
        <v>2385</v>
      </c>
      <c r="P98" s="83">
        <v>42058.0</v>
      </c>
      <c r="Q98" s="81" t="s">
        <v>2387</v>
      </c>
      <c r="R98" s="86" t="str">
        <f>HYPERLINK("http://phys.org/news/2015-02-climate-science-literacy-unrelated-human-caused.html","http://phys.org/news/2015-02-climate-science-literacy-unrelated-human-caused.html")</f>
        <v>http://phys.org/news/2015-02-climate-science-literacy-unrelated-human-caused.html</v>
      </c>
      <c r="S98" s="81"/>
      <c r="T98" s="81" t="s">
        <v>462</v>
      </c>
      <c r="U98" s="81" t="s">
        <v>462</v>
      </c>
      <c r="V98" s="81" t="s">
        <v>676</v>
      </c>
      <c r="W98" s="81" t="s">
        <v>769</v>
      </c>
      <c r="X98" s="81" t="s">
        <v>2392</v>
      </c>
      <c r="Y98" s="88">
        <v>42060.0</v>
      </c>
      <c r="Z98" s="106" t="str">
        <f>HYPERLINK("http://t.co/rEgh7oYsaQ","bit.ly/17vb4wM ")</f>
        <v>bit.ly/17vb4wM </v>
      </c>
      <c r="AA98" s="81"/>
      <c r="AB98" s="81"/>
      <c r="AC98" s="88"/>
      <c r="AD98" s="81" t="s">
        <v>2045</v>
      </c>
      <c r="AE98" s="81"/>
      <c r="AF98" s="81"/>
      <c r="AG98" s="81"/>
      <c r="AH98" s="81"/>
      <c r="AI98" s="81"/>
      <c r="AJ98" s="81"/>
      <c r="AK98" s="81"/>
      <c r="AL98" s="79"/>
    </row>
    <row r="99" ht="22.5" customHeight="1">
      <c r="A99" s="79">
        <v>10097.0</v>
      </c>
      <c r="B99" s="79" t="s">
        <v>1230</v>
      </c>
      <c r="C99" s="79" t="s">
        <v>238</v>
      </c>
      <c r="D99" s="79" t="s">
        <v>64</v>
      </c>
      <c r="E99" s="79" t="s">
        <v>1322</v>
      </c>
      <c r="F99" s="80">
        <v>4.0</v>
      </c>
      <c r="G99" s="81"/>
      <c r="H99" s="79" t="s">
        <v>644</v>
      </c>
      <c r="I99" s="80">
        <v>2000.0</v>
      </c>
      <c r="J99" s="81"/>
      <c r="K99" s="79" t="s">
        <v>289</v>
      </c>
      <c r="L99" s="80">
        <v>40.0</v>
      </c>
      <c r="M99" s="79" t="s">
        <v>2405</v>
      </c>
      <c r="N99" s="86" t="str">
        <f>HYPERLINK("http://lisabennett.org/author/lisapbennett/","Lisa Bennett")</f>
        <v>Lisa Bennett</v>
      </c>
      <c r="O99" s="79" t="s">
        <v>2406</v>
      </c>
      <c r="P99" s="108" t="str">
        <f>HYPERLINK("http://lisabennett.org/2014/10/31/three-traps-to-avoid-when-speaking-about-the-environment/","31-Oct-14")</f>
        <v>31-Oct-14</v>
      </c>
      <c r="Q99" s="81" t="s">
        <v>1510</v>
      </c>
      <c r="R99" s="86" t="str">
        <f>HYPERLINK("http://lisabennett.org/2014/10/31/three-traps-to-avoid-when-speaking-about-the-environment/","http://lisabennett.org/2014/10/31/three-traps-to-avoid-when-speaking-about-the-environment/")</f>
        <v>http://lisabennett.org/2014/10/31/three-traps-to-avoid-when-speaking-about-the-environment/</v>
      </c>
      <c r="S99" s="81"/>
      <c r="T99" s="81" t="s">
        <v>462</v>
      </c>
      <c r="U99" s="81" t="s">
        <v>462</v>
      </c>
      <c r="V99" s="81" t="s">
        <v>676</v>
      </c>
      <c r="W99" s="81" t="s">
        <v>769</v>
      </c>
      <c r="X99" s="81" t="s">
        <v>2416</v>
      </c>
      <c r="Y99" s="88">
        <v>42173.0</v>
      </c>
      <c r="Z99" s="88">
        <v>42542.0</v>
      </c>
      <c r="AA99" s="81"/>
      <c r="AB99" s="81"/>
      <c r="AC99" s="88"/>
      <c r="AD99" s="81"/>
      <c r="AE99" s="81"/>
      <c r="AF99" s="81"/>
      <c r="AG99" s="81"/>
      <c r="AH99" s="81"/>
      <c r="AI99" s="81"/>
      <c r="AJ99" s="81"/>
      <c r="AK99" s="81"/>
      <c r="AL99" s="79"/>
    </row>
    <row r="100" ht="22.5" customHeight="1">
      <c r="A100" s="79">
        <v>10098.0</v>
      </c>
      <c r="B100" s="79" t="s">
        <v>1230</v>
      </c>
      <c r="C100" s="79" t="s">
        <v>238</v>
      </c>
      <c r="D100" s="79" t="s">
        <v>64</v>
      </c>
      <c r="E100" s="79" t="s">
        <v>1595</v>
      </c>
      <c r="F100" s="80" t="s">
        <v>2417</v>
      </c>
      <c r="G100" s="81"/>
      <c r="H100" s="79" t="s">
        <v>605</v>
      </c>
      <c r="I100" s="80">
        <v>4000.0</v>
      </c>
      <c r="J100" s="81"/>
      <c r="K100" s="79" t="s">
        <v>111</v>
      </c>
      <c r="L100" s="80">
        <v>41.0</v>
      </c>
      <c r="M100" s="79" t="s">
        <v>2418</v>
      </c>
      <c r="N100" s="79" t="s">
        <v>1374</v>
      </c>
      <c r="O100" s="79" t="s">
        <v>1375</v>
      </c>
      <c r="P100" s="83">
        <v>42117.0</v>
      </c>
      <c r="Q100" s="81" t="s">
        <v>2420</v>
      </c>
      <c r="R100" s="86" t="str">
        <f>HYPERLINK("https://www.washingtonpost.com/news/energy-environment/wp/2015/04/23/this-is-how-green-product-labels-affect-your-brain/?postshare=3861429878728924","https://www.washingtonpost.com/news/energy-environment/wp/2015/04/23/this-is-how-green-product-labels-affect-your-brain/?postshare=3861429878728924")</f>
        <v>https://www.washingtonpost.com/news/energy-environment/wp/2015/04/23/this-is-how-green-product-labels-affect-your-brain/?postshare=3861429878728924</v>
      </c>
      <c r="S100" s="81"/>
      <c r="T100" s="81" t="s">
        <v>462</v>
      </c>
      <c r="U100" s="81" t="s">
        <v>462</v>
      </c>
      <c r="V100" s="102"/>
      <c r="W100" s="81" t="s">
        <v>600</v>
      </c>
      <c r="X100" s="102"/>
      <c r="Y100" s="102"/>
      <c r="Z100" s="102"/>
      <c r="AA100" s="102"/>
      <c r="AB100" s="102"/>
      <c r="AC100" s="102"/>
      <c r="AD100" s="81"/>
      <c r="AE100" s="102"/>
      <c r="AF100" s="102"/>
      <c r="AG100" s="102"/>
      <c r="AH100" s="102"/>
      <c r="AI100" s="81"/>
      <c r="AJ100" s="81"/>
      <c r="AK100" s="81" t="s">
        <v>2425</v>
      </c>
      <c r="AL100" s="79"/>
    </row>
    <row r="101" ht="22.5" customHeight="1">
      <c r="A101" s="79">
        <v>10099.0</v>
      </c>
      <c r="B101" s="79" t="s">
        <v>1230</v>
      </c>
      <c r="C101" s="79" t="s">
        <v>238</v>
      </c>
      <c r="D101" s="79" t="s">
        <v>64</v>
      </c>
      <c r="E101" s="79" t="s">
        <v>1595</v>
      </c>
      <c r="F101" s="80" t="s">
        <v>2417</v>
      </c>
      <c r="G101" s="81"/>
      <c r="H101" s="79" t="s">
        <v>2373</v>
      </c>
      <c r="I101" s="80">
        <v>2000.0</v>
      </c>
      <c r="J101" s="81"/>
      <c r="K101" s="79" t="s">
        <v>111</v>
      </c>
      <c r="L101" s="80">
        <v>41.0</v>
      </c>
      <c r="M101" s="79" t="s">
        <v>2428</v>
      </c>
      <c r="N101" s="79" t="s">
        <v>2429</v>
      </c>
      <c r="O101" s="79" t="s">
        <v>2431</v>
      </c>
      <c r="P101" s="79">
        <v>2012.0</v>
      </c>
      <c r="Q101" s="81" t="s">
        <v>2433</v>
      </c>
      <c r="R101" s="86" t="str">
        <f>HYPERLINK("http://valuesandframes.org/initiative/nature/","http://valuesandframes.org/initiative/nature/")</f>
        <v>http://valuesandframes.org/initiative/nature/</v>
      </c>
      <c r="S101" s="81"/>
      <c r="T101" s="81" t="s">
        <v>2437</v>
      </c>
      <c r="U101" s="81" t="s">
        <v>2438</v>
      </c>
      <c r="V101" s="81"/>
      <c r="W101" s="81"/>
      <c r="X101" s="81"/>
      <c r="Y101" s="81"/>
      <c r="Z101" s="81"/>
      <c r="AA101" s="81"/>
      <c r="AB101" s="81"/>
      <c r="AC101" s="81"/>
      <c r="AD101" s="81"/>
      <c r="AE101" s="81"/>
      <c r="AF101" s="81"/>
      <c r="AG101" s="81"/>
      <c r="AH101" s="81"/>
      <c r="AI101" s="81"/>
      <c r="AJ101" s="81" t="s">
        <v>2439</v>
      </c>
      <c r="AK101" s="81"/>
      <c r="AL101" s="79"/>
    </row>
    <row r="102" ht="22.5" customHeight="1">
      <c r="A102" s="79">
        <v>10100.0</v>
      </c>
      <c r="B102" s="79" t="s">
        <v>1230</v>
      </c>
      <c r="C102" s="79" t="s">
        <v>238</v>
      </c>
      <c r="D102" s="79" t="s">
        <v>64</v>
      </c>
      <c r="E102" s="79" t="s">
        <v>1595</v>
      </c>
      <c r="F102" s="80" t="s">
        <v>2417</v>
      </c>
      <c r="G102" s="81"/>
      <c r="H102" s="79" t="s">
        <v>578</v>
      </c>
      <c r="I102" s="80">
        <v>2000.0</v>
      </c>
      <c r="J102" s="81"/>
      <c r="K102" s="79" t="s">
        <v>289</v>
      </c>
      <c r="L102" s="80">
        <v>40.0</v>
      </c>
      <c r="M102" s="79" t="s">
        <v>2440</v>
      </c>
      <c r="N102" s="79" t="s">
        <v>2442</v>
      </c>
      <c r="O102" s="79" t="s">
        <v>2443</v>
      </c>
      <c r="P102" s="83">
        <v>41746.0</v>
      </c>
      <c r="Q102" s="81" t="s">
        <v>2446</v>
      </c>
      <c r="R102" s="86" t="str">
        <f>HYPERLINK("http://greatergood.berkeley.edu/article/item/can_empathy_stop_climate_change","http://greatergood.berkeley.edu/article/item/can_empathy_stop_climate_change")</f>
        <v>http://greatergood.berkeley.edu/article/item/can_empathy_stop_climate_change</v>
      </c>
      <c r="S102" s="81"/>
      <c r="T102" s="81" t="s">
        <v>462</v>
      </c>
      <c r="U102" s="81" t="s">
        <v>462</v>
      </c>
      <c r="V102" s="81"/>
      <c r="W102" s="81" t="s">
        <v>600</v>
      </c>
      <c r="X102" s="81" t="s">
        <v>2450</v>
      </c>
      <c r="Y102" s="88">
        <v>42437.0</v>
      </c>
      <c r="Z102" s="88"/>
      <c r="AA102" s="81" t="s">
        <v>561</v>
      </c>
      <c r="AB102" s="81"/>
      <c r="AC102" s="88">
        <v>42424.0</v>
      </c>
      <c r="AD102" s="81"/>
      <c r="AE102" s="81"/>
      <c r="AF102" s="81"/>
      <c r="AG102" s="81"/>
      <c r="AH102" s="81"/>
      <c r="AI102" s="81"/>
      <c r="AJ102" s="81"/>
      <c r="AK102" s="81"/>
      <c r="AL102" s="79"/>
    </row>
    <row r="103" ht="22.5" customHeight="1">
      <c r="A103" s="79">
        <v>10101.0</v>
      </c>
      <c r="B103" s="79" t="s">
        <v>1230</v>
      </c>
      <c r="C103" s="79" t="s">
        <v>238</v>
      </c>
      <c r="D103" s="79" t="s">
        <v>64</v>
      </c>
      <c r="E103" s="79" t="s">
        <v>2452</v>
      </c>
      <c r="F103" s="80" t="s">
        <v>2453</v>
      </c>
      <c r="G103" s="81"/>
      <c r="H103" s="79" t="s">
        <v>644</v>
      </c>
      <c r="I103" s="80">
        <v>2000.0</v>
      </c>
      <c r="J103" s="81"/>
      <c r="K103" s="79" t="s">
        <v>289</v>
      </c>
      <c r="L103" s="80">
        <v>40.0</v>
      </c>
      <c r="M103" s="79"/>
      <c r="N103" s="86" t="str">
        <f>HYPERLINK("http://www.vox.com/users/Lisa%20Bennett"," Lisa Bennett")</f>
        <v> Lisa Bennett</v>
      </c>
      <c r="O103" s="79" t="s">
        <v>1265</v>
      </c>
      <c r="P103" s="83">
        <v>42169.0</v>
      </c>
      <c r="Q103" s="81"/>
      <c r="R103" s="86" t="str">
        <f>HYPERLINK("http://www.vox.com/2015/6/14/8767823/psychology-global-warming","http://www.vox.com/2015/6/14/8767823/psychology-global-warming")</f>
        <v>http://www.vox.com/2015/6/14/8767823/psychology-global-warming</v>
      </c>
      <c r="S103" s="81"/>
      <c r="T103" s="81" t="s">
        <v>462</v>
      </c>
      <c r="U103" s="81" t="s">
        <v>462</v>
      </c>
      <c r="V103" s="81" t="s">
        <v>915</v>
      </c>
      <c r="W103" s="81" t="s">
        <v>769</v>
      </c>
      <c r="X103" s="81" t="s">
        <v>2467</v>
      </c>
      <c r="Y103" s="88">
        <v>42184.0</v>
      </c>
      <c r="Z103" s="88">
        <v>42571.0</v>
      </c>
      <c r="AA103" s="81" t="s">
        <v>769</v>
      </c>
      <c r="AB103" s="81"/>
      <c r="AC103" s="88">
        <v>42197.0</v>
      </c>
      <c r="AD103" s="81"/>
      <c r="AE103" s="81"/>
      <c r="AF103" s="81"/>
      <c r="AG103" s="81"/>
      <c r="AH103" s="81"/>
      <c r="AI103" s="81" t="s">
        <v>428</v>
      </c>
      <c r="AJ103" s="81"/>
      <c r="AK103" s="81"/>
      <c r="AL103" s="79"/>
    </row>
    <row r="104" ht="22.5" customHeight="1">
      <c r="A104" s="79">
        <v>10102.0</v>
      </c>
      <c r="B104" s="79" t="s">
        <v>1230</v>
      </c>
      <c r="C104" s="79" t="s">
        <v>238</v>
      </c>
      <c r="D104" s="79" t="s">
        <v>64</v>
      </c>
      <c r="E104" s="79" t="s">
        <v>2471</v>
      </c>
      <c r="F104" s="80" t="s">
        <v>2472</v>
      </c>
      <c r="G104" s="81"/>
      <c r="H104" s="79" t="s">
        <v>644</v>
      </c>
      <c r="I104" s="80">
        <v>2000.0</v>
      </c>
      <c r="J104" s="81"/>
      <c r="K104" s="79" t="s">
        <v>289</v>
      </c>
      <c r="L104" s="80">
        <v>40.0</v>
      </c>
      <c r="M104" s="79" t="s">
        <v>2474</v>
      </c>
      <c r="N104" s="79" t="s">
        <v>1584</v>
      </c>
      <c r="O104" s="79" t="s">
        <v>2475</v>
      </c>
      <c r="P104" s="83">
        <v>41025.0</v>
      </c>
      <c r="Q104" s="81" t="s">
        <v>2476</v>
      </c>
      <c r="R104" s="86" t="str">
        <f>HYPERLINK("http://www.yaleclimateconnections.org/2012/04/communicating-climate-change-in-a-national-park/","http://www.yaleclimateconnections.org/2012/04/communicating-climate-change-in-a-national-park/")</f>
        <v>http://www.yaleclimateconnections.org/2012/04/communicating-climate-change-in-a-national-park/</v>
      </c>
      <c r="S104" s="81"/>
      <c r="T104" s="81" t="s">
        <v>2477</v>
      </c>
      <c r="U104" s="81" t="s">
        <v>2478</v>
      </c>
      <c r="V104" s="81"/>
      <c r="W104" s="81" t="s">
        <v>769</v>
      </c>
      <c r="X104" s="81" t="s">
        <v>2481</v>
      </c>
      <c r="Y104" s="88">
        <v>42317.0</v>
      </c>
      <c r="Z104" s="88">
        <v>42536.0</v>
      </c>
      <c r="AA104" s="81"/>
      <c r="AB104" s="81"/>
      <c r="AC104" s="88"/>
      <c r="AD104" s="81"/>
      <c r="AE104" s="81"/>
      <c r="AF104" s="81"/>
      <c r="AG104" s="81"/>
      <c r="AH104" s="81"/>
      <c r="AI104" s="81"/>
      <c r="AJ104" s="81"/>
      <c r="AK104" s="81"/>
      <c r="AL104" s="79"/>
    </row>
    <row r="105" ht="22.5" customHeight="1">
      <c r="A105" s="79">
        <v>10103.0</v>
      </c>
      <c r="B105" s="79" t="s">
        <v>1230</v>
      </c>
      <c r="C105" s="79" t="s">
        <v>238</v>
      </c>
      <c r="D105" s="79" t="s">
        <v>64</v>
      </c>
      <c r="E105" s="79" t="s">
        <v>2484</v>
      </c>
      <c r="F105" s="80" t="s">
        <v>2485</v>
      </c>
      <c r="G105" s="81"/>
      <c r="H105" s="79" t="s">
        <v>644</v>
      </c>
      <c r="I105" s="80">
        <v>2000.0</v>
      </c>
      <c r="J105" s="81"/>
      <c r="K105" s="79" t="s">
        <v>289</v>
      </c>
      <c r="L105" s="80">
        <v>40.0</v>
      </c>
      <c r="M105" s="79" t="s">
        <v>2487</v>
      </c>
      <c r="N105" s="79" t="s">
        <v>2489</v>
      </c>
      <c r="O105" s="79" t="s">
        <v>2491</v>
      </c>
      <c r="P105" s="83">
        <v>41710.0</v>
      </c>
      <c r="Q105" s="81" t="s">
        <v>2493</v>
      </c>
      <c r="R105" s="86" t="str">
        <f>HYPERLINK("http://daily.sightline.org/2014/03/12/breaking-the-climate-fear-taboo/","http://daily.sightline.org/2014/03/12/breaking-the-climate-fear-taboo/")</f>
        <v>http://daily.sightline.org/2014/03/12/breaking-the-climate-fear-taboo/</v>
      </c>
      <c r="S105" s="81" t="s">
        <v>2494</v>
      </c>
      <c r="T105" s="81" t="s">
        <v>2495</v>
      </c>
      <c r="U105" s="81" t="s">
        <v>2495</v>
      </c>
      <c r="V105" s="81" t="s">
        <v>663</v>
      </c>
      <c r="W105" s="81" t="s">
        <v>769</v>
      </c>
      <c r="X105" s="81" t="s">
        <v>2497</v>
      </c>
      <c r="Y105" s="88">
        <v>42348.0</v>
      </c>
      <c r="Z105" s="88"/>
      <c r="AA105" s="81" t="s">
        <v>769</v>
      </c>
      <c r="AB105" s="81"/>
      <c r="AC105" s="88">
        <v>42359.0</v>
      </c>
      <c r="AD105" s="81"/>
      <c r="AE105" s="81"/>
      <c r="AF105" s="81"/>
      <c r="AG105" s="81"/>
      <c r="AH105" s="81"/>
      <c r="AI105" s="81"/>
      <c r="AJ105" s="81"/>
      <c r="AK105" s="81"/>
      <c r="AL105" s="79"/>
    </row>
    <row r="106" ht="22.5" customHeight="1">
      <c r="A106" s="79">
        <v>10104.0</v>
      </c>
      <c r="B106" s="79" t="s">
        <v>1230</v>
      </c>
      <c r="C106" s="79" t="s">
        <v>238</v>
      </c>
      <c r="D106" s="79" t="s">
        <v>64</v>
      </c>
      <c r="E106" s="79" t="s">
        <v>2500</v>
      </c>
      <c r="F106" s="80" t="s">
        <v>2502</v>
      </c>
      <c r="G106" s="81"/>
      <c r="H106" s="79" t="s">
        <v>1436</v>
      </c>
      <c r="I106" s="80">
        <v>7000.0</v>
      </c>
      <c r="J106" s="81"/>
      <c r="K106" s="79" t="s">
        <v>324</v>
      </c>
      <c r="L106" s="80" t="s">
        <v>325</v>
      </c>
      <c r="M106" s="79" t="s">
        <v>2505</v>
      </c>
      <c r="N106" s="79" t="s">
        <v>2507</v>
      </c>
      <c r="O106" s="79" t="s">
        <v>2508</v>
      </c>
      <c r="P106" s="83">
        <v>42153.0</v>
      </c>
      <c r="Q106" s="81" t="s">
        <v>2510</v>
      </c>
      <c r="R106" s="86" t="str">
        <f>HYPERLINK("http://conservationmagazine.org/2015/05/dont-eat-bugs-to-save-the-world-but-because-theyre-tasty/","http://conservationmagazine.org/2015/05/dont-eat-bugs-to-save-the-world-but-because-theyre-tasty/")</f>
        <v>http://conservationmagazine.org/2015/05/dont-eat-bugs-to-save-the-world-but-because-theyre-tasty/</v>
      </c>
      <c r="S106" s="81"/>
      <c r="T106" s="81" t="s">
        <v>462</v>
      </c>
      <c r="U106" s="81" t="s">
        <v>462</v>
      </c>
      <c r="V106" s="81"/>
      <c r="W106" s="81" t="s">
        <v>769</v>
      </c>
      <c r="X106" s="81" t="s">
        <v>2512</v>
      </c>
      <c r="Y106" s="88">
        <v>42165.0</v>
      </c>
      <c r="Z106" s="88">
        <v>42530.0</v>
      </c>
      <c r="AA106" s="81" t="s">
        <v>769</v>
      </c>
      <c r="AB106" s="81"/>
      <c r="AC106" s="88">
        <v>42165.0</v>
      </c>
      <c r="AD106" s="81" t="s">
        <v>1152</v>
      </c>
      <c r="AE106" s="81"/>
      <c r="AF106" s="81"/>
      <c r="AG106" s="81"/>
      <c r="AH106" s="81"/>
      <c r="AI106" s="81"/>
      <c r="AJ106" s="81"/>
      <c r="AK106" s="81"/>
      <c r="AL106" s="79"/>
    </row>
    <row r="107" ht="22.5" customHeight="1">
      <c r="A107" s="79">
        <v>10105.0</v>
      </c>
      <c r="B107" s="79" t="s">
        <v>1230</v>
      </c>
      <c r="C107" s="79" t="s">
        <v>238</v>
      </c>
      <c r="D107" s="79" t="s">
        <v>64</v>
      </c>
      <c r="E107" s="79" t="s">
        <v>2516</v>
      </c>
      <c r="F107" s="80" t="s">
        <v>2517</v>
      </c>
      <c r="G107" s="81"/>
      <c r="H107" s="79" t="s">
        <v>837</v>
      </c>
      <c r="I107" s="80">
        <v>2000.0</v>
      </c>
      <c r="J107" s="81"/>
      <c r="K107" s="79" t="s">
        <v>289</v>
      </c>
      <c r="L107" s="80">
        <v>40.0</v>
      </c>
      <c r="M107" s="79" t="s">
        <v>2522</v>
      </c>
      <c r="N107" s="79" t="s">
        <v>1654</v>
      </c>
      <c r="O107" s="79" t="s">
        <v>1281</v>
      </c>
      <c r="P107" s="83">
        <v>42098.0</v>
      </c>
      <c r="Q107" s="81" t="s">
        <v>2525</v>
      </c>
      <c r="R107" s="86" t="str">
        <f>HYPERLINK("http://www.theguardian.com/commentisfree/2015/apr/04/climate-change-campaigners-evangelism-religion-activism?CMP=share_btn_tw","http://www.theguardian.com/commentisfree/2015/apr/04/climate-change-campaigners-evangelism-religion-activism?CMP=share_btn_tw")</f>
        <v>http://www.theguardian.com/commentisfree/2015/apr/04/climate-change-campaigners-evangelism-religion-activism?CMP=share_btn_tw</v>
      </c>
      <c r="S107" s="81"/>
      <c r="T107" s="81" t="s">
        <v>2527</v>
      </c>
      <c r="U107" s="81" t="s">
        <v>2527</v>
      </c>
      <c r="V107" s="81" t="s">
        <v>1099</v>
      </c>
      <c r="W107" s="81" t="s">
        <v>600</v>
      </c>
      <c r="X107" s="81" t="s">
        <v>2531</v>
      </c>
      <c r="Y107" s="88">
        <v>42355.0</v>
      </c>
      <c r="Z107" s="88"/>
      <c r="AA107" s="81" t="s">
        <v>561</v>
      </c>
      <c r="AB107" s="81"/>
      <c r="AC107" s="88">
        <v>42374.0</v>
      </c>
      <c r="AD107" s="81" t="s">
        <v>1488</v>
      </c>
      <c r="AE107" s="81"/>
      <c r="AF107" s="81"/>
      <c r="AG107" s="81"/>
      <c r="AH107" s="81" t="s">
        <v>428</v>
      </c>
      <c r="AI107" s="81"/>
      <c r="AJ107" s="81"/>
      <c r="AK107" s="81"/>
      <c r="AL107" s="79"/>
    </row>
    <row r="108" ht="22.5" customHeight="1">
      <c r="A108" s="79">
        <v>10106.0</v>
      </c>
      <c r="B108" s="79" t="s">
        <v>1230</v>
      </c>
      <c r="C108" s="79" t="s">
        <v>238</v>
      </c>
      <c r="D108" s="79" t="s">
        <v>64</v>
      </c>
      <c r="E108" s="79" t="s">
        <v>1311</v>
      </c>
      <c r="F108" s="80" t="s">
        <v>2534</v>
      </c>
      <c r="G108" s="81"/>
      <c r="H108" s="79" t="s">
        <v>2535</v>
      </c>
      <c r="I108" s="80" t="s">
        <v>2537</v>
      </c>
      <c r="J108" s="81"/>
      <c r="K108" s="79" t="s">
        <v>289</v>
      </c>
      <c r="L108" s="80">
        <v>40.0</v>
      </c>
      <c r="M108" s="79" t="s">
        <v>2540</v>
      </c>
      <c r="N108" s="79" t="s">
        <v>2541</v>
      </c>
      <c r="O108" s="79" t="s">
        <v>2542</v>
      </c>
      <c r="P108" s="83">
        <v>41528.0</v>
      </c>
      <c r="Q108" s="81" t="s">
        <v>2544</v>
      </c>
      <c r="R108" s="86" t="str">
        <f>HYPERLINK("http://www.futurity.org/climate-policy-change-worries-farmers/?utm_source=Futurity+Today&amp;utm_campaign=b8bc7a0aa6-September_11_20139_11_2013&amp;utm_medium=email&amp;utm_term=0_e34e8ee443-b8bc7a0aa6-206307317","http://www.futurity.org/climate-policy-change-worries-farmers/?utm_source=Futurity+Today&amp;utm_campaign=b8bc7a0aa6-September_11_20139_11_2013&amp;utm_medium=email&amp;utm_term=0_e34e8ee443-b8bc7a0aa6-206307317")</f>
        <v>http://www.futurity.org/climate-policy-change-worries-farmers/?utm_source=Futurity+Today&amp;utm_campaign=b8bc7a0aa6-September_11_20139_11_2013&amp;utm_medium=email&amp;utm_term=0_e34e8ee443-b8bc7a0aa6-206307317</v>
      </c>
      <c r="S108" s="81"/>
      <c r="T108" s="81" t="s">
        <v>462</v>
      </c>
      <c r="U108" s="81" t="s">
        <v>428</v>
      </c>
      <c r="V108" s="81"/>
      <c r="W108" s="81" t="s">
        <v>769</v>
      </c>
      <c r="X108" s="81" t="s">
        <v>2547</v>
      </c>
      <c r="Y108" s="88">
        <v>42191.0</v>
      </c>
      <c r="Z108" s="88">
        <v>42520.0</v>
      </c>
      <c r="AA108" s="81"/>
      <c r="AB108" s="81"/>
      <c r="AC108" s="81"/>
      <c r="AD108" s="81"/>
      <c r="AE108" s="81"/>
      <c r="AF108" s="81"/>
      <c r="AG108" s="81"/>
      <c r="AH108" s="81"/>
      <c r="AI108" s="81"/>
      <c r="AJ108" s="81"/>
      <c r="AK108" s="81"/>
      <c r="AL108" s="79"/>
    </row>
    <row r="109" ht="22.5" customHeight="1">
      <c r="A109" s="79">
        <v>10107.0</v>
      </c>
      <c r="B109" s="79" t="s">
        <v>1230</v>
      </c>
      <c r="C109" s="79" t="s">
        <v>238</v>
      </c>
      <c r="D109" s="79" t="s">
        <v>64</v>
      </c>
      <c r="E109" s="79" t="s">
        <v>2548</v>
      </c>
      <c r="F109" s="80" t="s">
        <v>2549</v>
      </c>
      <c r="G109" s="81"/>
      <c r="H109" s="79" t="s">
        <v>169</v>
      </c>
      <c r="I109" s="80">
        <v>20000.0</v>
      </c>
      <c r="J109" s="81"/>
      <c r="K109" s="79" t="s">
        <v>289</v>
      </c>
      <c r="L109" s="80">
        <v>40.0</v>
      </c>
      <c r="M109" s="79" t="s">
        <v>2551</v>
      </c>
      <c r="N109" s="79" t="s">
        <v>2552</v>
      </c>
      <c r="O109" s="79" t="s">
        <v>2553</v>
      </c>
      <c r="P109" s="83">
        <v>41709.0</v>
      </c>
      <c r="Q109" s="81" t="s">
        <v>2554</v>
      </c>
      <c r="R109" s="86" t="str">
        <f>HYPERLINK("http://blogs.ei.columbia.edu/2014/03/11/using-fuel-economy-labels-to-help-consumers-save-money-and-the-environment/","http://blogs.ei.columbia.edu/2014/03/11/using-fuel-economy-labels-to-help-consumers-save-money-and-the-environment/")</f>
        <v>http://blogs.ei.columbia.edu/2014/03/11/using-fuel-economy-labels-to-help-consumers-save-money-and-the-environment/</v>
      </c>
      <c r="S109" s="81"/>
      <c r="T109" s="81" t="s">
        <v>462</v>
      </c>
      <c r="U109" s="81" t="s">
        <v>462</v>
      </c>
      <c r="V109" s="81" t="s">
        <v>676</v>
      </c>
      <c r="W109" s="81" t="s">
        <v>769</v>
      </c>
      <c r="X109" s="81" t="s">
        <v>2559</v>
      </c>
      <c r="Y109" s="88">
        <v>41732.0</v>
      </c>
      <c r="Z109" s="88">
        <v>42556.0</v>
      </c>
      <c r="AA109" s="81" t="s">
        <v>530</v>
      </c>
      <c r="AB109" s="81"/>
      <c r="AC109" s="88"/>
      <c r="AD109" s="81"/>
      <c r="AE109" s="81"/>
      <c r="AF109" s="81"/>
      <c r="AG109" s="81"/>
      <c r="AH109" s="81"/>
      <c r="AI109" s="81"/>
      <c r="AJ109" s="81"/>
      <c r="AK109" s="81" t="s">
        <v>2561</v>
      </c>
      <c r="AL109" s="79"/>
    </row>
    <row r="110" ht="22.5" customHeight="1">
      <c r="A110" s="79">
        <v>10108.0</v>
      </c>
      <c r="B110" s="79" t="s">
        <v>1230</v>
      </c>
      <c r="C110" s="79" t="s">
        <v>238</v>
      </c>
      <c r="D110" s="79" t="s">
        <v>64</v>
      </c>
      <c r="E110" s="79" t="s">
        <v>2563</v>
      </c>
      <c r="F110" s="80" t="s">
        <v>2565</v>
      </c>
      <c r="G110" s="81"/>
      <c r="H110" s="79" t="s">
        <v>837</v>
      </c>
      <c r="I110" s="80">
        <v>2000.0</v>
      </c>
      <c r="J110" s="81"/>
      <c r="K110" s="79" t="s">
        <v>289</v>
      </c>
      <c r="L110" s="80">
        <v>40.0</v>
      </c>
      <c r="M110" s="79" t="s">
        <v>2567</v>
      </c>
      <c r="N110" s="79" t="s">
        <v>2568</v>
      </c>
      <c r="O110" s="79" t="s">
        <v>2569</v>
      </c>
      <c r="P110" s="83">
        <v>41989.0</v>
      </c>
      <c r="Q110" s="81" t="s">
        <v>2570</v>
      </c>
      <c r="R110" s="86" t="str">
        <f>HYPERLINK("http://www.greenbiz.com/article/need-talk-climate-denier-heres-how","http://www.greenbiz.com/article/need-talk-climate-denier-heres-how")</f>
        <v>http://www.greenbiz.com/article/need-talk-climate-denier-heres-how</v>
      </c>
      <c r="S110" s="81" t="s">
        <v>2574</v>
      </c>
      <c r="T110" s="81" t="s">
        <v>462</v>
      </c>
      <c r="U110" s="81" t="s">
        <v>462</v>
      </c>
      <c r="V110" s="81" t="s">
        <v>1474</v>
      </c>
      <c r="W110" s="81" t="s">
        <v>769</v>
      </c>
      <c r="X110" s="81"/>
      <c r="Y110" s="88"/>
      <c r="Z110" s="81"/>
      <c r="AA110" s="81"/>
      <c r="AB110" s="81"/>
      <c r="AC110" s="88"/>
      <c r="AD110" s="81" t="s">
        <v>1406</v>
      </c>
      <c r="AE110" s="81"/>
      <c r="AF110" s="81"/>
      <c r="AG110" s="81"/>
      <c r="AH110" s="81"/>
      <c r="AI110" s="81"/>
      <c r="AJ110" s="81"/>
      <c r="AK110" s="81"/>
      <c r="AL110" s="79"/>
    </row>
    <row r="111" ht="22.5" customHeight="1">
      <c r="A111" s="79">
        <v>10109.0</v>
      </c>
      <c r="B111" s="79" t="s">
        <v>1230</v>
      </c>
      <c r="C111" s="79" t="s">
        <v>238</v>
      </c>
      <c r="D111" s="79" t="s">
        <v>64</v>
      </c>
      <c r="E111" s="79" t="s">
        <v>2577</v>
      </c>
      <c r="F111" s="80" t="s">
        <v>2578</v>
      </c>
      <c r="G111" s="81"/>
      <c r="H111" s="79" t="s">
        <v>1114</v>
      </c>
      <c r="I111" s="80">
        <v>2000.0</v>
      </c>
      <c r="J111" s="81"/>
      <c r="K111" s="79" t="s">
        <v>289</v>
      </c>
      <c r="L111" s="80">
        <v>40.0</v>
      </c>
      <c r="M111" s="79" t="s">
        <v>2579</v>
      </c>
      <c r="N111" s="79" t="s">
        <v>2580</v>
      </c>
      <c r="O111" s="79" t="s">
        <v>2245</v>
      </c>
      <c r="P111" s="83">
        <v>41799.0</v>
      </c>
      <c r="Q111" s="81" t="s">
        <v>2581</v>
      </c>
      <c r="R111" s="86" t="str">
        <f>HYPERLINK("http://www.wired.com/2014/06/energy-and-human-behavior/","http://www.wired.com/2014/06/energy-and-human-behavior/")</f>
        <v>http://www.wired.com/2014/06/energy-and-human-behavior/</v>
      </c>
      <c r="S111" s="81"/>
      <c r="T111" s="81" t="s">
        <v>462</v>
      </c>
      <c r="U111" s="81" t="s">
        <v>462</v>
      </c>
      <c r="V111" s="81" t="s">
        <v>676</v>
      </c>
      <c r="W111" s="81" t="s">
        <v>769</v>
      </c>
      <c r="X111" s="81"/>
      <c r="Y111" s="88"/>
      <c r="Z111" s="81"/>
      <c r="AA111" s="81" t="s">
        <v>769</v>
      </c>
      <c r="AB111" s="81"/>
      <c r="AC111" s="88">
        <v>42032.0</v>
      </c>
      <c r="AD111" s="81"/>
      <c r="AE111" s="81"/>
      <c r="AF111" s="81"/>
      <c r="AG111" s="81"/>
      <c r="AH111" s="81"/>
      <c r="AI111" s="81"/>
      <c r="AJ111" s="81"/>
      <c r="AK111" s="81"/>
      <c r="AL111" s="79"/>
    </row>
    <row r="112" ht="22.5" customHeight="1">
      <c r="A112" s="79">
        <v>10110.0</v>
      </c>
      <c r="B112" s="79" t="s">
        <v>1230</v>
      </c>
      <c r="C112" s="79" t="s">
        <v>238</v>
      </c>
      <c r="D112" s="79" t="s">
        <v>64</v>
      </c>
      <c r="E112" s="79" t="s">
        <v>2586</v>
      </c>
      <c r="F112" s="80" t="s">
        <v>2587</v>
      </c>
      <c r="G112" s="81"/>
      <c r="H112" s="79" t="s">
        <v>578</v>
      </c>
      <c r="I112" s="80">
        <v>2000.0</v>
      </c>
      <c r="J112" s="81"/>
      <c r="K112" s="79" t="s">
        <v>324</v>
      </c>
      <c r="L112" s="80" t="s">
        <v>325</v>
      </c>
      <c r="M112" s="94" t="s">
        <v>2589</v>
      </c>
      <c r="N112" s="79" t="s">
        <v>2442</v>
      </c>
      <c r="O112" s="79" t="s">
        <v>1265</v>
      </c>
      <c r="P112" s="83">
        <v>42165.0</v>
      </c>
      <c r="Q112" s="81" t="s">
        <v>2590</v>
      </c>
      <c r="R112" s="86" t="str">
        <f>HYPERLINK("http://grist.org/climate-energy/10-things-you-want-to-know-about-human-nature-if-youre-fighting-climate-change/","http://grist.org/climate-energy/10-things-you-want-to-know-about-human-nature-if-youre-fighting-climate-change/")</f>
        <v>http://grist.org/climate-energy/10-things-you-want-to-know-about-human-nature-if-youre-fighting-climate-change/</v>
      </c>
      <c r="S112" s="81"/>
      <c r="T112" s="81"/>
      <c r="U112" s="81"/>
      <c r="V112" s="81"/>
      <c r="W112" s="81" t="s">
        <v>769</v>
      </c>
      <c r="X112" s="81" t="s">
        <v>2593</v>
      </c>
      <c r="Y112" s="88">
        <v>42702.0</v>
      </c>
      <c r="Z112" s="81"/>
      <c r="AA112" s="81"/>
      <c r="AB112" s="81"/>
      <c r="AC112" s="81"/>
      <c r="AD112" s="81"/>
      <c r="AE112" s="81"/>
      <c r="AF112" s="81"/>
      <c r="AG112" s="81"/>
      <c r="AH112" s="81"/>
      <c r="AI112" s="81" t="s">
        <v>428</v>
      </c>
      <c r="AJ112" s="81" t="s">
        <v>731</v>
      </c>
      <c r="AK112" s="81"/>
      <c r="AL112" s="79"/>
    </row>
    <row r="113" ht="22.5" customHeight="1">
      <c r="A113" s="79">
        <v>10111.0</v>
      </c>
      <c r="B113" s="79" t="s">
        <v>1230</v>
      </c>
      <c r="C113" s="79" t="s">
        <v>238</v>
      </c>
      <c r="D113" s="79" t="s">
        <v>64</v>
      </c>
      <c r="E113" s="79" t="s">
        <v>1956</v>
      </c>
      <c r="F113" s="80" t="s">
        <v>1957</v>
      </c>
      <c r="G113" s="81"/>
      <c r="H113" s="79" t="s">
        <v>644</v>
      </c>
      <c r="I113" s="80">
        <v>2000.0</v>
      </c>
      <c r="J113" s="81"/>
      <c r="K113" s="79" t="s">
        <v>289</v>
      </c>
      <c r="L113" s="80">
        <v>40.0</v>
      </c>
      <c r="M113" s="79" t="s">
        <v>1958</v>
      </c>
      <c r="N113" s="79" t="s">
        <v>1462</v>
      </c>
      <c r="O113" s="79" t="s">
        <v>1959</v>
      </c>
      <c r="P113" s="83">
        <v>42086.0</v>
      </c>
      <c r="Q113" s="81" t="s">
        <v>1510</v>
      </c>
      <c r="R113" s="86" t="str">
        <f>HYPERLINK("http://www.climateaccess.org/blog/7-ways-talk-about-climate-impacts-just-about-anyone-yes-even-republicans","http://www.climateaccess.org/blog/7-ways-talk-about-climate-impacts-just-about-anyone-yes-even-republicans")</f>
        <v>http://www.climateaccess.org/blog/7-ways-talk-about-climate-impacts-just-about-anyone-yes-even-republicans</v>
      </c>
      <c r="S113" s="81"/>
      <c r="T113" s="81" t="s">
        <v>462</v>
      </c>
      <c r="U113" s="81" t="s">
        <v>462</v>
      </c>
      <c r="V113" s="81"/>
      <c r="W113" s="81" t="s">
        <v>769</v>
      </c>
      <c r="X113" s="81" t="s">
        <v>1967</v>
      </c>
      <c r="Y113" s="88">
        <v>42137.0</v>
      </c>
      <c r="Z113" s="88">
        <v>42501.0</v>
      </c>
      <c r="AA113" s="81" t="s">
        <v>769</v>
      </c>
      <c r="AB113" s="81"/>
      <c r="AC113" s="88">
        <v>42164.0</v>
      </c>
      <c r="AD113" s="81"/>
      <c r="AE113" s="81"/>
      <c r="AF113" s="81"/>
      <c r="AG113" s="81"/>
      <c r="AH113" s="81"/>
      <c r="AI113" s="81"/>
      <c r="AJ113" s="81"/>
      <c r="AK113" s="79"/>
      <c r="AL113" s="79"/>
    </row>
    <row r="114" ht="22.5" customHeight="1">
      <c r="A114" s="79">
        <v>10112.0</v>
      </c>
      <c r="B114" s="79" t="s">
        <v>1230</v>
      </c>
      <c r="C114" s="79" t="s">
        <v>238</v>
      </c>
      <c r="D114" s="79" t="s">
        <v>64</v>
      </c>
      <c r="E114" s="79" t="s">
        <v>1956</v>
      </c>
      <c r="F114" s="80" t="s">
        <v>1957</v>
      </c>
      <c r="G114" s="81"/>
      <c r="H114" s="79" t="s">
        <v>224</v>
      </c>
      <c r="I114" s="80"/>
      <c r="J114" s="81"/>
      <c r="K114" s="79" t="s">
        <v>289</v>
      </c>
      <c r="L114" s="80">
        <v>40.0</v>
      </c>
      <c r="M114" s="80" t="s">
        <v>2603</v>
      </c>
      <c r="N114" s="79" t="s">
        <v>2604</v>
      </c>
      <c r="O114" s="79" t="s">
        <v>2605</v>
      </c>
      <c r="P114" s="83">
        <v>41044.0</v>
      </c>
      <c r="Q114" s="81" t="s">
        <v>2606</v>
      </c>
      <c r="R114" s="86" t="str">
        <f>HYPERLINK("https://moz.com/ugc/10-psychological-research-studies-to-help-you-tap-into-human-behavior-and-increase-conversions","https://moz.com/ugc/10-psychological-research-studies-to-help-you-tap-into-human-behavior-and-increase-conversions")</f>
        <v>https://moz.com/ugc/10-psychological-research-studies-to-help-you-tap-into-human-behavior-and-increase-conversions</v>
      </c>
      <c r="S114" s="81"/>
      <c r="T114" s="81" t="s">
        <v>428</v>
      </c>
      <c r="U114" s="81" t="s">
        <v>462</v>
      </c>
      <c r="V114" s="81"/>
      <c r="W114" s="81" t="s">
        <v>769</v>
      </c>
      <c r="X114" s="81" t="s">
        <v>2612</v>
      </c>
      <c r="Y114" s="88">
        <v>42333.0</v>
      </c>
      <c r="Z114" s="81"/>
      <c r="AA114" s="81"/>
      <c r="AB114" s="81"/>
      <c r="AC114" s="81"/>
      <c r="AD114" s="81"/>
      <c r="AE114" s="81"/>
      <c r="AF114" s="81"/>
      <c r="AG114" s="81"/>
      <c r="AH114" s="81"/>
      <c r="AI114" s="81"/>
      <c r="AJ114" s="81"/>
      <c r="AK114" s="79"/>
      <c r="AL114" s="79"/>
    </row>
    <row r="115" ht="22.5" customHeight="1">
      <c r="A115" s="79">
        <v>10113.0</v>
      </c>
      <c r="B115" s="79" t="s">
        <v>1230</v>
      </c>
      <c r="C115" s="79" t="s">
        <v>238</v>
      </c>
      <c r="D115" s="79" t="s">
        <v>64</v>
      </c>
      <c r="E115" s="79" t="s">
        <v>2613</v>
      </c>
      <c r="F115" s="80" t="s">
        <v>2614</v>
      </c>
      <c r="G115" s="81"/>
      <c r="H115" s="79" t="s">
        <v>1223</v>
      </c>
      <c r="I115" s="80">
        <v>3000.0</v>
      </c>
      <c r="J115" s="81"/>
      <c r="K115" s="79" t="s">
        <v>111</v>
      </c>
      <c r="L115" s="80">
        <v>41.0</v>
      </c>
      <c r="M115" s="79" t="s">
        <v>2615</v>
      </c>
      <c r="N115" s="79" t="s">
        <v>577</v>
      </c>
      <c r="O115" s="79" t="s">
        <v>2616</v>
      </c>
      <c r="P115" s="83">
        <v>41039.0</v>
      </c>
      <c r="Q115" s="81" t="s">
        <v>2617</v>
      </c>
      <c r="R115" s="86" t="str">
        <f>HYPERLINK("https://marketinggreen.wordpress.com/2012/05/10/how-to-grow-consumer-attachment-to-green-brands/","https://marketinggreen.wordpress.com/2012/05/10/how-to-grow-consumer-attachment-to-green-brands/")</f>
        <v>https://marketinggreen.wordpress.com/2012/05/10/how-to-grow-consumer-attachment-to-green-brands/</v>
      </c>
      <c r="S115" s="81"/>
      <c r="T115" s="81" t="s">
        <v>462</v>
      </c>
      <c r="U115" s="81" t="s">
        <v>462</v>
      </c>
      <c r="V115" s="81" t="s">
        <v>676</v>
      </c>
      <c r="W115" s="81" t="s">
        <v>769</v>
      </c>
      <c r="X115" s="81" t="s">
        <v>2626</v>
      </c>
      <c r="Y115" s="88">
        <v>42200.0</v>
      </c>
      <c r="Z115" s="81"/>
      <c r="AA115" s="81"/>
      <c r="AB115" s="81"/>
      <c r="AC115" s="88"/>
      <c r="AD115" s="81"/>
      <c r="AE115" s="81"/>
      <c r="AF115" s="81"/>
      <c r="AG115" s="81"/>
      <c r="AH115" s="81"/>
      <c r="AI115" s="81"/>
      <c r="AJ115" s="81"/>
      <c r="AK115" s="79"/>
      <c r="AL115" s="79"/>
    </row>
    <row r="116" ht="22.5" customHeight="1">
      <c r="A116" s="79">
        <v>10114.0</v>
      </c>
      <c r="B116" s="79" t="s">
        <v>1230</v>
      </c>
      <c r="C116" s="79" t="s">
        <v>238</v>
      </c>
      <c r="D116" s="79" t="s">
        <v>64</v>
      </c>
      <c r="E116" s="79" t="s">
        <v>2594</v>
      </c>
      <c r="F116" s="80" t="s">
        <v>2595</v>
      </c>
      <c r="G116" s="81"/>
      <c r="H116" s="79" t="s">
        <v>644</v>
      </c>
      <c r="I116" s="80">
        <v>2000.0</v>
      </c>
      <c r="J116" s="81"/>
      <c r="K116" s="79" t="s">
        <v>289</v>
      </c>
      <c r="L116" s="80">
        <v>40.0</v>
      </c>
      <c r="M116" s="94" t="s">
        <v>2596</v>
      </c>
      <c r="N116" s="79" t="s">
        <v>2132</v>
      </c>
      <c r="O116" s="79" t="s">
        <v>1550</v>
      </c>
      <c r="P116" s="83">
        <v>42445.0</v>
      </c>
      <c r="Q116" s="81" t="s">
        <v>2597</v>
      </c>
      <c r="R116" s="79" t="s">
        <v>2598</v>
      </c>
      <c r="S116" s="81"/>
      <c r="T116" s="81"/>
      <c r="U116" s="81"/>
      <c r="V116" s="81"/>
      <c r="W116" s="81" t="s">
        <v>428</v>
      </c>
      <c r="X116" s="81" t="s">
        <v>2599</v>
      </c>
      <c r="Y116" s="88">
        <v>42669.0</v>
      </c>
      <c r="Z116" s="81"/>
      <c r="AA116" s="81"/>
      <c r="AB116" s="81"/>
      <c r="AC116" s="81"/>
      <c r="AD116" s="81"/>
      <c r="AE116" s="81"/>
      <c r="AF116" s="81"/>
      <c r="AG116" s="81"/>
      <c r="AH116" s="81"/>
      <c r="AI116" s="81" t="s">
        <v>428</v>
      </c>
      <c r="AJ116" s="81"/>
      <c r="AK116" s="79"/>
      <c r="AL116" s="79"/>
    </row>
    <row r="117" ht="22.5" customHeight="1">
      <c r="A117" s="79">
        <v>10115.0</v>
      </c>
      <c r="B117" s="79" t="s">
        <v>1230</v>
      </c>
      <c r="C117" s="79" t="s">
        <v>238</v>
      </c>
      <c r="D117" s="79" t="s">
        <v>64</v>
      </c>
      <c r="E117" s="79" t="s">
        <v>2594</v>
      </c>
      <c r="F117" s="80" t="s">
        <v>2595</v>
      </c>
      <c r="G117" s="81"/>
      <c r="H117" s="79" t="s">
        <v>1882</v>
      </c>
      <c r="I117" s="80">
        <v>15000.0</v>
      </c>
      <c r="J117" s="81"/>
      <c r="K117" s="79" t="s">
        <v>289</v>
      </c>
      <c r="L117" s="80">
        <v>40.0</v>
      </c>
      <c r="M117" s="94" t="s">
        <v>2631</v>
      </c>
      <c r="N117" s="79" t="s">
        <v>2632</v>
      </c>
      <c r="O117" s="79" t="s">
        <v>2108</v>
      </c>
      <c r="P117" s="83">
        <v>42250.0</v>
      </c>
      <c r="Q117" s="81" t="s">
        <v>2633</v>
      </c>
      <c r="R117" s="86" t="str">
        <f>HYPERLINK("http://www.resource-media.org/building-support-for-coastal-resilience-top-5-tips/#.V09f__krLIU","http://www.resource-media.org/building-support-for-coastal-resilience-top-5-tips/#.V09f__krLIU")</f>
        <v>http://www.resource-media.org/building-support-for-coastal-resilience-top-5-tips/#.V09f__krLIU</v>
      </c>
      <c r="S117" s="81" t="s">
        <v>2639</v>
      </c>
      <c r="T117" s="81"/>
      <c r="U117" s="81"/>
      <c r="V117" s="81"/>
      <c r="W117" s="81" t="s">
        <v>769</v>
      </c>
      <c r="X117" s="81" t="s">
        <v>2640</v>
      </c>
      <c r="Y117" s="88">
        <v>42678.0</v>
      </c>
      <c r="Z117" s="81"/>
      <c r="AA117" s="81"/>
      <c r="AB117" s="81"/>
      <c r="AC117" s="81"/>
      <c r="AD117" s="81"/>
      <c r="AE117" s="81"/>
      <c r="AF117" s="81"/>
      <c r="AG117" s="81"/>
      <c r="AH117" s="81"/>
      <c r="AI117" s="81" t="s">
        <v>428</v>
      </c>
      <c r="AJ117" s="81"/>
      <c r="AK117" s="79"/>
      <c r="AL117" s="79"/>
    </row>
    <row r="118" ht="22.5" customHeight="1">
      <c r="A118" s="79">
        <v>10116.0</v>
      </c>
      <c r="B118" s="79" t="s">
        <v>1230</v>
      </c>
      <c r="C118" s="79" t="s">
        <v>238</v>
      </c>
      <c r="D118" s="79" t="s">
        <v>64</v>
      </c>
      <c r="E118" s="79" t="s">
        <v>972</v>
      </c>
      <c r="F118" s="80" t="s">
        <v>973</v>
      </c>
      <c r="G118" s="81"/>
      <c r="H118" s="79" t="s">
        <v>644</v>
      </c>
      <c r="I118" s="80">
        <v>2000.0</v>
      </c>
      <c r="J118" s="81"/>
      <c r="K118" s="79" t="s">
        <v>289</v>
      </c>
      <c r="L118" s="80">
        <v>40.0</v>
      </c>
      <c r="M118" s="79" t="s">
        <v>2641</v>
      </c>
      <c r="N118" s="79" t="s">
        <v>2642</v>
      </c>
      <c r="O118" s="79" t="s">
        <v>1281</v>
      </c>
      <c r="P118" s="83">
        <v>42174.0</v>
      </c>
      <c r="Q118" s="81" t="s">
        <v>2643</v>
      </c>
      <c r="R118" s="86" t="str">
        <f>HYPERLINK("http://www.theguardian.com/environment/2015/jun/19/peoples-climate-march-al-gore-leonardo-dicaprio-climate-change","http://www.theguardian.com/environment/2015/jun/19/peoples-climate-march-al-gore-leonardo-dicaprio-climate-change")</f>
        <v>http://www.theguardian.com/environment/2015/jun/19/peoples-climate-march-al-gore-leonardo-dicaprio-climate-change</v>
      </c>
      <c r="S118" s="81"/>
      <c r="T118" s="81" t="s">
        <v>2647</v>
      </c>
      <c r="U118" s="81" t="s">
        <v>2648</v>
      </c>
      <c r="V118" s="81"/>
      <c r="W118" s="81" t="s">
        <v>769</v>
      </c>
      <c r="X118" s="81" t="s">
        <v>2650</v>
      </c>
      <c r="Y118" s="88">
        <v>42317.0</v>
      </c>
      <c r="Z118" s="81"/>
      <c r="AA118" s="81" t="s">
        <v>769</v>
      </c>
      <c r="AB118" s="81"/>
      <c r="AC118" s="88"/>
      <c r="AD118" s="81"/>
      <c r="AE118" s="81"/>
      <c r="AF118" s="81"/>
      <c r="AG118" s="81"/>
      <c r="AH118" s="81"/>
      <c r="AI118" s="81"/>
      <c r="AJ118" s="81"/>
      <c r="AK118" s="79"/>
      <c r="AL118" s="79"/>
    </row>
    <row r="119" ht="22.5" customHeight="1">
      <c r="A119" s="79">
        <v>10117.0</v>
      </c>
      <c r="B119" s="79" t="s">
        <v>1230</v>
      </c>
      <c r="C119" s="79" t="s">
        <v>238</v>
      </c>
      <c r="D119" s="79" t="s">
        <v>64</v>
      </c>
      <c r="E119" s="79" t="s">
        <v>2654</v>
      </c>
      <c r="F119" s="80" t="s">
        <v>2656</v>
      </c>
      <c r="G119" s="81"/>
      <c r="H119" s="79" t="s">
        <v>644</v>
      </c>
      <c r="I119" s="80">
        <v>2000.0</v>
      </c>
      <c r="J119" s="81"/>
      <c r="K119" s="79" t="s">
        <v>111</v>
      </c>
      <c r="L119" s="80">
        <v>41.0</v>
      </c>
      <c r="M119" s="94" t="s">
        <v>2657</v>
      </c>
      <c r="N119" s="79" t="s">
        <v>2658</v>
      </c>
      <c r="O119" s="79" t="s">
        <v>2659</v>
      </c>
      <c r="P119" s="83">
        <v>41877.0</v>
      </c>
      <c r="Q119" s="81" t="s">
        <v>2660</v>
      </c>
      <c r="R119" s="86" t="str">
        <f>HYPERLINK("http://talkingclimate.org/5-strategies/","http://talkingclimate.org/5-strategies/")</f>
        <v>http://talkingclimate.org/5-strategies/</v>
      </c>
      <c r="S119" s="81"/>
      <c r="T119" s="81"/>
      <c r="U119" s="81"/>
      <c r="V119" s="81"/>
      <c r="W119" s="81" t="s">
        <v>769</v>
      </c>
      <c r="X119" s="81" t="s">
        <v>2668</v>
      </c>
      <c r="Y119" s="88">
        <v>42668.0</v>
      </c>
      <c r="Z119" s="81"/>
      <c r="AA119" s="81"/>
      <c r="AB119" s="81"/>
      <c r="AC119" s="81"/>
      <c r="AD119" s="81"/>
      <c r="AE119" s="81"/>
      <c r="AF119" s="81"/>
      <c r="AG119" s="81"/>
      <c r="AH119" s="81"/>
      <c r="AI119" s="81" t="s">
        <v>428</v>
      </c>
      <c r="AJ119" s="81" t="s">
        <v>2670</v>
      </c>
      <c r="AK119" s="79"/>
      <c r="AL119" s="79"/>
    </row>
    <row r="120" ht="22.5" customHeight="1">
      <c r="A120" s="79">
        <v>10118.0</v>
      </c>
      <c r="B120" s="79" t="s">
        <v>1230</v>
      </c>
      <c r="C120" s="79" t="s">
        <v>238</v>
      </c>
      <c r="D120" s="79" t="s">
        <v>64</v>
      </c>
      <c r="E120" s="79" t="s">
        <v>2672</v>
      </c>
      <c r="F120" s="80" t="s">
        <v>2673</v>
      </c>
      <c r="G120" s="81"/>
      <c r="H120" s="79" t="s">
        <v>644</v>
      </c>
      <c r="I120" s="80">
        <v>2000.0</v>
      </c>
      <c r="J120" s="81"/>
      <c r="K120" s="79" t="s">
        <v>111</v>
      </c>
      <c r="L120" s="80">
        <v>41.0</v>
      </c>
      <c r="M120" s="79" t="s">
        <v>2674</v>
      </c>
      <c r="N120" s="79" t="s">
        <v>1286</v>
      </c>
      <c r="O120" s="79" t="s">
        <v>1281</v>
      </c>
      <c r="P120" s="83">
        <v>42191.0</v>
      </c>
      <c r="Q120" s="81" t="s">
        <v>2675</v>
      </c>
      <c r="R120" s="86" t="str">
        <f>HYPERLINK("http://www.theguardian.com/sustainable-business/2015/jul/06/12-tools-for-communicating-climate-change-more-effectively?CMP=share_btn_tw","http://www.theguardian.com/sustainable-business/2015/jul/06/12-tools-for-communicating-climate-change-more-effectively?CMP=share_btn_tw")</f>
        <v>http://www.theguardian.com/sustainable-business/2015/jul/06/12-tools-for-communicating-climate-change-more-effectively?CMP=share_btn_tw</v>
      </c>
      <c r="S120" s="81"/>
      <c r="T120" s="81" t="s">
        <v>462</v>
      </c>
      <c r="U120" s="81" t="s">
        <v>462</v>
      </c>
      <c r="V120" s="81" t="s">
        <v>676</v>
      </c>
      <c r="W120" s="81" t="s">
        <v>600</v>
      </c>
      <c r="X120" s="81"/>
      <c r="Y120" s="88"/>
      <c r="Z120" s="93"/>
      <c r="AA120" s="81"/>
      <c r="AB120" s="81"/>
      <c r="AC120" s="88"/>
      <c r="AD120" s="81" t="s">
        <v>1842</v>
      </c>
      <c r="AE120" s="81"/>
      <c r="AF120" s="81"/>
      <c r="AG120" s="81"/>
      <c r="AH120" s="81"/>
      <c r="AI120" s="81"/>
      <c r="AJ120" s="81"/>
      <c r="AK120" s="79"/>
      <c r="AL120" s="79"/>
    </row>
    <row r="121" ht="22.5" customHeight="1">
      <c r="A121" s="79">
        <v>10119.0</v>
      </c>
      <c r="B121" s="79" t="s">
        <v>1230</v>
      </c>
      <c r="C121" s="79" t="s">
        <v>238</v>
      </c>
      <c r="D121" s="79" t="s">
        <v>64</v>
      </c>
      <c r="E121" s="79" t="s">
        <v>2680</v>
      </c>
      <c r="F121" s="80" t="s">
        <v>2681</v>
      </c>
      <c r="G121" s="81"/>
      <c r="H121" s="79" t="s">
        <v>224</v>
      </c>
      <c r="I121" s="80"/>
      <c r="J121" s="81"/>
      <c r="K121" s="79" t="s">
        <v>289</v>
      </c>
      <c r="L121" s="80">
        <v>40.0</v>
      </c>
      <c r="M121" s="79" t="s">
        <v>2684</v>
      </c>
      <c r="N121" s="79" t="s">
        <v>2686</v>
      </c>
      <c r="O121" s="79" t="s">
        <v>2687</v>
      </c>
      <c r="P121" s="83">
        <v>42251.0</v>
      </c>
      <c r="Q121" s="81"/>
      <c r="R121" s="86" t="str">
        <f>HYPERLINK("http://www.theemotionmachine.com/the-power-of-nudges-insights-on-how-to-influence-human-behavior","http://www.theemotionmachine.com/the-power-of-nudges-insights-on-how-to-influence-human-behavior")</f>
        <v>http://www.theemotionmachine.com/the-power-of-nudges-insights-on-how-to-influence-human-behavior</v>
      </c>
      <c r="S121" s="81"/>
      <c r="T121" s="81" t="s">
        <v>462</v>
      </c>
      <c r="U121" s="81" t="s">
        <v>462</v>
      </c>
      <c r="V121" s="81" t="s">
        <v>676</v>
      </c>
      <c r="W121" s="81" t="s">
        <v>769</v>
      </c>
      <c r="X121" s="81" t="s">
        <v>2693</v>
      </c>
      <c r="Y121" s="88">
        <v>42304.0</v>
      </c>
      <c r="Z121" s="81"/>
      <c r="AA121" s="81" t="s">
        <v>769</v>
      </c>
      <c r="AB121" s="81"/>
      <c r="AC121" s="88"/>
      <c r="AD121" s="81"/>
      <c r="AE121" s="88"/>
      <c r="AF121" s="81"/>
      <c r="AG121" s="81"/>
      <c r="AH121" s="81"/>
      <c r="AI121" s="81"/>
      <c r="AJ121" s="81"/>
      <c r="AK121" s="79"/>
      <c r="AL121" s="79"/>
    </row>
    <row r="122" ht="22.5" customHeight="1">
      <c r="A122" s="79">
        <v>10120.0</v>
      </c>
      <c r="B122" s="79" t="s">
        <v>1230</v>
      </c>
      <c r="C122" s="79" t="s">
        <v>238</v>
      </c>
      <c r="D122" s="79" t="s">
        <v>64</v>
      </c>
      <c r="E122" s="79" t="s">
        <v>2694</v>
      </c>
      <c r="F122" s="80" t="s">
        <v>2695</v>
      </c>
      <c r="G122" s="81"/>
      <c r="H122" s="79" t="s">
        <v>644</v>
      </c>
      <c r="I122" s="80">
        <v>2000.0</v>
      </c>
      <c r="J122" s="81"/>
      <c r="K122" s="79" t="s">
        <v>289</v>
      </c>
      <c r="L122" s="80">
        <v>40.0</v>
      </c>
      <c r="M122" s="79" t="s">
        <v>2697</v>
      </c>
      <c r="N122" s="79" t="s">
        <v>2699</v>
      </c>
      <c r="O122" s="79" t="s">
        <v>1754</v>
      </c>
      <c r="P122" s="83">
        <v>41520.0</v>
      </c>
      <c r="Q122" s="81" t="s">
        <v>2701</v>
      </c>
      <c r="R122" s="86" t="str">
        <f>HYPERLINK("http://www.huffingtonpost.com/hal-e-hershfield/to-change-environmental-behavior_b_3845707.html","http://www.huffingtonpost.com/hal-e-hershfield/to-change-environmental-behavior_b_3845707.html")</f>
        <v>http://www.huffingtonpost.com/hal-e-hershfield/to-change-environmental-behavior_b_3845707.html</v>
      </c>
      <c r="S122" s="81"/>
      <c r="T122" s="81" t="s">
        <v>1380</v>
      </c>
      <c r="U122" s="81" t="s">
        <v>1381</v>
      </c>
      <c r="V122" s="81"/>
      <c r="W122" s="81" t="s">
        <v>600</v>
      </c>
      <c r="X122" s="88" t="s">
        <v>2708</v>
      </c>
      <c r="Y122" s="88" t="s">
        <v>2709</v>
      </c>
      <c r="Z122" s="88" t="s">
        <v>2710</v>
      </c>
      <c r="AA122" s="81"/>
      <c r="AB122" s="81"/>
      <c r="AC122" s="81"/>
      <c r="AD122" s="81"/>
      <c r="AE122" s="81"/>
      <c r="AF122" s="81"/>
      <c r="AG122" s="81"/>
      <c r="AH122" s="81"/>
      <c r="AI122" s="81"/>
      <c r="AJ122" s="81"/>
      <c r="AK122" s="79"/>
      <c r="AL122" s="79"/>
    </row>
    <row r="123" ht="22.5" customHeight="1">
      <c r="A123" s="79">
        <v>10121.0</v>
      </c>
      <c r="B123" s="79" t="s">
        <v>1230</v>
      </c>
      <c r="C123" s="79" t="s">
        <v>238</v>
      </c>
      <c r="D123" s="79" t="s">
        <v>64</v>
      </c>
      <c r="E123" s="79" t="s">
        <v>2694</v>
      </c>
      <c r="F123" s="80" t="s">
        <v>2695</v>
      </c>
      <c r="G123" s="81"/>
      <c r="H123" s="79" t="s">
        <v>644</v>
      </c>
      <c r="I123" s="80">
        <v>2000.0</v>
      </c>
      <c r="J123" s="81"/>
      <c r="K123" s="79" t="s">
        <v>289</v>
      </c>
      <c r="L123" s="80">
        <v>40.0</v>
      </c>
      <c r="M123" s="86" t="str">
        <f>HYPERLINK("http://www.stern.nyu.edu/experience-stern/news-events/hershfield-climate-change","To Encourage Positive Environmental Outcomes, Emphasize a Long Future, Not Impending Doom")</f>
        <v>To Encourage Positive Environmental Outcomes, Emphasize a Long Future, Not Impending Doom</v>
      </c>
      <c r="N123" s="79" t="s">
        <v>2699</v>
      </c>
      <c r="O123" s="79" t="s">
        <v>2715</v>
      </c>
      <c r="P123" s="83">
        <v>41543.0</v>
      </c>
      <c r="Q123" s="81"/>
      <c r="R123" s="86" t="str">
        <f>HYPERLINK("http://www.stern.nyu.edu/experience-stern/news-events/hershfield-climate-change","http://www.stern.nyu.edu/experience-stern/news-events/hershfield-climate-change")</f>
        <v>http://www.stern.nyu.edu/experience-stern/news-events/hershfield-climate-change</v>
      </c>
      <c r="S123" s="81"/>
      <c r="T123" s="81" t="s">
        <v>1380</v>
      </c>
      <c r="U123" s="81" t="s">
        <v>1381</v>
      </c>
      <c r="V123" s="81"/>
      <c r="W123" s="81" t="s">
        <v>600</v>
      </c>
      <c r="X123" s="81"/>
      <c r="Y123" s="88"/>
      <c r="Z123" s="88"/>
      <c r="AA123" s="81"/>
      <c r="AB123" s="81"/>
      <c r="AC123" s="81"/>
      <c r="AD123" s="81"/>
      <c r="AE123" s="81"/>
      <c r="AF123" s="81"/>
      <c r="AG123" s="81"/>
      <c r="AH123" s="81"/>
      <c r="AI123" s="81"/>
      <c r="AJ123" s="81"/>
      <c r="AK123" s="79"/>
      <c r="AL123" s="79"/>
    </row>
    <row r="124" ht="22.5" customHeight="1">
      <c r="A124" s="79">
        <v>10122.0</v>
      </c>
      <c r="B124" s="79" t="s">
        <v>1230</v>
      </c>
      <c r="C124" s="79" t="s">
        <v>238</v>
      </c>
      <c r="D124" s="79" t="s">
        <v>64</v>
      </c>
      <c r="E124" s="79" t="s">
        <v>2694</v>
      </c>
      <c r="F124" s="80" t="s">
        <v>2695</v>
      </c>
      <c r="G124" s="81"/>
      <c r="H124" s="79" t="s">
        <v>837</v>
      </c>
      <c r="I124" s="80">
        <v>2000.0</v>
      </c>
      <c r="J124" s="81"/>
      <c r="K124" s="79" t="s">
        <v>111</v>
      </c>
      <c r="L124" s="80">
        <v>41.0</v>
      </c>
      <c r="M124" s="79" t="s">
        <v>2722</v>
      </c>
      <c r="N124" s="79" t="s">
        <v>2723</v>
      </c>
      <c r="O124" s="79" t="s">
        <v>2724</v>
      </c>
      <c r="P124" s="83">
        <v>42112.0</v>
      </c>
      <c r="Q124" s="81" t="s">
        <v>2725</v>
      </c>
      <c r="R124" s="86" t="str">
        <f>HYPERLINK("http://talkingclimate.org/bypass-the-hang-ups-with-the-preparation-frame/","http://talkingclimate.org/bypass-the-hang-ups-with-the-preparation-frame/")</f>
        <v>http://talkingclimate.org/bypass-the-hang-ups-with-the-preparation-frame/</v>
      </c>
      <c r="S124" s="81"/>
      <c r="T124" s="81" t="s">
        <v>462</v>
      </c>
      <c r="U124" s="81" t="s">
        <v>462</v>
      </c>
      <c r="V124" s="81" t="s">
        <v>1099</v>
      </c>
      <c r="W124" s="81" t="s">
        <v>769</v>
      </c>
      <c r="X124" s="81"/>
      <c r="Y124" s="88">
        <v>42185.0</v>
      </c>
      <c r="Z124" s="88"/>
      <c r="AA124" s="81"/>
      <c r="AB124" s="81"/>
      <c r="AC124" s="81"/>
      <c r="AD124" s="81"/>
      <c r="AE124" s="81"/>
      <c r="AF124" s="81"/>
      <c r="AG124" s="81"/>
      <c r="AH124" s="81"/>
      <c r="AI124" s="81"/>
      <c r="AJ124" s="81"/>
      <c r="AK124" s="79"/>
      <c r="AL124" s="79"/>
    </row>
    <row r="125" ht="22.5" customHeight="1">
      <c r="A125" s="79">
        <v>10123.0</v>
      </c>
      <c r="B125" s="79" t="s">
        <v>1230</v>
      </c>
      <c r="C125" s="79" t="s">
        <v>238</v>
      </c>
      <c r="D125" s="79" t="s">
        <v>64</v>
      </c>
      <c r="E125" s="79" t="s">
        <v>2694</v>
      </c>
      <c r="F125" s="80" t="s">
        <v>2695</v>
      </c>
      <c r="G125" s="81"/>
      <c r="H125" s="79" t="s">
        <v>1882</v>
      </c>
      <c r="I125" s="80">
        <v>15000.0</v>
      </c>
      <c r="J125" s="81"/>
      <c r="K125" s="79" t="s">
        <v>289</v>
      </c>
      <c r="L125" s="80">
        <v>40.0</v>
      </c>
      <c r="M125" s="79" t="s">
        <v>2734</v>
      </c>
      <c r="N125" s="79" t="s">
        <v>2735</v>
      </c>
      <c r="O125" s="79" t="s">
        <v>2736</v>
      </c>
      <c r="P125" s="83">
        <v>41442.0</v>
      </c>
      <c r="Q125" s="81"/>
      <c r="R125" s="86" t="str">
        <f>HYPERLINK("https://mlmlblog.wordpress.com/2013/06/17/beyond-the-obituaries-the-shinning-stars-of-conservation-work/","https://mlmlblog.wordpress.com/2013/06/17/beyond-the-obituaries-the-shinning-stars-of-conservation-work/")</f>
        <v>https://mlmlblog.wordpress.com/2013/06/17/beyond-the-obituaries-the-shinning-stars-of-conservation-work/</v>
      </c>
      <c r="S125" s="81"/>
      <c r="T125" s="81" t="s">
        <v>2738</v>
      </c>
      <c r="U125" s="81" t="s">
        <v>2740</v>
      </c>
      <c r="V125" s="81"/>
      <c r="W125" s="81" t="s">
        <v>600</v>
      </c>
      <c r="X125" s="81"/>
      <c r="Y125" s="81"/>
      <c r="Z125" s="81"/>
      <c r="AA125" s="81"/>
      <c r="AB125" s="81"/>
      <c r="AC125" s="81"/>
      <c r="AD125" s="81"/>
      <c r="AE125" s="81"/>
      <c r="AF125" s="81"/>
      <c r="AG125" s="81"/>
      <c r="AH125" s="81"/>
      <c r="AI125" s="81"/>
      <c r="AJ125" s="81"/>
      <c r="AK125" s="79"/>
      <c r="AL125" s="79"/>
    </row>
    <row r="126" ht="22.5" customHeight="1">
      <c r="A126" s="79">
        <v>10124.0</v>
      </c>
      <c r="B126" s="79" t="s">
        <v>1230</v>
      </c>
      <c r="C126" s="79" t="s">
        <v>238</v>
      </c>
      <c r="D126" s="79" t="s">
        <v>64</v>
      </c>
      <c r="E126" s="79" t="s">
        <v>2694</v>
      </c>
      <c r="F126" s="80" t="s">
        <v>2695</v>
      </c>
      <c r="G126" s="81"/>
      <c r="H126" s="79" t="s">
        <v>1882</v>
      </c>
      <c r="I126" s="80">
        <v>15000.0</v>
      </c>
      <c r="J126" s="81"/>
      <c r="K126" s="79" t="s">
        <v>324</v>
      </c>
      <c r="L126" s="80" t="s">
        <v>325</v>
      </c>
      <c r="M126" s="79" t="s">
        <v>2741</v>
      </c>
      <c r="N126" s="79" t="s">
        <v>2742</v>
      </c>
      <c r="O126" s="79" t="s">
        <v>2743</v>
      </c>
      <c r="P126" s="83">
        <v>41799.0</v>
      </c>
      <c r="Q126" s="81" t="s">
        <v>2744</v>
      </c>
      <c r="R126" s="86" t="str">
        <f>HYPERLINK("https://medium.com/@rdearborn/hey-environmentalists-lets-stop-being-so-depressing-c0d28bd7cad5","https://medium.com/@rdearborn/hey-environmentalists-lets-stop-being-so-depressing-c0d28bd7cad5")</f>
        <v>https://medium.com/@rdearborn/hey-environmentalists-lets-stop-being-so-depressing-c0d28bd7cad5</v>
      </c>
      <c r="S126" s="81"/>
      <c r="T126" s="81" t="s">
        <v>2738</v>
      </c>
      <c r="U126" s="81" t="s">
        <v>2740</v>
      </c>
      <c r="V126" s="81" t="s">
        <v>663</v>
      </c>
      <c r="W126" s="81" t="s">
        <v>769</v>
      </c>
      <c r="X126" s="81" t="s">
        <v>2747</v>
      </c>
      <c r="Y126" s="88">
        <v>42473.0</v>
      </c>
      <c r="Z126" s="81" t="s">
        <v>2747</v>
      </c>
      <c r="AA126" s="88" t="s">
        <v>769</v>
      </c>
      <c r="AB126" s="88"/>
      <c r="AC126" s="88">
        <v>42445.0</v>
      </c>
      <c r="AD126" s="81"/>
      <c r="AE126" s="81"/>
      <c r="AF126" s="81"/>
      <c r="AG126" s="81"/>
      <c r="AH126" s="81"/>
      <c r="AI126" s="81"/>
      <c r="AJ126" s="81"/>
      <c r="AK126" s="79"/>
      <c r="AL126" s="79"/>
    </row>
    <row r="127" ht="22.5" customHeight="1">
      <c r="A127" s="79">
        <v>10125.0</v>
      </c>
      <c r="B127" s="79" t="s">
        <v>1230</v>
      </c>
      <c r="C127" s="79" t="s">
        <v>238</v>
      </c>
      <c r="D127" s="79" t="s">
        <v>64</v>
      </c>
      <c r="E127" s="79" t="s">
        <v>1455</v>
      </c>
      <c r="F127" s="80" t="s">
        <v>1456</v>
      </c>
      <c r="G127" s="81"/>
      <c r="H127" s="79" t="s">
        <v>1114</v>
      </c>
      <c r="I127" s="80">
        <v>2000.0</v>
      </c>
      <c r="J127" s="81"/>
      <c r="K127" s="79" t="s">
        <v>324</v>
      </c>
      <c r="L127" s="80" t="s">
        <v>325</v>
      </c>
      <c r="M127" s="94" t="s">
        <v>1461</v>
      </c>
      <c r="N127" s="79" t="s">
        <v>1462</v>
      </c>
      <c r="O127" s="79" t="s">
        <v>1441</v>
      </c>
      <c r="P127" s="83">
        <v>42398.0</v>
      </c>
      <c r="Q127" s="81" t="s">
        <v>1465</v>
      </c>
      <c r="R127" s="86" t="str">
        <f>HYPERLINK("http://www.climateaccess.org/blog/using-new-economic-frames-drive-climate-action","http://www.climateaccess.org/blog/using-new-economic-frames-drive-climate-action")</f>
        <v>http://www.climateaccess.org/blog/using-new-economic-frames-drive-climate-action</v>
      </c>
      <c r="S127" s="81"/>
      <c r="T127" s="81"/>
      <c r="U127" s="81"/>
      <c r="V127" s="81"/>
      <c r="W127" s="81" t="s">
        <v>769</v>
      </c>
      <c r="X127" s="81" t="s">
        <v>1470</v>
      </c>
      <c r="Y127" s="88">
        <v>42712.0</v>
      </c>
      <c r="Z127" s="81"/>
      <c r="AA127" s="81"/>
      <c r="AB127" s="81"/>
      <c r="AC127" s="81"/>
      <c r="AD127" s="81"/>
      <c r="AE127" s="81"/>
      <c r="AF127" s="81"/>
      <c r="AG127" s="81"/>
      <c r="AH127" s="81"/>
      <c r="AI127" s="81" t="s">
        <v>428</v>
      </c>
      <c r="AJ127" s="81"/>
      <c r="AK127" s="79"/>
      <c r="AL127" s="79"/>
    </row>
    <row r="128" ht="22.5" customHeight="1">
      <c r="A128" s="79">
        <v>10126.0</v>
      </c>
      <c r="B128" s="79" t="s">
        <v>1230</v>
      </c>
      <c r="C128" s="79" t="s">
        <v>238</v>
      </c>
      <c r="D128" s="79" t="s">
        <v>64</v>
      </c>
      <c r="E128" s="79" t="s">
        <v>1455</v>
      </c>
      <c r="F128" s="80" t="s">
        <v>1456</v>
      </c>
      <c r="G128" s="81"/>
      <c r="H128" s="79" t="s">
        <v>837</v>
      </c>
      <c r="I128" s="80">
        <v>2000.0</v>
      </c>
      <c r="J128" s="81"/>
      <c r="K128" s="79" t="s">
        <v>289</v>
      </c>
      <c r="L128" s="80">
        <v>40.0</v>
      </c>
      <c r="M128" s="79" t="s">
        <v>2753</v>
      </c>
      <c r="N128" s="79" t="s">
        <v>2754</v>
      </c>
      <c r="O128" s="79" t="s">
        <v>1315</v>
      </c>
      <c r="P128" s="83">
        <v>42184.0</v>
      </c>
      <c r="Q128" s="81" t="s">
        <v>2756</v>
      </c>
      <c r="R128" s="86" t="str">
        <f>HYPERLINK("http://www.triplepundit.com/2015/06/pain-keeps-us-acting-climate-change/","http://www.triplepundit.com/2015/06/pain-keeps-us-acting-climate-change/")</f>
        <v>http://www.triplepundit.com/2015/06/pain-keeps-us-acting-climate-change/</v>
      </c>
      <c r="S128" s="81"/>
      <c r="T128" s="81" t="s">
        <v>462</v>
      </c>
      <c r="U128" s="81" t="s">
        <v>462</v>
      </c>
      <c r="V128" s="81" t="s">
        <v>676</v>
      </c>
      <c r="W128" s="81" t="s">
        <v>769</v>
      </c>
      <c r="X128" s="81" t="s">
        <v>2759</v>
      </c>
      <c r="Y128" s="88">
        <v>42208.0</v>
      </c>
      <c r="Z128" s="88">
        <v>42562.0</v>
      </c>
      <c r="AA128" s="81" t="s">
        <v>769</v>
      </c>
      <c r="AB128" s="81"/>
      <c r="AC128" s="88">
        <v>42228.0</v>
      </c>
      <c r="AD128" s="81"/>
      <c r="AE128" s="81"/>
      <c r="AF128" s="81"/>
      <c r="AG128" s="81"/>
      <c r="AH128" s="81"/>
      <c r="AI128" s="81"/>
      <c r="AJ128" s="81"/>
      <c r="AK128" s="79"/>
      <c r="AL128" s="79"/>
    </row>
    <row r="129" ht="22.5" customHeight="1">
      <c r="A129" s="79">
        <v>10127.0</v>
      </c>
      <c r="B129" s="79" t="s">
        <v>1230</v>
      </c>
      <c r="C129" s="79" t="s">
        <v>238</v>
      </c>
      <c r="D129" s="79" t="s">
        <v>64</v>
      </c>
      <c r="E129" s="79" t="s">
        <v>1455</v>
      </c>
      <c r="F129" s="80" t="s">
        <v>1456</v>
      </c>
      <c r="G129" s="81"/>
      <c r="H129" s="79" t="s">
        <v>644</v>
      </c>
      <c r="I129" s="80">
        <v>2000.0</v>
      </c>
      <c r="J129" s="81"/>
      <c r="K129" s="79" t="s">
        <v>687</v>
      </c>
      <c r="L129" s="80" t="s">
        <v>688</v>
      </c>
      <c r="M129" s="79" t="s">
        <v>2766</v>
      </c>
      <c r="N129" s="79" t="s">
        <v>2767</v>
      </c>
      <c r="O129" s="79" t="s">
        <v>1281</v>
      </c>
      <c r="P129" s="83">
        <v>42159.0</v>
      </c>
      <c r="Q129" s="81" t="s">
        <v>2768</v>
      </c>
      <c r="R129" s="86" t="str">
        <f>HYPERLINK("http://www.theguardian.com/sustainable-business/2015/jun/04/sufficiency-economy-karma-marketing-branding-business","http://www.theguardian.com/sustainable-business/2015/jun/04/sufficiency-economy-karma-marketing-branding-business")</f>
        <v>http://www.theguardian.com/sustainable-business/2015/jun/04/sufficiency-economy-karma-marketing-branding-business</v>
      </c>
      <c r="S129" s="81"/>
      <c r="T129" s="81" t="s">
        <v>462</v>
      </c>
      <c r="U129" s="81" t="s">
        <v>462</v>
      </c>
      <c r="V129" s="81" t="s">
        <v>676</v>
      </c>
      <c r="W129" s="81" t="s">
        <v>769</v>
      </c>
      <c r="X129" s="81" t="s">
        <v>2773</v>
      </c>
      <c r="Y129" s="88">
        <v>42214.0</v>
      </c>
      <c r="Z129" s="81"/>
      <c r="AA129" s="81"/>
      <c r="AB129" s="81"/>
      <c r="AC129" s="88"/>
      <c r="AD129" s="81"/>
      <c r="AE129" s="88"/>
      <c r="AF129" s="81"/>
      <c r="AG129" s="81"/>
      <c r="AH129" s="81"/>
      <c r="AI129" s="81"/>
      <c r="AJ129" s="81"/>
      <c r="AK129" s="81"/>
      <c r="AL129" s="79"/>
    </row>
    <row r="130" ht="22.5" customHeight="1">
      <c r="A130" s="79">
        <v>10128.0</v>
      </c>
      <c r="B130" s="79" t="s">
        <v>1230</v>
      </c>
      <c r="C130" s="79" t="s">
        <v>238</v>
      </c>
      <c r="D130" s="79" t="s">
        <v>64</v>
      </c>
      <c r="E130" s="79" t="s">
        <v>1476</v>
      </c>
      <c r="F130" s="80" t="s">
        <v>1477</v>
      </c>
      <c r="G130" s="81"/>
      <c r="H130" s="79" t="s">
        <v>644</v>
      </c>
      <c r="I130" s="80">
        <v>2000.0</v>
      </c>
      <c r="J130" s="81"/>
      <c r="K130" s="79" t="s">
        <v>111</v>
      </c>
      <c r="L130" s="80">
        <v>41.0</v>
      </c>
      <c r="M130" s="94" t="s">
        <v>2774</v>
      </c>
      <c r="N130" s="79" t="s">
        <v>1424</v>
      </c>
      <c r="O130" s="79" t="s">
        <v>1265</v>
      </c>
      <c r="P130" s="83">
        <v>42408.0</v>
      </c>
      <c r="Q130" s="81" t="s">
        <v>2775</v>
      </c>
      <c r="R130" s="86" t="str">
        <f>HYPERLINK("http://grist.org/climate-energy/7-smarter-ways-to-talk-about-climate-change/","http://grist.org/climate-energy/7-smarter-ways-to-talk-about-climate-change/")</f>
        <v>http://grist.org/climate-energy/7-smarter-ways-to-talk-about-climate-change/</v>
      </c>
      <c r="S130" s="81"/>
      <c r="T130" s="81"/>
      <c r="U130" s="81"/>
      <c r="V130" s="81"/>
      <c r="W130" s="81"/>
      <c r="X130" s="81"/>
      <c r="Y130" s="81"/>
      <c r="Z130" s="81"/>
      <c r="AA130" s="81"/>
      <c r="AB130" s="81"/>
      <c r="AC130" s="81"/>
      <c r="AD130" s="81"/>
      <c r="AE130" s="81"/>
      <c r="AF130" s="81"/>
      <c r="AG130" s="81"/>
      <c r="AH130" s="81"/>
      <c r="AI130" s="81" t="s">
        <v>428</v>
      </c>
      <c r="AJ130" s="81"/>
      <c r="AK130" s="81"/>
      <c r="AL130" s="79"/>
    </row>
    <row r="131" ht="22.5" customHeight="1">
      <c r="A131" s="79">
        <v>10129.0</v>
      </c>
      <c r="B131" s="79" t="s">
        <v>1230</v>
      </c>
      <c r="C131" s="79" t="s">
        <v>238</v>
      </c>
      <c r="D131" s="79" t="s">
        <v>64</v>
      </c>
      <c r="E131" s="79" t="s">
        <v>1476</v>
      </c>
      <c r="F131" s="80" t="s">
        <v>1477</v>
      </c>
      <c r="G131" s="81"/>
      <c r="H131" s="79" t="s">
        <v>644</v>
      </c>
      <c r="I131" s="80">
        <v>2000.0</v>
      </c>
      <c r="J131" s="81"/>
      <c r="K131" s="79" t="s">
        <v>289</v>
      </c>
      <c r="L131" s="80">
        <v>40.0</v>
      </c>
      <c r="M131" s="94" t="s">
        <v>1478</v>
      </c>
      <c r="N131" s="79" t="s">
        <v>1462</v>
      </c>
      <c r="O131" s="79" t="s">
        <v>1441</v>
      </c>
      <c r="P131" s="83">
        <v>42429.0</v>
      </c>
      <c r="Q131" s="81" t="s">
        <v>1481</v>
      </c>
      <c r="R131" s="86" t="str">
        <f>HYPERLINK("http://www.climateaccess.org/blog/what-you-need-know-about-changing-climate-conversation","http://www.climateaccess.org/blog/what-you-need-know-about-changing-climate-conversation")</f>
        <v>http://www.climateaccess.org/blog/what-you-need-know-about-changing-climate-conversation</v>
      </c>
      <c r="S131" s="81"/>
      <c r="T131" s="81"/>
      <c r="U131" s="81"/>
      <c r="V131" s="81"/>
      <c r="W131" s="81" t="s">
        <v>769</v>
      </c>
      <c r="X131" s="81" t="s">
        <v>1486</v>
      </c>
      <c r="Y131" s="88">
        <v>42662.0</v>
      </c>
      <c r="Z131" s="81"/>
      <c r="AA131" s="81"/>
      <c r="AB131" s="81"/>
      <c r="AC131" s="81"/>
      <c r="AD131" s="81"/>
      <c r="AE131" s="81"/>
      <c r="AF131" s="81"/>
      <c r="AG131" s="81"/>
      <c r="AH131" s="81"/>
      <c r="AI131" s="81" t="s">
        <v>428</v>
      </c>
      <c r="AJ131" s="81"/>
      <c r="AK131" s="81"/>
      <c r="AL131" s="79"/>
    </row>
    <row r="132" ht="22.5" customHeight="1">
      <c r="A132" s="79">
        <v>10130.0</v>
      </c>
      <c r="B132" s="79" t="s">
        <v>1230</v>
      </c>
      <c r="C132" s="79" t="s">
        <v>238</v>
      </c>
      <c r="D132" s="79" t="s">
        <v>64</v>
      </c>
      <c r="E132" s="79" t="s">
        <v>2782</v>
      </c>
      <c r="F132" s="80" t="s">
        <v>2783</v>
      </c>
      <c r="G132" s="81"/>
      <c r="H132" s="79" t="s">
        <v>224</v>
      </c>
      <c r="I132" s="80"/>
      <c r="J132" s="81"/>
      <c r="K132" s="79" t="s">
        <v>289</v>
      </c>
      <c r="L132" s="80">
        <v>40.0</v>
      </c>
      <c r="M132" s="79" t="s">
        <v>2784</v>
      </c>
      <c r="N132" s="79" t="s">
        <v>2785</v>
      </c>
      <c r="O132" s="79" t="s">
        <v>2786</v>
      </c>
      <c r="P132" s="83">
        <v>41961.0</v>
      </c>
      <c r="Q132" s="81" t="s">
        <v>2787</v>
      </c>
      <c r="R132" s="86" t="str">
        <f>HYPERLINK("http://www.forbes.com/sites/stevemeyer/2014/11/18/your-new-years-resolutions-will-fail-again-unless-you-do-this/","http://www.forbes.com/sites/stevemeyer/2014/11/18/your-new-years-resolutions-will-fail-again-unless-you-do-this/")</f>
        <v>http://www.forbes.com/sites/stevemeyer/2014/11/18/your-new-years-resolutions-will-fail-again-unless-you-do-this/</v>
      </c>
      <c r="S132" s="81"/>
      <c r="T132" s="81" t="s">
        <v>2788</v>
      </c>
      <c r="U132" s="81"/>
      <c r="V132" s="81"/>
      <c r="W132" s="81" t="s">
        <v>677</v>
      </c>
      <c r="X132" s="81"/>
      <c r="Y132" s="81"/>
      <c r="Z132" s="81"/>
      <c r="AA132" s="81"/>
      <c r="AB132" s="81"/>
      <c r="AC132" s="81"/>
      <c r="AD132" s="81"/>
      <c r="AE132" s="81"/>
      <c r="AF132" s="81"/>
      <c r="AG132" s="81"/>
      <c r="AH132" s="81"/>
      <c r="AI132" s="81"/>
      <c r="AJ132" s="81"/>
      <c r="AK132" s="81"/>
      <c r="AL132" s="79"/>
    </row>
    <row r="133" ht="22.5" customHeight="1">
      <c r="A133" s="79">
        <v>10131.0</v>
      </c>
      <c r="B133" s="79" t="s">
        <v>1230</v>
      </c>
      <c r="C133" s="79" t="s">
        <v>238</v>
      </c>
      <c r="D133" s="79" t="s">
        <v>64</v>
      </c>
      <c r="E133" s="79" t="s">
        <v>2782</v>
      </c>
      <c r="F133" s="80" t="s">
        <v>2783</v>
      </c>
      <c r="G133" s="81"/>
      <c r="H133" s="79" t="s">
        <v>224</v>
      </c>
      <c r="I133" s="80"/>
      <c r="J133" s="81"/>
      <c r="K133" s="79" t="s">
        <v>289</v>
      </c>
      <c r="L133" s="80">
        <v>40.0</v>
      </c>
      <c r="M133" s="79" t="s">
        <v>2792</v>
      </c>
      <c r="N133" s="79" t="s">
        <v>2793</v>
      </c>
      <c r="O133" s="79" t="s">
        <v>1571</v>
      </c>
      <c r="P133" s="83">
        <v>40199.0</v>
      </c>
      <c r="Q133" s="81" t="s">
        <v>2795</v>
      </c>
      <c r="R133" s="86" t="str">
        <f>HYPERLINK("https://www.psychologytoday.com/blog/dont-delay/201001/implementation-intentions-facilitate-action-control","https://www.psychologytoday.com/blog/dont-delay/201001/implementation-intentions-facilitate-action-control")</f>
        <v>https://www.psychologytoday.com/blog/dont-delay/201001/implementation-intentions-facilitate-action-control</v>
      </c>
      <c r="S133" s="81"/>
      <c r="T133" s="81" t="s">
        <v>2797</v>
      </c>
      <c r="U133" s="81" t="s">
        <v>2798</v>
      </c>
      <c r="V133" s="81"/>
      <c r="W133" s="81" t="s">
        <v>677</v>
      </c>
      <c r="X133" s="81"/>
      <c r="Y133" s="88"/>
      <c r="Z133" s="81"/>
      <c r="AA133" s="81"/>
      <c r="AB133" s="81"/>
      <c r="AC133" s="88"/>
      <c r="AD133" s="81"/>
      <c r="AE133" s="81"/>
      <c r="AF133" s="81"/>
      <c r="AG133" s="81"/>
      <c r="AH133" s="81"/>
      <c r="AI133" s="81"/>
      <c r="AJ133" s="81"/>
      <c r="AK133" s="81"/>
      <c r="AL133" s="79"/>
    </row>
    <row r="134" ht="22.5" customHeight="1">
      <c r="A134" s="79">
        <v>10132.0</v>
      </c>
      <c r="B134" s="79" t="s">
        <v>1230</v>
      </c>
      <c r="C134" s="79" t="s">
        <v>238</v>
      </c>
      <c r="D134" s="79" t="s">
        <v>64</v>
      </c>
      <c r="E134" s="79" t="s">
        <v>2800</v>
      </c>
      <c r="F134" s="80" t="s">
        <v>2801</v>
      </c>
      <c r="G134" s="81"/>
      <c r="H134" s="79" t="s">
        <v>837</v>
      </c>
      <c r="I134" s="80">
        <v>2000.0</v>
      </c>
      <c r="J134" s="81"/>
      <c r="K134" s="79" t="s">
        <v>289</v>
      </c>
      <c r="L134" s="80">
        <v>40.0</v>
      </c>
      <c r="M134" s="79" t="s">
        <v>2802</v>
      </c>
      <c r="N134" s="79" t="s">
        <v>2803</v>
      </c>
      <c r="O134" s="79" t="s">
        <v>2804</v>
      </c>
      <c r="P134" s="83">
        <v>41056.0</v>
      </c>
      <c r="Q134" s="81"/>
      <c r="R134" s="86" t="str">
        <f>HYPERLINK("http://content.usatoday.com/communities/sciencefair/post/2012/05/study-personality-split-climate-views-not-science-literacy/1#.VZBXRFJMUZx","http://content.usatoday.com/communities/sciencefair/post/2012/05/study-personality-split-climate-views-not-science-literacy/1#.VZBXRFJMUZx")</f>
        <v>http://content.usatoday.com/communities/sciencefair/post/2012/05/study-personality-split-climate-views-not-science-literacy/1#.VZBXRFJMUZx</v>
      </c>
      <c r="S134" s="81"/>
      <c r="T134" s="81" t="s">
        <v>842</v>
      </c>
      <c r="U134" s="81" t="s">
        <v>462</v>
      </c>
      <c r="V134" s="81"/>
      <c r="W134" s="81" t="s">
        <v>769</v>
      </c>
      <c r="X134" s="81" t="s">
        <v>2812</v>
      </c>
      <c r="Y134" s="88">
        <v>42332.0</v>
      </c>
      <c r="Z134" s="88">
        <v>42534.0</v>
      </c>
      <c r="AA134" s="81"/>
      <c r="AB134" s="81"/>
      <c r="AC134" s="88">
        <v>42494.0</v>
      </c>
      <c r="AD134" s="81"/>
      <c r="AE134" s="81"/>
      <c r="AF134" s="81"/>
      <c r="AG134" s="81"/>
      <c r="AH134" s="81"/>
      <c r="AI134" s="81"/>
      <c r="AJ134" s="81"/>
      <c r="AK134" s="81"/>
      <c r="AL134" s="79"/>
    </row>
    <row r="135" ht="22.5" customHeight="1">
      <c r="A135" s="79">
        <v>10133.0</v>
      </c>
      <c r="B135" s="79" t="s">
        <v>1230</v>
      </c>
      <c r="C135" s="79" t="s">
        <v>238</v>
      </c>
      <c r="D135" s="79" t="s">
        <v>64</v>
      </c>
      <c r="E135" s="79" t="s">
        <v>1666</v>
      </c>
      <c r="F135" s="80" t="s">
        <v>1667</v>
      </c>
      <c r="G135" s="81"/>
      <c r="H135" s="79" t="s">
        <v>1114</v>
      </c>
      <c r="I135" s="80">
        <v>2000.0</v>
      </c>
      <c r="J135" s="81"/>
      <c r="K135" s="79" t="s">
        <v>289</v>
      </c>
      <c r="L135" s="80">
        <v>40.0</v>
      </c>
      <c r="M135" s="94" t="s">
        <v>1669</v>
      </c>
      <c r="N135" s="79" t="s">
        <v>1670</v>
      </c>
      <c r="O135" s="79" t="s">
        <v>1627</v>
      </c>
      <c r="P135" s="83"/>
      <c r="Q135" s="81" t="s">
        <v>1671</v>
      </c>
      <c r="R135" s="86" t="str">
        <f>HYPERLINK("http://www.climateaccess.org/sites/default/files/TEA_Climate_Engagement_Principles.pdf","http://www.climateaccess.org/sites/default/files/TEA_Climate_Engagement_Principles.pdf")</f>
        <v>http://www.climateaccess.org/sites/default/files/TEA_Climate_Engagement_Principles.pdf</v>
      </c>
      <c r="S135" s="81"/>
      <c r="T135" s="81"/>
      <c r="U135" s="81"/>
      <c r="V135" s="81"/>
      <c r="W135" s="81" t="s">
        <v>769</v>
      </c>
      <c r="X135" s="81" t="s">
        <v>1679</v>
      </c>
      <c r="Y135" s="81"/>
      <c r="Z135" s="81"/>
      <c r="AA135" s="81"/>
      <c r="AB135" s="81"/>
      <c r="AC135" s="81"/>
      <c r="AD135" s="81"/>
      <c r="AE135" s="81"/>
      <c r="AF135" s="81"/>
      <c r="AG135" s="81"/>
      <c r="AH135" s="81"/>
      <c r="AI135" s="81" t="s">
        <v>428</v>
      </c>
      <c r="AJ135" s="81" t="s">
        <v>1680</v>
      </c>
      <c r="AK135" s="81"/>
      <c r="AL135" s="79"/>
    </row>
    <row r="136" ht="22.5" customHeight="1">
      <c r="A136" s="79">
        <v>10134.0</v>
      </c>
      <c r="B136" s="79" t="s">
        <v>1230</v>
      </c>
      <c r="C136" s="79" t="s">
        <v>238</v>
      </c>
      <c r="D136" s="79" t="s">
        <v>64</v>
      </c>
      <c r="E136" s="79" t="s">
        <v>1331</v>
      </c>
      <c r="F136" s="80" t="s">
        <v>1371</v>
      </c>
      <c r="G136" s="81"/>
      <c r="H136" s="79" t="s">
        <v>644</v>
      </c>
      <c r="I136" s="80">
        <v>2000.0</v>
      </c>
      <c r="J136" s="81"/>
      <c r="K136" s="79" t="s">
        <v>324</v>
      </c>
      <c r="L136" s="80" t="s">
        <v>325</v>
      </c>
      <c r="M136" s="79" t="s">
        <v>2822</v>
      </c>
      <c r="N136" s="79" t="s">
        <v>1286</v>
      </c>
      <c r="O136" s="79" t="s">
        <v>1281</v>
      </c>
      <c r="P136" s="83">
        <v>41975.0</v>
      </c>
      <c r="Q136" s="81" t="s">
        <v>2823</v>
      </c>
      <c r="R136" s="86" t="str">
        <f>HYPERLINK("http://www.theguardian.com/sustainable-business/behavioural-insights/2014/dec/02/science-wont-win-over-sceptics-climate-change","http://www.theguardian.com/sustainable-business/behavioural-insights/2014/dec/02/science-wont-win-over-sceptics-climate-change")</f>
        <v>http://www.theguardian.com/sustainable-business/behavioural-insights/2014/dec/02/science-wont-win-over-sceptics-climate-change</v>
      </c>
      <c r="S136" s="81"/>
      <c r="T136" s="81" t="s">
        <v>769</v>
      </c>
      <c r="U136" s="81" t="s">
        <v>530</v>
      </c>
      <c r="V136" s="81"/>
      <c r="W136" s="81" t="s">
        <v>1594</v>
      </c>
      <c r="X136" s="81" t="s">
        <v>2826</v>
      </c>
      <c r="Y136" s="88" t="s">
        <v>2827</v>
      </c>
      <c r="Z136" s="88"/>
      <c r="AA136" s="81" t="s">
        <v>769</v>
      </c>
      <c r="AB136" s="81"/>
      <c r="AC136" s="88" t="s">
        <v>2828</v>
      </c>
      <c r="AD136" s="81" t="s">
        <v>1406</v>
      </c>
      <c r="AE136" s="81"/>
      <c r="AF136" s="81"/>
      <c r="AG136" s="81"/>
      <c r="AH136" s="81" t="s">
        <v>428</v>
      </c>
      <c r="AI136" s="81"/>
      <c r="AJ136" s="81"/>
      <c r="AK136" s="81"/>
      <c r="AL136" s="79"/>
    </row>
    <row r="137" ht="22.5" customHeight="1">
      <c r="A137" s="79">
        <v>10135.0</v>
      </c>
      <c r="B137" s="79" t="s">
        <v>1230</v>
      </c>
      <c r="C137" s="79" t="s">
        <v>238</v>
      </c>
      <c r="D137" s="79" t="s">
        <v>64</v>
      </c>
      <c r="E137" s="79" t="s">
        <v>1331</v>
      </c>
      <c r="F137" s="80" t="s">
        <v>1371</v>
      </c>
      <c r="G137" s="81"/>
      <c r="H137" s="79" t="s">
        <v>644</v>
      </c>
      <c r="I137" s="80">
        <v>2000.0</v>
      </c>
      <c r="J137" s="81"/>
      <c r="K137" s="79" t="s">
        <v>111</v>
      </c>
      <c r="L137" s="80">
        <v>41.0</v>
      </c>
      <c r="M137" s="79" t="s">
        <v>1815</v>
      </c>
      <c r="N137" s="79" t="s">
        <v>1286</v>
      </c>
      <c r="O137" s="79" t="s">
        <v>1787</v>
      </c>
      <c r="P137" s="83">
        <v>42081.0</v>
      </c>
      <c r="Q137" s="81"/>
      <c r="R137" s="86" t="str">
        <f>HYPERLINK("http://www.climateoutreach.org.uk/engaging-the-public-on-drought-risks-stories-about-security/","http://www.climateoutreach.org.uk/engaging-the-public-on-drought-risks-stories-about-security/")</f>
        <v>http://www.climateoutreach.org.uk/engaging-the-public-on-drought-risks-stories-about-security/</v>
      </c>
      <c r="S137" s="81"/>
      <c r="T137" s="81" t="s">
        <v>462</v>
      </c>
      <c r="U137" s="81" t="s">
        <v>462</v>
      </c>
      <c r="V137" s="81" t="s">
        <v>978</v>
      </c>
      <c r="W137" s="81" t="s">
        <v>769</v>
      </c>
      <c r="X137" s="81"/>
      <c r="Y137" s="88">
        <v>42180.0</v>
      </c>
      <c r="Z137" s="81"/>
      <c r="AA137" s="81"/>
      <c r="AB137" s="81"/>
      <c r="AC137" s="88"/>
      <c r="AD137" s="81"/>
      <c r="AE137" s="81"/>
      <c r="AF137" s="81"/>
      <c r="AG137" s="81"/>
      <c r="AH137" s="81"/>
      <c r="AI137" s="81" t="s">
        <v>428</v>
      </c>
      <c r="AJ137" s="81"/>
      <c r="AK137" s="81"/>
      <c r="AL137" s="79"/>
    </row>
    <row r="138" ht="22.5" customHeight="1">
      <c r="A138" s="79">
        <v>10136.0</v>
      </c>
      <c r="B138" s="79" t="s">
        <v>1230</v>
      </c>
      <c r="C138" s="79" t="s">
        <v>238</v>
      </c>
      <c r="D138" s="79" t="s">
        <v>64</v>
      </c>
      <c r="E138" s="79" t="s">
        <v>1331</v>
      </c>
      <c r="F138" s="80" t="s">
        <v>1371</v>
      </c>
      <c r="G138" s="81"/>
      <c r="H138" s="79" t="s">
        <v>644</v>
      </c>
      <c r="I138" s="80">
        <v>2000.0</v>
      </c>
      <c r="J138" s="81"/>
      <c r="K138" s="79" t="s">
        <v>111</v>
      </c>
      <c r="L138" s="80">
        <v>41.0</v>
      </c>
      <c r="M138" s="94" t="s">
        <v>1833</v>
      </c>
      <c r="N138" s="79" t="s">
        <v>1286</v>
      </c>
      <c r="O138" s="79" t="s">
        <v>1787</v>
      </c>
      <c r="P138" s="83">
        <v>42453.0</v>
      </c>
      <c r="Q138" s="81" t="s">
        <v>1835</v>
      </c>
      <c r="R138" s="79" t="s">
        <v>1837</v>
      </c>
      <c r="S138" s="81"/>
      <c r="T138" s="81"/>
      <c r="U138" s="81"/>
      <c r="V138" s="81"/>
      <c r="W138" s="81" t="s">
        <v>769</v>
      </c>
      <c r="X138" s="81" t="s">
        <v>1838</v>
      </c>
      <c r="Y138" s="88">
        <v>42689.0</v>
      </c>
      <c r="Z138" s="81"/>
      <c r="AA138" s="81"/>
      <c r="AB138" s="81"/>
      <c r="AC138" s="81"/>
      <c r="AD138" s="81"/>
      <c r="AE138" s="81"/>
      <c r="AF138" s="81"/>
      <c r="AG138" s="81"/>
      <c r="AH138" s="81"/>
      <c r="AI138" s="81" t="s">
        <v>428</v>
      </c>
      <c r="AJ138" s="81"/>
      <c r="AK138" s="81"/>
      <c r="AL138" s="79"/>
    </row>
    <row r="139" ht="22.5" customHeight="1">
      <c r="A139" s="79">
        <v>10137.0</v>
      </c>
      <c r="B139" s="79" t="s">
        <v>1230</v>
      </c>
      <c r="C139" s="79" t="s">
        <v>238</v>
      </c>
      <c r="D139" s="79" t="s">
        <v>64</v>
      </c>
      <c r="E139" s="79" t="s">
        <v>1331</v>
      </c>
      <c r="F139" s="80" t="s">
        <v>1371</v>
      </c>
      <c r="G139" s="81"/>
      <c r="H139" s="79" t="s">
        <v>644</v>
      </c>
      <c r="I139" s="80">
        <v>2000.0</v>
      </c>
      <c r="J139" s="81"/>
      <c r="K139" s="79" t="s">
        <v>289</v>
      </c>
      <c r="L139" s="80">
        <v>40.0</v>
      </c>
      <c r="M139" s="79" t="s">
        <v>2844</v>
      </c>
      <c r="N139" s="79" t="s">
        <v>2845</v>
      </c>
      <c r="O139" s="79" t="s">
        <v>2846</v>
      </c>
      <c r="P139" s="83">
        <v>42021.0</v>
      </c>
      <c r="Q139" s="81" t="s">
        <v>108</v>
      </c>
      <c r="R139" s="86" t="str">
        <f>HYPERLINK("http://www.southernfriedscience.com/?p=18074","http://www.southernfriedscience.com/?p=18074")</f>
        <v>http://www.southernfriedscience.com/?p=18074</v>
      </c>
      <c r="S139" s="81"/>
      <c r="T139" s="81" t="s">
        <v>462</v>
      </c>
      <c r="U139" s="81" t="s">
        <v>462</v>
      </c>
      <c r="V139" s="81" t="s">
        <v>676</v>
      </c>
      <c r="W139" s="88" t="s">
        <v>769</v>
      </c>
      <c r="X139" s="81" t="s">
        <v>2852</v>
      </c>
      <c r="Y139" s="88">
        <v>42493.0</v>
      </c>
      <c r="Z139" s="81"/>
      <c r="AA139" s="81"/>
      <c r="AB139" s="81"/>
      <c r="AC139" s="88"/>
      <c r="AD139" s="81"/>
      <c r="AE139" s="81"/>
      <c r="AF139" s="81"/>
      <c r="AG139" s="81"/>
      <c r="AH139" s="81"/>
      <c r="AI139" s="81"/>
      <c r="AJ139" s="81"/>
      <c r="AK139" s="81"/>
      <c r="AL139" s="79"/>
    </row>
    <row r="140" ht="22.5" customHeight="1">
      <c r="A140" s="79">
        <v>10138.0</v>
      </c>
      <c r="B140" s="79" t="s">
        <v>1230</v>
      </c>
      <c r="C140" s="79" t="s">
        <v>238</v>
      </c>
      <c r="D140" s="79" t="s">
        <v>64</v>
      </c>
      <c r="E140" s="79" t="s">
        <v>1331</v>
      </c>
      <c r="F140" s="80" t="s">
        <v>1371</v>
      </c>
      <c r="G140" s="81"/>
      <c r="H140" s="79" t="s">
        <v>644</v>
      </c>
      <c r="I140" s="80">
        <v>2000.0</v>
      </c>
      <c r="J140" s="81"/>
      <c r="K140" s="79" t="s">
        <v>111</v>
      </c>
      <c r="L140" s="80">
        <v>41.0</v>
      </c>
      <c r="M140" s="79" t="s">
        <v>1494</v>
      </c>
      <c r="N140" s="79" t="s">
        <v>1495</v>
      </c>
      <c r="O140" s="79" t="s">
        <v>1441</v>
      </c>
      <c r="P140" s="83">
        <v>42185.0</v>
      </c>
      <c r="Q140" s="81" t="s">
        <v>1498</v>
      </c>
      <c r="R140" s="86" t="str">
        <f>HYPERLINK("http://www.climateaccess.org/blog/communicating-through-shared-values","http://www.climateaccess.org/blog/communicating-through-shared-values")</f>
        <v>http://www.climateaccess.org/blog/communicating-through-shared-values</v>
      </c>
      <c r="S140" s="81"/>
      <c r="T140" s="81" t="s">
        <v>462</v>
      </c>
      <c r="U140" s="81" t="s">
        <v>462</v>
      </c>
      <c r="V140" s="81" t="s">
        <v>676</v>
      </c>
      <c r="W140" s="81" t="s">
        <v>769</v>
      </c>
      <c r="X140" s="81" t="s">
        <v>1503</v>
      </c>
      <c r="Y140" s="88">
        <v>42214.0</v>
      </c>
      <c r="Z140" s="88">
        <v>42523.0</v>
      </c>
      <c r="AA140" s="81" t="s">
        <v>769</v>
      </c>
      <c r="AB140" s="81"/>
      <c r="AC140" s="88">
        <v>42468.0</v>
      </c>
      <c r="AD140" s="81"/>
      <c r="AE140" s="81"/>
      <c r="AF140" s="81"/>
      <c r="AG140" s="81"/>
      <c r="AH140" s="81"/>
      <c r="AI140" s="81"/>
      <c r="AJ140" s="81"/>
      <c r="AK140" s="81"/>
      <c r="AL140" s="79"/>
    </row>
    <row r="141" ht="22.5" customHeight="1">
      <c r="A141" s="79">
        <v>10139.0</v>
      </c>
      <c r="B141" s="79" t="s">
        <v>1230</v>
      </c>
      <c r="C141" s="79" t="s">
        <v>238</v>
      </c>
      <c r="D141" s="79" t="s">
        <v>64</v>
      </c>
      <c r="E141" s="79" t="s">
        <v>1331</v>
      </c>
      <c r="F141" s="80" t="s">
        <v>1371</v>
      </c>
      <c r="G141" s="81"/>
      <c r="H141" s="79" t="s">
        <v>1508</v>
      </c>
      <c r="I141" s="80">
        <v>2000.0</v>
      </c>
      <c r="J141" s="81"/>
      <c r="K141" s="79" t="s">
        <v>289</v>
      </c>
      <c r="L141" s="80">
        <v>40.0</v>
      </c>
      <c r="M141" s="79" t="s">
        <v>1509</v>
      </c>
      <c r="N141" s="79" t="s">
        <v>1462</v>
      </c>
      <c r="O141" s="79" t="s">
        <v>1441</v>
      </c>
      <c r="P141" s="83">
        <v>42179.0</v>
      </c>
      <c r="Q141" s="81" t="s">
        <v>1510</v>
      </c>
      <c r="R141" s="86" t="str">
        <f>HYPERLINK("http://www.climateaccess.org/blog/connecting-climate-health-and-opportunity","http://www.climateaccess.org/blog/connecting-climate-health-and-opportunity")</f>
        <v>http://www.climateaccess.org/blog/connecting-climate-health-and-opportunity</v>
      </c>
      <c r="S141" s="81"/>
      <c r="T141" s="81" t="s">
        <v>462</v>
      </c>
      <c r="U141" s="81" t="s">
        <v>462</v>
      </c>
      <c r="V141" s="81" t="s">
        <v>676</v>
      </c>
      <c r="W141" s="81" t="s">
        <v>769</v>
      </c>
      <c r="X141" s="81" t="s">
        <v>1518</v>
      </c>
      <c r="Y141" s="88">
        <v>42215.0</v>
      </c>
      <c r="Z141" s="88">
        <v>42527.0</v>
      </c>
      <c r="AA141" s="81"/>
      <c r="AB141" s="81"/>
      <c r="AC141" s="88"/>
      <c r="AD141" s="81"/>
      <c r="AE141" s="81"/>
      <c r="AF141" s="81"/>
      <c r="AG141" s="81"/>
      <c r="AH141" s="81"/>
      <c r="AI141" s="81"/>
      <c r="AJ141" s="81"/>
      <c r="AK141" s="81"/>
      <c r="AL141" s="79"/>
    </row>
    <row r="142" ht="22.5" customHeight="1">
      <c r="A142" s="79">
        <v>10140.0</v>
      </c>
      <c r="B142" s="79" t="s">
        <v>1230</v>
      </c>
      <c r="C142" s="79" t="s">
        <v>238</v>
      </c>
      <c r="D142" s="79" t="s">
        <v>64</v>
      </c>
      <c r="E142" s="79" t="s">
        <v>1331</v>
      </c>
      <c r="F142" s="80" t="s">
        <v>1371</v>
      </c>
      <c r="G142" s="81"/>
      <c r="H142" s="79" t="s">
        <v>2867</v>
      </c>
      <c r="I142" s="80">
        <v>4000.0</v>
      </c>
      <c r="J142" s="81"/>
      <c r="K142" s="79" t="s">
        <v>289</v>
      </c>
      <c r="L142" s="80">
        <v>40.0</v>
      </c>
      <c r="M142" s="79" t="s">
        <v>2869</v>
      </c>
      <c r="N142" s="79" t="s">
        <v>1374</v>
      </c>
      <c r="O142" s="79" t="s">
        <v>1375</v>
      </c>
      <c r="P142" s="83">
        <v>42047.0</v>
      </c>
      <c r="Q142" s="81" t="s">
        <v>2870</v>
      </c>
      <c r="R142" s="79" t="s">
        <v>2871</v>
      </c>
      <c r="S142" s="81"/>
      <c r="T142" s="81" t="s">
        <v>428</v>
      </c>
      <c r="U142" s="81" t="s">
        <v>462</v>
      </c>
      <c r="V142" s="81" t="s">
        <v>1099</v>
      </c>
      <c r="W142" s="81" t="s">
        <v>769</v>
      </c>
      <c r="X142" s="81"/>
      <c r="Y142" s="88"/>
      <c r="Z142" s="81"/>
      <c r="AA142" s="81" t="s">
        <v>769</v>
      </c>
      <c r="AB142" s="81"/>
      <c r="AC142" s="88">
        <v>42109.0</v>
      </c>
      <c r="AD142" s="81"/>
      <c r="AE142" s="81"/>
      <c r="AF142" s="81"/>
      <c r="AG142" s="81"/>
      <c r="AH142" s="81"/>
      <c r="AI142" s="81"/>
      <c r="AJ142" s="81"/>
      <c r="AK142" s="81" t="s">
        <v>2197</v>
      </c>
      <c r="AL142" s="79"/>
    </row>
    <row r="143" ht="22.5" customHeight="1">
      <c r="A143" s="79">
        <v>10141.0</v>
      </c>
      <c r="B143" s="79" t="s">
        <v>1230</v>
      </c>
      <c r="C143" s="79" t="s">
        <v>238</v>
      </c>
      <c r="D143" s="79" t="s">
        <v>64</v>
      </c>
      <c r="E143" s="79" t="s">
        <v>1331</v>
      </c>
      <c r="F143" s="80" t="s">
        <v>1371</v>
      </c>
      <c r="G143" s="81"/>
      <c r="H143" s="79" t="s">
        <v>1332</v>
      </c>
      <c r="I143" s="80">
        <v>2000.0</v>
      </c>
      <c r="J143" s="81"/>
      <c r="K143" s="79" t="s">
        <v>289</v>
      </c>
      <c r="L143" s="80">
        <v>40.0</v>
      </c>
      <c r="M143" s="94" t="s">
        <v>2872</v>
      </c>
      <c r="N143" s="79" t="s">
        <v>2873</v>
      </c>
      <c r="O143" s="79" t="s">
        <v>1375</v>
      </c>
      <c r="P143" s="83">
        <v>42487.0</v>
      </c>
      <c r="Q143" s="81" t="s">
        <v>2874</v>
      </c>
      <c r="R143" s="86" t="str">
        <f>HYPERLINK("https://www.washingtonpost.com/news/energy-environment/wp/2016/04/27/this-key-psychological-factor-could-explain-why-you-care-about-the-environment/","https://www.washingtonpost.com/news/energy-environment/wp/2016/04/27/this-key-psychological-factor-could-explain-why-you-care-about-the-environment/")</f>
        <v>https://www.washingtonpost.com/news/energy-environment/wp/2016/04/27/this-key-psychological-factor-could-explain-why-you-care-about-the-environment/</v>
      </c>
      <c r="S143" s="81"/>
      <c r="T143" s="81"/>
      <c r="U143" s="81"/>
      <c r="V143" s="81"/>
      <c r="W143" s="81" t="s">
        <v>600</v>
      </c>
      <c r="X143" s="81"/>
      <c r="Y143" s="81"/>
      <c r="Z143" s="81"/>
      <c r="AA143" s="81"/>
      <c r="AB143" s="81"/>
      <c r="AC143" s="81"/>
      <c r="AD143" s="81"/>
      <c r="AE143" s="81"/>
      <c r="AF143" s="81"/>
      <c r="AG143" s="81"/>
      <c r="AH143" s="81"/>
      <c r="AI143" s="81"/>
      <c r="AJ143" s="81"/>
      <c r="AK143" s="81"/>
      <c r="AL143" s="79"/>
    </row>
    <row r="144" ht="22.5" customHeight="1">
      <c r="A144" s="79">
        <v>10142.0</v>
      </c>
      <c r="B144" s="79" t="s">
        <v>1230</v>
      </c>
      <c r="C144" s="79" t="s">
        <v>238</v>
      </c>
      <c r="D144" s="79" t="s">
        <v>64</v>
      </c>
      <c r="E144" s="79" t="s">
        <v>1331</v>
      </c>
      <c r="F144" s="80" t="s">
        <v>1371</v>
      </c>
      <c r="G144" s="81"/>
      <c r="H144" s="79" t="s">
        <v>644</v>
      </c>
      <c r="I144" s="80">
        <v>2000.0</v>
      </c>
      <c r="J144" s="81"/>
      <c r="K144" s="79" t="s">
        <v>289</v>
      </c>
      <c r="L144" s="80">
        <v>40.0</v>
      </c>
      <c r="M144" s="79" t="s">
        <v>1971</v>
      </c>
      <c r="N144" s="79" t="s">
        <v>1623</v>
      </c>
      <c r="O144" s="79" t="s">
        <v>1959</v>
      </c>
      <c r="P144" s="83">
        <v>42132.0</v>
      </c>
      <c r="Q144" s="81" t="s">
        <v>108</v>
      </c>
      <c r="R144" s="86" t="str">
        <f>HYPERLINK("http://www.climateaccess.org/blog/know-thy-audience","http://www.climateaccess.org/blog/know-thy-audience")</f>
        <v>http://www.climateaccess.org/blog/know-thy-audience</v>
      </c>
      <c r="S144" s="81"/>
      <c r="T144" s="81" t="s">
        <v>462</v>
      </c>
      <c r="U144" s="81" t="s">
        <v>462</v>
      </c>
      <c r="V144" s="81" t="s">
        <v>676</v>
      </c>
      <c r="W144" s="81" t="s">
        <v>769</v>
      </c>
      <c r="X144" s="81" t="s">
        <v>1979</v>
      </c>
      <c r="Y144" s="88">
        <v>42159.0</v>
      </c>
      <c r="Z144" s="88">
        <v>42577.0</v>
      </c>
      <c r="AA144" s="81" t="s">
        <v>769</v>
      </c>
      <c r="AB144" s="81"/>
      <c r="AC144" s="88">
        <v>42520.0</v>
      </c>
      <c r="AD144" s="81"/>
      <c r="AE144" s="81"/>
      <c r="AF144" s="81"/>
      <c r="AG144" s="81"/>
      <c r="AH144" s="81"/>
      <c r="AI144" s="81"/>
      <c r="AJ144" s="81"/>
      <c r="AK144" s="81"/>
      <c r="AL144" s="79"/>
    </row>
    <row r="145" ht="22.5" customHeight="1">
      <c r="A145" s="79">
        <v>10143.0</v>
      </c>
      <c r="B145" s="79" t="s">
        <v>1230</v>
      </c>
      <c r="C145" s="79" t="s">
        <v>238</v>
      </c>
      <c r="D145" s="79" t="s">
        <v>64</v>
      </c>
      <c r="E145" s="79" t="s">
        <v>1331</v>
      </c>
      <c r="F145" s="80" t="s">
        <v>1371</v>
      </c>
      <c r="G145" s="81"/>
      <c r="H145" s="79" t="s">
        <v>578</v>
      </c>
      <c r="I145" s="80">
        <v>2000.0</v>
      </c>
      <c r="J145" s="81"/>
      <c r="K145" s="79" t="s">
        <v>289</v>
      </c>
      <c r="L145" s="80">
        <v>40.0</v>
      </c>
      <c r="M145" s="79" t="s">
        <v>2607</v>
      </c>
      <c r="N145" s="79" t="s">
        <v>1548</v>
      </c>
      <c r="O145" s="79" t="s">
        <v>1550</v>
      </c>
      <c r="P145" s="83">
        <v>42074.0</v>
      </c>
      <c r="Q145" s="81" t="s">
        <v>2608</v>
      </c>
      <c r="R145" s="86" t="str">
        <f>HYPERLINK("http://ecoaffect.org/2015/03/11/increasing-moral-engagement-on-climate-change/","http://ecoaffect.org/2015/03/11/increasing-moral-engagement-on-climate-change/")</f>
        <v>http://ecoaffect.org/2015/03/11/increasing-moral-engagement-on-climate-change/</v>
      </c>
      <c r="S145" s="81"/>
      <c r="T145" s="81" t="s">
        <v>1316</v>
      </c>
      <c r="U145" s="81" t="s">
        <v>1317</v>
      </c>
      <c r="V145" s="81" t="s">
        <v>1099</v>
      </c>
      <c r="W145" s="81" t="s">
        <v>769</v>
      </c>
      <c r="X145" s="81" t="s">
        <v>2618</v>
      </c>
      <c r="Y145" s="88">
        <v>42095.0</v>
      </c>
      <c r="Z145" s="81"/>
      <c r="AA145" s="81" t="s">
        <v>2619</v>
      </c>
      <c r="AB145" s="81"/>
      <c r="AC145" s="88"/>
      <c r="AD145" s="81"/>
      <c r="AE145" s="81"/>
      <c r="AF145" s="81"/>
      <c r="AG145" s="81"/>
      <c r="AH145" s="81"/>
      <c r="AI145" s="81"/>
      <c r="AJ145" s="79"/>
      <c r="AK145" s="79"/>
      <c r="AL145" s="79"/>
    </row>
    <row r="146" ht="22.5" customHeight="1">
      <c r="A146" s="79">
        <v>10144.0</v>
      </c>
      <c r="B146" s="79" t="s">
        <v>1230</v>
      </c>
      <c r="C146" s="79" t="s">
        <v>238</v>
      </c>
      <c r="D146" s="79" t="s">
        <v>64</v>
      </c>
      <c r="E146" s="79" t="s">
        <v>1331</v>
      </c>
      <c r="F146" s="80" t="s">
        <v>1371</v>
      </c>
      <c r="G146" s="81"/>
      <c r="H146" s="79" t="s">
        <v>837</v>
      </c>
      <c r="I146" s="80">
        <v>2000.0</v>
      </c>
      <c r="J146" s="81"/>
      <c r="K146" s="79" t="s">
        <v>289</v>
      </c>
      <c r="L146" s="80">
        <v>40.0</v>
      </c>
      <c r="M146" s="94" t="s">
        <v>2885</v>
      </c>
      <c r="N146" s="79" t="s">
        <v>2886</v>
      </c>
      <c r="O146" s="79" t="s">
        <v>1336</v>
      </c>
      <c r="P146" s="83">
        <v>42388.0</v>
      </c>
      <c r="Q146" s="81" t="s">
        <v>2887</v>
      </c>
      <c r="R146" s="86" t="str">
        <f>HYPERLINK("http://climatecommunication.yale.edu/publications/faith-morality-environment/","http://climatecommunication.yale.edu/publications/faith-morality-environment/")</f>
        <v>http://climatecommunication.yale.edu/publications/faith-morality-environment/</v>
      </c>
      <c r="S146" s="81"/>
      <c r="T146" s="81"/>
      <c r="U146" s="81"/>
      <c r="V146" s="81"/>
      <c r="W146" s="81" t="s">
        <v>769</v>
      </c>
      <c r="X146" s="81" t="s">
        <v>2889</v>
      </c>
      <c r="Y146" s="88">
        <v>42640.0</v>
      </c>
      <c r="Z146" s="81"/>
      <c r="AA146" s="81"/>
      <c r="AB146" s="81"/>
      <c r="AC146" s="81"/>
      <c r="AD146" s="81"/>
      <c r="AE146" s="81"/>
      <c r="AF146" s="81"/>
      <c r="AG146" s="81"/>
      <c r="AH146" s="81"/>
      <c r="AI146" s="81" t="s">
        <v>428</v>
      </c>
      <c r="AJ146" s="79"/>
      <c r="AK146" s="79"/>
      <c r="AL146" s="79"/>
    </row>
    <row r="147" ht="22.5" customHeight="1">
      <c r="A147" s="79">
        <v>10145.0</v>
      </c>
      <c r="B147" s="79" t="s">
        <v>1230</v>
      </c>
      <c r="C147" s="79" t="s">
        <v>238</v>
      </c>
      <c r="D147" s="79" t="s">
        <v>64</v>
      </c>
      <c r="E147" s="79" t="s">
        <v>1331</v>
      </c>
      <c r="F147" s="80" t="s">
        <v>1371</v>
      </c>
      <c r="G147" s="81"/>
      <c r="H147" s="79" t="s">
        <v>1114</v>
      </c>
      <c r="I147" s="80">
        <v>2000.0</v>
      </c>
      <c r="J147" s="81"/>
      <c r="K147" s="79" t="s">
        <v>289</v>
      </c>
      <c r="L147" s="80">
        <v>40.0</v>
      </c>
      <c r="M147" s="79" t="s">
        <v>410</v>
      </c>
      <c r="N147" s="79" t="s">
        <v>2890</v>
      </c>
      <c r="O147" s="79" t="s">
        <v>2891</v>
      </c>
      <c r="P147" s="83">
        <v>39216.0</v>
      </c>
      <c r="Q147" s="81" t="s">
        <v>2892</v>
      </c>
      <c r="R147" s="86" t="str">
        <f>HYPERLINK("http://lesswrong.com/lw/hw/scope_insensitivity/","http://lesswrong.com/lw/hw/scope_insensitivity/")</f>
        <v>http://lesswrong.com/lw/hw/scope_insensitivity/</v>
      </c>
      <c r="S147" s="81"/>
      <c r="T147" s="81" t="s">
        <v>462</v>
      </c>
      <c r="U147" s="81" t="s">
        <v>462</v>
      </c>
      <c r="V147" s="81" t="s">
        <v>676</v>
      </c>
      <c r="W147" s="81" t="s">
        <v>600</v>
      </c>
      <c r="X147" s="81"/>
      <c r="Y147" s="88"/>
      <c r="Z147" s="81"/>
      <c r="AA147" s="81"/>
      <c r="AB147" s="81"/>
      <c r="AC147" s="88"/>
      <c r="AD147" s="81"/>
      <c r="AE147" s="81"/>
      <c r="AF147" s="81"/>
      <c r="AG147" s="81"/>
      <c r="AH147" s="81"/>
      <c r="AI147" s="81"/>
      <c r="AJ147" s="79"/>
      <c r="AK147" s="79"/>
      <c r="AL147" s="79"/>
    </row>
    <row r="148" ht="22.5" customHeight="1">
      <c r="A148" s="79">
        <v>10146.0</v>
      </c>
      <c r="B148" s="79" t="s">
        <v>1230</v>
      </c>
      <c r="C148" s="79" t="s">
        <v>238</v>
      </c>
      <c r="D148" s="79" t="s">
        <v>64</v>
      </c>
      <c r="E148" s="79" t="s">
        <v>1331</v>
      </c>
      <c r="F148" s="80" t="s">
        <v>1371</v>
      </c>
      <c r="G148" s="81"/>
      <c r="H148" s="79" t="s">
        <v>837</v>
      </c>
      <c r="I148" s="80">
        <v>2000.0</v>
      </c>
      <c r="J148" s="81"/>
      <c r="K148" s="79" t="s">
        <v>289</v>
      </c>
      <c r="L148" s="80">
        <v>40.0</v>
      </c>
      <c r="M148" s="94" t="s">
        <v>2624</v>
      </c>
      <c r="N148" s="79" t="s">
        <v>2132</v>
      </c>
      <c r="O148" s="79" t="s">
        <v>1550</v>
      </c>
      <c r="P148" s="83">
        <v>42319.0</v>
      </c>
      <c r="Q148" s="81" t="s">
        <v>2625</v>
      </c>
      <c r="R148" s="86" t="str">
        <f>HYPERLINK("http://ecoaffect.org/2015/11/11/4-factors-that-affect-how-people-feel-about-climate-change/","http://ecoaffect.org/2015/11/11/4-factors-that-affect-how-people-feel-about-climate-change/")</f>
        <v>http://ecoaffect.org/2015/11/11/4-factors-that-affect-how-people-feel-about-climate-change/</v>
      </c>
      <c r="S148" s="81"/>
      <c r="T148" s="81"/>
      <c r="U148" s="81"/>
      <c r="V148" s="81"/>
      <c r="W148" s="81" t="s">
        <v>428</v>
      </c>
      <c r="X148" s="81" t="s">
        <v>2630</v>
      </c>
      <c r="Y148" s="88">
        <v>42653.0</v>
      </c>
      <c r="Z148" s="81"/>
      <c r="AA148" s="81"/>
      <c r="AB148" s="81"/>
      <c r="AC148" s="81"/>
      <c r="AD148" s="81"/>
      <c r="AE148" s="81"/>
      <c r="AF148" s="81"/>
      <c r="AG148" s="81"/>
      <c r="AH148" s="81"/>
      <c r="AI148" s="81" t="s">
        <v>428</v>
      </c>
      <c r="AJ148" s="79"/>
      <c r="AK148" s="79"/>
      <c r="AL148" s="79"/>
    </row>
    <row r="149" ht="22.5" customHeight="1">
      <c r="A149" s="79">
        <v>10147.0</v>
      </c>
      <c r="B149" s="79" t="s">
        <v>1230</v>
      </c>
      <c r="C149" s="79" t="s">
        <v>238</v>
      </c>
      <c r="D149" s="79" t="s">
        <v>64</v>
      </c>
      <c r="E149" s="79" t="s">
        <v>1331</v>
      </c>
      <c r="F149" s="80" t="s">
        <v>1371</v>
      </c>
      <c r="G149" s="81"/>
      <c r="H149" s="79" t="s">
        <v>2791</v>
      </c>
      <c r="I149" s="80" t="s">
        <v>2790</v>
      </c>
      <c r="J149" s="81"/>
      <c r="K149" s="79" t="s">
        <v>289</v>
      </c>
      <c r="L149" s="80">
        <v>40.0</v>
      </c>
      <c r="M149" s="94" t="s">
        <v>2794</v>
      </c>
      <c r="N149" s="79" t="s">
        <v>2132</v>
      </c>
      <c r="O149" s="79" t="s">
        <v>1550</v>
      </c>
      <c r="P149" s="83">
        <v>42515.0</v>
      </c>
      <c r="Q149" s="81" t="s">
        <v>2796</v>
      </c>
      <c r="R149" s="86" t="str">
        <f>HYPERLINK("http://ecoaffect.org/2016/05/25/want-to-make-climate-impacts-more-relatable-start-with-water/","http://ecoaffect.org/2016/05/25/want-to-make-climate-impacts-more-relatable-start-with-water/")</f>
        <v>http://ecoaffect.org/2016/05/25/want-to-make-climate-impacts-more-relatable-start-with-water/</v>
      </c>
      <c r="S149" s="81"/>
      <c r="T149" s="81"/>
      <c r="U149" s="81"/>
      <c r="V149" s="81"/>
      <c r="W149" s="81" t="s">
        <v>769</v>
      </c>
      <c r="X149" s="81" t="s">
        <v>2799</v>
      </c>
      <c r="Y149" s="88">
        <v>42674.0</v>
      </c>
      <c r="Z149" s="81"/>
      <c r="AA149" s="81"/>
      <c r="AB149" s="81"/>
      <c r="AC149" s="81"/>
      <c r="AD149" s="81"/>
      <c r="AE149" s="81"/>
      <c r="AF149" s="81"/>
      <c r="AG149" s="81"/>
      <c r="AH149" s="81"/>
      <c r="AI149" s="81" t="s">
        <v>428</v>
      </c>
      <c r="AJ149" s="79"/>
      <c r="AK149" s="79"/>
      <c r="AL149" s="79"/>
    </row>
    <row r="150" ht="22.5" customHeight="1">
      <c r="A150" s="79">
        <v>10148.0</v>
      </c>
      <c r="B150" s="79" t="s">
        <v>1230</v>
      </c>
      <c r="C150" s="79" t="s">
        <v>238</v>
      </c>
      <c r="D150" s="79" t="s">
        <v>64</v>
      </c>
      <c r="E150" s="79" t="s">
        <v>1331</v>
      </c>
      <c r="F150" s="80" t="s">
        <v>1371</v>
      </c>
      <c r="G150" s="81"/>
      <c r="H150" s="79" t="s">
        <v>644</v>
      </c>
      <c r="I150" s="80">
        <v>2000.0</v>
      </c>
      <c r="J150" s="81"/>
      <c r="K150" s="79" t="s">
        <v>289</v>
      </c>
      <c r="L150" s="80">
        <v>40.0</v>
      </c>
      <c r="M150" s="94" t="s">
        <v>2910</v>
      </c>
      <c r="N150" s="79" t="s">
        <v>2911</v>
      </c>
      <c r="O150" s="79" t="s">
        <v>2912</v>
      </c>
      <c r="P150" s="83">
        <v>41823.0</v>
      </c>
      <c r="Q150" s="81" t="s">
        <v>2558</v>
      </c>
      <c r="R150" s="86" t="str">
        <f>HYPERLINK("http://www.popsci.com/article/science/meet-scientist-who-might-end-climate-culture-wars","http://www.popsci.com/article/science/meet-scientist-who-might-end-climate-culture-wars")</f>
        <v>http://www.popsci.com/article/science/meet-scientist-who-might-end-climate-culture-wars</v>
      </c>
      <c r="S150" s="81"/>
      <c r="T150" s="81" t="s">
        <v>428</v>
      </c>
      <c r="U150" s="81"/>
      <c r="V150" s="81"/>
      <c r="W150" s="81" t="s">
        <v>769</v>
      </c>
      <c r="X150" s="81" t="s">
        <v>2913</v>
      </c>
      <c r="Y150" s="88">
        <v>42695.0</v>
      </c>
      <c r="Z150" s="81"/>
      <c r="AA150" s="81"/>
      <c r="AB150" s="81"/>
      <c r="AC150" s="81"/>
      <c r="AD150" s="81"/>
      <c r="AE150" s="81"/>
      <c r="AF150" s="81"/>
      <c r="AG150" s="81"/>
      <c r="AH150" s="81"/>
      <c r="AI150" s="81"/>
      <c r="AJ150" s="79"/>
      <c r="AK150" s="79"/>
      <c r="AL150" s="79"/>
    </row>
    <row r="151" ht="22.5" customHeight="1">
      <c r="A151" s="79">
        <v>10149.0</v>
      </c>
      <c r="B151" s="79" t="s">
        <v>1230</v>
      </c>
      <c r="C151" s="79" t="s">
        <v>238</v>
      </c>
      <c r="D151" s="79" t="s">
        <v>64</v>
      </c>
      <c r="E151" s="79" t="s">
        <v>1331</v>
      </c>
      <c r="F151" s="80" t="s">
        <v>1371</v>
      </c>
      <c r="G151" s="81"/>
      <c r="H151" s="79" t="s">
        <v>837</v>
      </c>
      <c r="I151" s="80">
        <v>2000.0</v>
      </c>
      <c r="J151" s="81"/>
      <c r="K151" s="79" t="s">
        <v>111</v>
      </c>
      <c r="L151" s="80">
        <v>41.0</v>
      </c>
      <c r="M151" s="94" t="s">
        <v>1755</v>
      </c>
      <c r="N151" s="79" t="s">
        <v>1654</v>
      </c>
      <c r="O151" s="79" t="s">
        <v>1287</v>
      </c>
      <c r="P151" s="83">
        <v>42416.0</v>
      </c>
      <c r="Q151" s="81" t="s">
        <v>1760</v>
      </c>
      <c r="R151" s="86" t="str">
        <f>HYPERLINK("http://climateoutreach.org/climate-faith/","http://climateoutreach.org/climate-faith/")</f>
        <v>http://climateoutreach.org/climate-faith/</v>
      </c>
      <c r="S151" s="81"/>
      <c r="T151" s="81"/>
      <c r="U151" s="81"/>
      <c r="V151" s="81"/>
      <c r="W151" s="81"/>
      <c r="X151" s="81"/>
      <c r="Y151" s="81"/>
      <c r="Z151" s="81"/>
      <c r="AA151" s="81"/>
      <c r="AB151" s="81"/>
      <c r="AC151" s="81"/>
      <c r="AD151" s="81"/>
      <c r="AE151" s="81"/>
      <c r="AF151" s="81"/>
      <c r="AG151" s="81"/>
      <c r="AH151" s="81"/>
      <c r="AI151" s="81" t="s">
        <v>428</v>
      </c>
      <c r="AJ151" s="79"/>
      <c r="AK151" s="79"/>
      <c r="AL151" s="79"/>
    </row>
    <row r="152" ht="22.5" customHeight="1">
      <c r="A152" s="79">
        <v>10150.0</v>
      </c>
      <c r="B152" s="79" t="s">
        <v>1230</v>
      </c>
      <c r="C152" s="79" t="s">
        <v>238</v>
      </c>
      <c r="D152" s="79" t="s">
        <v>64</v>
      </c>
      <c r="E152" s="79" t="s">
        <v>1331</v>
      </c>
      <c r="F152" s="80" t="s">
        <v>1371</v>
      </c>
      <c r="G152" s="81"/>
      <c r="H152" s="79" t="s">
        <v>644</v>
      </c>
      <c r="I152" s="80">
        <v>2000.0</v>
      </c>
      <c r="J152" s="81"/>
      <c r="K152" s="79" t="s">
        <v>111</v>
      </c>
      <c r="L152" s="80">
        <v>41.0</v>
      </c>
      <c r="M152" s="94" t="s">
        <v>1849</v>
      </c>
      <c r="N152" s="79" t="s">
        <v>1654</v>
      </c>
      <c r="O152" s="79" t="s">
        <v>1787</v>
      </c>
      <c r="P152" s="83">
        <v>42360.0</v>
      </c>
      <c r="Q152" s="81" t="s">
        <v>1851</v>
      </c>
      <c r="R152" s="86" t="str">
        <f>HYPERLINK("http://climateoutreach.org/finding-the-right-words-shaping-an-effective-climate-change-narrative/","http://climateoutreach.org/finding-the-right-words-shaping-an-effective-climate-change-narrative/")</f>
        <v>http://climateoutreach.org/finding-the-right-words-shaping-an-effective-climate-change-narrative/</v>
      </c>
      <c r="S152" s="81"/>
      <c r="T152" s="81"/>
      <c r="U152" s="81"/>
      <c r="V152" s="81"/>
      <c r="W152" s="81" t="s">
        <v>769</v>
      </c>
      <c r="X152" s="81" t="s">
        <v>1856</v>
      </c>
      <c r="Y152" s="88">
        <v>42689.0</v>
      </c>
      <c r="Z152" s="81"/>
      <c r="AA152" s="81"/>
      <c r="AB152" s="81"/>
      <c r="AC152" s="81"/>
      <c r="AD152" s="81"/>
      <c r="AE152" s="81"/>
      <c r="AF152" s="81"/>
      <c r="AG152" s="81"/>
      <c r="AH152" s="81"/>
      <c r="AI152" s="81" t="s">
        <v>428</v>
      </c>
      <c r="AJ152" s="79"/>
      <c r="AK152" s="79"/>
      <c r="AL152" s="79"/>
    </row>
    <row r="153" ht="22.5" customHeight="1">
      <c r="A153" s="79">
        <v>10151.0</v>
      </c>
      <c r="B153" s="79" t="s">
        <v>1230</v>
      </c>
      <c r="C153" s="79" t="s">
        <v>238</v>
      </c>
      <c r="D153" s="79" t="s">
        <v>64</v>
      </c>
      <c r="E153" s="79" t="s">
        <v>1331</v>
      </c>
      <c r="F153" s="80" t="s">
        <v>1371</v>
      </c>
      <c r="G153" s="81"/>
      <c r="H153" s="79" t="s">
        <v>1863</v>
      </c>
      <c r="I153" s="80">
        <v>2000.0</v>
      </c>
      <c r="J153" s="81"/>
      <c r="K153" s="79" t="s">
        <v>324</v>
      </c>
      <c r="L153" s="80" t="s">
        <v>325</v>
      </c>
      <c r="M153" s="94" t="s">
        <v>1865</v>
      </c>
      <c r="N153" s="79" t="s">
        <v>1654</v>
      </c>
      <c r="O153" s="79" t="s">
        <v>1787</v>
      </c>
      <c r="P153" s="83">
        <v>42327.0</v>
      </c>
      <c r="Q153" s="81" t="s">
        <v>1866</v>
      </c>
      <c r="R153" s="86" t="str">
        <f>HYPERLINK("http://climateoutreach.org/here-and-now-not-there-and-then/","http://climateoutreach.org/here-and-now-not-there-and-then/")</f>
        <v>http://climateoutreach.org/here-and-now-not-there-and-then/</v>
      </c>
      <c r="S153" s="81"/>
      <c r="T153" s="81"/>
      <c r="U153" s="81"/>
      <c r="V153" s="81"/>
      <c r="W153" s="81" t="s">
        <v>428</v>
      </c>
      <c r="X153" s="81" t="s">
        <v>1879</v>
      </c>
      <c r="Y153" s="88">
        <v>42639.0</v>
      </c>
      <c r="Z153" s="81"/>
      <c r="AA153" s="81"/>
      <c r="AB153" s="81"/>
      <c r="AC153" s="81"/>
      <c r="AD153" s="81"/>
      <c r="AE153" s="81"/>
      <c r="AF153" s="81"/>
      <c r="AG153" s="81"/>
      <c r="AH153" s="81"/>
      <c r="AI153" s="81" t="s">
        <v>428</v>
      </c>
      <c r="AJ153" s="79"/>
      <c r="AK153" s="79"/>
      <c r="AL153" s="79"/>
    </row>
    <row r="154" ht="22.5" customHeight="1">
      <c r="A154" s="79">
        <v>10152.0</v>
      </c>
      <c r="B154" s="79" t="s">
        <v>1230</v>
      </c>
      <c r="C154" s="79" t="s">
        <v>238</v>
      </c>
      <c r="D154" s="79" t="s">
        <v>64</v>
      </c>
      <c r="E154" s="79" t="s">
        <v>1331</v>
      </c>
      <c r="F154" s="80" t="s">
        <v>1371</v>
      </c>
      <c r="G154" s="81"/>
      <c r="H154" s="79" t="s">
        <v>1114</v>
      </c>
      <c r="I154" s="80">
        <v>2000.0</v>
      </c>
      <c r="J154" s="81"/>
      <c r="K154" s="79" t="s">
        <v>289</v>
      </c>
      <c r="L154" s="80">
        <v>40.0</v>
      </c>
      <c r="M154" s="94" t="s">
        <v>2932</v>
      </c>
      <c r="N154" s="79" t="s">
        <v>1945</v>
      </c>
      <c r="O154" s="79" t="s">
        <v>1265</v>
      </c>
      <c r="P154" s="83">
        <v>42513.0</v>
      </c>
      <c r="Q154" s="81" t="s">
        <v>2933</v>
      </c>
      <c r="R154" s="86" t="str">
        <f>HYPERLINK("http://grist.org/climate-energy/down-with-guilt-there-are-much-better-ways-to-get-people-to-act-on-climate-change/","http://grist.org/climate-energy/down-with-guilt-there-are-much-better-ways-to-get-people-to-act-on-climate-change/")</f>
        <v>http://grist.org/climate-energy/down-with-guilt-there-are-much-better-ways-to-get-people-to-act-on-climate-change/</v>
      </c>
      <c r="S154" s="81"/>
      <c r="T154" s="81"/>
      <c r="U154" s="81"/>
      <c r="V154" s="81"/>
      <c r="W154" s="81"/>
      <c r="X154" s="81"/>
      <c r="Y154" s="81"/>
      <c r="Z154" s="81"/>
      <c r="AA154" s="81"/>
      <c r="AB154" s="81"/>
      <c r="AC154" s="81"/>
      <c r="AD154" s="81"/>
      <c r="AE154" s="81"/>
      <c r="AF154" s="81"/>
      <c r="AG154" s="81"/>
      <c r="AH154" s="81"/>
      <c r="AI154" s="81" t="s">
        <v>428</v>
      </c>
      <c r="AJ154" s="79"/>
      <c r="AK154" s="79"/>
      <c r="AL154" s="79"/>
    </row>
    <row r="155" ht="22.5" customHeight="1">
      <c r="A155" s="79">
        <v>10153.0</v>
      </c>
      <c r="B155" s="79" t="s">
        <v>1230</v>
      </c>
      <c r="C155" s="79" t="s">
        <v>238</v>
      </c>
      <c r="D155" s="79" t="s">
        <v>64</v>
      </c>
      <c r="E155" s="79" t="s">
        <v>1331</v>
      </c>
      <c r="F155" s="80" t="s">
        <v>1371</v>
      </c>
      <c r="G155" s="81"/>
      <c r="H155" s="79" t="s">
        <v>837</v>
      </c>
      <c r="I155" s="80">
        <v>2000.0</v>
      </c>
      <c r="J155" s="81"/>
      <c r="K155" s="79" t="s">
        <v>289</v>
      </c>
      <c r="L155" s="80">
        <v>40.0</v>
      </c>
      <c r="M155" s="79" t="s">
        <v>2938</v>
      </c>
      <c r="N155" s="79" t="s">
        <v>2939</v>
      </c>
      <c r="O155" s="79" t="s">
        <v>2940</v>
      </c>
      <c r="P155" s="83">
        <v>41793.0</v>
      </c>
      <c r="Q155" s="81" t="s">
        <v>2941</v>
      </c>
      <c r="R155" s="86" t="str">
        <f>HYPERLINK("http://www.slate.com/articles/news_and_politics/politics/2014/06/epa_emissions_regulations_and_climate_change_why_the_white_house_is_talking.html","http://www.slate.com/articles/news_and_politics/politics/2014/06/epa_emissions_regulations_and_climate_change_why_the_white_house_is_talking.html")</f>
        <v>http://www.slate.com/articles/news_and_politics/politics/2014/06/epa_emissions_regulations_and_climate_change_why_the_white_house_is_talking.html</v>
      </c>
      <c r="S155" s="81" t="s">
        <v>2942</v>
      </c>
      <c r="T155" s="81" t="s">
        <v>462</v>
      </c>
      <c r="U155" s="81" t="s">
        <v>462</v>
      </c>
      <c r="V155" s="81" t="s">
        <v>1099</v>
      </c>
      <c r="W155" s="81" t="s">
        <v>600</v>
      </c>
      <c r="X155" s="81"/>
      <c r="Y155" s="88"/>
      <c r="Z155" s="81"/>
      <c r="AA155" s="81" t="s">
        <v>769</v>
      </c>
      <c r="AB155" s="81"/>
      <c r="AC155" s="88">
        <v>42354.0</v>
      </c>
      <c r="AD155" s="81"/>
      <c r="AE155" s="81"/>
      <c r="AF155" s="81"/>
      <c r="AG155" s="81"/>
      <c r="AH155" s="81"/>
      <c r="AI155" s="81"/>
      <c r="AJ155" s="79"/>
      <c r="AK155" s="79"/>
      <c r="AL155" s="79"/>
    </row>
    <row r="156" ht="22.5" customHeight="1">
      <c r="A156" s="79">
        <v>10154.0</v>
      </c>
      <c r="B156" s="79" t="s">
        <v>1230</v>
      </c>
      <c r="C156" s="79" t="s">
        <v>238</v>
      </c>
      <c r="D156" s="79" t="s">
        <v>64</v>
      </c>
      <c r="E156" s="79" t="s">
        <v>1331</v>
      </c>
      <c r="F156" s="80" t="s">
        <v>1371</v>
      </c>
      <c r="G156" s="81"/>
      <c r="H156" s="79" t="s">
        <v>644</v>
      </c>
      <c r="I156" s="80">
        <v>2000.0</v>
      </c>
      <c r="J156" s="81"/>
      <c r="K156" s="79" t="s">
        <v>289</v>
      </c>
      <c r="L156" s="80">
        <v>40.0</v>
      </c>
      <c r="M156" s="94" t="s">
        <v>2634</v>
      </c>
      <c r="N156" s="79" t="s">
        <v>2504</v>
      </c>
      <c r="O156" s="79" t="s">
        <v>1550</v>
      </c>
      <c r="P156" s="83">
        <v>42481.0</v>
      </c>
      <c r="Q156" s="81" t="s">
        <v>2635</v>
      </c>
      <c r="R156" s="86" t="str">
        <f>HYPERLINK("http://ecoaffect.org/2016/04/21/to-give-life-to-the-paris-climate-agreement-connect-on-personal-values/","http://ecoaffect.org/2016/04/21/to-give-life-to-the-paris-climate-agreement-connect-on-personal-values/")</f>
        <v>http://ecoaffect.org/2016/04/21/to-give-life-to-the-paris-climate-agreement-connect-on-personal-values/</v>
      </c>
      <c r="S156" s="81"/>
      <c r="T156" s="81"/>
      <c r="U156" s="81"/>
      <c r="V156" s="81"/>
      <c r="W156" s="81" t="s">
        <v>530</v>
      </c>
      <c r="X156" s="81"/>
      <c r="Y156" s="81"/>
      <c r="Z156" s="81"/>
      <c r="AA156" s="81"/>
      <c r="AB156" s="81"/>
      <c r="AC156" s="81"/>
      <c r="AD156" s="81"/>
      <c r="AE156" s="81"/>
      <c r="AF156" s="81"/>
      <c r="AG156" s="81"/>
      <c r="AH156" s="81"/>
      <c r="AI156" s="81" t="s">
        <v>428</v>
      </c>
      <c r="AJ156" s="79"/>
      <c r="AK156" s="79"/>
      <c r="AL156" s="79"/>
    </row>
    <row r="157" ht="22.5" customHeight="1">
      <c r="A157" s="79">
        <v>10155.0</v>
      </c>
      <c r="B157" s="79" t="s">
        <v>1230</v>
      </c>
      <c r="C157" s="79" t="s">
        <v>238</v>
      </c>
      <c r="D157" s="79" t="s">
        <v>64</v>
      </c>
      <c r="E157" s="79" t="s">
        <v>1331</v>
      </c>
      <c r="F157" s="80" t="s">
        <v>1371</v>
      </c>
      <c r="G157" s="81"/>
      <c r="H157" s="79" t="s">
        <v>644</v>
      </c>
      <c r="I157" s="80">
        <v>2000.0</v>
      </c>
      <c r="J157" s="81"/>
      <c r="K157" s="79" t="s">
        <v>111</v>
      </c>
      <c r="L157" s="80">
        <v>41.0</v>
      </c>
      <c r="M157" s="94" t="s">
        <v>1698</v>
      </c>
      <c r="N157" s="79" t="s">
        <v>1700</v>
      </c>
      <c r="O157" s="79" t="s">
        <v>1685</v>
      </c>
      <c r="P157" s="83">
        <v>42254.0</v>
      </c>
      <c r="Q157" s="81" t="s">
        <v>1701</v>
      </c>
      <c r="R157" s="86" t="str">
        <f>HYPERLINK("http://www.climatechangenews.com/2015/07/09/how-to-talk-about-uncertainty-in-climate-science/","http://www.climatechangenews.com/2015/07/09/how-to-talk-about-uncertainty-in-climate-science/")</f>
        <v>http://www.climatechangenews.com/2015/07/09/how-to-talk-about-uncertainty-in-climate-science/</v>
      </c>
      <c r="S157" s="81" t="s">
        <v>1709</v>
      </c>
      <c r="T157" s="81"/>
      <c r="U157" s="81"/>
      <c r="V157" s="81"/>
      <c r="W157" s="81"/>
      <c r="X157" s="81" t="s">
        <v>1711</v>
      </c>
      <c r="Y157" s="88">
        <v>42636.0</v>
      </c>
      <c r="Z157" s="81"/>
      <c r="AA157" s="81" t="s">
        <v>769</v>
      </c>
      <c r="AB157" s="81"/>
      <c r="AC157" s="88">
        <v>42648.0</v>
      </c>
      <c r="AD157" s="81"/>
      <c r="AE157" s="81"/>
      <c r="AF157" s="81"/>
      <c r="AG157" s="81"/>
      <c r="AH157" s="81"/>
      <c r="AI157" s="81" t="s">
        <v>428</v>
      </c>
      <c r="AJ157" s="79"/>
      <c r="AK157" s="79"/>
      <c r="AL157" s="79"/>
    </row>
    <row r="158" ht="22.5" customHeight="1">
      <c r="A158" s="79">
        <v>10156.0</v>
      </c>
      <c r="B158" s="79" t="s">
        <v>1230</v>
      </c>
      <c r="C158" s="79" t="s">
        <v>238</v>
      </c>
      <c r="D158" s="79" t="s">
        <v>64</v>
      </c>
      <c r="E158" s="79" t="s">
        <v>1331</v>
      </c>
      <c r="F158" s="80" t="s">
        <v>1371</v>
      </c>
      <c r="G158" s="81"/>
      <c r="H158" s="79" t="s">
        <v>2957</v>
      </c>
      <c r="I158" s="80">
        <v>11000.0</v>
      </c>
      <c r="J158" s="81"/>
      <c r="K158" s="79" t="s">
        <v>289</v>
      </c>
      <c r="L158" s="80">
        <v>40.0</v>
      </c>
      <c r="M158" s="79" t="s">
        <v>2958</v>
      </c>
      <c r="N158" s="79" t="s">
        <v>591</v>
      </c>
      <c r="O158" s="79" t="s">
        <v>592</v>
      </c>
      <c r="P158" s="83">
        <v>42032.0</v>
      </c>
      <c r="Q158" s="81" t="s">
        <v>2960</v>
      </c>
      <c r="R158" s="86" t="str">
        <f>HYPERLINK("http://www.scientificamerican.com/article/what-do-farmers-think-about-climate-change/","http://www.scientificamerican.com/article/what-do-farmers-think-about-climate-change/")</f>
        <v>http://www.scientificamerican.com/article/what-do-farmers-think-about-climate-change/</v>
      </c>
      <c r="S158" s="81"/>
      <c r="T158" s="81" t="s">
        <v>1316</v>
      </c>
      <c r="U158" s="81" t="s">
        <v>1317</v>
      </c>
      <c r="V158" s="81" t="s">
        <v>1099</v>
      </c>
      <c r="W158" s="81" t="s">
        <v>2965</v>
      </c>
      <c r="X158" s="81"/>
      <c r="Y158" s="81"/>
      <c r="Z158" s="81"/>
      <c r="AA158" s="81" t="s">
        <v>769</v>
      </c>
      <c r="AB158" s="81"/>
      <c r="AC158" s="88">
        <v>42056.0</v>
      </c>
      <c r="AD158" s="81" t="s">
        <v>1321</v>
      </c>
      <c r="AE158" s="81"/>
      <c r="AF158" s="81"/>
      <c r="AG158" s="81"/>
      <c r="AH158" s="81"/>
      <c r="AI158" s="81"/>
      <c r="AJ158" s="79"/>
      <c r="AK158" s="79"/>
      <c r="AL158" s="79"/>
    </row>
    <row r="159" ht="22.5" customHeight="1">
      <c r="A159" s="79">
        <v>10157.0</v>
      </c>
      <c r="B159" s="79" t="s">
        <v>1230</v>
      </c>
      <c r="C159" s="79" t="s">
        <v>238</v>
      </c>
      <c r="D159" s="79" t="s">
        <v>64</v>
      </c>
      <c r="E159" s="79" t="s">
        <v>1331</v>
      </c>
      <c r="F159" s="80" t="s">
        <v>1371</v>
      </c>
      <c r="G159" s="81"/>
      <c r="H159" s="79" t="s">
        <v>644</v>
      </c>
      <c r="I159" s="80">
        <v>2000.0</v>
      </c>
      <c r="J159" s="81"/>
      <c r="K159" s="79" t="s">
        <v>289</v>
      </c>
      <c r="L159" s="80">
        <v>40.0</v>
      </c>
      <c r="M159" s="94" t="s">
        <v>2966</v>
      </c>
      <c r="N159" s="79" t="s">
        <v>2967</v>
      </c>
      <c r="O159" s="79" t="s">
        <v>2569</v>
      </c>
      <c r="P159" s="83">
        <v>42172.0</v>
      </c>
      <c r="Q159" s="81" t="s">
        <v>2968</v>
      </c>
      <c r="R159" s="86" t="str">
        <f>HYPERLINK("https://www.greenbiz.com/article/want-connect-climate-skeptics-just-listen","https://www.greenbiz.com/article/want-connect-climate-skeptics-just-listen")</f>
        <v>https://www.greenbiz.com/article/want-connect-climate-skeptics-just-listen</v>
      </c>
      <c r="S159" s="81"/>
      <c r="T159" s="81"/>
      <c r="U159" s="81"/>
      <c r="V159" s="81"/>
      <c r="W159" s="81" t="s">
        <v>769</v>
      </c>
      <c r="X159" s="81" t="s">
        <v>2969</v>
      </c>
      <c r="Y159" s="88">
        <v>42664.0</v>
      </c>
      <c r="Z159" s="81"/>
      <c r="AA159" s="81"/>
      <c r="AB159" s="81"/>
      <c r="AC159" s="81"/>
      <c r="AD159" s="81"/>
      <c r="AE159" s="81"/>
      <c r="AF159" s="81"/>
      <c r="AG159" s="81"/>
      <c r="AH159" s="81"/>
      <c r="AI159" s="81" t="s">
        <v>428</v>
      </c>
      <c r="AJ159" s="79"/>
      <c r="AK159" s="79"/>
      <c r="AL159" s="79"/>
    </row>
    <row r="160" ht="22.5" customHeight="1">
      <c r="A160" s="79">
        <v>10158.0</v>
      </c>
      <c r="B160" s="79" t="s">
        <v>1230</v>
      </c>
      <c r="C160" s="79" t="s">
        <v>238</v>
      </c>
      <c r="D160" s="79" t="s">
        <v>64</v>
      </c>
      <c r="E160" s="79" t="s">
        <v>1331</v>
      </c>
      <c r="F160" s="80" t="s">
        <v>1371</v>
      </c>
      <c r="G160" s="81"/>
      <c r="H160" s="79" t="s">
        <v>644</v>
      </c>
      <c r="I160" s="80">
        <v>2000.0</v>
      </c>
      <c r="J160" s="81"/>
      <c r="K160" s="79" t="s">
        <v>289</v>
      </c>
      <c r="L160" s="80">
        <v>40.0</v>
      </c>
      <c r="M160" s="79" t="s">
        <v>2973</v>
      </c>
      <c r="N160" s="79" t="s">
        <v>2974</v>
      </c>
      <c r="O160" s="79" t="s">
        <v>2975</v>
      </c>
      <c r="P160" s="83">
        <v>41862.0</v>
      </c>
      <c r="Q160" s="81" t="s">
        <v>2976</v>
      </c>
      <c r="R160" s="86" t="str">
        <f>HYPERLINK("http://frank.jou.ufl.edu/frankology/meet-the-new-spokespeople-for-climate-change-politicians/","http://frank.jou.ufl.edu/frankology/meet-the-new-spokespeople-for-climate-change-politicians/")</f>
        <v>http://frank.jou.ufl.edu/frankology/meet-the-new-spokespeople-for-climate-change-politicians/</v>
      </c>
      <c r="S160" s="81"/>
      <c r="T160" s="81" t="s">
        <v>462</v>
      </c>
      <c r="U160" s="81" t="s">
        <v>462</v>
      </c>
      <c r="V160" s="81" t="s">
        <v>676</v>
      </c>
      <c r="W160" s="81" t="s">
        <v>769</v>
      </c>
      <c r="X160" s="81" t="s">
        <v>2979</v>
      </c>
      <c r="Y160" s="88">
        <v>41957.0</v>
      </c>
      <c r="Z160" s="81"/>
      <c r="AA160" s="81" t="s">
        <v>769</v>
      </c>
      <c r="AB160" s="81"/>
      <c r="AC160" s="88">
        <v>41955.0</v>
      </c>
      <c r="AD160" s="81"/>
      <c r="AE160" s="81"/>
      <c r="AF160" s="81"/>
      <c r="AG160" s="81"/>
      <c r="AH160" s="81"/>
      <c r="AI160" s="81"/>
      <c r="AJ160" s="79"/>
      <c r="AK160" s="79"/>
      <c r="AL160" s="79"/>
    </row>
    <row r="161" ht="22.5" customHeight="1">
      <c r="A161" s="79">
        <v>10159.0</v>
      </c>
      <c r="B161" s="79" t="s">
        <v>1230</v>
      </c>
      <c r="C161" s="79" t="s">
        <v>238</v>
      </c>
      <c r="D161" s="79" t="s">
        <v>64</v>
      </c>
      <c r="E161" s="79" t="s">
        <v>2893</v>
      </c>
      <c r="F161" s="80" t="s">
        <v>1371</v>
      </c>
      <c r="G161" s="81"/>
      <c r="H161" s="79" t="s">
        <v>224</v>
      </c>
      <c r="I161" s="80"/>
      <c r="J161" s="81"/>
      <c r="K161" s="79" t="s">
        <v>111</v>
      </c>
      <c r="L161" s="80">
        <v>41.0</v>
      </c>
      <c r="M161" s="94" t="s">
        <v>2983</v>
      </c>
      <c r="N161" s="79" t="s">
        <v>2984</v>
      </c>
      <c r="O161" s="79" t="s">
        <v>1325</v>
      </c>
      <c r="P161" s="83">
        <v>42321.0</v>
      </c>
      <c r="Q161" s="81" t="s">
        <v>2985</v>
      </c>
      <c r="R161" s="86" t="str">
        <f>HYPERLINK("http://www.nytimes.com/2015/11/15/opinion/sunday/the-key-to-political-persuasion.html?ref=opinion&amp;_r=1","http://www.nytimes.com/2015/11/15/opinion/sunday/the-key-to-political-persuasion.html?ref=opinion&amp;_r=1")</f>
        <v>http://www.nytimes.com/2015/11/15/opinion/sunday/the-key-to-political-persuasion.html?ref=opinion&amp;_r=1</v>
      </c>
      <c r="S161" s="81"/>
      <c r="T161" s="81"/>
      <c r="U161" s="81"/>
      <c r="V161" s="81"/>
      <c r="W161" s="81" t="s">
        <v>462</v>
      </c>
      <c r="X161" s="81"/>
      <c r="Y161" s="81"/>
      <c r="Z161" s="81"/>
      <c r="AA161" s="81" t="s">
        <v>769</v>
      </c>
      <c r="AB161" s="81" t="s">
        <v>2988</v>
      </c>
      <c r="AC161" s="81"/>
      <c r="AD161" s="81"/>
      <c r="AE161" s="81"/>
      <c r="AF161" s="81"/>
      <c r="AG161" s="81"/>
      <c r="AH161" s="81"/>
      <c r="AI161" s="81" t="s">
        <v>428</v>
      </c>
      <c r="AJ161" s="81"/>
      <c r="AK161" s="79"/>
      <c r="AL161" s="79"/>
    </row>
    <row r="162" ht="22.5" customHeight="1">
      <c r="A162" s="79">
        <v>10160.0</v>
      </c>
      <c r="B162" s="79" t="s">
        <v>1230</v>
      </c>
      <c r="C162" s="79" t="s">
        <v>238</v>
      </c>
      <c r="D162" s="79" t="s">
        <v>64</v>
      </c>
      <c r="E162" s="79" t="s">
        <v>1767</v>
      </c>
      <c r="F162" s="80" t="s">
        <v>1768</v>
      </c>
      <c r="G162" s="81"/>
      <c r="H162" s="79" t="s">
        <v>644</v>
      </c>
      <c r="I162" s="80">
        <v>2000.0</v>
      </c>
      <c r="J162" s="81"/>
      <c r="K162" s="79" t="s">
        <v>324</v>
      </c>
      <c r="L162" s="80" t="s">
        <v>325</v>
      </c>
      <c r="M162" s="94" t="s">
        <v>1769</v>
      </c>
      <c r="N162" s="79" t="s">
        <v>1286</v>
      </c>
      <c r="O162" s="79" t="s">
        <v>1287</v>
      </c>
      <c r="P162" s="83">
        <v>42383.0</v>
      </c>
      <c r="Q162" s="81" t="s">
        <v>1770</v>
      </c>
      <c r="R162" s="86" t="str">
        <f>HYPERLINK("http://climateoutreach.org/introducing-climate-visuals-an-innovative-new-resource-for-visual-climate-change-communication/","http://climateoutreach.org/introducing-climate-visuals-an-innovative-new-resource-for-visual-climate-change-communication/")</f>
        <v>http://climateoutreach.org/introducing-climate-visuals-an-innovative-new-resource-for-visual-climate-change-communication/</v>
      </c>
      <c r="S162" s="81"/>
      <c r="T162" s="81"/>
      <c r="U162" s="81"/>
      <c r="V162" s="81"/>
      <c r="W162" s="81"/>
      <c r="X162" s="81"/>
      <c r="Y162" s="81"/>
      <c r="Z162" s="81"/>
      <c r="AA162" s="81"/>
      <c r="AB162" s="81"/>
      <c r="AC162" s="81"/>
      <c r="AD162" s="81"/>
      <c r="AE162" s="81"/>
      <c r="AF162" s="81"/>
      <c r="AG162" s="81"/>
      <c r="AH162" s="81"/>
      <c r="AI162" s="81" t="s">
        <v>428</v>
      </c>
      <c r="AJ162" s="81"/>
      <c r="AK162" s="79"/>
      <c r="AL162" s="79"/>
    </row>
    <row r="163" ht="22.5" customHeight="1">
      <c r="A163" s="79">
        <v>10161.0</v>
      </c>
      <c r="B163" s="79" t="s">
        <v>1230</v>
      </c>
      <c r="C163" s="79" t="s">
        <v>238</v>
      </c>
      <c r="D163" s="79" t="s">
        <v>64</v>
      </c>
      <c r="E163" s="79" t="s">
        <v>1767</v>
      </c>
      <c r="F163" s="80" t="s">
        <v>1768</v>
      </c>
      <c r="G163" s="81"/>
      <c r="H163" s="79" t="s">
        <v>644</v>
      </c>
      <c r="I163" s="80">
        <v>2000.0</v>
      </c>
      <c r="J163" s="81"/>
      <c r="K163" s="79" t="s">
        <v>111</v>
      </c>
      <c r="L163" s="80">
        <v>41.0</v>
      </c>
      <c r="M163" s="79" t="s">
        <v>3003</v>
      </c>
      <c r="N163" s="79" t="s">
        <v>3004</v>
      </c>
      <c r="O163" s="79" t="s">
        <v>3005</v>
      </c>
      <c r="P163" s="83">
        <v>42018.0</v>
      </c>
      <c r="Q163" s="81" t="s">
        <v>3006</v>
      </c>
      <c r="R163" s="86" t="str">
        <f>HYPERLINK("http://climatemigration.org.uk/image-problem-are-we-using-the-wrong-photographs-to-illustrate-migration-and-climate-change/","http://climatemigration.org.uk/image-problem-are-we-using-the-wrong-photographs-to-illustrate-migration-and-climate-change/")</f>
        <v>http://climatemigration.org.uk/image-problem-are-we-using-the-wrong-photographs-to-illustrate-migration-and-climate-change/</v>
      </c>
      <c r="S163" s="81"/>
      <c r="T163" s="81" t="s">
        <v>462</v>
      </c>
      <c r="U163" s="81" t="s">
        <v>462</v>
      </c>
      <c r="V163" s="81" t="s">
        <v>676</v>
      </c>
      <c r="W163" s="81" t="s">
        <v>769</v>
      </c>
      <c r="X163" s="81" t="s">
        <v>3011</v>
      </c>
      <c r="Y163" s="88">
        <v>42130.0</v>
      </c>
      <c r="Z163" s="96" t="str">
        <f>HYPERLINK("http://bit.ly/1JaiyCz","7/19/2016")</f>
        <v>7/19/2016</v>
      </c>
      <c r="AA163" s="81" t="s">
        <v>769</v>
      </c>
      <c r="AB163" s="81"/>
      <c r="AC163" s="88">
        <v>42137.0</v>
      </c>
      <c r="AD163" s="81"/>
      <c r="AE163" s="81"/>
      <c r="AF163" s="81"/>
      <c r="AG163" s="81"/>
      <c r="AH163" s="81"/>
      <c r="AI163" s="81"/>
      <c r="AJ163" s="81"/>
      <c r="AK163" s="79"/>
      <c r="AL163" s="79"/>
    </row>
    <row r="164" ht="22.5" customHeight="1">
      <c r="A164" s="79">
        <v>10162.0</v>
      </c>
      <c r="B164" s="79" t="s">
        <v>1230</v>
      </c>
      <c r="C164" s="79" t="s">
        <v>238</v>
      </c>
      <c r="D164" s="79" t="s">
        <v>64</v>
      </c>
      <c r="E164" s="79" t="s">
        <v>1767</v>
      </c>
      <c r="F164" s="80" t="s">
        <v>1768</v>
      </c>
      <c r="G164" s="81"/>
      <c r="H164" s="79" t="s">
        <v>837</v>
      </c>
      <c r="I164" s="80">
        <v>2000.0</v>
      </c>
      <c r="J164" s="81"/>
      <c r="K164" s="79" t="s">
        <v>289</v>
      </c>
      <c r="L164" s="80">
        <v>40.0</v>
      </c>
      <c r="M164" s="79" t="s">
        <v>3019</v>
      </c>
      <c r="N164" s="79" t="s">
        <v>3020</v>
      </c>
      <c r="O164" s="79" t="s">
        <v>3021</v>
      </c>
      <c r="P164" s="83">
        <v>40669.0</v>
      </c>
      <c r="Q164" s="81" t="s">
        <v>3022</v>
      </c>
      <c r="R164" s="86" t="str">
        <f>HYPERLINK("https://www.psychologytoday.com/blog/ulterior-motives/201105/why-is-the-belief-in-global-warming-affected-temperature","https://www.psychologytoday.com/blog/ulterior-motives/201105/why-is-the-belief-in-global-warming-affected-temperature")</f>
        <v>https://www.psychologytoday.com/blog/ulterior-motives/201105/why-is-the-belief-in-global-warming-affected-temperature</v>
      </c>
      <c r="S164" s="81"/>
      <c r="T164" s="81" t="s">
        <v>3024</v>
      </c>
      <c r="U164" s="81" t="s">
        <v>3025</v>
      </c>
      <c r="V164" s="81"/>
      <c r="W164" s="81" t="s">
        <v>769</v>
      </c>
      <c r="X164" s="81" t="s">
        <v>3026</v>
      </c>
      <c r="Y164" s="88">
        <v>42331.0</v>
      </c>
      <c r="Z164" s="88">
        <v>42527.0</v>
      </c>
      <c r="AA164" s="81"/>
      <c r="AB164" s="81"/>
      <c r="AC164" s="88"/>
      <c r="AD164" s="81"/>
      <c r="AE164" s="81"/>
      <c r="AF164" s="81"/>
      <c r="AG164" s="81"/>
      <c r="AH164" s="81"/>
      <c r="AI164" s="81"/>
      <c r="AJ164" s="81"/>
      <c r="AK164" s="79"/>
      <c r="AL164" s="79"/>
    </row>
    <row r="165" ht="22.5" customHeight="1">
      <c r="A165" s="79">
        <v>10163.0</v>
      </c>
      <c r="B165" s="79" t="s">
        <v>1230</v>
      </c>
      <c r="C165" s="79" t="s">
        <v>238</v>
      </c>
      <c r="D165" s="79" t="s">
        <v>64</v>
      </c>
      <c r="E165" s="79" t="s">
        <v>1767</v>
      </c>
      <c r="F165" s="80" t="s">
        <v>1768</v>
      </c>
      <c r="G165" s="81"/>
      <c r="H165" s="79" t="s">
        <v>837</v>
      </c>
      <c r="I165" s="80">
        <v>2000.0</v>
      </c>
      <c r="J165" s="81"/>
      <c r="K165" s="79" t="s">
        <v>3028</v>
      </c>
      <c r="L165" s="80" t="s">
        <v>3030</v>
      </c>
      <c r="M165" s="79" t="s">
        <v>3031</v>
      </c>
      <c r="N165" s="79" t="s">
        <v>3020</v>
      </c>
      <c r="O165" s="79" t="s">
        <v>3021</v>
      </c>
      <c r="P165" s="83">
        <v>40662.0</v>
      </c>
      <c r="Q165" s="81" t="s">
        <v>3022</v>
      </c>
      <c r="R165" s="86" t="str">
        <f>HYPERLINK("https://www.psychologytoday.com/blog/ulterior-motives/201104/global-warming-politics-is-local","https://www.psychologytoday.com/blog/ulterior-motives/201104/global-warming-politics-is-local")</f>
        <v>https://www.psychologytoday.com/blog/ulterior-motives/201104/global-warming-politics-is-local</v>
      </c>
      <c r="S165" s="81"/>
      <c r="T165" s="81" t="s">
        <v>3036</v>
      </c>
      <c r="U165" s="81" t="s">
        <v>3037</v>
      </c>
      <c r="V165" s="81"/>
      <c r="W165" s="81" t="s">
        <v>769</v>
      </c>
      <c r="X165" s="81"/>
      <c r="Y165" s="88"/>
      <c r="Z165" s="81"/>
      <c r="AA165" s="81"/>
      <c r="AB165" s="81"/>
      <c r="AC165" s="88"/>
      <c r="AD165" s="81"/>
      <c r="AE165" s="81"/>
      <c r="AF165" s="81"/>
      <c r="AG165" s="81"/>
      <c r="AH165" s="81"/>
      <c r="AI165" s="81"/>
      <c r="AJ165" s="81"/>
      <c r="AK165" s="79"/>
      <c r="AL165" s="79"/>
    </row>
    <row r="166" ht="22.5" customHeight="1">
      <c r="A166" s="79">
        <v>10164.0</v>
      </c>
      <c r="B166" s="79" t="s">
        <v>1230</v>
      </c>
      <c r="C166" s="79" t="s">
        <v>238</v>
      </c>
      <c r="D166" s="79" t="s">
        <v>64</v>
      </c>
      <c r="E166" s="79" t="s">
        <v>1767</v>
      </c>
      <c r="F166" s="80" t="s">
        <v>1768</v>
      </c>
      <c r="G166" s="81"/>
      <c r="H166" s="79" t="s">
        <v>578</v>
      </c>
      <c r="I166" s="80">
        <v>2000.0</v>
      </c>
      <c r="J166" s="81"/>
      <c r="K166" s="79" t="s">
        <v>289</v>
      </c>
      <c r="L166" s="80">
        <v>40.0</v>
      </c>
      <c r="M166" s="94" t="s">
        <v>3040</v>
      </c>
      <c r="N166" s="79" t="s">
        <v>3041</v>
      </c>
      <c r="O166" s="79" t="s">
        <v>1754</v>
      </c>
      <c r="P166" s="83">
        <v>42387.0</v>
      </c>
      <c r="Q166" s="81" t="s">
        <v>3042</v>
      </c>
      <c r="R166" s="86" t="str">
        <f>HYPERLINK("http://www.huffingtonpost.com/entry/climate-change-psychology_us_5674272ee4b014efe0d52186","http://www.huffingtonpost.com/entry/climate-change-psychology_us_5674272ee4b014efe0d52186")</f>
        <v>http://www.huffingtonpost.com/entry/climate-change-psychology_us_5674272ee4b014efe0d52186</v>
      </c>
      <c r="S166" s="81"/>
      <c r="T166" s="81"/>
      <c r="U166" s="81"/>
      <c r="V166" s="81"/>
      <c r="W166" s="81" t="s">
        <v>428</v>
      </c>
      <c r="X166" s="81" t="s">
        <v>3045</v>
      </c>
      <c r="Y166" s="88">
        <v>42656.0</v>
      </c>
      <c r="Z166" s="81"/>
      <c r="AA166" s="81"/>
      <c r="AB166" s="81"/>
      <c r="AC166" s="81"/>
      <c r="AD166" s="81"/>
      <c r="AE166" s="81"/>
      <c r="AF166" s="81"/>
      <c r="AG166" s="81"/>
      <c r="AH166" s="81"/>
      <c r="AI166" s="81" t="s">
        <v>428</v>
      </c>
      <c r="AJ166" s="81"/>
      <c r="AK166" s="79"/>
      <c r="AL166" s="79"/>
    </row>
    <row r="167" ht="22.5" customHeight="1">
      <c r="A167" s="79">
        <v>10165.0</v>
      </c>
      <c r="B167" s="79" t="s">
        <v>1230</v>
      </c>
      <c r="C167" s="79" t="s">
        <v>238</v>
      </c>
      <c r="D167" s="79" t="s">
        <v>64</v>
      </c>
      <c r="E167" s="79" t="s">
        <v>1767</v>
      </c>
      <c r="F167" s="80" t="s">
        <v>1768</v>
      </c>
      <c r="G167" s="81"/>
      <c r="H167" s="79" t="s">
        <v>578</v>
      </c>
      <c r="I167" s="80">
        <v>2000.0</v>
      </c>
      <c r="J167" s="81"/>
      <c r="K167" s="79" t="s">
        <v>289</v>
      </c>
      <c r="L167" s="80">
        <v>40.0</v>
      </c>
      <c r="M167" s="79" t="s">
        <v>3047</v>
      </c>
      <c r="N167" s="79" t="s">
        <v>3048</v>
      </c>
      <c r="O167" s="79" t="s">
        <v>3049</v>
      </c>
      <c r="P167" s="83">
        <v>42012.0</v>
      </c>
      <c r="Q167" s="81" t="s">
        <v>3050</v>
      </c>
      <c r="R167" s="86" t="str">
        <f>HYPERLINK("http://blogs.ei.columbia.edu/2015/01/08/what-will-you-leave-behind-how-personal-legacy-affects-pro-environmental-behavior/","http://blogs.ei.columbia.edu/2015/01/08/what-will-you-leave-behind-how-personal-legacy-affects-pro-environmental-behavior/")</f>
        <v>http://blogs.ei.columbia.edu/2015/01/08/what-will-you-leave-behind-how-personal-legacy-affects-pro-environmental-behavior/</v>
      </c>
      <c r="S167" s="81"/>
      <c r="T167" s="81" t="s">
        <v>1316</v>
      </c>
      <c r="U167" s="81" t="s">
        <v>1317</v>
      </c>
      <c r="V167" s="81" t="s">
        <v>1099</v>
      </c>
      <c r="W167" s="81" t="s">
        <v>769</v>
      </c>
      <c r="X167" s="81" t="s">
        <v>3055</v>
      </c>
      <c r="Y167" s="88">
        <v>42353.0</v>
      </c>
      <c r="Z167" s="88">
        <v>42508.0</v>
      </c>
      <c r="AA167" s="81"/>
      <c r="AB167" s="81"/>
      <c r="AC167" s="81"/>
      <c r="AD167" s="81"/>
      <c r="AE167" s="81"/>
      <c r="AF167" s="81"/>
      <c r="AG167" s="81"/>
      <c r="AH167" s="81" t="s">
        <v>428</v>
      </c>
      <c r="AI167" s="81"/>
      <c r="AJ167" s="81"/>
      <c r="AK167" s="79"/>
      <c r="AL167" s="79"/>
    </row>
    <row r="168" ht="22.5" customHeight="1">
      <c r="A168" s="79">
        <v>10166.0</v>
      </c>
      <c r="B168" s="79" t="s">
        <v>1230</v>
      </c>
      <c r="C168" s="79" t="s">
        <v>238</v>
      </c>
      <c r="D168" s="79" t="s">
        <v>64</v>
      </c>
      <c r="E168" s="79" t="s">
        <v>1361</v>
      </c>
      <c r="F168" s="80" t="s">
        <v>1383</v>
      </c>
      <c r="G168" s="81"/>
      <c r="H168" s="79" t="s">
        <v>644</v>
      </c>
      <c r="I168" s="80">
        <v>2000.0</v>
      </c>
      <c r="J168" s="81"/>
      <c r="K168" s="79" t="s">
        <v>289</v>
      </c>
      <c r="L168" s="80">
        <v>40.0</v>
      </c>
      <c r="M168" s="79" t="s">
        <v>3056</v>
      </c>
      <c r="N168" s="79" t="s">
        <v>3057</v>
      </c>
      <c r="O168" s="79" t="s">
        <v>3059</v>
      </c>
      <c r="P168" s="83">
        <v>41859.0</v>
      </c>
      <c r="Q168" s="81" t="s">
        <v>108</v>
      </c>
      <c r="R168" s="86" t="str">
        <f>HYPERLINK("http://www.fastcoexist.com/3034104/the-climate-movement-needs-rebranding-but-these-milton-glazer-buttons-wont-do-it","http://www.fastcoexist.com/3034104/the-climate-movement-needs-rebranding-but-these-milton-glazer-buttons-wont-do-it")</f>
        <v>http://www.fastcoexist.com/3034104/the-climate-movement-needs-rebranding-but-these-milton-glazer-buttons-wont-do-it</v>
      </c>
      <c r="S168" s="81"/>
      <c r="T168" s="81" t="s">
        <v>462</v>
      </c>
      <c r="U168" s="81" t="s">
        <v>462</v>
      </c>
      <c r="V168" s="81" t="s">
        <v>676</v>
      </c>
      <c r="W168" s="81" t="s">
        <v>769</v>
      </c>
      <c r="X168" s="81" t="s">
        <v>3062</v>
      </c>
      <c r="Y168" s="88">
        <v>41960.0</v>
      </c>
      <c r="Z168" s="81"/>
      <c r="AA168" s="81" t="s">
        <v>530</v>
      </c>
      <c r="AB168" s="81"/>
      <c r="AC168" s="88"/>
      <c r="AD168" s="81"/>
      <c r="AE168" s="88"/>
      <c r="AF168" s="81"/>
      <c r="AG168" s="81"/>
      <c r="AH168" s="81"/>
      <c r="AI168" s="81"/>
      <c r="AJ168" s="81"/>
      <c r="AK168" s="79"/>
      <c r="AL168" s="79"/>
    </row>
    <row r="169" ht="22.5" customHeight="1">
      <c r="A169" s="79">
        <v>10167.0</v>
      </c>
      <c r="B169" s="79" t="s">
        <v>1230</v>
      </c>
      <c r="C169" s="79" t="s">
        <v>238</v>
      </c>
      <c r="D169" s="79" t="s">
        <v>64</v>
      </c>
      <c r="E169" s="79" t="s">
        <v>1361</v>
      </c>
      <c r="F169" s="80" t="s">
        <v>1383</v>
      </c>
      <c r="G169" s="81"/>
      <c r="H169" s="79" t="s">
        <v>1643</v>
      </c>
      <c r="I169" s="80" t="s">
        <v>1642</v>
      </c>
      <c r="J169" s="81"/>
      <c r="K169" s="79" t="s">
        <v>289</v>
      </c>
      <c r="L169" s="80">
        <v>40.0</v>
      </c>
      <c r="M169" s="94" t="s">
        <v>1644</v>
      </c>
      <c r="N169" s="79" t="s">
        <v>1623</v>
      </c>
      <c r="O169" s="79" t="s">
        <v>1441</v>
      </c>
      <c r="P169" s="83">
        <v>42391.0</v>
      </c>
      <c r="Q169" s="81" t="s">
        <v>1645</v>
      </c>
      <c r="R169" s="86" t="str">
        <f>HYPERLINK("http://www.climateaccess.org/blog/case-study-visuals-and-conversation-help-deepen-engagement-climate-impacts","http://www.climateaccess.org/blog/case-study-visuals-and-conversation-help-deepen-engagement-climate-impacts")</f>
        <v>http://www.climateaccess.org/blog/case-study-visuals-and-conversation-help-deepen-engagement-climate-impacts</v>
      </c>
      <c r="S169" s="81"/>
      <c r="T169" s="81"/>
      <c r="U169" s="81"/>
      <c r="V169" s="81"/>
      <c r="W169" s="81" t="s">
        <v>769</v>
      </c>
      <c r="X169" s="81" t="s">
        <v>1657</v>
      </c>
      <c r="Y169" s="88">
        <v>42713.0</v>
      </c>
      <c r="Z169" s="81"/>
      <c r="AA169" s="81"/>
      <c r="AB169" s="81"/>
      <c r="AC169" s="81"/>
      <c r="AD169" s="81"/>
      <c r="AE169" s="81"/>
      <c r="AF169" s="81"/>
      <c r="AG169" s="81"/>
      <c r="AH169" s="81"/>
      <c r="AI169" s="81" t="s">
        <v>428</v>
      </c>
      <c r="AJ169" s="81"/>
      <c r="AK169" s="79"/>
      <c r="AL169" s="79"/>
    </row>
    <row r="170" ht="22.5" customHeight="1">
      <c r="A170" s="79">
        <v>10168.0</v>
      </c>
      <c r="B170" s="79" t="s">
        <v>1230</v>
      </c>
      <c r="C170" s="79" t="s">
        <v>238</v>
      </c>
      <c r="D170" s="79" t="s">
        <v>64</v>
      </c>
      <c r="E170" s="79" t="s">
        <v>1361</v>
      </c>
      <c r="F170" s="80" t="s">
        <v>1383</v>
      </c>
      <c r="G170" s="81"/>
      <c r="H170" s="79" t="s">
        <v>837</v>
      </c>
      <c r="I170" s="80">
        <v>2000.0</v>
      </c>
      <c r="J170" s="81"/>
      <c r="K170" s="79" t="s">
        <v>289</v>
      </c>
      <c r="L170" s="80">
        <v>40.0</v>
      </c>
      <c r="M170" s="79" t="s">
        <v>2646</v>
      </c>
      <c r="N170" s="79" t="s">
        <v>1548</v>
      </c>
      <c r="O170" s="79" t="s">
        <v>1550</v>
      </c>
      <c r="P170" s="83">
        <v>42107.0</v>
      </c>
      <c r="Q170" s="81" t="s">
        <v>1510</v>
      </c>
      <c r="R170" s="86" t="str">
        <f>HYPERLINK("http://ecoaffect.org/2015/04/13/why-clear-simple-messages-are-the-key-to-better-climate-understanding/","http://ecoaffect.org/2015/04/13/why-clear-simple-messages-are-the-key-to-better-climate-understanding/")</f>
        <v>http://ecoaffect.org/2015/04/13/why-clear-simple-messages-are-the-key-to-better-climate-understanding/</v>
      </c>
      <c r="S170" s="81"/>
      <c r="T170" s="81" t="s">
        <v>462</v>
      </c>
      <c r="U170" s="81" t="s">
        <v>462</v>
      </c>
      <c r="V170" s="81" t="s">
        <v>676</v>
      </c>
      <c r="W170" s="81" t="s">
        <v>769</v>
      </c>
      <c r="X170" s="81" t="s">
        <v>2661</v>
      </c>
      <c r="Y170" s="88">
        <v>42138.0</v>
      </c>
      <c r="Z170" s="88">
        <v>42583.0</v>
      </c>
      <c r="AA170" s="81" t="s">
        <v>769</v>
      </c>
      <c r="AB170" s="81"/>
      <c r="AC170" s="88">
        <v>42160.0</v>
      </c>
      <c r="AD170" s="81"/>
      <c r="AE170" s="81"/>
      <c r="AF170" s="81"/>
      <c r="AG170" s="81"/>
      <c r="AH170" s="81"/>
      <c r="AI170" s="81"/>
      <c r="AJ170" s="81"/>
      <c r="AK170" s="79"/>
      <c r="AL170" s="79"/>
    </row>
    <row r="171" ht="22.5" customHeight="1">
      <c r="A171" s="79">
        <v>10169.0</v>
      </c>
      <c r="B171" s="79" t="s">
        <v>1230</v>
      </c>
      <c r="C171" s="79" t="s">
        <v>238</v>
      </c>
      <c r="D171" s="79" t="s">
        <v>64</v>
      </c>
      <c r="E171" s="79" t="s">
        <v>1361</v>
      </c>
      <c r="F171" s="80" t="s">
        <v>1383</v>
      </c>
      <c r="G171" s="81"/>
      <c r="H171" s="79" t="s">
        <v>578</v>
      </c>
      <c r="I171" s="80">
        <v>2000.0</v>
      </c>
      <c r="J171" s="81"/>
      <c r="K171" s="79" t="s">
        <v>289</v>
      </c>
      <c r="L171" s="80">
        <v>40.0</v>
      </c>
      <c r="M171" s="79" t="s">
        <v>3080</v>
      </c>
      <c r="N171" s="79" t="s">
        <v>3081</v>
      </c>
      <c r="O171" s="79" t="s">
        <v>2940</v>
      </c>
      <c r="P171" s="83">
        <v>41613.0</v>
      </c>
      <c r="Q171" s="81"/>
      <c r="R171" s="86" t="str">
        <f>HYPERLINK("http://www.slate.com/blogs/the_world_/2013/12/05/do_older_countries_care_more_about_the_environment_nbsp.html","http://www.slate.com/blogs/the_world_/2013/12/05/do_older_countries_care_more_about_the_environment_nbsp.html")</f>
        <v>http://www.slate.com/blogs/the_world_/2013/12/05/do_older_countries_care_more_about_the_environment_nbsp.html</v>
      </c>
      <c r="S171" s="81"/>
      <c r="T171" s="81" t="s">
        <v>1380</v>
      </c>
      <c r="U171" s="81" t="s">
        <v>1381</v>
      </c>
      <c r="V171" s="81"/>
      <c r="W171" s="81" t="s">
        <v>600</v>
      </c>
      <c r="X171" s="81"/>
      <c r="Y171" s="88"/>
      <c r="Z171" s="81"/>
      <c r="AA171" s="81"/>
      <c r="AB171" s="81"/>
      <c r="AC171" s="88"/>
      <c r="AD171" s="81"/>
      <c r="AE171" s="81"/>
      <c r="AF171" s="81"/>
      <c r="AG171" s="81"/>
      <c r="AH171" s="81"/>
      <c r="AI171" s="81"/>
      <c r="AJ171" s="81"/>
      <c r="AK171" s="79"/>
      <c r="AL171" s="79"/>
    </row>
    <row r="172" ht="22.5" customHeight="1">
      <c r="A172" s="79">
        <v>10170.0</v>
      </c>
      <c r="B172" s="79" t="s">
        <v>1230</v>
      </c>
      <c r="C172" s="79" t="s">
        <v>238</v>
      </c>
      <c r="D172" s="79" t="s">
        <v>64</v>
      </c>
      <c r="E172" s="79" t="s">
        <v>3091</v>
      </c>
      <c r="F172" s="80" t="s">
        <v>3092</v>
      </c>
      <c r="G172" s="81"/>
      <c r="H172" s="79" t="s">
        <v>644</v>
      </c>
      <c r="I172" s="80">
        <v>2000.0</v>
      </c>
      <c r="J172" s="81"/>
      <c r="K172" s="79" t="s">
        <v>117</v>
      </c>
      <c r="L172" s="80">
        <v>40.0</v>
      </c>
      <c r="M172" s="79" t="s">
        <v>3093</v>
      </c>
      <c r="N172" s="79" t="s">
        <v>188</v>
      </c>
      <c r="O172" s="79" t="s">
        <v>3094</v>
      </c>
      <c r="P172" s="83">
        <v>42472.0</v>
      </c>
      <c r="Q172" s="81" t="s">
        <v>3095</v>
      </c>
      <c r="R172" s="79" t="s">
        <v>3096</v>
      </c>
      <c r="S172" s="81"/>
      <c r="T172" s="81" t="s">
        <v>462</v>
      </c>
      <c r="U172" s="81" t="s">
        <v>462</v>
      </c>
      <c r="V172" s="81"/>
      <c r="W172" s="81"/>
      <c r="X172" s="81"/>
      <c r="Y172" s="88"/>
      <c r="Z172" s="88"/>
      <c r="AA172" s="81"/>
      <c r="AB172" s="81"/>
      <c r="AC172" s="88"/>
      <c r="AD172" s="81"/>
      <c r="AE172" s="88"/>
      <c r="AF172" s="81"/>
      <c r="AG172" s="81"/>
      <c r="AH172" s="81"/>
      <c r="AI172" s="81"/>
      <c r="AJ172" s="81"/>
      <c r="AK172" s="79"/>
      <c r="AL172" s="79"/>
    </row>
    <row r="173" ht="22.5" customHeight="1">
      <c r="A173" s="79">
        <v>10171.0</v>
      </c>
      <c r="B173" s="79" t="s">
        <v>1230</v>
      </c>
      <c r="C173" s="79" t="s">
        <v>238</v>
      </c>
      <c r="D173" s="79" t="s">
        <v>64</v>
      </c>
      <c r="E173" s="79" t="s">
        <v>887</v>
      </c>
      <c r="F173" s="80">
        <v>9.0</v>
      </c>
      <c r="G173" s="81"/>
      <c r="H173" s="79" t="s">
        <v>224</v>
      </c>
      <c r="I173" s="80"/>
      <c r="J173" s="81"/>
      <c r="K173" s="79" t="s">
        <v>111</v>
      </c>
      <c r="L173" s="80">
        <v>41.0</v>
      </c>
      <c r="M173" s="79" t="s">
        <v>3101</v>
      </c>
      <c r="N173" s="79" t="s">
        <v>3102</v>
      </c>
      <c r="O173" s="79" t="s">
        <v>1571</v>
      </c>
      <c r="P173" s="83">
        <v>41322.0</v>
      </c>
      <c r="Q173" s="81" t="s">
        <v>3103</v>
      </c>
      <c r="R173" s="86" t="str">
        <f>HYPERLINK("https://www.psychologytoday.com/blog/happiness-in-world/201302/how-ensure-youre-almost-always-right","https://www.psychologytoday.com/blog/happiness-in-world/201302/how-ensure-youre-almost-always-right")</f>
        <v>https://www.psychologytoday.com/blog/happiness-in-world/201302/how-ensure-youre-almost-always-right</v>
      </c>
      <c r="S173" s="81"/>
      <c r="T173" s="81" t="s">
        <v>428</v>
      </c>
      <c r="U173" s="81" t="s">
        <v>462</v>
      </c>
      <c r="V173" s="81"/>
      <c r="W173" s="81" t="s">
        <v>677</v>
      </c>
      <c r="X173" s="81"/>
      <c r="Y173" s="81"/>
      <c r="Z173" s="81"/>
      <c r="AA173" s="81"/>
      <c r="AB173" s="81"/>
      <c r="AC173" s="81"/>
      <c r="AD173" s="81"/>
      <c r="AE173" s="81"/>
      <c r="AF173" s="81"/>
      <c r="AG173" s="81"/>
      <c r="AH173" s="81"/>
      <c r="AI173" s="81"/>
      <c r="AJ173" s="81" t="s">
        <v>3106</v>
      </c>
      <c r="AK173" s="79"/>
      <c r="AL173" s="79"/>
    </row>
    <row r="174" ht="22.5" customHeight="1">
      <c r="A174" s="79">
        <v>10172.0</v>
      </c>
      <c r="B174" s="79" t="s">
        <v>1230</v>
      </c>
      <c r="C174" s="79" t="s">
        <v>238</v>
      </c>
      <c r="D174" s="79" t="s">
        <v>64</v>
      </c>
      <c r="E174" s="79" t="s">
        <v>887</v>
      </c>
      <c r="F174" s="80">
        <v>9.0</v>
      </c>
      <c r="G174" s="81"/>
      <c r="H174" s="79" t="s">
        <v>3109</v>
      </c>
      <c r="I174" s="80">
        <v>10000.0</v>
      </c>
      <c r="J174" s="81"/>
      <c r="K174" s="79" t="s">
        <v>289</v>
      </c>
      <c r="L174" s="80">
        <v>40.0</v>
      </c>
      <c r="M174" s="79" t="s">
        <v>3113</v>
      </c>
      <c r="N174" s="79" t="s">
        <v>3114</v>
      </c>
      <c r="O174" s="79" t="s">
        <v>3115</v>
      </c>
      <c r="P174" s="83">
        <v>42190.0</v>
      </c>
      <c r="Q174" s="81" t="s">
        <v>3113</v>
      </c>
      <c r="R174" s="86" t="str">
        <f>HYPERLINK("http://www.medicaldaily.com/nature-walks-improve-mental-health-helping-people-avoid-rumination-341266","http://www.medicaldaily.com/nature-walks-improve-mental-health-helping-people-avoid-rumination-341266")</f>
        <v>http://www.medicaldaily.com/nature-walks-improve-mental-health-helping-people-avoid-rumination-341266</v>
      </c>
      <c r="S174" s="81"/>
      <c r="T174" s="81" t="s">
        <v>428</v>
      </c>
      <c r="U174" s="81" t="s">
        <v>462</v>
      </c>
      <c r="V174" s="81"/>
      <c r="W174" s="81" t="s">
        <v>600</v>
      </c>
      <c r="X174" s="81"/>
      <c r="Y174" s="81"/>
      <c r="Z174" s="81"/>
      <c r="AA174" s="81"/>
      <c r="AB174" s="81"/>
      <c r="AC174" s="81"/>
      <c r="AD174" s="81"/>
      <c r="AE174" s="81"/>
      <c r="AF174" s="81"/>
      <c r="AG174" s="81"/>
      <c r="AH174" s="81"/>
      <c r="AI174" s="81"/>
      <c r="AJ174" s="81"/>
      <c r="AK174" s="79"/>
      <c r="AL174" s="79"/>
    </row>
    <row r="175" ht="22.5" customHeight="1">
      <c r="A175" s="79">
        <v>10173.0</v>
      </c>
      <c r="B175" s="79" t="s">
        <v>1230</v>
      </c>
      <c r="C175" s="79" t="s">
        <v>238</v>
      </c>
      <c r="D175" s="79" t="s">
        <v>64</v>
      </c>
      <c r="E175" s="79" t="s">
        <v>887</v>
      </c>
      <c r="F175" s="80">
        <v>9.0</v>
      </c>
      <c r="G175" s="81"/>
      <c r="H175" s="79" t="s">
        <v>644</v>
      </c>
      <c r="I175" s="80">
        <v>2000.0</v>
      </c>
      <c r="J175" s="81"/>
      <c r="K175" s="79" t="s">
        <v>111</v>
      </c>
      <c r="L175" s="80">
        <v>41.0</v>
      </c>
      <c r="M175" s="79" t="s">
        <v>3118</v>
      </c>
      <c r="N175" s="79" t="s">
        <v>3119</v>
      </c>
      <c r="O175" s="79" t="s">
        <v>1281</v>
      </c>
      <c r="P175" s="83">
        <v>42139.0</v>
      </c>
      <c r="Q175" s="81" t="s">
        <v>108</v>
      </c>
      <c r="R175" s="86" t="str">
        <f>HYPERLINK("http://www.theguardian.com/environment/2015/may/15/the-climate-change-movement-must-overcome-political-tribalism?CMP=share_btn_tw","http://www.theguardian.com/environment/2015/may/15/the-climate-change-movement-must-overcome-political-tribalism?CMP=share_btn_tw")</f>
        <v>http://www.theguardian.com/environment/2015/may/15/the-climate-change-movement-must-overcome-political-tribalism?CMP=share_btn_tw</v>
      </c>
      <c r="S175" s="81"/>
      <c r="T175" s="81" t="s">
        <v>462</v>
      </c>
      <c r="U175" s="81" t="s">
        <v>462</v>
      </c>
      <c r="V175" s="81"/>
      <c r="W175" s="81" t="s">
        <v>769</v>
      </c>
      <c r="X175" s="81" t="s">
        <v>3125</v>
      </c>
      <c r="Y175" s="88">
        <v>42177.0</v>
      </c>
      <c r="Z175" s="88">
        <v>42549.0</v>
      </c>
      <c r="AA175" s="81"/>
      <c r="AB175" s="81"/>
      <c r="AC175" s="88"/>
      <c r="AD175" s="81"/>
      <c r="AE175" s="81"/>
      <c r="AF175" s="81"/>
      <c r="AG175" s="81"/>
      <c r="AH175" s="81"/>
      <c r="AI175" s="81"/>
      <c r="AJ175" s="81"/>
      <c r="AK175" s="79"/>
      <c r="AL175" s="79"/>
    </row>
    <row r="176" ht="22.5" customHeight="1">
      <c r="A176" s="79">
        <v>10174.0</v>
      </c>
      <c r="B176" s="79" t="s">
        <v>1230</v>
      </c>
      <c r="C176" s="79" t="s">
        <v>238</v>
      </c>
      <c r="D176" s="79" t="s">
        <v>64</v>
      </c>
      <c r="E176" s="79" t="s">
        <v>887</v>
      </c>
      <c r="F176" s="80">
        <v>9.0</v>
      </c>
      <c r="G176" s="81"/>
      <c r="H176" s="79" t="s">
        <v>837</v>
      </c>
      <c r="I176" s="80">
        <v>2000.0</v>
      </c>
      <c r="J176" s="81"/>
      <c r="K176" s="79" t="s">
        <v>289</v>
      </c>
      <c r="L176" s="80">
        <v>40.0</v>
      </c>
      <c r="M176" s="79" t="s">
        <v>3128</v>
      </c>
      <c r="N176" s="79" t="s">
        <v>3129</v>
      </c>
      <c r="O176" s="79" t="s">
        <v>3130</v>
      </c>
      <c r="P176" s="83">
        <v>41675.0</v>
      </c>
      <c r="Q176" s="81" t="s">
        <v>1706</v>
      </c>
      <c r="R176" s="86" t="str">
        <f>HYPERLINK("http://theconversation.com/the-truth-is-out-there-so-how-do-you-debunk-a-myth-22641","http://theconversation.com/the-truth-is-out-there-so-how-do-you-debunk-a-myth-22641")</f>
        <v>http://theconversation.com/the-truth-is-out-there-so-how-do-you-debunk-a-myth-22641</v>
      </c>
      <c r="S176" s="81" t="s">
        <v>3135</v>
      </c>
      <c r="T176" s="81" t="s">
        <v>462</v>
      </c>
      <c r="U176" s="81" t="s">
        <v>462</v>
      </c>
      <c r="V176" s="81"/>
      <c r="W176" s="81" t="s">
        <v>769</v>
      </c>
      <c r="X176" s="81" t="s">
        <v>3136</v>
      </c>
      <c r="Y176" s="88">
        <v>42513.0</v>
      </c>
      <c r="Z176" s="81"/>
      <c r="AA176" s="81" t="s">
        <v>769</v>
      </c>
      <c r="AB176" s="81"/>
      <c r="AC176" s="88">
        <v>42450.0</v>
      </c>
      <c r="AD176" s="81"/>
      <c r="AE176" s="81"/>
      <c r="AF176" s="81"/>
      <c r="AG176" s="81"/>
      <c r="AH176" s="81"/>
      <c r="AI176" s="81"/>
      <c r="AJ176" s="81"/>
      <c r="AK176" s="79"/>
      <c r="AL176" s="79"/>
    </row>
    <row r="177" ht="22.5" customHeight="1">
      <c r="A177" s="79">
        <v>10175.0</v>
      </c>
      <c r="B177" s="79" t="s">
        <v>1230</v>
      </c>
      <c r="C177" s="79" t="s">
        <v>238</v>
      </c>
      <c r="D177" s="79" t="s">
        <v>64</v>
      </c>
      <c r="E177" s="79" t="s">
        <v>887</v>
      </c>
      <c r="F177" s="80">
        <v>9.0</v>
      </c>
      <c r="G177" s="81"/>
      <c r="H177" s="79" t="s">
        <v>578</v>
      </c>
      <c r="I177" s="80">
        <v>2000.0</v>
      </c>
      <c r="J177" s="81"/>
      <c r="K177" s="79" t="s">
        <v>289</v>
      </c>
      <c r="L177" s="80">
        <v>40.0</v>
      </c>
      <c r="M177" s="79" t="s">
        <v>3137</v>
      </c>
      <c r="N177" s="86" t="str">
        <f>HYPERLINK("http://lisabennett.org/author/lisapbennett/","Lisa Bennett")</f>
        <v>Lisa Bennett</v>
      </c>
      <c r="O177" s="79" t="s">
        <v>3138</v>
      </c>
      <c r="P177" s="83">
        <v>42079.0</v>
      </c>
      <c r="Q177" s="81" t="s">
        <v>3139</v>
      </c>
      <c r="R177" s="86" t="str">
        <f>HYPERLINK("http://lisabennett.org/2015/03/16/3-insights-into-writing-about-social-issues/","http://lisabennett.org/2015/03/16/3-insights-into-writing-about-social-issues/")</f>
        <v>http://lisabennett.org/2015/03/16/3-insights-into-writing-about-social-issues/</v>
      </c>
      <c r="S177" s="81" t="s">
        <v>3143</v>
      </c>
      <c r="T177" s="81" t="s">
        <v>462</v>
      </c>
      <c r="U177" s="81" t="s">
        <v>462</v>
      </c>
      <c r="V177" s="81"/>
      <c r="W177" s="81" t="s">
        <v>769</v>
      </c>
      <c r="X177" s="81" t="s">
        <v>3144</v>
      </c>
      <c r="Y177" s="88">
        <v>42178.0</v>
      </c>
      <c r="Z177" s="88">
        <v>42499.0</v>
      </c>
      <c r="AA177" s="81" t="s">
        <v>769</v>
      </c>
      <c r="AB177" s="81"/>
      <c r="AC177" s="88">
        <v>42522.0</v>
      </c>
      <c r="AD177" s="81"/>
      <c r="AE177" s="81"/>
      <c r="AF177" s="81"/>
      <c r="AG177" s="81"/>
      <c r="AH177" s="81"/>
      <c r="AI177" s="81"/>
      <c r="AJ177" s="81"/>
      <c r="AK177" s="81"/>
      <c r="AL177" s="79"/>
    </row>
    <row r="178" ht="22.5" customHeight="1">
      <c r="A178" s="79">
        <v>10176.0</v>
      </c>
      <c r="B178" s="79" t="s">
        <v>1230</v>
      </c>
      <c r="C178" s="79" t="s">
        <v>238</v>
      </c>
      <c r="D178" s="79" t="s">
        <v>64</v>
      </c>
      <c r="E178" s="79" t="s">
        <v>887</v>
      </c>
      <c r="F178" s="80">
        <v>9.0</v>
      </c>
      <c r="G178" s="81"/>
      <c r="H178" s="79" t="s">
        <v>3109</v>
      </c>
      <c r="I178" s="80">
        <v>10000.0</v>
      </c>
      <c r="J178" s="81"/>
      <c r="K178" s="79" t="s">
        <v>687</v>
      </c>
      <c r="L178" s="80" t="s">
        <v>688</v>
      </c>
      <c r="M178" s="94" t="s">
        <v>3145</v>
      </c>
      <c r="N178" s="79" t="s">
        <v>3146</v>
      </c>
      <c r="O178" s="79" t="s">
        <v>1375</v>
      </c>
      <c r="P178" s="83">
        <v>42507.0</v>
      </c>
      <c r="Q178" s="81" t="s">
        <v>3147</v>
      </c>
      <c r="R178" s="86" t="str">
        <f>HYPERLINK("https://www.washingtonpost.com/news/to-your-health/wp/2016/05/17/forest-bathing-is-latest-fitness-trend-to-hit-u-s-where-yoga-was-30-years-ago/","https://www.washingtonpost.com/news/to-your-health/wp/2016/05/17/forest-bathing-is-latest-fitness-trend-to-hit-u-s-where-yoga-was-30-years-ago/")</f>
        <v>https://www.washingtonpost.com/news/to-your-health/wp/2016/05/17/forest-bathing-is-latest-fitness-trend-to-hit-u-s-where-yoga-was-30-years-ago/</v>
      </c>
      <c r="S178" s="81"/>
      <c r="T178" s="81"/>
      <c r="U178" s="81"/>
      <c r="V178" s="81"/>
      <c r="W178" s="81" t="s">
        <v>769</v>
      </c>
      <c r="X178" s="81" t="s">
        <v>3151</v>
      </c>
      <c r="Y178" s="88">
        <v>42675.0</v>
      </c>
      <c r="Z178" s="81"/>
      <c r="AA178" s="81"/>
      <c r="AB178" s="81"/>
      <c r="AC178" s="81"/>
      <c r="AD178" s="81"/>
      <c r="AE178" s="81"/>
      <c r="AF178" s="81"/>
      <c r="AG178" s="81"/>
      <c r="AH178" s="81"/>
      <c r="AI178" s="81" t="s">
        <v>428</v>
      </c>
      <c r="AJ178" s="81"/>
      <c r="AK178" s="81"/>
      <c r="AL178" s="79"/>
    </row>
    <row r="179" ht="22.5" customHeight="1">
      <c r="A179" s="79">
        <v>10177.0</v>
      </c>
      <c r="B179" s="79" t="s">
        <v>1230</v>
      </c>
      <c r="C179" s="79" t="s">
        <v>238</v>
      </c>
      <c r="D179" s="79" t="s">
        <v>64</v>
      </c>
      <c r="E179" s="79" t="s">
        <v>887</v>
      </c>
      <c r="F179" s="80">
        <v>9.0</v>
      </c>
      <c r="G179" s="81"/>
      <c r="H179" s="79" t="s">
        <v>1223</v>
      </c>
      <c r="I179" s="80">
        <v>3000.0</v>
      </c>
      <c r="J179" s="81"/>
      <c r="K179" s="79" t="s">
        <v>1590</v>
      </c>
      <c r="L179" s="80"/>
      <c r="M179" s="94" t="s">
        <v>3153</v>
      </c>
      <c r="N179" s="79" t="s">
        <v>577</v>
      </c>
      <c r="O179" s="79" t="s">
        <v>3154</v>
      </c>
      <c r="P179" s="83">
        <v>42313.0</v>
      </c>
      <c r="Q179" s="81" t="s">
        <v>3155</v>
      </c>
      <c r="R179" s="86" t="str">
        <f>HYPERLINK("http://www.nielsen.com/us/en/insights/news/2015/green-generation-millennials-say-sustainability-is-a-shopping-priority.html","http://www.nielsen.com/us/en/insights/news/2015/green-generation-millennials-say-sustainability-is-a-shopping-priority.html")</f>
        <v>http://www.nielsen.com/us/en/insights/news/2015/green-generation-millennials-say-sustainability-is-a-shopping-priority.html</v>
      </c>
      <c r="S179" s="81"/>
      <c r="T179" s="81"/>
      <c r="U179" s="81"/>
      <c r="V179" s="81"/>
      <c r="W179" s="81" t="s">
        <v>3158</v>
      </c>
      <c r="X179" s="81"/>
      <c r="Y179" s="81"/>
      <c r="Z179" s="81"/>
      <c r="AA179" s="81"/>
      <c r="AB179" s="81"/>
      <c r="AC179" s="81"/>
      <c r="AD179" s="81"/>
      <c r="AE179" s="81"/>
      <c r="AF179" s="81"/>
      <c r="AG179" s="81"/>
      <c r="AH179" s="81"/>
      <c r="AI179" s="81" t="s">
        <v>428</v>
      </c>
      <c r="AJ179" s="81"/>
      <c r="AK179" s="81"/>
      <c r="AL179" s="79"/>
    </row>
    <row r="180" ht="22.5" customHeight="1">
      <c r="A180" s="79">
        <v>10178.0</v>
      </c>
      <c r="B180" s="79" t="s">
        <v>1230</v>
      </c>
      <c r="C180" s="79" t="s">
        <v>238</v>
      </c>
      <c r="D180" s="79" t="s">
        <v>64</v>
      </c>
      <c r="E180" s="79" t="s">
        <v>265</v>
      </c>
      <c r="F180" s="80">
        <v>9.0</v>
      </c>
      <c r="G180" s="81"/>
      <c r="H180" s="79" t="s">
        <v>224</v>
      </c>
      <c r="I180" s="80"/>
      <c r="J180" s="81"/>
      <c r="K180" s="79" t="s">
        <v>3028</v>
      </c>
      <c r="L180" s="80" t="s">
        <v>3030</v>
      </c>
      <c r="M180" s="79" t="s">
        <v>3161</v>
      </c>
      <c r="N180" s="79" t="s">
        <v>3163</v>
      </c>
      <c r="O180" s="79" t="s">
        <v>3164</v>
      </c>
      <c r="P180" s="83">
        <v>42187.0</v>
      </c>
      <c r="Q180" s="81"/>
      <c r="R180" s="86" t="str">
        <f>HYPERLINK("http://www.smithsonianmag.com/science-nature/can-science-help-people-unlearn-their-unconscious-biases-180955789/?no-ist","http://www.smithsonianmag.com/science-nature/can-science-help-people-unlearn-their-unconscious-biases-180955789/?no-ist")</f>
        <v>http://www.smithsonianmag.com/science-nature/can-science-help-people-unlearn-their-unconscious-biases-180955789/?no-ist</v>
      </c>
      <c r="S180" s="81"/>
      <c r="T180" s="81" t="s">
        <v>462</v>
      </c>
      <c r="U180" s="81" t="s">
        <v>462</v>
      </c>
      <c r="V180" s="81" t="s">
        <v>1355</v>
      </c>
      <c r="W180" s="81" t="s">
        <v>677</v>
      </c>
      <c r="X180" s="88" t="s">
        <v>3167</v>
      </c>
      <c r="Y180" s="88">
        <v>42375.0</v>
      </c>
      <c r="Z180" s="88"/>
      <c r="AA180" s="81" t="s">
        <v>561</v>
      </c>
      <c r="AB180" s="81"/>
      <c r="AC180" s="88">
        <v>42395.0</v>
      </c>
      <c r="AD180" s="81"/>
      <c r="AE180" s="81"/>
      <c r="AF180" s="81"/>
      <c r="AG180" s="81"/>
      <c r="AH180" s="81"/>
      <c r="AI180" s="81"/>
      <c r="AJ180" s="81" t="s">
        <v>3168</v>
      </c>
      <c r="AK180" s="81"/>
      <c r="AL180" s="79"/>
    </row>
    <row r="181" ht="22.5" customHeight="1">
      <c r="A181" s="79">
        <v>10179.0</v>
      </c>
      <c r="B181" s="79" t="s">
        <v>1985</v>
      </c>
      <c r="C181" s="79" t="s">
        <v>238</v>
      </c>
      <c r="D181" s="79" t="s">
        <v>64</v>
      </c>
      <c r="E181" s="79" t="s">
        <v>265</v>
      </c>
      <c r="F181" s="80">
        <v>9.0</v>
      </c>
      <c r="G181" s="81"/>
      <c r="H181" s="79" t="s">
        <v>2511</v>
      </c>
      <c r="I181" s="80">
        <v>2000.0</v>
      </c>
      <c r="J181" s="81"/>
      <c r="K181" s="79" t="s">
        <v>289</v>
      </c>
      <c r="L181" s="80">
        <v>40.0</v>
      </c>
      <c r="M181" s="94" t="s">
        <v>2513</v>
      </c>
      <c r="N181" s="79" t="s">
        <v>2514</v>
      </c>
      <c r="O181" s="79" t="s">
        <v>2515</v>
      </c>
      <c r="P181" s="83">
        <v>42643.0</v>
      </c>
      <c r="Q181" s="81" t="s">
        <v>2518</v>
      </c>
      <c r="R181" s="79" t="s">
        <v>2519</v>
      </c>
      <c r="S181" s="81"/>
      <c r="T181" s="81"/>
      <c r="U181" s="81"/>
      <c r="V181" s="81" t="s">
        <v>2523</v>
      </c>
      <c r="W181" s="81"/>
      <c r="X181" s="81"/>
      <c r="Y181" s="81"/>
      <c r="Z181" s="81"/>
      <c r="AA181" s="81"/>
      <c r="AB181" s="81"/>
      <c r="AC181" s="81"/>
      <c r="AD181" s="81"/>
      <c r="AE181" s="81"/>
      <c r="AF181" s="81"/>
      <c r="AG181" s="81"/>
      <c r="AH181" s="81"/>
      <c r="AI181" s="81"/>
      <c r="AJ181" s="81"/>
      <c r="AK181" s="81"/>
      <c r="AL181" s="79"/>
    </row>
    <row r="182" ht="22.5" customHeight="1">
      <c r="A182" s="79">
        <v>10180.0</v>
      </c>
      <c r="B182" s="79" t="s">
        <v>1230</v>
      </c>
      <c r="C182" s="79" t="s">
        <v>238</v>
      </c>
      <c r="D182" s="79" t="s">
        <v>64</v>
      </c>
      <c r="E182" s="79" t="s">
        <v>265</v>
      </c>
      <c r="F182" s="80">
        <v>9.0</v>
      </c>
      <c r="G182" s="81"/>
      <c r="H182" s="79" t="s">
        <v>3109</v>
      </c>
      <c r="I182" s="80">
        <v>10000.0</v>
      </c>
      <c r="J182" s="81"/>
      <c r="K182" s="79" t="s">
        <v>298</v>
      </c>
      <c r="L182" s="80">
        <v>44.0</v>
      </c>
      <c r="M182" s="79" t="s">
        <v>3174</v>
      </c>
      <c r="N182" s="79" t="s">
        <v>1374</v>
      </c>
      <c r="O182" s="79" t="s">
        <v>1375</v>
      </c>
      <c r="P182" s="83">
        <v>42150.0</v>
      </c>
      <c r="Q182" s="81" t="s">
        <v>3175</v>
      </c>
      <c r="R182" s="86" t="str">
        <f>HYPERLINK("http://www.washingtonpost.com/news/energy-environment/wp/2015/05/26/viewing-nature-can-help-your-brain-work-better-study-finds/?postshare=5361432832740398","http://www.washingtonpost.com/news/energy-environment/wp/2015/05/26/viewing-nature-can-help-your-brain-work-better-study-finds/?postshare=5361432832740398")</f>
        <v>http://www.washingtonpost.com/news/energy-environment/wp/2015/05/26/viewing-nature-can-help-your-brain-work-better-study-finds/?postshare=5361432832740398</v>
      </c>
      <c r="S182" s="81"/>
      <c r="T182" s="81" t="s">
        <v>428</v>
      </c>
      <c r="U182" s="81" t="s">
        <v>462</v>
      </c>
      <c r="V182" s="81"/>
      <c r="W182" s="81" t="s">
        <v>769</v>
      </c>
      <c r="X182" s="81" t="s">
        <v>3180</v>
      </c>
      <c r="Y182" s="88">
        <v>42152.0</v>
      </c>
      <c r="Z182" s="88">
        <v>42576.0</v>
      </c>
      <c r="AA182" s="81" t="s">
        <v>769</v>
      </c>
      <c r="AB182" s="81"/>
      <c r="AC182" s="88">
        <v>42186.0</v>
      </c>
      <c r="AD182" s="81"/>
      <c r="AE182" s="81"/>
      <c r="AF182" s="81"/>
      <c r="AG182" s="81"/>
      <c r="AH182" s="81"/>
      <c r="AI182" s="81"/>
      <c r="AJ182" s="81"/>
      <c r="AK182" s="81"/>
      <c r="AL182" s="79"/>
    </row>
    <row r="183" ht="22.5" customHeight="1">
      <c r="A183" s="79">
        <v>10181.0</v>
      </c>
      <c r="B183" s="79" t="s">
        <v>1230</v>
      </c>
      <c r="C183" s="79" t="s">
        <v>238</v>
      </c>
      <c r="D183" s="79" t="s">
        <v>64</v>
      </c>
      <c r="E183" s="79" t="s">
        <v>265</v>
      </c>
      <c r="F183" s="80">
        <v>9.0</v>
      </c>
      <c r="G183" s="81"/>
      <c r="H183" s="79" t="s">
        <v>224</v>
      </c>
      <c r="I183" s="80"/>
      <c r="J183" s="81"/>
      <c r="K183" s="79" t="s">
        <v>289</v>
      </c>
      <c r="L183" s="80">
        <v>40.0</v>
      </c>
      <c r="M183" s="79" t="s">
        <v>3184</v>
      </c>
      <c r="N183" s="79" t="s">
        <v>3185</v>
      </c>
      <c r="O183" s="79" t="s">
        <v>1430</v>
      </c>
      <c r="P183" s="83">
        <v>40518.0</v>
      </c>
      <c r="Q183" s="81"/>
      <c r="R183" s="79" t="s">
        <v>3186</v>
      </c>
      <c r="S183" s="81"/>
      <c r="T183" s="81" t="s">
        <v>462</v>
      </c>
      <c r="U183" s="81" t="s">
        <v>462</v>
      </c>
      <c r="V183" s="81"/>
      <c r="W183" s="81"/>
      <c r="X183" s="81"/>
      <c r="Y183" s="88"/>
      <c r="Z183" s="88"/>
      <c r="AA183" s="81"/>
      <c r="AB183" s="81"/>
      <c r="AC183" s="88"/>
      <c r="AD183" s="81"/>
      <c r="AE183" s="81"/>
      <c r="AF183" s="81"/>
      <c r="AG183" s="81"/>
      <c r="AH183" s="81"/>
      <c r="AI183" s="81"/>
      <c r="AJ183" s="81" t="s">
        <v>3187</v>
      </c>
      <c r="AK183" s="81"/>
      <c r="AL183" s="79"/>
    </row>
    <row r="184" ht="22.5" customHeight="1">
      <c r="A184" s="79">
        <v>10182.0</v>
      </c>
      <c r="B184" s="79" t="s">
        <v>1230</v>
      </c>
      <c r="C184" s="79" t="s">
        <v>238</v>
      </c>
      <c r="D184" s="79" t="s">
        <v>64</v>
      </c>
      <c r="E184" s="79" t="s">
        <v>265</v>
      </c>
      <c r="F184" s="80">
        <v>9.0</v>
      </c>
      <c r="G184" s="81"/>
      <c r="H184" s="79" t="s">
        <v>224</v>
      </c>
      <c r="I184" s="80"/>
      <c r="J184" s="81"/>
      <c r="K184" s="79" t="s">
        <v>117</v>
      </c>
      <c r="L184" s="80">
        <v>40.0</v>
      </c>
      <c r="M184" s="79" t="s">
        <v>3189</v>
      </c>
      <c r="N184" s="79" t="s">
        <v>3190</v>
      </c>
      <c r="O184" s="79" t="s">
        <v>1258</v>
      </c>
      <c r="P184" s="83">
        <v>42247.0</v>
      </c>
      <c r="Q184" s="81"/>
      <c r="R184" s="79" t="s">
        <v>3191</v>
      </c>
      <c r="S184" s="81"/>
      <c r="T184" s="81" t="s">
        <v>462</v>
      </c>
      <c r="U184" s="81" t="s">
        <v>462</v>
      </c>
      <c r="V184" s="81"/>
      <c r="W184" s="81"/>
      <c r="X184" s="81"/>
      <c r="Y184" s="88"/>
      <c r="Z184" s="88"/>
      <c r="AA184" s="81"/>
      <c r="AB184" s="81"/>
      <c r="AC184" s="88"/>
      <c r="AD184" s="81"/>
      <c r="AE184" s="81"/>
      <c r="AF184" s="81"/>
      <c r="AG184" s="81"/>
      <c r="AH184" s="81"/>
      <c r="AI184" s="81"/>
      <c r="AJ184" s="81" t="s">
        <v>3192</v>
      </c>
      <c r="AK184" s="81"/>
      <c r="AL184" s="79"/>
    </row>
    <row r="185" ht="22.5" customHeight="1">
      <c r="A185" s="79">
        <v>10183.0</v>
      </c>
      <c r="B185" s="79" t="s">
        <v>1230</v>
      </c>
      <c r="C185" s="79" t="s">
        <v>238</v>
      </c>
      <c r="D185" s="79" t="s">
        <v>64</v>
      </c>
      <c r="E185" s="79" t="s">
        <v>265</v>
      </c>
      <c r="F185" s="80">
        <v>9.0</v>
      </c>
      <c r="G185" s="81"/>
      <c r="H185" s="79" t="s">
        <v>224</v>
      </c>
      <c r="I185" s="80"/>
      <c r="J185" s="81"/>
      <c r="K185" s="79" t="s">
        <v>289</v>
      </c>
      <c r="L185" s="80">
        <v>40.0</v>
      </c>
      <c r="M185" s="79" t="s">
        <v>3196</v>
      </c>
      <c r="N185" s="79" t="s">
        <v>3197</v>
      </c>
      <c r="O185" s="79" t="s">
        <v>2201</v>
      </c>
      <c r="P185" s="83">
        <v>42018.0</v>
      </c>
      <c r="Q185" s="81" t="s">
        <v>3198</v>
      </c>
      <c r="R185" s="86" t="str">
        <f>HYPERLINK("http://nymag.com/scienceofus/2015/01/time-to-get-acquainted-with-future-you.html?mid=twitter_scienceofus","http://nymag.com/scienceofus/2015/01/time-to-get-acquainted-with-future-you.html?mid=twitter_scienceofus")</f>
        <v>http://nymag.com/scienceofus/2015/01/time-to-get-acquainted-with-future-you.html?mid=twitter_scienceofus</v>
      </c>
      <c r="S185" s="81"/>
      <c r="T185" s="81" t="s">
        <v>462</v>
      </c>
      <c r="U185" s="81" t="s">
        <v>462</v>
      </c>
      <c r="V185" s="81"/>
      <c r="W185" s="81" t="s">
        <v>769</v>
      </c>
      <c r="X185" s="81" t="s">
        <v>3203</v>
      </c>
      <c r="Y185" s="88">
        <v>42125.0</v>
      </c>
      <c r="Z185" s="96" t="str">
        <f>HYPERLINK("http://sciof.us/1bWlybo","7/21/2016")</f>
        <v>7/21/2016</v>
      </c>
      <c r="AA185" s="81" t="s">
        <v>769</v>
      </c>
      <c r="AB185" s="81"/>
      <c r="AC185" s="88">
        <v>42135.0</v>
      </c>
      <c r="AD185" s="81"/>
      <c r="AE185" s="81"/>
      <c r="AF185" s="81"/>
      <c r="AG185" s="81"/>
      <c r="AH185" s="81"/>
      <c r="AI185" s="81"/>
      <c r="AJ185" s="81" t="s">
        <v>3106</v>
      </c>
      <c r="AK185" s="81"/>
      <c r="AL185" s="79"/>
    </row>
    <row r="186" ht="22.5" customHeight="1">
      <c r="A186" s="79">
        <v>10184.0</v>
      </c>
      <c r="B186" s="79" t="s">
        <v>1230</v>
      </c>
      <c r="C186" s="79" t="s">
        <v>238</v>
      </c>
      <c r="D186" s="79" t="s">
        <v>64</v>
      </c>
      <c r="E186" s="79" t="s">
        <v>265</v>
      </c>
      <c r="F186" s="80">
        <v>9.0</v>
      </c>
      <c r="G186" s="81"/>
      <c r="H186" s="79" t="s">
        <v>224</v>
      </c>
      <c r="I186" s="80"/>
      <c r="J186" s="81"/>
      <c r="K186" s="79" t="s">
        <v>289</v>
      </c>
      <c r="L186" s="80">
        <v>40.0</v>
      </c>
      <c r="M186" s="79" t="s">
        <v>3207</v>
      </c>
      <c r="N186" s="79" t="s">
        <v>577</v>
      </c>
      <c r="O186" s="79" t="s">
        <v>3208</v>
      </c>
      <c r="P186" s="83">
        <v>42599.0</v>
      </c>
      <c r="Q186" s="81"/>
      <c r="R186" s="79" t="s">
        <v>3209</v>
      </c>
      <c r="S186" s="81"/>
      <c r="T186" s="81" t="s">
        <v>462</v>
      </c>
      <c r="U186" s="81" t="s">
        <v>462</v>
      </c>
      <c r="V186" s="81"/>
      <c r="W186" s="81"/>
      <c r="X186" s="81"/>
      <c r="Y186" s="88"/>
      <c r="Z186" s="88"/>
      <c r="AA186" s="81"/>
      <c r="AB186" s="81"/>
      <c r="AC186" s="88"/>
      <c r="AD186" s="81"/>
      <c r="AE186" s="81"/>
      <c r="AF186" s="81"/>
      <c r="AG186" s="81"/>
      <c r="AH186" s="81"/>
      <c r="AI186" s="81"/>
      <c r="AJ186" s="81" t="s">
        <v>3187</v>
      </c>
      <c r="AK186" s="81"/>
      <c r="AL186" s="79"/>
    </row>
    <row r="187" ht="22.5" customHeight="1">
      <c r="A187" s="79">
        <v>10185.0</v>
      </c>
      <c r="B187" s="79" t="s">
        <v>1230</v>
      </c>
      <c r="C187" s="79" t="s">
        <v>238</v>
      </c>
      <c r="D187" s="79" t="s">
        <v>64</v>
      </c>
      <c r="E187" s="79" t="s">
        <v>265</v>
      </c>
      <c r="F187" s="80">
        <v>9.0</v>
      </c>
      <c r="G187" s="81"/>
      <c r="H187" s="79" t="s">
        <v>578</v>
      </c>
      <c r="I187" s="80">
        <v>2000.0</v>
      </c>
      <c r="J187" s="81"/>
      <c r="K187" s="79" t="s">
        <v>289</v>
      </c>
      <c r="L187" s="80">
        <v>40.0</v>
      </c>
      <c r="M187" s="79" t="s">
        <v>3212</v>
      </c>
      <c r="N187" s="79" t="s">
        <v>3213</v>
      </c>
      <c r="O187" s="79" t="s">
        <v>1754</v>
      </c>
      <c r="P187" s="83">
        <v>41871.0</v>
      </c>
      <c r="Q187" s="81" t="s">
        <v>3214</v>
      </c>
      <c r="R187" s="86" t="str">
        <f>HYPERLINK("http://www.huffingtonpost.com/rod-fujita/the-nature-of-humans_b_5695242.html","http://www.huffingtonpost.com/rod-fujita/the-nature-of-humans_b_5695242.html")</f>
        <v>http://www.huffingtonpost.com/rod-fujita/the-nature-of-humans_b_5695242.html</v>
      </c>
      <c r="S187" s="81"/>
      <c r="T187" s="81" t="s">
        <v>462</v>
      </c>
      <c r="U187" s="81" t="s">
        <v>462</v>
      </c>
      <c r="V187" s="81"/>
      <c r="W187" s="81" t="s">
        <v>769</v>
      </c>
      <c r="X187" s="81" t="s">
        <v>3218</v>
      </c>
      <c r="Y187" s="88">
        <v>41871.0</v>
      </c>
      <c r="Z187" s="88">
        <v>42537.0</v>
      </c>
      <c r="AA187" s="81" t="s">
        <v>769</v>
      </c>
      <c r="AB187" s="81"/>
      <c r="AC187" s="88">
        <v>41897.0</v>
      </c>
      <c r="AD187" s="81"/>
      <c r="AE187" s="81"/>
      <c r="AF187" s="81"/>
      <c r="AG187" s="81"/>
      <c r="AH187" s="81" t="s">
        <v>428</v>
      </c>
      <c r="AI187" s="81"/>
      <c r="AJ187" s="81"/>
      <c r="AK187" s="81"/>
      <c r="AL187" s="79"/>
    </row>
    <row r="188" ht="22.5" customHeight="1">
      <c r="A188" s="79">
        <v>10186.0</v>
      </c>
      <c r="B188" s="79" t="s">
        <v>1230</v>
      </c>
      <c r="C188" s="79" t="s">
        <v>238</v>
      </c>
      <c r="D188" s="79" t="s">
        <v>64</v>
      </c>
      <c r="E188" s="79" t="s">
        <v>3219</v>
      </c>
      <c r="F188" s="80" t="s">
        <v>3220</v>
      </c>
      <c r="G188" s="81"/>
      <c r="H188" s="79" t="s">
        <v>224</v>
      </c>
      <c r="I188" s="80"/>
      <c r="J188" s="81"/>
      <c r="K188" s="79" t="s">
        <v>289</v>
      </c>
      <c r="L188" s="80">
        <v>40.0</v>
      </c>
      <c r="M188" s="79" t="s">
        <v>3221</v>
      </c>
      <c r="N188" s="79" t="s">
        <v>577</v>
      </c>
      <c r="O188" s="79" t="s">
        <v>3222</v>
      </c>
      <c r="P188" s="83">
        <v>42183.0</v>
      </c>
      <c r="Q188" s="81" t="s">
        <v>3223</v>
      </c>
      <c r="R188" s="86" t="str">
        <f>HYPERLINK("http://knowledge.wharton.upenn.edu/article/the-key-to-making-smarter-long-term-decisions/","http://knowledge.wharton.upenn.edu/article/the-key-to-making-smarter-long-term-decisions/")</f>
        <v>http://knowledge.wharton.upenn.edu/article/the-key-to-making-smarter-long-term-decisions/</v>
      </c>
      <c r="S188" s="81"/>
      <c r="T188" s="81" t="s">
        <v>462</v>
      </c>
      <c r="U188" s="81" t="s">
        <v>462</v>
      </c>
      <c r="V188" s="81"/>
      <c r="W188" s="81" t="s">
        <v>769</v>
      </c>
      <c r="X188" s="81" t="s">
        <v>3225</v>
      </c>
      <c r="Y188" s="88">
        <v>42213.0</v>
      </c>
      <c r="Z188" s="88">
        <v>42562.0</v>
      </c>
      <c r="AA188" s="81" t="s">
        <v>769</v>
      </c>
      <c r="AB188" s="81"/>
      <c r="AC188" s="88">
        <v>42232.0</v>
      </c>
      <c r="AD188" s="81"/>
      <c r="AE188" s="81"/>
      <c r="AF188" s="81"/>
      <c r="AG188" s="81"/>
      <c r="AH188" s="81"/>
      <c r="AI188" s="81"/>
      <c r="AJ188" s="81"/>
      <c r="AK188" s="81"/>
      <c r="AL188" s="79"/>
    </row>
    <row r="189" ht="22.5" customHeight="1">
      <c r="A189" s="79">
        <v>10187.0</v>
      </c>
      <c r="B189" s="79" t="s">
        <v>1230</v>
      </c>
      <c r="C189" s="79" t="s">
        <v>238</v>
      </c>
      <c r="D189" s="79" t="s">
        <v>64</v>
      </c>
      <c r="E189" s="79" t="s">
        <v>3219</v>
      </c>
      <c r="F189" s="80" t="s">
        <v>3220</v>
      </c>
      <c r="G189" s="81"/>
      <c r="H189" s="79" t="s">
        <v>3228</v>
      </c>
      <c r="I189" s="80">
        <v>15000.0</v>
      </c>
      <c r="J189" s="81"/>
      <c r="K189" s="79" t="s">
        <v>289</v>
      </c>
      <c r="L189" s="80">
        <v>40.0</v>
      </c>
      <c r="M189" s="79" t="s">
        <v>3230</v>
      </c>
      <c r="N189" s="79" t="s">
        <v>3231</v>
      </c>
      <c r="O189" s="79" t="s">
        <v>1258</v>
      </c>
      <c r="P189" s="83">
        <v>41704.0</v>
      </c>
      <c r="Q189" s="81" t="s">
        <v>3232</v>
      </c>
      <c r="R189" s="86" t="str">
        <f>HYPERLINK("http://www.theatlantic.com/business/archive/2014/03/how-the-famous-marshmallow-study-explains-environmental-conservation/284190/","http://www.theatlantic.com/business/archive/2014/03/how-the-famous-marshmallow-study-explains-environmental-conservation/284190/")</f>
        <v>http://www.theatlantic.com/business/archive/2014/03/how-the-famous-marshmallow-study-explains-environmental-conservation/284190/</v>
      </c>
      <c r="S189" s="81" t="s">
        <v>3234</v>
      </c>
      <c r="T189" s="81" t="s">
        <v>462</v>
      </c>
      <c r="U189" s="81" t="s">
        <v>462</v>
      </c>
      <c r="V189" s="81"/>
      <c r="W189" s="81" t="s">
        <v>769</v>
      </c>
      <c r="X189" s="81" t="s">
        <v>3235</v>
      </c>
      <c r="Y189" s="88">
        <v>42619.0</v>
      </c>
      <c r="Z189" s="81"/>
      <c r="AA189" s="81" t="s">
        <v>769</v>
      </c>
      <c r="AB189" s="81"/>
      <c r="AC189" s="88">
        <v>42531.0</v>
      </c>
      <c r="AD189" s="81"/>
      <c r="AE189" s="81"/>
      <c r="AF189" s="81"/>
      <c r="AG189" s="81"/>
      <c r="AH189" s="81"/>
      <c r="AI189" s="81"/>
      <c r="AJ189" s="81"/>
      <c r="AK189" s="81" t="s">
        <v>3239</v>
      </c>
      <c r="AL189" s="79"/>
    </row>
    <row r="190" ht="22.5" customHeight="1">
      <c r="A190" s="79">
        <v>10188.0</v>
      </c>
      <c r="B190" s="79" t="s">
        <v>1230</v>
      </c>
      <c r="C190" s="79" t="s">
        <v>238</v>
      </c>
      <c r="D190" s="79" t="s">
        <v>64</v>
      </c>
      <c r="E190" s="79" t="s">
        <v>3240</v>
      </c>
      <c r="F190" s="80" t="s">
        <v>3241</v>
      </c>
      <c r="G190" s="81"/>
      <c r="H190" s="79" t="s">
        <v>1114</v>
      </c>
      <c r="I190" s="80">
        <v>2000.0</v>
      </c>
      <c r="J190" s="81"/>
      <c r="K190" s="79" t="s">
        <v>289</v>
      </c>
      <c r="L190" s="80">
        <v>40.0</v>
      </c>
      <c r="M190" s="79" t="s">
        <v>3242</v>
      </c>
      <c r="N190" s="79" t="s">
        <v>3243</v>
      </c>
      <c r="O190" s="79" t="s">
        <v>3245</v>
      </c>
      <c r="P190" s="83"/>
      <c r="Q190" s="81" t="s">
        <v>3246</v>
      </c>
      <c r="R190" s="86" t="str">
        <f>HYPERLINK("http://voices.mckinseyonsociety.com/how-to-turn-consumers-green/","http://voices.mckinseyonsociety.com/how-to-turn-consumers-green/")</f>
        <v>http://voices.mckinseyonsociety.com/how-to-turn-consumers-green/</v>
      </c>
      <c r="S190" s="81" t="s">
        <v>3247</v>
      </c>
      <c r="T190" s="81" t="s">
        <v>3248</v>
      </c>
      <c r="U190" s="81" t="s">
        <v>1810</v>
      </c>
      <c r="V190" s="81"/>
      <c r="W190" s="81" t="s">
        <v>3249</v>
      </c>
      <c r="X190" s="81" t="s">
        <v>3250</v>
      </c>
      <c r="Y190" s="88">
        <v>42185.0</v>
      </c>
      <c r="Z190" s="88">
        <v>42569.0</v>
      </c>
      <c r="AA190" s="81" t="s">
        <v>3251</v>
      </c>
      <c r="AB190" s="81"/>
      <c r="AC190" s="88">
        <v>42517.0</v>
      </c>
      <c r="AD190" s="81"/>
      <c r="AE190" s="81"/>
      <c r="AF190" s="81"/>
      <c r="AG190" s="81"/>
      <c r="AH190" s="81"/>
      <c r="AI190" s="81"/>
      <c r="AJ190" s="81"/>
      <c r="AK190" s="81"/>
      <c r="AL190" s="79"/>
    </row>
    <row r="191" ht="22.5" customHeight="1">
      <c r="A191" s="79">
        <v>10189.0</v>
      </c>
      <c r="B191" s="79" t="s">
        <v>1230</v>
      </c>
      <c r="C191" s="79" t="s">
        <v>238</v>
      </c>
      <c r="D191" s="79" t="s">
        <v>64</v>
      </c>
      <c r="E191" s="79" t="s">
        <v>3240</v>
      </c>
      <c r="F191" s="80" t="s">
        <v>3241</v>
      </c>
      <c r="G191" s="81"/>
      <c r="H191" s="79" t="s">
        <v>224</v>
      </c>
      <c r="I191" s="80"/>
      <c r="J191" s="81"/>
      <c r="K191" s="79" t="s">
        <v>289</v>
      </c>
      <c r="L191" s="80">
        <v>40.0</v>
      </c>
      <c r="M191" s="79" t="s">
        <v>3255</v>
      </c>
      <c r="N191" s="79" t="s">
        <v>2378</v>
      </c>
      <c r="O191" s="79" t="s">
        <v>1754</v>
      </c>
      <c r="P191" s="83">
        <v>41556.0</v>
      </c>
      <c r="Q191" s="81"/>
      <c r="R191" s="86" t="str">
        <f>HYPERLINK("http://www.huffingtonpost.com/james-clear/decision-fatigue_b_4044212.html?utm_hp_ref=tw","http://www.huffingtonpost.com/james-clear/decision-fatigue_b_4044212.html?utm_hp_ref=tw")</f>
        <v>http://www.huffingtonpost.com/james-clear/decision-fatigue_b_4044212.html?utm_hp_ref=tw</v>
      </c>
      <c r="S191" s="81"/>
      <c r="T191" s="81" t="s">
        <v>462</v>
      </c>
      <c r="U191" s="81" t="s">
        <v>462</v>
      </c>
      <c r="V191" s="81"/>
      <c r="W191" s="81" t="s">
        <v>769</v>
      </c>
      <c r="X191" s="81" t="s">
        <v>3258</v>
      </c>
      <c r="Y191" s="88">
        <v>41958.0</v>
      </c>
      <c r="Z191" s="81" t="s">
        <v>3260</v>
      </c>
      <c r="AA191" s="81" t="s">
        <v>530</v>
      </c>
      <c r="AB191" s="81"/>
      <c r="AC191" s="88"/>
      <c r="AD191" s="81"/>
      <c r="AE191" s="81"/>
      <c r="AF191" s="81"/>
      <c r="AG191" s="81"/>
      <c r="AH191" s="81"/>
      <c r="AI191" s="81"/>
      <c r="AJ191" s="81" t="s">
        <v>3264</v>
      </c>
      <c r="AK191" s="81"/>
      <c r="AL191" s="79"/>
    </row>
    <row r="192" ht="22.5" customHeight="1">
      <c r="A192" s="79">
        <v>10190.0</v>
      </c>
      <c r="B192" s="79" t="s">
        <v>1230</v>
      </c>
      <c r="C192" s="79" t="s">
        <v>238</v>
      </c>
      <c r="D192" s="79" t="s">
        <v>64</v>
      </c>
      <c r="E192" s="79" t="s">
        <v>1178</v>
      </c>
      <c r="F192" s="80" t="s">
        <v>1179</v>
      </c>
      <c r="G192" s="81"/>
      <c r="H192" s="79" t="s">
        <v>224</v>
      </c>
      <c r="I192" s="80"/>
      <c r="J192" s="81"/>
      <c r="K192" s="79" t="s">
        <v>324</v>
      </c>
      <c r="L192" s="80" t="s">
        <v>325</v>
      </c>
      <c r="M192" s="79" t="s">
        <v>1180</v>
      </c>
      <c r="N192" s="79" t="s">
        <v>1181</v>
      </c>
      <c r="O192" s="79" t="s">
        <v>1182</v>
      </c>
      <c r="P192" s="83">
        <v>42180.0</v>
      </c>
      <c r="Q192" s="81" t="s">
        <v>1183</v>
      </c>
      <c r="R192" s="86" t="str">
        <f>HYPERLINK("http://www.businessinsider.com/how-to-make-better-decisions-2015-6","http://www.businessinsider.com/how-to-make-better-decisions-2015-6")</f>
        <v>http://www.businessinsider.com/how-to-make-better-decisions-2015-6</v>
      </c>
      <c r="S192" s="81"/>
      <c r="T192" s="81" t="s">
        <v>428</v>
      </c>
      <c r="U192" s="81" t="s">
        <v>462</v>
      </c>
      <c r="V192" s="81"/>
      <c r="W192" s="81" t="s">
        <v>677</v>
      </c>
      <c r="X192" s="81"/>
      <c r="Y192" s="81"/>
      <c r="Z192" s="81"/>
      <c r="AA192" s="81"/>
      <c r="AB192" s="81"/>
      <c r="AC192" s="81"/>
      <c r="AD192" s="81"/>
      <c r="AE192" s="81"/>
      <c r="AF192" s="81"/>
      <c r="AG192" s="81"/>
      <c r="AH192" s="81"/>
      <c r="AI192" s="81"/>
      <c r="AJ192" s="81"/>
      <c r="AK192" s="81"/>
      <c r="AL192" s="79"/>
    </row>
    <row r="193" ht="22.5" customHeight="1">
      <c r="A193" s="79">
        <v>10191.0</v>
      </c>
      <c r="B193" s="79" t="s">
        <v>1230</v>
      </c>
      <c r="C193" s="79" t="s">
        <v>238</v>
      </c>
      <c r="D193" s="79" t="s">
        <v>64</v>
      </c>
      <c r="E193" s="79" t="s">
        <v>3271</v>
      </c>
      <c r="F193" s="80" t="s">
        <v>3272</v>
      </c>
      <c r="G193" s="81"/>
      <c r="H193" s="79" t="s">
        <v>1114</v>
      </c>
      <c r="I193" s="80">
        <v>2000.0</v>
      </c>
      <c r="J193" s="81"/>
      <c r="K193" s="79" t="s">
        <v>289</v>
      </c>
      <c r="L193" s="80">
        <v>40.0</v>
      </c>
      <c r="M193" s="79" t="s">
        <v>3273</v>
      </c>
      <c r="N193" s="79" t="s">
        <v>3274</v>
      </c>
      <c r="O193" s="79" t="s">
        <v>2975</v>
      </c>
      <c r="P193" s="83">
        <v>41858.0</v>
      </c>
      <c r="Q193" s="81" t="s">
        <v>3275</v>
      </c>
      <c r="R193" s="86" t="str">
        <f>HYPERLINK("http://frank.jou.ufl.edu/frankology/how-to-make-narcissists-think-green-is-the-new-black/","http://frank.jou.ufl.edu/frankology/how-to-make-narcissists-think-green-is-the-new-black/")</f>
        <v>http://frank.jou.ufl.edu/frankology/how-to-make-narcissists-think-green-is-the-new-black/</v>
      </c>
      <c r="S193" s="81"/>
      <c r="T193" s="81" t="s">
        <v>3281</v>
      </c>
      <c r="U193" s="81" t="s">
        <v>3282</v>
      </c>
      <c r="V193" s="81"/>
      <c r="W193" s="81" t="s">
        <v>769</v>
      </c>
      <c r="X193" s="81" t="s">
        <v>3283</v>
      </c>
      <c r="Y193" s="88">
        <v>42084.0</v>
      </c>
      <c r="Z193" s="88" t="s">
        <v>3284</v>
      </c>
      <c r="AA193" s="81" t="s">
        <v>769</v>
      </c>
      <c r="AB193" s="81"/>
      <c r="AC193" s="88">
        <v>42529.0</v>
      </c>
      <c r="AD193" s="81"/>
      <c r="AE193" s="81"/>
      <c r="AF193" s="81"/>
      <c r="AG193" s="81"/>
      <c r="AH193" s="81"/>
      <c r="AI193" s="81"/>
      <c r="AJ193" s="81" t="s">
        <v>731</v>
      </c>
      <c r="AK193" s="81"/>
      <c r="AL193" s="79"/>
    </row>
    <row r="194" ht="22.5" customHeight="1">
      <c r="A194" s="79">
        <v>10192.0</v>
      </c>
      <c r="B194" s="79" t="s">
        <v>1230</v>
      </c>
      <c r="C194" s="79" t="s">
        <v>238</v>
      </c>
      <c r="D194" s="79" t="s">
        <v>64</v>
      </c>
      <c r="E194" s="79" t="s">
        <v>3285</v>
      </c>
      <c r="F194" s="80" t="s">
        <v>3286</v>
      </c>
      <c r="G194" s="81"/>
      <c r="H194" s="79" t="s">
        <v>837</v>
      </c>
      <c r="I194" s="80">
        <v>2000.0</v>
      </c>
      <c r="J194" s="81"/>
      <c r="K194" s="79" t="s">
        <v>111</v>
      </c>
      <c r="L194" s="80">
        <v>41.0</v>
      </c>
      <c r="M194" s="79" t="s">
        <v>3287</v>
      </c>
      <c r="N194" s="79" t="s">
        <v>1374</v>
      </c>
      <c r="O194" s="79" t="s">
        <v>1375</v>
      </c>
      <c r="P194" s="83">
        <v>42082.0</v>
      </c>
      <c r="Q194" s="81"/>
      <c r="R194" s="86" t="str">
        <f>HYPERLINK("http://www.washingtonpost.com/news/energy-environment/wp/2015/03/19/the-surprising-reason-why-some-people-become-environmentalists-and-others-dont/","http://www.washingtonpost.com/news/energy-environment/wp/2015/03/19/the-surprising-reason-why-some-people-become-environmentalists-and-others-dont/")</f>
        <v>http://www.washingtonpost.com/news/energy-environment/wp/2015/03/19/the-surprising-reason-why-some-people-become-environmentalists-and-others-dont/</v>
      </c>
      <c r="S194" s="81"/>
      <c r="T194" s="81" t="s">
        <v>3293</v>
      </c>
      <c r="U194" s="81" t="s">
        <v>3293</v>
      </c>
      <c r="V194" s="81"/>
      <c r="W194" s="81" t="s">
        <v>769</v>
      </c>
      <c r="X194" s="81" t="s">
        <v>3295</v>
      </c>
      <c r="Y194" s="88">
        <v>42206.0</v>
      </c>
      <c r="Z194" s="88"/>
      <c r="AA194" s="81" t="s">
        <v>769</v>
      </c>
      <c r="AB194" s="81"/>
      <c r="AC194" s="88">
        <v>42408.0</v>
      </c>
      <c r="AD194" s="81"/>
      <c r="AE194" s="81"/>
      <c r="AF194" s="81"/>
      <c r="AG194" s="81"/>
      <c r="AH194" s="81"/>
      <c r="AI194" s="81"/>
      <c r="AJ194" s="81" t="s">
        <v>3297</v>
      </c>
      <c r="AK194" s="81"/>
      <c r="AL194" s="79"/>
    </row>
    <row r="195" ht="22.5" customHeight="1">
      <c r="A195" s="79">
        <v>10193.0</v>
      </c>
      <c r="B195" s="79" t="s">
        <v>1230</v>
      </c>
      <c r="C195" s="79" t="s">
        <v>238</v>
      </c>
      <c r="D195" s="79" t="s">
        <v>64</v>
      </c>
      <c r="E195" s="79" t="s">
        <v>3285</v>
      </c>
      <c r="F195" s="80" t="s">
        <v>3286</v>
      </c>
      <c r="G195" s="81"/>
      <c r="H195" s="79" t="s">
        <v>1114</v>
      </c>
      <c r="I195" s="80">
        <v>2000.0</v>
      </c>
      <c r="J195" s="81"/>
      <c r="K195" s="79" t="s">
        <v>289</v>
      </c>
      <c r="L195" s="80">
        <v>40.0</v>
      </c>
      <c r="M195" s="79" t="s">
        <v>3300</v>
      </c>
      <c r="N195" s="79" t="s">
        <v>1374</v>
      </c>
      <c r="O195" s="79" t="s">
        <v>1375</v>
      </c>
      <c r="P195" s="83">
        <v>41984.0</v>
      </c>
      <c r="Q195" s="81" t="s">
        <v>3301</v>
      </c>
      <c r="R195" s="86" t="str">
        <f>HYPERLINK("https://www.washingtonpost.com/news/wonk/wp/2014/12/11/the-7-psychological-reasons-that-are-stopping-us-from-acting-on-climate-change/","https://www.washingtonpost.com/news/wonk/wp/2014/12/11/the-7-psychological-reasons-that-are-stopping-us-from-acting-on-climate-change/")</f>
        <v>https://www.washingtonpost.com/news/wonk/wp/2014/12/11/the-7-psychological-reasons-that-are-stopping-us-from-acting-on-climate-change/</v>
      </c>
      <c r="S195" s="81" t="s">
        <v>2574</v>
      </c>
      <c r="T195" s="81" t="s">
        <v>462</v>
      </c>
      <c r="U195" s="81" t="s">
        <v>462</v>
      </c>
      <c r="V195" s="81"/>
      <c r="W195" s="81" t="s">
        <v>600</v>
      </c>
      <c r="X195" s="81"/>
      <c r="Y195" s="88"/>
      <c r="Z195" s="81"/>
      <c r="AA195" s="81"/>
      <c r="AB195" s="81"/>
      <c r="AC195" s="88"/>
      <c r="AD195" s="81" t="s">
        <v>1406</v>
      </c>
      <c r="AE195" s="81"/>
      <c r="AF195" s="81"/>
      <c r="AG195" s="81"/>
      <c r="AH195" s="81" t="s">
        <v>428</v>
      </c>
      <c r="AI195" s="81"/>
      <c r="AJ195" s="81"/>
      <c r="AK195" s="81"/>
      <c r="AL195" s="79"/>
    </row>
    <row r="196" ht="22.5" customHeight="1">
      <c r="A196" s="79">
        <v>10194.0</v>
      </c>
      <c r="B196" s="79" t="s">
        <v>1230</v>
      </c>
      <c r="C196" s="79" t="s">
        <v>238</v>
      </c>
      <c r="D196" s="79" t="s">
        <v>64</v>
      </c>
      <c r="E196" s="79" t="s">
        <v>3285</v>
      </c>
      <c r="F196" s="80" t="s">
        <v>3286</v>
      </c>
      <c r="G196" s="81"/>
      <c r="H196" s="79" t="s">
        <v>644</v>
      </c>
      <c r="I196" s="80">
        <v>2000.0</v>
      </c>
      <c r="J196" s="81"/>
      <c r="K196" s="79" t="s">
        <v>289</v>
      </c>
      <c r="L196" s="80">
        <v>40.0</v>
      </c>
      <c r="M196" s="79" t="s">
        <v>3306</v>
      </c>
      <c r="N196" s="79" t="s">
        <v>3307</v>
      </c>
      <c r="O196" s="79" t="s">
        <v>3094</v>
      </c>
      <c r="P196" s="83">
        <v>42178.0</v>
      </c>
      <c r="Q196" s="81" t="s">
        <v>2750</v>
      </c>
      <c r="R196" s="86" t="str">
        <f>HYPERLINK("http://thinkprogress.org/climate/2015/06/23/3673153/communicating-climate-change-public-health/","http://thinkprogress.org/climate/2015/06/23/3673153/communicating-climate-change-public-health/")</f>
        <v>http://thinkprogress.org/climate/2015/06/23/3673153/communicating-climate-change-public-health/</v>
      </c>
      <c r="S196" s="81"/>
      <c r="T196" s="81" t="s">
        <v>462</v>
      </c>
      <c r="U196" s="81" t="s">
        <v>462</v>
      </c>
      <c r="V196" s="81"/>
      <c r="W196" s="81" t="s">
        <v>769</v>
      </c>
      <c r="X196" s="81" t="s">
        <v>3310</v>
      </c>
      <c r="Y196" s="88">
        <v>42193.0</v>
      </c>
      <c r="Z196" s="88">
        <v>42557.0</v>
      </c>
      <c r="AA196" s="81" t="s">
        <v>769</v>
      </c>
      <c r="AB196" s="81"/>
      <c r="AC196" s="88">
        <v>42211.0</v>
      </c>
      <c r="AD196" s="81" t="s">
        <v>1842</v>
      </c>
      <c r="AE196" s="81"/>
      <c r="AF196" s="81" t="s">
        <v>1089</v>
      </c>
      <c r="AG196" s="81"/>
      <c r="AH196" s="81"/>
      <c r="AI196" s="81"/>
      <c r="AJ196" s="81"/>
      <c r="AK196" s="81"/>
      <c r="AL196" s="79"/>
    </row>
    <row r="197" ht="22.5" customHeight="1">
      <c r="A197" s="79">
        <v>10195.0</v>
      </c>
      <c r="B197" s="79" t="s">
        <v>1230</v>
      </c>
      <c r="C197" s="79" t="s">
        <v>238</v>
      </c>
      <c r="D197" s="79" t="s">
        <v>64</v>
      </c>
      <c r="E197" s="79" t="s">
        <v>3285</v>
      </c>
      <c r="F197" s="80" t="s">
        <v>3286</v>
      </c>
      <c r="G197" s="81"/>
      <c r="H197" s="79" t="s">
        <v>1114</v>
      </c>
      <c r="I197" s="80">
        <v>2000.0</v>
      </c>
      <c r="J197" s="81"/>
      <c r="K197" s="79" t="s">
        <v>289</v>
      </c>
      <c r="L197" s="80">
        <v>40.0</v>
      </c>
      <c r="M197" s="79" t="s">
        <v>3312</v>
      </c>
      <c r="N197" s="79" t="s">
        <v>2366</v>
      </c>
      <c r="O197" s="79" t="s">
        <v>1754</v>
      </c>
      <c r="P197" s="83">
        <v>41927.0</v>
      </c>
      <c r="Q197" s="81"/>
      <c r="R197" s="86" t="str">
        <f>HYPERLINK("http://www.huffingtonpost.com/wray-herbert/remember-me-personal-lega_b_5991314.html","http://www.huffingtonpost.com/wray-herbert/remember-me-personal-lega_b_5991314.html")</f>
        <v>http://www.huffingtonpost.com/wray-herbert/remember-me-personal-lega_b_5991314.html</v>
      </c>
      <c r="S197" s="81"/>
      <c r="T197" s="81" t="s">
        <v>3293</v>
      </c>
      <c r="U197" s="81" t="s">
        <v>3293</v>
      </c>
      <c r="V197" s="81"/>
      <c r="W197" s="81" t="s">
        <v>600</v>
      </c>
      <c r="X197" s="81" t="s">
        <v>3316</v>
      </c>
      <c r="Y197" s="88">
        <v>42446.0</v>
      </c>
      <c r="Z197" s="88"/>
      <c r="AA197" s="81" t="s">
        <v>769</v>
      </c>
      <c r="AB197" s="81"/>
      <c r="AC197" s="88">
        <v>41968.0</v>
      </c>
      <c r="AD197" s="81"/>
      <c r="AE197" s="81"/>
      <c r="AF197" s="81"/>
      <c r="AG197" s="81"/>
      <c r="AH197" s="81"/>
      <c r="AI197" s="81"/>
      <c r="AJ197" s="81"/>
      <c r="AK197" s="81"/>
      <c r="AL197" s="79"/>
    </row>
    <row r="198" ht="22.5" customHeight="1">
      <c r="A198" s="79">
        <v>10196.0</v>
      </c>
      <c r="B198" s="79" t="s">
        <v>1230</v>
      </c>
      <c r="C198" s="79" t="s">
        <v>238</v>
      </c>
      <c r="D198" s="79" t="s">
        <v>64</v>
      </c>
      <c r="E198" s="79" t="s">
        <v>3317</v>
      </c>
      <c r="F198" s="80" t="s">
        <v>3318</v>
      </c>
      <c r="G198" s="81"/>
      <c r="H198" s="79" t="s">
        <v>224</v>
      </c>
      <c r="I198" s="80"/>
      <c r="J198" s="81"/>
      <c r="K198" s="79" t="s">
        <v>289</v>
      </c>
      <c r="L198" s="80">
        <v>40.0</v>
      </c>
      <c r="M198" s="79" t="s">
        <v>3319</v>
      </c>
      <c r="N198" s="79" t="s">
        <v>3320</v>
      </c>
      <c r="O198" s="79" t="s">
        <v>3321</v>
      </c>
      <c r="P198" s="83">
        <v>42278.0</v>
      </c>
      <c r="Q198" s="81" t="s">
        <v>3322</v>
      </c>
      <c r="R198" s="86" t="str">
        <f>HYPERLINK("http://irrationallabs.org/2015/10/a-long-list-of-examples-of-be-tech/","http://irrationallabs.org/2015/10/a-long-list-of-examples-of-be-tech/")</f>
        <v>http://irrationallabs.org/2015/10/a-long-list-of-examples-of-be-tech/</v>
      </c>
      <c r="S198" s="81"/>
      <c r="T198" s="81" t="s">
        <v>462</v>
      </c>
      <c r="U198" s="81" t="s">
        <v>462</v>
      </c>
      <c r="V198" s="81" t="s">
        <v>676</v>
      </c>
      <c r="W198" s="81" t="s">
        <v>677</v>
      </c>
      <c r="X198" s="81"/>
      <c r="Y198" s="88"/>
      <c r="Z198" s="81"/>
      <c r="AA198" s="81"/>
      <c r="AB198" s="81"/>
      <c r="AC198" s="88"/>
      <c r="AD198" s="81"/>
      <c r="AE198" s="81"/>
      <c r="AF198" s="81"/>
      <c r="AG198" s="81"/>
      <c r="AH198" s="81"/>
      <c r="AI198" s="81"/>
      <c r="AJ198" s="81" t="s">
        <v>678</v>
      </c>
      <c r="AK198" s="81"/>
      <c r="AL198" s="79"/>
    </row>
    <row r="199" ht="22.5" customHeight="1">
      <c r="A199" s="79">
        <v>10197.0</v>
      </c>
      <c r="B199" s="79" t="s">
        <v>1230</v>
      </c>
      <c r="C199" s="79" t="s">
        <v>238</v>
      </c>
      <c r="D199" s="79" t="s">
        <v>64</v>
      </c>
      <c r="E199" s="79" t="s">
        <v>1857</v>
      </c>
      <c r="F199" s="80">
        <v>1.0</v>
      </c>
      <c r="G199" s="81"/>
      <c r="H199" s="79" t="s">
        <v>3228</v>
      </c>
      <c r="I199" s="80">
        <v>15000.0</v>
      </c>
      <c r="J199" s="81"/>
      <c r="K199" s="79" t="s">
        <v>3326</v>
      </c>
      <c r="L199" s="80">
        <v>45.0</v>
      </c>
      <c r="M199" s="79" t="s">
        <v>3327</v>
      </c>
      <c r="N199" s="79" t="s">
        <v>3328</v>
      </c>
      <c r="O199" s="79" t="s">
        <v>2338</v>
      </c>
      <c r="P199" s="83">
        <v>41708.0</v>
      </c>
      <c r="Q199" s="81" t="s">
        <v>3329</v>
      </c>
      <c r="R199" s="86" t="str">
        <f>HYPERLINK("http://voices.nationalgeographic.com/2014/03/10/can-behavioral-economics-save-reefs/","http://voices.nationalgeographic.com/2014/03/10/can-behavioral-economics-save-reefs/")</f>
        <v>http://voices.nationalgeographic.com/2014/03/10/can-behavioral-economics-save-reefs/</v>
      </c>
      <c r="S199" s="81"/>
      <c r="T199" s="81" t="s">
        <v>462</v>
      </c>
      <c r="U199" s="81" t="s">
        <v>462</v>
      </c>
      <c r="V199" s="81" t="s">
        <v>676</v>
      </c>
      <c r="W199" s="81" t="s">
        <v>769</v>
      </c>
      <c r="X199" s="81" t="s">
        <v>3331</v>
      </c>
      <c r="Y199" s="88">
        <v>41732.0</v>
      </c>
      <c r="Z199" s="88">
        <v>42618.0</v>
      </c>
      <c r="AA199" s="81" t="s">
        <v>769</v>
      </c>
      <c r="AB199" s="81"/>
      <c r="AC199" s="88">
        <v>41863.0</v>
      </c>
      <c r="AD199" s="81"/>
      <c r="AE199" s="81"/>
      <c r="AF199" s="81"/>
      <c r="AG199" s="81"/>
      <c r="AH199" s="81"/>
      <c r="AI199" s="81"/>
      <c r="AJ199" s="81"/>
      <c r="AK199" s="81" t="s">
        <v>3239</v>
      </c>
      <c r="AL199" s="79"/>
    </row>
    <row r="200" ht="22.5" customHeight="1">
      <c r="A200" s="79">
        <v>10198.0</v>
      </c>
      <c r="B200" s="79" t="s">
        <v>1230</v>
      </c>
      <c r="C200" s="79" t="s">
        <v>238</v>
      </c>
      <c r="D200" s="79" t="s">
        <v>64</v>
      </c>
      <c r="E200" s="79" t="s">
        <v>1857</v>
      </c>
      <c r="F200" s="80">
        <v>1.0</v>
      </c>
      <c r="G200" s="81"/>
      <c r="H200" s="79" t="s">
        <v>1223</v>
      </c>
      <c r="I200" s="80">
        <v>3000.0</v>
      </c>
      <c r="J200" s="81"/>
      <c r="K200" s="79" t="s">
        <v>2012</v>
      </c>
      <c r="L200" s="80" t="s">
        <v>2013</v>
      </c>
      <c r="M200" s="79" t="s">
        <v>3332</v>
      </c>
      <c r="N200" s="79" t="s">
        <v>1536</v>
      </c>
      <c r="O200" s="79" t="s">
        <v>1538</v>
      </c>
      <c r="P200" s="83">
        <v>42152.0</v>
      </c>
      <c r="Q200" s="81" t="s">
        <v>3335</v>
      </c>
      <c r="R200" s="86" t="str">
        <f>HYPERLINK("http://www.fastcoexist.com/3046029/buy-your-way-out-of-your-carbon-footprint-with-a-credit-card-that-saves-trees-with-every-pur?partner=rss","http://www.fastcoexist.com/3046029/buy-your-way-out-of-your-carbon-footprint-with-a-credit-card-that-saves-trees-with-every-pur?partner=rss")</f>
        <v>http://www.fastcoexist.com/3046029/buy-your-way-out-of-your-carbon-footprint-with-a-credit-card-that-saves-trees-with-every-pur?partner=rss</v>
      </c>
      <c r="S200" s="81"/>
      <c r="T200" s="81" t="s">
        <v>462</v>
      </c>
      <c r="U200" s="81" t="s">
        <v>462</v>
      </c>
      <c r="V200" s="81" t="s">
        <v>676</v>
      </c>
      <c r="W200" s="81" t="s">
        <v>769</v>
      </c>
      <c r="X200" s="81" t="s">
        <v>3339</v>
      </c>
      <c r="Y200" s="88">
        <v>42195.0</v>
      </c>
      <c r="Z200" s="81"/>
      <c r="AA200" s="81"/>
      <c r="AB200" s="81"/>
      <c r="AC200" s="88"/>
      <c r="AD200" s="81"/>
      <c r="AE200" s="81"/>
      <c r="AF200" s="81"/>
      <c r="AG200" s="81"/>
      <c r="AH200" s="81"/>
      <c r="AI200" s="81"/>
      <c r="AJ200" s="81"/>
      <c r="AK200" s="81"/>
      <c r="AL200" s="79"/>
    </row>
    <row r="201" ht="22.5" customHeight="1">
      <c r="A201" s="79">
        <v>10199.0</v>
      </c>
      <c r="B201" s="79" t="s">
        <v>1230</v>
      </c>
      <c r="C201" s="79" t="s">
        <v>238</v>
      </c>
      <c r="D201" s="79" t="s">
        <v>64</v>
      </c>
      <c r="E201" s="79" t="s">
        <v>1857</v>
      </c>
      <c r="F201" s="80">
        <v>1.0</v>
      </c>
      <c r="G201" s="81"/>
      <c r="H201" s="79" t="s">
        <v>1203</v>
      </c>
      <c r="I201" s="80">
        <v>21000.0</v>
      </c>
      <c r="J201" s="81"/>
      <c r="K201" s="79" t="s">
        <v>272</v>
      </c>
      <c r="L201" s="80">
        <v>42.0</v>
      </c>
      <c r="M201" s="79" t="s">
        <v>2961</v>
      </c>
      <c r="N201" s="79" t="s">
        <v>2962</v>
      </c>
      <c r="O201" s="79" t="s">
        <v>2963</v>
      </c>
      <c r="P201" s="83">
        <v>41491.0</v>
      </c>
      <c r="Q201" s="81" t="s">
        <v>2964</v>
      </c>
      <c r="R201" s="86" t="str">
        <f>HYPERLINK("http://ecowatch.com/2013/08/05/plastic-recycling-transit-fares-china/","http://ecowatch.com/2013/08/05/plastic-recycling-transit-fares-china/")</f>
        <v>http://ecowatch.com/2013/08/05/plastic-recycling-transit-fares-china/</v>
      </c>
      <c r="S201" s="81"/>
      <c r="T201" s="81" t="s">
        <v>462</v>
      </c>
      <c r="U201" s="81" t="s">
        <v>462</v>
      </c>
      <c r="V201" s="81" t="s">
        <v>676</v>
      </c>
      <c r="W201" s="81" t="s">
        <v>600</v>
      </c>
      <c r="X201" s="81" t="s">
        <v>1105</v>
      </c>
      <c r="Y201" s="88" t="s">
        <v>1105</v>
      </c>
      <c r="Z201" s="81"/>
      <c r="AA201" s="81" t="s">
        <v>769</v>
      </c>
      <c r="AB201" s="81"/>
      <c r="AC201" s="88">
        <v>41927.0</v>
      </c>
      <c r="AD201" s="81"/>
      <c r="AE201" s="81"/>
      <c r="AF201" s="81"/>
      <c r="AG201" s="81"/>
      <c r="AH201" s="81"/>
      <c r="AI201" s="81"/>
      <c r="AJ201" s="81"/>
      <c r="AK201" s="81"/>
      <c r="AL201" s="79"/>
    </row>
    <row r="202" ht="22.5" customHeight="1">
      <c r="A202" s="79">
        <v>10200.0</v>
      </c>
      <c r="B202" s="79" t="s">
        <v>1230</v>
      </c>
      <c r="C202" s="79" t="s">
        <v>238</v>
      </c>
      <c r="D202" s="79" t="s">
        <v>64</v>
      </c>
      <c r="E202" s="79" t="s">
        <v>1857</v>
      </c>
      <c r="F202" s="80">
        <v>1.0</v>
      </c>
      <c r="G202" s="81"/>
      <c r="H202" s="79" t="s">
        <v>2511</v>
      </c>
      <c r="I202" s="80">
        <v>2000.0</v>
      </c>
      <c r="J202" s="81"/>
      <c r="K202" s="79" t="s">
        <v>289</v>
      </c>
      <c r="L202" s="80">
        <v>40.0</v>
      </c>
      <c r="M202" s="79" t="s">
        <v>3344</v>
      </c>
      <c r="N202" s="79" t="s">
        <v>3346</v>
      </c>
      <c r="O202" s="79" t="s">
        <v>2616</v>
      </c>
      <c r="P202" s="83">
        <v>42146.0</v>
      </c>
      <c r="Q202" s="81" t="s">
        <v>3348</v>
      </c>
      <c r="R202" s="86" t="str">
        <f>HYPERLINK("https://marketinggreen.wordpress.com/2015/05/22/innovative-black-carbon-certificates-fuel-traditional-cookstove-replacement/","https://marketinggreen.wordpress.com/2015/05/22/innovative-black-carbon-certificates-fuel-traditional-cookstove-replacement/")</f>
        <v>https://marketinggreen.wordpress.com/2015/05/22/innovative-black-carbon-certificates-fuel-traditional-cookstove-replacement/</v>
      </c>
      <c r="S202" s="81"/>
      <c r="T202" s="81" t="s">
        <v>462</v>
      </c>
      <c r="U202" s="81" t="s">
        <v>462</v>
      </c>
      <c r="V202" s="81" t="s">
        <v>676</v>
      </c>
      <c r="W202" s="81" t="s">
        <v>769</v>
      </c>
      <c r="X202" s="81" t="s">
        <v>3353</v>
      </c>
      <c r="Y202" s="88">
        <v>42200.0</v>
      </c>
      <c r="Z202" s="88">
        <v>42571.0</v>
      </c>
      <c r="AA202" s="81"/>
      <c r="AB202" s="81"/>
      <c r="AC202" s="88"/>
      <c r="AD202" s="81"/>
      <c r="AE202" s="81"/>
      <c r="AF202" s="81"/>
      <c r="AG202" s="81"/>
      <c r="AH202" s="81"/>
      <c r="AI202" s="81"/>
      <c r="AJ202" s="81"/>
      <c r="AK202" s="81"/>
      <c r="AL202" s="79"/>
    </row>
    <row r="203" ht="22.5" customHeight="1">
      <c r="A203" s="79">
        <v>10201.0</v>
      </c>
      <c r="B203" s="79" t="s">
        <v>1230</v>
      </c>
      <c r="C203" s="79" t="s">
        <v>238</v>
      </c>
      <c r="D203" s="79" t="s">
        <v>64</v>
      </c>
      <c r="E203" s="79" t="s">
        <v>1857</v>
      </c>
      <c r="F203" s="80">
        <v>1.0</v>
      </c>
      <c r="G203" s="81"/>
      <c r="H203" s="79" t="s">
        <v>3354</v>
      </c>
      <c r="I203" s="80">
        <v>21000.0</v>
      </c>
      <c r="J203" s="81"/>
      <c r="K203" s="79" t="s">
        <v>687</v>
      </c>
      <c r="L203" s="80" t="s">
        <v>688</v>
      </c>
      <c r="M203" s="94" t="s">
        <v>3356</v>
      </c>
      <c r="N203" s="79" t="s">
        <v>3357</v>
      </c>
      <c r="O203" s="79" t="s">
        <v>1722</v>
      </c>
      <c r="P203" s="83">
        <v>42500.0</v>
      </c>
      <c r="Q203" s="81" t="s">
        <v>3360</v>
      </c>
      <c r="R203" s="86" t="str">
        <f>HYPERLINK("http://www.sustainablebrands.com/news_and_views/waste_not/hannah_furlong/trending_schemes_nyc_south_korea_helping_business_residents_?utm_source=Facebook&amp;utm_medium=posts&amp;utm_campaign=social","http://www.sustainablebrands.com/news_and_views/waste_not/hannah_furlong/trending_schemes_nyc_south_korea_helping_business_residents_?utm_source=Facebook&amp;utm_medium=posts&amp;utm_campaign=social")</f>
        <v>http://www.sustainablebrands.com/news_and_views/waste_not/hannah_furlong/trending_schemes_nyc_south_korea_helping_business_residents_?utm_source=Facebook&amp;utm_medium=posts&amp;utm_campaign=social</v>
      </c>
      <c r="S203" s="81"/>
      <c r="T203" s="81"/>
      <c r="U203" s="81"/>
      <c r="V203" s="81"/>
      <c r="W203" s="81" t="s">
        <v>769</v>
      </c>
      <c r="X203" s="81" t="s">
        <v>3363</v>
      </c>
      <c r="Y203" s="88">
        <v>42676.0</v>
      </c>
      <c r="Z203" s="81"/>
      <c r="AA203" s="81"/>
      <c r="AB203" s="81"/>
      <c r="AC203" s="81"/>
      <c r="AD203" s="81"/>
      <c r="AE203" s="81"/>
      <c r="AF203" s="81"/>
      <c r="AG203" s="81"/>
      <c r="AH203" s="81"/>
      <c r="AI203" s="81" t="s">
        <v>428</v>
      </c>
      <c r="AJ203" s="81"/>
      <c r="AK203" s="81"/>
      <c r="AL203" s="79"/>
    </row>
    <row r="204" ht="22.5" customHeight="1">
      <c r="A204" s="79">
        <v>10202.0</v>
      </c>
      <c r="B204" s="79" t="s">
        <v>1230</v>
      </c>
      <c r="C204" s="79" t="s">
        <v>238</v>
      </c>
      <c r="D204" s="79" t="s">
        <v>64</v>
      </c>
      <c r="E204" s="79" t="s">
        <v>1857</v>
      </c>
      <c r="F204" s="80">
        <v>1.0</v>
      </c>
      <c r="G204" s="81"/>
      <c r="H204" s="79" t="s">
        <v>470</v>
      </c>
      <c r="I204" s="80">
        <v>3000.0</v>
      </c>
      <c r="J204" s="81"/>
      <c r="K204" s="79" t="s">
        <v>289</v>
      </c>
      <c r="L204" s="80">
        <v>40.0</v>
      </c>
      <c r="M204" s="79" t="s">
        <v>3365</v>
      </c>
      <c r="N204" s="79" t="s">
        <v>3366</v>
      </c>
      <c r="O204" s="79" t="s">
        <v>3367</v>
      </c>
      <c r="P204" s="83">
        <v>40277.0</v>
      </c>
      <c r="Q204" s="81" t="s">
        <v>3370</v>
      </c>
      <c r="R204" s="86" t="str">
        <f>HYPERLINK("http://www.rff.org/Publications/WPC/Pages/What-Behavioral-Science-Has-to-Say-About-Energy-Conservation.aspx","http://www.rff.org/Publications/WPC/Pages/What-Behavioral-Science-Has-to-Say-About-Energy-Conservation.aspx")</f>
        <v>http://www.rff.org/Publications/WPC/Pages/What-Behavioral-Science-Has-to-Say-About-Energy-Conservation.aspx</v>
      </c>
      <c r="S204" s="81"/>
      <c r="T204" s="81" t="s">
        <v>462</v>
      </c>
      <c r="U204" s="81" t="s">
        <v>428</v>
      </c>
      <c r="V204" s="81" t="s">
        <v>663</v>
      </c>
      <c r="W204" s="81" t="s">
        <v>769</v>
      </c>
      <c r="X204" s="81" t="s">
        <v>3372</v>
      </c>
      <c r="Y204" s="88">
        <v>42339.0</v>
      </c>
      <c r="Z204" s="81"/>
      <c r="AA204" s="81" t="s">
        <v>769</v>
      </c>
      <c r="AB204" s="81"/>
      <c r="AC204" s="88">
        <v>42340.0</v>
      </c>
      <c r="AD204" s="81"/>
      <c r="AE204" s="81"/>
      <c r="AF204" s="81"/>
      <c r="AG204" s="81"/>
      <c r="AH204" s="81"/>
      <c r="AI204" s="81"/>
      <c r="AJ204" s="81"/>
      <c r="AK204" s="81"/>
      <c r="AL204" s="79"/>
    </row>
    <row r="205" ht="22.5" customHeight="1">
      <c r="A205" s="79">
        <v>10203.0</v>
      </c>
      <c r="B205" s="79" t="s">
        <v>1230</v>
      </c>
      <c r="C205" s="79" t="s">
        <v>238</v>
      </c>
      <c r="D205" s="79" t="s">
        <v>64</v>
      </c>
      <c r="E205" s="79" t="s">
        <v>1857</v>
      </c>
      <c r="F205" s="80">
        <v>1.0</v>
      </c>
      <c r="G205" s="81"/>
      <c r="H205" s="79" t="s">
        <v>1114</v>
      </c>
      <c r="I205" s="80">
        <v>2000.0</v>
      </c>
      <c r="J205" s="81"/>
      <c r="K205" s="79" t="s">
        <v>298</v>
      </c>
      <c r="L205" s="80">
        <v>44.0</v>
      </c>
      <c r="M205" s="94" t="s">
        <v>3375</v>
      </c>
      <c r="N205" s="79" t="s">
        <v>3376</v>
      </c>
      <c r="O205" s="119" t="s">
        <v>1281</v>
      </c>
      <c r="P205" s="83">
        <v>42278.0</v>
      </c>
      <c r="Q205" s="81" t="s">
        <v>3381</v>
      </c>
      <c r="R205" s="86" t="str">
        <f>HYPERLINK("http://www.theguardian.com/environment/climate-consensus-97-per-cent/2015/oct/01/emphasizing-co-benefits-motivates-people-to-take-action-on-climate-change?CMP=EMCENVEML1631","http://www.theguardian.com/environment/climate-consensus-97-per-cent/2015/oct/01/emphasizing-co-benefits-motivates-people-to-take-action-on-climate-change?CMP=EMCENVEML1631")</f>
        <v>http://www.theguardian.com/environment/climate-consensus-97-per-cent/2015/oct/01/emphasizing-co-benefits-motivates-people-to-take-action-on-climate-change?CMP=EMCENVEML1631</v>
      </c>
      <c r="S205" s="81"/>
      <c r="T205" s="81"/>
      <c r="U205" s="81"/>
      <c r="V205" s="81"/>
      <c r="W205" s="81" t="s">
        <v>428</v>
      </c>
      <c r="X205" s="81" t="s">
        <v>3384</v>
      </c>
      <c r="Y205" s="88">
        <v>42706.0</v>
      </c>
      <c r="Z205" s="81"/>
      <c r="AA205" s="81"/>
      <c r="AB205" s="81"/>
      <c r="AC205" s="81"/>
      <c r="AD205" s="81"/>
      <c r="AE205" s="81"/>
      <c r="AF205" s="81"/>
      <c r="AG205" s="81"/>
      <c r="AH205" s="81"/>
      <c r="AI205" s="81" t="s">
        <v>428</v>
      </c>
      <c r="AJ205" s="81"/>
      <c r="AK205" s="81"/>
      <c r="AL205" s="79"/>
    </row>
    <row r="206" ht="22.5" customHeight="1">
      <c r="A206" s="79">
        <v>10204.0</v>
      </c>
      <c r="B206" s="79" t="s">
        <v>1230</v>
      </c>
      <c r="C206" s="79" t="s">
        <v>238</v>
      </c>
      <c r="D206" s="79" t="s">
        <v>64</v>
      </c>
      <c r="E206" s="79" t="s">
        <v>1857</v>
      </c>
      <c r="F206" s="80">
        <v>1.0</v>
      </c>
      <c r="G206" s="81"/>
      <c r="H206" s="79" t="s">
        <v>1203</v>
      </c>
      <c r="I206" s="80">
        <v>21000.0</v>
      </c>
      <c r="J206" s="81"/>
      <c r="K206" s="79" t="s">
        <v>111</v>
      </c>
      <c r="L206" s="80">
        <v>41.0</v>
      </c>
      <c r="M206" s="79" t="s">
        <v>3387</v>
      </c>
      <c r="N206" s="79" t="s">
        <v>233</v>
      </c>
      <c r="O206" s="79" t="s">
        <v>1754</v>
      </c>
      <c r="P206" s="83">
        <v>41843.0</v>
      </c>
      <c r="Q206" s="81" t="s">
        <v>3390</v>
      </c>
      <c r="R206" s="86" t="str">
        <f>HYPERLINK("http://www.huffingtonpost.com/2014/07/23/pugedon-vending-machine_n_5606494.html","http://www.huffingtonpost.com/2014/07/23/pugedon-vending-machine_n_5606494.html")</f>
        <v>http://www.huffingtonpost.com/2014/07/23/pugedon-vending-machine_n_5606494.html</v>
      </c>
      <c r="S206" s="81"/>
      <c r="T206" s="81" t="s">
        <v>1594</v>
      </c>
      <c r="U206" s="81" t="s">
        <v>462</v>
      </c>
      <c r="V206" s="81" t="s">
        <v>676</v>
      </c>
      <c r="W206" s="81" t="s">
        <v>769</v>
      </c>
      <c r="X206" s="81" t="s">
        <v>3393</v>
      </c>
      <c r="Y206" s="88">
        <v>42436.0</v>
      </c>
      <c r="Z206" s="81"/>
      <c r="AA206" s="81" t="s">
        <v>769</v>
      </c>
      <c r="AB206" s="81"/>
      <c r="AC206" s="88"/>
      <c r="AD206" s="81"/>
      <c r="AE206" s="88"/>
      <c r="AF206" s="81"/>
      <c r="AG206" s="81"/>
      <c r="AH206" s="81"/>
      <c r="AI206" s="81"/>
      <c r="AJ206" s="81"/>
      <c r="AK206" s="81"/>
      <c r="AL206" s="79"/>
    </row>
    <row r="207" ht="22.5" customHeight="1">
      <c r="A207" s="79">
        <v>10205.0</v>
      </c>
      <c r="B207" s="79" t="s">
        <v>1230</v>
      </c>
      <c r="C207" s="79" t="s">
        <v>238</v>
      </c>
      <c r="D207" s="79" t="s">
        <v>64</v>
      </c>
      <c r="E207" s="79" t="s">
        <v>1857</v>
      </c>
      <c r="F207" s="80">
        <v>1.0</v>
      </c>
      <c r="G207" s="81"/>
      <c r="H207" s="79" t="s">
        <v>470</v>
      </c>
      <c r="I207" s="80">
        <v>3000.0</v>
      </c>
      <c r="J207" s="81"/>
      <c r="K207" s="79" t="s">
        <v>3397</v>
      </c>
      <c r="L207" s="80" t="s">
        <v>3398</v>
      </c>
      <c r="M207" s="79" t="s">
        <v>3399</v>
      </c>
      <c r="N207" s="79" t="s">
        <v>577</v>
      </c>
      <c r="O207" s="79" t="s">
        <v>3400</v>
      </c>
      <c r="P207" s="83">
        <v>41914.0</v>
      </c>
      <c r="Q207" s="81" t="s">
        <v>3401</v>
      </c>
      <c r="R207" s="86" t="str">
        <f>HYPERLINK("http://www.worldbank.org/en/news/feature/2014/10/01/greening-building-design-click-mouse?hootPostID=55b303f41aa136b30435ec6855926143","http://www.worldbank.org/en/news/feature/2014/10/01/greening-building-design-click-mouse?hootPostID=55b303f41aa136b30435ec6855926143")</f>
        <v>http://www.worldbank.org/en/news/feature/2014/10/01/greening-building-design-click-mouse?hootPostID=55b303f41aa136b30435ec6855926143</v>
      </c>
      <c r="S207" s="81"/>
      <c r="T207" s="81" t="s">
        <v>462</v>
      </c>
      <c r="U207" s="81" t="s">
        <v>462</v>
      </c>
      <c r="V207" s="81" t="s">
        <v>676</v>
      </c>
      <c r="W207" s="81" t="s">
        <v>769</v>
      </c>
      <c r="X207" s="81" t="s">
        <v>3404</v>
      </c>
      <c r="Y207" s="88">
        <v>42207.0</v>
      </c>
      <c r="Z207" s="81"/>
      <c r="AA207" s="81"/>
      <c r="AB207" s="81"/>
      <c r="AC207" s="88"/>
      <c r="AD207" s="81"/>
      <c r="AE207" s="81"/>
      <c r="AF207" s="81"/>
      <c r="AG207" s="81"/>
      <c r="AH207" s="81"/>
      <c r="AI207" s="81"/>
      <c r="AJ207" s="81"/>
      <c r="AK207" s="81"/>
      <c r="AL207" s="79"/>
    </row>
    <row r="208" ht="22.5" customHeight="1">
      <c r="A208" s="79">
        <v>10206.0</v>
      </c>
      <c r="B208" s="79" t="s">
        <v>1230</v>
      </c>
      <c r="C208" s="79" t="s">
        <v>238</v>
      </c>
      <c r="D208" s="79" t="s">
        <v>64</v>
      </c>
      <c r="E208" s="79" t="s">
        <v>1857</v>
      </c>
      <c r="F208" s="80">
        <v>1.0</v>
      </c>
      <c r="G208" s="81"/>
      <c r="H208" s="79" t="s">
        <v>3407</v>
      </c>
      <c r="I208" s="80">
        <v>21000.0</v>
      </c>
      <c r="J208" s="81"/>
      <c r="K208" s="79" t="s">
        <v>289</v>
      </c>
      <c r="L208" s="80">
        <v>40.0</v>
      </c>
      <c r="M208" s="79" t="s">
        <v>3412</v>
      </c>
      <c r="N208" s="79" t="s">
        <v>3413</v>
      </c>
      <c r="O208" s="79" t="s">
        <v>1265</v>
      </c>
      <c r="P208" s="83">
        <v>42031.0</v>
      </c>
      <c r="Q208" s="81" t="s">
        <v>3414</v>
      </c>
      <c r="R208" s="86" t="str">
        <f>HYPERLINK("http://grist.org/news/seattle-to-shame-residents-for-throwing-away-food/","http://grist.org/news/seattle-to-shame-residents-for-throwing-away-food/")</f>
        <v>http://grist.org/news/seattle-to-shame-residents-for-throwing-away-food/</v>
      </c>
      <c r="S208" s="81"/>
      <c r="T208" s="81" t="s">
        <v>462</v>
      </c>
      <c r="U208" s="81" t="s">
        <v>462</v>
      </c>
      <c r="V208" s="81"/>
      <c r="W208" s="81" t="s">
        <v>600</v>
      </c>
      <c r="X208" s="81"/>
      <c r="Y208" s="88"/>
      <c r="Z208" s="81"/>
      <c r="AA208" s="81"/>
      <c r="AB208" s="81"/>
      <c r="AC208" s="88"/>
      <c r="AD208" s="81" t="s">
        <v>1321</v>
      </c>
      <c r="AE208" s="88"/>
      <c r="AF208" s="81"/>
      <c r="AG208" s="81"/>
      <c r="AH208" s="81" t="s">
        <v>428</v>
      </c>
      <c r="AI208" s="81"/>
      <c r="AJ208" s="81"/>
      <c r="AK208" s="81"/>
      <c r="AL208" s="79"/>
    </row>
    <row r="209" ht="22.5" customHeight="1">
      <c r="A209" s="79">
        <v>10207.0</v>
      </c>
      <c r="B209" s="79" t="s">
        <v>1230</v>
      </c>
      <c r="C209" s="79" t="s">
        <v>238</v>
      </c>
      <c r="D209" s="79" t="s">
        <v>64</v>
      </c>
      <c r="E209" s="79" t="s">
        <v>1857</v>
      </c>
      <c r="F209" s="80">
        <v>1.0</v>
      </c>
      <c r="G209" s="81"/>
      <c r="H209" s="79" t="s">
        <v>1114</v>
      </c>
      <c r="I209" s="80">
        <v>2000.0</v>
      </c>
      <c r="J209" s="81"/>
      <c r="K209" s="79" t="s">
        <v>289</v>
      </c>
      <c r="L209" s="80">
        <v>40.0</v>
      </c>
      <c r="M209" s="79" t="s">
        <v>3421</v>
      </c>
      <c r="N209" s="79" t="s">
        <v>3422</v>
      </c>
      <c r="O209" s="79" t="s">
        <v>3423</v>
      </c>
      <c r="P209" s="83">
        <v>40967.0</v>
      </c>
      <c r="Q209" s="81" t="s">
        <v>3425</v>
      </c>
      <c r="R209" s="86" t="str">
        <f>HYPERLINK("http://www.treehugger.com/corporate-responsibility/could-green-nudges-be-enough-push-us-better-direction.html","http://www.treehugger.com/corporate-responsibility/could-green-nudges-be-enough-push-us-better-direction.html")</f>
        <v>http://www.treehugger.com/corporate-responsibility/could-green-nudges-be-enough-push-us-better-direction.html</v>
      </c>
      <c r="S209" s="81"/>
      <c r="T209" s="81" t="s">
        <v>462</v>
      </c>
      <c r="U209" s="81" t="s">
        <v>462</v>
      </c>
      <c r="V209" s="81"/>
      <c r="W209" s="81" t="s">
        <v>769</v>
      </c>
      <c r="X209" s="81" t="s">
        <v>3432</v>
      </c>
      <c r="Y209" s="88">
        <v>42460.0</v>
      </c>
      <c r="Z209" s="88"/>
      <c r="AA209" s="81" t="s">
        <v>769</v>
      </c>
      <c r="AB209" s="81"/>
      <c r="AC209" s="88">
        <v>42492.0</v>
      </c>
      <c r="AD209" s="81"/>
      <c r="AE209" s="81"/>
      <c r="AF209" s="81"/>
      <c r="AG209" s="81"/>
      <c r="AH209" s="81"/>
      <c r="AI209" s="81"/>
      <c r="AJ209" s="81"/>
      <c r="AK209" s="81"/>
      <c r="AL209" s="79"/>
    </row>
    <row r="210" ht="22.5" customHeight="1">
      <c r="A210" s="79">
        <v>10208.0</v>
      </c>
      <c r="B210" s="79" t="s">
        <v>1230</v>
      </c>
      <c r="C210" s="79" t="s">
        <v>238</v>
      </c>
      <c r="D210" s="79" t="s">
        <v>64</v>
      </c>
      <c r="E210" s="79" t="s">
        <v>1857</v>
      </c>
      <c r="F210" s="80">
        <v>1.0</v>
      </c>
      <c r="G210" s="81"/>
      <c r="H210" s="79" t="s">
        <v>2293</v>
      </c>
      <c r="I210" s="80">
        <v>23000.0</v>
      </c>
      <c r="J210" s="81"/>
      <c r="K210" s="79" t="s">
        <v>289</v>
      </c>
      <c r="L210" s="80">
        <v>40.0</v>
      </c>
      <c r="M210" s="79" t="s">
        <v>3435</v>
      </c>
      <c r="N210" s="79" t="s">
        <v>3436</v>
      </c>
      <c r="O210" s="79" t="s">
        <v>3438</v>
      </c>
      <c r="P210" s="83">
        <v>42401.0</v>
      </c>
      <c r="Q210" s="81" t="s">
        <v>3439</v>
      </c>
      <c r="R210" s="86" t="str">
        <f>HYPERLINK("https://meam.openchannels.org/news/meam/tundi%E2%80%99s-take-marketing-conservation-ocean-serving-or-self-serving","https://meam.openchannels.org/news/meam/tundi%E2%80%99s-take-marketing-conservation-ocean-serving-or-self-serving")</f>
        <v>https://meam.openchannels.org/news/meam/tundi%E2%80%99s-take-marketing-conservation-ocean-serving-or-self-serving</v>
      </c>
      <c r="S210" s="81" t="s">
        <v>3445</v>
      </c>
      <c r="T210" s="81" t="s">
        <v>462</v>
      </c>
      <c r="U210" s="81" t="s">
        <v>462</v>
      </c>
      <c r="V210" s="81"/>
      <c r="W210" s="81" t="s">
        <v>600</v>
      </c>
      <c r="X210" s="81"/>
      <c r="Y210" s="81"/>
      <c r="Z210" s="81"/>
      <c r="AA210" s="81"/>
      <c r="AB210" s="81"/>
      <c r="AC210" s="81"/>
      <c r="AD210" s="81"/>
      <c r="AE210" s="81"/>
      <c r="AF210" s="81"/>
      <c r="AG210" s="81"/>
      <c r="AH210" s="81"/>
      <c r="AI210" s="81"/>
      <c r="AJ210" s="81"/>
      <c r="AK210" s="81"/>
      <c r="AL210" s="79"/>
    </row>
    <row r="211" ht="22.5" customHeight="1">
      <c r="A211" s="79">
        <v>10209.0</v>
      </c>
      <c r="B211" s="79" t="s">
        <v>1230</v>
      </c>
      <c r="C211" s="79" t="s">
        <v>238</v>
      </c>
      <c r="D211" s="79" t="s">
        <v>64</v>
      </c>
      <c r="E211" s="79" t="s">
        <v>196</v>
      </c>
      <c r="F211" s="80">
        <v>1.0</v>
      </c>
      <c r="G211" s="81"/>
      <c r="H211" s="79" t="s">
        <v>1143</v>
      </c>
      <c r="I211" s="80">
        <v>16000.0</v>
      </c>
      <c r="J211" s="81"/>
      <c r="K211" s="79" t="s">
        <v>152</v>
      </c>
      <c r="L211" s="80">
        <v>42.0</v>
      </c>
      <c r="M211" s="79" t="s">
        <v>1144</v>
      </c>
      <c r="N211" s="79" t="s">
        <v>1145</v>
      </c>
      <c r="O211" s="79" t="s">
        <v>214</v>
      </c>
      <c r="P211" s="94">
        <v>2013.0</v>
      </c>
      <c r="Q211" s="81"/>
      <c r="R211" s="79" t="s">
        <v>216</v>
      </c>
      <c r="S211" s="81"/>
      <c r="T211" s="81"/>
      <c r="U211" s="81"/>
      <c r="V211" s="81"/>
      <c r="W211" s="81"/>
      <c r="X211" s="102"/>
      <c r="Y211" s="81"/>
      <c r="Z211" s="81"/>
      <c r="AA211" s="81"/>
      <c r="AB211" s="81"/>
      <c r="AC211" s="81"/>
      <c r="AD211" s="81"/>
      <c r="AE211" s="81"/>
      <c r="AF211" s="81"/>
      <c r="AG211" s="81"/>
      <c r="AH211" s="81"/>
      <c r="AI211" s="81"/>
      <c r="AJ211" s="81" t="s">
        <v>1146</v>
      </c>
      <c r="AK211" s="81"/>
      <c r="AL211" s="79"/>
    </row>
    <row r="212" ht="22.5" customHeight="1">
      <c r="A212" s="79">
        <v>10210.0</v>
      </c>
      <c r="B212" s="79" t="s">
        <v>1230</v>
      </c>
      <c r="C212" s="79" t="s">
        <v>238</v>
      </c>
      <c r="D212" s="79" t="s">
        <v>64</v>
      </c>
      <c r="E212" s="79" t="s">
        <v>756</v>
      </c>
      <c r="F212" s="80" t="s">
        <v>757</v>
      </c>
      <c r="G212" s="81"/>
      <c r="H212" s="79" t="s">
        <v>1203</v>
      </c>
      <c r="I212" s="80">
        <v>21000.0</v>
      </c>
      <c r="J212" s="81"/>
      <c r="K212" s="79" t="s">
        <v>289</v>
      </c>
      <c r="L212" s="80">
        <v>40.0</v>
      </c>
      <c r="M212" s="94" t="s">
        <v>3459</v>
      </c>
      <c r="N212" s="79" t="s">
        <v>3460</v>
      </c>
      <c r="O212" s="79" t="s">
        <v>1754</v>
      </c>
      <c r="P212" s="83">
        <v>40451.0</v>
      </c>
      <c r="Q212" s="81" t="s">
        <v>3461</v>
      </c>
      <c r="R212" s="86" t="str">
        <f>HYPERLINK("http://www.huffingtonpost.com/2010/09/30/8-clever-and-innovative-w_n_736668.html","http://www.huffingtonpost.com/2010/09/30/8-clever-and-innovative-w_n_736668.html")</f>
        <v>http://www.huffingtonpost.com/2010/09/30/8-clever-and-innovative-w_n_736668.html</v>
      </c>
      <c r="S212" s="81"/>
      <c r="T212" s="81"/>
      <c r="U212" s="81"/>
      <c r="V212" s="81"/>
      <c r="W212" s="81" t="s">
        <v>600</v>
      </c>
      <c r="X212" s="81"/>
      <c r="Y212" s="81"/>
      <c r="Z212" s="81"/>
      <c r="AA212" s="81"/>
      <c r="AB212" s="81"/>
      <c r="AC212" s="81"/>
      <c r="AD212" s="81"/>
      <c r="AE212" s="81"/>
      <c r="AF212" s="81"/>
      <c r="AG212" s="81"/>
      <c r="AH212" s="81"/>
      <c r="AI212" s="81"/>
      <c r="AJ212" s="81"/>
      <c r="AK212" s="81"/>
      <c r="AL212" s="79"/>
    </row>
    <row r="213" ht="22.5" customHeight="1">
      <c r="A213" s="79">
        <v>10211.0</v>
      </c>
      <c r="B213" s="79" t="s">
        <v>1230</v>
      </c>
      <c r="C213" s="79" t="s">
        <v>238</v>
      </c>
      <c r="D213" s="79" t="s">
        <v>64</v>
      </c>
      <c r="E213" s="79" t="s">
        <v>756</v>
      </c>
      <c r="F213" s="80" t="s">
        <v>757</v>
      </c>
      <c r="G213" s="81"/>
      <c r="H213" s="79" t="s">
        <v>3476</v>
      </c>
      <c r="I213" s="80">
        <v>2000.0</v>
      </c>
      <c r="J213" s="81"/>
      <c r="K213" s="79" t="s">
        <v>1590</v>
      </c>
      <c r="L213" s="80"/>
      <c r="M213" s="79" t="s">
        <v>3479</v>
      </c>
      <c r="N213" s="79" t="s">
        <v>577</v>
      </c>
      <c r="O213" s="79" t="s">
        <v>3400</v>
      </c>
      <c r="P213" s="83">
        <v>42135.0</v>
      </c>
      <c r="Q213" s="81" t="s">
        <v>3480</v>
      </c>
      <c r="R213" s="86" t="str">
        <f>HYPERLINK("http://www.worldbank.org/en/news/feature/2015/05/11/decarbonizing-development-zero-carbon-future?CID=CCG_TTccgEN_D_EXT","http://www.worldbank.org/en/news/feature/2015/05/11/decarbonizing-development-zero-carbon-future?CID=CCG_TTccgEN_D_EXT")</f>
        <v>http://www.worldbank.org/en/news/feature/2015/05/11/decarbonizing-development-zero-carbon-future?CID=CCG_TTccgEN_D_EXT</v>
      </c>
      <c r="S213" s="81"/>
      <c r="T213" s="81" t="s">
        <v>462</v>
      </c>
      <c r="U213" s="81" t="s">
        <v>462</v>
      </c>
      <c r="V213" s="81" t="s">
        <v>676</v>
      </c>
      <c r="W213" s="81" t="s">
        <v>769</v>
      </c>
      <c r="X213" s="81" t="s">
        <v>3486</v>
      </c>
      <c r="Y213" s="88">
        <v>42207.0</v>
      </c>
      <c r="Z213" s="81"/>
      <c r="AA213" s="81"/>
      <c r="AB213" s="81"/>
      <c r="AC213" s="88"/>
      <c r="AD213" s="81"/>
      <c r="AE213" s="81"/>
      <c r="AF213" s="81"/>
      <c r="AG213" s="81"/>
      <c r="AH213" s="81"/>
      <c r="AI213" s="81"/>
      <c r="AJ213" s="81"/>
      <c r="AK213" s="81" t="s">
        <v>3487</v>
      </c>
      <c r="AL213" s="79"/>
    </row>
    <row r="214" ht="22.5" customHeight="1">
      <c r="A214" s="79">
        <v>10212.0</v>
      </c>
      <c r="B214" s="79" t="s">
        <v>1230</v>
      </c>
      <c r="C214" s="79" t="s">
        <v>238</v>
      </c>
      <c r="D214" s="79" t="s">
        <v>64</v>
      </c>
      <c r="E214" s="79" t="s">
        <v>756</v>
      </c>
      <c r="F214" s="80" t="s">
        <v>757</v>
      </c>
      <c r="G214" s="81"/>
      <c r="H214" s="79" t="s">
        <v>1223</v>
      </c>
      <c r="I214" s="80">
        <v>3000.0</v>
      </c>
      <c r="J214" s="81"/>
      <c r="K214" s="79" t="s">
        <v>289</v>
      </c>
      <c r="L214" s="80">
        <v>40.0</v>
      </c>
      <c r="M214" s="79" t="s">
        <v>3490</v>
      </c>
      <c r="N214" s="79" t="s">
        <v>3491</v>
      </c>
      <c r="O214" s="79" t="s">
        <v>1315</v>
      </c>
      <c r="P214" s="83">
        <v>42146.0</v>
      </c>
      <c r="Q214" s="81"/>
      <c r="R214" s="86" t="str">
        <f>HYPERLINK("http://www.triplepundit.com/2015/05/new-report-offers-advice-selling-sustainability-right-one/","http://www.triplepundit.com/2015/05/new-report-offers-advice-selling-sustainability-right-one/")</f>
        <v>http://www.triplepundit.com/2015/05/new-report-offers-advice-selling-sustainability-right-one/</v>
      </c>
      <c r="S214" s="81"/>
      <c r="T214" s="81" t="s">
        <v>462</v>
      </c>
      <c r="U214" s="81" t="s">
        <v>462</v>
      </c>
      <c r="V214" s="81" t="s">
        <v>676</v>
      </c>
      <c r="W214" s="81" t="s">
        <v>769</v>
      </c>
      <c r="X214" s="81" t="s">
        <v>3498</v>
      </c>
      <c r="Y214" s="88">
        <v>42187.0</v>
      </c>
      <c r="Z214" s="88">
        <v>42565.0</v>
      </c>
      <c r="AA214" s="81"/>
      <c r="AB214" s="81"/>
      <c r="AC214" s="88"/>
      <c r="AD214" s="81"/>
      <c r="AE214" s="81"/>
      <c r="AF214" s="81"/>
      <c r="AG214" s="81"/>
      <c r="AH214" s="81"/>
      <c r="AI214" s="81"/>
      <c r="AJ214" s="81"/>
      <c r="AK214" s="81"/>
      <c r="AL214" s="79"/>
    </row>
    <row r="215" ht="22.5" customHeight="1">
      <c r="A215" s="79">
        <v>10213.0</v>
      </c>
      <c r="B215" s="79" t="s">
        <v>1230</v>
      </c>
      <c r="C215" s="79" t="s">
        <v>238</v>
      </c>
      <c r="D215" s="79" t="s">
        <v>64</v>
      </c>
      <c r="E215" s="79" t="s">
        <v>3499</v>
      </c>
      <c r="F215" s="80" t="s">
        <v>3500</v>
      </c>
      <c r="G215" s="81"/>
      <c r="H215" s="79" t="s">
        <v>2511</v>
      </c>
      <c r="I215" s="80">
        <v>2000.0</v>
      </c>
      <c r="J215" s="81"/>
      <c r="K215" s="79" t="s">
        <v>289</v>
      </c>
      <c r="L215" s="80">
        <v>40.0</v>
      </c>
      <c r="M215" s="79" t="s">
        <v>3501</v>
      </c>
      <c r="N215" s="79" t="s">
        <v>1374</v>
      </c>
      <c r="O215" s="79" t="s">
        <v>1375</v>
      </c>
      <c r="P215" s="83">
        <v>42543.0</v>
      </c>
      <c r="Q215" s="81"/>
      <c r="R215" s="79" t="s">
        <v>3502</v>
      </c>
      <c r="S215" s="81"/>
      <c r="T215" s="81"/>
      <c r="U215" s="81"/>
      <c r="V215" s="102"/>
      <c r="W215" s="81" t="s">
        <v>600</v>
      </c>
      <c r="X215" s="102"/>
      <c r="Y215" s="102"/>
      <c r="Z215" s="102"/>
      <c r="AA215" s="102"/>
      <c r="AB215" s="102"/>
      <c r="AC215" s="102"/>
      <c r="AD215" s="81"/>
      <c r="AE215" s="102"/>
      <c r="AF215" s="102"/>
      <c r="AG215" s="102"/>
      <c r="AH215" s="102"/>
      <c r="AI215" s="81"/>
      <c r="AJ215" s="81" t="s">
        <v>3503</v>
      </c>
      <c r="AK215" s="81"/>
      <c r="AL215" s="79"/>
    </row>
    <row r="216" ht="22.5" customHeight="1">
      <c r="A216" s="79">
        <v>10214.0</v>
      </c>
      <c r="B216" s="79" t="s">
        <v>1230</v>
      </c>
      <c r="C216" s="79" t="s">
        <v>238</v>
      </c>
      <c r="D216" s="79" t="s">
        <v>64</v>
      </c>
      <c r="E216" s="79" t="s">
        <v>2819</v>
      </c>
      <c r="F216" s="80" t="s">
        <v>3505</v>
      </c>
      <c r="G216" s="81"/>
      <c r="H216" s="79" t="s">
        <v>470</v>
      </c>
      <c r="I216" s="80">
        <v>3000.0</v>
      </c>
      <c r="J216" s="81"/>
      <c r="K216" s="79" t="s">
        <v>289</v>
      </c>
      <c r="L216" s="80">
        <v>40.0</v>
      </c>
      <c r="M216" s="79" t="s">
        <v>2207</v>
      </c>
      <c r="N216" s="79" t="s">
        <v>577</v>
      </c>
      <c r="O216" s="79" t="s">
        <v>3508</v>
      </c>
      <c r="P216" s="83"/>
      <c r="Q216" s="81" t="s">
        <v>3510</v>
      </c>
      <c r="R216" s="86" t="str">
        <f>HYPERLINK("http://www.toolsofchange.com/en/case-studies/detail/674","http://www.toolsofchange.com/en/case-studies/detail/674")</f>
        <v>http://www.toolsofchange.com/en/case-studies/detail/674</v>
      </c>
      <c r="S216" s="81"/>
      <c r="T216" s="81" t="s">
        <v>462</v>
      </c>
      <c r="U216" s="81" t="s">
        <v>428</v>
      </c>
      <c r="V216" s="81"/>
      <c r="W216" s="81" t="s">
        <v>677</v>
      </c>
      <c r="X216" s="81"/>
      <c r="Y216" s="81"/>
      <c r="Z216" s="81"/>
      <c r="AA216" s="81"/>
      <c r="AB216" s="81"/>
      <c r="AC216" s="81"/>
      <c r="AD216" s="81"/>
      <c r="AE216" s="81"/>
      <c r="AF216" s="81"/>
      <c r="AG216" s="81"/>
      <c r="AH216" s="81"/>
      <c r="AI216" s="81"/>
      <c r="AJ216" s="81" t="s">
        <v>2820</v>
      </c>
      <c r="AK216" s="81"/>
      <c r="AL216" s="79"/>
    </row>
    <row r="217" ht="22.5" customHeight="1">
      <c r="A217" s="79">
        <v>10215.0</v>
      </c>
      <c r="B217" s="79" t="s">
        <v>1230</v>
      </c>
      <c r="C217" s="79" t="s">
        <v>238</v>
      </c>
      <c r="D217" s="79" t="s">
        <v>64</v>
      </c>
      <c r="E217" s="79" t="s">
        <v>1527</v>
      </c>
      <c r="F217" s="80" t="s">
        <v>1528</v>
      </c>
      <c r="G217" s="81"/>
      <c r="H217" s="79" t="s">
        <v>644</v>
      </c>
      <c r="I217" s="80">
        <v>2000.0</v>
      </c>
      <c r="J217" s="81"/>
      <c r="K217" s="79" t="s">
        <v>289</v>
      </c>
      <c r="L217" s="80">
        <v>40.0</v>
      </c>
      <c r="M217" s="94" t="s">
        <v>1530</v>
      </c>
      <c r="N217" s="79" t="s">
        <v>1531</v>
      </c>
      <c r="O217" s="79" t="s">
        <v>1441</v>
      </c>
      <c r="P217" s="83">
        <v>42384.0</v>
      </c>
      <c r="Q217" s="81" t="s">
        <v>1532</v>
      </c>
      <c r="R217" s="86" t="str">
        <f>HYPERLINK("http://www.climateaccess.org/blog/highlights-hub","http://www.climateaccess.org/blog/highlights-hub")</f>
        <v>http://www.climateaccess.org/blog/highlights-hub</v>
      </c>
      <c r="S217" s="81"/>
      <c r="T217" s="81"/>
      <c r="U217" s="81"/>
      <c r="V217" s="81"/>
      <c r="W217" s="81" t="s">
        <v>428</v>
      </c>
      <c r="X217" s="106" t="str">
        <f>HYPERLINK("https://hootsuite.com/dashboard","To communicate about #climatechange effectively, use local impacts, real people, &amp; success stories in examples")</f>
        <v>To communicate about #climatechange effectively, use local impacts, real people, &amp; success stories in examples</v>
      </c>
      <c r="Y217" s="88">
        <v>42635.0</v>
      </c>
      <c r="Z217" s="81"/>
      <c r="AA217" s="81"/>
      <c r="AB217" s="81"/>
      <c r="AC217" s="81"/>
      <c r="AD217" s="81"/>
      <c r="AE217" s="81"/>
      <c r="AF217" s="81"/>
      <c r="AG217" s="81"/>
      <c r="AH217" s="81"/>
      <c r="AI217" s="81" t="s">
        <v>428</v>
      </c>
      <c r="AJ217" s="81"/>
      <c r="AK217" s="81"/>
      <c r="AL217" s="79"/>
    </row>
    <row r="218" ht="22.5" customHeight="1">
      <c r="A218" s="79">
        <v>10216.0</v>
      </c>
      <c r="B218" s="79" t="s">
        <v>1230</v>
      </c>
      <c r="C218" s="79" t="s">
        <v>238</v>
      </c>
      <c r="D218" s="79" t="s">
        <v>64</v>
      </c>
      <c r="E218" s="79" t="s">
        <v>1014</v>
      </c>
      <c r="F218" s="80" t="s">
        <v>1015</v>
      </c>
      <c r="G218" s="81"/>
      <c r="H218" s="79" t="s">
        <v>578</v>
      </c>
      <c r="I218" s="80">
        <v>2000.0</v>
      </c>
      <c r="J218" s="81"/>
      <c r="K218" s="79" t="s">
        <v>289</v>
      </c>
      <c r="L218" s="80">
        <v>40.0</v>
      </c>
      <c r="M218" s="94" t="s">
        <v>3527</v>
      </c>
      <c r="N218" s="79" t="s">
        <v>1374</v>
      </c>
      <c r="O218" s="79" t="s">
        <v>1375</v>
      </c>
      <c r="P218" s="83">
        <v>42474.0</v>
      </c>
      <c r="Q218" s="81" t="s">
        <v>3528</v>
      </c>
      <c r="R218" s="86" t="str">
        <f>HYPERLINK("https://www.washingtonpost.com/news/energy-environment/wp/2016/04/14/whats-so-different-and-powerful-about-apples-newest-green-initiative/","https://www.washingtonpost.com/news/energy-environment/wp/2016/04/14/whats-so-different-and-powerful-about-apples-newest-green-initiative/")</f>
        <v>https://www.washingtonpost.com/news/energy-environment/wp/2016/04/14/whats-so-different-and-powerful-about-apples-newest-green-initiative/</v>
      </c>
      <c r="S218" s="81"/>
      <c r="T218" s="81"/>
      <c r="U218" s="81"/>
      <c r="V218" s="81"/>
      <c r="W218" s="81" t="s">
        <v>428</v>
      </c>
      <c r="X218" s="81" t="s">
        <v>3529</v>
      </c>
      <c r="Y218" s="88">
        <v>42634.0</v>
      </c>
      <c r="Z218" s="81"/>
      <c r="AA218" s="81"/>
      <c r="AB218" s="81"/>
      <c r="AC218" s="81"/>
      <c r="AD218" s="81"/>
      <c r="AE218" s="81"/>
      <c r="AF218" s="81"/>
      <c r="AG218" s="81"/>
      <c r="AH218" s="81"/>
      <c r="AI218" s="81" t="s">
        <v>428</v>
      </c>
      <c r="AJ218" s="81" t="s">
        <v>2670</v>
      </c>
      <c r="AK218" s="81"/>
      <c r="AL218" s="79"/>
    </row>
    <row r="219" ht="22.5" customHeight="1">
      <c r="A219" s="79">
        <v>10217.0</v>
      </c>
      <c r="B219" s="79" t="s">
        <v>1230</v>
      </c>
      <c r="C219" s="79" t="s">
        <v>238</v>
      </c>
      <c r="D219" s="79" t="s">
        <v>64</v>
      </c>
      <c r="E219" s="79" t="s">
        <v>1014</v>
      </c>
      <c r="F219" s="80" t="s">
        <v>1015</v>
      </c>
      <c r="G219" s="81"/>
      <c r="H219" s="79" t="s">
        <v>470</v>
      </c>
      <c r="I219" s="80">
        <v>3000.0</v>
      </c>
      <c r="J219" s="81"/>
      <c r="K219" s="79" t="s">
        <v>289</v>
      </c>
      <c r="L219" s="80">
        <v>40.0</v>
      </c>
      <c r="M219" s="79" t="s">
        <v>3530</v>
      </c>
      <c r="N219" s="79" t="s">
        <v>3532</v>
      </c>
      <c r="O219" s="79" t="s">
        <v>3534</v>
      </c>
      <c r="P219" s="83">
        <v>42041.0</v>
      </c>
      <c r="Q219" s="81" t="s">
        <v>3536</v>
      </c>
      <c r="R219" s="86" t="str">
        <f>HYPERLINK("http://theenergycollective.com/stephenlacey/2189811/money-versus-morals-why-economic-rewards-trump-polite-messaging-efficiency","http://theenergycollective.com/stephenlacey/2189811/money-versus-morals-why-economic-rewards-trump-polite-messaging-efficiency")</f>
        <v>http://theenergycollective.com/stephenlacey/2189811/money-versus-morals-why-economic-rewards-trump-polite-messaging-efficiency</v>
      </c>
      <c r="S219" s="81"/>
      <c r="T219" s="81" t="s">
        <v>462</v>
      </c>
      <c r="U219" s="81" t="s">
        <v>428</v>
      </c>
      <c r="V219" s="81"/>
      <c r="W219" s="81" t="s">
        <v>769</v>
      </c>
      <c r="X219" s="81" t="s">
        <v>3539</v>
      </c>
      <c r="Y219" s="88">
        <v>42457.0</v>
      </c>
      <c r="Z219" s="96" t="str">
        <f>HYPERLINK("http://t.co/azlpOGxXEl","12/7/2016")</f>
        <v>12/7/2016</v>
      </c>
      <c r="AA219" s="81" t="s">
        <v>769</v>
      </c>
      <c r="AB219" s="81"/>
      <c r="AC219" s="88">
        <v>42433.0</v>
      </c>
      <c r="AD219" s="81" t="s">
        <v>2035</v>
      </c>
      <c r="AE219" s="81"/>
      <c r="AF219" s="81"/>
      <c r="AG219" s="81"/>
      <c r="AH219" s="81"/>
      <c r="AI219" s="81"/>
      <c r="AJ219" s="81" t="s">
        <v>991</v>
      </c>
      <c r="AK219" s="81"/>
      <c r="AL219" s="79"/>
    </row>
    <row r="220" ht="22.5" customHeight="1">
      <c r="A220" s="79">
        <v>10218.0</v>
      </c>
      <c r="B220" s="79" t="s">
        <v>1230</v>
      </c>
      <c r="C220" s="79" t="s">
        <v>238</v>
      </c>
      <c r="D220" s="79" t="s">
        <v>64</v>
      </c>
      <c r="E220" s="79" t="s">
        <v>3547</v>
      </c>
      <c r="F220" s="80" t="s">
        <v>3548</v>
      </c>
      <c r="G220" s="81"/>
      <c r="H220" s="79" t="s">
        <v>644</v>
      </c>
      <c r="I220" s="80">
        <v>2000.0</v>
      </c>
      <c r="J220" s="81"/>
      <c r="K220" s="79" t="s">
        <v>289</v>
      </c>
      <c r="L220" s="80">
        <v>40.0</v>
      </c>
      <c r="M220" s="79" t="s">
        <v>3551</v>
      </c>
      <c r="N220" s="79" t="s">
        <v>577</v>
      </c>
      <c r="O220" s="79" t="s">
        <v>2616</v>
      </c>
      <c r="P220" s="83">
        <v>41795.0</v>
      </c>
      <c r="Q220" s="81"/>
      <c r="R220" s="86" t="str">
        <f>HYPERLINK("https://marketinggreen.wordpress.com/2015/05/22/transforming-the-climate-conversation-through-social-video/","https://marketinggreen.wordpress.com/2015/05/22/transforming-the-climate-conversation-through-social-video/")</f>
        <v>https://marketinggreen.wordpress.com/2015/05/22/transforming-the-climate-conversation-through-social-video/</v>
      </c>
      <c r="S220" s="81"/>
      <c r="T220" s="81" t="s">
        <v>462</v>
      </c>
      <c r="U220" s="81" t="s">
        <v>462</v>
      </c>
      <c r="V220" s="81" t="s">
        <v>676</v>
      </c>
      <c r="W220" s="81" t="s">
        <v>769</v>
      </c>
      <c r="X220" s="81" t="s">
        <v>3553</v>
      </c>
      <c r="Y220" s="88">
        <v>42200.0</v>
      </c>
      <c r="Z220" s="88">
        <v>42557.0</v>
      </c>
      <c r="AA220" s="81"/>
      <c r="AB220" s="81"/>
      <c r="AC220" s="88"/>
      <c r="AD220" s="81"/>
      <c r="AE220" s="81"/>
      <c r="AF220" s="81"/>
      <c r="AG220" s="81"/>
      <c r="AH220" s="81"/>
      <c r="AI220" s="81"/>
      <c r="AJ220" s="81" t="s">
        <v>2670</v>
      </c>
      <c r="AK220" s="81"/>
      <c r="AL220" s="79"/>
    </row>
    <row r="221" ht="22.5" customHeight="1">
      <c r="A221" s="79">
        <v>10219.0</v>
      </c>
      <c r="B221" s="79" t="s">
        <v>1230</v>
      </c>
      <c r="C221" s="79" t="s">
        <v>238</v>
      </c>
      <c r="D221" s="79" t="s">
        <v>64</v>
      </c>
      <c r="E221" s="79" t="s">
        <v>1147</v>
      </c>
      <c r="F221" s="80" t="s">
        <v>1083</v>
      </c>
      <c r="G221" s="81"/>
      <c r="H221" s="79" t="s">
        <v>837</v>
      </c>
      <c r="I221" s="80">
        <v>2000.0</v>
      </c>
      <c r="J221" s="81"/>
      <c r="K221" s="79" t="s">
        <v>324</v>
      </c>
      <c r="L221" s="80" t="s">
        <v>325</v>
      </c>
      <c r="M221" s="79" t="s">
        <v>1148</v>
      </c>
      <c r="N221" s="86" t="str">
        <f>HYPERLINK("http://www.bris.ac.uk/earthsciences/people/keri-a-mcnamara/index.html","Keri McNamara")</f>
        <v>Keri McNamara</v>
      </c>
      <c r="O221" s="79" t="s">
        <v>1149</v>
      </c>
      <c r="P221" s="83">
        <v>42166.0</v>
      </c>
      <c r="Q221" s="81" t="s">
        <v>1150</v>
      </c>
      <c r="R221" s="86" t="str">
        <f>HYPERLINK("http://cabot-institute.blogspot.co.uk/2015/06/the-great-climate-communication-clash.html","http://cabot-institute.blogspot.co.uk/2015/06/the-great-climate-communication-clash.html")</f>
        <v>http://cabot-institute.blogspot.co.uk/2015/06/the-great-climate-communication-clash.html</v>
      </c>
      <c r="S221" s="81"/>
      <c r="T221" s="81" t="s">
        <v>462</v>
      </c>
      <c r="U221" s="81" t="s">
        <v>462</v>
      </c>
      <c r="V221" s="81"/>
      <c r="W221" s="81" t="s">
        <v>769</v>
      </c>
      <c r="X221" s="81" t="s">
        <v>1151</v>
      </c>
      <c r="Y221" s="88">
        <v>42494.0</v>
      </c>
      <c r="Z221" s="81"/>
      <c r="AA221" s="81" t="s">
        <v>769</v>
      </c>
      <c r="AB221" s="81"/>
      <c r="AC221" s="88">
        <v>42178.0</v>
      </c>
      <c r="AD221" s="81" t="s">
        <v>1152</v>
      </c>
      <c r="AE221" s="81"/>
      <c r="AF221" s="81"/>
      <c r="AG221" s="81"/>
      <c r="AH221" s="81"/>
      <c r="AI221" s="81"/>
      <c r="AJ221" s="81"/>
      <c r="AK221" s="81"/>
      <c r="AL221" s="79"/>
    </row>
    <row r="222" ht="22.5" customHeight="1">
      <c r="A222" s="79">
        <v>10220.0</v>
      </c>
      <c r="B222" s="79" t="s">
        <v>1230</v>
      </c>
      <c r="C222" s="79" t="s">
        <v>238</v>
      </c>
      <c r="D222" s="79" t="s">
        <v>64</v>
      </c>
      <c r="E222" s="79" t="s">
        <v>1147</v>
      </c>
      <c r="F222" s="80" t="s">
        <v>1083</v>
      </c>
      <c r="G222" s="81"/>
      <c r="H222" s="79" t="s">
        <v>224</v>
      </c>
      <c r="I222" s="80"/>
      <c r="J222" s="81"/>
      <c r="K222" s="79" t="s">
        <v>289</v>
      </c>
      <c r="L222" s="80">
        <v>40.0</v>
      </c>
      <c r="M222" s="94" t="s">
        <v>3565</v>
      </c>
      <c r="N222" s="79" t="s">
        <v>3566</v>
      </c>
      <c r="O222" s="79" t="s">
        <v>3567</v>
      </c>
      <c r="P222" s="83">
        <v>42493.0</v>
      </c>
      <c r="Q222" s="81" t="s">
        <v>3568</v>
      </c>
      <c r="R222" s="86" t="str">
        <f>HYPERLINK("http://www.behaviouralinsights.co.uk/north-america/how-can-a-letter-increase-sewer-bill-payments/","http://www.behaviouralinsights.co.uk/north-america/how-can-a-letter-increase-sewer-bill-payments/")</f>
        <v>http://www.behaviouralinsights.co.uk/north-america/how-can-a-letter-increase-sewer-bill-payments/</v>
      </c>
      <c r="S222" s="81"/>
      <c r="T222" s="81"/>
      <c r="U222" s="81"/>
      <c r="V222" s="81"/>
      <c r="W222" s="81" t="s">
        <v>769</v>
      </c>
      <c r="X222" s="81" t="s">
        <v>3576</v>
      </c>
      <c r="Y222" s="88">
        <v>42647.0</v>
      </c>
      <c r="Z222" s="81"/>
      <c r="AA222" s="81"/>
      <c r="AB222" s="81"/>
      <c r="AC222" s="81"/>
      <c r="AD222" s="81"/>
      <c r="AE222" s="81"/>
      <c r="AF222" s="81"/>
      <c r="AG222" s="81"/>
      <c r="AH222" s="81"/>
      <c r="AI222" s="81" t="s">
        <v>428</v>
      </c>
      <c r="AJ222" s="81"/>
      <c r="AK222" s="81"/>
      <c r="AL222" s="79"/>
    </row>
    <row r="223" ht="22.5" customHeight="1">
      <c r="A223" s="79">
        <v>10221.0</v>
      </c>
      <c r="B223" s="79" t="s">
        <v>1230</v>
      </c>
      <c r="C223" s="79" t="s">
        <v>238</v>
      </c>
      <c r="D223" s="79" t="s">
        <v>64</v>
      </c>
      <c r="E223" s="79" t="s">
        <v>1147</v>
      </c>
      <c r="F223" s="80" t="s">
        <v>1083</v>
      </c>
      <c r="G223" s="81"/>
      <c r="H223" s="79" t="s">
        <v>116</v>
      </c>
      <c r="I223" s="80">
        <v>3000.0</v>
      </c>
      <c r="J223" s="81"/>
      <c r="K223" s="79" t="s">
        <v>289</v>
      </c>
      <c r="L223" s="80">
        <v>40.0</v>
      </c>
      <c r="M223" s="79" t="s">
        <v>3578</v>
      </c>
      <c r="N223" s="79" t="s">
        <v>3579</v>
      </c>
      <c r="O223" s="79" t="s">
        <v>3580</v>
      </c>
      <c r="P223" s="83">
        <v>42081.0</v>
      </c>
      <c r="Q223" s="81" t="s">
        <v>3581</v>
      </c>
      <c r="R223" s="86" t="str">
        <f>HYPERLINK("http://mavensnotebook.com/2015/03/18/responding-to-drought-options-for-demand-side-management-or-which-water-conservation-programs-actually-work/","http://mavensnotebook.com/2015/03/18/responding-to-drought-options-for-demand-side-management-or-which-water-conservation-programs-actually-work/")</f>
        <v>http://mavensnotebook.com/2015/03/18/responding-to-drought-options-for-demand-side-management-or-which-water-conservation-programs-actually-work/</v>
      </c>
      <c r="S223" s="81" t="s">
        <v>1868</v>
      </c>
      <c r="T223" s="81" t="s">
        <v>462</v>
      </c>
      <c r="U223" s="81" t="s">
        <v>462</v>
      </c>
      <c r="V223" s="81"/>
      <c r="W223" s="81" t="s">
        <v>769</v>
      </c>
      <c r="X223" s="81" t="s">
        <v>3588</v>
      </c>
      <c r="Y223" s="88">
        <v>42179.0</v>
      </c>
      <c r="Z223" s="88">
        <v>42528.0</v>
      </c>
      <c r="AA223" s="81" t="s">
        <v>769</v>
      </c>
      <c r="AB223" s="81"/>
      <c r="AC223" s="88">
        <v>42541.0</v>
      </c>
      <c r="AD223" s="81"/>
      <c r="AE223" s="81"/>
      <c r="AF223" s="81"/>
      <c r="AG223" s="81"/>
      <c r="AH223" s="81"/>
      <c r="AI223" s="81"/>
      <c r="AJ223" s="81"/>
      <c r="AK223" s="81"/>
      <c r="AL223" s="79"/>
    </row>
    <row r="224" ht="22.5" customHeight="1">
      <c r="A224" s="79">
        <v>10222.0</v>
      </c>
      <c r="B224" s="79" t="s">
        <v>1230</v>
      </c>
      <c r="C224" s="79" t="s">
        <v>238</v>
      </c>
      <c r="D224" s="79" t="s">
        <v>64</v>
      </c>
      <c r="E224" s="79" t="s">
        <v>1147</v>
      </c>
      <c r="F224" s="80" t="s">
        <v>1083</v>
      </c>
      <c r="G224" s="81"/>
      <c r="H224" s="79" t="s">
        <v>1223</v>
      </c>
      <c r="I224" s="80">
        <v>3000.0</v>
      </c>
      <c r="J224" s="81"/>
      <c r="K224" s="79" t="s">
        <v>289</v>
      </c>
      <c r="L224" s="80">
        <v>40.0</v>
      </c>
      <c r="M224" s="79" t="s">
        <v>3591</v>
      </c>
      <c r="N224" s="79" t="s">
        <v>3592</v>
      </c>
      <c r="O224" s="79" t="s">
        <v>3594</v>
      </c>
      <c r="P224" s="83">
        <v>42135.0</v>
      </c>
      <c r="Q224" s="81" t="s">
        <v>3595</v>
      </c>
      <c r="R224" s="86" t="str">
        <f>HYPERLINK("http://www.futerra.co.uk/blog/whats-in-it-for-me","http://www.futerra.co.uk/blog/whats-in-it-for-me")</f>
        <v>http://www.futerra.co.uk/blog/whats-in-it-for-me</v>
      </c>
      <c r="S224" s="81"/>
      <c r="T224" s="81" t="s">
        <v>462</v>
      </c>
      <c r="U224" s="81" t="s">
        <v>462</v>
      </c>
      <c r="V224" s="81"/>
      <c r="W224" s="81" t="s">
        <v>769</v>
      </c>
      <c r="X224" s="81" t="s">
        <v>3599</v>
      </c>
      <c r="Y224" s="88">
        <v>42158.0</v>
      </c>
      <c r="Z224" s="88">
        <v>42572.0</v>
      </c>
      <c r="AA224" s="81"/>
      <c r="AB224" s="81"/>
      <c r="AC224" s="81"/>
      <c r="AD224" s="81"/>
      <c r="AE224" s="81"/>
      <c r="AF224" s="81"/>
      <c r="AG224" s="81"/>
      <c r="AH224" s="81"/>
      <c r="AI224" s="81"/>
      <c r="AJ224" s="81"/>
      <c r="AK224" s="81"/>
      <c r="AL224" s="79"/>
    </row>
    <row r="225" ht="22.5" customHeight="1">
      <c r="A225" s="79">
        <v>10223.0</v>
      </c>
      <c r="B225" s="79" t="s">
        <v>1230</v>
      </c>
      <c r="C225" s="79" t="s">
        <v>238</v>
      </c>
      <c r="D225" s="79" t="s">
        <v>64</v>
      </c>
      <c r="E225" s="79" t="s">
        <v>1082</v>
      </c>
      <c r="F225" s="80" t="s">
        <v>1083</v>
      </c>
      <c r="G225" s="81"/>
      <c r="H225" s="79" t="s">
        <v>644</v>
      </c>
      <c r="I225" s="80">
        <v>2000.0</v>
      </c>
      <c r="J225" s="81"/>
      <c r="K225" s="79" t="s">
        <v>3601</v>
      </c>
      <c r="L225" s="80" t="s">
        <v>3602</v>
      </c>
      <c r="M225" s="79" t="s">
        <v>3603</v>
      </c>
      <c r="N225" s="79" t="s">
        <v>3604</v>
      </c>
      <c r="O225" s="79" t="s">
        <v>1281</v>
      </c>
      <c r="P225" s="83">
        <v>42129.0</v>
      </c>
      <c r="Q225" s="81" t="s">
        <v>108</v>
      </c>
      <c r="R225" s="86" t="str">
        <f>HYPERLINK("http://www.theguardian.com/global-development-professionals-network/2015/may/05/15-ways-to-powerfully-communicate-climate-change-solutions","http://www.theguardian.com/global-development-professionals-network/2015/may/05/15-ways-to-powerfully-communicate-climate-change-solutions")</f>
        <v>http://www.theguardian.com/global-development-professionals-network/2015/may/05/15-ways-to-powerfully-communicate-climate-change-solutions</v>
      </c>
      <c r="S225" s="81"/>
      <c r="T225" s="81" t="s">
        <v>462</v>
      </c>
      <c r="U225" s="81" t="s">
        <v>462</v>
      </c>
      <c r="V225" s="81"/>
      <c r="W225" s="81" t="s">
        <v>769</v>
      </c>
      <c r="X225" s="81" t="s">
        <v>3610</v>
      </c>
      <c r="Y225" s="88">
        <v>42131.0</v>
      </c>
      <c r="Z225" s="88">
        <v>42495.0</v>
      </c>
      <c r="AA225" s="81" t="s">
        <v>769</v>
      </c>
      <c r="AB225" s="81"/>
      <c r="AC225" s="88">
        <v>42166.0</v>
      </c>
      <c r="AD225" s="81"/>
      <c r="AE225" s="81"/>
      <c r="AF225" s="81"/>
      <c r="AG225" s="81"/>
      <c r="AH225" s="81"/>
      <c r="AI225" s="81"/>
      <c r="AJ225" s="81"/>
      <c r="AK225" s="81"/>
      <c r="AL225" s="79"/>
    </row>
    <row r="226" ht="22.5" customHeight="1">
      <c r="A226" s="79">
        <v>10224.0</v>
      </c>
      <c r="B226" s="79" t="s">
        <v>1230</v>
      </c>
      <c r="C226" s="79" t="s">
        <v>238</v>
      </c>
      <c r="D226" s="79" t="s">
        <v>64</v>
      </c>
      <c r="E226" s="79" t="s">
        <v>1082</v>
      </c>
      <c r="F226" s="80" t="s">
        <v>1083</v>
      </c>
      <c r="G226" s="81"/>
      <c r="H226" s="79" t="s">
        <v>644</v>
      </c>
      <c r="I226" s="80">
        <v>2000.0</v>
      </c>
      <c r="J226" s="81"/>
      <c r="K226" s="79" t="s">
        <v>289</v>
      </c>
      <c r="L226" s="80">
        <v>40.0</v>
      </c>
      <c r="M226" s="79" t="s">
        <v>1084</v>
      </c>
      <c r="N226" s="79" t="s">
        <v>1085</v>
      </c>
      <c r="O226" s="79" t="s">
        <v>1086</v>
      </c>
      <c r="P226" s="83">
        <v>42194.0</v>
      </c>
      <c r="Q226" s="81" t="s">
        <v>1087</v>
      </c>
      <c r="R226" s="86" t="str">
        <f>HYPERLINK("http://blessedtomorrow.org/blog/multi-faith-survey-reveals-5-keys-communicating-climate-change?utm_content=buffer8728c&amp;utm_medium=social&amp;utm_source=twitter.com&amp;utm_campaign=buffer","http://blessedtomorrow.org/blog/multi-faith-survey-reveals-5-keys-communicating-climate-change?utm_content=buffer8728c&amp;utm_medium=social&amp;utm_source=twitter.com&amp;utm_campaign=buffer")</f>
        <v>http://blessedtomorrow.org/blog/multi-faith-survey-reveals-5-keys-communicating-climate-change?utm_content=buffer8728c&amp;utm_medium=social&amp;utm_source=twitter.com&amp;utm_campaign=buffer</v>
      </c>
      <c r="S226" s="81"/>
      <c r="T226" s="81" t="s">
        <v>462</v>
      </c>
      <c r="U226" s="81" t="s">
        <v>462</v>
      </c>
      <c r="V226" s="81" t="s">
        <v>676</v>
      </c>
      <c r="W226" s="81" t="s">
        <v>600</v>
      </c>
      <c r="X226" s="81"/>
      <c r="Y226" s="88"/>
      <c r="Z226" s="93"/>
      <c r="AA226" s="81"/>
      <c r="AB226" s="81"/>
      <c r="AC226" s="88"/>
      <c r="AD226" s="81" t="s">
        <v>1088</v>
      </c>
      <c r="AE226" s="81"/>
      <c r="AF226" s="81" t="s">
        <v>1089</v>
      </c>
      <c r="AG226" s="81"/>
      <c r="AH226" s="81"/>
      <c r="AI226" s="81"/>
      <c r="AJ226" s="81"/>
      <c r="AK226" s="81"/>
      <c r="AL226" s="79"/>
    </row>
    <row r="227" ht="22.5" customHeight="1">
      <c r="A227" s="79">
        <v>10225.0</v>
      </c>
      <c r="B227" s="79" t="s">
        <v>1230</v>
      </c>
      <c r="C227" s="79" t="s">
        <v>238</v>
      </c>
      <c r="D227" s="79" t="s">
        <v>64</v>
      </c>
      <c r="E227" s="79" t="s">
        <v>1559</v>
      </c>
      <c r="F227" s="80" t="s">
        <v>1560</v>
      </c>
      <c r="G227" s="81"/>
      <c r="H227" s="79" t="s">
        <v>1114</v>
      </c>
      <c r="I227" s="80">
        <v>2000.0</v>
      </c>
      <c r="J227" s="81"/>
      <c r="K227" s="79" t="s">
        <v>289</v>
      </c>
      <c r="L227" s="80">
        <v>40.0</v>
      </c>
      <c r="M227" s="79" t="s">
        <v>1562</v>
      </c>
      <c r="N227" s="79" t="s">
        <v>1565</v>
      </c>
      <c r="O227" s="79" t="s">
        <v>1441</v>
      </c>
      <c r="P227" s="83">
        <v>42212.0</v>
      </c>
      <c r="Q227" s="81" t="s">
        <v>1567</v>
      </c>
      <c r="R227" s="86" t="str">
        <f>HYPERLINK("http://www.climateaccess.org/blog/inspire-action-through-smart-imagery","http://www.climateaccess.org/blog/inspire-action-through-smart-imagery")</f>
        <v>http://www.climateaccess.org/blog/inspire-action-through-smart-imagery</v>
      </c>
      <c r="S227" s="81" t="s">
        <v>1573</v>
      </c>
      <c r="T227" s="81" t="s">
        <v>462</v>
      </c>
      <c r="U227" s="81" t="s">
        <v>462</v>
      </c>
      <c r="V227" s="81" t="s">
        <v>676</v>
      </c>
      <c r="W227" s="81" t="s">
        <v>600</v>
      </c>
      <c r="X227" s="81"/>
      <c r="Y227" s="88"/>
      <c r="Z227" s="93"/>
      <c r="AA227" s="81"/>
      <c r="AB227" s="81"/>
      <c r="AC227" s="88"/>
      <c r="AD227" s="81" t="s">
        <v>1088</v>
      </c>
      <c r="AE227" s="81"/>
      <c r="AF227" s="81" t="s">
        <v>1089</v>
      </c>
      <c r="AG227" s="81"/>
      <c r="AH227" s="81"/>
      <c r="AI227" s="81"/>
      <c r="AJ227" s="81"/>
      <c r="AK227" s="81"/>
      <c r="AL227" s="79"/>
    </row>
    <row r="228" ht="22.5" customHeight="1">
      <c r="A228" s="79">
        <v>10226.0</v>
      </c>
      <c r="B228" s="79" t="s">
        <v>1230</v>
      </c>
      <c r="C228" s="79" t="s">
        <v>238</v>
      </c>
      <c r="D228" s="79" t="s">
        <v>64</v>
      </c>
      <c r="E228" s="79" t="s">
        <v>1559</v>
      </c>
      <c r="F228" s="80" t="s">
        <v>1560</v>
      </c>
      <c r="G228" s="81"/>
      <c r="H228" s="79" t="s">
        <v>470</v>
      </c>
      <c r="I228" s="80">
        <v>3000.0</v>
      </c>
      <c r="J228" s="81"/>
      <c r="K228" s="79" t="s">
        <v>289</v>
      </c>
      <c r="L228" s="80">
        <v>40.0</v>
      </c>
      <c r="M228" s="94" t="s">
        <v>3252</v>
      </c>
      <c r="N228" s="79" t="s">
        <v>3253</v>
      </c>
      <c r="O228" s="79" t="s">
        <v>3254</v>
      </c>
      <c r="P228" s="83">
        <v>42223.0</v>
      </c>
      <c r="Q228" s="81" t="s">
        <v>3256</v>
      </c>
      <c r="R228" s="86" t="str">
        <f>HYPERLINK("http://www.eenews.net/stories/1060022688","http://www.eenews.net/stories/1060022688")</f>
        <v>http://www.eenews.net/stories/1060022688</v>
      </c>
      <c r="S228" s="81"/>
      <c r="T228" s="81"/>
      <c r="U228" s="81"/>
      <c r="V228" s="81"/>
      <c r="W228" s="81" t="s">
        <v>428</v>
      </c>
      <c r="X228" s="81" t="s">
        <v>3257</v>
      </c>
      <c r="Y228" s="88">
        <v>42642.0</v>
      </c>
      <c r="Z228" s="81"/>
      <c r="AA228" s="81"/>
      <c r="AB228" s="81"/>
      <c r="AC228" s="81"/>
      <c r="AD228" s="81"/>
      <c r="AE228" s="81"/>
      <c r="AF228" s="81"/>
      <c r="AG228" s="81"/>
      <c r="AH228" s="81"/>
      <c r="AI228" s="81" t="s">
        <v>428</v>
      </c>
      <c r="AJ228" s="81"/>
      <c r="AK228" s="81"/>
      <c r="AL228" s="79"/>
    </row>
    <row r="229" ht="22.5" customHeight="1">
      <c r="A229" s="79">
        <v>10227.0</v>
      </c>
      <c r="B229" s="79" t="s">
        <v>1230</v>
      </c>
      <c r="C229" s="79" t="s">
        <v>238</v>
      </c>
      <c r="D229" s="79" t="s">
        <v>64</v>
      </c>
      <c r="E229" s="79" t="s">
        <v>3104</v>
      </c>
      <c r="F229" s="80" t="s">
        <v>3105</v>
      </c>
      <c r="G229" s="81"/>
      <c r="H229" s="79" t="s">
        <v>3107</v>
      </c>
      <c r="I229" s="80">
        <v>3000.0</v>
      </c>
      <c r="J229" s="81"/>
      <c r="K229" s="79" t="s">
        <v>289</v>
      </c>
      <c r="L229" s="80">
        <v>40.0</v>
      </c>
      <c r="M229" s="79" t="s">
        <v>3108</v>
      </c>
      <c r="N229" s="79" t="s">
        <v>3110</v>
      </c>
      <c r="O229" s="79" t="s">
        <v>3111</v>
      </c>
      <c r="P229" s="83">
        <v>42100.0</v>
      </c>
      <c r="Q229" s="81" t="s">
        <v>3112</v>
      </c>
      <c r="R229" s="86" t="str">
        <f>HYPERLINK("https://energyathaas.wordpress.com/2015/04/06/for-energy-and-water-conservation-moral-suasion-is-no-substitute-for-getting-the-prices-right/?utm_campaign=blog%20re%2042&amp;utm_content=13753048&amp;utm_medium=social&amp;utm_source=twitter","https://energyathaas.wordpress.com/2015/04/06/for-energy-and-water-conservation-moral-suasion-is-no-substitute-for-getting-the-prices-right/?utm_campaign=blog%20re%2042&amp;utm_content=13753048&amp;utm_medium=social&amp;utm_source=twitter")</f>
        <v>https://energyathaas.wordpress.com/2015/04/06/for-energy-and-water-conservation-moral-suasion-is-no-substitute-for-getting-the-prices-right/?utm_campaign=blog%20re%2042&amp;utm_content=13753048&amp;utm_medium=social&amp;utm_source=twitter</v>
      </c>
      <c r="S229" s="81"/>
      <c r="T229" s="81" t="s">
        <v>462</v>
      </c>
      <c r="U229" s="81" t="s">
        <v>3116</v>
      </c>
      <c r="V229" s="81" t="s">
        <v>1099</v>
      </c>
      <c r="W229" s="81" t="s">
        <v>769</v>
      </c>
      <c r="X229" s="81" t="s">
        <v>3117</v>
      </c>
      <c r="Y229" s="88">
        <v>42186.0</v>
      </c>
      <c r="Z229" s="88">
        <v>42543.0</v>
      </c>
      <c r="AA229" s="81" t="s">
        <v>769</v>
      </c>
      <c r="AB229" s="81"/>
      <c r="AC229" s="88">
        <v>42499.0</v>
      </c>
      <c r="AD229" s="81"/>
      <c r="AE229" s="81"/>
      <c r="AF229" s="81"/>
      <c r="AG229" s="81"/>
      <c r="AH229" s="81"/>
      <c r="AI229" s="81"/>
      <c r="AJ229" s="81"/>
      <c r="AK229" s="81"/>
      <c r="AL229" s="79"/>
    </row>
    <row r="230" ht="22.5" customHeight="1">
      <c r="A230" s="79">
        <v>10228.0</v>
      </c>
      <c r="B230" s="79" t="s">
        <v>1230</v>
      </c>
      <c r="C230" s="79" t="s">
        <v>238</v>
      </c>
      <c r="D230" s="79" t="s">
        <v>64</v>
      </c>
      <c r="E230" s="79" t="s">
        <v>429</v>
      </c>
      <c r="F230" s="80">
        <v>2.0</v>
      </c>
      <c r="G230" s="81"/>
      <c r="H230" s="79" t="s">
        <v>3639</v>
      </c>
      <c r="I230" s="80">
        <v>21000.0</v>
      </c>
      <c r="J230" s="81"/>
      <c r="K230" s="79" t="s">
        <v>289</v>
      </c>
      <c r="L230" s="80">
        <v>40.0</v>
      </c>
      <c r="M230" s="79" t="s">
        <v>3640</v>
      </c>
      <c r="N230" s="79" t="s">
        <v>3641</v>
      </c>
      <c r="O230" s="79" t="s">
        <v>3642</v>
      </c>
      <c r="P230" s="83">
        <v>42013.0</v>
      </c>
      <c r="Q230" s="81"/>
      <c r="R230" s="86" t="str">
        <f>HYPERLINK("http://magazine.good.is/articles/packaging-reimagined?utm_source=Facebook&amp;utm_medium=Source&amp;utm_campaign=goodfb","http://magazine.good.is/articles/packaging-reimagined?utm_source=Facebook&amp;utm_medium=Source&amp;utm_campaign=goodfb")</f>
        <v>http://magazine.good.is/articles/packaging-reimagined?utm_source=Facebook&amp;utm_medium=Source&amp;utm_campaign=goodfb</v>
      </c>
      <c r="S230" s="81"/>
      <c r="T230" s="81" t="s">
        <v>462</v>
      </c>
      <c r="U230" s="81" t="s">
        <v>462</v>
      </c>
      <c r="V230" s="81" t="s">
        <v>676</v>
      </c>
      <c r="W230" s="81" t="s">
        <v>769</v>
      </c>
      <c r="X230" s="81" t="s">
        <v>3650</v>
      </c>
      <c r="Y230" s="88">
        <v>42492.0</v>
      </c>
      <c r="Z230" s="81"/>
      <c r="AA230" s="81" t="s">
        <v>769</v>
      </c>
      <c r="AB230" s="81"/>
      <c r="AC230" s="88">
        <v>42461.0</v>
      </c>
      <c r="AD230" s="81"/>
      <c r="AE230" s="81"/>
      <c r="AF230" s="81"/>
      <c r="AG230" s="81"/>
      <c r="AH230" s="81"/>
      <c r="AI230" s="81"/>
      <c r="AJ230" s="81"/>
      <c r="AK230" s="81"/>
      <c r="AL230" s="79"/>
    </row>
    <row r="231" ht="22.5" customHeight="1">
      <c r="A231" s="79">
        <v>10229.0</v>
      </c>
      <c r="B231" s="79" t="s">
        <v>1230</v>
      </c>
      <c r="C231" s="79" t="s">
        <v>238</v>
      </c>
      <c r="D231" s="79" t="s">
        <v>64</v>
      </c>
      <c r="E231" s="79" t="s">
        <v>429</v>
      </c>
      <c r="F231" s="80">
        <v>2.0</v>
      </c>
      <c r="G231" s="81"/>
      <c r="H231" s="79" t="s">
        <v>470</v>
      </c>
      <c r="I231" s="80">
        <v>3000.0</v>
      </c>
      <c r="J231" s="81"/>
      <c r="K231" s="79" t="s">
        <v>111</v>
      </c>
      <c r="L231" s="80">
        <v>41.0</v>
      </c>
      <c r="M231" s="79" t="s">
        <v>1090</v>
      </c>
      <c r="N231" s="79" t="s">
        <v>1091</v>
      </c>
      <c r="O231" s="79" t="s">
        <v>1092</v>
      </c>
      <c r="P231" s="83">
        <v>41880.0</v>
      </c>
      <c r="Q231" s="81"/>
      <c r="R231" s="86" t="str">
        <f>HYPERLINK("http://www.bloomberg.com/news/2014-08-29/nudging-can-save-europe-billions-of-euros-on-energy-bills.html","http://www.bloomberg.com/news/2014-08-29/nudging-can-save-europe-billions-of-euros-on-energy-bills.html")</f>
        <v>http://www.bloomberg.com/news/2014-08-29/nudging-can-save-europe-billions-of-euros-on-energy-bills.html</v>
      </c>
      <c r="S231" s="81"/>
      <c r="T231" s="81" t="s">
        <v>462</v>
      </c>
      <c r="U231" s="81" t="s">
        <v>462</v>
      </c>
      <c r="V231" s="81" t="s">
        <v>676</v>
      </c>
      <c r="W231" s="81" t="s">
        <v>769</v>
      </c>
      <c r="X231" s="81" t="s">
        <v>1093</v>
      </c>
      <c r="Y231" s="88">
        <v>41898.0</v>
      </c>
      <c r="Z231" s="81" t="s">
        <v>1094</v>
      </c>
      <c r="AA231" s="81" t="s">
        <v>530</v>
      </c>
      <c r="AB231" s="81"/>
      <c r="AC231" s="88"/>
      <c r="AD231" s="81"/>
      <c r="AE231" s="81"/>
      <c r="AF231" s="81"/>
      <c r="AG231" s="81"/>
      <c r="AH231" s="81"/>
      <c r="AI231" s="81"/>
      <c r="AJ231" s="81" t="s">
        <v>678</v>
      </c>
      <c r="AK231" s="81"/>
      <c r="AL231" s="79"/>
    </row>
    <row r="232" ht="22.5" customHeight="1">
      <c r="A232" s="79">
        <v>10230.0</v>
      </c>
      <c r="B232" s="79" t="s">
        <v>1230</v>
      </c>
      <c r="C232" s="79" t="s">
        <v>238</v>
      </c>
      <c r="D232" s="79" t="s">
        <v>64</v>
      </c>
      <c r="E232" s="79" t="s">
        <v>429</v>
      </c>
      <c r="F232" s="80">
        <v>2.0</v>
      </c>
      <c r="G232" s="81"/>
      <c r="H232" s="79" t="s">
        <v>224</v>
      </c>
      <c r="I232" s="80"/>
      <c r="J232" s="81"/>
      <c r="K232" s="79" t="s">
        <v>289</v>
      </c>
      <c r="L232" s="80">
        <v>40.0</v>
      </c>
      <c r="M232" s="79" t="s">
        <v>3657</v>
      </c>
      <c r="N232" s="79" t="s">
        <v>3658</v>
      </c>
      <c r="O232" s="79" t="s">
        <v>1298</v>
      </c>
      <c r="P232" s="83">
        <v>39184.0</v>
      </c>
      <c r="Q232" s="81" t="s">
        <v>3659</v>
      </c>
      <c r="R232" s="86" t="str">
        <f>HYPERLINK("http://www.nytimes.com/2007/04/12/opinion/12schwartz.html?pagewanted=2&amp;_r=0&amp;ei=5124&amp;en=5abe7f7de4d088be&amp;ex=1334116800&amp;partner=permalink&amp;exprod=permalink","http://www.nytimes.com/2007/04/12/opinion/12schwartz.html?pagewanted=2&amp;_r=0&amp;ei=5124&amp;en=5abe7f7de4d088be&amp;ex=1334116800&amp;partner=permalink&amp;exprod=permalink")</f>
        <v>http://www.nytimes.com/2007/04/12/opinion/12schwartz.html?pagewanted=2&amp;_r=0&amp;ei=5124&amp;en=5abe7f7de4d088be&amp;ex=1334116800&amp;partner=permalink&amp;exprod=permalink</v>
      </c>
      <c r="S232" s="81"/>
      <c r="T232" s="81" t="s">
        <v>462</v>
      </c>
      <c r="U232" s="81" t="s">
        <v>462</v>
      </c>
      <c r="V232" s="81" t="s">
        <v>1099</v>
      </c>
      <c r="W232" s="81" t="s">
        <v>600</v>
      </c>
      <c r="X232" s="81"/>
      <c r="Y232" s="81"/>
      <c r="Z232" s="81"/>
      <c r="AA232" s="81"/>
      <c r="AB232" s="81"/>
      <c r="AC232" s="81"/>
      <c r="AD232" s="81"/>
      <c r="AE232" s="81"/>
      <c r="AF232" s="81"/>
      <c r="AG232" s="81"/>
      <c r="AH232" s="81"/>
      <c r="AI232" s="81"/>
      <c r="AJ232" s="81" t="s">
        <v>1101</v>
      </c>
      <c r="AK232" s="81"/>
      <c r="AL232" s="79"/>
    </row>
    <row r="233" ht="22.5" customHeight="1">
      <c r="A233" s="79">
        <v>10231.0</v>
      </c>
      <c r="B233" s="79" t="s">
        <v>1230</v>
      </c>
      <c r="C233" s="79" t="s">
        <v>238</v>
      </c>
      <c r="D233" s="79" t="s">
        <v>64</v>
      </c>
      <c r="E233" s="79" t="s">
        <v>429</v>
      </c>
      <c r="F233" s="80">
        <v>2.0</v>
      </c>
      <c r="G233" s="81"/>
      <c r="H233" s="79" t="s">
        <v>2867</v>
      </c>
      <c r="I233" s="80">
        <v>4000.0</v>
      </c>
      <c r="J233" s="81"/>
      <c r="K233" s="79" t="s">
        <v>111</v>
      </c>
      <c r="L233" s="80">
        <v>41.0</v>
      </c>
      <c r="M233" s="79" t="s">
        <v>3660</v>
      </c>
      <c r="N233" s="79" t="s">
        <v>3661</v>
      </c>
      <c r="O233" s="79" t="s">
        <v>2542</v>
      </c>
      <c r="P233" s="83">
        <v>42173.0</v>
      </c>
      <c r="Q233" s="81" t="s">
        <v>3662</v>
      </c>
      <c r="R233" s="86" t="str">
        <f>HYPERLINK("http://www.futurity.org/renewable-energy-plans-944122/","http://www.futurity.org/renewable-energy-plans-944122/")</f>
        <v>http://www.futurity.org/renewable-energy-plans-944122/</v>
      </c>
      <c r="S233" s="81"/>
      <c r="T233" s="81" t="s">
        <v>462</v>
      </c>
      <c r="U233" s="81" t="s">
        <v>462</v>
      </c>
      <c r="V233" s="81" t="s">
        <v>1099</v>
      </c>
      <c r="W233" s="81" t="s">
        <v>769</v>
      </c>
      <c r="X233" s="81" t="s">
        <v>3663</v>
      </c>
      <c r="Y233" s="88">
        <v>42326.0</v>
      </c>
      <c r="Z233" s="81"/>
      <c r="AA233" s="81" t="s">
        <v>769</v>
      </c>
      <c r="AB233" s="81"/>
      <c r="AC233" s="88">
        <v>42503.0</v>
      </c>
      <c r="AD233" s="81"/>
      <c r="AE233" s="81"/>
      <c r="AF233" s="81"/>
      <c r="AG233" s="81"/>
      <c r="AH233" s="81"/>
      <c r="AI233" s="81"/>
      <c r="AJ233" s="81" t="s">
        <v>1101</v>
      </c>
      <c r="AK233" s="81" t="s">
        <v>3664</v>
      </c>
      <c r="AL233" s="79"/>
    </row>
    <row r="234" ht="22.5" customHeight="1">
      <c r="A234" s="79">
        <v>10232.0</v>
      </c>
      <c r="B234" s="79" t="s">
        <v>1230</v>
      </c>
      <c r="C234" s="79" t="s">
        <v>238</v>
      </c>
      <c r="D234" s="79" t="s">
        <v>64</v>
      </c>
      <c r="E234" s="79" t="s">
        <v>429</v>
      </c>
      <c r="F234" s="80">
        <v>2.0</v>
      </c>
      <c r="G234" s="81"/>
      <c r="H234" s="79" t="s">
        <v>1114</v>
      </c>
      <c r="I234" s="80">
        <v>2000.0</v>
      </c>
      <c r="J234" s="81"/>
      <c r="K234" s="79" t="s">
        <v>289</v>
      </c>
      <c r="L234" s="80">
        <v>40.0</v>
      </c>
      <c r="M234" s="79" t="s">
        <v>3665</v>
      </c>
      <c r="N234" s="79" t="s">
        <v>1096</v>
      </c>
      <c r="O234" s="79" t="s">
        <v>3666</v>
      </c>
      <c r="P234" s="83">
        <v>41391.0</v>
      </c>
      <c r="Q234" s="81" t="s">
        <v>3667</v>
      </c>
      <c r="R234" s="86" t="str">
        <f>HYPERLINK("http://www.theglobeandmail.com/globe-debate/what-if-green-becomes-the-default-setting/article11579431/","http://www.theglobeandmail.com/globe-debate/what-if-green-becomes-the-default-setting/article11579431/")</f>
        <v>http://www.theglobeandmail.com/globe-debate/what-if-green-becomes-the-default-setting/article11579431/</v>
      </c>
      <c r="S234" s="81"/>
      <c r="T234" s="81" t="s">
        <v>462</v>
      </c>
      <c r="U234" s="81" t="s">
        <v>462</v>
      </c>
      <c r="V234" s="81" t="s">
        <v>1099</v>
      </c>
      <c r="W234" s="81" t="s">
        <v>600</v>
      </c>
      <c r="X234" s="81" t="s">
        <v>3668</v>
      </c>
      <c r="Y234" s="88">
        <v>42467.0</v>
      </c>
      <c r="Z234" s="88"/>
      <c r="AA234" s="81" t="s">
        <v>561</v>
      </c>
      <c r="AB234" s="81"/>
      <c r="AC234" s="88">
        <v>41921.0</v>
      </c>
      <c r="AD234" s="81"/>
      <c r="AE234" s="81"/>
      <c r="AF234" s="81"/>
      <c r="AG234" s="81"/>
      <c r="AH234" s="81"/>
      <c r="AI234" s="81" t="s">
        <v>428</v>
      </c>
      <c r="AJ234" s="81" t="s">
        <v>1101</v>
      </c>
      <c r="AK234" s="81"/>
      <c r="AL234" s="79"/>
    </row>
    <row r="235" ht="22.5" customHeight="1">
      <c r="A235" s="79">
        <v>10233.0</v>
      </c>
      <c r="B235" s="79" t="s">
        <v>1230</v>
      </c>
      <c r="C235" s="79" t="s">
        <v>238</v>
      </c>
      <c r="D235" s="79" t="s">
        <v>64</v>
      </c>
      <c r="E235" s="79" t="s">
        <v>429</v>
      </c>
      <c r="F235" s="80">
        <v>2.0</v>
      </c>
      <c r="G235" s="81"/>
      <c r="H235" s="79" t="s">
        <v>623</v>
      </c>
      <c r="I235" s="80">
        <v>4000.0</v>
      </c>
      <c r="J235" s="81"/>
      <c r="K235" s="79" t="s">
        <v>289</v>
      </c>
      <c r="L235" s="80">
        <v>40.0</v>
      </c>
      <c r="M235" s="79" t="s">
        <v>1095</v>
      </c>
      <c r="N235" s="79" t="s">
        <v>1096</v>
      </c>
      <c r="O235" s="79" t="s">
        <v>1097</v>
      </c>
      <c r="P235" s="83">
        <v>41368.0</v>
      </c>
      <c r="Q235" s="81" t="s">
        <v>1098</v>
      </c>
      <c r="R235" s="86" t="str">
        <f>HYPERLINK("http://www.bloomberg.com/bw/articles/2013-04-04/with-clean-energy-default-rules-its-easy-being-green","http://www.bloomberg.com/bw/articles/2013-04-04/with-clean-energy-default-rules-its-easy-being-green")</f>
        <v>http://www.bloomberg.com/bw/articles/2013-04-04/with-clean-energy-default-rules-its-easy-being-green</v>
      </c>
      <c r="S235" s="81"/>
      <c r="T235" s="81" t="s">
        <v>462</v>
      </c>
      <c r="U235" s="81" t="s">
        <v>462</v>
      </c>
      <c r="V235" s="81" t="s">
        <v>1099</v>
      </c>
      <c r="W235" s="81" t="s">
        <v>769</v>
      </c>
      <c r="X235" s="81" t="s">
        <v>1100</v>
      </c>
      <c r="Y235" s="88">
        <v>42327.0</v>
      </c>
      <c r="Z235" s="88"/>
      <c r="AA235" s="81" t="s">
        <v>561</v>
      </c>
      <c r="AB235" s="81"/>
      <c r="AC235" s="88">
        <v>42333.0</v>
      </c>
      <c r="AD235" s="81"/>
      <c r="AE235" s="81"/>
      <c r="AF235" s="81"/>
      <c r="AG235" s="81"/>
      <c r="AH235" s="81"/>
      <c r="AI235" s="81"/>
      <c r="AJ235" s="81" t="s">
        <v>1101</v>
      </c>
      <c r="AK235" s="81"/>
      <c r="AL235" s="79"/>
    </row>
    <row r="236" ht="22.5" customHeight="1">
      <c r="A236" s="79">
        <v>10234.0</v>
      </c>
      <c r="B236" s="79" t="s">
        <v>1230</v>
      </c>
      <c r="C236" s="79" t="s">
        <v>238</v>
      </c>
      <c r="D236" s="79" t="s">
        <v>64</v>
      </c>
      <c r="E236" s="79" t="s">
        <v>429</v>
      </c>
      <c r="F236" s="80">
        <v>2.0</v>
      </c>
      <c r="G236" s="81"/>
      <c r="H236" s="79" t="s">
        <v>470</v>
      </c>
      <c r="I236" s="80">
        <v>3000.0</v>
      </c>
      <c r="J236" s="81"/>
      <c r="K236" s="79" t="s">
        <v>111</v>
      </c>
      <c r="L236" s="80">
        <v>41.0</v>
      </c>
      <c r="M236" s="79" t="s">
        <v>3675</v>
      </c>
      <c r="N236" s="79" t="s">
        <v>3676</v>
      </c>
      <c r="O236" s="79" t="s">
        <v>3677</v>
      </c>
      <c r="P236" s="83">
        <v>42177.0</v>
      </c>
      <c r="Q236" s="81" t="s">
        <v>3679</v>
      </c>
      <c r="R236" s="86" t="str">
        <f>HYPERLINK("http://sciencenordic.com/how-nudge-consumers-make-greener-choices","http://sciencenordic.com/how-nudge-consumers-make-greener-choices")</f>
        <v>http://sciencenordic.com/how-nudge-consumers-make-greener-choices</v>
      </c>
      <c r="S236" s="81"/>
      <c r="T236" s="81" t="s">
        <v>462</v>
      </c>
      <c r="U236" s="81" t="s">
        <v>462</v>
      </c>
      <c r="V236" s="81" t="s">
        <v>1099</v>
      </c>
      <c r="W236" s="81" t="s">
        <v>769</v>
      </c>
      <c r="X236" s="81" t="s">
        <v>3682</v>
      </c>
      <c r="Y236" s="88">
        <v>42194.0</v>
      </c>
      <c r="Z236" s="88">
        <v>42563.0</v>
      </c>
      <c r="AA236" s="81" t="s">
        <v>769</v>
      </c>
      <c r="AB236" s="81"/>
      <c r="AC236" s="88">
        <v>42212.0</v>
      </c>
      <c r="AD236" s="81" t="s">
        <v>1842</v>
      </c>
      <c r="AE236" s="81"/>
      <c r="AF236" s="81"/>
      <c r="AG236" s="81"/>
      <c r="AH236" s="81"/>
      <c r="AI236" s="81"/>
      <c r="AJ236" s="81" t="s">
        <v>1101</v>
      </c>
      <c r="AK236" s="81"/>
      <c r="AL236" s="79"/>
    </row>
    <row r="237" ht="22.5" customHeight="1">
      <c r="A237" s="79">
        <v>10235.0</v>
      </c>
      <c r="B237" s="79" t="s">
        <v>1230</v>
      </c>
      <c r="C237" s="79" t="s">
        <v>238</v>
      </c>
      <c r="D237" s="79" t="s">
        <v>64</v>
      </c>
      <c r="E237" s="79" t="s">
        <v>429</v>
      </c>
      <c r="F237" s="80">
        <v>2.0</v>
      </c>
      <c r="G237" s="81"/>
      <c r="H237" s="79" t="s">
        <v>470</v>
      </c>
      <c r="I237" s="80">
        <v>3000.0</v>
      </c>
      <c r="J237" s="81"/>
      <c r="K237" s="79" t="s">
        <v>111</v>
      </c>
      <c r="L237" s="80">
        <v>41.0</v>
      </c>
      <c r="M237" s="79" t="s">
        <v>3684</v>
      </c>
      <c r="N237" s="79" t="s">
        <v>1374</v>
      </c>
      <c r="O237" s="79" t="s">
        <v>1375</v>
      </c>
      <c r="P237" s="83">
        <v>42170.0</v>
      </c>
      <c r="Q237" s="81" t="s">
        <v>1124</v>
      </c>
      <c r="R237" s="86" t="str">
        <f>HYPERLINK("http://www.washingtonpost.com/news/energy-environment/wp/2015/06/15/want-to-fix-the-world-start-by-making-clean-energy-a-default-setting/?postshare=2841434404402218","http://www.washingtonpost.com/news/energy-environment/wp/2015/06/15/want-to-fix-the-world-start-by-making-clean-energy-a-default-setting/?postshare=2841434404402218")</f>
        <v>http://www.washingtonpost.com/news/energy-environment/wp/2015/06/15/want-to-fix-the-world-start-by-making-clean-energy-a-default-setting/?postshare=2841434404402218</v>
      </c>
      <c r="S237" s="81"/>
      <c r="T237" s="81" t="s">
        <v>462</v>
      </c>
      <c r="U237" s="81" t="s">
        <v>462</v>
      </c>
      <c r="V237" s="81"/>
      <c r="W237" s="81" t="s">
        <v>769</v>
      </c>
      <c r="X237" s="81" t="s">
        <v>3686</v>
      </c>
      <c r="Y237" s="88">
        <v>42174.0</v>
      </c>
      <c r="Z237" s="81"/>
      <c r="AA237" s="81" t="s">
        <v>769</v>
      </c>
      <c r="AB237" s="81"/>
      <c r="AC237" s="88">
        <v>42202.0</v>
      </c>
      <c r="AD237" s="81" t="s">
        <v>1152</v>
      </c>
      <c r="AE237" s="81"/>
      <c r="AF237" s="81" t="s">
        <v>1089</v>
      </c>
      <c r="AG237" s="81"/>
      <c r="AH237" s="81"/>
      <c r="AI237" s="81"/>
      <c r="AJ237" s="81"/>
      <c r="AK237" s="81"/>
      <c r="AL237" s="79"/>
    </row>
    <row r="238" ht="22.5" customHeight="1">
      <c r="A238" s="79">
        <v>10236.0</v>
      </c>
      <c r="B238" s="79" t="s">
        <v>1230</v>
      </c>
      <c r="C238" s="79" t="s">
        <v>238</v>
      </c>
      <c r="D238" s="79" t="s">
        <v>64</v>
      </c>
      <c r="E238" s="79" t="s">
        <v>429</v>
      </c>
      <c r="F238" s="80">
        <v>2.0</v>
      </c>
      <c r="G238" s="81"/>
      <c r="H238" s="79" t="s">
        <v>116</v>
      </c>
      <c r="I238" s="80">
        <v>3000.0</v>
      </c>
      <c r="J238" s="81"/>
      <c r="K238" s="79" t="s">
        <v>289</v>
      </c>
      <c r="L238" s="80">
        <v>40.0</v>
      </c>
      <c r="M238" s="79" t="s">
        <v>3691</v>
      </c>
      <c r="N238" s="79" t="s">
        <v>1374</v>
      </c>
      <c r="O238" s="79" t="s">
        <v>1375</v>
      </c>
      <c r="P238" s="83">
        <v>42067.0</v>
      </c>
      <c r="Q238" s="81" t="s">
        <v>3692</v>
      </c>
      <c r="R238" s="86" t="str">
        <f>HYPERLINK("http://www.washingtonpost.com/news/energy-environment/wp/2015/03/04/your-shower-is-wasting-huge-amounts-of-energy-and-water-heres-what-to-do-about-it/?postshare=9701427114030794","http://www.washingtonpost.com/news/energy-environment/wp/2015/03/04/your-shower-is-wasting-huge-amounts-of-energy-and-water-heres-what-to-do-about-it/?postshare=9701427114030794")</f>
        <v>http://www.washingtonpost.com/news/energy-environment/wp/2015/03/04/your-shower-is-wasting-huge-amounts-of-energy-and-water-heres-what-to-do-about-it/?postshare=9701427114030794</v>
      </c>
      <c r="S238" s="81" t="s">
        <v>1868</v>
      </c>
      <c r="T238" s="81" t="s">
        <v>462</v>
      </c>
      <c r="U238" s="81" t="s">
        <v>462</v>
      </c>
      <c r="V238" s="81"/>
      <c r="W238" s="81" t="s">
        <v>769</v>
      </c>
      <c r="X238" s="81" t="s">
        <v>3694</v>
      </c>
      <c r="Y238" s="88">
        <v>42481.0</v>
      </c>
      <c r="Z238" s="81"/>
      <c r="AA238" s="81" t="s">
        <v>769</v>
      </c>
      <c r="AB238" s="81"/>
      <c r="AC238" s="88">
        <v>42125.0</v>
      </c>
      <c r="AD238" s="81" t="s">
        <v>1488</v>
      </c>
      <c r="AE238" s="81"/>
      <c r="AF238" s="81"/>
      <c r="AG238" s="81"/>
      <c r="AH238" s="81" t="s">
        <v>428</v>
      </c>
      <c r="AI238" s="81"/>
      <c r="AJ238" s="81"/>
      <c r="AK238" s="81"/>
      <c r="AL238" s="79"/>
    </row>
    <row r="239" ht="22.5" customHeight="1">
      <c r="A239" s="79">
        <v>10237.0</v>
      </c>
      <c r="B239" s="79" t="s">
        <v>1230</v>
      </c>
      <c r="C239" s="79" t="s">
        <v>238</v>
      </c>
      <c r="D239" s="79" t="s">
        <v>64</v>
      </c>
      <c r="E239" s="79" t="s">
        <v>429</v>
      </c>
      <c r="F239" s="80">
        <v>2.0</v>
      </c>
      <c r="G239" s="81"/>
      <c r="H239" s="79" t="s">
        <v>623</v>
      </c>
      <c r="I239" s="80">
        <v>4000.0</v>
      </c>
      <c r="J239" s="81"/>
      <c r="K239" s="79" t="s">
        <v>289</v>
      </c>
      <c r="L239" s="80">
        <v>40.0</v>
      </c>
      <c r="M239" s="79" t="s">
        <v>3695</v>
      </c>
      <c r="N239" s="79" t="s">
        <v>1374</v>
      </c>
      <c r="O239" s="79" t="s">
        <v>3696</v>
      </c>
      <c r="P239" s="83">
        <v>42028.0</v>
      </c>
      <c r="Q239" s="81" t="s">
        <v>3697</v>
      </c>
      <c r="R239" s="86" t="str">
        <f>HYPERLINK("http://www.standard.net/Business/2015/01/24/The-next-energy-revolution-won-t-be-in-wind-or-solar-but-in-human-behavior.html","http://www.standard.net/Business/2015/01/24/The-next-energy-revolution-won-t-be-in-wind-or-solar-but-in-human-behavior.html")</f>
        <v>http://www.standard.net/Business/2015/01/24/The-next-energy-revolution-won-t-be-in-wind-or-solar-but-in-human-behavior.html</v>
      </c>
      <c r="S239" s="81" t="s">
        <v>3698</v>
      </c>
      <c r="T239" s="81" t="s">
        <v>462</v>
      </c>
      <c r="U239" s="81" t="s">
        <v>462</v>
      </c>
      <c r="V239" s="81" t="s">
        <v>676</v>
      </c>
      <c r="W239" s="81" t="s">
        <v>600</v>
      </c>
      <c r="X239" s="81"/>
      <c r="Y239" s="88"/>
      <c r="Z239" s="81"/>
      <c r="AA239" s="81" t="s">
        <v>769</v>
      </c>
      <c r="AB239" s="81"/>
      <c r="AC239" s="88">
        <v>42051.0</v>
      </c>
      <c r="AD239" s="81" t="s">
        <v>1321</v>
      </c>
      <c r="AE239" s="81"/>
      <c r="AF239" s="81"/>
      <c r="AG239" s="81"/>
      <c r="AH239" s="81" t="s">
        <v>428</v>
      </c>
      <c r="AI239" s="81"/>
      <c r="AJ239" s="81"/>
      <c r="AK239" s="81"/>
      <c r="AL239" s="79"/>
    </row>
    <row r="240" ht="22.5" customHeight="1">
      <c r="A240" s="79">
        <v>10238.0</v>
      </c>
      <c r="B240" s="79" t="s">
        <v>1230</v>
      </c>
      <c r="C240" s="79" t="s">
        <v>238</v>
      </c>
      <c r="D240" s="79" t="s">
        <v>64</v>
      </c>
      <c r="E240" s="79" t="s">
        <v>429</v>
      </c>
      <c r="F240" s="80">
        <v>2.0</v>
      </c>
      <c r="G240" s="81"/>
      <c r="H240" s="79" t="s">
        <v>623</v>
      </c>
      <c r="I240" s="80">
        <v>4000.0</v>
      </c>
      <c r="J240" s="81"/>
      <c r="K240" s="79" t="s">
        <v>324</v>
      </c>
      <c r="L240" s="80" t="s">
        <v>325</v>
      </c>
      <c r="M240" s="79" t="s">
        <v>3699</v>
      </c>
      <c r="N240" s="79" t="s">
        <v>3700</v>
      </c>
      <c r="O240" s="79" t="s">
        <v>1281</v>
      </c>
      <c r="P240" s="83">
        <v>41527.0</v>
      </c>
      <c r="Q240" s="81" t="s">
        <v>1806</v>
      </c>
      <c r="R240" s="86" t="str">
        <f>HYPERLINK("http://www.theguardian.com/sustainable-business/power-behavioural-design-beyond-nudging","http://www.theguardian.com/sustainable-business/power-behavioural-design-beyond-nudging")</f>
        <v>http://www.theguardian.com/sustainable-business/power-behavioural-design-beyond-nudging</v>
      </c>
      <c r="S240" s="81"/>
      <c r="T240" s="81" t="s">
        <v>462</v>
      </c>
      <c r="U240" s="81" t="s">
        <v>462</v>
      </c>
      <c r="V240" s="81"/>
      <c r="W240" s="81" t="s">
        <v>769</v>
      </c>
      <c r="X240" s="81" t="s">
        <v>3704</v>
      </c>
      <c r="Y240" s="88">
        <v>42166.0</v>
      </c>
      <c r="Z240" s="88">
        <v>42541.0</v>
      </c>
      <c r="AA240" s="81" t="s">
        <v>769</v>
      </c>
      <c r="AB240" s="81"/>
      <c r="AC240" s="88">
        <v>42172.0</v>
      </c>
      <c r="AD240" s="81"/>
      <c r="AE240" s="81"/>
      <c r="AF240" s="81"/>
      <c r="AG240" s="81"/>
      <c r="AH240" s="81"/>
      <c r="AI240" s="81"/>
      <c r="AJ240" s="81"/>
      <c r="AK240" s="81"/>
      <c r="AL240" s="79"/>
    </row>
    <row r="241" ht="22.5" customHeight="1">
      <c r="A241" s="79">
        <v>10239.0</v>
      </c>
      <c r="B241" s="79" t="s">
        <v>1230</v>
      </c>
      <c r="C241" s="79" t="s">
        <v>238</v>
      </c>
      <c r="D241" s="79" t="s">
        <v>64</v>
      </c>
      <c r="E241" s="79" t="s">
        <v>429</v>
      </c>
      <c r="F241" s="80">
        <v>2.0</v>
      </c>
      <c r="G241" s="81"/>
      <c r="H241" s="79" t="s">
        <v>224</v>
      </c>
      <c r="I241" s="80"/>
      <c r="J241" s="81"/>
      <c r="K241" s="79" t="s">
        <v>289</v>
      </c>
      <c r="L241" s="80">
        <v>40.0</v>
      </c>
      <c r="M241" s="79" t="s">
        <v>3669</v>
      </c>
      <c r="N241" s="79" t="s">
        <v>3670</v>
      </c>
      <c r="O241" s="79" t="s">
        <v>1538</v>
      </c>
      <c r="P241" s="83">
        <v>41689.0</v>
      </c>
      <c r="Q241" s="81" t="s">
        <v>2925</v>
      </c>
      <c r="R241" s="86" t="str">
        <f>HYPERLINK("http://www.fastcompany.com/3026411/leadership-now/why-wait-how-always-being-busy-makes-you-dumber","http://www.fastcompany.com/3026411/leadership-now/why-wait-how-always-being-busy-makes-you-dumber")</f>
        <v>http://www.fastcompany.com/3026411/leadership-now/why-wait-how-always-being-busy-makes-you-dumber</v>
      </c>
      <c r="S241" s="81"/>
      <c r="T241" s="81" t="s">
        <v>462</v>
      </c>
      <c r="U241" s="81" t="s">
        <v>462</v>
      </c>
      <c r="V241" s="81" t="s">
        <v>1474</v>
      </c>
      <c r="W241" s="81" t="s">
        <v>677</v>
      </c>
      <c r="X241" s="81"/>
      <c r="Y241" s="88"/>
      <c r="Z241" s="81"/>
      <c r="AA241" s="81"/>
      <c r="AB241" s="81"/>
      <c r="AC241" s="88"/>
      <c r="AD241" s="81"/>
      <c r="AE241" s="81"/>
      <c r="AF241" s="81"/>
      <c r="AG241" s="81"/>
      <c r="AH241" s="81"/>
      <c r="AI241" s="81"/>
      <c r="AJ241" s="81" t="s">
        <v>1101</v>
      </c>
      <c r="AK241" s="81"/>
      <c r="AL241" s="79"/>
    </row>
    <row r="242" ht="22.5" customHeight="1">
      <c r="A242" s="79">
        <v>10240.0</v>
      </c>
      <c r="B242" s="79" t="s">
        <v>1230</v>
      </c>
      <c r="C242" s="79" t="s">
        <v>238</v>
      </c>
      <c r="D242" s="79" t="s">
        <v>64</v>
      </c>
      <c r="E242" s="79" t="s">
        <v>429</v>
      </c>
      <c r="F242" s="80">
        <v>2.0</v>
      </c>
      <c r="G242" s="81"/>
      <c r="H242" s="79" t="s">
        <v>1138</v>
      </c>
      <c r="I242" s="80">
        <v>20000.0</v>
      </c>
      <c r="J242" s="81"/>
      <c r="K242" s="79" t="s">
        <v>289</v>
      </c>
      <c r="L242" s="80">
        <v>40.0</v>
      </c>
      <c r="M242" s="79" t="s">
        <v>1139</v>
      </c>
      <c r="N242" s="79" t="s">
        <v>1140</v>
      </c>
      <c r="O242" s="79" t="s">
        <v>1141</v>
      </c>
      <c r="P242" s="83">
        <v>42170.0</v>
      </c>
      <c r="Q242" s="81" t="s">
        <v>1142</v>
      </c>
      <c r="R242" s="86" t="str">
        <f>HYPERLINK("http://www.dailycamera.com/news/boulder/ci_28320818/right-sizing-debate-hits-boulder-council","http://www.dailycamera.com/news/boulder/ci_28320818/right-sizing-debate-hits-boulder-council")</f>
        <v>http://www.dailycamera.com/news/boulder/ci_28320818/right-sizing-debate-hits-boulder-council</v>
      </c>
      <c r="S242" s="81"/>
      <c r="T242" s="81" t="s">
        <v>428</v>
      </c>
      <c r="U242" s="81" t="s">
        <v>462</v>
      </c>
      <c r="V242" s="81"/>
      <c r="W242" s="81" t="s">
        <v>600</v>
      </c>
      <c r="X242" s="81"/>
      <c r="Y242" s="81"/>
      <c r="Z242" s="81"/>
      <c r="AA242" s="81" t="s">
        <v>769</v>
      </c>
      <c r="AB242" s="81"/>
      <c r="AC242" s="81"/>
      <c r="AD242" s="81"/>
      <c r="AE242" s="81"/>
      <c r="AF242" s="81"/>
      <c r="AG242" s="81"/>
      <c r="AH242" s="81"/>
      <c r="AI242" s="81"/>
      <c r="AJ242" s="81"/>
      <c r="AK242" s="81"/>
      <c r="AL242" s="79"/>
    </row>
    <row r="243" ht="22.5" customHeight="1">
      <c r="A243" s="79">
        <v>10241.0</v>
      </c>
      <c r="B243" s="79" t="s">
        <v>1230</v>
      </c>
      <c r="C243" s="79" t="s">
        <v>238</v>
      </c>
      <c r="D243" s="79" t="s">
        <v>64</v>
      </c>
      <c r="E243" s="79" t="s">
        <v>429</v>
      </c>
      <c r="F243" s="80">
        <v>2.0</v>
      </c>
      <c r="G243" s="81"/>
      <c r="H243" s="79" t="s">
        <v>224</v>
      </c>
      <c r="I243" s="80"/>
      <c r="J243" s="81"/>
      <c r="K243" s="79" t="s">
        <v>289</v>
      </c>
      <c r="L243" s="80">
        <v>40.0</v>
      </c>
      <c r="M243" s="79" t="s">
        <v>3713</v>
      </c>
      <c r="N243" s="79" t="s">
        <v>2378</v>
      </c>
      <c r="O243" s="79" t="s">
        <v>3714</v>
      </c>
      <c r="P243" s="83"/>
      <c r="Q243" s="81" t="s">
        <v>3715</v>
      </c>
      <c r="R243" s="86" t="str">
        <f>HYPERLINK("http://jamesclear.com/design-default","http://jamesclear.com/design-default")</f>
        <v>http://jamesclear.com/design-default</v>
      </c>
      <c r="S243" s="81"/>
      <c r="T243" s="81" t="s">
        <v>462</v>
      </c>
      <c r="U243" s="81" t="s">
        <v>462</v>
      </c>
      <c r="V243" s="81" t="s">
        <v>1099</v>
      </c>
      <c r="W243" s="81" t="s">
        <v>677</v>
      </c>
      <c r="X243" s="81"/>
      <c r="Y243" s="81"/>
      <c r="Z243" s="81"/>
      <c r="AA243" s="81"/>
      <c r="AB243" s="81"/>
      <c r="AC243" s="81"/>
      <c r="AD243" s="81"/>
      <c r="AE243" s="81"/>
      <c r="AF243" s="81"/>
      <c r="AG243" s="81"/>
      <c r="AH243" s="81"/>
      <c r="AI243" s="81"/>
      <c r="AJ243" s="81" t="s">
        <v>1101</v>
      </c>
      <c r="AK243" s="81"/>
      <c r="AL243" s="79"/>
    </row>
    <row r="244" ht="22.5" customHeight="1">
      <c r="A244" s="79">
        <v>10242.0</v>
      </c>
      <c r="B244" s="79" t="s">
        <v>1230</v>
      </c>
      <c r="C244" s="79" t="s">
        <v>238</v>
      </c>
      <c r="D244" s="79" t="s">
        <v>64</v>
      </c>
      <c r="E244" s="79" t="s">
        <v>429</v>
      </c>
      <c r="F244" s="80">
        <v>2.0</v>
      </c>
      <c r="G244" s="81"/>
      <c r="H244" s="79" t="s">
        <v>1203</v>
      </c>
      <c r="I244" s="80">
        <v>21000.0</v>
      </c>
      <c r="J244" s="81"/>
      <c r="K244" s="79" t="s">
        <v>111</v>
      </c>
      <c r="L244" s="80">
        <v>41.0</v>
      </c>
      <c r="M244" s="79" t="s">
        <v>3720</v>
      </c>
      <c r="N244" s="79" t="s">
        <v>3721</v>
      </c>
      <c r="O244" s="79" t="s">
        <v>1281</v>
      </c>
      <c r="P244" s="83">
        <v>41884.0</v>
      </c>
      <c r="Q244" s="81" t="s">
        <v>1806</v>
      </c>
      <c r="R244" s="86" t="str">
        <f>HYPERLINK("http://www.theguardian.com/sustainable-business/behavioural-insights/2014/sep/02/recycling-home-break-down-barriers","http://www.theguardian.com/sustainable-business/behavioural-insights/2014/sep/02/recycling-home-break-down-barriers")</f>
        <v>http://www.theguardian.com/sustainable-business/behavioural-insights/2014/sep/02/recycling-home-break-down-barriers</v>
      </c>
      <c r="S244" s="81"/>
      <c r="T244" s="81" t="s">
        <v>428</v>
      </c>
      <c r="U244" s="81" t="s">
        <v>462</v>
      </c>
      <c r="V244" s="81" t="s">
        <v>1099</v>
      </c>
      <c r="W244" s="81" t="s">
        <v>769</v>
      </c>
      <c r="X244" s="81" t="s">
        <v>3722</v>
      </c>
      <c r="Y244" s="88">
        <v>42096.0</v>
      </c>
      <c r="Z244" s="96" t="str">
        <f>HYPERLINK("http://bit.ly/1a8uqdd","5/31/2016")</f>
        <v>5/31/2016</v>
      </c>
      <c r="AA244" s="81" t="s">
        <v>926</v>
      </c>
      <c r="AB244" s="81"/>
      <c r="AC244" s="88">
        <v>42093.0</v>
      </c>
      <c r="AD244" s="81"/>
      <c r="AE244" s="81"/>
      <c r="AF244" s="81"/>
      <c r="AG244" s="81"/>
      <c r="AH244" s="81"/>
      <c r="AI244" s="81" t="s">
        <v>428</v>
      </c>
      <c r="AJ244" s="81"/>
      <c r="AK244" s="81"/>
      <c r="AL244" s="79"/>
    </row>
    <row r="245" ht="22.5" customHeight="1">
      <c r="A245" s="79">
        <v>10243.0</v>
      </c>
      <c r="B245" s="79" t="s">
        <v>1230</v>
      </c>
      <c r="C245" s="79" t="s">
        <v>238</v>
      </c>
      <c r="D245" s="79" t="s">
        <v>64</v>
      </c>
      <c r="E245" s="79" t="s">
        <v>429</v>
      </c>
      <c r="F245" s="80">
        <v>2.0</v>
      </c>
      <c r="G245" s="81"/>
      <c r="H245" s="79" t="s">
        <v>644</v>
      </c>
      <c r="I245" s="80">
        <v>2000.0</v>
      </c>
      <c r="J245" s="81"/>
      <c r="K245" s="79" t="s">
        <v>289</v>
      </c>
      <c r="L245" s="80">
        <v>40.0</v>
      </c>
      <c r="M245" s="94" t="s">
        <v>3727</v>
      </c>
      <c r="N245" s="79" t="s">
        <v>3728</v>
      </c>
      <c r="O245" s="79" t="s">
        <v>3094</v>
      </c>
      <c r="P245" s="83">
        <v>42513.0</v>
      </c>
      <c r="Q245" s="81" t="s">
        <v>3729</v>
      </c>
      <c r="R245" s="86" t="str">
        <f>HYPERLINK("http://thinkprogress.org/climate/2016/05/23/3780854/portland-textbooks-climate-change/","http://thinkprogress.org/climate/2016/05/23/3780854/portland-textbooks-climate-change/")</f>
        <v>http://thinkprogress.org/climate/2016/05/23/3780854/portland-textbooks-climate-change/</v>
      </c>
      <c r="S245" s="81"/>
      <c r="T245" s="81"/>
      <c r="U245" s="81"/>
      <c r="V245" s="81"/>
      <c r="W245" s="81" t="s">
        <v>769</v>
      </c>
      <c r="X245" s="81" t="s">
        <v>3739</v>
      </c>
      <c r="Y245" s="88">
        <v>42698.0</v>
      </c>
      <c r="Z245" s="81"/>
      <c r="AA245" s="81"/>
      <c r="AB245" s="81"/>
      <c r="AC245" s="81"/>
      <c r="AD245" s="81"/>
      <c r="AE245" s="81"/>
      <c r="AF245" s="81"/>
      <c r="AG245" s="81"/>
      <c r="AH245" s="81"/>
      <c r="AI245" s="81" t="s">
        <v>428</v>
      </c>
      <c r="AJ245" s="81" t="s">
        <v>1101</v>
      </c>
      <c r="AK245" s="81"/>
      <c r="AL245" s="79"/>
    </row>
    <row r="246" ht="22.5" customHeight="1">
      <c r="A246" s="79">
        <v>10244.0</v>
      </c>
      <c r="B246" s="79" t="s">
        <v>1230</v>
      </c>
      <c r="C246" s="79" t="s">
        <v>238</v>
      </c>
      <c r="D246" s="79" t="s">
        <v>64</v>
      </c>
      <c r="E246" s="79" t="s">
        <v>429</v>
      </c>
      <c r="F246" s="80">
        <v>2.0</v>
      </c>
      <c r="G246" s="81"/>
      <c r="H246" s="79" t="s">
        <v>1189</v>
      </c>
      <c r="I246" s="80">
        <v>21000.0</v>
      </c>
      <c r="J246" s="81"/>
      <c r="K246" s="79" t="s">
        <v>289</v>
      </c>
      <c r="L246" s="80">
        <v>40.0</v>
      </c>
      <c r="M246" s="79" t="s">
        <v>1190</v>
      </c>
      <c r="N246" s="79" t="s">
        <v>1191</v>
      </c>
      <c r="O246" s="79" t="s">
        <v>1192</v>
      </c>
      <c r="P246" s="83"/>
      <c r="Q246" s="81" t="s">
        <v>1193</v>
      </c>
      <c r="R246" s="86" t="str">
        <f>HYPERLINK("http://www.call2recycle.org/curbside-recycling-will-convenience-increase-battery-collections/","http://www.call2recycle.org/curbside-recycling-will-convenience-increase-battery-collections/")</f>
        <v>http://www.call2recycle.org/curbside-recycling-will-convenience-increase-battery-collections/</v>
      </c>
      <c r="S246" s="81"/>
      <c r="T246" s="81" t="s">
        <v>428</v>
      </c>
      <c r="U246" s="81" t="s">
        <v>462</v>
      </c>
      <c r="V246" s="81"/>
      <c r="W246" s="81" t="s">
        <v>769</v>
      </c>
      <c r="X246" s="81" t="s">
        <v>1194</v>
      </c>
      <c r="Y246" s="88">
        <v>42325.0</v>
      </c>
      <c r="Z246" s="88">
        <v>42523.0</v>
      </c>
      <c r="AA246" s="81" t="s">
        <v>769</v>
      </c>
      <c r="AB246" s="81"/>
      <c r="AC246" s="88">
        <v>42496.0</v>
      </c>
      <c r="AD246" s="81"/>
      <c r="AE246" s="81"/>
      <c r="AF246" s="81"/>
      <c r="AG246" s="81"/>
      <c r="AH246" s="81"/>
      <c r="AI246" s="81"/>
      <c r="AJ246" s="81"/>
      <c r="AK246" s="81" t="s">
        <v>1195</v>
      </c>
      <c r="AL246" s="79"/>
    </row>
    <row r="247" ht="22.5" customHeight="1">
      <c r="A247" s="79">
        <v>10245.0</v>
      </c>
      <c r="B247" s="79" t="s">
        <v>1230</v>
      </c>
      <c r="C247" s="79" t="s">
        <v>238</v>
      </c>
      <c r="D247" s="79" t="s">
        <v>64</v>
      </c>
      <c r="E247" s="79" t="s">
        <v>429</v>
      </c>
      <c r="F247" s="80">
        <v>2.0</v>
      </c>
      <c r="G247" s="81"/>
      <c r="H247" s="79" t="s">
        <v>224</v>
      </c>
      <c r="I247" s="80"/>
      <c r="J247" s="81"/>
      <c r="K247" s="79" t="s">
        <v>289</v>
      </c>
      <c r="L247" s="80">
        <v>40.0</v>
      </c>
      <c r="M247" s="79" t="s">
        <v>3749</v>
      </c>
      <c r="N247" s="79" t="s">
        <v>3750</v>
      </c>
      <c r="O247" s="79" t="s">
        <v>3751</v>
      </c>
      <c r="P247" s="83">
        <v>42137.0</v>
      </c>
      <c r="Q247" s="81" t="s">
        <v>1124</v>
      </c>
      <c r="R247" s="86" t="str">
        <f>HYPERLINK("http://www.regblog.org/2015/05/13/punchak-behavioral-science/","http://www.regblog.org/2015/05/13/punchak-behavioral-science/")</f>
        <v>http://www.regblog.org/2015/05/13/punchak-behavioral-science/</v>
      </c>
      <c r="S247" s="81"/>
      <c r="T247" s="81" t="s">
        <v>462</v>
      </c>
      <c r="U247" s="81" t="s">
        <v>462</v>
      </c>
      <c r="V247" s="81" t="s">
        <v>676</v>
      </c>
      <c r="W247" s="81" t="s">
        <v>769</v>
      </c>
      <c r="X247" s="81" t="s">
        <v>3753</v>
      </c>
      <c r="Y247" s="88">
        <v>42213.0</v>
      </c>
      <c r="Z247" s="88">
        <v>42577.0</v>
      </c>
      <c r="AA247" s="81" t="s">
        <v>769</v>
      </c>
      <c r="AB247" s="81"/>
      <c r="AC247" s="88">
        <v>42208.0</v>
      </c>
      <c r="AD247" s="81"/>
      <c r="AE247" s="81"/>
      <c r="AF247" s="81"/>
      <c r="AG247" s="81"/>
      <c r="AH247" s="81"/>
      <c r="AI247" s="81"/>
      <c r="AJ247" s="81"/>
      <c r="AK247" s="81"/>
      <c r="AL247" s="79"/>
    </row>
    <row r="248" ht="22.5" customHeight="1">
      <c r="A248" s="79">
        <v>10246.0</v>
      </c>
      <c r="B248" s="79" t="s">
        <v>1230</v>
      </c>
      <c r="C248" s="79" t="s">
        <v>238</v>
      </c>
      <c r="D248" s="79" t="s">
        <v>64</v>
      </c>
      <c r="E248" s="79" t="s">
        <v>429</v>
      </c>
      <c r="F248" s="80">
        <v>2.0</v>
      </c>
      <c r="G248" s="81"/>
      <c r="H248" s="79" t="s">
        <v>445</v>
      </c>
      <c r="I248" s="80">
        <v>7000.0</v>
      </c>
      <c r="J248" s="81"/>
      <c r="K248" s="79" t="s">
        <v>289</v>
      </c>
      <c r="L248" s="80">
        <v>40.0</v>
      </c>
      <c r="M248" s="94" t="s">
        <v>3757</v>
      </c>
      <c r="N248" s="79" t="s">
        <v>3307</v>
      </c>
      <c r="O248" s="79" t="s">
        <v>3094</v>
      </c>
      <c r="P248" s="83">
        <v>42508.0</v>
      </c>
      <c r="Q248" s="81" t="s">
        <v>3758</v>
      </c>
      <c r="R248" s="79" t="s">
        <v>3759</v>
      </c>
      <c r="S248" s="81"/>
      <c r="T248" s="81"/>
      <c r="U248" s="81"/>
      <c r="V248" s="81"/>
      <c r="W248" s="81"/>
      <c r="X248" s="81"/>
      <c r="Y248" s="81"/>
      <c r="Z248" s="81"/>
      <c r="AA248" s="81"/>
      <c r="AB248" s="81"/>
      <c r="AC248" s="81"/>
      <c r="AD248" s="81"/>
      <c r="AE248" s="81"/>
      <c r="AF248" s="81"/>
      <c r="AG248" s="81"/>
      <c r="AH248" s="81"/>
      <c r="AI248" s="81" t="s">
        <v>428</v>
      </c>
      <c r="AJ248" s="81"/>
      <c r="AK248" s="81"/>
      <c r="AL248" s="79"/>
    </row>
    <row r="249" ht="22.5" customHeight="1">
      <c r="A249" s="79">
        <v>10247.0</v>
      </c>
      <c r="B249" s="79" t="s">
        <v>1230</v>
      </c>
      <c r="C249" s="79" t="s">
        <v>238</v>
      </c>
      <c r="D249" s="79" t="s">
        <v>64</v>
      </c>
      <c r="E249" s="79" t="s">
        <v>429</v>
      </c>
      <c r="F249" s="80">
        <v>2.0</v>
      </c>
      <c r="G249" s="81"/>
      <c r="H249" s="79" t="s">
        <v>445</v>
      </c>
      <c r="I249" s="80">
        <v>7000.0</v>
      </c>
      <c r="J249" s="81"/>
      <c r="K249" s="79" t="s">
        <v>111</v>
      </c>
      <c r="L249" s="80">
        <v>41.0</v>
      </c>
      <c r="M249" s="79" t="s">
        <v>3760</v>
      </c>
      <c r="N249" s="79" t="s">
        <v>577</v>
      </c>
      <c r="O249" s="79" t="s">
        <v>3761</v>
      </c>
      <c r="P249" s="83">
        <v>41233.0</v>
      </c>
      <c r="Q249" s="81" t="s">
        <v>3762</v>
      </c>
      <c r="R249" s="86" t="str">
        <f>HYPERLINK("http://www.newsinenglish.no/2012/11/20/smaller-plates-less-waste/","http://www.newsinenglish.no/2012/11/20/smaller-plates-less-waste/")</f>
        <v>http://www.newsinenglish.no/2012/11/20/smaller-plates-less-waste/</v>
      </c>
      <c r="S249" s="81"/>
      <c r="T249" s="81" t="s">
        <v>462</v>
      </c>
      <c r="U249" s="81" t="s">
        <v>462</v>
      </c>
      <c r="V249" s="81" t="s">
        <v>1099</v>
      </c>
      <c r="W249" s="81" t="s">
        <v>769</v>
      </c>
      <c r="X249" s="81" t="s">
        <v>3763</v>
      </c>
      <c r="Y249" s="88">
        <v>42327.0</v>
      </c>
      <c r="Z249" s="88">
        <v>42464.0</v>
      </c>
      <c r="AA249" s="81"/>
      <c r="AB249" s="81"/>
      <c r="AC249" s="88"/>
      <c r="AD249" s="81"/>
      <c r="AE249" s="88"/>
      <c r="AF249" s="81"/>
      <c r="AG249" s="81"/>
      <c r="AH249" s="81"/>
      <c r="AI249" s="81"/>
      <c r="AJ249" s="81" t="s">
        <v>1101</v>
      </c>
      <c r="AK249" s="81"/>
      <c r="AL249" s="79"/>
    </row>
    <row r="250" ht="22.5" customHeight="1">
      <c r="A250" s="79">
        <v>10248.0</v>
      </c>
      <c r="B250" s="79" t="s">
        <v>1230</v>
      </c>
      <c r="C250" s="79" t="s">
        <v>238</v>
      </c>
      <c r="D250" s="79" t="s">
        <v>64</v>
      </c>
      <c r="E250" s="79" t="s">
        <v>429</v>
      </c>
      <c r="F250" s="80">
        <v>2.0</v>
      </c>
      <c r="G250" s="81"/>
      <c r="H250" s="79" t="s">
        <v>3764</v>
      </c>
      <c r="I250" s="80">
        <v>8000.0</v>
      </c>
      <c r="J250" s="81"/>
      <c r="K250" s="79" t="s">
        <v>3326</v>
      </c>
      <c r="L250" s="80">
        <v>45.0</v>
      </c>
      <c r="M250" s="79" t="s">
        <v>3765</v>
      </c>
      <c r="N250" s="79" t="s">
        <v>577</v>
      </c>
      <c r="O250" s="79" t="s">
        <v>3766</v>
      </c>
      <c r="P250" s="83">
        <v>42114.0</v>
      </c>
      <c r="Q250" s="81" t="s">
        <v>3767</v>
      </c>
      <c r="R250" s="79" t="s">
        <v>3768</v>
      </c>
      <c r="S250" s="81" t="s">
        <v>1868</v>
      </c>
      <c r="T250" s="81" t="s">
        <v>462</v>
      </c>
      <c r="U250" s="81" t="s">
        <v>462</v>
      </c>
      <c r="V250" s="81"/>
      <c r="W250" s="81" t="s">
        <v>769</v>
      </c>
      <c r="X250" s="81" t="s">
        <v>3769</v>
      </c>
      <c r="Y250" s="88">
        <v>42118.0</v>
      </c>
      <c r="Z250" s="88">
        <v>42534.0</v>
      </c>
      <c r="AA250" s="81" t="s">
        <v>769</v>
      </c>
      <c r="AB250" s="81"/>
      <c r="AC250" s="88">
        <v>42145.0</v>
      </c>
      <c r="AD250" s="81"/>
      <c r="AE250" s="81"/>
      <c r="AF250" s="81"/>
      <c r="AG250" s="81"/>
      <c r="AH250" s="81"/>
      <c r="AI250" s="81"/>
      <c r="AJ250" s="81"/>
      <c r="AK250" s="81"/>
      <c r="AL250" s="79"/>
    </row>
    <row r="251" ht="22.5" customHeight="1">
      <c r="A251" s="79">
        <v>10249.0</v>
      </c>
      <c r="B251" s="79" t="s">
        <v>1230</v>
      </c>
      <c r="C251" s="79" t="s">
        <v>238</v>
      </c>
      <c r="D251" s="79" t="s">
        <v>64</v>
      </c>
      <c r="E251" s="79" t="s">
        <v>429</v>
      </c>
      <c r="F251" s="80">
        <v>2.0</v>
      </c>
      <c r="G251" s="81"/>
      <c r="H251" s="79" t="s">
        <v>1203</v>
      </c>
      <c r="I251" s="80">
        <v>21000.0</v>
      </c>
      <c r="J251" s="81"/>
      <c r="K251" s="79" t="s">
        <v>289</v>
      </c>
      <c r="L251" s="80">
        <v>40.0</v>
      </c>
      <c r="M251" s="79" t="s">
        <v>3770</v>
      </c>
      <c r="N251" s="79" t="s">
        <v>577</v>
      </c>
      <c r="O251" s="79" t="s">
        <v>3771</v>
      </c>
      <c r="P251" s="83">
        <v>2007.0</v>
      </c>
      <c r="Q251" s="81" t="s">
        <v>3772</v>
      </c>
      <c r="R251" s="86" t="str">
        <f>HYPERLINK("http://www.regionofwaterloo.ca/en/aboutTheEnvironment/resources/NewsletterJune07.pdf","http://www.regionofwaterloo.ca/en/aboutTheEnvironment/resources/NewsletterJune07.pdf")</f>
        <v>http://www.regionofwaterloo.ca/en/aboutTheEnvironment/resources/NewsletterJune07.pdf</v>
      </c>
      <c r="S251" s="81"/>
      <c r="T251" s="81" t="s">
        <v>39</v>
      </c>
      <c r="U251" s="81" t="s">
        <v>462</v>
      </c>
      <c r="V251" s="81"/>
      <c r="W251" s="81" t="s">
        <v>600</v>
      </c>
      <c r="X251" s="81"/>
      <c r="Y251" s="81"/>
      <c r="Z251" s="81"/>
      <c r="AA251" s="81"/>
      <c r="AB251" s="81"/>
      <c r="AC251" s="81"/>
      <c r="AD251" s="81"/>
      <c r="AE251" s="81"/>
      <c r="AF251" s="81"/>
      <c r="AG251" s="81"/>
      <c r="AH251" s="81"/>
      <c r="AI251" s="81"/>
      <c r="AJ251" s="81"/>
      <c r="AK251" s="81"/>
      <c r="AL251" s="79"/>
    </row>
    <row r="252" ht="22.5" customHeight="1">
      <c r="A252" s="79">
        <v>10250.0</v>
      </c>
      <c r="B252" s="79" t="s">
        <v>1230</v>
      </c>
      <c r="C252" s="79" t="s">
        <v>238</v>
      </c>
      <c r="D252" s="79" t="s">
        <v>64</v>
      </c>
      <c r="E252" s="79" t="s">
        <v>429</v>
      </c>
      <c r="F252" s="80">
        <v>2.0</v>
      </c>
      <c r="G252" s="81"/>
      <c r="H252" s="79" t="s">
        <v>224</v>
      </c>
      <c r="I252" s="80"/>
      <c r="J252" s="81"/>
      <c r="K252" s="79" t="s">
        <v>289</v>
      </c>
      <c r="L252" s="80">
        <v>40.0</v>
      </c>
      <c r="M252" s="79" t="s">
        <v>3773</v>
      </c>
      <c r="N252" s="79" t="s">
        <v>3774</v>
      </c>
      <c r="O252" s="79" t="s">
        <v>1281</v>
      </c>
      <c r="P252" s="83">
        <v>42087.0</v>
      </c>
      <c r="Q252" s="81" t="s">
        <v>3775</v>
      </c>
      <c r="R252" s="86" t="str">
        <f>HYPERLINK("http://www.theguardian.com/commentisfree/oliver-burkeman-column/2015/mar/24/never-having-a-choice-always-having-to-choose","http://www.theguardian.com/commentisfree/oliver-burkeman-column/2015/mar/24/never-having-a-choice-always-having-to-choose")</f>
        <v>http://www.theguardian.com/commentisfree/oliver-burkeman-column/2015/mar/24/never-having-a-choice-always-having-to-choose</v>
      </c>
      <c r="S252" s="81"/>
      <c r="T252" s="81" t="s">
        <v>462</v>
      </c>
      <c r="U252" s="81" t="s">
        <v>462</v>
      </c>
      <c r="V252" s="81"/>
      <c r="W252" s="81" t="s">
        <v>769</v>
      </c>
      <c r="X252" s="81" t="s">
        <v>3776</v>
      </c>
      <c r="Y252" s="88">
        <v>42087.0</v>
      </c>
      <c r="Z252" s="81"/>
      <c r="AA252" s="81" t="s">
        <v>769</v>
      </c>
      <c r="AB252" s="81"/>
      <c r="AC252" s="88">
        <v>42121.0</v>
      </c>
      <c r="AD252" s="81"/>
      <c r="AE252" s="81"/>
      <c r="AF252" s="81"/>
      <c r="AG252" s="81"/>
      <c r="AH252" s="81"/>
      <c r="AI252" s="81"/>
      <c r="AJ252" s="81"/>
      <c r="AK252" s="81"/>
      <c r="AL252" s="79"/>
    </row>
    <row r="253" ht="22.5" customHeight="1">
      <c r="A253" s="79">
        <v>10251.0</v>
      </c>
      <c r="B253" s="79" t="s">
        <v>1230</v>
      </c>
      <c r="C253" s="79" t="s">
        <v>238</v>
      </c>
      <c r="D253" s="79" t="s">
        <v>64</v>
      </c>
      <c r="E253" s="79" t="s">
        <v>429</v>
      </c>
      <c r="F253" s="80">
        <v>2.0</v>
      </c>
      <c r="G253" s="81"/>
      <c r="H253" s="79" t="s">
        <v>605</v>
      </c>
      <c r="I253" s="80">
        <v>4000.0</v>
      </c>
      <c r="J253" s="81"/>
      <c r="K253" s="79" t="s">
        <v>289</v>
      </c>
      <c r="L253" s="80">
        <v>40.0</v>
      </c>
      <c r="M253" s="79" t="s">
        <v>3777</v>
      </c>
      <c r="N253" s="79" t="s">
        <v>3778</v>
      </c>
      <c r="O253" s="79" t="s">
        <v>2338</v>
      </c>
      <c r="P253" s="83">
        <v>41639.0</v>
      </c>
      <c r="Q253" s="81" t="s">
        <v>3779</v>
      </c>
      <c r="R253" s="86" t="str">
        <f>HYPERLINK("http://energyblog.nationalgeographic.com/2013/12/31/u-s-phase-out-of-incandescent-light-bulbs-continues-in-2014-with-40-60-watt-varieties/","http://energyblog.nationalgeographic.com/2013/12/31/u-s-phase-out-of-incandescent-light-bulbs-continues-in-2014-with-40-60-watt-varieties/")</f>
        <v>http://energyblog.nationalgeographic.com/2013/12/31/u-s-phase-out-of-incandescent-light-bulbs-continues-in-2014-with-40-60-watt-varieties/</v>
      </c>
      <c r="S253" s="81" t="s">
        <v>3780</v>
      </c>
      <c r="T253" s="81" t="s">
        <v>462</v>
      </c>
      <c r="U253" s="81" t="s">
        <v>462</v>
      </c>
      <c r="V253" s="81" t="s">
        <v>1099</v>
      </c>
      <c r="W253" s="81" t="s">
        <v>600</v>
      </c>
      <c r="X253" s="81"/>
      <c r="Y253" s="81"/>
      <c r="Z253" s="81"/>
      <c r="AA253" s="81"/>
      <c r="AB253" s="81"/>
      <c r="AC253" s="81"/>
      <c r="AD253" s="81"/>
      <c r="AE253" s="81"/>
      <c r="AF253" s="81"/>
      <c r="AG253" s="81"/>
      <c r="AH253" s="81"/>
      <c r="AI253" s="81"/>
      <c r="AJ253" s="81" t="s">
        <v>1101</v>
      </c>
      <c r="AK253" s="81" t="s">
        <v>2425</v>
      </c>
      <c r="AL253" s="79"/>
    </row>
    <row r="254" ht="22.5" customHeight="1">
      <c r="A254" s="79">
        <v>10252.0</v>
      </c>
      <c r="B254" s="79" t="s">
        <v>1230</v>
      </c>
      <c r="C254" s="79" t="s">
        <v>238</v>
      </c>
      <c r="D254" s="79" t="s">
        <v>64</v>
      </c>
      <c r="E254" s="79" t="s">
        <v>429</v>
      </c>
      <c r="F254" s="80">
        <v>2.0</v>
      </c>
      <c r="G254" s="81"/>
      <c r="H254" s="79" t="s">
        <v>1114</v>
      </c>
      <c r="I254" s="80">
        <v>2000.0</v>
      </c>
      <c r="J254" s="81"/>
      <c r="K254" s="79" t="s">
        <v>3781</v>
      </c>
      <c r="L254" s="80" t="s">
        <v>3782</v>
      </c>
      <c r="M254" s="79" t="s">
        <v>3783</v>
      </c>
      <c r="N254" s="79" t="s">
        <v>3784</v>
      </c>
      <c r="O254" s="79" t="s">
        <v>3785</v>
      </c>
      <c r="P254" s="83">
        <v>41666.0</v>
      </c>
      <c r="Q254" s="81" t="s">
        <v>3786</v>
      </c>
      <c r="R254" s="86" t="str">
        <f>HYPERLINK("http://www.snap.is/magazine/paul-ferraro-sustainability-nudges-conservation/","http://www.snap.is/magazine/paul-ferraro-sustainability-nudges-conservation/")</f>
        <v>http://www.snap.is/magazine/paul-ferraro-sustainability-nudges-conservation/</v>
      </c>
      <c r="S254" s="81" t="s">
        <v>3787</v>
      </c>
      <c r="T254" s="81" t="s">
        <v>462</v>
      </c>
      <c r="U254" s="81" t="s">
        <v>462</v>
      </c>
      <c r="V254" s="81"/>
      <c r="W254" s="81" t="s">
        <v>769</v>
      </c>
      <c r="X254" s="81"/>
      <c r="Y254" s="88">
        <v>42134.0</v>
      </c>
      <c r="Z254" s="81"/>
      <c r="AA254" s="81" t="s">
        <v>769</v>
      </c>
      <c r="AB254" s="81"/>
      <c r="AC254" s="88">
        <v>42167.0</v>
      </c>
      <c r="AD254" s="81"/>
      <c r="AE254" s="81"/>
      <c r="AF254" s="81"/>
      <c r="AG254" s="81"/>
      <c r="AH254" s="81"/>
      <c r="AI254" s="81"/>
      <c r="AJ254" s="81"/>
      <c r="AK254" s="81"/>
      <c r="AL254" s="79"/>
    </row>
    <row r="255" ht="22.5" customHeight="1">
      <c r="A255" s="79">
        <v>10253.0</v>
      </c>
      <c r="B255" s="79" t="s">
        <v>1230</v>
      </c>
      <c r="C255" s="79" t="s">
        <v>238</v>
      </c>
      <c r="D255" s="79" t="s">
        <v>64</v>
      </c>
      <c r="E255" s="79" t="s">
        <v>429</v>
      </c>
      <c r="F255" s="80">
        <v>2.0</v>
      </c>
      <c r="G255" s="81"/>
      <c r="H255" s="79" t="s">
        <v>445</v>
      </c>
      <c r="I255" s="80">
        <v>7000.0</v>
      </c>
      <c r="J255" s="81"/>
      <c r="K255" s="79" t="s">
        <v>289</v>
      </c>
      <c r="L255" s="80">
        <v>40.0</v>
      </c>
      <c r="M255" s="94" t="s">
        <v>3788</v>
      </c>
      <c r="N255" s="79" t="s">
        <v>3789</v>
      </c>
      <c r="O255" s="79" t="s">
        <v>2108</v>
      </c>
      <c r="P255" s="83">
        <v>42284.0</v>
      </c>
      <c r="Q255" s="81" t="s">
        <v>3790</v>
      </c>
      <c r="R255" s="86" t="str">
        <f>HYPERLINK("http://www.resource-media.org/universities-leading-the-charge-on-food-waste/#.V09TIvkrLIU","http://www.resource-media.org/universities-leading-the-charge-on-food-waste/#.V09TIvkrLIU")</f>
        <v>http://www.resource-media.org/universities-leading-the-charge-on-food-waste/#.V09TIvkrLIU</v>
      </c>
      <c r="S255" s="81"/>
      <c r="T255" s="81"/>
      <c r="U255" s="81"/>
      <c r="V255" s="81"/>
      <c r="W255" s="81" t="s">
        <v>769</v>
      </c>
      <c r="X255" s="81" t="s">
        <v>3791</v>
      </c>
      <c r="Y255" s="88">
        <v>42677.0</v>
      </c>
      <c r="Z255" s="81"/>
      <c r="AA255" s="81"/>
      <c r="AB255" s="81"/>
      <c r="AC255" s="81"/>
      <c r="AD255" s="81"/>
      <c r="AE255" s="81"/>
      <c r="AF255" s="81"/>
      <c r="AG255" s="81"/>
      <c r="AH255" s="81"/>
      <c r="AI255" s="81" t="s">
        <v>428</v>
      </c>
      <c r="AJ255" s="81" t="s">
        <v>1101</v>
      </c>
      <c r="AK255" s="81"/>
      <c r="AL255" s="79"/>
    </row>
    <row r="256" ht="22.5" customHeight="1">
      <c r="A256" s="79">
        <v>10254.0</v>
      </c>
      <c r="B256" s="79" t="s">
        <v>1230</v>
      </c>
      <c r="C256" s="79" t="s">
        <v>238</v>
      </c>
      <c r="D256" s="79" t="s">
        <v>64</v>
      </c>
      <c r="E256" s="79" t="s">
        <v>429</v>
      </c>
      <c r="F256" s="80">
        <v>2.0</v>
      </c>
      <c r="G256" s="81"/>
      <c r="H256" s="79" t="s">
        <v>470</v>
      </c>
      <c r="I256" s="80">
        <v>3000.0</v>
      </c>
      <c r="J256" s="81"/>
      <c r="K256" s="79" t="s">
        <v>111</v>
      </c>
      <c r="L256" s="80">
        <v>41.0</v>
      </c>
      <c r="M256" s="79" t="s">
        <v>3792</v>
      </c>
      <c r="N256" s="79" t="s">
        <v>3793</v>
      </c>
      <c r="O256" s="79" t="s">
        <v>3794</v>
      </c>
      <c r="P256" s="83">
        <v>41043.0</v>
      </c>
      <c r="Q256" s="81" t="s">
        <v>3795</v>
      </c>
      <c r="R256" s="86" t="str">
        <f>HYPERLINK("http://onetonnelife.com/","http://onetonnelife.com/")</f>
        <v>http://onetonnelife.com/</v>
      </c>
      <c r="S256" s="81" t="s">
        <v>2154</v>
      </c>
      <c r="T256" s="81" t="s">
        <v>462</v>
      </c>
      <c r="U256" s="81" t="s">
        <v>462</v>
      </c>
      <c r="V256" s="81"/>
      <c r="W256" s="81" t="s">
        <v>769</v>
      </c>
      <c r="X256" s="81" t="s">
        <v>3800</v>
      </c>
      <c r="Y256" s="88">
        <v>42339.0</v>
      </c>
      <c r="Z256" s="81"/>
      <c r="AA256" s="81"/>
      <c r="AB256" s="81"/>
      <c r="AC256" s="88"/>
      <c r="AD256" s="81"/>
      <c r="AE256" s="81"/>
      <c r="AF256" s="81"/>
      <c r="AG256" s="81"/>
      <c r="AH256" s="81"/>
      <c r="AI256" s="81"/>
      <c r="AJ256" s="81"/>
      <c r="AK256" s="81"/>
      <c r="AL256" s="79"/>
    </row>
    <row r="257" ht="22.5" customHeight="1">
      <c r="A257" s="79">
        <v>10255.0</v>
      </c>
      <c r="B257" s="79" t="s">
        <v>1230</v>
      </c>
      <c r="C257" s="79" t="s">
        <v>238</v>
      </c>
      <c r="D257" s="79" t="s">
        <v>64</v>
      </c>
      <c r="E257" s="79" t="s">
        <v>429</v>
      </c>
      <c r="F257" s="80">
        <v>2.0</v>
      </c>
      <c r="G257" s="81"/>
      <c r="H257" s="79" t="s">
        <v>224</v>
      </c>
      <c r="I257" s="80"/>
      <c r="J257" s="81"/>
      <c r="K257" s="79" t="s">
        <v>95</v>
      </c>
      <c r="L257" s="80">
        <v>41.0</v>
      </c>
      <c r="M257" s="79" t="s">
        <v>3810</v>
      </c>
      <c r="N257" s="79" t="s">
        <v>3811</v>
      </c>
      <c r="O257" s="79" t="s">
        <v>3812</v>
      </c>
      <c r="P257" s="83">
        <v>41848.0</v>
      </c>
      <c r="Q257" s="81"/>
      <c r="R257" s="86" t="str">
        <f>HYPERLINK("http://www.wsj.com/articles/in-tests-scientists-try-to-change-behaviors-1406588998","http://www.wsj.com/articles/in-tests-scientists-try-to-change-behaviors-1406588998")</f>
        <v>http://www.wsj.com/articles/in-tests-scientists-try-to-change-behaviors-1406588998</v>
      </c>
      <c r="S257" s="81" t="s">
        <v>3814</v>
      </c>
      <c r="T257" s="81" t="s">
        <v>462</v>
      </c>
      <c r="U257" s="81" t="s">
        <v>462</v>
      </c>
      <c r="V257" s="81" t="s">
        <v>676</v>
      </c>
      <c r="W257" s="81" t="s">
        <v>677</v>
      </c>
      <c r="X257" s="81"/>
      <c r="Y257" s="88"/>
      <c r="Z257" s="81"/>
      <c r="AA257" s="81"/>
      <c r="AB257" s="81"/>
      <c r="AC257" s="88"/>
      <c r="AD257" s="81"/>
      <c r="AE257" s="81"/>
      <c r="AF257" s="81"/>
      <c r="AG257" s="81"/>
      <c r="AH257" s="81"/>
      <c r="AI257" s="81"/>
      <c r="AJ257" s="81"/>
      <c r="AK257" s="79"/>
      <c r="AL257" s="79"/>
    </row>
    <row r="258" ht="22.5" customHeight="1">
      <c r="A258" s="79">
        <v>10256.0</v>
      </c>
      <c r="B258" s="79" t="s">
        <v>1230</v>
      </c>
      <c r="C258" s="79" t="s">
        <v>238</v>
      </c>
      <c r="D258" s="79" t="s">
        <v>64</v>
      </c>
      <c r="E258" s="79" t="s">
        <v>429</v>
      </c>
      <c r="F258" s="80">
        <v>2.0</v>
      </c>
      <c r="G258" s="81"/>
      <c r="H258" s="79" t="s">
        <v>224</v>
      </c>
      <c r="I258" s="80"/>
      <c r="J258" s="81"/>
      <c r="K258" s="79" t="s">
        <v>289</v>
      </c>
      <c r="L258" s="80">
        <v>40.0</v>
      </c>
      <c r="M258" s="79" t="s">
        <v>3816</v>
      </c>
      <c r="N258" s="79" t="s">
        <v>3817</v>
      </c>
      <c r="O258" s="79" t="s">
        <v>1298</v>
      </c>
      <c r="P258" s="83">
        <v>40831.0</v>
      </c>
      <c r="Q258" s="81" t="s">
        <v>3818</v>
      </c>
      <c r="R258" s="86" t="str">
        <f>HYPERLINK("http://www.nytimes.com/2011/10/16/technology/default-choices-are-hard-to-resist-online-or-not.html","http://www.nytimes.com/2011/10/16/technology/default-choices-are-hard-to-resist-online-or-not.html")</f>
        <v>http://www.nytimes.com/2011/10/16/technology/default-choices-are-hard-to-resist-online-or-not.html</v>
      </c>
      <c r="S258" s="81"/>
      <c r="T258" s="81" t="s">
        <v>462</v>
      </c>
      <c r="U258" s="81" t="s">
        <v>462</v>
      </c>
      <c r="V258" s="81" t="s">
        <v>1099</v>
      </c>
      <c r="W258" s="81" t="s">
        <v>769</v>
      </c>
      <c r="X258" s="81" t="s">
        <v>3823</v>
      </c>
      <c r="Y258" s="88">
        <v>42431.0</v>
      </c>
      <c r="Z258" s="88">
        <v>42606.0</v>
      </c>
      <c r="AA258" s="81"/>
      <c r="AB258" s="81"/>
      <c r="AC258" s="88"/>
      <c r="AD258" s="81"/>
      <c r="AE258" s="81"/>
      <c r="AF258" s="81"/>
      <c r="AG258" s="81"/>
      <c r="AH258" s="81"/>
      <c r="AI258" s="81"/>
      <c r="AJ258" s="81" t="s">
        <v>1101</v>
      </c>
      <c r="AK258" s="79"/>
      <c r="AL258" s="79"/>
    </row>
    <row r="259" ht="22.5" customHeight="1">
      <c r="A259" s="79">
        <v>10257.0</v>
      </c>
      <c r="B259" s="79" t="s">
        <v>1230</v>
      </c>
      <c r="C259" s="79" t="s">
        <v>238</v>
      </c>
      <c r="D259" s="79" t="s">
        <v>64</v>
      </c>
      <c r="E259" s="79" t="s">
        <v>429</v>
      </c>
      <c r="F259" s="80">
        <v>2.0</v>
      </c>
      <c r="G259" s="81"/>
      <c r="H259" s="79" t="s">
        <v>1138</v>
      </c>
      <c r="I259" s="80">
        <v>20000.0</v>
      </c>
      <c r="J259" s="81"/>
      <c r="K259" s="79" t="s">
        <v>111</v>
      </c>
      <c r="L259" s="80">
        <v>41.0</v>
      </c>
      <c r="M259" s="79" t="s">
        <v>3824</v>
      </c>
      <c r="N259" s="79" t="s">
        <v>3825</v>
      </c>
      <c r="O259" s="79" t="s">
        <v>1298</v>
      </c>
      <c r="P259" s="83">
        <v>39642.0</v>
      </c>
      <c r="Q259" s="81" t="s">
        <v>3826</v>
      </c>
      <c r="R259" s="86" t="str">
        <f>HYPERLINK("http://www.nytimes.com/2008/07/13/world/europe/13paris.html?pagewanted=all","http://www.nytimes.com/2008/07/13/world/europe/13paris.html?pagewanted=all")</f>
        <v>http://www.nytimes.com/2008/07/13/world/europe/13paris.html?pagewanted=all</v>
      </c>
      <c r="S259" s="81"/>
      <c r="T259" s="81" t="s">
        <v>428</v>
      </c>
      <c r="U259" s="81" t="s">
        <v>462</v>
      </c>
      <c r="V259" s="81"/>
      <c r="W259" s="81" t="s">
        <v>600</v>
      </c>
      <c r="X259" s="81"/>
      <c r="Y259" s="81"/>
      <c r="Z259" s="81"/>
      <c r="AA259" s="81"/>
      <c r="AB259" s="81"/>
      <c r="AC259" s="81"/>
      <c r="AD259" s="81"/>
      <c r="AE259" s="81"/>
      <c r="AF259" s="81"/>
      <c r="AG259" s="81"/>
      <c r="AH259" s="81"/>
      <c r="AI259" s="81"/>
      <c r="AJ259" s="81"/>
      <c r="AK259" s="79"/>
      <c r="AL259" s="79"/>
    </row>
    <row r="260" ht="22.5" customHeight="1">
      <c r="A260" s="79">
        <v>10258.0</v>
      </c>
      <c r="B260" s="79" t="s">
        <v>1230</v>
      </c>
      <c r="C260" s="79" t="s">
        <v>238</v>
      </c>
      <c r="D260" s="79" t="s">
        <v>64</v>
      </c>
      <c r="E260" s="79" t="s">
        <v>429</v>
      </c>
      <c r="F260" s="80">
        <v>2.0</v>
      </c>
      <c r="G260" s="81"/>
      <c r="H260" s="79" t="s">
        <v>1223</v>
      </c>
      <c r="I260" s="80">
        <v>3000.0</v>
      </c>
      <c r="J260" s="81"/>
      <c r="K260" s="79" t="s">
        <v>289</v>
      </c>
      <c r="L260" s="80">
        <v>40.0</v>
      </c>
      <c r="M260" s="79" t="s">
        <v>3827</v>
      </c>
      <c r="N260" s="79" t="s">
        <v>3828</v>
      </c>
      <c r="O260" s="79" t="s">
        <v>1281</v>
      </c>
      <c r="P260" s="83">
        <v>42045.0</v>
      </c>
      <c r="Q260" s="81"/>
      <c r="R260" s="86" t="str">
        <f>HYPERLINK("http://www.theguardian.com/sustainable-business/2015/feb/10/openlabel-app-consumer-information-google-facebook","http://www.theguardian.com/sustainable-business/2015/feb/10/openlabel-app-consumer-information-google-facebook")</f>
        <v>http://www.theguardian.com/sustainable-business/2015/feb/10/openlabel-app-consumer-information-google-facebook</v>
      </c>
      <c r="S260" s="81"/>
      <c r="T260" s="81" t="s">
        <v>462</v>
      </c>
      <c r="U260" s="81" t="s">
        <v>462</v>
      </c>
      <c r="V260" s="81"/>
      <c r="W260" s="81" t="s">
        <v>769</v>
      </c>
      <c r="X260" s="81" t="s">
        <v>3829</v>
      </c>
      <c r="Y260" s="88">
        <v>42206.0</v>
      </c>
      <c r="Z260" s="81"/>
      <c r="AA260" s="81"/>
      <c r="AB260" s="81"/>
      <c r="AC260" s="88"/>
      <c r="AD260" s="81"/>
      <c r="AE260" s="81"/>
      <c r="AF260" s="81"/>
      <c r="AG260" s="81"/>
      <c r="AH260" s="81"/>
      <c r="AI260" s="81"/>
      <c r="AJ260" s="81"/>
      <c r="AK260" s="79"/>
      <c r="AL260" s="79"/>
    </row>
    <row r="261" ht="22.5" customHeight="1">
      <c r="A261" s="79">
        <v>10259.0</v>
      </c>
      <c r="B261" s="79" t="s">
        <v>1230</v>
      </c>
      <c r="C261" s="79" t="s">
        <v>238</v>
      </c>
      <c r="D261" s="79" t="s">
        <v>64</v>
      </c>
      <c r="E261" s="79" t="s">
        <v>376</v>
      </c>
      <c r="F261" s="80">
        <v>2.0</v>
      </c>
      <c r="G261" s="81"/>
      <c r="H261" s="79" t="s">
        <v>2989</v>
      </c>
      <c r="I261" s="80">
        <v>7000.0</v>
      </c>
      <c r="J261" s="81"/>
      <c r="K261" s="79" t="s">
        <v>117</v>
      </c>
      <c r="L261" s="80">
        <v>40.0</v>
      </c>
      <c r="M261" s="79" t="s">
        <v>2990</v>
      </c>
      <c r="N261" s="79" t="s">
        <v>2991</v>
      </c>
      <c r="O261" s="79" t="s">
        <v>2992</v>
      </c>
      <c r="P261" s="83">
        <v>39630.0</v>
      </c>
      <c r="Q261" s="81" t="s">
        <v>2993</v>
      </c>
      <c r="R261" s="79" t="s">
        <v>2994</v>
      </c>
      <c r="S261" s="81"/>
      <c r="T261" s="81" t="s">
        <v>39</v>
      </c>
      <c r="U261" s="81" t="s">
        <v>462</v>
      </c>
      <c r="V261" s="81"/>
      <c r="W261" s="81"/>
      <c r="X261" s="81"/>
      <c r="Y261" s="81"/>
      <c r="Z261" s="81"/>
      <c r="AA261" s="81"/>
      <c r="AB261" s="81"/>
      <c r="AC261" s="81"/>
      <c r="AD261" s="81"/>
      <c r="AE261" s="81"/>
      <c r="AF261" s="81"/>
      <c r="AG261" s="81"/>
      <c r="AH261" s="81"/>
      <c r="AI261" s="81"/>
      <c r="AJ261" s="81" t="s">
        <v>2995</v>
      </c>
      <c r="AK261" s="79"/>
      <c r="AL261" s="79"/>
    </row>
    <row r="262" ht="22.5" customHeight="1">
      <c r="A262" s="79">
        <v>10260.0</v>
      </c>
      <c r="B262" s="79" t="s">
        <v>1230</v>
      </c>
      <c r="C262" s="79" t="s">
        <v>238</v>
      </c>
      <c r="D262" s="79" t="s">
        <v>64</v>
      </c>
      <c r="E262" s="79" t="s">
        <v>376</v>
      </c>
      <c r="F262" s="80">
        <v>2.0</v>
      </c>
      <c r="G262" s="81"/>
      <c r="H262" s="79" t="s">
        <v>224</v>
      </c>
      <c r="I262" s="80"/>
      <c r="J262" s="81"/>
      <c r="K262" s="79" t="s">
        <v>3835</v>
      </c>
      <c r="L262" s="80" t="s">
        <v>3836</v>
      </c>
      <c r="M262" s="79" t="s">
        <v>3837</v>
      </c>
      <c r="N262" s="79" t="s">
        <v>3839</v>
      </c>
      <c r="O262" s="79" t="s">
        <v>2665</v>
      </c>
      <c r="P262" s="83">
        <v>41626.0</v>
      </c>
      <c r="Q262" s="81" t="s">
        <v>3840</v>
      </c>
      <c r="R262" s="86" t="str">
        <f>HYPERLINK("http://economicspsychologypolicy.blogspot.ie/2013/12/the-15-best-behavioural-science-graphs.html?m=1%C2%A0%E2%80%A6","http://economicspsychologypolicy.blogspot.ie/2013/12/the-15-best-behavioural-science-graphs.html?m=1 …")</f>
        <v>http://economicspsychologypolicy.blogspot.ie/2013/12/the-15-best-behavioural-science-graphs.html?m=1 …</v>
      </c>
      <c r="S262" s="81"/>
      <c r="T262" s="81" t="s">
        <v>462</v>
      </c>
      <c r="U262" s="81" t="s">
        <v>462</v>
      </c>
      <c r="V262" s="81"/>
      <c r="W262" s="81" t="s">
        <v>769</v>
      </c>
      <c r="X262" s="81" t="s">
        <v>3841</v>
      </c>
      <c r="Y262" s="88">
        <v>41992.0</v>
      </c>
      <c r="Z262" s="81"/>
      <c r="AA262" s="81" t="s">
        <v>530</v>
      </c>
      <c r="AB262" s="81"/>
      <c r="AC262" s="88"/>
      <c r="AD262" s="81"/>
      <c r="AE262" s="88"/>
      <c r="AF262" s="81"/>
      <c r="AG262" s="81"/>
      <c r="AH262" s="81"/>
      <c r="AI262" s="81"/>
      <c r="AJ262" s="81"/>
      <c r="AK262" s="79"/>
      <c r="AL262" s="79"/>
    </row>
    <row r="263" ht="22.5" customHeight="1">
      <c r="A263" s="79">
        <v>10261.0</v>
      </c>
      <c r="B263" s="79" t="s">
        <v>1230</v>
      </c>
      <c r="C263" s="79" t="s">
        <v>238</v>
      </c>
      <c r="D263" s="79" t="s">
        <v>64</v>
      </c>
      <c r="E263" s="79" t="s">
        <v>3844</v>
      </c>
      <c r="F263" s="80" t="s">
        <v>3845</v>
      </c>
      <c r="G263" s="81"/>
      <c r="H263" s="79" t="s">
        <v>224</v>
      </c>
      <c r="I263" s="80"/>
      <c r="J263" s="81"/>
      <c r="K263" s="79" t="s">
        <v>111</v>
      </c>
      <c r="L263" s="80">
        <v>41.0</v>
      </c>
      <c r="M263" s="94" t="s">
        <v>3848</v>
      </c>
      <c r="N263" s="79" t="s">
        <v>3849</v>
      </c>
      <c r="O263" s="79" t="s">
        <v>3850</v>
      </c>
      <c r="P263" s="83">
        <v>42377.0</v>
      </c>
      <c r="Q263" s="81" t="s">
        <v>3851</v>
      </c>
      <c r="R263" s="86" t="str">
        <f>HYPERLINK("http://inudgeyou.com/archives/6638","http://inudgeyou.com/archives/6638")</f>
        <v>http://inudgeyou.com/archives/6638</v>
      </c>
      <c r="S263" s="81"/>
      <c r="T263" s="81"/>
      <c r="U263" s="81"/>
      <c r="V263" s="81"/>
      <c r="W263" s="81" t="s">
        <v>677</v>
      </c>
      <c r="X263" s="81"/>
      <c r="Y263" s="81"/>
      <c r="Z263" s="81"/>
      <c r="AA263" s="81"/>
      <c r="AB263" s="81"/>
      <c r="AC263" s="81"/>
      <c r="AD263" s="81"/>
      <c r="AE263" s="81"/>
      <c r="AF263" s="81"/>
      <c r="AG263" s="81"/>
      <c r="AH263" s="81"/>
      <c r="AI263" s="81" t="s">
        <v>428</v>
      </c>
      <c r="AJ263" s="81"/>
      <c r="AK263" s="79"/>
      <c r="AL263" s="79"/>
    </row>
    <row r="264" ht="22.5" customHeight="1">
      <c r="A264" s="79">
        <v>10262.0</v>
      </c>
      <c r="B264" s="79" t="s">
        <v>1230</v>
      </c>
      <c r="C264" s="79" t="s">
        <v>238</v>
      </c>
      <c r="D264" s="79" t="s">
        <v>64</v>
      </c>
      <c r="E264" s="79" t="s">
        <v>3857</v>
      </c>
      <c r="F264" s="80" t="s">
        <v>3858</v>
      </c>
      <c r="G264" s="81"/>
      <c r="H264" s="79" t="s">
        <v>470</v>
      </c>
      <c r="I264" s="80">
        <v>3000.0</v>
      </c>
      <c r="J264" s="81"/>
      <c r="K264" s="79" t="s">
        <v>117</v>
      </c>
      <c r="L264" s="80">
        <v>40.0</v>
      </c>
      <c r="M264" s="94" t="s">
        <v>3859</v>
      </c>
      <c r="N264" s="79" t="s">
        <v>3860</v>
      </c>
      <c r="O264" s="79" t="s">
        <v>2569</v>
      </c>
      <c r="P264" s="83">
        <v>42448.0</v>
      </c>
      <c r="Q264" s="81" t="s">
        <v>3861</v>
      </c>
      <c r="R264" s="86" t="str">
        <f>HYPERLINK("https://www.greenbiz.com/article/5-truths-about-our-relationship-energy","https://www.greenbiz.com/article/5-truths-about-our-relationship-energy")</f>
        <v>https://www.greenbiz.com/article/5-truths-about-our-relationship-energy</v>
      </c>
      <c r="S264" s="81"/>
      <c r="T264" s="81"/>
      <c r="U264" s="81"/>
      <c r="V264" s="81"/>
      <c r="W264" s="81" t="s">
        <v>769</v>
      </c>
      <c r="X264" s="81" t="s">
        <v>3869</v>
      </c>
      <c r="Y264" s="88">
        <v>42670.0</v>
      </c>
      <c r="Z264" s="81"/>
      <c r="AA264" s="81"/>
      <c r="AB264" s="81"/>
      <c r="AC264" s="81"/>
      <c r="AD264" s="81"/>
      <c r="AE264" s="81"/>
      <c r="AF264" s="81"/>
      <c r="AG264" s="81"/>
      <c r="AH264" s="81"/>
      <c r="AI264" s="81" t="s">
        <v>428</v>
      </c>
      <c r="AJ264" s="81"/>
      <c r="AK264" s="79"/>
      <c r="AL264" s="79"/>
    </row>
    <row r="265" ht="22.5" customHeight="1">
      <c r="A265" s="79">
        <v>10263.0</v>
      </c>
      <c r="B265" s="79" t="s">
        <v>1230</v>
      </c>
      <c r="C265" s="79" t="s">
        <v>238</v>
      </c>
      <c r="D265" s="79" t="s">
        <v>64</v>
      </c>
      <c r="E265" s="79" t="s">
        <v>3013</v>
      </c>
      <c r="F265" s="80" t="s">
        <v>3014</v>
      </c>
      <c r="G265" s="81"/>
      <c r="H265" s="79" t="s">
        <v>470</v>
      </c>
      <c r="I265" s="80">
        <v>3000.0</v>
      </c>
      <c r="J265" s="81"/>
      <c r="K265" s="79" t="s">
        <v>289</v>
      </c>
      <c r="L265" s="80">
        <v>40.0</v>
      </c>
      <c r="M265" s="79" t="s">
        <v>3681</v>
      </c>
      <c r="N265" s="86" t="str">
        <f>HYPERLINK("http://finance-commerce.com/author/frankjossi/"," Frank Jossi")</f>
        <v> Frank Jossi</v>
      </c>
      <c r="O265" s="79" t="s">
        <v>3683</v>
      </c>
      <c r="P265" s="83">
        <v>41883.0</v>
      </c>
      <c r="Q265" s="81"/>
      <c r="R265" s="86" t="str">
        <f>HYPERLINK("http://finance-commerce.com/2014/09/sustainable-reducing-energy-use-through-behavioral-science/","http://finance-commerce.com/2014/09/sustainable-reducing-energy-use-through-behavioral-science/")</f>
        <v>http://finance-commerce.com/2014/09/sustainable-reducing-energy-use-through-behavioral-science/</v>
      </c>
      <c r="S265" s="81"/>
      <c r="T265" s="81" t="s">
        <v>462</v>
      </c>
      <c r="U265" s="81" t="s">
        <v>462</v>
      </c>
      <c r="V265" s="81"/>
      <c r="W265" s="81" t="s">
        <v>769</v>
      </c>
      <c r="X265" s="81" t="s">
        <v>3685</v>
      </c>
      <c r="Y265" s="88">
        <v>42167.0</v>
      </c>
      <c r="Z265" s="81"/>
      <c r="AA265" s="81" t="s">
        <v>769</v>
      </c>
      <c r="AB265" s="81"/>
      <c r="AC265" s="88">
        <v>42176.0</v>
      </c>
      <c r="AD265" s="81"/>
      <c r="AE265" s="81"/>
      <c r="AF265" s="81"/>
      <c r="AG265" s="81"/>
      <c r="AH265" s="81"/>
      <c r="AI265" s="81"/>
      <c r="AJ265" s="81" t="s">
        <v>678</v>
      </c>
      <c r="AK265" s="79"/>
      <c r="AL265" s="79"/>
    </row>
    <row r="266" ht="22.5" customHeight="1">
      <c r="A266" s="79">
        <v>10264.0</v>
      </c>
      <c r="B266" s="79" t="s">
        <v>1230</v>
      </c>
      <c r="C266" s="79" t="s">
        <v>238</v>
      </c>
      <c r="D266" s="79" t="s">
        <v>64</v>
      </c>
      <c r="E266" s="79" t="s">
        <v>3013</v>
      </c>
      <c r="F266" s="80" t="s">
        <v>3014</v>
      </c>
      <c r="G266" s="81"/>
      <c r="H266" s="79" t="s">
        <v>1114</v>
      </c>
      <c r="I266" s="80">
        <v>2000.0</v>
      </c>
      <c r="J266" s="81"/>
      <c r="K266" s="79" t="s">
        <v>289</v>
      </c>
      <c r="L266" s="80">
        <v>40.0</v>
      </c>
      <c r="M266" s="79" t="s">
        <v>3880</v>
      </c>
      <c r="N266" s="79" t="s">
        <v>1238</v>
      </c>
      <c r="O266" s="79" t="s">
        <v>592</v>
      </c>
      <c r="P266" s="83">
        <v>40253.0</v>
      </c>
      <c r="Q266" s="81" t="s">
        <v>3884</v>
      </c>
      <c r="R266" s="86" t="str">
        <f>HYPERLINK("http://www.scientificamerican.com/article/overconsumption-consumer-green/","http://www.scientificamerican.com/article/overconsumption-consumer-green/")</f>
        <v>http://www.scientificamerican.com/article/overconsumption-consumer-green/</v>
      </c>
      <c r="S266" s="81" t="s">
        <v>3892</v>
      </c>
      <c r="T266" s="81" t="s">
        <v>3893</v>
      </c>
      <c r="U266" s="81" t="s">
        <v>3893</v>
      </c>
      <c r="V266" s="81" t="s">
        <v>663</v>
      </c>
      <c r="W266" s="81" t="s">
        <v>769</v>
      </c>
      <c r="X266" s="81" t="s">
        <v>3894</v>
      </c>
      <c r="Y266" s="88">
        <v>42338.0</v>
      </c>
      <c r="Z266" s="88"/>
      <c r="AA266" s="81" t="s">
        <v>561</v>
      </c>
      <c r="AB266" s="81"/>
      <c r="AC266" s="88">
        <v>42431.0</v>
      </c>
      <c r="AD266" s="102"/>
      <c r="AE266" s="81"/>
      <c r="AF266" s="81"/>
      <c r="AG266" s="81"/>
      <c r="AH266" s="81"/>
      <c r="AI266" s="81"/>
      <c r="AJ266" s="81" t="s">
        <v>3895</v>
      </c>
      <c r="AK266" s="79"/>
      <c r="AL266" s="79"/>
    </row>
    <row r="267" ht="22.5" customHeight="1">
      <c r="A267" s="79">
        <v>10265.0</v>
      </c>
      <c r="B267" s="79" t="s">
        <v>1230</v>
      </c>
      <c r="C267" s="79" t="s">
        <v>238</v>
      </c>
      <c r="D267" s="79" t="s">
        <v>64</v>
      </c>
      <c r="E267" s="79" t="s">
        <v>3013</v>
      </c>
      <c r="F267" s="80" t="s">
        <v>3014</v>
      </c>
      <c r="G267" s="81"/>
      <c r="H267" s="79" t="s">
        <v>470</v>
      </c>
      <c r="I267" s="80">
        <v>3000.0</v>
      </c>
      <c r="J267" s="81"/>
      <c r="K267" s="79" t="s">
        <v>111</v>
      </c>
      <c r="L267" s="80">
        <v>41.0</v>
      </c>
      <c r="M267" s="79" t="s">
        <v>3015</v>
      </c>
      <c r="N267" s="79" t="s">
        <v>3016</v>
      </c>
      <c r="O267" s="79" t="s">
        <v>3017</v>
      </c>
      <c r="P267" s="83">
        <v>42143.0</v>
      </c>
      <c r="Q267" s="81" t="s">
        <v>3018</v>
      </c>
      <c r="R267" s="86" t="str">
        <f>HYPERLINK("http://energistarakentamista.com/2015/05/19/granlund-host-finlands-first-ever-behaviour-change-hackathon-5-tips-to-reduce-building-user-energy-consumption/","http://energistarakentamista.com/2015/05/19/granlund-host-finlands-first-ever-behaviour-change-hackathon-5-tips-to-reduce-building-user-energy-consumption/")</f>
        <v>http://energistarakentamista.com/2015/05/19/granlund-host-finlands-first-ever-behaviour-change-hackathon-5-tips-to-reduce-building-user-energy-consumption/</v>
      </c>
      <c r="S267" s="81"/>
      <c r="T267" s="81" t="s">
        <v>462</v>
      </c>
      <c r="U267" s="81" t="s">
        <v>462</v>
      </c>
      <c r="V267" s="81" t="s">
        <v>676</v>
      </c>
      <c r="W267" s="81" t="s">
        <v>769</v>
      </c>
      <c r="X267" s="81" t="s">
        <v>3023</v>
      </c>
      <c r="Y267" s="88">
        <v>42144.0</v>
      </c>
      <c r="Z267" s="88">
        <v>42549.0</v>
      </c>
      <c r="AA267" s="81"/>
      <c r="AB267" s="81"/>
      <c r="AC267" s="88"/>
      <c r="AD267" s="81"/>
      <c r="AE267" s="81"/>
      <c r="AF267" s="81"/>
      <c r="AG267" s="81"/>
      <c r="AH267" s="81"/>
      <c r="AI267" s="81"/>
      <c r="AJ267" s="81" t="s">
        <v>678</v>
      </c>
      <c r="AK267" s="79"/>
      <c r="AL267" s="79"/>
    </row>
    <row r="268" ht="22.5" customHeight="1">
      <c r="A268" s="79">
        <v>10266.0</v>
      </c>
      <c r="B268" s="79" t="s">
        <v>1230</v>
      </c>
      <c r="C268" s="79" t="s">
        <v>238</v>
      </c>
      <c r="D268" s="79" t="s">
        <v>64</v>
      </c>
      <c r="E268" s="79" t="s">
        <v>3013</v>
      </c>
      <c r="F268" s="80" t="s">
        <v>3014</v>
      </c>
      <c r="G268" s="81"/>
      <c r="H268" s="79" t="s">
        <v>470</v>
      </c>
      <c r="I268" s="80">
        <v>3000.0</v>
      </c>
      <c r="J268" s="81"/>
      <c r="K268" s="79" t="s">
        <v>289</v>
      </c>
      <c r="L268" s="80">
        <v>40.0</v>
      </c>
      <c r="M268" s="79" t="s">
        <v>3087</v>
      </c>
      <c r="N268" s="79" t="s">
        <v>3088</v>
      </c>
      <c r="O268" s="79" t="s">
        <v>3089</v>
      </c>
      <c r="P268" s="83">
        <v>42063.0</v>
      </c>
      <c r="Q268" s="81" t="s">
        <v>3090</v>
      </c>
      <c r="R268" s="86" t="str">
        <f>HYPERLINK("http://energyefficiencymarkets.com/people-power-pilot-yields-10-energy-savings-changing-behavior/","http://energyefficiencymarkets.com/people-power-pilot-yields-10-energy-savings-changing-behavior/")</f>
        <v>http://energyefficiencymarkets.com/people-power-pilot-yields-10-energy-savings-changing-behavior/</v>
      </c>
      <c r="S268" s="81" t="s">
        <v>3097</v>
      </c>
      <c r="T268" s="81" t="s">
        <v>3098</v>
      </c>
      <c r="U268" s="81" t="s">
        <v>3099</v>
      </c>
      <c r="V268" s="81"/>
      <c r="W268" s="81" t="s">
        <v>600</v>
      </c>
      <c r="X268" s="81" t="s">
        <v>3100</v>
      </c>
      <c r="Y268" s="88">
        <v>42069.0</v>
      </c>
      <c r="Z268" s="106" t="str">
        <f>HYPERLINK("http://t.co/CWeAgqLXbX","http://bit.ly/1F2hONV ")</f>
        <v>http://bit.ly/1F2hONV </v>
      </c>
      <c r="AA268" s="81" t="s">
        <v>769</v>
      </c>
      <c r="AB268" s="81"/>
      <c r="AC268" s="88">
        <v>42104.0</v>
      </c>
      <c r="AD268" s="81" t="s">
        <v>2035</v>
      </c>
      <c r="AE268" s="81"/>
      <c r="AF268" s="81"/>
      <c r="AG268" s="81"/>
      <c r="AH268" s="81" t="s">
        <v>428</v>
      </c>
      <c r="AI268" s="81"/>
      <c r="AJ268" s="81" t="s">
        <v>678</v>
      </c>
      <c r="AK268" s="79"/>
      <c r="AL268" s="79"/>
    </row>
    <row r="269" ht="22.5" customHeight="1">
      <c r="A269" s="79">
        <v>10267.0</v>
      </c>
      <c r="B269" s="79" t="s">
        <v>1230</v>
      </c>
      <c r="C269" s="79" t="s">
        <v>238</v>
      </c>
      <c r="D269" s="79" t="s">
        <v>64</v>
      </c>
      <c r="E269" s="79" t="s">
        <v>3013</v>
      </c>
      <c r="F269" s="80" t="s">
        <v>3014</v>
      </c>
      <c r="G269" s="81"/>
      <c r="H269" s="79" t="s">
        <v>224</v>
      </c>
      <c r="I269" s="80"/>
      <c r="J269" s="81"/>
      <c r="K269" s="79" t="s">
        <v>289</v>
      </c>
      <c r="L269" s="80">
        <v>40.0</v>
      </c>
      <c r="M269" s="79" t="s">
        <v>3919</v>
      </c>
      <c r="N269" s="79" t="s">
        <v>3920</v>
      </c>
      <c r="O269" s="79" t="s">
        <v>1325</v>
      </c>
      <c r="P269" s="83">
        <v>42021.0</v>
      </c>
      <c r="Q269" s="81" t="s">
        <v>3921</v>
      </c>
      <c r="R269" s="86" t="str">
        <f>HYPERLINK("http://www.nytimes.com/2015/01/18/upshot/helping-the-poor-in-higher-education-the-power-of-a-simple-nudge.html?smid=fb-nytimes&amp;smtyp=cur&amp;bicmp=AD&amp;bicmlukp=WT.mc_id&amp;bicmst=1409232722000&amp;bicmet=1419773522000&amp;abt=0002&amp;abg=0","http://www.nytimes.com/2015/01/18/upshot/helping-the-poor-in-higher-education-the-power-of-a-simple-nudge.html?smid=fb-nytimes&amp;smtyp=cur&amp;bicmp=AD&amp;bicmlukp=WT.mc_id&amp;bicmst=1409232722000&amp;bicmet=1419773522000&amp;abt=0002&amp;abg=0")</f>
        <v>http://www.nytimes.com/2015/01/18/upshot/helping-the-poor-in-higher-education-the-power-of-a-simple-nudge.html?smid=fb-nytimes&amp;smtyp=cur&amp;bicmp=AD&amp;bicmlukp=WT.mc_id&amp;bicmst=1409232722000&amp;bicmet=1419773522000&amp;abt=0002&amp;abg=0</v>
      </c>
      <c r="S269" s="81" t="s">
        <v>3928</v>
      </c>
      <c r="T269" s="81" t="s">
        <v>462</v>
      </c>
      <c r="U269" s="81" t="s">
        <v>462</v>
      </c>
      <c r="V269" s="81" t="s">
        <v>978</v>
      </c>
      <c r="W269" s="81" t="s">
        <v>677</v>
      </c>
      <c r="X269" s="81"/>
      <c r="Y269" s="88"/>
      <c r="Z269" s="81"/>
      <c r="AA269" s="81"/>
      <c r="AB269" s="81"/>
      <c r="AC269" s="88"/>
      <c r="AD269" s="81"/>
      <c r="AE269" s="81"/>
      <c r="AF269" s="81"/>
      <c r="AG269" s="81"/>
      <c r="AH269" s="81"/>
      <c r="AI269" s="81"/>
      <c r="AJ269" s="81" t="s">
        <v>678</v>
      </c>
      <c r="AK269" s="79"/>
      <c r="AL269" s="79"/>
    </row>
    <row r="270" ht="22.5" customHeight="1">
      <c r="A270" s="79">
        <v>10268.0</v>
      </c>
      <c r="B270" s="79" t="s">
        <v>1230</v>
      </c>
      <c r="C270" s="79" t="s">
        <v>238</v>
      </c>
      <c r="D270" s="79" t="s">
        <v>64</v>
      </c>
      <c r="E270" s="79" t="s">
        <v>3930</v>
      </c>
      <c r="F270" s="80" t="s">
        <v>467</v>
      </c>
      <c r="G270" s="81"/>
      <c r="H270" s="79" t="s">
        <v>224</v>
      </c>
      <c r="I270" s="80"/>
      <c r="J270" s="81"/>
      <c r="K270" s="79" t="s">
        <v>687</v>
      </c>
      <c r="L270" s="80" t="s">
        <v>688</v>
      </c>
      <c r="M270" s="79" t="s">
        <v>3934</v>
      </c>
      <c r="N270" s="79" t="s">
        <v>3936</v>
      </c>
      <c r="O270" s="79" t="s">
        <v>1430</v>
      </c>
      <c r="P270" s="83">
        <v>42009.0</v>
      </c>
      <c r="Q270" s="81" t="s">
        <v>3938</v>
      </c>
      <c r="R270" s="86" t="str">
        <f>HYPERLINK("http://www.npr.org/blogs/health/2015/01/05/371894919/what-heroin-addiction-tells-us-about-changing-bad-habits?utm_source=facebook.com&amp;utm_medium=social&amp;utm_campaign=npr&amp;utm_term=nprnews&amp;utm_content=20150105","http://www.npr.org/blogs/health/2015/01/05/371894919/what-heroin-addiction-tells-us-about-changing-bad-habits?utm_source=facebook.com&amp;utm_medium=social&amp;utm_campaign=npr&amp;utm_term=nprnews&amp;utm_content=20150105")</f>
        <v>http://www.npr.org/blogs/health/2015/01/05/371894919/what-heroin-addiction-tells-us-about-changing-bad-habits?utm_source=facebook.com&amp;utm_medium=social&amp;utm_campaign=npr&amp;utm_term=nprnews&amp;utm_content=20150105</v>
      </c>
      <c r="S270" s="81"/>
      <c r="T270" s="81" t="s">
        <v>3942</v>
      </c>
      <c r="U270" s="81" t="s">
        <v>3942</v>
      </c>
      <c r="V270" s="81"/>
      <c r="W270" s="81" t="s">
        <v>677</v>
      </c>
      <c r="X270" s="81"/>
      <c r="Y270" s="88"/>
      <c r="Z270" s="81"/>
      <c r="AA270" s="81"/>
      <c r="AB270" s="81"/>
      <c r="AC270" s="88"/>
      <c r="AD270" s="81"/>
      <c r="AE270" s="81"/>
      <c r="AF270" s="81"/>
      <c r="AG270" s="81"/>
      <c r="AH270" s="81"/>
      <c r="AI270" s="81"/>
      <c r="AJ270" s="81"/>
      <c r="AK270" s="79"/>
      <c r="AL270" s="79"/>
    </row>
    <row r="271" ht="22.5" customHeight="1">
      <c r="A271" s="79">
        <v>10269.0</v>
      </c>
      <c r="B271" s="79" t="s">
        <v>1230</v>
      </c>
      <c r="C271" s="79" t="s">
        <v>238</v>
      </c>
      <c r="D271" s="79" t="s">
        <v>64</v>
      </c>
      <c r="E271" s="79" t="s">
        <v>3930</v>
      </c>
      <c r="F271" s="80" t="s">
        <v>467</v>
      </c>
      <c r="G271" s="81"/>
      <c r="H271" s="79" t="s">
        <v>224</v>
      </c>
      <c r="I271" s="80"/>
      <c r="J271" s="81"/>
      <c r="K271" s="79" t="s">
        <v>289</v>
      </c>
      <c r="L271" s="80">
        <v>40.0</v>
      </c>
      <c r="M271" s="79" t="s">
        <v>3943</v>
      </c>
      <c r="N271" s="79" t="s">
        <v>3944</v>
      </c>
      <c r="O271" s="79" t="s">
        <v>1430</v>
      </c>
      <c r="P271" s="83">
        <v>40973.0</v>
      </c>
      <c r="Q271" s="81" t="s">
        <v>3945</v>
      </c>
      <c r="R271" s="86" t="str">
        <f>HYPERLINK("http://www.npr.org/2012/03/05/147192599/habits-how-they-form-and-how-to-break-them","http://www.npr.org/2012/03/05/147192599/habits-how-they-form-and-how-to-break-them")</f>
        <v>http://www.npr.org/2012/03/05/147192599/habits-how-they-form-and-how-to-break-them</v>
      </c>
      <c r="S271" s="81"/>
      <c r="T271" s="81" t="s">
        <v>3946</v>
      </c>
      <c r="U271" s="81" t="s">
        <v>3947</v>
      </c>
      <c r="V271" s="81"/>
      <c r="W271" s="81" t="s">
        <v>677</v>
      </c>
      <c r="X271" s="81"/>
      <c r="Y271" s="88"/>
      <c r="Z271" s="81"/>
      <c r="AA271" s="81"/>
      <c r="AB271" s="81"/>
      <c r="AC271" s="88"/>
      <c r="AD271" s="81"/>
      <c r="AE271" s="81"/>
      <c r="AF271" s="81"/>
      <c r="AG271" s="81"/>
      <c r="AH271" s="81"/>
      <c r="AI271" s="81"/>
      <c r="AJ271" s="81"/>
      <c r="AK271" s="79"/>
      <c r="AL271" s="79"/>
    </row>
    <row r="272" ht="22.5" customHeight="1">
      <c r="A272" s="79">
        <v>10270.0</v>
      </c>
      <c r="B272" s="79" t="s">
        <v>1230</v>
      </c>
      <c r="C272" s="79" t="s">
        <v>238</v>
      </c>
      <c r="D272" s="79" t="s">
        <v>64</v>
      </c>
      <c r="E272" s="79" t="s">
        <v>2664</v>
      </c>
      <c r="F272" s="80" t="s">
        <v>2666</v>
      </c>
      <c r="G272" s="81"/>
      <c r="H272" s="79" t="s">
        <v>1203</v>
      </c>
      <c r="I272" s="80">
        <v>21000.0</v>
      </c>
      <c r="J272" s="81"/>
      <c r="K272" s="79" t="s">
        <v>111</v>
      </c>
      <c r="L272" s="80">
        <v>41.0</v>
      </c>
      <c r="M272" s="79" t="s">
        <v>3948</v>
      </c>
      <c r="N272" s="79" t="s">
        <v>3949</v>
      </c>
      <c r="O272" s="79" t="s">
        <v>3950</v>
      </c>
      <c r="P272" s="83">
        <v>41542.0</v>
      </c>
      <c r="Q272" s="81" t="s">
        <v>3951</v>
      </c>
      <c r="R272" s="86" t="str">
        <f>HYPERLINK("http://www.zerowasteeurope.eu/2013/09/the-story-of-capannori-a-zero-waste-champion/","http://www.zerowasteeurope.eu/2013/09/the-story-of-capannori-a-zero-waste-champion/")</f>
        <v>http://www.zerowasteeurope.eu/2013/09/the-story-of-capannori-a-zero-waste-champion/</v>
      </c>
      <c r="S272" s="81"/>
      <c r="T272" s="81" t="s">
        <v>428</v>
      </c>
      <c r="U272" s="81" t="s">
        <v>428</v>
      </c>
      <c r="V272" s="81"/>
      <c r="W272" s="81" t="s">
        <v>769</v>
      </c>
      <c r="X272" s="81" t="s">
        <v>3957</v>
      </c>
      <c r="Y272" s="88">
        <v>42432.0</v>
      </c>
      <c r="Z272" s="81"/>
      <c r="AA272" s="81"/>
      <c r="AB272" s="81"/>
      <c r="AC272" s="88"/>
      <c r="AD272" s="81"/>
      <c r="AE272" s="81"/>
      <c r="AF272" s="81"/>
      <c r="AG272" s="81"/>
      <c r="AH272" s="81"/>
      <c r="AI272" s="81"/>
      <c r="AJ272" s="81" t="s">
        <v>2670</v>
      </c>
      <c r="AK272" s="79"/>
      <c r="AL272" s="79"/>
    </row>
    <row r="273" ht="22.5" customHeight="1">
      <c r="A273" s="79">
        <v>10271.0</v>
      </c>
      <c r="B273" s="79" t="s">
        <v>1230</v>
      </c>
      <c r="C273" s="79" t="s">
        <v>238</v>
      </c>
      <c r="D273" s="79" t="s">
        <v>64</v>
      </c>
      <c r="E273" s="79" t="s">
        <v>2664</v>
      </c>
      <c r="F273" s="80" t="s">
        <v>2666</v>
      </c>
      <c r="G273" s="81"/>
      <c r="H273" s="79" t="s">
        <v>470</v>
      </c>
      <c r="I273" s="80">
        <v>3000.0</v>
      </c>
      <c r="J273" s="81"/>
      <c r="K273" s="79" t="s">
        <v>289</v>
      </c>
      <c r="L273" s="80">
        <v>40.0</v>
      </c>
      <c r="M273" s="79" t="s">
        <v>3958</v>
      </c>
      <c r="N273" s="79" t="s">
        <v>3959</v>
      </c>
      <c r="O273" s="79" t="s">
        <v>3960</v>
      </c>
      <c r="P273" s="83">
        <v>41108.0</v>
      </c>
      <c r="Q273" s="81" t="s">
        <v>1193</v>
      </c>
      <c r="R273" s="86" t="str">
        <f>HYPERLINK("http://rosslandtelegraph.com/news/rosslands-energy-diet-sparks-trend-20048#.VdLqKzZRHIV","http://rosslandtelegraph.com/news/rosslands-energy-diet-sparks-trend-20048#.VdLqKzZRHIV")</f>
        <v>http://rosslandtelegraph.com/news/rosslands-energy-diet-sparks-trend-20048#.VdLqKzZRHIV</v>
      </c>
      <c r="S273" s="81"/>
      <c r="T273" s="81" t="s">
        <v>428</v>
      </c>
      <c r="U273" s="81" t="s">
        <v>462</v>
      </c>
      <c r="V273" s="81"/>
      <c r="W273" s="81" t="s">
        <v>600</v>
      </c>
      <c r="X273" s="81"/>
      <c r="Y273" s="81"/>
      <c r="Z273" s="81"/>
      <c r="AA273" s="81"/>
      <c r="AB273" s="81"/>
      <c r="AC273" s="81"/>
      <c r="AD273" s="81"/>
      <c r="AE273" s="81"/>
      <c r="AF273" s="81"/>
      <c r="AG273" s="81"/>
      <c r="AH273" s="81"/>
      <c r="AI273" s="81"/>
      <c r="AJ273" s="81" t="s">
        <v>2670</v>
      </c>
      <c r="AK273" s="79"/>
      <c r="AL273" s="79"/>
    </row>
    <row r="274" ht="22.5" customHeight="1">
      <c r="A274" s="79">
        <v>10272.0</v>
      </c>
      <c r="B274" s="79" t="s">
        <v>1230</v>
      </c>
      <c r="C274" s="79" t="s">
        <v>238</v>
      </c>
      <c r="D274" s="79" t="s">
        <v>64</v>
      </c>
      <c r="E274" s="79" t="s">
        <v>2664</v>
      </c>
      <c r="F274" s="80" t="s">
        <v>2666</v>
      </c>
      <c r="G274" s="81"/>
      <c r="H274" s="79" t="s">
        <v>644</v>
      </c>
      <c r="I274" s="80">
        <v>2000.0</v>
      </c>
      <c r="J274" s="81"/>
      <c r="K274" s="79" t="s">
        <v>289</v>
      </c>
      <c r="L274" s="80">
        <v>40.0</v>
      </c>
      <c r="M274" s="94" t="s">
        <v>2669</v>
      </c>
      <c r="N274" s="79" t="s">
        <v>1548</v>
      </c>
      <c r="O274" s="79" t="s">
        <v>1550</v>
      </c>
      <c r="P274" s="83">
        <v>42312.0</v>
      </c>
      <c r="Q274" s="81" t="s">
        <v>2671</v>
      </c>
      <c r="R274" s="86" t="str">
        <f>HYPERLINK("http://ecoaffect.org/2015/11/04/looking-back-on-50-years-of-climate-communications-where-are-we-now/","http://ecoaffect.org/2015/11/04/looking-back-on-50-years-of-climate-communications-where-are-we-now/")</f>
        <v>http://ecoaffect.org/2015/11/04/looking-back-on-50-years-of-climate-communications-where-are-we-now/</v>
      </c>
      <c r="S274" s="81"/>
      <c r="T274" s="81"/>
      <c r="U274" s="81"/>
      <c r="V274" s="81"/>
      <c r="W274" s="81" t="s">
        <v>428</v>
      </c>
      <c r="X274" s="81" t="s">
        <v>2678</v>
      </c>
      <c r="Y274" s="88">
        <v>42650.0</v>
      </c>
      <c r="Z274" s="81"/>
      <c r="AA274" s="81"/>
      <c r="AB274" s="81"/>
      <c r="AC274" s="81"/>
      <c r="AD274" s="81"/>
      <c r="AE274" s="81"/>
      <c r="AF274" s="81"/>
      <c r="AG274" s="81"/>
      <c r="AH274" s="81"/>
      <c r="AI274" s="81" t="s">
        <v>428</v>
      </c>
      <c r="AJ274" s="81" t="s">
        <v>2670</v>
      </c>
      <c r="AK274" s="79"/>
      <c r="AL274" s="79"/>
    </row>
    <row r="275" ht="22.5" customHeight="1">
      <c r="A275" s="79">
        <v>10273.0</v>
      </c>
      <c r="B275" s="79" t="s">
        <v>1230</v>
      </c>
      <c r="C275" s="79" t="s">
        <v>238</v>
      </c>
      <c r="D275" s="79" t="s">
        <v>64</v>
      </c>
      <c r="E275" s="79" t="s">
        <v>2664</v>
      </c>
      <c r="F275" s="80" t="s">
        <v>2666</v>
      </c>
      <c r="G275" s="81"/>
      <c r="H275" s="79" t="s">
        <v>224</v>
      </c>
      <c r="I275" s="80"/>
      <c r="J275" s="81"/>
      <c r="K275" s="79" t="s">
        <v>289</v>
      </c>
      <c r="L275" s="80">
        <v>40.0</v>
      </c>
      <c r="M275" s="79" t="s">
        <v>3973</v>
      </c>
      <c r="N275" s="79" t="s">
        <v>3974</v>
      </c>
      <c r="O275" s="79" t="s">
        <v>3975</v>
      </c>
      <c r="P275" s="83">
        <v>42077.0</v>
      </c>
      <c r="Q275" s="81" t="s">
        <v>3977</v>
      </c>
      <c r="R275" s="86" t="str">
        <f>HYPERLINK("http://www.searchenginejournal.com/7-principles-changing-behavior-danielpink-sxswi-2015-recap/128239/","http://www.searchenginejournal.com/7-principles-changing-behavior-danielpink-sxswi-2015-recap/128239/")</f>
        <v>http://www.searchenginejournal.com/7-principles-changing-behavior-danielpink-sxswi-2015-recap/128239/</v>
      </c>
      <c r="S275" s="81"/>
      <c r="T275" s="81" t="s">
        <v>462</v>
      </c>
      <c r="U275" s="81" t="s">
        <v>462</v>
      </c>
      <c r="V275" s="81" t="s">
        <v>676</v>
      </c>
      <c r="W275" s="81" t="s">
        <v>1659</v>
      </c>
      <c r="X275" s="81"/>
      <c r="Y275" s="88"/>
      <c r="Z275" s="81"/>
      <c r="AA275" s="81" t="s">
        <v>769</v>
      </c>
      <c r="AB275" s="81"/>
      <c r="AC275" s="88">
        <v>42127.0</v>
      </c>
      <c r="AD275" s="81"/>
      <c r="AE275" s="81"/>
      <c r="AF275" s="81"/>
      <c r="AG275" s="81"/>
      <c r="AH275" s="81"/>
      <c r="AI275" s="81"/>
      <c r="AJ275" s="81" t="s">
        <v>731</v>
      </c>
      <c r="AK275" s="79"/>
      <c r="AL275" s="79"/>
    </row>
    <row r="276" ht="22.5" customHeight="1">
      <c r="A276" s="79">
        <v>10274.0</v>
      </c>
      <c r="B276" s="79" t="s">
        <v>1230</v>
      </c>
      <c r="C276" s="79" t="s">
        <v>238</v>
      </c>
      <c r="D276" s="79" t="s">
        <v>64</v>
      </c>
      <c r="E276" s="79" t="s">
        <v>2664</v>
      </c>
      <c r="F276" s="80" t="s">
        <v>2666</v>
      </c>
      <c r="G276" s="81"/>
      <c r="H276" s="79" t="s">
        <v>470</v>
      </c>
      <c r="I276" s="80">
        <v>3000.0</v>
      </c>
      <c r="J276" s="81"/>
      <c r="K276" s="79" t="s">
        <v>111</v>
      </c>
      <c r="L276" s="80">
        <v>41.0</v>
      </c>
      <c r="M276" s="79" t="s">
        <v>3978</v>
      </c>
      <c r="N276" s="79" t="s">
        <v>3980</v>
      </c>
      <c r="O276" s="79" t="s">
        <v>1281</v>
      </c>
      <c r="P276" s="83">
        <v>40935.0</v>
      </c>
      <c r="Q276" s="81" t="s">
        <v>3983</v>
      </c>
      <c r="R276" s="86" t="str">
        <f>HYPERLINK("http://www.theguardian.com/sustainable-business/behaviour-change-energy-consumption?newsfeed=true","http://www.theguardian.com/sustainable-business/behaviour-change-energy-consumption?newsfeed=true")</f>
        <v>http://www.theguardian.com/sustainable-business/behaviour-change-energy-consumption?newsfeed=true</v>
      </c>
      <c r="S276" s="81" t="s">
        <v>3985</v>
      </c>
      <c r="T276" s="81" t="s">
        <v>3987</v>
      </c>
      <c r="U276" s="81" t="s">
        <v>3991</v>
      </c>
      <c r="V276" s="81"/>
      <c r="W276" s="81" t="s">
        <v>769</v>
      </c>
      <c r="X276" s="88" t="s">
        <v>3994</v>
      </c>
      <c r="Y276" s="88">
        <v>42423.0</v>
      </c>
      <c r="Z276" s="88">
        <v>42607.0</v>
      </c>
      <c r="AA276" s="81"/>
      <c r="AB276" s="81"/>
      <c r="AC276" s="81"/>
      <c r="AD276" s="81"/>
      <c r="AE276" s="81"/>
      <c r="AF276" s="81"/>
      <c r="AG276" s="81"/>
      <c r="AH276" s="81"/>
      <c r="AI276" s="81"/>
      <c r="AJ276" s="81" t="s">
        <v>3996</v>
      </c>
      <c r="AK276" s="79"/>
      <c r="AL276" s="79"/>
    </row>
    <row r="277" ht="22.5" customHeight="1">
      <c r="A277" s="79">
        <v>10275.0</v>
      </c>
      <c r="B277" s="79" t="s">
        <v>1230</v>
      </c>
      <c r="C277" s="79" t="s">
        <v>238</v>
      </c>
      <c r="D277" s="79" t="s">
        <v>64</v>
      </c>
      <c r="E277" s="79" t="s">
        <v>3997</v>
      </c>
      <c r="F277" s="80" t="s">
        <v>3998</v>
      </c>
      <c r="G277" s="81"/>
      <c r="H277" s="79" t="s">
        <v>470</v>
      </c>
      <c r="I277" s="80">
        <v>3000.0</v>
      </c>
      <c r="J277" s="81"/>
      <c r="K277" s="79" t="s">
        <v>111</v>
      </c>
      <c r="L277" s="80">
        <v>41.0</v>
      </c>
      <c r="M277" s="79" t="s">
        <v>99</v>
      </c>
      <c r="N277" s="79" t="s">
        <v>4000</v>
      </c>
      <c r="O277" s="79" t="s">
        <v>3850</v>
      </c>
      <c r="P277" s="83">
        <v>41659.0</v>
      </c>
      <c r="Q277" s="81" t="s">
        <v>4005</v>
      </c>
      <c r="R277" s="86" t="str">
        <f>HYPERLINK("http://inudgeyou.com/click/","http://inudgeyou.com/click/")</f>
        <v>http://inudgeyou.com/click/</v>
      </c>
      <c r="S277" s="81"/>
      <c r="T277" s="81" t="s">
        <v>428</v>
      </c>
      <c r="U277" s="81" t="s">
        <v>4012</v>
      </c>
      <c r="V277" s="81">
        <v>1.0</v>
      </c>
      <c r="W277" s="81" t="s">
        <v>769</v>
      </c>
      <c r="X277" s="81" t="s">
        <v>4013</v>
      </c>
      <c r="Y277" s="88">
        <v>42326.0</v>
      </c>
      <c r="Z277" s="88">
        <v>42611.0</v>
      </c>
      <c r="AA277" s="81" t="s">
        <v>769</v>
      </c>
      <c r="AB277" s="81"/>
      <c r="AC277" s="88">
        <v>42489.0</v>
      </c>
      <c r="AD277" s="81"/>
      <c r="AE277" s="81"/>
      <c r="AF277" s="81"/>
      <c r="AG277" s="81"/>
      <c r="AH277" s="81"/>
      <c r="AI277" s="81"/>
      <c r="AJ277" s="81"/>
      <c r="AK277" s="79"/>
      <c r="AL277" s="79"/>
    </row>
    <row r="278" ht="22.5" customHeight="1">
      <c r="A278" s="79">
        <v>10276.0</v>
      </c>
      <c r="B278" s="79" t="s">
        <v>1230</v>
      </c>
      <c r="C278" s="79" t="s">
        <v>238</v>
      </c>
      <c r="D278" s="79" t="s">
        <v>64</v>
      </c>
      <c r="E278" s="79" t="s">
        <v>4014</v>
      </c>
      <c r="F278" s="80" t="s">
        <v>4015</v>
      </c>
      <c r="G278" s="81"/>
      <c r="H278" s="79" t="s">
        <v>224</v>
      </c>
      <c r="I278" s="80"/>
      <c r="J278" s="81"/>
      <c r="K278" s="79" t="s">
        <v>111</v>
      </c>
      <c r="L278" s="80">
        <v>41.0</v>
      </c>
      <c r="M278" s="79" t="s">
        <v>4016</v>
      </c>
      <c r="N278" s="79" t="s">
        <v>4017</v>
      </c>
      <c r="O278" s="79" t="s">
        <v>1281</v>
      </c>
      <c r="P278" s="83">
        <v>41915.0</v>
      </c>
      <c r="Q278" s="81" t="s">
        <v>4018</v>
      </c>
      <c r="R278" s="86" t="str">
        <f>HYPERLINK("http://www.theguardian.com/sustainable-business/2014/oct/03/real-time-advertising-persuade-people-recycle","http://www.theguardian.com/sustainable-business/2014/oct/03/real-time-advertising-persuade-people-recycle")</f>
        <v>http://www.theguardian.com/sustainable-business/2014/oct/03/real-time-advertising-persuade-people-recycle</v>
      </c>
      <c r="S278" s="81"/>
      <c r="T278" s="81" t="s">
        <v>462</v>
      </c>
      <c r="U278" s="81" t="s">
        <v>462</v>
      </c>
      <c r="V278" s="81" t="s">
        <v>676</v>
      </c>
      <c r="W278" s="81" t="s">
        <v>600</v>
      </c>
      <c r="X278" s="81"/>
      <c r="Y278" s="88"/>
      <c r="Z278" s="81"/>
      <c r="AA278" s="81" t="s">
        <v>769</v>
      </c>
      <c r="AB278" s="81"/>
      <c r="AC278" s="88">
        <v>42103.0</v>
      </c>
      <c r="AD278" s="81"/>
      <c r="AE278" s="81"/>
      <c r="AF278" s="81"/>
      <c r="AG278" s="81"/>
      <c r="AH278" s="81"/>
      <c r="AI278" s="81"/>
      <c r="AJ278" s="81"/>
      <c r="AK278" s="79"/>
      <c r="AL278" s="79"/>
    </row>
    <row r="279" ht="22.5" customHeight="1">
      <c r="A279" s="79">
        <v>10277.0</v>
      </c>
      <c r="B279" s="79" t="s">
        <v>1230</v>
      </c>
      <c r="C279" s="79" t="s">
        <v>238</v>
      </c>
      <c r="D279" s="79" t="s">
        <v>64</v>
      </c>
      <c r="E279" s="79" t="s">
        <v>4014</v>
      </c>
      <c r="F279" s="80" t="s">
        <v>4015</v>
      </c>
      <c r="G279" s="81"/>
      <c r="H279" s="79" t="s">
        <v>470</v>
      </c>
      <c r="I279" s="80">
        <v>3000.0</v>
      </c>
      <c r="J279" s="81"/>
      <c r="K279" s="79" t="s">
        <v>111</v>
      </c>
      <c r="L279" s="80">
        <v>41.0</v>
      </c>
      <c r="M279" s="79" t="s">
        <v>4028</v>
      </c>
      <c r="N279" s="79" t="s">
        <v>4029</v>
      </c>
      <c r="O279" s="79" t="s">
        <v>1281</v>
      </c>
      <c r="P279" s="83">
        <v>41921.0</v>
      </c>
      <c r="Q279" s="81"/>
      <c r="R279" s="86" t="str">
        <f>HYPERLINK("http://www.theguardian.com/sustainable-business/behavioural-insights/2014/oct/09/eco-laundry-sustainable-washing-machines","http://www.theguardian.com/sustainable-business/behavioural-insights/2014/oct/09/eco-laundry-sustainable-washing-machines")</f>
        <v>http://www.theguardian.com/sustainable-business/behavioural-insights/2014/oct/09/eco-laundry-sustainable-washing-machines</v>
      </c>
      <c r="S279" s="81"/>
      <c r="T279" s="81" t="s">
        <v>462</v>
      </c>
      <c r="U279" s="81" t="s">
        <v>462</v>
      </c>
      <c r="V279" s="81" t="s">
        <v>676</v>
      </c>
      <c r="W279" s="81" t="s">
        <v>600</v>
      </c>
      <c r="X279" s="81"/>
      <c r="Y279" s="88"/>
      <c r="Z279" s="81"/>
      <c r="AA279" s="81"/>
      <c r="AB279" s="81"/>
      <c r="AC279" s="88"/>
      <c r="AD279" s="81"/>
      <c r="AE279" s="81"/>
      <c r="AF279" s="81"/>
      <c r="AG279" s="81"/>
      <c r="AH279" s="81"/>
      <c r="AI279" s="81"/>
      <c r="AJ279" s="81"/>
      <c r="AK279" s="79"/>
      <c r="AL279" s="79"/>
    </row>
    <row r="280" ht="22.5" customHeight="1">
      <c r="A280" s="79">
        <v>10278.0</v>
      </c>
      <c r="B280" s="79" t="s">
        <v>1230</v>
      </c>
      <c r="C280" s="79" t="s">
        <v>238</v>
      </c>
      <c r="D280" s="79" t="s">
        <v>64</v>
      </c>
      <c r="E280" s="79" t="s">
        <v>743</v>
      </c>
      <c r="F280" s="80" t="s">
        <v>744</v>
      </c>
      <c r="G280" s="81"/>
      <c r="H280" s="79" t="s">
        <v>224</v>
      </c>
      <c r="I280" s="80"/>
      <c r="J280" s="81"/>
      <c r="K280" s="79" t="s">
        <v>111</v>
      </c>
      <c r="L280" s="80">
        <v>41.0</v>
      </c>
      <c r="M280" s="79" t="s">
        <v>4037</v>
      </c>
      <c r="N280" s="79" t="s">
        <v>784</v>
      </c>
      <c r="O280" s="79" t="s">
        <v>4038</v>
      </c>
      <c r="P280" s="83"/>
      <c r="Q280" s="81" t="s">
        <v>4039</v>
      </c>
      <c r="R280" s="86" t="str">
        <f>HYPERLINK("https://worksthatwork.com/1/urinal-fly","https://worksthatwork.com/1/urinal-fly")</f>
        <v>https://worksthatwork.com/1/urinal-fly</v>
      </c>
      <c r="S280" s="81"/>
      <c r="T280" s="81" t="s">
        <v>428</v>
      </c>
      <c r="U280" s="81" t="s">
        <v>462</v>
      </c>
      <c r="V280" s="81"/>
      <c r="W280" s="81" t="s">
        <v>769</v>
      </c>
      <c r="X280" s="81" t="s">
        <v>4043</v>
      </c>
      <c r="Y280" s="88">
        <v>42324.0</v>
      </c>
      <c r="Z280" s="88"/>
      <c r="AA280" s="81"/>
      <c r="AB280" s="81"/>
      <c r="AC280" s="81"/>
      <c r="AD280" s="81"/>
      <c r="AE280" s="81"/>
      <c r="AF280" s="81"/>
      <c r="AG280" s="81"/>
      <c r="AH280" s="81"/>
      <c r="AI280" s="81"/>
      <c r="AJ280" s="81"/>
      <c r="AK280" s="79"/>
      <c r="AL280" s="79"/>
    </row>
    <row r="281" ht="22.5" customHeight="1">
      <c r="A281" s="79">
        <v>10279.0</v>
      </c>
      <c r="B281" s="79" t="s">
        <v>1230</v>
      </c>
      <c r="C281" s="79" t="s">
        <v>238</v>
      </c>
      <c r="D281" s="79" t="s">
        <v>64</v>
      </c>
      <c r="E281" s="79" t="s">
        <v>743</v>
      </c>
      <c r="F281" s="80" t="s">
        <v>744</v>
      </c>
      <c r="G281" s="81"/>
      <c r="H281" s="79" t="s">
        <v>4046</v>
      </c>
      <c r="I281" s="80">
        <v>3000.0</v>
      </c>
      <c r="J281" s="81"/>
      <c r="K281" s="79" t="s">
        <v>111</v>
      </c>
      <c r="L281" s="80">
        <v>41.0</v>
      </c>
      <c r="M281" s="79" t="s">
        <v>4051</v>
      </c>
      <c r="N281" s="79" t="s">
        <v>4052</v>
      </c>
      <c r="O281" s="79" t="s">
        <v>3850</v>
      </c>
      <c r="P281" s="83">
        <v>42072.0</v>
      </c>
      <c r="Q281" s="81" t="s">
        <v>4053</v>
      </c>
      <c r="R281" s="86" t="str">
        <f>HYPERLINK("http://inudgeyou.com/nudge-for-reducing-junk-ads/","http://inudgeyou.com/nudge-for-reducing-junk-ads/")</f>
        <v>http://inudgeyou.com/nudge-for-reducing-junk-ads/</v>
      </c>
      <c r="S281" s="81" t="s">
        <v>4060</v>
      </c>
      <c r="T281" s="81" t="s">
        <v>462</v>
      </c>
      <c r="U281" s="81" t="s">
        <v>462</v>
      </c>
      <c r="V281" s="81"/>
      <c r="W281" s="81" t="s">
        <v>769</v>
      </c>
      <c r="X281" s="81" t="s">
        <v>4061</v>
      </c>
      <c r="Y281" s="88">
        <v>42170.0</v>
      </c>
      <c r="Z281" s="88">
        <v>42614.0</v>
      </c>
      <c r="AA281" s="81"/>
      <c r="AB281" s="81"/>
      <c r="AC281" s="88"/>
      <c r="AD281" s="81"/>
      <c r="AE281" s="81"/>
      <c r="AF281" s="81"/>
      <c r="AG281" s="81"/>
      <c r="AH281" s="81"/>
      <c r="AI281" s="81"/>
      <c r="AJ281" s="81"/>
      <c r="AK281" s="79"/>
      <c r="AL281" s="79"/>
    </row>
    <row r="282" ht="22.5" customHeight="1">
      <c r="A282" s="79">
        <v>10280.0</v>
      </c>
      <c r="B282" s="79" t="s">
        <v>1230</v>
      </c>
      <c r="C282" s="79" t="s">
        <v>238</v>
      </c>
      <c r="D282" s="79" t="s">
        <v>64</v>
      </c>
      <c r="E282" s="79" t="s">
        <v>743</v>
      </c>
      <c r="F282" s="80" t="s">
        <v>744</v>
      </c>
      <c r="G282" s="81"/>
      <c r="H282" s="79" t="s">
        <v>1203</v>
      </c>
      <c r="I282" s="80">
        <v>21000.0</v>
      </c>
      <c r="J282" s="81"/>
      <c r="K282" s="79" t="s">
        <v>111</v>
      </c>
      <c r="L282" s="80">
        <v>41.0</v>
      </c>
      <c r="M282" s="79" t="s">
        <v>4066</v>
      </c>
      <c r="N282" s="79" t="s">
        <v>501</v>
      </c>
      <c r="O282" s="79" t="s">
        <v>502</v>
      </c>
      <c r="P282" s="83">
        <v>42013.0</v>
      </c>
      <c r="Q282" s="81" t="s">
        <v>4070</v>
      </c>
      <c r="R282" s="86" t="str">
        <f>HYPERLINK("http://www.zerowastescotland.org.uk/content/edinburgh-%E2%80%98nudging%E2%80%99-success-recycling","http://www.zerowastescotland.org.uk/content/edinburgh-%E2%80%98nudging%E2%80%99-success-recycling")</f>
        <v>http://www.zerowastescotland.org.uk/content/edinburgh-%E2%80%98nudging%E2%80%99-success-recycling</v>
      </c>
      <c r="S282" s="81"/>
      <c r="T282" s="81" t="s">
        <v>2977</v>
      </c>
      <c r="U282" s="81" t="s">
        <v>2978</v>
      </c>
      <c r="V282" s="81"/>
      <c r="W282" s="81" t="s">
        <v>4072</v>
      </c>
      <c r="X282" s="81" t="s">
        <v>4073</v>
      </c>
      <c r="Y282" s="88">
        <v>42103.0</v>
      </c>
      <c r="Z282" s="96" t="str">
        <f>HYPERLINK("http://bit.ly/1BZKqpC","6/15/2016")</f>
        <v>6/15/2016</v>
      </c>
      <c r="AA282" s="81" t="s">
        <v>769</v>
      </c>
      <c r="AB282" s="81"/>
      <c r="AC282" s="88">
        <v>42097.0</v>
      </c>
      <c r="AD282" s="81"/>
      <c r="AE282" s="81"/>
      <c r="AF282" s="81"/>
      <c r="AG282" s="81"/>
      <c r="AH282" s="81"/>
      <c r="AI282" s="81"/>
      <c r="AJ282" s="81"/>
      <c r="AK282" s="79"/>
      <c r="AL282" s="79"/>
    </row>
    <row r="283" ht="22.5" customHeight="1">
      <c r="A283" s="79">
        <v>10281.0</v>
      </c>
      <c r="B283" s="79" t="s">
        <v>1230</v>
      </c>
      <c r="C283" s="79" t="s">
        <v>238</v>
      </c>
      <c r="D283" s="79" t="s">
        <v>64</v>
      </c>
      <c r="E283" s="79" t="s">
        <v>743</v>
      </c>
      <c r="F283" s="80" t="s">
        <v>744</v>
      </c>
      <c r="G283" s="81"/>
      <c r="H283" s="79" t="s">
        <v>1203</v>
      </c>
      <c r="I283" s="80">
        <v>21000.0</v>
      </c>
      <c r="J283" s="81"/>
      <c r="K283" s="79" t="s">
        <v>289</v>
      </c>
      <c r="L283" s="80">
        <v>40.0</v>
      </c>
      <c r="M283" s="79" t="s">
        <v>4080</v>
      </c>
      <c r="N283" s="79" t="s">
        <v>438</v>
      </c>
      <c r="O283" s="79" t="s">
        <v>3423</v>
      </c>
      <c r="P283" s="83">
        <v>39840.0</v>
      </c>
      <c r="Q283" s="81" t="s">
        <v>2643</v>
      </c>
      <c r="R283" s="86" t="str">
        <f>HYPERLINK("http://www.treehugger.com/clean-technology/recycling-bins-34-more-effective-when-they-haveholes.html","http://www.treehugger.com/clean-technology/recycling-bins-34-more-effective-when-they-haveholes.html")</f>
        <v>http://www.treehugger.com/clean-technology/recycling-bins-34-more-effective-when-they-haveholes.html</v>
      </c>
      <c r="S283" s="81"/>
      <c r="T283" s="81" t="s">
        <v>428</v>
      </c>
      <c r="U283" s="81" t="s">
        <v>462</v>
      </c>
      <c r="V283" s="81"/>
      <c r="W283" s="81" t="s">
        <v>769</v>
      </c>
      <c r="X283" s="81" t="s">
        <v>4085</v>
      </c>
      <c r="Y283" s="88">
        <v>42325.0</v>
      </c>
      <c r="Z283" s="88">
        <v>42607.0</v>
      </c>
      <c r="AA283" s="81" t="s">
        <v>769</v>
      </c>
      <c r="AB283" s="81"/>
      <c r="AC283" s="88"/>
      <c r="AD283" s="81"/>
      <c r="AE283" s="81"/>
      <c r="AF283" s="81"/>
      <c r="AG283" s="81"/>
      <c r="AH283" s="81"/>
      <c r="AI283" s="81"/>
      <c r="AJ283" s="81"/>
      <c r="AK283" s="79"/>
      <c r="AL283" s="79"/>
    </row>
    <row r="284" ht="22.5" customHeight="1">
      <c r="A284" s="79">
        <v>10282.0</v>
      </c>
      <c r="B284" s="79" t="s">
        <v>1230</v>
      </c>
      <c r="C284" s="79" t="s">
        <v>238</v>
      </c>
      <c r="D284" s="79" t="s">
        <v>64</v>
      </c>
      <c r="E284" s="79" t="s">
        <v>743</v>
      </c>
      <c r="F284" s="80" t="s">
        <v>744</v>
      </c>
      <c r="G284" s="81"/>
      <c r="H284" s="79" t="s">
        <v>1203</v>
      </c>
      <c r="I284" s="80">
        <v>21000.0</v>
      </c>
      <c r="J284" s="81"/>
      <c r="K284" s="79" t="s">
        <v>111</v>
      </c>
      <c r="L284" s="80">
        <v>41.0</v>
      </c>
      <c r="M284" s="79" t="s">
        <v>2970</v>
      </c>
      <c r="N284" s="79" t="s">
        <v>577</v>
      </c>
      <c r="O284" s="79" t="s">
        <v>2971</v>
      </c>
      <c r="P284" s="83">
        <v>42009.0</v>
      </c>
      <c r="Q284" s="81" t="s">
        <v>2972</v>
      </c>
      <c r="R284" s="86" t="str">
        <f>HYPERLINK("http://www.edinburghnews.scotsman.com/news/edinburgh-recycling-rates-soar-85-per-cent-1-3650917","http://www.edinburghnews.scotsman.com/news/edinburgh-recycling-rates-soar-85-per-cent-1-3650917")</f>
        <v>http://www.edinburghnews.scotsman.com/news/edinburgh-recycling-rates-soar-85-per-cent-1-3650917</v>
      </c>
      <c r="S284" s="81"/>
      <c r="T284" s="81" t="s">
        <v>2977</v>
      </c>
      <c r="U284" s="81" t="s">
        <v>2978</v>
      </c>
      <c r="V284" s="81"/>
      <c r="W284" s="81" t="s">
        <v>600</v>
      </c>
      <c r="X284" s="81"/>
      <c r="Y284" s="81"/>
      <c r="Z284" s="81"/>
      <c r="AA284" s="81"/>
      <c r="AB284" s="81"/>
      <c r="AC284" s="81"/>
      <c r="AD284" s="81"/>
      <c r="AE284" s="81"/>
      <c r="AF284" s="81"/>
      <c r="AG284" s="81"/>
      <c r="AH284" s="81"/>
      <c r="AI284" s="81"/>
      <c r="AJ284" s="81"/>
      <c r="AK284" s="79"/>
      <c r="AL284" s="79"/>
    </row>
    <row r="285" ht="22.5" customHeight="1">
      <c r="A285" s="79">
        <v>10283.0</v>
      </c>
      <c r="B285" s="79" t="s">
        <v>1230</v>
      </c>
      <c r="C285" s="79" t="s">
        <v>238</v>
      </c>
      <c r="D285" s="79" t="s">
        <v>64</v>
      </c>
      <c r="E285" s="79" t="s">
        <v>743</v>
      </c>
      <c r="F285" s="80" t="s">
        <v>744</v>
      </c>
      <c r="G285" s="81"/>
      <c r="H285" s="79" t="s">
        <v>789</v>
      </c>
      <c r="I285" s="80">
        <v>21000.0</v>
      </c>
      <c r="J285" s="81"/>
      <c r="K285" s="79" t="s">
        <v>111</v>
      </c>
      <c r="L285" s="80">
        <v>41.0</v>
      </c>
      <c r="M285" s="79" t="s">
        <v>4087</v>
      </c>
      <c r="N285" s="79" t="s">
        <v>4088</v>
      </c>
      <c r="O285" s="79" t="s">
        <v>3850</v>
      </c>
      <c r="P285" s="83">
        <v>41834.0</v>
      </c>
      <c r="Q285" s="81"/>
      <c r="R285" s="86" t="str">
        <f>HYPERLINK("http://inudgeyou.com/green-footprints-ashfield/","http://inudgeyou.com/green-footprints-ashfield/")</f>
        <v>http://inudgeyou.com/green-footprints-ashfield/</v>
      </c>
      <c r="S285" s="81"/>
      <c r="T285" s="81" t="s">
        <v>462</v>
      </c>
      <c r="U285" s="81" t="s">
        <v>462</v>
      </c>
      <c r="V285" s="81" t="s">
        <v>676</v>
      </c>
      <c r="W285" s="81" t="s">
        <v>600</v>
      </c>
      <c r="X285" s="81"/>
      <c r="Y285" s="88"/>
      <c r="Z285" s="81"/>
      <c r="AA285" s="81"/>
      <c r="AB285" s="81"/>
      <c r="AC285" s="88"/>
      <c r="AD285" s="81"/>
      <c r="AE285" s="81"/>
      <c r="AF285" s="81"/>
      <c r="AG285" s="81"/>
      <c r="AH285" s="81"/>
      <c r="AI285" s="81"/>
      <c r="AJ285" s="81"/>
      <c r="AK285" s="79"/>
      <c r="AL285" s="79"/>
    </row>
    <row r="286" ht="22.5" customHeight="1">
      <c r="A286" s="79">
        <v>10284.0</v>
      </c>
      <c r="B286" s="79" t="s">
        <v>1230</v>
      </c>
      <c r="C286" s="79" t="s">
        <v>238</v>
      </c>
      <c r="D286" s="79" t="s">
        <v>64</v>
      </c>
      <c r="E286" s="79" t="s">
        <v>743</v>
      </c>
      <c r="F286" s="80" t="s">
        <v>744</v>
      </c>
      <c r="G286" s="81"/>
      <c r="H286" s="79" t="s">
        <v>623</v>
      </c>
      <c r="I286" s="80">
        <v>4000.0</v>
      </c>
      <c r="J286" s="81"/>
      <c r="K286" s="79" t="s">
        <v>289</v>
      </c>
      <c r="L286" s="80">
        <v>40.0</v>
      </c>
      <c r="M286" s="79" t="s">
        <v>4089</v>
      </c>
      <c r="N286" s="79" t="s">
        <v>4090</v>
      </c>
      <c r="O286" s="79" t="s">
        <v>1325</v>
      </c>
      <c r="P286" s="83">
        <v>40769.0</v>
      </c>
      <c r="Q286" s="81" t="s">
        <v>4091</v>
      </c>
      <c r="R286" s="86" t="str">
        <f>HYPERLINK("http://www.nytimes.com/2011/08/15/education/15energy.html?src=me&amp;ref=general","http://www.nytimes.com/2011/08/15/education/15energy.html?src=me&amp;ref=general")</f>
        <v>http://www.nytimes.com/2011/08/15/education/15energy.html?src=me&amp;ref=general</v>
      </c>
      <c r="S286" s="81"/>
      <c r="T286" s="81" t="s">
        <v>462</v>
      </c>
      <c r="U286" s="81" t="s">
        <v>462</v>
      </c>
      <c r="V286" s="81"/>
      <c r="W286" s="81" t="s">
        <v>769</v>
      </c>
      <c r="X286" s="81" t="s">
        <v>4092</v>
      </c>
      <c r="Y286" s="88">
        <v>42461.0</v>
      </c>
      <c r="Z286" s="81"/>
      <c r="AA286" s="81" t="s">
        <v>769</v>
      </c>
      <c r="AB286" s="81"/>
      <c r="AC286" s="88">
        <v>41941.0</v>
      </c>
      <c r="AD286" s="81"/>
      <c r="AE286" s="81"/>
      <c r="AF286" s="81"/>
      <c r="AG286" s="81"/>
      <c r="AH286" s="81"/>
      <c r="AI286" s="81"/>
      <c r="AJ286" s="81"/>
      <c r="AK286" s="79"/>
      <c r="AL286" s="79"/>
    </row>
    <row r="287" ht="22.5" customHeight="1">
      <c r="A287" s="79">
        <v>10285.0</v>
      </c>
      <c r="B287" s="79" t="s">
        <v>1230</v>
      </c>
      <c r="C287" s="79" t="s">
        <v>238</v>
      </c>
      <c r="D287" s="79" t="s">
        <v>64</v>
      </c>
      <c r="E287" s="79" t="s">
        <v>323</v>
      </c>
      <c r="F287" s="80">
        <v>11.0</v>
      </c>
      <c r="G287" s="81"/>
      <c r="H287" s="79" t="s">
        <v>4093</v>
      </c>
      <c r="I287" s="80" t="s">
        <v>966</v>
      </c>
      <c r="J287" s="81"/>
      <c r="K287" s="79" t="s">
        <v>324</v>
      </c>
      <c r="L287" s="80" t="s">
        <v>325</v>
      </c>
      <c r="M287" s="79" t="s">
        <v>4097</v>
      </c>
      <c r="N287" s="79" t="s">
        <v>4098</v>
      </c>
      <c r="O287" s="79" t="s">
        <v>1764</v>
      </c>
      <c r="P287" s="83">
        <v>41495.0</v>
      </c>
      <c r="Q287" s="81" t="s">
        <v>4099</v>
      </c>
      <c r="R287" s="86" t="str">
        <f>HYPERLINK("http://swampland.time.com/2013/08/09/nudge-back-in-fashion-at-white-house/","http://swampland.time.com/2013/08/09/nudge-back-in-fashion-at-white-house/")</f>
        <v>http://swampland.time.com/2013/08/09/nudge-back-in-fashion-at-white-house/</v>
      </c>
      <c r="S287" s="81" t="s">
        <v>4103</v>
      </c>
      <c r="T287" s="81" t="s">
        <v>462</v>
      </c>
      <c r="U287" s="81" t="s">
        <v>462</v>
      </c>
      <c r="V287" s="81" t="s">
        <v>676</v>
      </c>
      <c r="W287" s="81" t="s">
        <v>677</v>
      </c>
      <c r="X287" s="81"/>
      <c r="Y287" s="88"/>
      <c r="Z287" s="81"/>
      <c r="AA287" s="81"/>
      <c r="AB287" s="81"/>
      <c r="AC287" s="88"/>
      <c r="AD287" s="81"/>
      <c r="AE287" s="81"/>
      <c r="AF287" s="81"/>
      <c r="AG287" s="81"/>
      <c r="AH287" s="81"/>
      <c r="AI287" s="81"/>
      <c r="AJ287" s="81"/>
      <c r="AK287" s="79"/>
      <c r="AL287" s="79"/>
    </row>
    <row r="288" ht="22.5" customHeight="1">
      <c r="A288" s="79">
        <v>10286.0</v>
      </c>
      <c r="B288" s="79" t="s">
        <v>1230</v>
      </c>
      <c r="C288" s="79" t="s">
        <v>238</v>
      </c>
      <c r="D288" s="79" t="s">
        <v>64</v>
      </c>
      <c r="E288" s="79" t="s">
        <v>323</v>
      </c>
      <c r="F288" s="80">
        <v>11.0</v>
      </c>
      <c r="G288" s="81"/>
      <c r="H288" s="79" t="s">
        <v>224</v>
      </c>
      <c r="I288" s="80"/>
      <c r="J288" s="81"/>
      <c r="K288" s="79" t="s">
        <v>289</v>
      </c>
      <c r="L288" s="80">
        <v>40.0</v>
      </c>
      <c r="M288" s="79" t="s">
        <v>4106</v>
      </c>
      <c r="N288" s="79" t="s">
        <v>4107</v>
      </c>
      <c r="O288" s="79" t="s">
        <v>2245</v>
      </c>
      <c r="P288" s="83"/>
      <c r="Q288" s="81" t="s">
        <v>4108</v>
      </c>
      <c r="R288" s="86" t="str">
        <f>HYPERLINK("http://www.wired.com/insights/2013/12/human-centered-design-matters/","http://www.wired.com/insights/2013/12/human-centered-design-matters/")</f>
        <v>http://www.wired.com/insights/2013/12/human-centered-design-matters/</v>
      </c>
      <c r="S288" s="81"/>
      <c r="T288" s="81" t="s">
        <v>462</v>
      </c>
      <c r="U288" s="81" t="s">
        <v>462</v>
      </c>
      <c r="V288" s="81" t="s">
        <v>676</v>
      </c>
      <c r="W288" s="81" t="s">
        <v>769</v>
      </c>
      <c r="X288" s="81" t="s">
        <v>4113</v>
      </c>
      <c r="Y288" s="88">
        <v>42310.0</v>
      </c>
      <c r="Z288" s="88">
        <v>42556.0</v>
      </c>
      <c r="AA288" s="81"/>
      <c r="AB288" s="81"/>
      <c r="AC288" s="88"/>
      <c r="AD288" s="81"/>
      <c r="AE288" s="81"/>
      <c r="AF288" s="81"/>
      <c r="AG288" s="81"/>
      <c r="AH288" s="81"/>
      <c r="AI288" s="81"/>
      <c r="AJ288" s="81"/>
      <c r="AK288" s="79"/>
      <c r="AL288" s="79"/>
    </row>
    <row r="289" ht="22.5" customHeight="1">
      <c r="A289" s="79">
        <v>10287.0</v>
      </c>
      <c r="B289" s="79" t="s">
        <v>1230</v>
      </c>
      <c r="C289" s="79" t="s">
        <v>238</v>
      </c>
      <c r="D289" s="79" t="s">
        <v>64</v>
      </c>
      <c r="E289" s="79" t="s">
        <v>323</v>
      </c>
      <c r="F289" s="80">
        <v>11.0</v>
      </c>
      <c r="G289" s="81"/>
      <c r="H289" s="79" t="s">
        <v>4115</v>
      </c>
      <c r="I289" s="80">
        <v>2000.0</v>
      </c>
      <c r="J289" s="81"/>
      <c r="K289" s="79" t="s">
        <v>289</v>
      </c>
      <c r="L289" s="80">
        <v>40.0</v>
      </c>
      <c r="M289" s="79" t="s">
        <v>4116</v>
      </c>
      <c r="N289" s="79" t="s">
        <v>4117</v>
      </c>
      <c r="O289" s="79" t="s">
        <v>1484</v>
      </c>
      <c r="P289" s="83">
        <v>42241.0</v>
      </c>
      <c r="Q289" s="81" t="s">
        <v>4118</v>
      </c>
      <c r="R289" s="86" t="str">
        <f>HYPERLINK("http://insideclimatenews.org/news/25082015/climate-changes-overlooked-sociological-side","http://insideclimatenews.org/news/25082015/climate-changes-overlooked-sociological-side")</f>
        <v>http://insideclimatenews.org/news/25082015/climate-changes-overlooked-sociological-side</v>
      </c>
      <c r="S289" s="81"/>
      <c r="T289" s="81" t="s">
        <v>462</v>
      </c>
      <c r="U289" s="81" t="s">
        <v>462</v>
      </c>
      <c r="V289" s="81" t="s">
        <v>676</v>
      </c>
      <c r="W289" s="81" t="s">
        <v>769</v>
      </c>
      <c r="X289" s="81" t="s">
        <v>4119</v>
      </c>
      <c r="Y289" s="88">
        <v>42303.0</v>
      </c>
      <c r="Z289" s="81"/>
      <c r="AA289" s="81"/>
      <c r="AB289" s="81"/>
      <c r="AC289" s="88"/>
      <c r="AD289" s="81"/>
      <c r="AE289" s="81"/>
      <c r="AF289" s="81"/>
      <c r="AG289" s="81"/>
      <c r="AH289" s="81"/>
      <c r="AI289" s="81"/>
      <c r="AJ289" s="81"/>
      <c r="AK289" s="81"/>
      <c r="AL289" s="79"/>
    </row>
    <row r="290" ht="22.5" customHeight="1">
      <c r="A290" s="79">
        <v>10288.0</v>
      </c>
      <c r="B290" s="79" t="s">
        <v>1230</v>
      </c>
      <c r="C290" s="79" t="s">
        <v>238</v>
      </c>
      <c r="D290" s="79" t="s">
        <v>64</v>
      </c>
      <c r="E290" s="79" t="s">
        <v>323</v>
      </c>
      <c r="F290" s="80">
        <v>11.0</v>
      </c>
      <c r="G290" s="81"/>
      <c r="H290" s="79" t="s">
        <v>578</v>
      </c>
      <c r="I290" s="80">
        <v>2000.0</v>
      </c>
      <c r="J290" s="81"/>
      <c r="K290" s="79" t="s">
        <v>289</v>
      </c>
      <c r="L290" s="80">
        <v>40.0</v>
      </c>
      <c r="M290" s="79" t="s">
        <v>4120</v>
      </c>
      <c r="N290" s="79" t="s">
        <v>4121</v>
      </c>
      <c r="O290" s="79" t="s">
        <v>4122</v>
      </c>
      <c r="P290" s="83">
        <v>42180.0</v>
      </c>
      <c r="Q290" s="81" t="s">
        <v>1510</v>
      </c>
      <c r="R290" s="79" t="s">
        <v>4123</v>
      </c>
      <c r="S290" s="81"/>
      <c r="T290" s="81" t="s">
        <v>462</v>
      </c>
      <c r="U290" s="81" t="s">
        <v>462</v>
      </c>
      <c r="V290" s="81" t="s">
        <v>676</v>
      </c>
      <c r="W290" s="81" t="s">
        <v>769</v>
      </c>
      <c r="X290" s="81" t="s">
        <v>4124</v>
      </c>
      <c r="Y290" s="88">
        <v>42184.0</v>
      </c>
      <c r="Z290" s="81"/>
      <c r="AA290" s="81" t="s">
        <v>769</v>
      </c>
      <c r="AB290" s="81"/>
      <c r="AC290" s="88">
        <v>42185.0</v>
      </c>
      <c r="AD290" s="81" t="s">
        <v>1842</v>
      </c>
      <c r="AE290" s="81"/>
      <c r="AF290" s="81" t="s">
        <v>1089</v>
      </c>
      <c r="AG290" s="81"/>
      <c r="AH290" s="81"/>
      <c r="AI290" s="81"/>
      <c r="AJ290" s="81"/>
      <c r="AK290" s="81"/>
      <c r="AL290" s="79"/>
    </row>
    <row r="291" ht="22.5" customHeight="1">
      <c r="A291" s="79">
        <v>10289.0</v>
      </c>
      <c r="B291" s="79" t="s">
        <v>1230</v>
      </c>
      <c r="C291" s="79" t="s">
        <v>238</v>
      </c>
      <c r="D291" s="79" t="s">
        <v>64</v>
      </c>
      <c r="E291" s="79" t="s">
        <v>536</v>
      </c>
      <c r="F291" s="80">
        <v>3.0</v>
      </c>
      <c r="G291" s="81"/>
      <c r="H291" s="79" t="s">
        <v>1114</v>
      </c>
      <c r="I291" s="80">
        <v>2000.0</v>
      </c>
      <c r="J291" s="81"/>
      <c r="K291" s="79" t="s">
        <v>289</v>
      </c>
      <c r="L291" s="80">
        <v>40.0</v>
      </c>
      <c r="M291" s="94" t="s">
        <v>2682</v>
      </c>
      <c r="N291" s="79" t="s">
        <v>2683</v>
      </c>
      <c r="O291" s="79" t="s">
        <v>1550</v>
      </c>
      <c r="P291" s="83">
        <v>42516.0</v>
      </c>
      <c r="Q291" s="81" t="s">
        <v>2685</v>
      </c>
      <c r="R291" s="86" t="str">
        <f>HYPERLINK("http://ecoaffect.org/2016/05/26/overcoming-the-psychological-barriers-for-climate-action/","http://ecoaffect.org/2016/05/26/overcoming-the-psychological-barriers-for-climate-action/")</f>
        <v>http://ecoaffect.org/2016/05/26/overcoming-the-psychological-barriers-for-climate-action/</v>
      </c>
      <c r="S291" s="81"/>
      <c r="T291" s="81"/>
      <c r="U291" s="81"/>
      <c r="V291" s="81"/>
      <c r="W291" s="81" t="s">
        <v>769</v>
      </c>
      <c r="X291" s="81" t="s">
        <v>2692</v>
      </c>
      <c r="Y291" s="88">
        <v>42696.0</v>
      </c>
      <c r="Z291" s="81"/>
      <c r="AA291" s="81"/>
      <c r="AB291" s="81"/>
      <c r="AC291" s="81"/>
      <c r="AD291" s="81"/>
      <c r="AE291" s="81"/>
      <c r="AF291" s="81"/>
      <c r="AG291" s="81"/>
      <c r="AH291" s="81"/>
      <c r="AI291" s="81" t="s">
        <v>428</v>
      </c>
      <c r="AJ291" s="81"/>
      <c r="AK291" s="81"/>
      <c r="AL291" s="79"/>
    </row>
    <row r="292" ht="22.5" customHeight="1">
      <c r="A292" s="79">
        <v>10290.0</v>
      </c>
      <c r="B292" s="79" t="s">
        <v>1230</v>
      </c>
      <c r="C292" s="79" t="s">
        <v>238</v>
      </c>
      <c r="D292" s="79" t="s">
        <v>64</v>
      </c>
      <c r="E292" s="79" t="s">
        <v>536</v>
      </c>
      <c r="F292" s="80">
        <v>3.0</v>
      </c>
      <c r="G292" s="81"/>
      <c r="H292" s="79" t="s">
        <v>644</v>
      </c>
      <c r="I292" s="80">
        <v>2000.0</v>
      </c>
      <c r="J292" s="81"/>
      <c r="K292" s="79" t="s">
        <v>289</v>
      </c>
      <c r="L292" s="80">
        <v>40.0</v>
      </c>
      <c r="M292" s="79" t="s">
        <v>1583</v>
      </c>
      <c r="N292" s="79" t="s">
        <v>1584</v>
      </c>
      <c r="O292" s="79" t="s">
        <v>1441</v>
      </c>
      <c r="P292" s="83">
        <v>41684.0</v>
      </c>
      <c r="Q292" s="81" t="s">
        <v>1585</v>
      </c>
      <c r="R292" s="86" t="str">
        <f>HYPERLINK("http://www.climateaccess.org/blog/using-humor-effectively-communicate-climate-change","http://www.climateaccess.org/blog/using-humor-effectively-communicate-climate-change")</f>
        <v>http://www.climateaccess.org/blog/using-humor-effectively-communicate-climate-change</v>
      </c>
      <c r="S292" s="81"/>
      <c r="T292" s="81" t="s">
        <v>1594</v>
      </c>
      <c r="U292" s="81" t="s">
        <v>530</v>
      </c>
      <c r="V292" s="81"/>
      <c r="W292" s="81" t="s">
        <v>600</v>
      </c>
      <c r="X292" s="81" t="s">
        <v>1598</v>
      </c>
      <c r="Y292" s="88">
        <v>42319.0</v>
      </c>
      <c r="Z292" s="88"/>
      <c r="AA292" s="81"/>
      <c r="AB292" s="81"/>
      <c r="AC292" s="88"/>
      <c r="AD292" s="81"/>
      <c r="AE292" s="88"/>
      <c r="AF292" s="81"/>
      <c r="AG292" s="81"/>
      <c r="AH292" s="81"/>
      <c r="AI292" s="81"/>
      <c r="AJ292" s="81"/>
      <c r="AK292" s="81"/>
      <c r="AL292" s="79"/>
    </row>
    <row r="293" ht="22.5" customHeight="1">
      <c r="A293" s="79">
        <v>10291.0</v>
      </c>
      <c r="B293" s="79" t="s">
        <v>1230</v>
      </c>
      <c r="C293" s="79" t="s">
        <v>238</v>
      </c>
      <c r="D293" s="79" t="s">
        <v>64</v>
      </c>
      <c r="E293" s="79" t="s">
        <v>536</v>
      </c>
      <c r="F293" s="80">
        <v>3.0</v>
      </c>
      <c r="G293" s="81"/>
      <c r="H293" s="79" t="s">
        <v>470</v>
      </c>
      <c r="I293" s="80">
        <v>3000.0</v>
      </c>
      <c r="J293" s="81"/>
      <c r="K293" s="79" t="s">
        <v>289</v>
      </c>
      <c r="L293" s="80">
        <v>40.0</v>
      </c>
      <c r="M293" s="94" t="s">
        <v>4138</v>
      </c>
      <c r="N293" s="79" t="s">
        <v>577</v>
      </c>
      <c r="O293" s="79" t="s">
        <v>4139</v>
      </c>
      <c r="P293" s="83"/>
      <c r="Q293" s="106" t="str">
        <f>HYPERLINK("http://studiolab.psu.edu/projects/energy-behavior-change","Saving energy in your office is not the most exciting pastime, but the creators of Energy Chickens are hoping to change that. In this virtual game, several chickens represent different office appliances for which a player is responsible, and the player’s energy consumption directly affects the health of their chickens. Energy Chickens is an attempt to make mundane activities fun, in a behavior change strategy known as gamification, which can help players to better comprehend the impact of their actions over time. ")</f>
        <v>Saving energy in your office is not the most exciting pastime, but the creators of Energy Chickens are hoping to change that. In this virtual game, several chickens represent different office appliances for which a player is responsible, and the player’s energy consumption directly affects the health of their chickens. Energy Chickens is an attempt to make mundane activities fun, in a behavior change strategy known as gamification, which can help players to better comprehend the impact of their actions over time. </v>
      </c>
      <c r="R293" s="86" t="str">
        <f>HYPERLINK("http://studiolab.psu.edu/projects/energy-behavior-change","http://studiolab.psu.edu/projects/energy-behavior-change")</f>
        <v>http://studiolab.psu.edu/projects/energy-behavior-change</v>
      </c>
      <c r="S293" s="81"/>
      <c r="T293" s="81"/>
      <c r="U293" s="81"/>
      <c r="V293" s="81"/>
      <c r="W293" s="81" t="s">
        <v>677</v>
      </c>
      <c r="X293" s="81"/>
      <c r="Y293" s="81"/>
      <c r="Z293" s="81"/>
      <c r="AA293" s="81"/>
      <c r="AB293" s="81"/>
      <c r="AC293" s="81"/>
      <c r="AD293" s="81"/>
      <c r="AE293" s="81"/>
      <c r="AF293" s="81"/>
      <c r="AG293" s="81"/>
      <c r="AH293" s="81"/>
      <c r="AI293" s="81"/>
      <c r="AJ293" s="81" t="s">
        <v>678</v>
      </c>
      <c r="AK293" s="81"/>
      <c r="AL293" s="79"/>
    </row>
    <row r="294" ht="22.5" customHeight="1">
      <c r="A294" s="79">
        <v>10292.0</v>
      </c>
      <c r="B294" s="79" t="s">
        <v>1230</v>
      </c>
      <c r="C294" s="79" t="s">
        <v>238</v>
      </c>
      <c r="D294" s="79" t="s">
        <v>64</v>
      </c>
      <c r="E294" s="79" t="s">
        <v>510</v>
      </c>
      <c r="F294" s="80" t="s">
        <v>511</v>
      </c>
      <c r="G294" s="81"/>
      <c r="H294" s="79" t="s">
        <v>578</v>
      </c>
      <c r="I294" s="80">
        <v>2000.0</v>
      </c>
      <c r="J294" s="81"/>
      <c r="K294" s="79" t="s">
        <v>289</v>
      </c>
      <c r="L294" s="80">
        <v>40.0</v>
      </c>
      <c r="M294" s="79" t="s">
        <v>4142</v>
      </c>
      <c r="N294" s="79" t="s">
        <v>4143</v>
      </c>
      <c r="O294" s="79" t="s">
        <v>4144</v>
      </c>
      <c r="P294" s="83">
        <v>42164.0</v>
      </c>
      <c r="Q294" s="81"/>
      <c r="R294" s="86" t="str">
        <f>HYPERLINK("http://www.vice.com/read/a-psychologist-explains-why-people-dont-really-give-a-shit-about-climate-change-608?utm_source=vicefbus","http://www.vice.com/read/a-psychologist-explains-why-people-dont-really-give-a-shit-about-climate-change-608?utm_source=vicefbus")</f>
        <v>http://www.vice.com/read/a-psychologist-explains-why-people-dont-really-give-a-shit-about-climate-change-608?utm_source=vicefbus</v>
      </c>
      <c r="S294" s="81"/>
      <c r="T294" s="81" t="s">
        <v>462</v>
      </c>
      <c r="U294" s="81" t="s">
        <v>462</v>
      </c>
      <c r="V294" s="81" t="s">
        <v>676</v>
      </c>
      <c r="W294" s="81" t="s">
        <v>769</v>
      </c>
      <c r="X294" s="81" t="s">
        <v>4148</v>
      </c>
      <c r="Y294" s="88">
        <v>42313.0</v>
      </c>
      <c r="Z294" s="81"/>
      <c r="AA294" s="81" t="s">
        <v>769</v>
      </c>
      <c r="AB294" s="81"/>
      <c r="AC294" s="88"/>
      <c r="AD294" s="81"/>
      <c r="AE294" s="81"/>
      <c r="AF294" s="81"/>
      <c r="AG294" s="81"/>
      <c r="AH294" s="81"/>
      <c r="AI294" s="81"/>
      <c r="AJ294" s="81"/>
      <c r="AK294" s="81"/>
      <c r="AL294" s="79"/>
    </row>
    <row r="295" ht="22.5" customHeight="1">
      <c r="A295" s="79">
        <v>10293.0</v>
      </c>
      <c r="B295" s="79" t="s">
        <v>1230</v>
      </c>
      <c r="C295" s="79" t="s">
        <v>238</v>
      </c>
      <c r="D295" s="79" t="s">
        <v>64</v>
      </c>
      <c r="E295" s="79" t="s">
        <v>2299</v>
      </c>
      <c r="F295" s="80" t="s">
        <v>2300</v>
      </c>
      <c r="G295" s="81"/>
      <c r="H295" s="79" t="s">
        <v>116</v>
      </c>
      <c r="I295" s="80">
        <v>3000.0</v>
      </c>
      <c r="J295" s="81"/>
      <c r="K295" s="79" t="s">
        <v>289</v>
      </c>
      <c r="L295" s="80">
        <v>40.0</v>
      </c>
      <c r="M295" s="79" t="s">
        <v>4150</v>
      </c>
      <c r="N295" s="79" t="s">
        <v>1374</v>
      </c>
      <c r="O295" s="79" t="s">
        <v>1375</v>
      </c>
      <c r="P295" s="83">
        <v>42098.0</v>
      </c>
      <c r="Q295" s="81" t="s">
        <v>4154</v>
      </c>
      <c r="R295" s="86" t="str">
        <f>HYPERLINK("http://www.washingtonpost.com/news/energy-environment/wp/2015/04/04/how-to-get-californians-to-use-less-water-without-forcing-them-to/?postshare=7791428419899154","http://www.washingtonpost.com/news/energy-environment/wp/2015/04/04/how-to-get-californians-to-use-less-water-without-forcing-them-to/?postshare=7791428419899154")</f>
        <v>http://www.washingtonpost.com/news/energy-environment/wp/2015/04/04/how-to-get-californians-to-use-less-water-without-forcing-them-to/?postshare=7791428419899154</v>
      </c>
      <c r="S295" s="81"/>
      <c r="T295" s="81" t="s">
        <v>462</v>
      </c>
      <c r="U295" s="81" t="s">
        <v>462</v>
      </c>
      <c r="V295" s="81" t="s">
        <v>676</v>
      </c>
      <c r="W295" s="81" t="s">
        <v>769</v>
      </c>
      <c r="X295" s="81"/>
      <c r="Y295" s="88">
        <v>42107.0</v>
      </c>
      <c r="Z295" s="81"/>
      <c r="AA295" s="81" t="s">
        <v>769</v>
      </c>
      <c r="AB295" s="81"/>
      <c r="AC295" s="88">
        <v>42111.0</v>
      </c>
      <c r="AD295" s="81" t="s">
        <v>1488</v>
      </c>
      <c r="AE295" s="81"/>
      <c r="AF295" s="81"/>
      <c r="AG295" s="81"/>
      <c r="AH295" s="81" t="s">
        <v>428</v>
      </c>
      <c r="AI295" s="81"/>
      <c r="AJ295" s="81" t="s">
        <v>4157</v>
      </c>
      <c r="AK295" s="81"/>
      <c r="AL295" s="79"/>
    </row>
    <row r="296" ht="22.5" customHeight="1">
      <c r="A296" s="79">
        <v>10294.0</v>
      </c>
      <c r="B296" s="79" t="s">
        <v>1230</v>
      </c>
      <c r="C296" s="79" t="s">
        <v>238</v>
      </c>
      <c r="D296" s="79" t="s">
        <v>64</v>
      </c>
      <c r="E296" s="79" t="s">
        <v>2299</v>
      </c>
      <c r="F296" s="80" t="s">
        <v>2300</v>
      </c>
      <c r="G296" s="81"/>
      <c r="H296" s="79" t="s">
        <v>470</v>
      </c>
      <c r="I296" s="80">
        <v>3000.0</v>
      </c>
      <c r="J296" s="81"/>
      <c r="K296" s="79" t="s">
        <v>289</v>
      </c>
      <c r="L296" s="80">
        <v>40.0</v>
      </c>
      <c r="M296" s="79" t="s">
        <v>4163</v>
      </c>
      <c r="N296" s="79" t="s">
        <v>4164</v>
      </c>
      <c r="O296" s="79" t="s">
        <v>1375</v>
      </c>
      <c r="P296" s="83">
        <v>41595.0</v>
      </c>
      <c r="Q296" s="81"/>
      <c r="R296" s="86" t="str">
        <f>HYPERLINK("http://www.washingtonpost.com/business/on-it/opower-keeps-improving-its-message-to-get-people-to-use-less-energy/2013/11/17/6c726aca-4bc5-11e3-ac54-aa84301ced81_story.html","http://www.washingtonpost.com/business/on-it/opower-keeps-improving-its-message-to-get-people-to-use-less-energy/2013/11/17/6c726aca-4bc5-11e3-ac54-aa84301ced81_story.html")</f>
        <v>http://www.washingtonpost.com/business/on-it/opower-keeps-improving-its-message-to-get-people-to-use-less-energy/2013/11/17/6c726aca-4bc5-11e3-ac54-aa84301ced81_story.html</v>
      </c>
      <c r="S296" s="81"/>
      <c r="T296" s="81" t="s">
        <v>4170</v>
      </c>
      <c r="U296" s="81" t="s">
        <v>4171</v>
      </c>
      <c r="V296" s="81"/>
      <c r="W296" s="81" t="s">
        <v>769</v>
      </c>
      <c r="X296" s="81" t="s">
        <v>4173</v>
      </c>
      <c r="Y296" s="88">
        <v>41968.0</v>
      </c>
      <c r="Z296" s="81" t="s">
        <v>4174</v>
      </c>
      <c r="AA296" s="81" t="s">
        <v>530</v>
      </c>
      <c r="AB296" s="81"/>
      <c r="AC296" s="81"/>
      <c r="AD296" s="81"/>
      <c r="AE296" s="81"/>
      <c r="AF296" s="81"/>
      <c r="AG296" s="81"/>
      <c r="AH296" s="81"/>
      <c r="AI296" s="81"/>
      <c r="AJ296" s="81" t="s">
        <v>4175</v>
      </c>
      <c r="AK296" s="81"/>
      <c r="AL296" s="79"/>
    </row>
    <row r="297" ht="22.5" customHeight="1">
      <c r="A297" s="79">
        <v>10295.0</v>
      </c>
      <c r="B297" s="79" t="s">
        <v>1230</v>
      </c>
      <c r="C297" s="79" t="s">
        <v>238</v>
      </c>
      <c r="D297" s="79" t="s">
        <v>64</v>
      </c>
      <c r="E297" s="79" t="s">
        <v>4176</v>
      </c>
      <c r="F297" s="80" t="s">
        <v>4177</v>
      </c>
      <c r="G297" s="81"/>
      <c r="H297" s="79" t="s">
        <v>224</v>
      </c>
      <c r="I297" s="80"/>
      <c r="J297" s="81"/>
      <c r="K297" s="79" t="s">
        <v>289</v>
      </c>
      <c r="L297" s="80">
        <v>40.0</v>
      </c>
      <c r="M297" s="79" t="s">
        <v>4179</v>
      </c>
      <c r="N297" s="79" t="s">
        <v>4180</v>
      </c>
      <c r="O297" s="79" t="s">
        <v>1734</v>
      </c>
      <c r="P297" s="83">
        <v>41826.0</v>
      </c>
      <c r="Q297" s="81" t="s">
        <v>4181</v>
      </c>
      <c r="R297" s="86" t="str">
        <f>HYPERLINK("http://www.salon.com/2014/07/06/comedy_vs_anti_science_10_amazing_videos_that_show_how_humor_can_make_a_difference/","http://www.salon.com/2014/07/06/comedy_vs_anti_science_10_amazing_videos_that_show_how_humor_can_make_a_difference/")</f>
        <v>http://www.salon.com/2014/07/06/comedy_vs_anti_science_10_amazing_videos_that_show_how_humor_can_make_a_difference/</v>
      </c>
      <c r="S297" s="81"/>
      <c r="T297" s="81" t="s">
        <v>462</v>
      </c>
      <c r="U297" s="81" t="s">
        <v>462</v>
      </c>
      <c r="V297" s="81" t="s">
        <v>676</v>
      </c>
      <c r="W297" s="81" t="s">
        <v>769</v>
      </c>
      <c r="X297" s="81" t="s">
        <v>4190</v>
      </c>
      <c r="Y297" s="88">
        <v>42522.0</v>
      </c>
      <c r="Z297" s="88"/>
      <c r="AA297" s="81" t="s">
        <v>769</v>
      </c>
      <c r="AB297" s="81"/>
      <c r="AC297" s="88">
        <v>42254.0</v>
      </c>
      <c r="AD297" s="81"/>
      <c r="AE297" s="81"/>
      <c r="AF297" s="81"/>
      <c r="AG297" s="81"/>
      <c r="AH297" s="81"/>
      <c r="AI297" s="81"/>
      <c r="AJ297" s="81"/>
      <c r="AK297" s="81"/>
      <c r="AL297" s="79"/>
    </row>
    <row r="298" ht="22.5" customHeight="1">
      <c r="A298" s="79">
        <v>10296.0</v>
      </c>
      <c r="B298" s="79" t="s">
        <v>1230</v>
      </c>
      <c r="C298" s="79" t="s">
        <v>238</v>
      </c>
      <c r="D298" s="79" t="s">
        <v>64</v>
      </c>
      <c r="E298" s="79" t="s">
        <v>4192</v>
      </c>
      <c r="F298" s="80" t="s">
        <v>4177</v>
      </c>
      <c r="G298" s="81"/>
      <c r="H298" s="79" t="s">
        <v>644</v>
      </c>
      <c r="I298" s="80">
        <v>2000.0</v>
      </c>
      <c r="J298" s="81"/>
      <c r="K298" s="79" t="s">
        <v>324</v>
      </c>
      <c r="L298" s="80" t="s">
        <v>325</v>
      </c>
      <c r="M298" s="79" t="s">
        <v>4193</v>
      </c>
      <c r="N298" s="79" t="s">
        <v>1286</v>
      </c>
      <c r="O298" s="79" t="s">
        <v>1281</v>
      </c>
      <c r="P298" s="83">
        <v>41900.0</v>
      </c>
      <c r="Q298" s="81"/>
      <c r="R298" s="86" t="str">
        <f>HYPERLINK("http://www.theguardian.com/sustainable-business/2014/sep/18/build-support-climate-change-campaign","http://www.theguardian.com/sustainable-business/2014/sep/18/build-support-climate-change-campaign")</f>
        <v>http://www.theguardian.com/sustainable-business/2014/sep/18/build-support-climate-change-campaign</v>
      </c>
      <c r="S298" s="81" t="s">
        <v>2717</v>
      </c>
      <c r="T298" s="81" t="s">
        <v>462</v>
      </c>
      <c r="U298" s="81" t="s">
        <v>462</v>
      </c>
      <c r="V298" s="81" t="s">
        <v>1355</v>
      </c>
      <c r="W298" s="81" t="s">
        <v>600</v>
      </c>
      <c r="X298" s="81"/>
      <c r="Y298" s="88"/>
      <c r="Z298" s="81"/>
      <c r="AA298" s="81"/>
      <c r="AB298" s="81"/>
      <c r="AC298" s="88"/>
      <c r="AD298" s="81"/>
      <c r="AE298" s="81"/>
      <c r="AF298" s="81"/>
      <c r="AG298" s="81"/>
      <c r="AH298" s="81"/>
      <c r="AI298" s="81"/>
      <c r="AJ298" s="81"/>
      <c r="AK298" s="81"/>
      <c r="AL298" s="79"/>
    </row>
    <row r="299" ht="22.5" customHeight="1">
      <c r="A299" s="79">
        <v>10297.0</v>
      </c>
      <c r="B299" s="79" t="s">
        <v>1230</v>
      </c>
      <c r="C299" s="79" t="s">
        <v>238</v>
      </c>
      <c r="D299" s="79" t="s">
        <v>64</v>
      </c>
      <c r="E299" s="79" t="s">
        <v>2696</v>
      </c>
      <c r="F299" s="80" t="s">
        <v>2698</v>
      </c>
      <c r="G299" s="81"/>
      <c r="H299" s="79" t="s">
        <v>644</v>
      </c>
      <c r="I299" s="80">
        <v>2000.0</v>
      </c>
      <c r="J299" s="81"/>
      <c r="K299" s="79" t="s">
        <v>289</v>
      </c>
      <c r="L299" s="80">
        <v>40.0</v>
      </c>
      <c r="M299" s="94" t="s">
        <v>4140</v>
      </c>
      <c r="N299" s="79" t="s">
        <v>1424</v>
      </c>
      <c r="O299" s="79" t="s">
        <v>1265</v>
      </c>
      <c r="P299" s="83">
        <v>42467.0</v>
      </c>
      <c r="Q299" s="81" t="s">
        <v>4141</v>
      </c>
      <c r="R299" s="86" t="str">
        <f>HYPERLINK("http://grist.org/climate-energy/heres-everything-we-know-about-how-to-talk-about-climate-change/","http://grist.org/climate-energy/heres-everything-we-know-about-how-to-talk-about-climate-change/")</f>
        <v>http://grist.org/climate-energy/heres-everything-we-know-about-how-to-talk-about-climate-change/</v>
      </c>
      <c r="S299" s="81"/>
      <c r="T299" s="81"/>
      <c r="U299" s="81"/>
      <c r="V299" s="81"/>
      <c r="W299" s="81"/>
      <c r="X299" s="81"/>
      <c r="Y299" s="81"/>
      <c r="Z299" s="81"/>
      <c r="AA299" s="81"/>
      <c r="AB299" s="81"/>
      <c r="AC299" s="81"/>
      <c r="AD299" s="81"/>
      <c r="AE299" s="81"/>
      <c r="AF299" s="81"/>
      <c r="AG299" s="81"/>
      <c r="AH299" s="81"/>
      <c r="AI299" s="81" t="s">
        <v>428</v>
      </c>
      <c r="AJ299" s="81"/>
      <c r="AK299" s="81"/>
      <c r="AL299" s="79"/>
    </row>
    <row r="300" ht="22.5" customHeight="1">
      <c r="A300" s="79">
        <v>10298.0</v>
      </c>
      <c r="B300" s="79" t="s">
        <v>1230</v>
      </c>
      <c r="C300" s="79" t="s">
        <v>238</v>
      </c>
      <c r="D300" s="79" t="s">
        <v>64</v>
      </c>
      <c r="E300" s="79" t="s">
        <v>2696</v>
      </c>
      <c r="F300" s="80" t="s">
        <v>2698</v>
      </c>
      <c r="G300" s="81"/>
      <c r="H300" s="79" t="s">
        <v>644</v>
      </c>
      <c r="I300" s="80">
        <v>2000.0</v>
      </c>
      <c r="J300" s="81"/>
      <c r="K300" s="79" t="s">
        <v>289</v>
      </c>
      <c r="L300" s="80">
        <v>40.0</v>
      </c>
      <c r="M300" s="94" t="s">
        <v>2702</v>
      </c>
      <c r="N300" s="79" t="s">
        <v>2132</v>
      </c>
      <c r="O300" s="79" t="s">
        <v>1550</v>
      </c>
      <c r="P300" s="83">
        <v>42332.0</v>
      </c>
      <c r="Q300" s="81" t="s">
        <v>2703</v>
      </c>
      <c r="R300" s="86" t="str">
        <f>HYPERLINK("http://ecoaffect.org/2015/11/24/new-research-4-top-messages-for-strengthening-support-for-climate-solutions/","http://ecoaffect.org/2015/11/24/new-research-4-top-messages-for-strengthening-support-for-climate-solutions/")</f>
        <v>http://ecoaffect.org/2015/11/24/new-research-4-top-messages-for-strengthening-support-for-climate-solutions/</v>
      </c>
      <c r="S300" s="81"/>
      <c r="T300" s="81"/>
      <c r="U300" s="81"/>
      <c r="V300" s="81"/>
      <c r="W300" s="81" t="s">
        <v>428</v>
      </c>
      <c r="X300" s="81" t="s">
        <v>2707</v>
      </c>
      <c r="Y300" s="88">
        <v>42710.0</v>
      </c>
      <c r="Z300" s="81"/>
      <c r="AA300" s="81"/>
      <c r="AB300" s="81"/>
      <c r="AC300" s="81"/>
      <c r="AD300" s="81"/>
      <c r="AE300" s="81"/>
      <c r="AF300" s="81"/>
      <c r="AG300" s="81"/>
      <c r="AH300" s="81"/>
      <c r="AI300" s="81" t="s">
        <v>428</v>
      </c>
      <c r="AJ300" s="81"/>
      <c r="AK300" s="81"/>
      <c r="AL300" s="79"/>
    </row>
    <row r="301" ht="22.5" customHeight="1">
      <c r="A301" s="79">
        <v>10299.0</v>
      </c>
      <c r="B301" s="79" t="s">
        <v>1230</v>
      </c>
      <c r="C301" s="79" t="s">
        <v>238</v>
      </c>
      <c r="D301" s="79" t="s">
        <v>64</v>
      </c>
      <c r="E301" s="79" t="s">
        <v>226</v>
      </c>
      <c r="F301" s="80" t="s">
        <v>228</v>
      </c>
      <c r="G301" s="81"/>
      <c r="H301" s="79" t="s">
        <v>644</v>
      </c>
      <c r="I301" s="80">
        <v>2000.0</v>
      </c>
      <c r="J301" s="81"/>
      <c r="K301" s="79" t="s">
        <v>289</v>
      </c>
      <c r="L301" s="80">
        <v>40.0</v>
      </c>
      <c r="M301" s="94" t="s">
        <v>4219</v>
      </c>
      <c r="N301" s="79" t="s">
        <v>4220</v>
      </c>
      <c r="O301" s="79" t="s">
        <v>1754</v>
      </c>
      <c r="P301" s="83">
        <v>42495.0</v>
      </c>
      <c r="Q301" s="81" t="s">
        <v>4221</v>
      </c>
      <c r="R301" s="86" t="str">
        <f>HYPERLINK("http://www.huffingtonpost.com/entry/climate-change-psychology_us_571ead75e4b0f309baee5b9b","http://www.huffingtonpost.com/entry/climate-change-psychology_us_571ead75e4b0f309baee5b9b")</f>
        <v>http://www.huffingtonpost.com/entry/climate-change-psychology_us_571ead75e4b0f309baee5b9b</v>
      </c>
      <c r="S301" s="81"/>
      <c r="T301" s="81"/>
      <c r="U301" s="81"/>
      <c r="V301" s="81"/>
      <c r="W301" s="81" t="s">
        <v>600</v>
      </c>
      <c r="X301" s="81"/>
      <c r="Y301" s="81"/>
      <c r="Z301" s="81"/>
      <c r="AA301" s="81"/>
      <c r="AB301" s="81"/>
      <c r="AC301" s="81"/>
      <c r="AD301" s="81"/>
      <c r="AE301" s="81"/>
      <c r="AF301" s="81"/>
      <c r="AG301" s="81"/>
      <c r="AH301" s="81"/>
      <c r="AI301" s="81" t="s">
        <v>428</v>
      </c>
      <c r="AJ301" s="81"/>
      <c r="AK301" s="81"/>
      <c r="AL301" s="79"/>
    </row>
    <row r="302" ht="22.5" customHeight="1">
      <c r="A302" s="79">
        <v>10300.0</v>
      </c>
      <c r="B302" s="79" t="s">
        <v>1230</v>
      </c>
      <c r="C302" s="79" t="s">
        <v>238</v>
      </c>
      <c r="D302" s="79" t="s">
        <v>64</v>
      </c>
      <c r="E302" s="79" t="s">
        <v>490</v>
      </c>
      <c r="F302" s="80">
        <v>6.0</v>
      </c>
      <c r="G302" s="81"/>
      <c r="H302" s="79" t="s">
        <v>224</v>
      </c>
      <c r="I302" s="80"/>
      <c r="J302" s="81"/>
      <c r="K302" s="79" t="s">
        <v>289</v>
      </c>
      <c r="L302" s="80">
        <v>40.0</v>
      </c>
      <c r="M302" s="79" t="s">
        <v>860</v>
      </c>
      <c r="N302" s="79" t="s">
        <v>862</v>
      </c>
      <c r="O302" s="79" t="s">
        <v>851</v>
      </c>
      <c r="P302" s="83"/>
      <c r="Q302" s="81" t="s">
        <v>863</v>
      </c>
      <c r="R302" s="86" t="str">
        <f>HYPERLINK("http://www.apa.org/pi/aids/resources/education/dissonance.aspx","http://www.apa.org/pi/aids/resources/education/dissonance.aspx")</f>
        <v>http://www.apa.org/pi/aids/resources/education/dissonance.aspx</v>
      </c>
      <c r="S302" s="81"/>
      <c r="T302" s="81" t="s">
        <v>462</v>
      </c>
      <c r="U302" s="81" t="s">
        <v>462</v>
      </c>
      <c r="V302" s="81"/>
      <c r="W302" s="81" t="s">
        <v>677</v>
      </c>
      <c r="X302" s="81"/>
      <c r="Y302" s="88"/>
      <c r="Z302" s="81"/>
      <c r="AA302" s="81"/>
      <c r="AB302" s="81"/>
      <c r="AC302" s="88"/>
      <c r="AD302" s="81"/>
      <c r="AE302" s="81"/>
      <c r="AF302" s="81"/>
      <c r="AG302" s="81"/>
      <c r="AH302" s="81"/>
      <c r="AI302" s="81"/>
      <c r="AJ302" s="81"/>
      <c r="AK302" s="81"/>
      <c r="AL302" s="79"/>
    </row>
    <row r="303" ht="22.5" customHeight="1">
      <c r="A303" s="79">
        <v>10301.0</v>
      </c>
      <c r="B303" s="79" t="s">
        <v>1230</v>
      </c>
      <c r="C303" s="79" t="s">
        <v>238</v>
      </c>
      <c r="D303" s="79" t="s">
        <v>64</v>
      </c>
      <c r="E303" s="79" t="s">
        <v>490</v>
      </c>
      <c r="F303" s="80">
        <v>6.0</v>
      </c>
      <c r="G303" s="81"/>
      <c r="H303" s="79" t="s">
        <v>224</v>
      </c>
      <c r="I303" s="80"/>
      <c r="J303" s="81"/>
      <c r="K303" s="79" t="s">
        <v>289</v>
      </c>
      <c r="L303" s="80">
        <v>40.0</v>
      </c>
      <c r="M303" s="79" t="s">
        <v>2426</v>
      </c>
      <c r="N303" s="79" t="s">
        <v>2427</v>
      </c>
      <c r="O303" s="79" t="s">
        <v>1730</v>
      </c>
      <c r="P303" s="83">
        <v>40470.0</v>
      </c>
      <c r="Q303" s="81" t="s">
        <v>2432</v>
      </c>
      <c r="R303" s="86" t="str">
        <f>HYPERLINK("http://blogs.discovermagazine.com/notrocketscience/2010/10/19/when-in-doubt-shout-%E2%80%93-why-shaking-someone%E2%80%99s-beliefs-turns-them-into-stronger-advocates/#.VXm7rPlVhBc","http://blogs.discovermagazine.com/notrocketscience/2010/10/19/when-in-doubt-shout-%E2%80%93-why-shaking-someone%E2%80%99s-beliefs-turns-them-into-stronger-advocates/#.VXm7rPlVhBc")</f>
        <v>http://blogs.discovermagazine.com/notrocketscience/2010/10/19/when-in-doubt-shout-%E2%80%93-why-shaking-someone%E2%80%99s-beliefs-turns-them-into-stronger-advocates/#.VXm7rPlVhBc</v>
      </c>
      <c r="S303" s="81"/>
      <c r="T303" s="81" t="s">
        <v>462</v>
      </c>
      <c r="U303" s="81" t="s">
        <v>462</v>
      </c>
      <c r="V303" s="81"/>
      <c r="W303" s="81" t="s">
        <v>769</v>
      </c>
      <c r="X303" s="81" t="s">
        <v>2449</v>
      </c>
      <c r="Y303" s="88">
        <v>42334.0</v>
      </c>
      <c r="Z303" s="88">
        <v>42487.0</v>
      </c>
      <c r="AA303" s="81"/>
      <c r="AB303" s="81"/>
      <c r="AC303" s="88"/>
      <c r="AD303" s="81"/>
      <c r="AE303" s="81"/>
      <c r="AF303" s="81"/>
      <c r="AG303" s="81"/>
      <c r="AH303" s="81"/>
      <c r="AI303" s="81"/>
      <c r="AJ303" s="81"/>
      <c r="AK303" s="81"/>
      <c r="AL303" s="79"/>
    </row>
    <row r="304" ht="22.5" customHeight="1">
      <c r="A304" s="79">
        <v>10302.0</v>
      </c>
      <c r="B304" s="79" t="s">
        <v>1230</v>
      </c>
      <c r="C304" s="79" t="s">
        <v>238</v>
      </c>
      <c r="D304" s="79" t="s">
        <v>64</v>
      </c>
      <c r="E304" s="79" t="s">
        <v>490</v>
      </c>
      <c r="F304" s="80">
        <v>6.0</v>
      </c>
      <c r="G304" s="81"/>
      <c r="H304" s="79" t="s">
        <v>470</v>
      </c>
      <c r="I304" s="80">
        <v>3000.0</v>
      </c>
      <c r="J304" s="81"/>
      <c r="K304" s="79" t="s">
        <v>289</v>
      </c>
      <c r="L304" s="80">
        <v>40.0</v>
      </c>
      <c r="M304" s="79" t="s">
        <v>3819</v>
      </c>
      <c r="N304" s="79" t="s">
        <v>3820</v>
      </c>
      <c r="O304" s="79" t="s">
        <v>3820</v>
      </c>
      <c r="P304" s="83">
        <v>39766.0</v>
      </c>
      <c r="Q304" s="81" t="s">
        <v>3821</v>
      </c>
      <c r="R304" s="86" t="str">
        <f>HYPERLINK("http://freakonomics.com/2008/11/14/a-commitment-device-for-energy-conservation/","http://freakonomics.com/2008/11/14/a-commitment-device-for-energy-conservation/")</f>
        <v>http://freakonomics.com/2008/11/14/a-commitment-device-for-energy-conservation/</v>
      </c>
      <c r="S304" s="81"/>
      <c r="T304" s="81" t="s">
        <v>428</v>
      </c>
      <c r="U304" s="81" t="s">
        <v>462</v>
      </c>
      <c r="V304" s="81"/>
      <c r="W304" s="81" t="s">
        <v>769</v>
      </c>
      <c r="X304" s="81" t="s">
        <v>3822</v>
      </c>
      <c r="Y304" s="88">
        <v>42424.0</v>
      </c>
      <c r="Z304" s="88"/>
      <c r="AA304" s="81"/>
      <c r="AB304" s="81"/>
      <c r="AC304" s="81"/>
      <c r="AD304" s="81"/>
      <c r="AE304" s="81"/>
      <c r="AF304" s="81"/>
      <c r="AG304" s="81"/>
      <c r="AH304" s="81"/>
      <c r="AI304" s="81"/>
      <c r="AJ304" s="81"/>
      <c r="AK304" s="81"/>
      <c r="AL304" s="79"/>
    </row>
    <row r="305" ht="22.5" customHeight="1">
      <c r="A305" s="79">
        <v>10303.0</v>
      </c>
      <c r="B305" s="79" t="s">
        <v>1230</v>
      </c>
      <c r="C305" s="79" t="s">
        <v>238</v>
      </c>
      <c r="D305" s="79" t="s">
        <v>64</v>
      </c>
      <c r="E305" s="79" t="s">
        <v>490</v>
      </c>
      <c r="F305" s="80">
        <v>6.0</v>
      </c>
      <c r="G305" s="81"/>
      <c r="H305" s="79" t="s">
        <v>224</v>
      </c>
      <c r="I305" s="80"/>
      <c r="J305" s="81"/>
      <c r="K305" s="79" t="s">
        <v>289</v>
      </c>
      <c r="L305" s="80">
        <v>40.0</v>
      </c>
      <c r="M305" s="79" t="s">
        <v>4241</v>
      </c>
      <c r="N305" s="79" t="s">
        <v>4242</v>
      </c>
      <c r="O305" s="79" t="s">
        <v>1325</v>
      </c>
      <c r="P305" s="83">
        <v>41642.0</v>
      </c>
      <c r="Q305" s="81"/>
      <c r="R305" s="86" t="str">
        <f>HYPERLINK("http://www.nytimes.com/2014/01/05/opinion/sunday/how-to-keep-your-resolutions.html?_r=0","http://www.nytimes.com/2014/01/05/opinion/sunday/how-to-keep-your-resolutions.html?_r=0")</f>
        <v>http://www.nytimes.com/2014/01/05/opinion/sunday/how-to-keep-your-resolutions.html?_r=0</v>
      </c>
      <c r="S305" s="81" t="s">
        <v>2717</v>
      </c>
      <c r="T305" s="81" t="s">
        <v>462</v>
      </c>
      <c r="U305" s="81" t="s">
        <v>462</v>
      </c>
      <c r="V305" s="81"/>
      <c r="W305" s="81" t="s">
        <v>677</v>
      </c>
      <c r="X305" s="81"/>
      <c r="Y305" s="88"/>
      <c r="Z305" s="81"/>
      <c r="AA305" s="81"/>
      <c r="AB305" s="81"/>
      <c r="AC305" s="88"/>
      <c r="AD305" s="81"/>
      <c r="AE305" s="81"/>
      <c r="AF305" s="81"/>
      <c r="AG305" s="81"/>
      <c r="AH305" s="81"/>
      <c r="AI305" s="81"/>
      <c r="AJ305" s="81"/>
      <c r="AK305" s="79"/>
      <c r="AL305" s="79"/>
    </row>
    <row r="306" ht="22.5" customHeight="1">
      <c r="A306" s="79">
        <v>10304.0</v>
      </c>
      <c r="B306" s="79" t="s">
        <v>1230</v>
      </c>
      <c r="C306" s="79" t="s">
        <v>238</v>
      </c>
      <c r="D306" s="79" t="s">
        <v>64</v>
      </c>
      <c r="E306" s="79" t="s">
        <v>490</v>
      </c>
      <c r="F306" s="80">
        <v>6.0</v>
      </c>
      <c r="G306" s="81"/>
      <c r="H306" s="79" t="s">
        <v>224</v>
      </c>
      <c r="I306" s="80"/>
      <c r="J306" s="81"/>
      <c r="K306" s="79" t="s">
        <v>289</v>
      </c>
      <c r="L306" s="80">
        <v>40.0</v>
      </c>
      <c r="M306" s="79" t="s">
        <v>4244</v>
      </c>
      <c r="N306" s="79" t="s">
        <v>4245</v>
      </c>
      <c r="O306" s="79" t="s">
        <v>4246</v>
      </c>
      <c r="P306" s="83">
        <v>42143.0</v>
      </c>
      <c r="Q306" s="81" t="s">
        <v>4247</v>
      </c>
      <c r="R306" s="86" t="str">
        <f>HYPERLINK("http://psychology.about.com/od/socialinfluence/f/rule-of-commitment.htm","http://psychology.about.com/od/socialinfluence/f/rule-of-commitment.htm")</f>
        <v>http://psychology.about.com/od/socialinfluence/f/rule-of-commitment.htm</v>
      </c>
      <c r="S306" s="81"/>
      <c r="T306" s="81" t="s">
        <v>428</v>
      </c>
      <c r="U306" s="81" t="s">
        <v>462</v>
      </c>
      <c r="V306" s="81"/>
      <c r="W306" s="81" t="s">
        <v>677</v>
      </c>
      <c r="X306" s="81"/>
      <c r="Y306" s="81"/>
      <c r="Z306" s="81"/>
      <c r="AA306" s="81"/>
      <c r="AB306" s="81"/>
      <c r="AC306" s="81"/>
      <c r="AD306" s="81"/>
      <c r="AE306" s="81"/>
      <c r="AF306" s="81"/>
      <c r="AG306" s="81"/>
      <c r="AH306" s="81"/>
      <c r="AI306" s="81"/>
      <c r="AJ306" s="81"/>
      <c r="AK306" s="79"/>
      <c r="AL306" s="79"/>
    </row>
    <row r="307" ht="22.5" customHeight="1">
      <c r="A307" s="79">
        <v>10305.0</v>
      </c>
      <c r="B307" s="79" t="s">
        <v>1230</v>
      </c>
      <c r="C307" s="79" t="s">
        <v>238</v>
      </c>
      <c r="D307" s="79" t="s">
        <v>64</v>
      </c>
      <c r="E307" s="79" t="s">
        <v>490</v>
      </c>
      <c r="F307" s="80">
        <v>6.0</v>
      </c>
      <c r="G307" s="81"/>
      <c r="H307" s="79" t="s">
        <v>224</v>
      </c>
      <c r="I307" s="80"/>
      <c r="J307" s="81"/>
      <c r="K307" s="79" t="s">
        <v>289</v>
      </c>
      <c r="L307" s="80">
        <v>40.0</v>
      </c>
      <c r="M307" s="79" t="s">
        <v>4248</v>
      </c>
      <c r="N307" s="79" t="s">
        <v>4249</v>
      </c>
      <c r="O307" s="79" t="s">
        <v>4250</v>
      </c>
      <c r="P307" s="83">
        <v>42004.0</v>
      </c>
      <c r="Q307" s="81"/>
      <c r="R307" s="86" t="str">
        <f>HYPERLINK("http://www.mercurynews.com/bay-area-living/ci_27229262/heres-secret-sticking-new-years-resolutions","http://www.mercurynews.com/bay-area-living/ci_27229262/heres-secret-sticking-new-years-resolutions")</f>
        <v>http://www.mercurynews.com/bay-area-living/ci_27229262/heres-secret-sticking-new-years-resolutions</v>
      </c>
      <c r="S307" s="81" t="s">
        <v>2717</v>
      </c>
      <c r="T307" s="81" t="s">
        <v>462</v>
      </c>
      <c r="U307" s="81" t="s">
        <v>462</v>
      </c>
      <c r="V307" s="81"/>
      <c r="W307" s="81" t="s">
        <v>677</v>
      </c>
      <c r="X307" s="81"/>
      <c r="Y307" s="88"/>
      <c r="Z307" s="81"/>
      <c r="AA307" s="81"/>
      <c r="AB307" s="81"/>
      <c r="AC307" s="88"/>
      <c r="AD307" s="81"/>
      <c r="AE307" s="81"/>
      <c r="AF307" s="81"/>
      <c r="AG307" s="81"/>
      <c r="AH307" s="81"/>
      <c r="AI307" s="81"/>
      <c r="AJ307" s="81"/>
      <c r="AK307" s="79"/>
      <c r="AL307" s="79"/>
    </row>
    <row r="308" ht="22.5" customHeight="1">
      <c r="A308" s="79">
        <v>10306.0</v>
      </c>
      <c r="B308" s="79" t="s">
        <v>1230</v>
      </c>
      <c r="C308" s="79" t="s">
        <v>238</v>
      </c>
      <c r="D308" s="79" t="s">
        <v>64</v>
      </c>
      <c r="E308" s="79" t="s">
        <v>490</v>
      </c>
      <c r="F308" s="80">
        <v>6.0</v>
      </c>
      <c r="G308" s="81"/>
      <c r="H308" s="79" t="s">
        <v>224</v>
      </c>
      <c r="I308" s="80"/>
      <c r="J308" s="81"/>
      <c r="K308" s="79" t="s">
        <v>289</v>
      </c>
      <c r="L308" s="80">
        <v>40.0</v>
      </c>
      <c r="M308" s="79" t="s">
        <v>4253</v>
      </c>
      <c r="N308" s="79" t="s">
        <v>4254</v>
      </c>
      <c r="O308" s="79" t="s">
        <v>2116</v>
      </c>
      <c r="P308" s="83">
        <v>41995.0</v>
      </c>
      <c r="Q308" s="81"/>
      <c r="R308" s="86" t="str">
        <f>HYPERLINK("http://ideas.ted.com/the-science-of-setting-goals/","http://ideas.ted.com/the-science-of-setting-goals/")</f>
        <v>http://ideas.ted.com/the-science-of-setting-goals/</v>
      </c>
      <c r="S308" s="81" t="s">
        <v>2717</v>
      </c>
      <c r="T308" s="81" t="s">
        <v>462</v>
      </c>
      <c r="U308" s="81" t="s">
        <v>462</v>
      </c>
      <c r="V308" s="81"/>
      <c r="W308" s="81" t="s">
        <v>677</v>
      </c>
      <c r="X308" s="81"/>
      <c r="Y308" s="88"/>
      <c r="Z308" s="81"/>
      <c r="AA308" s="81"/>
      <c r="AB308" s="81"/>
      <c r="AC308" s="88"/>
      <c r="AD308" s="81"/>
      <c r="AE308" s="81"/>
      <c r="AF308" s="81"/>
      <c r="AG308" s="81"/>
      <c r="AH308" s="81"/>
      <c r="AI308" s="81"/>
      <c r="AJ308" s="81"/>
      <c r="AK308" s="79"/>
      <c r="AL308" s="79"/>
    </row>
    <row r="309" ht="22.5" customHeight="1">
      <c r="A309" s="79">
        <v>10307.0</v>
      </c>
      <c r="B309" s="79" t="s">
        <v>1230</v>
      </c>
      <c r="C309" s="79" t="s">
        <v>238</v>
      </c>
      <c r="D309" s="79" t="s">
        <v>64</v>
      </c>
      <c r="E309" s="79" t="s">
        <v>490</v>
      </c>
      <c r="F309" s="80">
        <v>6.0</v>
      </c>
      <c r="G309" s="81"/>
      <c r="H309" s="79" t="s">
        <v>224</v>
      </c>
      <c r="I309" s="80"/>
      <c r="J309" s="81"/>
      <c r="K309" s="79" t="s">
        <v>289</v>
      </c>
      <c r="L309" s="80">
        <v>40.0</v>
      </c>
      <c r="M309" s="79" t="s">
        <v>3701</v>
      </c>
      <c r="N309" s="79" t="s">
        <v>3702</v>
      </c>
      <c r="O309" s="79" t="s">
        <v>2786</v>
      </c>
      <c r="P309" s="83">
        <v>41925.0</v>
      </c>
      <c r="Q309" s="81" t="s">
        <v>3703</v>
      </c>
      <c r="R309" s="86" t="str">
        <f>HYPERLINK("http://www.forbes.com/sites/neilpatel/2014/10/13/foot-in-the-door-technique-how-to-get-people-to-take-seamlessly-take-action/","http://www.forbes.com/sites/neilpatel/2014/10/13/foot-in-the-door-technique-how-to-get-people-to-take-seamlessly-take-action/")</f>
        <v>http://www.forbes.com/sites/neilpatel/2014/10/13/foot-in-the-door-technique-how-to-get-people-to-take-seamlessly-take-action/</v>
      </c>
      <c r="S309" s="134" t="s">
        <v>3705</v>
      </c>
      <c r="T309" s="81" t="s">
        <v>462</v>
      </c>
      <c r="U309" s="81" t="s">
        <v>462</v>
      </c>
      <c r="V309" s="81"/>
      <c r="W309" s="81" t="s">
        <v>677</v>
      </c>
      <c r="X309" s="81"/>
      <c r="Y309" s="88"/>
      <c r="Z309" s="81"/>
      <c r="AA309" s="81"/>
      <c r="AB309" s="81"/>
      <c r="AC309" s="88"/>
      <c r="AD309" s="81"/>
      <c r="AE309" s="81"/>
      <c r="AF309" s="81"/>
      <c r="AG309" s="81"/>
      <c r="AH309" s="81"/>
      <c r="AI309" s="81"/>
      <c r="AJ309" s="81"/>
      <c r="AK309" s="79"/>
      <c r="AL309" s="79"/>
    </row>
    <row r="310" ht="22.5" customHeight="1">
      <c r="A310" s="79">
        <v>10308.0</v>
      </c>
      <c r="B310" s="79" t="s">
        <v>1230</v>
      </c>
      <c r="C310" s="79" t="s">
        <v>238</v>
      </c>
      <c r="D310" s="79" t="s">
        <v>64</v>
      </c>
      <c r="E310" s="79" t="s">
        <v>490</v>
      </c>
      <c r="F310" s="80">
        <v>6.0</v>
      </c>
      <c r="G310" s="81"/>
      <c r="H310" s="79" t="s">
        <v>224</v>
      </c>
      <c r="I310" s="80"/>
      <c r="J310" s="81"/>
      <c r="K310" s="79" t="s">
        <v>289</v>
      </c>
      <c r="L310" s="80">
        <v>40.0</v>
      </c>
      <c r="M310" s="79" t="s">
        <v>4267</v>
      </c>
      <c r="N310" s="79" t="s">
        <v>4268</v>
      </c>
      <c r="O310" s="79" t="s">
        <v>4269</v>
      </c>
      <c r="P310" s="83">
        <v>42234.0</v>
      </c>
      <c r="Q310" s="81" t="s">
        <v>4270</v>
      </c>
      <c r="R310" s="86" t="str">
        <f>HYPERLINK("http://www.thehumaneleague.com/changeofheart/e_plan.htm","http://www.thehumaneleague.com/changeofheart/e_plan.htm")</f>
        <v>http://www.thehumaneleague.com/changeofheart/e_plan.htm</v>
      </c>
      <c r="S310" s="81"/>
      <c r="T310" s="81" t="s">
        <v>4274</v>
      </c>
      <c r="U310" s="81" t="s">
        <v>462</v>
      </c>
      <c r="V310" s="81"/>
      <c r="W310" s="81" t="s">
        <v>677</v>
      </c>
      <c r="X310" s="81"/>
      <c r="Y310" s="88"/>
      <c r="Z310" s="88"/>
      <c r="AA310" s="81"/>
      <c r="AB310" s="81"/>
      <c r="AC310" s="88"/>
      <c r="AD310" s="81"/>
      <c r="AE310" s="81"/>
      <c r="AF310" s="81"/>
      <c r="AG310" s="81"/>
      <c r="AH310" s="81"/>
      <c r="AI310" s="81"/>
      <c r="AJ310" s="81"/>
      <c r="AK310" s="79"/>
      <c r="AL310" s="79"/>
    </row>
    <row r="311" ht="22.5" customHeight="1">
      <c r="A311" s="79">
        <v>10309.0</v>
      </c>
      <c r="B311" s="79" t="s">
        <v>1230</v>
      </c>
      <c r="C311" s="79" t="s">
        <v>238</v>
      </c>
      <c r="D311" s="79" t="s">
        <v>64</v>
      </c>
      <c r="E311" s="79" t="s">
        <v>490</v>
      </c>
      <c r="F311" s="80">
        <v>6.0</v>
      </c>
      <c r="G311" s="81"/>
      <c r="H311" s="79" t="s">
        <v>224</v>
      </c>
      <c r="I311" s="80"/>
      <c r="J311" s="81"/>
      <c r="K311" s="79" t="s">
        <v>289</v>
      </c>
      <c r="L311" s="80">
        <v>40.0</v>
      </c>
      <c r="M311" s="79" t="s">
        <v>1327</v>
      </c>
      <c r="N311" s="79" t="s">
        <v>215</v>
      </c>
      <c r="O311" s="79" t="s">
        <v>1328</v>
      </c>
      <c r="P311" s="83"/>
      <c r="Q311" s="81" t="s">
        <v>1330</v>
      </c>
      <c r="R311" s="86" t="str">
        <f>HYPERLINK("http://changingminds.org/techniques/general/sequential/fitd.htm","http://changingminds.org/techniques/general/sequential/fitd.htm")</f>
        <v>http://changingminds.org/techniques/general/sequential/fitd.htm</v>
      </c>
      <c r="S311" s="81"/>
      <c r="T311" s="81" t="s">
        <v>462</v>
      </c>
      <c r="U311" s="81" t="s">
        <v>462</v>
      </c>
      <c r="V311" s="81"/>
      <c r="W311" s="81" t="s">
        <v>769</v>
      </c>
      <c r="X311" s="81" t="s">
        <v>1334</v>
      </c>
      <c r="Y311" s="88">
        <v>42338.0</v>
      </c>
      <c r="Z311" s="81"/>
      <c r="AA311" s="81"/>
      <c r="AB311" s="81"/>
      <c r="AC311" s="88"/>
      <c r="AD311" s="81"/>
      <c r="AE311" s="88"/>
      <c r="AF311" s="81"/>
      <c r="AG311" s="81"/>
      <c r="AH311" s="81"/>
      <c r="AI311" s="81"/>
      <c r="AJ311" s="81"/>
      <c r="AK311" s="79"/>
      <c r="AL311" s="79"/>
    </row>
    <row r="312" ht="22.5" customHeight="1">
      <c r="A312" s="79">
        <v>10310.0</v>
      </c>
      <c r="B312" s="79" t="s">
        <v>1230</v>
      </c>
      <c r="C312" s="79" t="s">
        <v>238</v>
      </c>
      <c r="D312" s="79" t="s">
        <v>64</v>
      </c>
      <c r="E312" s="79" t="s">
        <v>490</v>
      </c>
      <c r="F312" s="80">
        <v>6.0</v>
      </c>
      <c r="G312" s="81"/>
      <c r="H312" s="79" t="s">
        <v>116</v>
      </c>
      <c r="I312" s="80">
        <v>3000.0</v>
      </c>
      <c r="J312" s="81"/>
      <c r="K312" s="79" t="s">
        <v>289</v>
      </c>
      <c r="L312" s="80">
        <v>40.0</v>
      </c>
      <c r="M312" s="79" t="s">
        <v>4284</v>
      </c>
      <c r="N312" s="79" t="s">
        <v>577</v>
      </c>
      <c r="O312" s="79" t="s">
        <v>3508</v>
      </c>
      <c r="P312" s="83">
        <v>38200.0</v>
      </c>
      <c r="Q312" s="81"/>
      <c r="R312" s="86" t="str">
        <f>HYPERLINK("http://www.toolsofchange.com/English/CaseStudies/?ID=156","http://www.toolsofchange.com/English/CaseStudies/?ID=156")</f>
        <v>http://www.toolsofchange.com/English/CaseStudies/?ID=156</v>
      </c>
      <c r="S312" s="81"/>
      <c r="T312" s="81" t="s">
        <v>428</v>
      </c>
      <c r="U312" s="81" t="s">
        <v>462</v>
      </c>
      <c r="V312" s="81"/>
      <c r="W312" s="81" t="s">
        <v>769</v>
      </c>
      <c r="X312" s="81" t="s">
        <v>4285</v>
      </c>
      <c r="Y312" s="88">
        <v>42425.0</v>
      </c>
      <c r="Z312" s="81"/>
      <c r="AA312" s="81"/>
      <c r="AB312" s="81"/>
      <c r="AC312" s="88"/>
      <c r="AD312" s="81"/>
      <c r="AE312" s="88"/>
      <c r="AF312" s="81"/>
      <c r="AG312" s="81"/>
      <c r="AH312" s="81"/>
      <c r="AI312" s="81"/>
      <c r="AJ312" s="81"/>
      <c r="AK312" s="79"/>
      <c r="AL312" s="79"/>
    </row>
    <row r="313" ht="22.5" customHeight="1">
      <c r="A313" s="79">
        <v>10311.0</v>
      </c>
      <c r="B313" s="79" t="s">
        <v>1230</v>
      </c>
      <c r="C313" s="79" t="s">
        <v>238</v>
      </c>
      <c r="D313" s="79" t="s">
        <v>64</v>
      </c>
      <c r="E313" s="79" t="s">
        <v>490</v>
      </c>
      <c r="F313" s="80">
        <v>6.0</v>
      </c>
      <c r="G313" s="81"/>
      <c r="H313" s="79" t="s">
        <v>116</v>
      </c>
      <c r="I313" s="80">
        <v>3000.0</v>
      </c>
      <c r="J313" s="81"/>
      <c r="K313" s="79" t="s">
        <v>289</v>
      </c>
      <c r="L313" s="80">
        <v>40.0</v>
      </c>
      <c r="M313" s="79" t="s">
        <v>4287</v>
      </c>
      <c r="N313" s="79" t="s">
        <v>577</v>
      </c>
      <c r="O313" s="79" t="s">
        <v>4288</v>
      </c>
      <c r="P313" s="83"/>
      <c r="Q313" s="81" t="s">
        <v>4289</v>
      </c>
      <c r="R313" s="86" t="str">
        <f>HYPERLINK("https://sparq.stanford.edu/solutions/revealing-hypocrisy-boosts-water-conservation","https://sparq.stanford.edu/solutions/revealing-hypocrisy-boosts-water-conservation")</f>
        <v>https://sparq.stanford.edu/solutions/revealing-hypocrisy-boosts-water-conservation</v>
      </c>
      <c r="S313" s="81"/>
      <c r="T313" s="81" t="s">
        <v>428</v>
      </c>
      <c r="U313" s="81" t="s">
        <v>462</v>
      </c>
      <c r="V313" s="81"/>
      <c r="W313" s="81" t="s">
        <v>600</v>
      </c>
      <c r="X313" s="81"/>
      <c r="Y313" s="88"/>
      <c r="Z313" s="81"/>
      <c r="AA313" s="81"/>
      <c r="AB313" s="81"/>
      <c r="AC313" s="88"/>
      <c r="AD313" s="81"/>
      <c r="AE313" s="81"/>
      <c r="AF313" s="81"/>
      <c r="AG313" s="81"/>
      <c r="AH313" s="81"/>
      <c r="AI313" s="81"/>
      <c r="AJ313" s="81"/>
      <c r="AK313" s="79"/>
      <c r="AL313" s="79"/>
    </row>
    <row r="314" ht="22.5" customHeight="1">
      <c r="A314" s="79">
        <v>10312.0</v>
      </c>
      <c r="B314" s="79" t="s">
        <v>1230</v>
      </c>
      <c r="C314" s="79" t="s">
        <v>238</v>
      </c>
      <c r="D314" s="79" t="s">
        <v>64</v>
      </c>
      <c r="E314" s="79" t="s">
        <v>490</v>
      </c>
      <c r="F314" s="80">
        <v>6.0</v>
      </c>
      <c r="G314" s="81"/>
      <c r="H314" s="79" t="s">
        <v>224</v>
      </c>
      <c r="I314" s="80"/>
      <c r="J314" s="81"/>
      <c r="K314" s="79" t="s">
        <v>289</v>
      </c>
      <c r="L314" s="80">
        <v>40.0</v>
      </c>
      <c r="M314" s="79" t="s">
        <v>4308</v>
      </c>
      <c r="N314" s="79" t="s">
        <v>4309</v>
      </c>
      <c r="O314" s="79" t="s">
        <v>1375</v>
      </c>
      <c r="P314" s="83">
        <v>39819.0</v>
      </c>
      <c r="Q314" s="81" t="s">
        <v>4310</v>
      </c>
      <c r="R314" s="86" t="str">
        <f>HYPERLINK("http://www.washingtonpost.com/wp-dyn/content/article/2009/01/05/AR2009010501863.html","http://www.washingtonpost.com/wp-dyn/content/article/2009/01/05/AR2009010501863.html")</f>
        <v>http://www.washingtonpost.com/wp-dyn/content/article/2009/01/05/AR2009010501863.html</v>
      </c>
      <c r="S314" s="81"/>
      <c r="T314" s="81" t="s">
        <v>462</v>
      </c>
      <c r="U314" s="81" t="s">
        <v>462</v>
      </c>
      <c r="V314" s="81"/>
      <c r="W314" s="81" t="s">
        <v>677</v>
      </c>
      <c r="X314" s="81"/>
      <c r="Y314" s="88"/>
      <c r="Z314" s="81"/>
      <c r="AA314" s="81"/>
      <c r="AB314" s="81"/>
      <c r="AC314" s="88"/>
      <c r="AD314" s="81"/>
      <c r="AE314" s="81"/>
      <c r="AF314" s="81"/>
      <c r="AG314" s="81"/>
      <c r="AH314" s="81"/>
      <c r="AI314" s="81"/>
      <c r="AJ314" s="81"/>
      <c r="AK314" s="79"/>
      <c r="AL314" s="79"/>
    </row>
    <row r="315" ht="22.5" customHeight="1">
      <c r="A315" s="79">
        <v>10313.0</v>
      </c>
      <c r="B315" s="79" t="s">
        <v>1230</v>
      </c>
      <c r="C315" s="79" t="s">
        <v>238</v>
      </c>
      <c r="D315" s="79" t="s">
        <v>64</v>
      </c>
      <c r="E315" s="79" t="s">
        <v>490</v>
      </c>
      <c r="F315" s="80">
        <v>6.0</v>
      </c>
      <c r="G315" s="81"/>
      <c r="H315" s="79" t="s">
        <v>224</v>
      </c>
      <c r="I315" s="80"/>
      <c r="J315" s="81"/>
      <c r="K315" s="79" t="s">
        <v>324</v>
      </c>
      <c r="L315" s="80" t="s">
        <v>325</v>
      </c>
      <c r="M315" s="79" t="s">
        <v>4317</v>
      </c>
      <c r="N315" s="79" t="s">
        <v>4318</v>
      </c>
      <c r="O315" s="79" t="s">
        <v>1571</v>
      </c>
      <c r="P315" s="83">
        <v>41138.0</v>
      </c>
      <c r="Q315" s="81" t="s">
        <v>4319</v>
      </c>
      <c r="R315" s="86" t="str">
        <f>HYPERLINK("https://www.psychologytoday.com/blog/dont-delay/201208/the-power-hypocrisy","https://www.psychologytoday.com/blog/dont-delay/201208/the-power-hypocrisy")</f>
        <v>https://www.psychologytoday.com/blog/dont-delay/201208/the-power-hypocrisy</v>
      </c>
      <c r="S315" s="81"/>
      <c r="T315" s="81" t="s">
        <v>462</v>
      </c>
      <c r="U315" s="81" t="s">
        <v>462</v>
      </c>
      <c r="V315" s="81"/>
      <c r="W315" s="81" t="s">
        <v>677</v>
      </c>
      <c r="X315" s="81"/>
      <c r="Y315" s="81"/>
      <c r="Z315" s="81"/>
      <c r="AA315" s="81"/>
      <c r="AB315" s="81"/>
      <c r="AC315" s="81"/>
      <c r="AD315" s="81"/>
      <c r="AE315" s="81"/>
      <c r="AF315" s="81"/>
      <c r="AG315" s="81"/>
      <c r="AH315" s="81"/>
      <c r="AI315" s="81"/>
      <c r="AJ315" s="81"/>
      <c r="AK315" s="79"/>
      <c r="AL315" s="79"/>
    </row>
    <row r="316" ht="22.5" customHeight="1">
      <c r="A316" s="79">
        <v>10314.0</v>
      </c>
      <c r="B316" s="79" t="s">
        <v>1230</v>
      </c>
      <c r="C316" s="79" t="s">
        <v>238</v>
      </c>
      <c r="D316" s="79" t="s">
        <v>64</v>
      </c>
      <c r="E316" s="79" t="s">
        <v>1292</v>
      </c>
      <c r="F316" s="80" t="s">
        <v>1293</v>
      </c>
      <c r="G316" s="81"/>
      <c r="H316" s="79" t="s">
        <v>224</v>
      </c>
      <c r="I316" s="80"/>
      <c r="J316" s="81"/>
      <c r="K316" s="79" t="s">
        <v>289</v>
      </c>
      <c r="L316" s="80">
        <v>40.0</v>
      </c>
      <c r="M316" s="79" t="s">
        <v>4321</v>
      </c>
      <c r="N316" s="79" t="s">
        <v>3197</v>
      </c>
      <c r="O316" s="79" t="s">
        <v>2201</v>
      </c>
      <c r="P316" s="83">
        <v>42024.0</v>
      </c>
      <c r="Q316" s="81" t="s">
        <v>4322</v>
      </c>
      <c r="R316" s="86" t="str">
        <f>HYPERLINK("http://nymag.com/scienceofus/2015/01/changing-a-habit-can-mess-with-your-identity.html","http://nymag.com/scienceofus/2015/01/changing-a-habit-can-mess-with-your-identity.html")</f>
        <v>http://nymag.com/scienceofus/2015/01/changing-a-habit-can-mess-with-your-identity.html</v>
      </c>
      <c r="S316" s="81" t="s">
        <v>4326</v>
      </c>
      <c r="T316" s="81" t="s">
        <v>428</v>
      </c>
      <c r="U316" s="81" t="s">
        <v>462</v>
      </c>
      <c r="V316" s="81"/>
      <c r="W316" s="81" t="s">
        <v>677</v>
      </c>
      <c r="X316" s="81"/>
      <c r="Y316" s="81"/>
      <c r="Z316" s="81"/>
      <c r="AA316" s="81"/>
      <c r="AB316" s="81"/>
      <c r="AC316" s="81"/>
      <c r="AD316" s="81"/>
      <c r="AE316" s="81"/>
      <c r="AF316" s="81"/>
      <c r="AG316" s="81"/>
      <c r="AH316" s="81"/>
      <c r="AI316" s="81"/>
      <c r="AJ316" s="81"/>
      <c r="AK316" s="79"/>
      <c r="AL316" s="79"/>
    </row>
    <row r="317" ht="22.5" customHeight="1">
      <c r="A317" s="79">
        <v>10315.0</v>
      </c>
      <c r="B317" s="79" t="s">
        <v>1230</v>
      </c>
      <c r="C317" s="79" t="s">
        <v>238</v>
      </c>
      <c r="D317" s="79" t="s">
        <v>64</v>
      </c>
      <c r="E317" s="79" t="s">
        <v>4330</v>
      </c>
      <c r="F317" s="80" t="s">
        <v>1293</v>
      </c>
      <c r="G317" s="81"/>
      <c r="H317" s="79" t="s">
        <v>1114</v>
      </c>
      <c r="I317" s="80">
        <v>2000.0</v>
      </c>
      <c r="J317" s="81"/>
      <c r="K317" s="79" t="s">
        <v>289</v>
      </c>
      <c r="L317" s="80">
        <v>40.0</v>
      </c>
      <c r="M317" s="79" t="s">
        <v>4337</v>
      </c>
      <c r="N317" s="79" t="s">
        <v>4339</v>
      </c>
      <c r="O317" s="79" t="s">
        <v>1571</v>
      </c>
      <c r="P317" s="83">
        <v>41403.0</v>
      </c>
      <c r="Q317" s="81" t="s">
        <v>4340</v>
      </c>
      <c r="R317" s="86" t="str">
        <f>HYPERLINK("https://www.psychologytoday.com/blog/presence-mind/201305/are-you-sustainability-hypocrite","https://www.psychologytoday.com/blog/presence-mind/201305/are-you-sustainability-hypocrite")</f>
        <v>https://www.psychologytoday.com/blog/presence-mind/201305/are-you-sustainability-hypocrite</v>
      </c>
      <c r="S317" s="81"/>
      <c r="T317" s="81" t="s">
        <v>428</v>
      </c>
      <c r="U317" s="81" t="s">
        <v>462</v>
      </c>
      <c r="V317" s="81"/>
      <c r="W317" s="81" t="s">
        <v>600</v>
      </c>
      <c r="X317" s="81"/>
      <c r="Y317" s="88"/>
      <c r="Z317" s="88"/>
      <c r="AA317" s="81"/>
      <c r="AB317" s="81"/>
      <c r="AC317" s="81"/>
      <c r="AD317" s="81"/>
      <c r="AE317" s="81"/>
      <c r="AF317" s="81"/>
      <c r="AG317" s="81"/>
      <c r="AH317" s="81"/>
      <c r="AI317" s="81"/>
      <c r="AJ317" s="81"/>
      <c r="AK317" s="79"/>
      <c r="AL317" s="79"/>
    </row>
    <row r="318" ht="22.5" customHeight="1">
      <c r="A318" s="79">
        <v>10316.0</v>
      </c>
      <c r="B318" s="79" t="s">
        <v>1230</v>
      </c>
      <c r="C318" s="79" t="s">
        <v>238</v>
      </c>
      <c r="D318" s="79" t="s">
        <v>64</v>
      </c>
      <c r="E318" s="79" t="s">
        <v>928</v>
      </c>
      <c r="F318" s="80" t="s">
        <v>929</v>
      </c>
      <c r="G318" s="81"/>
      <c r="H318" s="79" t="s">
        <v>644</v>
      </c>
      <c r="I318" s="80">
        <v>2000.0</v>
      </c>
      <c r="J318" s="81"/>
      <c r="K318" s="79" t="s">
        <v>289</v>
      </c>
      <c r="L318" s="80">
        <v>40.0</v>
      </c>
      <c r="M318" s="94" t="s">
        <v>4350</v>
      </c>
      <c r="N318" s="79" t="s">
        <v>1286</v>
      </c>
      <c r="O318" s="79" t="s">
        <v>2732</v>
      </c>
      <c r="P318" s="83">
        <v>42160.0</v>
      </c>
      <c r="Q318" s="81" t="s">
        <v>4351</v>
      </c>
      <c r="R318" s="86" t="str">
        <f>HYPERLINK("http://www.theguardian.com/sustainable-business/2015/jun/05/mad-max-angry-birds-climate-change-message?","http://www.theguardian.com/sustainable-business/2015/jun/05/mad-max-angry-birds-climate-change-message?")</f>
        <v>http://www.theguardian.com/sustainable-business/2015/jun/05/mad-max-angry-birds-climate-change-message?</v>
      </c>
      <c r="S318" s="81"/>
      <c r="T318" s="81"/>
      <c r="U318" s="81"/>
      <c r="V318" s="81"/>
      <c r="W318" s="81" t="s">
        <v>769</v>
      </c>
      <c r="X318" s="81" t="s">
        <v>4354</v>
      </c>
      <c r="Y318" s="88">
        <v>42642.0</v>
      </c>
      <c r="Z318" s="81"/>
      <c r="AA318" s="81"/>
      <c r="AB318" s="81"/>
      <c r="AC318" s="81"/>
      <c r="AD318" s="81"/>
      <c r="AE318" s="81"/>
      <c r="AF318" s="81"/>
      <c r="AG318" s="81"/>
      <c r="AH318" s="81"/>
      <c r="AI318" s="81" t="s">
        <v>428</v>
      </c>
      <c r="AJ318" s="81" t="s">
        <v>1680</v>
      </c>
      <c r="AK318" s="79"/>
      <c r="AL318" s="79"/>
    </row>
    <row r="319" ht="22.5" customHeight="1">
      <c r="A319" s="79">
        <v>10317.0</v>
      </c>
      <c r="B319" s="79" t="s">
        <v>1230</v>
      </c>
      <c r="C319" s="79" t="s">
        <v>238</v>
      </c>
      <c r="D319" s="79" t="s">
        <v>64</v>
      </c>
      <c r="E319" s="79" t="s">
        <v>928</v>
      </c>
      <c r="F319" s="80" t="s">
        <v>929</v>
      </c>
      <c r="G319" s="81"/>
      <c r="H319" s="79" t="s">
        <v>224</v>
      </c>
      <c r="I319" s="80"/>
      <c r="J319" s="81"/>
      <c r="K319" s="79" t="s">
        <v>289</v>
      </c>
      <c r="L319" s="80">
        <v>40.0</v>
      </c>
      <c r="M319" s="79" t="s">
        <v>4357</v>
      </c>
      <c r="N319" s="79" t="s">
        <v>4358</v>
      </c>
      <c r="O319" s="79" t="s">
        <v>1325</v>
      </c>
      <c r="P319" s="83">
        <v>40480.0</v>
      </c>
      <c r="Q319" s="81" t="s">
        <v>4360</v>
      </c>
      <c r="R319" s="86" t="str">
        <f>HYPERLINK("http://www.nytimes.com/2010/10/31/magazine/31politics-t.html?pagewanted=all&amp;_r=0","http://www.nytimes.com/2010/10/31/magazine/31politics-t.html?pagewanted=all&amp;_r=0")</f>
        <v>http://www.nytimes.com/2010/10/31/magazine/31politics-t.html?pagewanted=all&amp;_r=0</v>
      </c>
      <c r="S319" s="81"/>
      <c r="T319" s="81" t="s">
        <v>4365</v>
      </c>
      <c r="U319" s="81" t="s">
        <v>4365</v>
      </c>
      <c r="V319" s="81"/>
      <c r="W319" s="81" t="s">
        <v>677</v>
      </c>
      <c r="X319" s="81"/>
      <c r="Y319" s="88"/>
      <c r="Z319" s="81"/>
      <c r="AA319" s="81"/>
      <c r="AB319" s="81"/>
      <c r="AC319" s="88"/>
      <c r="AD319" s="81"/>
      <c r="AE319" s="88"/>
      <c r="AF319" s="81"/>
      <c r="AG319" s="81"/>
      <c r="AH319" s="81"/>
      <c r="AI319" s="81"/>
      <c r="AJ319" s="81" t="s">
        <v>991</v>
      </c>
      <c r="AK319" s="79"/>
      <c r="AL319" s="79"/>
    </row>
    <row r="320" ht="22.5" customHeight="1">
      <c r="A320" s="79">
        <v>10318.0</v>
      </c>
      <c r="B320" s="79" t="s">
        <v>1230</v>
      </c>
      <c r="C320" s="79" t="s">
        <v>238</v>
      </c>
      <c r="D320" s="79" t="s">
        <v>64</v>
      </c>
      <c r="E320" s="79" t="s">
        <v>3469</v>
      </c>
      <c r="F320" s="80" t="s">
        <v>3470</v>
      </c>
      <c r="G320" s="81"/>
      <c r="H320" s="79" t="s">
        <v>789</v>
      </c>
      <c r="I320" s="80">
        <v>21000.0</v>
      </c>
      <c r="J320" s="81"/>
      <c r="K320" s="79" t="s">
        <v>324</v>
      </c>
      <c r="L320" s="80" t="s">
        <v>325</v>
      </c>
      <c r="M320" s="94" t="s">
        <v>3687</v>
      </c>
      <c r="N320" s="79" t="s">
        <v>3688</v>
      </c>
      <c r="O320" s="79" t="s">
        <v>3689</v>
      </c>
      <c r="P320" s="83">
        <v>42323.0</v>
      </c>
      <c r="Q320" s="81" t="s">
        <v>3690</v>
      </c>
      <c r="R320" s="86" t="str">
        <f>HYPERLINK("http://www.ft.com/intl/cms/s/2/e98e2018-70ca-11e5-ad6d-f4ed76f0900a.html#axzz3rh5c0Tt3","http://www.ft.com/intl/cms/s/2/e98e2018-70ca-11e5-ad6d-f4ed76f0900a.html#axzz3rh5c0Tt3")</f>
        <v>http://www.ft.com/intl/cms/s/2/e98e2018-70ca-11e5-ad6d-f4ed76f0900a.html#axzz3rh5c0Tt3</v>
      </c>
      <c r="S320" s="81"/>
      <c r="T320" s="81"/>
      <c r="U320" s="81"/>
      <c r="V320" s="81"/>
      <c r="W320" s="81" t="s">
        <v>677</v>
      </c>
      <c r="X320" s="81"/>
      <c r="Y320" s="81"/>
      <c r="Z320" s="81"/>
      <c r="AA320" s="81"/>
      <c r="AB320" s="81"/>
      <c r="AC320" s="81"/>
      <c r="AD320" s="81"/>
      <c r="AE320" s="81"/>
      <c r="AF320" s="81"/>
      <c r="AG320" s="81"/>
      <c r="AH320" s="81"/>
      <c r="AI320" s="81" t="s">
        <v>428</v>
      </c>
      <c r="AJ320" s="81"/>
      <c r="AK320" s="79"/>
      <c r="AL320" s="79"/>
    </row>
    <row r="321" ht="22.5" customHeight="1">
      <c r="A321" s="79">
        <v>10319.0</v>
      </c>
      <c r="B321" s="79" t="s">
        <v>1230</v>
      </c>
      <c r="C321" s="79" t="s">
        <v>238</v>
      </c>
      <c r="D321" s="79" t="s">
        <v>64</v>
      </c>
      <c r="E321" s="79" t="s">
        <v>280</v>
      </c>
      <c r="F321" s="80">
        <v>10.0</v>
      </c>
      <c r="G321" s="81"/>
      <c r="H321" s="79" t="s">
        <v>470</v>
      </c>
      <c r="I321" s="80">
        <v>3000.0</v>
      </c>
      <c r="J321" s="81"/>
      <c r="K321" s="79" t="s">
        <v>687</v>
      </c>
      <c r="L321" s="80" t="s">
        <v>688</v>
      </c>
      <c r="M321" s="79" t="s">
        <v>4377</v>
      </c>
      <c r="N321" s="79" t="s">
        <v>4378</v>
      </c>
      <c r="O321" s="79" t="s">
        <v>1363</v>
      </c>
      <c r="P321" s="83">
        <v>42013.0</v>
      </c>
      <c r="Q321" s="81" t="s">
        <v>1435</v>
      </c>
      <c r="R321" s="86" t="str">
        <f>HYPERLINK("http://blog.opower.com/2015/01/us-drivers-13-less-energy/","http://blog.opower.com/2015/01/us-drivers-13-less-energy/")</f>
        <v>http://blog.opower.com/2015/01/us-drivers-13-less-energy/</v>
      </c>
      <c r="S321" s="81"/>
      <c r="T321" s="81" t="s">
        <v>462</v>
      </c>
      <c r="U321" s="81" t="s">
        <v>462</v>
      </c>
      <c r="V321" s="81"/>
      <c r="W321" s="81" t="s">
        <v>600</v>
      </c>
      <c r="X321" s="81"/>
      <c r="Y321" s="81"/>
      <c r="Z321" s="81"/>
      <c r="AA321" s="81"/>
      <c r="AB321" s="81"/>
      <c r="AC321" s="81"/>
      <c r="AD321" s="81"/>
      <c r="AE321" s="81"/>
      <c r="AF321" s="81"/>
      <c r="AG321" s="81"/>
      <c r="AH321" s="81"/>
      <c r="AI321" s="81"/>
      <c r="AJ321" s="81" t="s">
        <v>678</v>
      </c>
      <c r="AK321" s="81"/>
      <c r="AL321" s="79"/>
    </row>
    <row r="322" ht="22.5" customHeight="1">
      <c r="A322" s="79">
        <v>10320.0</v>
      </c>
      <c r="B322" s="79" t="s">
        <v>1230</v>
      </c>
      <c r="C322" s="79" t="s">
        <v>238</v>
      </c>
      <c r="D322" s="79" t="s">
        <v>64</v>
      </c>
      <c r="E322" s="79" t="s">
        <v>280</v>
      </c>
      <c r="F322" s="80">
        <v>10.0</v>
      </c>
      <c r="G322" s="81"/>
      <c r="H322" s="79" t="s">
        <v>224</v>
      </c>
      <c r="I322" s="80"/>
      <c r="J322" s="81"/>
      <c r="K322" s="79" t="s">
        <v>289</v>
      </c>
      <c r="L322" s="80">
        <v>40.0</v>
      </c>
      <c r="M322" s="79" t="s">
        <v>4391</v>
      </c>
      <c r="N322" s="79" t="s">
        <v>4392</v>
      </c>
      <c r="O322" s="79" t="s">
        <v>4394</v>
      </c>
      <c r="P322" s="79"/>
      <c r="Q322" s="81" t="s">
        <v>4396</v>
      </c>
      <c r="R322" s="79" t="s">
        <v>4398</v>
      </c>
      <c r="S322" s="81" t="s">
        <v>4399</v>
      </c>
      <c r="T322" s="81"/>
      <c r="U322" s="81"/>
      <c r="V322" s="81"/>
      <c r="W322" s="81"/>
      <c r="X322" s="81"/>
      <c r="Y322" s="81"/>
      <c r="Z322" s="81"/>
      <c r="AA322" s="81"/>
      <c r="AB322" s="81"/>
      <c r="AC322" s="81"/>
      <c r="AD322" s="81"/>
      <c r="AE322" s="81"/>
      <c r="AF322" s="81"/>
      <c r="AG322" s="81"/>
      <c r="AH322" s="81"/>
      <c r="AI322" s="81"/>
      <c r="AJ322" s="81" t="s">
        <v>4400</v>
      </c>
      <c r="AK322" s="81"/>
      <c r="AL322" s="79"/>
    </row>
    <row r="323" ht="22.5" customHeight="1">
      <c r="A323" s="79">
        <v>10321.0</v>
      </c>
      <c r="B323" s="79" t="s">
        <v>1230</v>
      </c>
      <c r="C323" s="79" t="s">
        <v>238</v>
      </c>
      <c r="D323" s="79" t="s">
        <v>64</v>
      </c>
      <c r="E323" s="79" t="s">
        <v>280</v>
      </c>
      <c r="F323" s="80">
        <v>10.0</v>
      </c>
      <c r="G323" s="81"/>
      <c r="H323" s="79" t="s">
        <v>224</v>
      </c>
      <c r="I323" s="80"/>
      <c r="J323" s="81"/>
      <c r="K323" s="79" t="s">
        <v>289</v>
      </c>
      <c r="L323" s="80">
        <v>40.0</v>
      </c>
      <c r="M323" s="79" t="s">
        <v>4401</v>
      </c>
      <c r="N323" s="79" t="s">
        <v>4402</v>
      </c>
      <c r="O323" s="79" t="s">
        <v>4403</v>
      </c>
      <c r="P323" s="105">
        <v>41452.0</v>
      </c>
      <c r="Q323" s="81" t="s">
        <v>4404</v>
      </c>
      <c r="R323" s="79" t="s">
        <v>4405</v>
      </c>
      <c r="S323" s="81" t="s">
        <v>4406</v>
      </c>
      <c r="T323" s="81"/>
      <c r="U323" s="81"/>
      <c r="V323" s="81" t="s">
        <v>4407</v>
      </c>
      <c r="W323" s="81"/>
      <c r="X323" s="81"/>
      <c r="Y323" s="81"/>
      <c r="Z323" s="81"/>
      <c r="AA323" s="81"/>
      <c r="AB323" s="81"/>
      <c r="AC323" s="81"/>
      <c r="AD323" s="81"/>
      <c r="AE323" s="81"/>
      <c r="AF323" s="81"/>
      <c r="AG323" s="81"/>
      <c r="AH323" s="81"/>
      <c r="AI323" s="81"/>
      <c r="AJ323" s="81"/>
      <c r="AK323" s="81"/>
      <c r="AL323" s="79"/>
    </row>
    <row r="324" ht="22.5" customHeight="1">
      <c r="A324" s="79">
        <v>10322.0</v>
      </c>
      <c r="B324" s="79" t="s">
        <v>1230</v>
      </c>
      <c r="C324" s="79" t="s">
        <v>238</v>
      </c>
      <c r="D324" s="79" t="s">
        <v>64</v>
      </c>
      <c r="E324" s="79" t="s">
        <v>280</v>
      </c>
      <c r="F324" s="80">
        <v>10.0</v>
      </c>
      <c r="G324" s="81"/>
      <c r="H324" s="79" t="s">
        <v>286</v>
      </c>
      <c r="I324" s="80">
        <v>3000.0</v>
      </c>
      <c r="J324" s="81"/>
      <c r="K324" s="79" t="s">
        <v>289</v>
      </c>
      <c r="L324" s="80">
        <v>40.0</v>
      </c>
      <c r="M324" s="79" t="s">
        <v>291</v>
      </c>
      <c r="N324" s="79" t="s">
        <v>294</v>
      </c>
      <c r="O324" s="79" t="s">
        <v>296</v>
      </c>
      <c r="P324" s="105">
        <v>41961.0</v>
      </c>
      <c r="Q324" s="81" t="s">
        <v>311</v>
      </c>
      <c r="R324" s="79" t="s">
        <v>313</v>
      </c>
      <c r="S324" s="81"/>
      <c r="T324" s="81"/>
      <c r="U324" s="81"/>
      <c r="V324" s="81"/>
      <c r="W324" s="81"/>
      <c r="X324" s="81"/>
      <c r="Y324" s="81"/>
      <c r="Z324" s="81"/>
      <c r="AA324" s="81"/>
      <c r="AB324" s="81"/>
      <c r="AC324" s="81"/>
      <c r="AD324" s="81"/>
      <c r="AE324" s="81"/>
      <c r="AF324" s="81"/>
      <c r="AG324" s="81"/>
      <c r="AH324" s="81"/>
      <c r="AI324" s="81"/>
      <c r="AJ324" s="81" t="s">
        <v>314</v>
      </c>
      <c r="AK324" s="81"/>
      <c r="AL324" s="79"/>
    </row>
    <row r="325" ht="22.5" customHeight="1">
      <c r="A325" s="79">
        <v>10323.0</v>
      </c>
      <c r="B325" s="79" t="s">
        <v>1230</v>
      </c>
      <c r="C325" s="79" t="s">
        <v>238</v>
      </c>
      <c r="D325" s="79" t="s">
        <v>64</v>
      </c>
      <c r="E325" s="79" t="s">
        <v>280</v>
      </c>
      <c r="F325" s="80">
        <v>10.0</v>
      </c>
      <c r="G325" s="81"/>
      <c r="H325" s="79" t="s">
        <v>470</v>
      </c>
      <c r="I325" s="80">
        <v>3000.0</v>
      </c>
      <c r="J325" s="81"/>
      <c r="K325" s="79" t="s">
        <v>111</v>
      </c>
      <c r="L325" s="80">
        <v>41.0</v>
      </c>
      <c r="M325" s="79" t="s">
        <v>4414</v>
      </c>
      <c r="N325" s="79" t="s">
        <v>4416</v>
      </c>
      <c r="O325" s="79" t="s">
        <v>3992</v>
      </c>
      <c r="P325" s="83">
        <v>42345.0</v>
      </c>
      <c r="Q325" s="81" t="s">
        <v>4417</v>
      </c>
      <c r="R325" s="86" t="str">
        <f>HYPERLINK("http://www.sciencedirect.com/science/article/pii/S0272494415300487","http://www.sciencedirect.com/science/article/pii/S0272494415300487")</f>
        <v>http://www.sciencedirect.com/science/article/pii/S0272494415300487</v>
      </c>
      <c r="S325" s="81" t="s">
        <v>4422</v>
      </c>
      <c r="T325" s="81" t="s">
        <v>428</v>
      </c>
      <c r="U325" s="81"/>
      <c r="V325" s="81" t="s">
        <v>663</v>
      </c>
      <c r="W325" s="81"/>
      <c r="X325" s="81"/>
      <c r="Y325" s="81"/>
      <c r="Z325" s="81"/>
      <c r="AA325" s="81"/>
      <c r="AB325" s="81"/>
      <c r="AC325" s="81"/>
      <c r="AD325" s="81"/>
      <c r="AE325" s="81"/>
      <c r="AF325" s="81"/>
      <c r="AG325" s="81"/>
      <c r="AH325" s="81"/>
      <c r="AI325" s="81"/>
      <c r="AJ325" s="81" t="s">
        <v>2456</v>
      </c>
      <c r="AK325" s="81"/>
      <c r="AL325" s="79"/>
    </row>
    <row r="326" ht="22.5" customHeight="1">
      <c r="A326" s="79">
        <v>10324.0</v>
      </c>
      <c r="B326" s="79" t="s">
        <v>1230</v>
      </c>
      <c r="C326" s="79" t="s">
        <v>238</v>
      </c>
      <c r="D326" s="79" t="s">
        <v>64</v>
      </c>
      <c r="E326" s="79" t="s">
        <v>280</v>
      </c>
      <c r="F326" s="80">
        <v>10.0</v>
      </c>
      <c r="G326" s="81"/>
      <c r="H326" s="79" t="s">
        <v>224</v>
      </c>
      <c r="I326" s="80"/>
      <c r="J326" s="81"/>
      <c r="K326" s="79" t="s">
        <v>3835</v>
      </c>
      <c r="L326" s="80" t="s">
        <v>3836</v>
      </c>
      <c r="M326" s="79" t="s">
        <v>4426</v>
      </c>
      <c r="N326" s="79" t="s">
        <v>3944</v>
      </c>
      <c r="O326" s="79" t="s">
        <v>754</v>
      </c>
      <c r="P326" s="105">
        <v>39642.0</v>
      </c>
      <c r="Q326" s="81" t="s">
        <v>4427</v>
      </c>
      <c r="R326" s="79" t="s">
        <v>4429</v>
      </c>
      <c r="S326" s="81" t="s">
        <v>4432</v>
      </c>
      <c r="T326" s="81"/>
      <c r="U326" s="81" t="s">
        <v>769</v>
      </c>
      <c r="V326" s="81" t="s">
        <v>915</v>
      </c>
      <c r="W326" s="81"/>
      <c r="X326" s="81"/>
      <c r="Y326" s="81"/>
      <c r="Z326" s="81"/>
      <c r="AA326" s="81"/>
      <c r="AB326" s="81"/>
      <c r="AC326" s="81"/>
      <c r="AD326" s="81"/>
      <c r="AE326" s="81"/>
      <c r="AF326" s="81"/>
      <c r="AG326" s="81"/>
      <c r="AH326" s="81"/>
      <c r="AI326" s="81"/>
      <c r="AJ326" s="81" t="s">
        <v>998</v>
      </c>
      <c r="AK326" s="81"/>
      <c r="AL326" s="79"/>
    </row>
    <row r="327" ht="22.5" customHeight="1">
      <c r="A327" s="79">
        <v>10325.0</v>
      </c>
      <c r="B327" s="79" t="s">
        <v>1230</v>
      </c>
      <c r="C327" s="79" t="s">
        <v>238</v>
      </c>
      <c r="D327" s="79" t="s">
        <v>64</v>
      </c>
      <c r="E327" s="79" t="s">
        <v>280</v>
      </c>
      <c r="F327" s="80">
        <v>10.0</v>
      </c>
      <c r="G327" s="81"/>
      <c r="H327" s="79" t="s">
        <v>224</v>
      </c>
      <c r="I327" s="80"/>
      <c r="J327" s="81"/>
      <c r="K327" s="79" t="s">
        <v>289</v>
      </c>
      <c r="L327" s="80">
        <v>40.0</v>
      </c>
      <c r="M327" s="79" t="s">
        <v>4433</v>
      </c>
      <c r="N327" s="79" t="s">
        <v>3944</v>
      </c>
      <c r="O327" s="79" t="s">
        <v>1325</v>
      </c>
      <c r="P327" s="83">
        <v>40955.0</v>
      </c>
      <c r="Q327" s="81" t="s">
        <v>4434</v>
      </c>
      <c r="R327" s="86" t="str">
        <f>HYPERLINK("http://www.nytimes.com/2012/02/19/magazine/shopping-habits.html?pagewanted=all&amp;_r=0","http://www.nytimes.com/2012/02/19/magazine/shopping-habits.html?pagewanted=all&amp;_r=0")</f>
        <v>http://www.nytimes.com/2012/02/19/magazine/shopping-habits.html?pagewanted=all&amp;_r=0</v>
      </c>
      <c r="S327" s="81" t="s">
        <v>1809</v>
      </c>
      <c r="T327" s="81" t="s">
        <v>462</v>
      </c>
      <c r="U327" s="81" t="s">
        <v>462</v>
      </c>
      <c r="V327" s="81" t="s">
        <v>676</v>
      </c>
      <c r="W327" s="81" t="s">
        <v>677</v>
      </c>
      <c r="X327" s="81"/>
      <c r="Y327" s="88"/>
      <c r="Z327" s="81"/>
      <c r="AA327" s="81"/>
      <c r="AB327" s="81"/>
      <c r="AC327" s="88"/>
      <c r="AD327" s="81"/>
      <c r="AE327" s="81"/>
      <c r="AF327" s="81"/>
      <c r="AG327" s="81"/>
      <c r="AH327" s="81"/>
      <c r="AI327" s="81"/>
      <c r="AJ327" s="81"/>
      <c r="AK327" s="81"/>
      <c r="AL327" s="79"/>
    </row>
    <row r="328" ht="22.5" customHeight="1">
      <c r="A328" s="79">
        <v>10326.0</v>
      </c>
      <c r="B328" s="79" t="s">
        <v>1230</v>
      </c>
      <c r="C328" s="79" t="s">
        <v>238</v>
      </c>
      <c r="D328" s="79" t="s">
        <v>64</v>
      </c>
      <c r="E328" s="79" t="s">
        <v>280</v>
      </c>
      <c r="F328" s="80">
        <v>10.0</v>
      </c>
      <c r="G328" s="81"/>
      <c r="H328" s="79" t="s">
        <v>224</v>
      </c>
      <c r="I328" s="80"/>
      <c r="J328" s="81"/>
      <c r="K328" s="79" t="s">
        <v>289</v>
      </c>
      <c r="L328" s="80">
        <v>40.0</v>
      </c>
      <c r="M328" s="79" t="s">
        <v>4447</v>
      </c>
      <c r="N328" s="79" t="s">
        <v>3944</v>
      </c>
      <c r="O328" s="79" t="s">
        <v>4448</v>
      </c>
      <c r="P328" s="83">
        <v>41026.0</v>
      </c>
      <c r="Q328" s="81" t="s">
        <v>4449</v>
      </c>
      <c r="R328" s="79" t="s">
        <v>4450</v>
      </c>
      <c r="S328" s="81" t="s">
        <v>4451</v>
      </c>
      <c r="T328" s="81"/>
      <c r="U328" s="81"/>
      <c r="V328" s="81" t="s">
        <v>1984</v>
      </c>
      <c r="W328" s="81"/>
      <c r="X328" s="81"/>
      <c r="Y328" s="81"/>
      <c r="Z328" s="81"/>
      <c r="AA328" s="81"/>
      <c r="AB328" s="81"/>
      <c r="AC328" s="81"/>
      <c r="AD328" s="81"/>
      <c r="AE328" s="81"/>
      <c r="AF328" s="81"/>
      <c r="AG328" s="81"/>
      <c r="AH328" s="81"/>
      <c r="AI328" s="81"/>
      <c r="AJ328" s="81"/>
      <c r="AK328" s="81"/>
      <c r="AL328" s="79"/>
    </row>
    <row r="329" ht="22.5" customHeight="1">
      <c r="A329" s="79">
        <v>10327.0</v>
      </c>
      <c r="B329" s="79" t="s">
        <v>1230</v>
      </c>
      <c r="C329" s="79" t="s">
        <v>238</v>
      </c>
      <c r="D329" s="79" t="s">
        <v>64</v>
      </c>
      <c r="E329" s="79" t="s">
        <v>280</v>
      </c>
      <c r="F329" s="80">
        <v>10.0</v>
      </c>
      <c r="G329" s="81"/>
      <c r="H329" s="79" t="s">
        <v>224</v>
      </c>
      <c r="I329" s="80"/>
      <c r="J329" s="81"/>
      <c r="K329" s="79" t="s">
        <v>289</v>
      </c>
      <c r="L329" s="80">
        <v>40.0</v>
      </c>
      <c r="M329" s="79" t="s">
        <v>4454</v>
      </c>
      <c r="N329" s="79" t="s">
        <v>3944</v>
      </c>
      <c r="O329" s="79" t="s">
        <v>4455</v>
      </c>
      <c r="P329" s="105">
        <v>41107.0</v>
      </c>
      <c r="Q329" s="81"/>
      <c r="R329" s="79" t="s">
        <v>4456</v>
      </c>
      <c r="S329" s="81" t="s">
        <v>4458</v>
      </c>
      <c r="T329" s="81"/>
      <c r="U329" s="81"/>
      <c r="V329" s="81"/>
      <c r="W329" s="81"/>
      <c r="X329" s="81"/>
      <c r="Y329" s="81"/>
      <c r="Z329" s="81"/>
      <c r="AA329" s="81"/>
      <c r="AB329" s="81"/>
      <c r="AC329" s="81"/>
      <c r="AD329" s="81"/>
      <c r="AE329" s="81"/>
      <c r="AF329" s="81"/>
      <c r="AG329" s="81"/>
      <c r="AH329" s="81"/>
      <c r="AI329" s="81"/>
      <c r="AJ329" s="81" t="s">
        <v>998</v>
      </c>
      <c r="AK329" s="81"/>
      <c r="AL329" s="79"/>
    </row>
    <row r="330" ht="22.5" customHeight="1">
      <c r="A330" s="79">
        <v>10328.0</v>
      </c>
      <c r="B330" s="79" t="s">
        <v>1230</v>
      </c>
      <c r="C330" s="79" t="s">
        <v>238</v>
      </c>
      <c r="D330" s="79" t="s">
        <v>64</v>
      </c>
      <c r="E330" s="79" t="s">
        <v>280</v>
      </c>
      <c r="F330" s="80">
        <v>10.0</v>
      </c>
      <c r="G330" s="81"/>
      <c r="H330" s="79" t="s">
        <v>1133</v>
      </c>
      <c r="I330" s="80" t="s">
        <v>1132</v>
      </c>
      <c r="J330" s="81"/>
      <c r="K330" s="79" t="s">
        <v>289</v>
      </c>
      <c r="L330" s="80">
        <v>40.0</v>
      </c>
      <c r="M330" s="79" t="s">
        <v>1134</v>
      </c>
      <c r="N330" s="79" t="s">
        <v>179</v>
      </c>
      <c r="O330" s="79" t="s">
        <v>1135</v>
      </c>
      <c r="P330" s="83">
        <v>41765.0</v>
      </c>
      <c r="Q330" s="81" t="s">
        <v>1136</v>
      </c>
      <c r="R330" s="79" t="s">
        <v>181</v>
      </c>
      <c r="S330" s="81"/>
      <c r="T330" s="81"/>
      <c r="U330" s="81"/>
      <c r="V330" s="81"/>
      <c r="W330" s="81"/>
      <c r="X330" s="81"/>
      <c r="Y330" s="81"/>
      <c r="Z330" s="81"/>
      <c r="AA330" s="81"/>
      <c r="AB330" s="81"/>
      <c r="AC330" s="81"/>
      <c r="AD330" s="81"/>
      <c r="AE330" s="81"/>
      <c r="AF330" s="81"/>
      <c r="AG330" s="81"/>
      <c r="AH330" s="81"/>
      <c r="AI330" s="81"/>
      <c r="AJ330" s="81" t="s">
        <v>1137</v>
      </c>
      <c r="AK330" s="81"/>
      <c r="AL330" s="79"/>
    </row>
    <row r="331" ht="22.5" customHeight="1">
      <c r="A331" s="79">
        <v>10329.0</v>
      </c>
      <c r="B331" s="79" t="s">
        <v>1230</v>
      </c>
      <c r="C331" s="79" t="s">
        <v>238</v>
      </c>
      <c r="D331" s="79" t="s">
        <v>64</v>
      </c>
      <c r="E331" s="79" t="s">
        <v>280</v>
      </c>
      <c r="F331" s="80">
        <v>10.0</v>
      </c>
      <c r="G331" s="81"/>
      <c r="H331" s="79" t="s">
        <v>1133</v>
      </c>
      <c r="I331" s="80" t="s">
        <v>1132</v>
      </c>
      <c r="J331" s="81"/>
      <c r="K331" s="79" t="s">
        <v>289</v>
      </c>
      <c r="L331" s="80">
        <v>40.0</v>
      </c>
      <c r="M331" s="79" t="s">
        <v>178</v>
      </c>
      <c r="N331" s="79" t="s">
        <v>179</v>
      </c>
      <c r="O331" s="79" t="s">
        <v>1209</v>
      </c>
      <c r="P331" s="83">
        <v>42145.0</v>
      </c>
      <c r="Q331" s="81" t="s">
        <v>1210</v>
      </c>
      <c r="R331" s="79" t="s">
        <v>181</v>
      </c>
      <c r="S331" s="81" t="s">
        <v>1211</v>
      </c>
      <c r="T331" s="81" t="s">
        <v>428</v>
      </c>
      <c r="U331" s="81"/>
      <c r="V331" s="81" t="s">
        <v>915</v>
      </c>
      <c r="W331" s="81"/>
      <c r="X331" s="81"/>
      <c r="Y331" s="81"/>
      <c r="Z331" s="81"/>
      <c r="AA331" s="81"/>
      <c r="AB331" s="81"/>
      <c r="AC331" s="81"/>
      <c r="AD331" s="81"/>
      <c r="AE331" s="81"/>
      <c r="AF331" s="81"/>
      <c r="AG331" s="81"/>
      <c r="AH331" s="81"/>
      <c r="AI331" s="81"/>
      <c r="AJ331" s="81" t="s">
        <v>1137</v>
      </c>
      <c r="AK331" s="81"/>
      <c r="AL331" s="79"/>
    </row>
    <row r="332" ht="22.5" customHeight="1">
      <c r="A332" s="79">
        <v>10330.0</v>
      </c>
      <c r="B332" s="79" t="s">
        <v>1230</v>
      </c>
      <c r="C332" s="79" t="s">
        <v>238</v>
      </c>
      <c r="D332" s="79" t="s">
        <v>64</v>
      </c>
      <c r="E332" s="79" t="s">
        <v>280</v>
      </c>
      <c r="F332" s="80">
        <v>10.0</v>
      </c>
      <c r="G332" s="81"/>
      <c r="H332" s="79" t="s">
        <v>470</v>
      </c>
      <c r="I332" s="80">
        <v>3000.0</v>
      </c>
      <c r="J332" s="81"/>
      <c r="K332" s="79" t="s">
        <v>289</v>
      </c>
      <c r="L332" s="80">
        <v>40.0</v>
      </c>
      <c r="M332" s="79" t="s">
        <v>4463</v>
      </c>
      <c r="N332" s="79" t="s">
        <v>1374</v>
      </c>
      <c r="O332" s="79" t="s">
        <v>1375</v>
      </c>
      <c r="P332" s="83">
        <v>42062.0</v>
      </c>
      <c r="Q332" s="81" t="s">
        <v>4464</v>
      </c>
      <c r="R332" s="86" t="str">
        <f>HYPERLINK("http://www.washingtonpost.com/news/energy-environment/wp/2015/02/27/we-could-be-reaping-much-bigger-carbon-cuts-by-changing-peoples-behavior/?postshare=7231425060735465","http://www.washingtonpost.com/news/energy-environment/wp/2015/02/27/we-could-be-reaping-much-bigger-carbon-cuts-by-changing-peoples-behavior/?postshare=7231425060735465")</f>
        <v>http://www.washingtonpost.com/news/energy-environment/wp/2015/02/27/we-could-be-reaping-much-bigger-carbon-cuts-by-changing-peoples-behavior/?postshare=7231425060735465</v>
      </c>
      <c r="S332" s="81"/>
      <c r="T332" s="81" t="s">
        <v>462</v>
      </c>
      <c r="U332" s="81" t="s">
        <v>462</v>
      </c>
      <c r="V332" s="81" t="s">
        <v>676</v>
      </c>
      <c r="W332" s="81" t="s">
        <v>769</v>
      </c>
      <c r="X332" s="81" t="s">
        <v>4469</v>
      </c>
      <c r="Y332" s="88">
        <v>42062.0</v>
      </c>
      <c r="Z332" s="88">
        <v>42555.0</v>
      </c>
      <c r="AA332" s="81" t="s">
        <v>769</v>
      </c>
      <c r="AB332" s="81"/>
      <c r="AC332" s="88">
        <v>42070.0</v>
      </c>
      <c r="AD332" s="81" t="s">
        <v>2035</v>
      </c>
      <c r="AE332" s="88"/>
      <c r="AF332" s="81"/>
      <c r="AG332" s="81"/>
      <c r="AH332" s="81"/>
      <c r="AI332" s="81" t="s">
        <v>428</v>
      </c>
      <c r="AJ332" s="81" t="s">
        <v>678</v>
      </c>
      <c r="AK332" s="81"/>
      <c r="AL332" s="79"/>
    </row>
    <row r="333" ht="22.5" customHeight="1">
      <c r="A333" s="79">
        <v>10331.0</v>
      </c>
      <c r="B333" s="79" t="s">
        <v>1230</v>
      </c>
      <c r="C333" s="79" t="s">
        <v>238</v>
      </c>
      <c r="D333" s="79" t="s">
        <v>64</v>
      </c>
      <c r="E333" s="79" t="s">
        <v>280</v>
      </c>
      <c r="F333" s="80">
        <v>10.0</v>
      </c>
      <c r="G333" s="81"/>
      <c r="H333" s="79" t="s">
        <v>4257</v>
      </c>
      <c r="I333" s="80" t="s">
        <v>4256</v>
      </c>
      <c r="J333" s="81"/>
      <c r="K333" s="79" t="s">
        <v>111</v>
      </c>
      <c r="L333" s="80">
        <v>41.0</v>
      </c>
      <c r="M333" s="79" t="s">
        <v>4473</v>
      </c>
      <c r="N333" s="79" t="s">
        <v>4474</v>
      </c>
      <c r="O333" s="79" t="s">
        <v>4475</v>
      </c>
      <c r="P333" s="105">
        <v>42396.0</v>
      </c>
      <c r="Q333" s="81" t="s">
        <v>4476</v>
      </c>
      <c r="R333" s="79" t="s">
        <v>4477</v>
      </c>
      <c r="S333" s="81"/>
      <c r="T333" s="81"/>
      <c r="U333" s="81"/>
      <c r="V333" s="81"/>
      <c r="W333" s="81"/>
      <c r="X333" s="81"/>
      <c r="Y333" s="81"/>
      <c r="Z333" s="81"/>
      <c r="AA333" s="81"/>
      <c r="AB333" s="81"/>
      <c r="AC333" s="81"/>
      <c r="AD333" s="81"/>
      <c r="AE333" s="81"/>
      <c r="AF333" s="81"/>
      <c r="AG333" s="81"/>
      <c r="AH333" s="81"/>
      <c r="AI333" s="81"/>
      <c r="AJ333" s="81" t="s">
        <v>2456</v>
      </c>
      <c r="AK333" s="81"/>
      <c r="AL333" s="79"/>
    </row>
    <row r="334" ht="22.5" customHeight="1">
      <c r="A334" s="79">
        <v>10332.0</v>
      </c>
      <c r="B334" s="79" t="s">
        <v>1230</v>
      </c>
      <c r="C334" s="79" t="s">
        <v>238</v>
      </c>
      <c r="D334" s="79" t="s">
        <v>64</v>
      </c>
      <c r="E334" s="79" t="s">
        <v>280</v>
      </c>
      <c r="F334" s="80">
        <v>10.0</v>
      </c>
      <c r="G334" s="81"/>
      <c r="H334" s="79" t="s">
        <v>4482</v>
      </c>
      <c r="I334" s="80" t="s">
        <v>4484</v>
      </c>
      <c r="J334" s="81"/>
      <c r="K334" s="79" t="s">
        <v>289</v>
      </c>
      <c r="L334" s="80">
        <v>40.0</v>
      </c>
      <c r="M334" s="79" t="s">
        <v>4489</v>
      </c>
      <c r="N334" s="79" t="s">
        <v>4491</v>
      </c>
      <c r="O334" s="79" t="s">
        <v>4492</v>
      </c>
      <c r="P334" s="135">
        <v>39661.0</v>
      </c>
      <c r="Q334" s="81"/>
      <c r="R334" s="79" t="s">
        <v>4511</v>
      </c>
      <c r="S334" s="81"/>
      <c r="T334" s="81"/>
      <c r="U334" s="81"/>
      <c r="V334" s="81"/>
      <c r="W334" s="81"/>
      <c r="X334" s="81"/>
      <c r="Y334" s="81"/>
      <c r="Z334" s="81"/>
      <c r="AA334" s="81"/>
      <c r="AB334" s="81"/>
      <c r="AC334" s="81"/>
      <c r="AD334" s="81"/>
      <c r="AE334" s="81"/>
      <c r="AF334" s="81"/>
      <c r="AG334" s="81"/>
      <c r="AH334" s="81"/>
      <c r="AI334" s="81"/>
      <c r="AJ334" s="81" t="s">
        <v>4513</v>
      </c>
      <c r="AK334" s="81"/>
      <c r="AL334" s="79"/>
    </row>
    <row r="335" ht="22.5" customHeight="1">
      <c r="A335" s="79">
        <v>10333.0</v>
      </c>
      <c r="B335" s="79" t="s">
        <v>1230</v>
      </c>
      <c r="C335" s="79" t="s">
        <v>238</v>
      </c>
      <c r="D335" s="79" t="s">
        <v>64</v>
      </c>
      <c r="E335" s="79" t="s">
        <v>280</v>
      </c>
      <c r="F335" s="80">
        <v>10.0</v>
      </c>
      <c r="G335" s="81"/>
      <c r="H335" s="79" t="s">
        <v>470</v>
      </c>
      <c r="I335" s="80">
        <v>3000.0</v>
      </c>
      <c r="J335" s="81"/>
      <c r="K335" s="79" t="s">
        <v>289</v>
      </c>
      <c r="L335" s="80">
        <v>40.0</v>
      </c>
      <c r="M335" s="79" t="s">
        <v>4519</v>
      </c>
      <c r="N335" s="79" t="s">
        <v>4520</v>
      </c>
      <c r="O335" s="79" t="s">
        <v>1325</v>
      </c>
      <c r="P335" s="83">
        <v>41367.0</v>
      </c>
      <c r="Q335" s="81" t="s">
        <v>4522</v>
      </c>
      <c r="R335" s="86" t="str">
        <f>HYPERLINK("http://www.nytimes.com/2014/04/04/business/energy-environment/energy-saving-company-set-for-public-offering.html","http://www.nytimes.com/2014/04/04/business/energy-environment/energy-saving-company-set-for-public-offering.html")</f>
        <v>http://www.nytimes.com/2014/04/04/business/energy-environment/energy-saving-company-set-for-public-offering.html</v>
      </c>
      <c r="S335" s="81"/>
      <c r="T335" s="81" t="s">
        <v>462</v>
      </c>
      <c r="U335" s="81" t="s">
        <v>428</v>
      </c>
      <c r="V335" s="81"/>
      <c r="W335" s="81" t="s">
        <v>600</v>
      </c>
      <c r="X335" s="81"/>
      <c r="Y335" s="81"/>
      <c r="Z335" s="81"/>
      <c r="AA335" s="81"/>
      <c r="AB335" s="81"/>
      <c r="AC335" s="81"/>
      <c r="AD335" s="81"/>
      <c r="AE335" s="81"/>
      <c r="AF335" s="81"/>
      <c r="AG335" s="81"/>
      <c r="AH335" s="81"/>
      <c r="AI335" s="81"/>
      <c r="AJ335" s="81" t="s">
        <v>678</v>
      </c>
      <c r="AK335" s="81"/>
      <c r="AL335" s="79"/>
    </row>
    <row r="336" ht="22.5" customHeight="1">
      <c r="A336" s="79">
        <v>10334.0</v>
      </c>
      <c r="B336" s="79" t="s">
        <v>1230</v>
      </c>
      <c r="C336" s="79" t="s">
        <v>238</v>
      </c>
      <c r="D336" s="79" t="s">
        <v>64</v>
      </c>
      <c r="E336" s="79" t="s">
        <v>280</v>
      </c>
      <c r="F336" s="80">
        <v>10.0</v>
      </c>
      <c r="G336" s="81"/>
      <c r="H336" s="79" t="s">
        <v>224</v>
      </c>
      <c r="I336" s="80"/>
      <c r="J336" s="81"/>
      <c r="K336" s="79" t="s">
        <v>289</v>
      </c>
      <c r="L336" s="80">
        <v>40.0</v>
      </c>
      <c r="M336" s="79" t="s">
        <v>4279</v>
      </c>
      <c r="N336" s="79" t="s">
        <v>4280</v>
      </c>
      <c r="O336" s="79" t="s">
        <v>1775</v>
      </c>
      <c r="P336" s="83">
        <v>42220.0</v>
      </c>
      <c r="Q336" s="81" t="s">
        <v>4282</v>
      </c>
      <c r="R336" s="79" t="s">
        <v>4283</v>
      </c>
      <c r="S336" s="81"/>
      <c r="T336" s="81"/>
      <c r="U336" s="81"/>
      <c r="V336" s="81"/>
      <c r="W336" s="81"/>
      <c r="X336" s="81"/>
      <c r="Y336" s="81"/>
      <c r="Z336" s="81"/>
      <c r="AA336" s="81"/>
      <c r="AB336" s="81"/>
      <c r="AC336" s="81"/>
      <c r="AD336" s="81"/>
      <c r="AE336" s="81"/>
      <c r="AF336" s="81"/>
      <c r="AG336" s="81"/>
      <c r="AH336" s="81"/>
      <c r="AI336" s="81"/>
      <c r="AJ336" s="81" t="s">
        <v>2456</v>
      </c>
      <c r="AK336" s="81"/>
      <c r="AL336" s="79"/>
    </row>
    <row r="337" ht="22.5" customHeight="1">
      <c r="A337" s="79">
        <v>10335.0</v>
      </c>
      <c r="B337" s="79" t="s">
        <v>1230</v>
      </c>
      <c r="C337" s="79" t="s">
        <v>238</v>
      </c>
      <c r="D337" s="79" t="s">
        <v>64</v>
      </c>
      <c r="E337" s="79" t="s">
        <v>280</v>
      </c>
      <c r="F337" s="80">
        <v>10.0</v>
      </c>
      <c r="G337" s="81"/>
      <c r="H337" s="79" t="s">
        <v>1138</v>
      </c>
      <c r="I337" s="80">
        <v>20000.0</v>
      </c>
      <c r="J337" s="81"/>
      <c r="K337" s="79" t="s">
        <v>111</v>
      </c>
      <c r="L337" s="80">
        <v>41.0</v>
      </c>
      <c r="M337" s="79" t="s">
        <v>1417</v>
      </c>
      <c r="N337" s="79" t="s">
        <v>1419</v>
      </c>
      <c r="O337" s="79" t="s">
        <v>1420</v>
      </c>
      <c r="P337" s="105">
        <v>42248.0</v>
      </c>
      <c r="Q337" s="81"/>
      <c r="R337" s="86" t="str">
        <f>HYPERLINK("http://www.citylab.com/commute/2015/09/why-cyclists-form-stronger-commuting-habits-than-drivers/403069/","http://www.citylab.com/commute/2015/09/why-cyclists-form-stronger-commuting-habits-than-drivers/403069/")</f>
        <v>http://www.citylab.com/commute/2015/09/why-cyclists-form-stronger-commuting-habits-than-drivers/403069/</v>
      </c>
      <c r="S337" s="81" t="s">
        <v>1425</v>
      </c>
      <c r="T337" s="81"/>
      <c r="U337" s="81"/>
      <c r="V337" s="81"/>
      <c r="W337" s="81"/>
      <c r="X337" s="81"/>
      <c r="Y337" s="81"/>
      <c r="Z337" s="81"/>
      <c r="AA337" s="81"/>
      <c r="AB337" s="81"/>
      <c r="AC337" s="81"/>
      <c r="AD337" s="81"/>
      <c r="AE337" s="81"/>
      <c r="AF337" s="81"/>
      <c r="AG337" s="81"/>
      <c r="AH337" s="81"/>
      <c r="AI337" s="81"/>
      <c r="AJ337" s="81"/>
      <c r="AK337" s="81"/>
      <c r="AL337" s="79"/>
    </row>
    <row r="338" ht="22.5" customHeight="1">
      <c r="A338" s="79">
        <v>10336.0</v>
      </c>
      <c r="B338" s="79" t="s">
        <v>1230</v>
      </c>
      <c r="C338" s="79" t="s">
        <v>238</v>
      </c>
      <c r="D338" s="79" t="s">
        <v>64</v>
      </c>
      <c r="E338" s="79" t="s">
        <v>280</v>
      </c>
      <c r="F338" s="80">
        <v>10.0</v>
      </c>
      <c r="G338" s="81"/>
      <c r="H338" s="79" t="s">
        <v>4546</v>
      </c>
      <c r="I338" s="80">
        <v>21000.0</v>
      </c>
      <c r="J338" s="81"/>
      <c r="K338" s="79" t="s">
        <v>272</v>
      </c>
      <c r="L338" s="80">
        <v>42.0</v>
      </c>
      <c r="M338" s="79" t="s">
        <v>4548</v>
      </c>
      <c r="N338" s="79" t="s">
        <v>4550</v>
      </c>
      <c r="O338" s="79" t="s">
        <v>4552</v>
      </c>
      <c r="P338" s="105">
        <v>41872.0</v>
      </c>
      <c r="Q338" s="81" t="s">
        <v>4555</v>
      </c>
      <c r="R338" s="79" t="s">
        <v>4558</v>
      </c>
      <c r="S338" s="81"/>
      <c r="T338" s="81"/>
      <c r="U338" s="81"/>
      <c r="V338" s="81"/>
      <c r="W338" s="81"/>
      <c r="X338" s="81"/>
      <c r="Y338" s="81"/>
      <c r="Z338" s="81"/>
      <c r="AA338" s="81"/>
      <c r="AB338" s="81"/>
      <c r="AC338" s="81"/>
      <c r="AD338" s="81"/>
      <c r="AE338" s="81"/>
      <c r="AF338" s="81"/>
      <c r="AG338" s="81"/>
      <c r="AH338" s="81"/>
      <c r="AI338" s="81"/>
      <c r="AJ338" s="81" t="s">
        <v>998</v>
      </c>
      <c r="AK338" s="81"/>
      <c r="AL338" s="79"/>
    </row>
    <row r="339" ht="22.5" customHeight="1">
      <c r="A339" s="79">
        <v>10337.0</v>
      </c>
      <c r="B339" s="79" t="s">
        <v>1230</v>
      </c>
      <c r="C339" s="79" t="s">
        <v>238</v>
      </c>
      <c r="D339" s="79" t="s">
        <v>64</v>
      </c>
      <c r="E339" s="79" t="s">
        <v>280</v>
      </c>
      <c r="F339" s="80">
        <v>10.0</v>
      </c>
      <c r="G339" s="81"/>
      <c r="H339" s="79" t="s">
        <v>1114</v>
      </c>
      <c r="I339" s="80">
        <v>2000.0</v>
      </c>
      <c r="J339" s="81"/>
      <c r="K339" s="79" t="s">
        <v>289</v>
      </c>
      <c r="L339" s="80">
        <v>40.0</v>
      </c>
      <c r="M339" s="79" t="s">
        <v>4145</v>
      </c>
      <c r="N339" s="79" t="s">
        <v>1945</v>
      </c>
      <c r="O339" s="79" t="s">
        <v>1265</v>
      </c>
      <c r="P339" s="83">
        <v>41816.0</v>
      </c>
      <c r="Q339" s="81" t="s">
        <v>4146</v>
      </c>
      <c r="R339" s="86" t="str">
        <f>HYPERLINK("http://grist.org/climate-energy/to-motivate-climate-activists-use-optimism/","http://grist.org/climate-energy/to-motivate-climate-activists-use-optimism/")</f>
        <v>http://grist.org/climate-energy/to-motivate-climate-activists-use-optimism/</v>
      </c>
      <c r="S339" s="81" t="s">
        <v>4147</v>
      </c>
      <c r="T339" s="81" t="s">
        <v>462</v>
      </c>
      <c r="U339" s="81" t="s">
        <v>462</v>
      </c>
      <c r="V339" s="81" t="s">
        <v>663</v>
      </c>
      <c r="W339" s="81" t="s">
        <v>769</v>
      </c>
      <c r="X339" s="81" t="s">
        <v>4149</v>
      </c>
      <c r="Y339" s="88">
        <v>42488.0</v>
      </c>
      <c r="Z339" s="81"/>
      <c r="AA339" s="81" t="s">
        <v>2619</v>
      </c>
      <c r="AB339" s="81"/>
      <c r="AC339" s="88"/>
      <c r="AD339" s="81"/>
      <c r="AE339" s="81"/>
      <c r="AF339" s="81"/>
      <c r="AG339" s="81"/>
      <c r="AH339" s="81"/>
      <c r="AI339" s="81" t="s">
        <v>428</v>
      </c>
      <c r="AJ339" s="81"/>
      <c r="AK339" s="81"/>
      <c r="AL339" s="79"/>
    </row>
    <row r="340" ht="22.5" customHeight="1">
      <c r="A340" s="79">
        <v>10338.0</v>
      </c>
      <c r="B340" s="79" t="s">
        <v>1230</v>
      </c>
      <c r="C340" s="79" t="s">
        <v>238</v>
      </c>
      <c r="D340" s="79" t="s">
        <v>64</v>
      </c>
      <c r="E340" s="79" t="s">
        <v>280</v>
      </c>
      <c r="F340" s="80">
        <v>10.0</v>
      </c>
      <c r="G340" s="81"/>
      <c r="H340" s="79" t="s">
        <v>470</v>
      </c>
      <c r="I340" s="80">
        <v>3000.0</v>
      </c>
      <c r="J340" s="81"/>
      <c r="K340" s="79" t="s">
        <v>289</v>
      </c>
      <c r="L340" s="80">
        <v>40.0</v>
      </c>
      <c r="M340" s="79" t="s">
        <v>667</v>
      </c>
      <c r="N340" s="79" t="s">
        <v>668</v>
      </c>
      <c r="O340" s="79" t="s">
        <v>669</v>
      </c>
      <c r="P340" s="83">
        <v>40355.0</v>
      </c>
      <c r="Q340" s="81"/>
      <c r="R340" s="86" t="str">
        <f>HYPERLINK("http://aceee.org/research-report/e105","http://aceee.org/research-report/e105")</f>
        <v>http://aceee.org/research-report/e105</v>
      </c>
      <c r="S340" s="81" t="s">
        <v>675</v>
      </c>
      <c r="T340" s="81" t="s">
        <v>462</v>
      </c>
      <c r="U340" s="81" t="s">
        <v>462</v>
      </c>
      <c r="V340" s="81" t="s">
        <v>676</v>
      </c>
      <c r="W340" s="81" t="s">
        <v>677</v>
      </c>
      <c r="X340" s="81"/>
      <c r="Y340" s="88"/>
      <c r="Z340" s="81"/>
      <c r="AA340" s="81"/>
      <c r="AB340" s="81"/>
      <c r="AC340" s="88"/>
      <c r="AD340" s="81"/>
      <c r="AE340" s="81"/>
      <c r="AF340" s="81"/>
      <c r="AG340" s="81"/>
      <c r="AH340" s="81"/>
      <c r="AI340" s="81"/>
      <c r="AJ340" s="81" t="s">
        <v>678</v>
      </c>
      <c r="AK340" s="81"/>
      <c r="AL340" s="79"/>
    </row>
    <row r="341" ht="22.5" customHeight="1">
      <c r="A341" s="79">
        <v>10339.0</v>
      </c>
      <c r="B341" s="79" t="s">
        <v>1230</v>
      </c>
      <c r="C341" s="79" t="s">
        <v>238</v>
      </c>
      <c r="D341" s="79" t="s">
        <v>64</v>
      </c>
      <c r="E341" s="79" t="s">
        <v>280</v>
      </c>
      <c r="F341" s="80">
        <v>10.0</v>
      </c>
      <c r="G341" s="81"/>
      <c r="H341" s="79" t="s">
        <v>578</v>
      </c>
      <c r="I341" s="80">
        <v>2000.0</v>
      </c>
      <c r="J341" s="81"/>
      <c r="K341" s="79" t="s">
        <v>324</v>
      </c>
      <c r="L341" s="80" t="s">
        <v>325</v>
      </c>
      <c r="M341" s="94" t="s">
        <v>4590</v>
      </c>
      <c r="N341" s="79" t="s">
        <v>4591</v>
      </c>
      <c r="O341" s="79" t="s">
        <v>4593</v>
      </c>
      <c r="P341" s="83">
        <v>41587.0</v>
      </c>
      <c r="Q341" s="81" t="s">
        <v>4594</v>
      </c>
      <c r="R341" s="86" t="str">
        <f>HYPERLINK("https://www.psychologytoday.com/blog/the-green-mind/201311/despair-courage-hope-in-age-environmental-turmoil","https://www.psychologytoday.com/blog/the-green-mind/201311/despair-courage-hope-in-age-environmental-turmoil")</f>
        <v>https://www.psychologytoday.com/blog/the-green-mind/201311/despair-courage-hope-in-age-environmental-turmoil</v>
      </c>
      <c r="S341" s="81"/>
      <c r="T341" s="81"/>
      <c r="U341" s="81"/>
      <c r="V341" s="81"/>
      <c r="W341" s="81" t="s">
        <v>600</v>
      </c>
      <c r="X341" s="81"/>
      <c r="Y341" s="81"/>
      <c r="Z341" s="81"/>
      <c r="AA341" s="81"/>
      <c r="AB341" s="81"/>
      <c r="AC341" s="81"/>
      <c r="AD341" s="81"/>
      <c r="AE341" s="81"/>
      <c r="AF341" s="81"/>
      <c r="AG341" s="81"/>
      <c r="AH341" s="81"/>
      <c r="AI341" s="81"/>
      <c r="AJ341" s="81"/>
      <c r="AK341" s="81"/>
      <c r="AL341" s="79"/>
    </row>
    <row r="342" ht="22.5" customHeight="1">
      <c r="A342" s="79">
        <v>10340.0</v>
      </c>
      <c r="B342" s="79" t="s">
        <v>1230</v>
      </c>
      <c r="C342" s="79" t="s">
        <v>238</v>
      </c>
      <c r="D342" s="79" t="s">
        <v>64</v>
      </c>
      <c r="E342" s="79" t="s">
        <v>280</v>
      </c>
      <c r="F342" s="80">
        <v>10.0</v>
      </c>
      <c r="G342" s="81"/>
      <c r="H342" s="79" t="s">
        <v>224</v>
      </c>
      <c r="I342" s="80"/>
      <c r="J342" s="81"/>
      <c r="K342" s="79" t="s">
        <v>289</v>
      </c>
      <c r="L342" s="80">
        <v>40.0</v>
      </c>
      <c r="M342" s="79" t="s">
        <v>3634</v>
      </c>
      <c r="N342" s="79" t="s">
        <v>3635</v>
      </c>
      <c r="O342" s="79" t="s">
        <v>3636</v>
      </c>
      <c r="P342" s="83">
        <v>42095.0</v>
      </c>
      <c r="Q342" s="81" t="s">
        <v>3637</v>
      </c>
      <c r="R342" s="79" t="s">
        <v>3638</v>
      </c>
      <c r="S342" s="81"/>
      <c r="T342" s="81"/>
      <c r="U342" s="81"/>
      <c r="V342" s="81" t="s">
        <v>2322</v>
      </c>
      <c r="W342" s="81"/>
      <c r="X342" s="81"/>
      <c r="Y342" s="81"/>
      <c r="Z342" s="81"/>
      <c r="AA342" s="81"/>
      <c r="AB342" s="81"/>
      <c r="AC342" s="81"/>
      <c r="AD342" s="81"/>
      <c r="AE342" s="81"/>
      <c r="AF342" s="81"/>
      <c r="AG342" s="81"/>
      <c r="AH342" s="81"/>
      <c r="AI342" s="81"/>
      <c r="AJ342" s="81" t="s">
        <v>916</v>
      </c>
      <c r="AK342" s="81"/>
      <c r="AL342" s="79"/>
    </row>
    <row r="343" ht="22.5" customHeight="1">
      <c r="A343" s="79">
        <v>10341.0</v>
      </c>
      <c r="B343" s="79" t="s">
        <v>1230</v>
      </c>
      <c r="C343" s="79" t="s">
        <v>238</v>
      </c>
      <c r="D343" s="79" t="s">
        <v>64</v>
      </c>
      <c r="E343" s="79" t="s">
        <v>280</v>
      </c>
      <c r="F343" s="80">
        <v>10.0</v>
      </c>
      <c r="G343" s="81"/>
      <c r="H343" s="79" t="s">
        <v>4607</v>
      </c>
      <c r="I343" s="80">
        <v>22000.0</v>
      </c>
      <c r="J343" s="81"/>
      <c r="K343" s="79" t="s">
        <v>289</v>
      </c>
      <c r="L343" s="80">
        <v>40.0</v>
      </c>
      <c r="M343" s="79" t="s">
        <v>4613</v>
      </c>
      <c r="N343" s="79" t="s">
        <v>4615</v>
      </c>
      <c r="O343" s="79" t="s">
        <v>4617</v>
      </c>
      <c r="P343" s="83">
        <v>42114.0</v>
      </c>
      <c r="Q343" s="81" t="s">
        <v>4619</v>
      </c>
      <c r="R343" s="86" t="str">
        <f>HYPERLINK("http://www.news.wisc.edu/23688","http://www.news.wisc.edu/23688")</f>
        <v>http://www.news.wisc.edu/23688</v>
      </c>
      <c r="S343" s="81"/>
      <c r="T343" s="81" t="s">
        <v>462</v>
      </c>
      <c r="U343" s="81" t="s">
        <v>462</v>
      </c>
      <c r="V343" s="81" t="s">
        <v>1099</v>
      </c>
      <c r="W343" s="81" t="s">
        <v>769</v>
      </c>
      <c r="X343" s="81" t="s">
        <v>4623</v>
      </c>
      <c r="Y343" s="88">
        <v>42166.0</v>
      </c>
      <c r="Z343" s="88">
        <v>42614.0</v>
      </c>
      <c r="AA343" s="81" t="s">
        <v>769</v>
      </c>
      <c r="AB343" s="81"/>
      <c r="AC343" s="81"/>
      <c r="AD343" s="81" t="s">
        <v>1152</v>
      </c>
      <c r="AE343" s="81"/>
      <c r="AF343" s="81"/>
      <c r="AG343" s="81"/>
      <c r="AH343" s="81"/>
      <c r="AI343" s="81"/>
      <c r="AJ343" s="81" t="s">
        <v>678</v>
      </c>
      <c r="AK343" s="81"/>
      <c r="AL343" s="79"/>
    </row>
    <row r="344" ht="22.5" customHeight="1">
      <c r="A344" s="79">
        <v>10342.0</v>
      </c>
      <c r="B344" s="79" t="s">
        <v>1230</v>
      </c>
      <c r="C344" s="79" t="s">
        <v>238</v>
      </c>
      <c r="D344" s="79" t="s">
        <v>64</v>
      </c>
      <c r="E344" s="79" t="s">
        <v>280</v>
      </c>
      <c r="F344" s="80">
        <v>10.0</v>
      </c>
      <c r="G344" s="81"/>
      <c r="H344" s="79" t="s">
        <v>4607</v>
      </c>
      <c r="I344" s="80">
        <v>22000.0</v>
      </c>
      <c r="J344" s="81"/>
      <c r="K344" s="79" t="s">
        <v>289</v>
      </c>
      <c r="L344" s="80">
        <v>40.0</v>
      </c>
      <c r="M344" s="80" t="s">
        <v>4628</v>
      </c>
      <c r="N344" s="79" t="s">
        <v>4629</v>
      </c>
      <c r="O344" s="79" t="s">
        <v>592</v>
      </c>
      <c r="P344" s="83">
        <v>42053.0</v>
      </c>
      <c r="Q344" s="81" t="s">
        <v>4630</v>
      </c>
      <c r="R344" s="86" t="str">
        <f>HYPERLINK("http://www.scientificamerican.com/article/games-help-save-energy/","http://www.scientificamerican.com/article/games-help-save-energy/")</f>
        <v>http://www.scientificamerican.com/article/games-help-save-energy/</v>
      </c>
      <c r="S344" s="81"/>
      <c r="T344" s="81" t="s">
        <v>462</v>
      </c>
      <c r="U344" s="81" t="s">
        <v>428</v>
      </c>
      <c r="V344" s="81" t="s">
        <v>663</v>
      </c>
      <c r="W344" s="81" t="s">
        <v>769</v>
      </c>
      <c r="X344" s="81" t="s">
        <v>4632</v>
      </c>
      <c r="Y344" s="88">
        <v>42458.0</v>
      </c>
      <c r="Z344" s="81"/>
      <c r="AA344" s="81" t="s">
        <v>769</v>
      </c>
      <c r="AB344" s="81"/>
      <c r="AC344" s="88">
        <v>42078.0</v>
      </c>
      <c r="AD344" s="81"/>
      <c r="AE344" s="81"/>
      <c r="AF344" s="81"/>
      <c r="AG344" s="81"/>
      <c r="AH344" s="81"/>
      <c r="AI344" s="81"/>
      <c r="AJ344" s="81" t="s">
        <v>678</v>
      </c>
      <c r="AK344" s="81"/>
      <c r="AL344" s="79"/>
    </row>
    <row r="345" ht="22.5" customHeight="1">
      <c r="A345" s="79">
        <v>10343.0</v>
      </c>
      <c r="B345" s="79" t="s">
        <v>1230</v>
      </c>
      <c r="C345" s="79" t="s">
        <v>238</v>
      </c>
      <c r="D345" s="79" t="s">
        <v>64</v>
      </c>
      <c r="E345" s="79" t="s">
        <v>280</v>
      </c>
      <c r="F345" s="80">
        <v>10.0</v>
      </c>
      <c r="G345" s="81"/>
      <c r="H345" s="79" t="s">
        <v>1114</v>
      </c>
      <c r="I345" s="80">
        <v>2000.0</v>
      </c>
      <c r="J345" s="81"/>
      <c r="K345" s="79" t="s">
        <v>289</v>
      </c>
      <c r="L345" s="80">
        <v>40.0</v>
      </c>
      <c r="M345" s="79" t="s">
        <v>4633</v>
      </c>
      <c r="N345" s="79" t="s">
        <v>4634</v>
      </c>
      <c r="O345" s="79" t="s">
        <v>4635</v>
      </c>
      <c r="P345" s="83">
        <v>42202.0</v>
      </c>
      <c r="Q345" s="81" t="s">
        <v>4636</v>
      </c>
      <c r="R345" s="86" t="str">
        <f>HYPERLINK("https://www.positive.news/2015/perspective/18138/restoration-vs-preservation-psychology-nature-conservation/","https://www.positive.news/2015/perspective/18138/restoration-vs-preservation-psychology-nature-conservation/")</f>
        <v>https://www.positive.news/2015/perspective/18138/restoration-vs-preservation-psychology-nature-conservation/</v>
      </c>
      <c r="S345" s="81"/>
      <c r="T345" s="81" t="s">
        <v>462</v>
      </c>
      <c r="U345" s="81" t="s">
        <v>462</v>
      </c>
      <c r="V345" s="81" t="s">
        <v>676</v>
      </c>
      <c r="W345" s="81" t="s">
        <v>600</v>
      </c>
      <c r="X345" s="81"/>
      <c r="Y345" s="88"/>
      <c r="Z345" s="93"/>
      <c r="AA345" s="81"/>
      <c r="AB345" s="81"/>
      <c r="AC345" s="88"/>
      <c r="AD345" s="81" t="s">
        <v>1088</v>
      </c>
      <c r="AE345" s="81"/>
      <c r="AF345" s="81"/>
      <c r="AG345" s="81"/>
      <c r="AH345" s="81"/>
      <c r="AI345" s="81"/>
      <c r="AJ345" s="81"/>
      <c r="AK345" s="81"/>
      <c r="AL345" s="79"/>
    </row>
    <row r="346" ht="22.5" customHeight="1">
      <c r="A346" s="79">
        <v>10344.0</v>
      </c>
      <c r="B346" s="79" t="s">
        <v>1230</v>
      </c>
      <c r="C346" s="79" t="s">
        <v>238</v>
      </c>
      <c r="D346" s="79" t="s">
        <v>64</v>
      </c>
      <c r="E346" s="79" t="s">
        <v>280</v>
      </c>
      <c r="F346" s="80">
        <v>10.0</v>
      </c>
      <c r="G346" s="81"/>
      <c r="H346" s="79" t="s">
        <v>224</v>
      </c>
      <c r="I346" s="80"/>
      <c r="J346" s="81"/>
      <c r="K346" s="79" t="s">
        <v>289</v>
      </c>
      <c r="L346" s="80">
        <v>40.0</v>
      </c>
      <c r="M346" s="79" t="s">
        <v>4345</v>
      </c>
      <c r="N346" s="79" t="s">
        <v>4346</v>
      </c>
      <c r="O346" s="79" t="s">
        <v>4347</v>
      </c>
      <c r="P346" s="83">
        <v>41210.0</v>
      </c>
      <c r="Q346" s="81" t="s">
        <v>4348</v>
      </c>
      <c r="R346" s="79" t="s">
        <v>4349</v>
      </c>
      <c r="S346" s="81"/>
      <c r="T346" s="81"/>
      <c r="U346" s="81"/>
      <c r="V346" s="81"/>
      <c r="W346" s="81"/>
      <c r="X346" s="81"/>
      <c r="Y346" s="81"/>
      <c r="Z346" s="81"/>
      <c r="AA346" s="81"/>
      <c r="AB346" s="81"/>
      <c r="AC346" s="81"/>
      <c r="AD346" s="81"/>
      <c r="AE346" s="81"/>
      <c r="AF346" s="81"/>
      <c r="AG346" s="81"/>
      <c r="AH346" s="81"/>
      <c r="AI346" s="81"/>
      <c r="AJ346" s="81"/>
      <c r="AK346" s="81"/>
      <c r="AL346" s="79"/>
    </row>
    <row r="347" ht="22.5" customHeight="1">
      <c r="A347" s="79">
        <v>10345.0</v>
      </c>
      <c r="B347" s="79" t="s">
        <v>1230</v>
      </c>
      <c r="C347" s="79" t="s">
        <v>238</v>
      </c>
      <c r="D347" s="79" t="s">
        <v>64</v>
      </c>
      <c r="E347" s="79" t="s">
        <v>280</v>
      </c>
      <c r="F347" s="80">
        <v>10.0</v>
      </c>
      <c r="G347" s="81"/>
      <c r="H347" s="79" t="s">
        <v>224</v>
      </c>
      <c r="I347" s="80"/>
      <c r="J347" s="81"/>
      <c r="K347" s="79" t="s">
        <v>289</v>
      </c>
      <c r="L347" s="80">
        <v>40.0</v>
      </c>
      <c r="M347" s="79" t="s">
        <v>4637</v>
      </c>
      <c r="N347" s="79" t="s">
        <v>3197</v>
      </c>
      <c r="O347" s="79" t="s">
        <v>4638</v>
      </c>
      <c r="P347" s="83">
        <v>41640.0</v>
      </c>
      <c r="Q347" s="81" t="s">
        <v>4639</v>
      </c>
      <c r="R347" s="79" t="s">
        <v>4640</v>
      </c>
      <c r="S347" s="81" t="s">
        <v>4451</v>
      </c>
      <c r="T347" s="81"/>
      <c r="U347" s="81"/>
      <c r="V347" s="81" t="s">
        <v>1984</v>
      </c>
      <c r="W347" s="81"/>
      <c r="X347" s="81"/>
      <c r="Y347" s="81"/>
      <c r="Z347" s="81"/>
      <c r="AA347" s="81"/>
      <c r="AB347" s="81"/>
      <c r="AC347" s="81"/>
      <c r="AD347" s="81"/>
      <c r="AE347" s="81"/>
      <c r="AF347" s="81"/>
      <c r="AG347" s="81"/>
      <c r="AH347" s="81"/>
      <c r="AI347" s="81"/>
      <c r="AJ347" s="81" t="s">
        <v>4641</v>
      </c>
      <c r="AK347" s="81"/>
      <c r="AL347" s="79"/>
    </row>
    <row r="348" ht="22.5" customHeight="1">
      <c r="A348" s="79">
        <v>10346.0</v>
      </c>
      <c r="B348" s="79" t="s">
        <v>1230</v>
      </c>
      <c r="C348" s="79" t="s">
        <v>238</v>
      </c>
      <c r="D348" s="79" t="s">
        <v>64</v>
      </c>
      <c r="E348" s="79" t="s">
        <v>280</v>
      </c>
      <c r="F348" s="80">
        <v>10.0</v>
      </c>
      <c r="G348" s="81"/>
      <c r="H348" s="79" t="s">
        <v>4642</v>
      </c>
      <c r="I348" s="80" t="s">
        <v>4256</v>
      </c>
      <c r="J348" s="81"/>
      <c r="K348" s="79" t="s">
        <v>289</v>
      </c>
      <c r="L348" s="80">
        <v>40.0</v>
      </c>
      <c r="M348" s="79" t="s">
        <v>4643</v>
      </c>
      <c r="N348" s="79" t="s">
        <v>4644</v>
      </c>
      <c r="O348" s="79" t="s">
        <v>4645</v>
      </c>
      <c r="P348" s="105">
        <v>42214.0</v>
      </c>
      <c r="Q348" s="81"/>
      <c r="R348" s="79" t="s">
        <v>4646</v>
      </c>
      <c r="S348" s="81"/>
      <c r="T348" s="81"/>
      <c r="U348" s="81"/>
      <c r="V348" s="81"/>
      <c r="W348" s="81"/>
      <c r="X348" s="81"/>
      <c r="Y348" s="81"/>
      <c r="Z348" s="81"/>
      <c r="AA348" s="81"/>
      <c r="AB348" s="81"/>
      <c r="AC348" s="81"/>
      <c r="AD348" s="81"/>
      <c r="AE348" s="81"/>
      <c r="AF348" s="81"/>
      <c r="AG348" s="81"/>
      <c r="AH348" s="81"/>
      <c r="AI348" s="81"/>
      <c r="AJ348" s="81" t="s">
        <v>4261</v>
      </c>
      <c r="AK348" s="81"/>
      <c r="AL348" s="79"/>
    </row>
    <row r="349" ht="22.5" customHeight="1">
      <c r="A349" s="79">
        <v>10347.0</v>
      </c>
      <c r="B349" s="79" t="s">
        <v>1230</v>
      </c>
      <c r="C349" s="79" t="s">
        <v>238</v>
      </c>
      <c r="D349" s="79" t="s">
        <v>64</v>
      </c>
      <c r="E349" s="79" t="s">
        <v>280</v>
      </c>
      <c r="F349" s="80">
        <v>10.0</v>
      </c>
      <c r="G349" s="81"/>
      <c r="H349" s="79" t="s">
        <v>169</v>
      </c>
      <c r="I349" s="80">
        <v>20000.0</v>
      </c>
      <c r="J349" s="81"/>
      <c r="K349" s="79" t="s">
        <v>289</v>
      </c>
      <c r="L349" s="80">
        <v>40.0</v>
      </c>
      <c r="M349" s="79" t="s">
        <v>4647</v>
      </c>
      <c r="N349" s="79" t="s">
        <v>215</v>
      </c>
      <c r="O349" s="79" t="s">
        <v>4648</v>
      </c>
      <c r="P349" s="83"/>
      <c r="Q349" s="81" t="s">
        <v>4650</v>
      </c>
      <c r="R349" s="79" t="s">
        <v>4651</v>
      </c>
      <c r="S349" s="81"/>
      <c r="T349" s="81"/>
      <c r="U349" s="81"/>
      <c r="V349" s="81"/>
      <c r="W349" s="81"/>
      <c r="X349" s="81"/>
      <c r="Y349" s="81"/>
      <c r="Z349" s="81"/>
      <c r="AA349" s="81"/>
      <c r="AB349" s="81"/>
      <c r="AC349" s="81"/>
      <c r="AD349" s="81"/>
      <c r="AE349" s="81"/>
      <c r="AF349" s="81"/>
      <c r="AG349" s="81"/>
      <c r="AH349" s="81"/>
      <c r="AI349" s="81"/>
      <c r="AJ349" s="81" t="s">
        <v>998</v>
      </c>
      <c r="AK349" s="81"/>
      <c r="AL349" s="79"/>
    </row>
    <row r="350" ht="22.5" customHeight="1">
      <c r="A350" s="79">
        <v>10348.0</v>
      </c>
      <c r="B350" s="79" t="s">
        <v>1230</v>
      </c>
      <c r="C350" s="79" t="s">
        <v>238</v>
      </c>
      <c r="D350" s="79" t="s">
        <v>64</v>
      </c>
      <c r="E350" s="79" t="s">
        <v>280</v>
      </c>
      <c r="F350" s="80">
        <v>10.0</v>
      </c>
      <c r="G350" s="81"/>
      <c r="H350" s="79" t="s">
        <v>4257</v>
      </c>
      <c r="I350" s="80" t="s">
        <v>4256</v>
      </c>
      <c r="J350" s="81"/>
      <c r="K350" s="79" t="s">
        <v>289</v>
      </c>
      <c r="L350" s="80">
        <v>40.0</v>
      </c>
      <c r="M350" s="79" t="s">
        <v>4258</v>
      </c>
      <c r="N350" s="79" t="s">
        <v>215</v>
      </c>
      <c r="O350" s="79" t="s">
        <v>4259</v>
      </c>
      <c r="P350" s="83"/>
      <c r="Q350" s="81" t="s">
        <v>4260</v>
      </c>
      <c r="R350" s="86" t="str">
        <f>HYPERLINK("http://www.hennepin.us/~/media/hennepinus/residents/recycling/recycle-everywhere/RecycleEverywhere_TipsTricks.pdf?la=en","http://www.hennepin.us/~/media/hennepinus/residents/recycling/recycle-everywhere/RecycleEverywhere_TipsTricks.pdf?la=en")</f>
        <v>http://www.hennepin.us/~/media/hennepinus/residents/recycling/recycle-everywhere/RecycleEverywhere_TipsTricks.pdf?la=en</v>
      </c>
      <c r="S350" s="81"/>
      <c r="T350" s="81"/>
      <c r="U350" s="81"/>
      <c r="V350" s="81"/>
      <c r="W350" s="81"/>
      <c r="X350" s="81"/>
      <c r="Y350" s="81"/>
      <c r="Z350" s="81"/>
      <c r="AA350" s="81"/>
      <c r="AB350" s="81"/>
      <c r="AC350" s="81"/>
      <c r="AD350" s="81"/>
      <c r="AE350" s="81"/>
      <c r="AF350" s="81"/>
      <c r="AG350" s="81"/>
      <c r="AH350" s="81"/>
      <c r="AI350" s="81"/>
      <c r="AJ350" s="81" t="s">
        <v>4261</v>
      </c>
      <c r="AK350" s="81"/>
      <c r="AL350" s="79"/>
    </row>
    <row r="351" ht="22.5" customHeight="1">
      <c r="A351" s="79">
        <v>10349.0</v>
      </c>
      <c r="B351" s="79" t="s">
        <v>1230</v>
      </c>
      <c r="C351" s="79" t="s">
        <v>238</v>
      </c>
      <c r="D351" s="79" t="s">
        <v>64</v>
      </c>
      <c r="E351" s="79" t="s">
        <v>280</v>
      </c>
      <c r="F351" s="80">
        <v>10.0</v>
      </c>
      <c r="G351" s="81"/>
      <c r="H351" s="79" t="s">
        <v>994</v>
      </c>
      <c r="I351" s="80" t="s">
        <v>993</v>
      </c>
      <c r="J351" s="81"/>
      <c r="K351" s="79" t="s">
        <v>289</v>
      </c>
      <c r="L351" s="80">
        <v>40.0</v>
      </c>
      <c r="M351" s="79" t="s">
        <v>4666</v>
      </c>
      <c r="N351" s="79" t="s">
        <v>215</v>
      </c>
      <c r="O351" s="79" t="s">
        <v>4667</v>
      </c>
      <c r="P351" s="79"/>
      <c r="Q351" s="81" t="s">
        <v>4668</v>
      </c>
      <c r="R351" s="79" t="s">
        <v>4669</v>
      </c>
      <c r="S351" s="81" t="s">
        <v>4670</v>
      </c>
      <c r="T351" s="81"/>
      <c r="U351" s="81"/>
      <c r="V351" s="81"/>
      <c r="W351" s="81"/>
      <c r="X351" s="81"/>
      <c r="Y351" s="81"/>
      <c r="Z351" s="81"/>
      <c r="AA351" s="81"/>
      <c r="AB351" s="81"/>
      <c r="AC351" s="81"/>
      <c r="AD351" s="81"/>
      <c r="AE351" s="81"/>
      <c r="AF351" s="81"/>
      <c r="AG351" s="81"/>
      <c r="AH351" s="81"/>
      <c r="AI351" s="81"/>
      <c r="AJ351" s="81" t="s">
        <v>314</v>
      </c>
      <c r="AK351" s="81"/>
      <c r="AL351" s="79"/>
    </row>
    <row r="352" ht="22.5" customHeight="1">
      <c r="A352" s="79">
        <v>10350.0</v>
      </c>
      <c r="B352" s="79" t="s">
        <v>1230</v>
      </c>
      <c r="C352" s="79" t="s">
        <v>238</v>
      </c>
      <c r="D352" s="79" t="s">
        <v>64</v>
      </c>
      <c r="E352" s="79" t="s">
        <v>280</v>
      </c>
      <c r="F352" s="80">
        <v>10.0</v>
      </c>
      <c r="G352" s="81"/>
      <c r="H352" s="79" t="s">
        <v>994</v>
      </c>
      <c r="I352" s="80" t="s">
        <v>993</v>
      </c>
      <c r="J352" s="81"/>
      <c r="K352" s="79" t="s">
        <v>289</v>
      </c>
      <c r="L352" s="80">
        <v>40.0</v>
      </c>
      <c r="M352" s="79" t="s">
        <v>4675</v>
      </c>
      <c r="N352" s="79" t="s">
        <v>215</v>
      </c>
      <c r="O352" s="79" t="s">
        <v>4667</v>
      </c>
      <c r="P352" s="79"/>
      <c r="Q352" s="81" t="s">
        <v>4676</v>
      </c>
      <c r="R352" s="79" t="s">
        <v>4677</v>
      </c>
      <c r="S352" s="81" t="s">
        <v>4678</v>
      </c>
      <c r="T352" s="81"/>
      <c r="U352" s="81"/>
      <c r="V352" s="81"/>
      <c r="W352" s="81"/>
      <c r="X352" s="81"/>
      <c r="Y352" s="81"/>
      <c r="Z352" s="81"/>
      <c r="AA352" s="81"/>
      <c r="AB352" s="81"/>
      <c r="AC352" s="81"/>
      <c r="AD352" s="81"/>
      <c r="AE352" s="81"/>
      <c r="AF352" s="81"/>
      <c r="AG352" s="81"/>
      <c r="AH352" s="81"/>
      <c r="AI352" s="81"/>
      <c r="AJ352" s="81" t="s">
        <v>314</v>
      </c>
      <c r="AK352" s="81"/>
      <c r="AL352" s="79"/>
    </row>
    <row r="353" ht="22.5" customHeight="1">
      <c r="A353" s="79">
        <v>10351.0</v>
      </c>
      <c r="B353" s="79" t="s">
        <v>1230</v>
      </c>
      <c r="C353" s="79" t="s">
        <v>238</v>
      </c>
      <c r="D353" s="79" t="s">
        <v>64</v>
      </c>
      <c r="E353" s="79" t="s">
        <v>280</v>
      </c>
      <c r="F353" s="80">
        <v>10.0</v>
      </c>
      <c r="G353" s="81"/>
      <c r="H353" s="79" t="s">
        <v>470</v>
      </c>
      <c r="I353" s="80">
        <v>3000.0</v>
      </c>
      <c r="J353" s="81"/>
      <c r="K353" s="79" t="s">
        <v>289</v>
      </c>
      <c r="L353" s="80">
        <v>40.0</v>
      </c>
      <c r="M353" s="79" t="s">
        <v>4681</v>
      </c>
      <c r="N353" s="79" t="s">
        <v>577</v>
      </c>
      <c r="O353" s="79" t="s">
        <v>2320</v>
      </c>
      <c r="P353" s="105">
        <v>41481.0</v>
      </c>
      <c r="Q353" s="81" t="s">
        <v>4685</v>
      </c>
      <c r="R353" s="79" t="s">
        <v>4686</v>
      </c>
      <c r="S353" s="81"/>
      <c r="T353" s="81" t="s">
        <v>4670</v>
      </c>
      <c r="U353" s="81" t="s">
        <v>769</v>
      </c>
      <c r="V353" s="81" t="s">
        <v>530</v>
      </c>
      <c r="W353" s="81" t="s">
        <v>2322</v>
      </c>
      <c r="X353" s="81"/>
      <c r="Y353" s="81"/>
      <c r="Z353" s="81"/>
      <c r="AA353" s="81"/>
      <c r="AB353" s="81"/>
      <c r="AC353" s="81"/>
      <c r="AD353" s="81"/>
      <c r="AE353" s="81"/>
      <c r="AF353" s="81"/>
      <c r="AG353" s="81"/>
      <c r="AH353" s="81"/>
      <c r="AI353" s="81"/>
      <c r="AJ353" s="81" t="s">
        <v>314</v>
      </c>
      <c r="AK353" s="79"/>
      <c r="AL353" s="79"/>
    </row>
    <row r="354" ht="22.5" customHeight="1">
      <c r="A354" s="79">
        <v>10352.0</v>
      </c>
      <c r="B354" s="79" t="s">
        <v>1230</v>
      </c>
      <c r="C354" s="79" t="s">
        <v>238</v>
      </c>
      <c r="D354" s="79" t="s">
        <v>64</v>
      </c>
      <c r="E354" s="79" t="s">
        <v>280</v>
      </c>
      <c r="F354" s="80">
        <v>10.0</v>
      </c>
      <c r="G354" s="81"/>
      <c r="H354" s="79" t="s">
        <v>4693</v>
      </c>
      <c r="I354" s="80" t="s">
        <v>4695</v>
      </c>
      <c r="J354" s="81"/>
      <c r="K354" s="79" t="s">
        <v>289</v>
      </c>
      <c r="L354" s="80">
        <v>40.0</v>
      </c>
      <c r="M354" s="79" t="s">
        <v>4696</v>
      </c>
      <c r="N354" s="79" t="s">
        <v>577</v>
      </c>
      <c r="O354" s="79" t="s">
        <v>3508</v>
      </c>
      <c r="P354" s="79"/>
      <c r="Q354" s="81" t="s">
        <v>4697</v>
      </c>
      <c r="R354" s="86" t="str">
        <f>HYPERLINK("http://www.toolsofchange.com/en/case-studies/detail/688/","http://www.toolsofchange.com/en/case-studies/detail/688/")</f>
        <v>http://www.toolsofchange.com/en/case-studies/detail/688/</v>
      </c>
      <c r="S354" s="81" t="s">
        <v>4700</v>
      </c>
      <c r="T354" s="81"/>
      <c r="U354" s="81" t="s">
        <v>428</v>
      </c>
      <c r="V354" s="81" t="s">
        <v>663</v>
      </c>
      <c r="W354" s="81"/>
      <c r="X354" s="81"/>
      <c r="Y354" s="81"/>
      <c r="Z354" s="81"/>
      <c r="AA354" s="81"/>
      <c r="AB354" s="81"/>
      <c r="AC354" s="81"/>
      <c r="AD354" s="81"/>
      <c r="AE354" s="81"/>
      <c r="AF354" s="81"/>
      <c r="AG354" s="81"/>
      <c r="AH354" s="81"/>
      <c r="AI354" s="81"/>
      <c r="AJ354" s="81" t="s">
        <v>998</v>
      </c>
      <c r="AK354" s="79"/>
      <c r="AL354" s="79"/>
    </row>
    <row r="355" ht="22.5" customHeight="1">
      <c r="A355" s="79">
        <v>10353.0</v>
      </c>
      <c r="B355" s="79" t="s">
        <v>1230</v>
      </c>
      <c r="C355" s="79" t="s">
        <v>238</v>
      </c>
      <c r="D355" s="79" t="s">
        <v>64</v>
      </c>
      <c r="E355" s="79" t="s">
        <v>280</v>
      </c>
      <c r="F355" s="80">
        <v>10.0</v>
      </c>
      <c r="G355" s="81"/>
      <c r="H355" s="79" t="s">
        <v>116</v>
      </c>
      <c r="I355" s="80">
        <v>3000.0</v>
      </c>
      <c r="J355" s="81"/>
      <c r="K355" s="79" t="s">
        <v>289</v>
      </c>
      <c r="L355" s="80">
        <v>40.0</v>
      </c>
      <c r="M355" s="79" t="s">
        <v>4707</v>
      </c>
      <c r="N355" s="79" t="s">
        <v>577</v>
      </c>
      <c r="O355" s="79" t="s">
        <v>4708</v>
      </c>
      <c r="P355" s="79"/>
      <c r="Q355" s="81" t="s">
        <v>4709</v>
      </c>
      <c r="R355" s="79" t="s">
        <v>4710</v>
      </c>
      <c r="S355" s="81"/>
      <c r="T355" s="81"/>
      <c r="U355" s="81"/>
      <c r="V355" s="81"/>
      <c r="W355" s="81"/>
      <c r="X355" s="81"/>
      <c r="Y355" s="81"/>
      <c r="Z355" s="81"/>
      <c r="AA355" s="81"/>
      <c r="AB355" s="81"/>
      <c r="AC355" s="81"/>
      <c r="AD355" s="81"/>
      <c r="AE355" s="81"/>
      <c r="AF355" s="81"/>
      <c r="AG355" s="81"/>
      <c r="AH355" s="81"/>
      <c r="AI355" s="81"/>
      <c r="AJ355" s="81" t="s">
        <v>1137</v>
      </c>
      <c r="AK355" s="79"/>
      <c r="AL355" s="79"/>
    </row>
    <row r="356" ht="22.5" customHeight="1">
      <c r="A356" s="79">
        <v>10354.0</v>
      </c>
      <c r="B356" s="79" t="s">
        <v>1230</v>
      </c>
      <c r="C356" s="79" t="s">
        <v>238</v>
      </c>
      <c r="D356" s="79" t="s">
        <v>64</v>
      </c>
      <c r="E356" s="79" t="s">
        <v>280</v>
      </c>
      <c r="F356" s="80">
        <v>10.0</v>
      </c>
      <c r="G356" s="81"/>
      <c r="H356" s="79" t="s">
        <v>169</v>
      </c>
      <c r="I356" s="80">
        <v>20000.0</v>
      </c>
      <c r="J356" s="81"/>
      <c r="K356" s="79" t="s">
        <v>289</v>
      </c>
      <c r="L356" s="80">
        <v>40.0</v>
      </c>
      <c r="M356" s="79" t="s">
        <v>4713</v>
      </c>
      <c r="N356" s="79" t="s">
        <v>577</v>
      </c>
      <c r="O356" s="79" t="s">
        <v>4715</v>
      </c>
      <c r="P356" s="83"/>
      <c r="Q356" s="81" t="s">
        <v>4718</v>
      </c>
      <c r="R356" s="79" t="s">
        <v>4722</v>
      </c>
      <c r="S356" s="81"/>
      <c r="T356" s="81" t="s">
        <v>428</v>
      </c>
      <c r="U356" s="81"/>
      <c r="V356" s="81"/>
      <c r="W356" s="81"/>
      <c r="X356" s="81"/>
      <c r="Y356" s="81"/>
      <c r="Z356" s="81"/>
      <c r="AA356" s="81"/>
      <c r="AB356" s="81"/>
      <c r="AC356" s="81"/>
      <c r="AD356" s="81"/>
      <c r="AE356" s="81"/>
      <c r="AF356" s="81"/>
      <c r="AG356" s="81"/>
      <c r="AH356" s="81"/>
      <c r="AI356" s="81"/>
      <c r="AJ356" s="81" t="s">
        <v>998</v>
      </c>
      <c r="AK356" s="79"/>
      <c r="AL356" s="79"/>
    </row>
    <row r="357" ht="22.5" customHeight="1">
      <c r="A357" s="79">
        <v>10355.0</v>
      </c>
      <c r="B357" s="79" t="s">
        <v>1230</v>
      </c>
      <c r="C357" s="79" t="s">
        <v>238</v>
      </c>
      <c r="D357" s="79" t="s">
        <v>64</v>
      </c>
      <c r="E357" s="79" t="s">
        <v>280</v>
      </c>
      <c r="F357" s="80">
        <v>10.0</v>
      </c>
      <c r="G357" s="81"/>
      <c r="H357" s="79" t="s">
        <v>1203</v>
      </c>
      <c r="I357" s="80">
        <v>21000.0</v>
      </c>
      <c r="J357" s="81"/>
      <c r="K357" s="79" t="s">
        <v>111</v>
      </c>
      <c r="L357" s="80">
        <v>41.0</v>
      </c>
      <c r="M357" s="79" t="s">
        <v>3986</v>
      </c>
      <c r="N357" s="79" t="s">
        <v>577</v>
      </c>
      <c r="O357" s="79" t="s">
        <v>3989</v>
      </c>
      <c r="P357" s="83">
        <v>74603.0</v>
      </c>
      <c r="Q357" s="81" t="s">
        <v>3993</v>
      </c>
      <c r="R357" s="79" t="s">
        <v>3995</v>
      </c>
      <c r="S357" s="81"/>
      <c r="T357" s="81"/>
      <c r="U357" s="81"/>
      <c r="V357" s="81"/>
      <c r="W357" s="81"/>
      <c r="X357" s="81"/>
      <c r="Y357" s="81"/>
      <c r="Z357" s="81"/>
      <c r="AA357" s="81"/>
      <c r="AB357" s="81"/>
      <c r="AC357" s="81"/>
      <c r="AD357" s="81"/>
      <c r="AE357" s="81"/>
      <c r="AF357" s="81"/>
      <c r="AG357" s="81"/>
      <c r="AH357" s="81"/>
      <c r="AI357" s="81"/>
      <c r="AJ357" s="81" t="s">
        <v>998</v>
      </c>
      <c r="AK357" s="79"/>
      <c r="AL357" s="79"/>
    </row>
    <row r="358" ht="22.5" customHeight="1">
      <c r="A358" s="79">
        <v>10356.0</v>
      </c>
      <c r="B358" s="79" t="s">
        <v>1230</v>
      </c>
      <c r="C358" s="79" t="s">
        <v>238</v>
      </c>
      <c r="D358" s="79" t="s">
        <v>64</v>
      </c>
      <c r="E358" s="79" t="s">
        <v>280</v>
      </c>
      <c r="F358" s="80">
        <v>10.0</v>
      </c>
      <c r="G358" s="81"/>
      <c r="H358" s="79" t="s">
        <v>994</v>
      </c>
      <c r="I358" s="80" t="s">
        <v>993</v>
      </c>
      <c r="J358" s="81"/>
      <c r="K358" s="79" t="s">
        <v>289</v>
      </c>
      <c r="L358" s="80">
        <v>40.0</v>
      </c>
      <c r="M358" s="79" t="s">
        <v>995</v>
      </c>
      <c r="N358" s="79" t="s">
        <v>996</v>
      </c>
      <c r="O358" s="79" t="s">
        <v>997</v>
      </c>
      <c r="P358" s="105">
        <v>42374.0</v>
      </c>
      <c r="Q358" s="81"/>
      <c r="R358" s="79" t="s">
        <v>830</v>
      </c>
      <c r="S358" s="81"/>
      <c r="T358" s="81"/>
      <c r="U358" s="81"/>
      <c r="V358" s="81"/>
      <c r="W358" s="81"/>
      <c r="X358" s="81"/>
      <c r="Y358" s="81"/>
      <c r="Z358" s="81"/>
      <c r="AA358" s="81"/>
      <c r="AB358" s="81"/>
      <c r="AC358" s="81"/>
      <c r="AD358" s="81"/>
      <c r="AE358" s="81"/>
      <c r="AF358" s="81"/>
      <c r="AG358" s="81"/>
      <c r="AH358" s="81"/>
      <c r="AI358" s="81"/>
      <c r="AJ358" s="81" t="s">
        <v>998</v>
      </c>
      <c r="AK358" s="79"/>
      <c r="AL358" s="79"/>
    </row>
    <row r="359" ht="22.5" customHeight="1">
      <c r="A359" s="79">
        <v>10357.0</v>
      </c>
      <c r="B359" s="79" t="s">
        <v>1230</v>
      </c>
      <c r="C359" s="79" t="s">
        <v>238</v>
      </c>
      <c r="D359" s="79" t="s">
        <v>64</v>
      </c>
      <c r="E359" s="79" t="s">
        <v>280</v>
      </c>
      <c r="F359" s="80">
        <v>10.0</v>
      </c>
      <c r="G359" s="81"/>
      <c r="H359" s="79" t="s">
        <v>837</v>
      </c>
      <c r="I359" s="80">
        <v>2000.0</v>
      </c>
      <c r="J359" s="81"/>
      <c r="K359" s="79" t="s">
        <v>289</v>
      </c>
      <c r="L359" s="80">
        <v>40.0</v>
      </c>
      <c r="M359" s="79" t="s">
        <v>4729</v>
      </c>
      <c r="N359" s="79" t="s">
        <v>4730</v>
      </c>
      <c r="O359" s="79" t="s">
        <v>1303</v>
      </c>
      <c r="P359" s="83">
        <v>42194.0</v>
      </c>
      <c r="Q359" s="81"/>
      <c r="R359" s="86" t="str">
        <f>HYPERLINK("http://e360.yale.edu/feature/how_can_we_make_people_care_about_climate_change/2892/","http://e360.yale.edu/feature/how_can_we_make_people_care_about_climate_change/2892/")</f>
        <v>http://e360.yale.edu/feature/how_can_we_make_people_care_about_climate_change/2892/</v>
      </c>
      <c r="S359" s="81"/>
      <c r="T359" s="81" t="s">
        <v>462</v>
      </c>
      <c r="U359" s="81" t="s">
        <v>462</v>
      </c>
      <c r="V359" s="81"/>
      <c r="W359" s="81" t="s">
        <v>600</v>
      </c>
      <c r="X359" s="81" t="s">
        <v>4736</v>
      </c>
      <c r="Y359" s="88">
        <v>42472.0</v>
      </c>
      <c r="Z359" s="88"/>
      <c r="AA359" s="81" t="s">
        <v>561</v>
      </c>
      <c r="AB359" s="81"/>
      <c r="AC359" s="88">
        <v>42443.0</v>
      </c>
      <c r="AD359" s="81"/>
      <c r="AE359" s="81"/>
      <c r="AF359" s="81"/>
      <c r="AG359" s="81"/>
      <c r="AH359" s="81"/>
      <c r="AI359" s="81"/>
      <c r="AJ359" s="81"/>
      <c r="AK359" s="79"/>
      <c r="AL359" s="79"/>
    </row>
    <row r="360" ht="22.5" customHeight="1">
      <c r="A360" s="79">
        <v>10358.0</v>
      </c>
      <c r="B360" s="79" t="s">
        <v>1230</v>
      </c>
      <c r="C360" s="79" t="s">
        <v>238</v>
      </c>
      <c r="D360" s="79" t="s">
        <v>64</v>
      </c>
      <c r="E360" s="79" t="s">
        <v>280</v>
      </c>
      <c r="F360" s="80">
        <v>10.0</v>
      </c>
      <c r="G360" s="81"/>
      <c r="H360" s="79" t="s">
        <v>470</v>
      </c>
      <c r="I360" s="80">
        <v>3000.0</v>
      </c>
      <c r="J360" s="81"/>
      <c r="K360" s="79" t="s">
        <v>283</v>
      </c>
      <c r="L360" s="80">
        <v>43.0</v>
      </c>
      <c r="M360" s="79" t="s">
        <v>4741</v>
      </c>
      <c r="N360" s="79" t="s">
        <v>4743</v>
      </c>
      <c r="O360" s="79" t="s">
        <v>4744</v>
      </c>
      <c r="P360" s="105">
        <v>42152.0</v>
      </c>
      <c r="Q360" s="81" t="s">
        <v>4745</v>
      </c>
      <c r="R360" s="79" t="s">
        <v>4747</v>
      </c>
      <c r="S360" s="81"/>
      <c r="T360" s="81"/>
      <c r="U360" s="81"/>
      <c r="V360" s="81"/>
      <c r="W360" s="81"/>
      <c r="X360" s="81"/>
      <c r="Y360" s="81"/>
      <c r="Z360" s="81"/>
      <c r="AA360" s="81"/>
      <c r="AB360" s="81"/>
      <c r="AC360" s="81"/>
      <c r="AD360" s="81"/>
      <c r="AE360" s="81"/>
      <c r="AF360" s="81"/>
      <c r="AG360" s="81"/>
      <c r="AH360" s="81"/>
      <c r="AI360" s="81"/>
      <c r="AJ360" s="81" t="s">
        <v>1137</v>
      </c>
      <c r="AK360" s="79"/>
      <c r="AL360" s="79"/>
    </row>
    <row r="361" ht="22.5" customHeight="1">
      <c r="A361" s="79">
        <v>10359.0</v>
      </c>
      <c r="B361" s="79" t="s">
        <v>1230</v>
      </c>
      <c r="C361" s="79" t="s">
        <v>238</v>
      </c>
      <c r="D361" s="79" t="s">
        <v>64</v>
      </c>
      <c r="E361" s="79" t="s">
        <v>280</v>
      </c>
      <c r="F361" s="80">
        <v>10.0</v>
      </c>
      <c r="G361" s="81"/>
      <c r="H361" s="79" t="s">
        <v>4749</v>
      </c>
      <c r="I361" s="80">
        <v>3000.0</v>
      </c>
      <c r="J361" s="81"/>
      <c r="K361" s="79" t="s">
        <v>289</v>
      </c>
      <c r="L361" s="80">
        <v>40.0</v>
      </c>
      <c r="M361" s="79" t="s">
        <v>4750</v>
      </c>
      <c r="N361" s="79" t="s">
        <v>4751</v>
      </c>
      <c r="O361" s="79" t="s">
        <v>4752</v>
      </c>
      <c r="P361" s="105">
        <v>42219.0</v>
      </c>
      <c r="Q361" s="81" t="s">
        <v>4753</v>
      </c>
      <c r="R361" s="79" t="s">
        <v>4754</v>
      </c>
      <c r="S361" s="81"/>
      <c r="T361" s="81"/>
      <c r="U361" s="81"/>
      <c r="V361" s="81"/>
      <c r="W361" s="81"/>
      <c r="X361" s="81"/>
      <c r="Y361" s="81"/>
      <c r="Z361" s="81"/>
      <c r="AA361" s="81"/>
      <c r="AB361" s="81"/>
      <c r="AC361" s="81"/>
      <c r="AD361" s="81"/>
      <c r="AE361" s="81"/>
      <c r="AF361" s="81"/>
      <c r="AG361" s="81"/>
      <c r="AH361" s="81"/>
      <c r="AI361" s="81"/>
      <c r="AJ361" s="81" t="s">
        <v>314</v>
      </c>
      <c r="AK361" s="79"/>
      <c r="AL361" s="79"/>
    </row>
    <row r="362" ht="22.5" customHeight="1">
      <c r="A362" s="79">
        <v>10360.0</v>
      </c>
      <c r="B362" s="79" t="s">
        <v>1230</v>
      </c>
      <c r="C362" s="79" t="s">
        <v>238</v>
      </c>
      <c r="D362" s="79" t="s">
        <v>64</v>
      </c>
      <c r="E362" s="79" t="s">
        <v>280</v>
      </c>
      <c r="F362" s="80">
        <v>10.0</v>
      </c>
      <c r="G362" s="81"/>
      <c r="H362" s="79" t="s">
        <v>644</v>
      </c>
      <c r="I362" s="80">
        <v>2000.0</v>
      </c>
      <c r="J362" s="81"/>
      <c r="K362" s="79" t="s">
        <v>289</v>
      </c>
      <c r="L362" s="80">
        <v>40.0</v>
      </c>
      <c r="M362" s="79" t="s">
        <v>4755</v>
      </c>
      <c r="N362" s="79" t="s">
        <v>1717</v>
      </c>
      <c r="O362" s="79" t="s">
        <v>1430</v>
      </c>
      <c r="P362" s="83">
        <v>41897.0</v>
      </c>
      <c r="Q362" s="81" t="s">
        <v>4756</v>
      </c>
      <c r="R362" s="86" t="str">
        <f>HYPERLINK("http://www.npr.org/blogs/13.7/2014/09/15/348629576/how-not-to-teach-climate-change?utm_source=facebook.com&amp;utm_medium=social&amp;utm_campaign=npr&amp;utm_term=nprnews&amp;utm_content=20140915","http://www.npr.org/blogs/13.7/2014/09/15/348629576/how-not-to-teach-climate-change?utm_source=facebook.com&amp;utm_medium=social&amp;utm_campaign=npr&amp;utm_term=nprnews&amp;utm_content=20140915")</f>
        <v>http://www.npr.org/blogs/13.7/2014/09/15/348629576/how-not-to-teach-climate-change?utm_source=facebook.com&amp;utm_medium=social&amp;utm_campaign=npr&amp;utm_term=nprnews&amp;utm_content=20140915</v>
      </c>
      <c r="S362" s="81"/>
      <c r="T362" s="81" t="s">
        <v>462</v>
      </c>
      <c r="U362" s="81" t="s">
        <v>462</v>
      </c>
      <c r="V362" s="81" t="s">
        <v>676</v>
      </c>
      <c r="W362" s="81" t="s">
        <v>600</v>
      </c>
      <c r="X362" s="81" t="s">
        <v>1105</v>
      </c>
      <c r="Y362" s="88" t="s">
        <v>1105</v>
      </c>
      <c r="Z362" s="81"/>
      <c r="AA362" s="81" t="s">
        <v>769</v>
      </c>
      <c r="AB362" s="81"/>
      <c r="AC362" s="88">
        <v>41898.0</v>
      </c>
      <c r="AD362" s="81"/>
      <c r="AE362" s="81"/>
      <c r="AF362" s="81"/>
      <c r="AG362" s="81"/>
      <c r="AH362" s="81"/>
      <c r="AI362" s="81"/>
      <c r="AJ362" s="81"/>
      <c r="AK362" s="79"/>
      <c r="AL362" s="79"/>
    </row>
    <row r="363" ht="22.5" customHeight="1">
      <c r="A363" s="79">
        <v>10361.0</v>
      </c>
      <c r="B363" s="79" t="s">
        <v>1230</v>
      </c>
      <c r="C363" s="79" t="s">
        <v>238</v>
      </c>
      <c r="D363" s="79" t="s">
        <v>64</v>
      </c>
      <c r="E363" s="79" t="s">
        <v>280</v>
      </c>
      <c r="F363" s="80">
        <v>10.0</v>
      </c>
      <c r="G363" s="81"/>
      <c r="H363" s="79" t="s">
        <v>1203</v>
      </c>
      <c r="I363" s="80">
        <v>21000.0</v>
      </c>
      <c r="J363" s="81"/>
      <c r="K363" s="79" t="s">
        <v>298</v>
      </c>
      <c r="L363" s="80">
        <v>44.0</v>
      </c>
      <c r="M363" s="79" t="s">
        <v>1204</v>
      </c>
      <c r="N363" s="79" t="s">
        <v>1205</v>
      </c>
      <c r="O363" s="79" t="s">
        <v>1206</v>
      </c>
      <c r="P363" s="83">
        <v>42052.0</v>
      </c>
      <c r="Q363" s="81" t="s">
        <v>1207</v>
      </c>
      <c r="R363" s="79" t="s">
        <v>1208</v>
      </c>
      <c r="S363" s="81"/>
      <c r="T363" s="81"/>
      <c r="U363" s="81"/>
      <c r="V363" s="81"/>
      <c r="W363" s="81"/>
      <c r="X363" s="81"/>
      <c r="Y363" s="81"/>
      <c r="Z363" s="81"/>
      <c r="AA363" s="81"/>
      <c r="AB363" s="81"/>
      <c r="AC363" s="81"/>
      <c r="AD363" s="81"/>
      <c r="AE363" s="81"/>
      <c r="AF363" s="81"/>
      <c r="AG363" s="81"/>
      <c r="AH363" s="81"/>
      <c r="AI363" s="81"/>
      <c r="AJ363" s="81" t="s">
        <v>1137</v>
      </c>
      <c r="AK363" s="79"/>
      <c r="AL363" s="79"/>
    </row>
    <row r="364" ht="22.5" customHeight="1">
      <c r="A364" s="79">
        <v>10362.0</v>
      </c>
      <c r="B364" s="79" t="s">
        <v>1230</v>
      </c>
      <c r="C364" s="79" t="s">
        <v>238</v>
      </c>
      <c r="D364" s="79" t="s">
        <v>64</v>
      </c>
      <c r="E364" s="79" t="s">
        <v>280</v>
      </c>
      <c r="F364" s="80">
        <v>10.0</v>
      </c>
      <c r="G364" s="81"/>
      <c r="H364" s="79" t="s">
        <v>4763</v>
      </c>
      <c r="I364" s="80">
        <v>3000.0</v>
      </c>
      <c r="J364" s="81"/>
      <c r="K364" s="79" t="s">
        <v>289</v>
      </c>
      <c r="L364" s="80">
        <v>40.0</v>
      </c>
      <c r="M364" s="79" t="s">
        <v>4764</v>
      </c>
      <c r="N364" s="79" t="s">
        <v>4765</v>
      </c>
      <c r="O364" s="79" t="s">
        <v>3130</v>
      </c>
      <c r="P364" s="105">
        <v>41627.0</v>
      </c>
      <c r="Q364" s="81" t="s">
        <v>4768</v>
      </c>
      <c r="R364" s="79" t="s">
        <v>4770</v>
      </c>
      <c r="S364" s="81"/>
      <c r="T364" s="81"/>
      <c r="U364" s="81"/>
      <c r="V364" s="81"/>
      <c r="W364" s="81"/>
      <c r="X364" s="81"/>
      <c r="Y364" s="81"/>
      <c r="Z364" s="81"/>
      <c r="AA364" s="81"/>
      <c r="AB364" s="81"/>
      <c r="AC364" s="81"/>
      <c r="AD364" s="81"/>
      <c r="AE364" s="81"/>
      <c r="AF364" s="81"/>
      <c r="AG364" s="81"/>
      <c r="AH364" s="81"/>
      <c r="AI364" s="81"/>
      <c r="AJ364" s="81" t="s">
        <v>2456</v>
      </c>
      <c r="AK364" s="79"/>
      <c r="AL364" s="79"/>
    </row>
    <row r="365" ht="22.5" customHeight="1">
      <c r="A365" s="79">
        <v>10363.0</v>
      </c>
      <c r="B365" s="79" t="s">
        <v>1230</v>
      </c>
      <c r="C365" s="79" t="s">
        <v>238</v>
      </c>
      <c r="D365" s="79" t="s">
        <v>64</v>
      </c>
      <c r="E365" s="79" t="s">
        <v>280</v>
      </c>
      <c r="F365" s="80">
        <v>10.0</v>
      </c>
      <c r="G365" s="81"/>
      <c r="H365" s="79" t="s">
        <v>4772</v>
      </c>
      <c r="I365" s="80" t="s">
        <v>4773</v>
      </c>
      <c r="J365" s="81"/>
      <c r="K365" s="79" t="s">
        <v>289</v>
      </c>
      <c r="L365" s="80">
        <v>40.0</v>
      </c>
      <c r="M365" s="79" t="s">
        <v>4774</v>
      </c>
      <c r="N365" s="79" t="s">
        <v>4775</v>
      </c>
      <c r="O365" s="79" t="s">
        <v>4776</v>
      </c>
      <c r="P365" s="83">
        <v>39976.0</v>
      </c>
      <c r="Q365" s="81"/>
      <c r="R365" s="79" t="s">
        <v>4777</v>
      </c>
      <c r="S365" s="81"/>
      <c r="T365" s="81"/>
      <c r="U365" s="81"/>
      <c r="V365" s="81"/>
      <c r="W365" s="81"/>
      <c r="X365" s="81"/>
      <c r="Y365" s="81"/>
      <c r="Z365" s="81"/>
      <c r="AA365" s="81"/>
      <c r="AB365" s="81"/>
      <c r="AC365" s="81"/>
      <c r="AD365" s="81"/>
      <c r="AE365" s="81"/>
      <c r="AF365" s="81"/>
      <c r="AG365" s="81"/>
      <c r="AH365" s="81"/>
      <c r="AI365" s="81"/>
      <c r="AJ365" s="81" t="s">
        <v>2456</v>
      </c>
      <c r="AK365" s="79"/>
      <c r="AL365" s="79"/>
    </row>
    <row r="366" ht="22.5" customHeight="1">
      <c r="A366" s="79">
        <v>10364.0</v>
      </c>
      <c r="B366" s="79" t="s">
        <v>1230</v>
      </c>
      <c r="C366" s="79" t="s">
        <v>238</v>
      </c>
      <c r="D366" s="79" t="s">
        <v>64</v>
      </c>
      <c r="E366" s="79" t="s">
        <v>280</v>
      </c>
      <c r="F366" s="80">
        <v>10.0</v>
      </c>
      <c r="G366" s="81"/>
      <c r="H366" s="79" t="s">
        <v>224</v>
      </c>
      <c r="I366" s="80"/>
      <c r="J366" s="81"/>
      <c r="K366" s="79" t="s">
        <v>289</v>
      </c>
      <c r="L366" s="80">
        <v>40.0</v>
      </c>
      <c r="M366" s="79" t="s">
        <v>3671</v>
      </c>
      <c r="N366" s="79" t="s">
        <v>3672</v>
      </c>
      <c r="O366" s="79" t="s">
        <v>1538</v>
      </c>
      <c r="P366" s="83">
        <v>42314.0</v>
      </c>
      <c r="Q366" s="81" t="s">
        <v>3673</v>
      </c>
      <c r="R366" s="79" t="s">
        <v>3674</v>
      </c>
      <c r="S366" s="81" t="s">
        <v>3678</v>
      </c>
      <c r="T366" s="81"/>
      <c r="U366" s="81"/>
      <c r="V366" s="81" t="s">
        <v>1984</v>
      </c>
      <c r="W366" s="81"/>
      <c r="X366" s="81"/>
      <c r="Y366" s="81"/>
      <c r="Z366" s="81"/>
      <c r="AA366" s="81"/>
      <c r="AB366" s="81"/>
      <c r="AC366" s="81"/>
      <c r="AD366" s="81"/>
      <c r="AE366" s="81"/>
      <c r="AF366" s="81"/>
      <c r="AG366" s="81"/>
      <c r="AH366" s="81"/>
      <c r="AI366" s="81"/>
      <c r="AJ366" s="81" t="s">
        <v>3680</v>
      </c>
      <c r="AK366" s="79"/>
      <c r="AL366" s="79"/>
    </row>
    <row r="367" ht="22.5" customHeight="1">
      <c r="A367" s="79">
        <v>10365.0</v>
      </c>
      <c r="B367" s="79" t="s">
        <v>1230</v>
      </c>
      <c r="C367" s="79" t="s">
        <v>238</v>
      </c>
      <c r="D367" s="79" t="s">
        <v>64</v>
      </c>
      <c r="E367" s="79" t="s">
        <v>280</v>
      </c>
      <c r="F367" s="80">
        <v>10.0</v>
      </c>
      <c r="G367" s="81"/>
      <c r="H367" s="79" t="s">
        <v>224</v>
      </c>
      <c r="I367" s="80"/>
      <c r="J367" s="81"/>
      <c r="K367" s="79" t="s">
        <v>289</v>
      </c>
      <c r="L367" s="80">
        <v>40.0</v>
      </c>
      <c r="M367" s="79" t="s">
        <v>910</v>
      </c>
      <c r="N367" s="79" t="s">
        <v>911</v>
      </c>
      <c r="O367" s="79" t="s">
        <v>912</v>
      </c>
      <c r="P367" s="83">
        <v>42248.0</v>
      </c>
      <c r="Q367" s="81" t="s">
        <v>913</v>
      </c>
      <c r="R367" s="86" t="str">
        <f>HYPERLINK("https://dornsife.usc.edu/assets/sites/545/docs/Wendy_Wood_Research_Articles/wood.runger.2016.pdf","https://dornsife.usc.edu/assets/sites/545/docs/Wendy_Wood_Research_Articles/wood.runger.2016.pdf")</f>
        <v>https://dornsife.usc.edu/assets/sites/545/docs/Wendy_Wood_Research_Articles/wood.runger.2016.pdf</v>
      </c>
      <c r="S367" s="81" t="s">
        <v>914</v>
      </c>
      <c r="T367" s="81"/>
      <c r="U367" s="81"/>
      <c r="V367" s="81" t="s">
        <v>915</v>
      </c>
      <c r="W367" s="81"/>
      <c r="X367" s="81"/>
      <c r="Y367" s="81"/>
      <c r="Z367" s="81"/>
      <c r="AA367" s="81"/>
      <c r="AB367" s="81"/>
      <c r="AC367" s="81"/>
      <c r="AD367" s="81"/>
      <c r="AE367" s="81"/>
      <c r="AF367" s="81"/>
      <c r="AG367" s="81"/>
      <c r="AH367" s="81"/>
      <c r="AI367" s="81"/>
      <c r="AJ367" s="81" t="s">
        <v>916</v>
      </c>
      <c r="AK367" s="79"/>
      <c r="AL367" s="79"/>
    </row>
    <row r="368" ht="22.5" customHeight="1">
      <c r="A368" s="79">
        <v>10366.0</v>
      </c>
      <c r="B368" s="79" t="s">
        <v>1230</v>
      </c>
      <c r="C368" s="79" t="s">
        <v>238</v>
      </c>
      <c r="D368" s="79" t="s">
        <v>64</v>
      </c>
      <c r="E368" s="79" t="s">
        <v>167</v>
      </c>
      <c r="F368" s="80">
        <v>10.0</v>
      </c>
      <c r="G368" s="81"/>
      <c r="H368" s="79" t="s">
        <v>4607</v>
      </c>
      <c r="I368" s="80">
        <v>22000.0</v>
      </c>
      <c r="J368" s="81"/>
      <c r="K368" s="79" t="s">
        <v>111</v>
      </c>
      <c r="L368" s="80">
        <v>41.0</v>
      </c>
      <c r="M368" s="79" t="s">
        <v>4795</v>
      </c>
      <c r="N368" s="79" t="s">
        <v>4796</v>
      </c>
      <c r="O368" s="79" t="s">
        <v>3423</v>
      </c>
      <c r="P368" s="105">
        <v>40564.0</v>
      </c>
      <c r="Q368" s="81"/>
      <c r="R368" s="79" t="s">
        <v>4797</v>
      </c>
      <c r="S368" s="81"/>
      <c r="T368" s="81" t="s">
        <v>462</v>
      </c>
      <c r="U368" s="81" t="s">
        <v>462</v>
      </c>
      <c r="V368" s="81"/>
      <c r="W368" s="81"/>
      <c r="X368" s="81"/>
      <c r="Y368" s="81"/>
      <c r="Z368" s="81"/>
      <c r="AA368" s="81"/>
      <c r="AB368" s="81"/>
      <c r="AC368" s="81"/>
      <c r="AD368" s="81"/>
      <c r="AE368" s="81"/>
      <c r="AF368" s="81"/>
      <c r="AG368" s="81"/>
      <c r="AH368" s="81"/>
      <c r="AI368" s="81"/>
      <c r="AJ368" s="81" t="s">
        <v>314</v>
      </c>
      <c r="AK368" s="79"/>
      <c r="AL368" s="79"/>
    </row>
    <row r="369" ht="22.5" customHeight="1">
      <c r="A369" s="79">
        <v>10367.0</v>
      </c>
      <c r="B369" s="79" t="s">
        <v>1230</v>
      </c>
      <c r="C369" s="79" t="s">
        <v>238</v>
      </c>
      <c r="D369" s="79" t="s">
        <v>64</v>
      </c>
      <c r="E369" s="79" t="s">
        <v>4799</v>
      </c>
      <c r="F369" s="80" t="s">
        <v>4800</v>
      </c>
      <c r="G369" s="81"/>
      <c r="H369" s="79" t="s">
        <v>470</v>
      </c>
      <c r="I369" s="80">
        <v>3000.0</v>
      </c>
      <c r="J369" s="81"/>
      <c r="K369" s="79" t="s">
        <v>289</v>
      </c>
      <c r="L369" s="80">
        <v>40.0</v>
      </c>
      <c r="M369" s="79" t="s">
        <v>4352</v>
      </c>
      <c r="N369" s="79" t="s">
        <v>4801</v>
      </c>
      <c r="O369" s="79" t="s">
        <v>4355</v>
      </c>
      <c r="P369" s="83"/>
      <c r="Q369" s="81" t="s">
        <v>4364</v>
      </c>
      <c r="R369" s="79" t="s">
        <v>4361</v>
      </c>
      <c r="S369" s="81"/>
      <c r="T369" s="81" t="s">
        <v>428</v>
      </c>
      <c r="U369" s="81"/>
      <c r="V369" s="81"/>
      <c r="W369" s="81"/>
      <c r="X369" s="81"/>
      <c r="Y369" s="81"/>
      <c r="Z369" s="81"/>
      <c r="AA369" s="81"/>
      <c r="AB369" s="81"/>
      <c r="AC369" s="81"/>
      <c r="AD369" s="81"/>
      <c r="AE369" s="81"/>
      <c r="AF369" s="81"/>
      <c r="AG369" s="81"/>
      <c r="AH369" s="81"/>
      <c r="AI369" s="81"/>
      <c r="AJ369" s="81" t="s">
        <v>998</v>
      </c>
      <c r="AK369" s="81"/>
      <c r="AL369" s="79"/>
    </row>
    <row r="370" ht="22.5" customHeight="1">
      <c r="A370" s="79">
        <v>10368.0</v>
      </c>
      <c r="B370" s="79" t="s">
        <v>1230</v>
      </c>
      <c r="C370" s="79" t="s">
        <v>238</v>
      </c>
      <c r="D370" s="79" t="s">
        <v>64</v>
      </c>
      <c r="E370" s="79" t="s">
        <v>4799</v>
      </c>
      <c r="F370" s="80" t="s">
        <v>4800</v>
      </c>
      <c r="G370" s="81"/>
      <c r="H370" s="79" t="s">
        <v>224</v>
      </c>
      <c r="I370" s="80"/>
      <c r="J370" s="81"/>
      <c r="K370" s="79" t="s">
        <v>289</v>
      </c>
      <c r="L370" s="80">
        <v>40.0</v>
      </c>
      <c r="M370" s="79" t="s">
        <v>4804</v>
      </c>
      <c r="N370" s="79" t="s">
        <v>2389</v>
      </c>
      <c r="O370" s="79" t="s">
        <v>4806</v>
      </c>
      <c r="P370" s="79">
        <v>2015.0</v>
      </c>
      <c r="Q370" s="81" t="s">
        <v>4809</v>
      </c>
      <c r="R370" s="86" t="str">
        <f>HYPERLINK("http://psychologyofeating.com/simple-psychology-habits/","http://psychologyofeating.com/simple-psychology-habits/")</f>
        <v>http://psychologyofeating.com/simple-psychology-habits/</v>
      </c>
      <c r="S370" s="81" t="s">
        <v>4813</v>
      </c>
      <c r="T370" s="81"/>
      <c r="U370" s="81"/>
      <c r="V370" s="81" t="s">
        <v>2322</v>
      </c>
      <c r="W370" s="81"/>
      <c r="X370" s="81"/>
      <c r="Y370" s="81"/>
      <c r="Z370" s="81"/>
      <c r="AA370" s="81"/>
      <c r="AB370" s="81"/>
      <c r="AC370" s="81"/>
      <c r="AD370" s="81"/>
      <c r="AE370" s="81"/>
      <c r="AF370" s="81"/>
      <c r="AG370" s="81"/>
      <c r="AH370" s="81"/>
      <c r="AI370" s="81"/>
      <c r="AJ370" s="81" t="s">
        <v>998</v>
      </c>
      <c r="AK370" s="81"/>
      <c r="AL370" s="79"/>
    </row>
    <row r="371" ht="22.5" customHeight="1">
      <c r="A371" s="79">
        <v>10369.0</v>
      </c>
      <c r="B371" s="79" t="s">
        <v>1230</v>
      </c>
      <c r="C371" s="79" t="s">
        <v>238</v>
      </c>
      <c r="D371" s="79" t="s">
        <v>64</v>
      </c>
      <c r="E371" s="79" t="s">
        <v>712</v>
      </c>
      <c r="F371" s="80">
        <v>7.0</v>
      </c>
      <c r="G371" s="81"/>
      <c r="H371" s="79" t="s">
        <v>224</v>
      </c>
      <c r="I371" s="80"/>
      <c r="J371" s="81"/>
      <c r="K371" s="79" t="s">
        <v>324</v>
      </c>
      <c r="L371" s="80" t="s">
        <v>325</v>
      </c>
      <c r="M371" s="79" t="s">
        <v>4815</v>
      </c>
      <c r="N371" s="79" t="s">
        <v>4816</v>
      </c>
      <c r="O371" s="79" t="s">
        <v>4817</v>
      </c>
      <c r="P371" s="83">
        <v>41887.0</v>
      </c>
      <c r="Q371" s="81" t="s">
        <v>4819</v>
      </c>
      <c r="R371" s="86" t="str">
        <f>HYPERLINK("http://www.research-live.com/features/motivations-and-money-raising-in-a-social-media-world/4012202.article","http://www.research-live.com/features/motivations-and-money-raising-in-a-social-media-world/4012202.article")</f>
        <v>http://www.research-live.com/features/motivations-and-money-raising-in-a-social-media-world/4012202.article</v>
      </c>
      <c r="S371" s="81"/>
      <c r="T371" s="81" t="s">
        <v>462</v>
      </c>
      <c r="U371" s="81" t="s">
        <v>462</v>
      </c>
      <c r="V371" s="81"/>
      <c r="W371" s="81" t="s">
        <v>769</v>
      </c>
      <c r="X371" s="81" t="s">
        <v>4824</v>
      </c>
      <c r="Y371" s="88">
        <v>41900.0</v>
      </c>
      <c r="Z371" s="81"/>
      <c r="AA371" s="81" t="s">
        <v>530</v>
      </c>
      <c r="AB371" s="81"/>
      <c r="AC371" s="88"/>
      <c r="AD371" s="81"/>
      <c r="AE371" s="81"/>
      <c r="AF371" s="81"/>
      <c r="AG371" s="81"/>
      <c r="AH371" s="81"/>
      <c r="AI371" s="81"/>
      <c r="AJ371" s="81" t="s">
        <v>2670</v>
      </c>
      <c r="AK371" s="81"/>
      <c r="AL371" s="79"/>
    </row>
    <row r="372" ht="22.5" customHeight="1">
      <c r="A372" s="79">
        <v>10370.0</v>
      </c>
      <c r="B372" s="79" t="s">
        <v>1230</v>
      </c>
      <c r="C372" s="79" t="s">
        <v>238</v>
      </c>
      <c r="D372" s="79" t="s">
        <v>64</v>
      </c>
      <c r="E372" s="79" t="s">
        <v>712</v>
      </c>
      <c r="F372" s="80">
        <v>7.0</v>
      </c>
      <c r="G372" s="81"/>
      <c r="H372" s="79" t="s">
        <v>116</v>
      </c>
      <c r="I372" s="80">
        <v>3000.0</v>
      </c>
      <c r="J372" s="81"/>
      <c r="K372" s="79" t="s">
        <v>289</v>
      </c>
      <c r="L372" s="80">
        <v>40.0</v>
      </c>
      <c r="M372" s="79" t="s">
        <v>987</v>
      </c>
      <c r="N372" s="79" t="s">
        <v>988</v>
      </c>
      <c r="O372" s="79" t="s">
        <v>989</v>
      </c>
      <c r="P372" s="83">
        <v>42024.0</v>
      </c>
      <c r="Q372" s="81" t="s">
        <v>990</v>
      </c>
      <c r="R372" s="86" t="str">
        <f>HYPERLINK("https://medium.com/backchannel/conserving-water-with-software-and-shame-3a846c01b811","https://medium.com/backchannel/conserving-water-with-software-and-shame-3a846c01b811")</f>
        <v>https://medium.com/backchannel/conserving-water-with-software-and-shame-3a846c01b811</v>
      </c>
      <c r="S372" s="81"/>
      <c r="T372" s="81" t="s">
        <v>462</v>
      </c>
      <c r="U372" s="81" t="s">
        <v>462</v>
      </c>
      <c r="V372" s="81"/>
      <c r="W372" s="81" t="s">
        <v>769</v>
      </c>
      <c r="X372" s="81"/>
      <c r="Y372" s="88"/>
      <c r="Z372" s="81"/>
      <c r="AA372" s="81" t="s">
        <v>769</v>
      </c>
      <c r="AB372" s="81"/>
      <c r="AC372" s="88">
        <v>42265.0</v>
      </c>
      <c r="AD372" s="81"/>
      <c r="AE372" s="88"/>
      <c r="AF372" s="81"/>
      <c r="AG372" s="81"/>
      <c r="AH372" s="81"/>
      <c r="AI372" s="81"/>
      <c r="AJ372" s="81" t="s">
        <v>991</v>
      </c>
      <c r="AK372" s="81"/>
      <c r="AL372" s="79"/>
    </row>
    <row r="373" ht="22.5" customHeight="1">
      <c r="A373" s="79">
        <v>10371.0</v>
      </c>
      <c r="B373" s="79" t="s">
        <v>1230</v>
      </c>
      <c r="C373" s="79" t="s">
        <v>238</v>
      </c>
      <c r="D373" s="79" t="s">
        <v>64</v>
      </c>
      <c r="E373" s="79" t="s">
        <v>712</v>
      </c>
      <c r="F373" s="80">
        <v>7.0</v>
      </c>
      <c r="G373" s="81"/>
      <c r="H373" s="79" t="s">
        <v>1114</v>
      </c>
      <c r="I373" s="80">
        <v>2000.0</v>
      </c>
      <c r="J373" s="81"/>
      <c r="K373" s="79" t="s">
        <v>289</v>
      </c>
      <c r="L373" s="80">
        <v>40.0</v>
      </c>
      <c r="M373" s="79" t="s">
        <v>4842</v>
      </c>
      <c r="N373" s="79" t="s">
        <v>4843</v>
      </c>
      <c r="O373" s="79" t="s">
        <v>4845</v>
      </c>
      <c r="P373" s="83">
        <v>42045.0</v>
      </c>
      <c r="Q373" s="81" t="s">
        <v>4847</v>
      </c>
      <c r="R373" s="86" t="str">
        <f>HYPERLINK("http://www.uvm.edu/~uvmpr/?Page=news&amp;storyID=20208&amp;category=ucommfeatureb","http://www.uvm.edu/~uvmpr/?Page=news&amp;storyID=20208&amp;category=ucommfeatureb")</f>
        <v>http://www.uvm.edu/~uvmpr/?Page=news&amp;storyID=20208&amp;category=ucommfeatureb</v>
      </c>
      <c r="S373" s="81"/>
      <c r="T373" s="81" t="s">
        <v>462</v>
      </c>
      <c r="U373" s="81" t="s">
        <v>462</v>
      </c>
      <c r="V373" s="81"/>
      <c r="W373" s="81" t="s">
        <v>769</v>
      </c>
      <c r="X373" s="81" t="s">
        <v>4853</v>
      </c>
      <c r="Y373" s="88">
        <v>42109.0</v>
      </c>
      <c r="Z373" s="96" t="str">
        <f>HYPERLINK("http://bit.ly/1Ch5c2s","6/29/2016")</f>
        <v>6/29/2016</v>
      </c>
      <c r="AA373" s="81" t="s">
        <v>769</v>
      </c>
      <c r="AB373" s="81"/>
      <c r="AC373" s="88">
        <v>42059.0</v>
      </c>
      <c r="AD373" s="81" t="s">
        <v>2363</v>
      </c>
      <c r="AE373" s="81"/>
      <c r="AF373" s="81"/>
      <c r="AG373" s="81"/>
      <c r="AH373" s="81" t="s">
        <v>428</v>
      </c>
      <c r="AI373" s="81"/>
      <c r="AJ373" s="81" t="s">
        <v>2670</v>
      </c>
      <c r="AK373" s="81"/>
      <c r="AL373" s="79"/>
    </row>
    <row r="374" ht="22.5" customHeight="1">
      <c r="A374" s="79">
        <v>10372.0</v>
      </c>
      <c r="B374" s="79" t="s">
        <v>1230</v>
      </c>
      <c r="C374" s="79" t="s">
        <v>238</v>
      </c>
      <c r="D374" s="79" t="s">
        <v>64</v>
      </c>
      <c r="E374" s="79" t="s">
        <v>712</v>
      </c>
      <c r="F374" s="80">
        <v>7.0</v>
      </c>
      <c r="G374" s="81"/>
      <c r="H374" s="79" t="s">
        <v>644</v>
      </c>
      <c r="I374" s="80">
        <v>2000.0</v>
      </c>
      <c r="J374" s="81"/>
      <c r="K374" s="79" t="s">
        <v>289</v>
      </c>
      <c r="L374" s="80">
        <v>40.0</v>
      </c>
      <c r="M374" s="94" t="s">
        <v>4859</v>
      </c>
      <c r="N374" s="79" t="s">
        <v>1374</v>
      </c>
      <c r="O374" s="79" t="s">
        <v>4860</v>
      </c>
      <c r="P374" s="83">
        <v>42502.0</v>
      </c>
      <c r="Q374" s="81" t="s">
        <v>4861</v>
      </c>
      <c r="R374" s="86" t="str">
        <f>HYPERLINK("https://www.washingtonpost.com/news/energy-environment/wp/2016/05/12/the-vicious-cycle-that-makes-people-afraid-to-talk-about-climate-change/","https://www.washingtonpost.com/news/energy-environment/wp/2016/05/12/the-vicious-cycle-that-makes-people-afraid-to-talk-about-climate-change/")</f>
        <v>https://www.washingtonpost.com/news/energy-environment/wp/2016/05/12/the-vicious-cycle-that-makes-people-afraid-to-talk-about-climate-change/</v>
      </c>
      <c r="S374" s="81"/>
      <c r="T374" s="81"/>
      <c r="U374" s="81"/>
      <c r="V374" s="81"/>
      <c r="W374" s="81" t="s">
        <v>428</v>
      </c>
      <c r="X374" s="81" t="s">
        <v>4864</v>
      </c>
      <c r="Y374" s="88">
        <v>42634.0</v>
      </c>
      <c r="Z374" s="81"/>
      <c r="AA374" s="81"/>
      <c r="AB374" s="81"/>
      <c r="AC374" s="81"/>
      <c r="AD374" s="81"/>
      <c r="AE374" s="81"/>
      <c r="AF374" s="81"/>
      <c r="AG374" s="81"/>
      <c r="AH374" s="81"/>
      <c r="AI374" s="81" t="s">
        <v>428</v>
      </c>
      <c r="AJ374" s="81" t="s">
        <v>731</v>
      </c>
      <c r="AK374" s="81"/>
      <c r="AL374" s="79"/>
    </row>
    <row r="375" ht="22.5" customHeight="1">
      <c r="A375" s="79">
        <v>10373.0</v>
      </c>
      <c r="B375" s="79" t="s">
        <v>1230</v>
      </c>
      <c r="C375" s="79" t="s">
        <v>238</v>
      </c>
      <c r="D375" s="79" t="s">
        <v>64</v>
      </c>
      <c r="E375" s="79" t="s">
        <v>712</v>
      </c>
      <c r="F375" s="80">
        <v>7.0</v>
      </c>
      <c r="G375" s="81"/>
      <c r="H375" s="79" t="s">
        <v>1114</v>
      </c>
      <c r="I375" s="80">
        <v>2000.0</v>
      </c>
      <c r="J375" s="81"/>
      <c r="K375" s="79" t="s">
        <v>289</v>
      </c>
      <c r="L375" s="80">
        <v>40.0</v>
      </c>
      <c r="M375" s="94" t="s">
        <v>2714</v>
      </c>
      <c r="N375" s="79" t="s">
        <v>1548</v>
      </c>
      <c r="O375" s="79" t="s">
        <v>1550</v>
      </c>
      <c r="P375" s="83">
        <v>42376.0</v>
      </c>
      <c r="Q375" s="81" t="s">
        <v>2716</v>
      </c>
      <c r="R375" s="86" t="str">
        <f>HYPERLINK("http://ecoaffect.org/2016/01/07/sustainability-on-ice-how-the-nhl-is-addressing-climate-concerns/","http://ecoaffect.org/2016/01/07/sustainability-on-ice-how-the-nhl-is-addressing-climate-concerns/")</f>
        <v>http://ecoaffect.org/2016/01/07/sustainability-on-ice-how-the-nhl-is-addressing-climate-concerns/</v>
      </c>
      <c r="S375" s="81"/>
      <c r="T375" s="81"/>
      <c r="U375" s="81"/>
      <c r="V375" s="81"/>
      <c r="W375" s="81" t="s">
        <v>428</v>
      </c>
      <c r="X375" s="81" t="s">
        <v>2721</v>
      </c>
      <c r="Y375" s="88">
        <v>42655.0</v>
      </c>
      <c r="Z375" s="81"/>
      <c r="AA375" s="81"/>
      <c r="AB375" s="81"/>
      <c r="AC375" s="81"/>
      <c r="AD375" s="81"/>
      <c r="AE375" s="81"/>
      <c r="AF375" s="81"/>
      <c r="AG375" s="81"/>
      <c r="AH375" s="81"/>
      <c r="AI375" s="81" t="s">
        <v>428</v>
      </c>
      <c r="AJ375" s="81" t="s">
        <v>1680</v>
      </c>
      <c r="AK375" s="81"/>
      <c r="AL375" s="79"/>
    </row>
    <row r="376" ht="22.5" customHeight="1">
      <c r="A376" s="79">
        <v>10374.0</v>
      </c>
      <c r="B376" s="79" t="s">
        <v>1230</v>
      </c>
      <c r="C376" s="79" t="s">
        <v>238</v>
      </c>
      <c r="D376" s="79" t="s">
        <v>64</v>
      </c>
      <c r="E376" s="79" t="s">
        <v>712</v>
      </c>
      <c r="F376" s="80">
        <v>7.0</v>
      </c>
      <c r="G376" s="81"/>
      <c r="H376" s="79" t="s">
        <v>644</v>
      </c>
      <c r="I376" s="80">
        <v>2000.0</v>
      </c>
      <c r="J376" s="81"/>
      <c r="K376" s="79" t="s">
        <v>289</v>
      </c>
      <c r="L376" s="80">
        <v>40.0</v>
      </c>
      <c r="M376" s="79" t="s">
        <v>4872</v>
      </c>
      <c r="N376" s="79" t="s">
        <v>4121</v>
      </c>
      <c r="O376" s="79" t="s">
        <v>4122</v>
      </c>
      <c r="P376" s="83">
        <v>42149.0</v>
      </c>
      <c r="Q376" s="81" t="s">
        <v>4874</v>
      </c>
      <c r="R376" s="86" t="str">
        <f>HYPERLINK("http://www.sesync.org/news/climate-change-debate-echo-chambers","http://www.sesync.org/news/climate-change-debate-echo-chambers")</f>
        <v>http://www.sesync.org/news/climate-change-debate-echo-chambers</v>
      </c>
      <c r="S376" s="81"/>
      <c r="T376" s="81" t="s">
        <v>462</v>
      </c>
      <c r="U376" s="81" t="s">
        <v>462</v>
      </c>
      <c r="V376" s="81" t="s">
        <v>676</v>
      </c>
      <c r="W376" s="81" t="s">
        <v>769</v>
      </c>
      <c r="X376" s="81" t="s">
        <v>4876</v>
      </c>
      <c r="Y376" s="88">
        <v>42312.0</v>
      </c>
      <c r="Z376" s="88">
        <v>42515.0</v>
      </c>
      <c r="AA376" s="81" t="s">
        <v>769</v>
      </c>
      <c r="AB376" s="81"/>
      <c r="AC376" s="88">
        <v>42464.0</v>
      </c>
      <c r="AD376" s="81"/>
      <c r="AE376" s="81"/>
      <c r="AF376" s="81"/>
      <c r="AG376" s="81"/>
      <c r="AH376" s="81"/>
      <c r="AI376" s="81"/>
      <c r="AJ376" s="81" t="s">
        <v>2670</v>
      </c>
      <c r="AK376" s="81"/>
      <c r="AL376" s="79"/>
    </row>
    <row r="377" ht="22.5" customHeight="1">
      <c r="A377" s="79">
        <v>10375.0</v>
      </c>
      <c r="B377" s="79" t="s">
        <v>1230</v>
      </c>
      <c r="C377" s="79" t="s">
        <v>238</v>
      </c>
      <c r="D377" s="79" t="s">
        <v>64</v>
      </c>
      <c r="E377" s="79" t="s">
        <v>712</v>
      </c>
      <c r="F377" s="80">
        <v>7.0</v>
      </c>
      <c r="G377" s="81"/>
      <c r="H377" s="79" t="s">
        <v>4877</v>
      </c>
      <c r="I377" s="80">
        <v>8000.0</v>
      </c>
      <c r="J377" s="81"/>
      <c r="K377" s="79" t="s">
        <v>289</v>
      </c>
      <c r="L377" s="80">
        <v>40.0</v>
      </c>
      <c r="M377" s="94" t="s">
        <v>4878</v>
      </c>
      <c r="N377" s="79" t="s">
        <v>2632</v>
      </c>
      <c r="O377" s="79" t="s">
        <v>2108</v>
      </c>
      <c r="P377" s="83">
        <v>42200.0</v>
      </c>
      <c r="Q377" s="81" t="s">
        <v>4879</v>
      </c>
      <c r="R377" s="86" t="str">
        <f>HYPERLINK("http://www.resource-media.org/mainstreaming-water-conservation-lessons-from-energy-efficiency/#.V090i_krLIU","http://www.resource-media.org/mainstreaming-water-conservation-lessons-from-energy-efficiency/#.V090i_krLIU")</f>
        <v>http://www.resource-media.org/mainstreaming-water-conservation-lessons-from-energy-efficiency/#.V090i_krLIU</v>
      </c>
      <c r="S377" s="81"/>
      <c r="T377" s="81"/>
      <c r="U377" s="81"/>
      <c r="V377" s="81"/>
      <c r="W377" s="81" t="s">
        <v>769</v>
      </c>
      <c r="X377" s="81" t="s">
        <v>4885</v>
      </c>
      <c r="Y377" s="88">
        <v>42691.0</v>
      </c>
      <c r="Z377" s="81"/>
      <c r="AA377" s="81"/>
      <c r="AB377" s="81"/>
      <c r="AC377" s="81"/>
      <c r="AD377" s="81"/>
      <c r="AE377" s="81"/>
      <c r="AF377" s="81"/>
      <c r="AG377" s="81"/>
      <c r="AH377" s="81"/>
      <c r="AI377" s="81" t="s">
        <v>428</v>
      </c>
      <c r="AJ377" s="81" t="s">
        <v>1680</v>
      </c>
      <c r="AK377" s="81"/>
      <c r="AL377" s="79"/>
    </row>
    <row r="378" ht="22.5" customHeight="1">
      <c r="A378" s="79">
        <v>10376.0</v>
      </c>
      <c r="B378" s="79" t="s">
        <v>1230</v>
      </c>
      <c r="C378" s="79" t="s">
        <v>238</v>
      </c>
      <c r="D378" s="79" t="s">
        <v>64</v>
      </c>
      <c r="E378" s="79" t="s">
        <v>712</v>
      </c>
      <c r="F378" s="80">
        <v>7.0</v>
      </c>
      <c r="G378" s="81"/>
      <c r="H378" s="79" t="s">
        <v>837</v>
      </c>
      <c r="I378" s="80">
        <v>2000.0</v>
      </c>
      <c r="J378" s="81"/>
      <c r="K378" s="79" t="s">
        <v>289</v>
      </c>
      <c r="L378" s="80">
        <v>40.0</v>
      </c>
      <c r="M378" s="79" t="s">
        <v>4887</v>
      </c>
      <c r="N378" s="79" t="s">
        <v>215</v>
      </c>
      <c r="O378" s="79" t="s">
        <v>1336</v>
      </c>
      <c r="P378" s="83">
        <v>42066.0</v>
      </c>
      <c r="Q378" s="81" t="s">
        <v>4889</v>
      </c>
      <c r="R378" s="86" t="str">
        <f>HYPERLINK("http://environment.yale.edu/climate-communication/article/scientific-consensus-on-climate-change-as-a-gateway-belief/","http://environment.yale.edu/climate-communication/article/scientific-consensus-on-climate-change-as-a-gateway-belief/")</f>
        <v>http://environment.yale.edu/climate-communication/article/scientific-consensus-on-climate-change-as-a-gateway-belief/</v>
      </c>
      <c r="S378" s="81"/>
      <c r="T378" s="81" t="s">
        <v>462</v>
      </c>
      <c r="U378" s="81" t="s">
        <v>462</v>
      </c>
      <c r="V378" s="81" t="s">
        <v>676</v>
      </c>
      <c r="W378" s="81" t="s">
        <v>769</v>
      </c>
      <c r="X378" s="81" t="s">
        <v>4895</v>
      </c>
      <c r="Y378" s="88">
        <v>42081.0</v>
      </c>
      <c r="Z378" s="96" t="str">
        <f>HYPERLINK("http://t.co/2SLjLocFYg","6/1/2016")</f>
        <v>6/1/2016</v>
      </c>
      <c r="AA378" s="81" t="s">
        <v>769</v>
      </c>
      <c r="AB378" s="81"/>
      <c r="AC378" s="88">
        <v>41352.0</v>
      </c>
      <c r="AD378" s="81" t="s">
        <v>2035</v>
      </c>
      <c r="AE378" s="81"/>
      <c r="AF378" s="81"/>
      <c r="AG378" s="81"/>
      <c r="AH378" s="81"/>
      <c r="AI378" s="81"/>
      <c r="AJ378" s="81" t="s">
        <v>4156</v>
      </c>
      <c r="AK378" s="81"/>
      <c r="AL378" s="79"/>
    </row>
    <row r="379" ht="22.5" customHeight="1">
      <c r="A379" s="79">
        <v>10377.0</v>
      </c>
      <c r="B379" s="79" t="s">
        <v>1230</v>
      </c>
      <c r="C379" s="79" t="s">
        <v>238</v>
      </c>
      <c r="D379" s="79" t="s">
        <v>64</v>
      </c>
      <c r="E379" s="79" t="s">
        <v>712</v>
      </c>
      <c r="F379" s="80">
        <v>7.0</v>
      </c>
      <c r="G379" s="81"/>
      <c r="H379" s="79" t="s">
        <v>1114</v>
      </c>
      <c r="I379" s="80">
        <v>2000.0</v>
      </c>
      <c r="J379" s="81"/>
      <c r="K379" s="79" t="s">
        <v>289</v>
      </c>
      <c r="L379" s="80">
        <v>40.0</v>
      </c>
      <c r="M379" s="79" t="s">
        <v>4899</v>
      </c>
      <c r="N379" s="79" t="s">
        <v>4901</v>
      </c>
      <c r="O379" s="79" t="s">
        <v>4902</v>
      </c>
      <c r="P379" s="83">
        <v>42037.0</v>
      </c>
      <c r="Q379" s="81" t="s">
        <v>4903</v>
      </c>
      <c r="R379" s="86" t="str">
        <f>HYPERLINK("http://www.telegraph.co.uk/culture/books/bookreviews/11376490/Is-Shame-Necessary-New-Uses-for-an-Old-Tool-by-Jennifer-Jacquet.html","http://www.telegraph.co.uk/culture/books/bookreviews/11376490/Is-Shame-Necessary-New-Uses-for-an-Old-Tool-by-Jennifer-Jacquet.html")</f>
        <v>http://www.telegraph.co.uk/culture/books/bookreviews/11376490/Is-Shame-Necessary-New-Uses-for-an-Old-Tool-by-Jennifer-Jacquet.html</v>
      </c>
      <c r="S379" s="81"/>
      <c r="T379" s="81" t="s">
        <v>462</v>
      </c>
      <c r="U379" s="81" t="s">
        <v>462</v>
      </c>
      <c r="V379" s="81"/>
      <c r="W379" s="81" t="s">
        <v>600</v>
      </c>
      <c r="X379" s="81"/>
      <c r="Y379" s="88"/>
      <c r="Z379" s="81"/>
      <c r="AA379" s="81"/>
      <c r="AB379" s="81"/>
      <c r="AC379" s="88"/>
      <c r="AD379" s="81" t="s">
        <v>2363</v>
      </c>
      <c r="AE379" s="81"/>
      <c r="AF379" s="81"/>
      <c r="AG379" s="81"/>
      <c r="AH379" s="81" t="s">
        <v>428</v>
      </c>
      <c r="AI379" s="81"/>
      <c r="AJ379" s="81"/>
      <c r="AK379" s="81"/>
      <c r="AL379" s="79"/>
    </row>
    <row r="380" ht="22.5" customHeight="1">
      <c r="A380" s="79">
        <v>10378.0</v>
      </c>
      <c r="B380" s="79" t="s">
        <v>1230</v>
      </c>
      <c r="C380" s="79" t="s">
        <v>238</v>
      </c>
      <c r="D380" s="79" t="s">
        <v>64</v>
      </c>
      <c r="E380" s="79" t="s">
        <v>712</v>
      </c>
      <c r="F380" s="80">
        <v>7.0</v>
      </c>
      <c r="G380" s="81"/>
      <c r="H380" s="79" t="s">
        <v>224</v>
      </c>
      <c r="I380" s="80"/>
      <c r="J380" s="81"/>
      <c r="K380" s="79" t="s">
        <v>289</v>
      </c>
      <c r="L380" s="80">
        <v>40.0</v>
      </c>
      <c r="M380" s="79" t="s">
        <v>4907</v>
      </c>
      <c r="N380" s="79" t="s">
        <v>1429</v>
      </c>
      <c r="O380" s="79" t="s">
        <v>1430</v>
      </c>
      <c r="P380" s="83">
        <v>42060.0</v>
      </c>
      <c r="Q380" s="81" t="s">
        <v>4910</v>
      </c>
      <c r="R380" s="86" t="str">
        <f>HYPERLINK("http://www.npr.org/2015/02/25/388902014/peer-pressure-may-encourage-tax-delinquents-to-pay-up?sc=17?f=&amp;utm_source=iosnewsapp&amp;utm_medium=Email&amp;utm_campaign=app","http://www.npr.org/2015/02/25/388902014/peer-pressure-may-encourage-tax-delinquents-to-pay-up?sc=17?f=&amp;utm_source=iosnewsapp&amp;utm_medium=Email&amp;utm_campaign=app")</f>
        <v>http://www.npr.org/2015/02/25/388902014/peer-pressure-may-encourage-tax-delinquents-to-pay-up?sc=17?f=&amp;utm_source=iosnewsapp&amp;utm_medium=Email&amp;utm_campaign=app</v>
      </c>
      <c r="S380" s="81"/>
      <c r="T380" s="81" t="s">
        <v>462</v>
      </c>
      <c r="U380" s="81" t="s">
        <v>462</v>
      </c>
      <c r="V380" s="81"/>
      <c r="W380" s="81" t="s">
        <v>677</v>
      </c>
      <c r="X380" s="81"/>
      <c r="Y380" s="88"/>
      <c r="Z380" s="81"/>
      <c r="AA380" s="81"/>
      <c r="AB380" s="81"/>
      <c r="AC380" s="88"/>
      <c r="AD380" s="81"/>
      <c r="AE380" s="81"/>
      <c r="AF380" s="81"/>
      <c r="AG380" s="81"/>
      <c r="AH380" s="81"/>
      <c r="AI380" s="81"/>
      <c r="AJ380" s="81" t="s">
        <v>991</v>
      </c>
      <c r="AK380" s="81"/>
      <c r="AL380" s="79"/>
    </row>
    <row r="381" ht="22.5" customHeight="1">
      <c r="A381" s="79">
        <v>10379.0</v>
      </c>
      <c r="B381" s="79" t="s">
        <v>1230</v>
      </c>
      <c r="C381" s="79" t="s">
        <v>238</v>
      </c>
      <c r="D381" s="79" t="s">
        <v>64</v>
      </c>
      <c r="E381" s="79" t="s">
        <v>712</v>
      </c>
      <c r="F381" s="80">
        <v>7.0</v>
      </c>
      <c r="G381" s="81"/>
      <c r="H381" s="79" t="s">
        <v>3109</v>
      </c>
      <c r="I381" s="80">
        <v>10000.0</v>
      </c>
      <c r="J381" s="81"/>
      <c r="K381" s="79" t="s">
        <v>289</v>
      </c>
      <c r="L381" s="80">
        <v>40.0</v>
      </c>
      <c r="M381" s="79" t="s">
        <v>4912</v>
      </c>
      <c r="N381" s="79" t="s">
        <v>4913</v>
      </c>
      <c r="O381" s="79" t="s">
        <v>4914</v>
      </c>
      <c r="P381" s="83">
        <v>42155.0</v>
      </c>
      <c r="Q381" s="81" t="s">
        <v>4915</v>
      </c>
      <c r="R381" s="86" t="str">
        <f>HYPERLINK("http://www.azcentral.com/story/news/local/best-reads/2015/05/31/rewriting-story-petrified-national-monument-forest/28143093/","http://www.azcentral.com/story/news/local/best-reads/2015/05/31/rewriting-story-petrified-national-monument-forest/28143093/")</f>
        <v>http://www.azcentral.com/story/news/local/best-reads/2015/05/31/rewriting-story-petrified-national-monument-forest/28143093/</v>
      </c>
      <c r="S381" s="81"/>
      <c r="T381" s="81" t="s">
        <v>462</v>
      </c>
      <c r="U381" s="81" t="s">
        <v>428</v>
      </c>
      <c r="V381" s="81"/>
      <c r="W381" s="81" t="s">
        <v>769</v>
      </c>
      <c r="X381" s="81" t="s">
        <v>4919</v>
      </c>
      <c r="Y381" s="88">
        <v>42331.0</v>
      </c>
      <c r="Z381" s="81"/>
      <c r="AA381" s="81"/>
      <c r="AB381" s="81"/>
      <c r="AC381" s="88"/>
      <c r="AD381" s="81"/>
      <c r="AE381" s="81"/>
      <c r="AF381" s="81"/>
      <c r="AG381" s="81"/>
      <c r="AH381" s="81"/>
      <c r="AI381" s="81"/>
      <c r="AJ381" s="81" t="s">
        <v>1680</v>
      </c>
      <c r="AK381" s="81" t="s">
        <v>4920</v>
      </c>
      <c r="AL381" s="79"/>
    </row>
    <row r="382" ht="22.5" customHeight="1">
      <c r="A382" s="79">
        <v>10380.0</v>
      </c>
      <c r="B382" s="79" t="s">
        <v>1230</v>
      </c>
      <c r="C382" s="79" t="s">
        <v>238</v>
      </c>
      <c r="D382" s="79" t="s">
        <v>64</v>
      </c>
      <c r="E382" s="79" t="s">
        <v>712</v>
      </c>
      <c r="F382" s="80">
        <v>7.0</v>
      </c>
      <c r="G382" s="81"/>
      <c r="H382" s="79" t="s">
        <v>224</v>
      </c>
      <c r="I382" s="80"/>
      <c r="J382" s="81"/>
      <c r="K382" s="79" t="s">
        <v>289</v>
      </c>
      <c r="L382" s="80">
        <v>40.0</v>
      </c>
      <c r="M382" s="79" t="s">
        <v>4922</v>
      </c>
      <c r="N382" s="79" t="s">
        <v>4923</v>
      </c>
      <c r="O382" s="79" t="s">
        <v>1325</v>
      </c>
      <c r="P382" s="83">
        <v>41360.0</v>
      </c>
      <c r="Q382" s="81" t="s">
        <v>4925</v>
      </c>
      <c r="R382" s="86" t="str">
        <f>HYPERLINK("http://opinionator.blogs.nytimes.com/2013/03/27/the-destructive-influence-of-imaginary-peers/","http://opinionator.blogs.nytimes.com/2013/03/27/the-destructive-influence-of-imaginary-peers/")</f>
        <v>http://opinionator.blogs.nytimes.com/2013/03/27/the-destructive-influence-of-imaginary-peers/</v>
      </c>
      <c r="S382" s="81"/>
      <c r="T382" s="81" t="s">
        <v>462</v>
      </c>
      <c r="U382" s="81" t="s">
        <v>428</v>
      </c>
      <c r="V382" s="81"/>
      <c r="W382" s="81" t="s">
        <v>677</v>
      </c>
      <c r="X382" s="81"/>
      <c r="Y382" s="88"/>
      <c r="Z382" s="81"/>
      <c r="AA382" s="81"/>
      <c r="AB382" s="81"/>
      <c r="AC382" s="88"/>
      <c r="AD382" s="81"/>
      <c r="AE382" s="81"/>
      <c r="AF382" s="81"/>
      <c r="AG382" s="81"/>
      <c r="AH382" s="81"/>
      <c r="AI382" s="81" t="s">
        <v>428</v>
      </c>
      <c r="AJ382" s="81" t="s">
        <v>731</v>
      </c>
      <c r="AK382" s="81"/>
      <c r="AL382" s="79"/>
    </row>
    <row r="383" ht="22.5" customHeight="1">
      <c r="A383" s="79">
        <v>10381.0</v>
      </c>
      <c r="B383" s="79" t="s">
        <v>1230</v>
      </c>
      <c r="C383" s="79" t="s">
        <v>238</v>
      </c>
      <c r="D383" s="79" t="s">
        <v>64</v>
      </c>
      <c r="E383" s="79" t="s">
        <v>712</v>
      </c>
      <c r="F383" s="80">
        <v>7.0</v>
      </c>
      <c r="G383" s="81"/>
      <c r="H383" s="79" t="s">
        <v>789</v>
      </c>
      <c r="I383" s="80">
        <v>21000.0</v>
      </c>
      <c r="J383" s="81"/>
      <c r="K383" s="79" t="s">
        <v>289</v>
      </c>
      <c r="L383" s="80">
        <v>40.0</v>
      </c>
      <c r="M383" s="79" t="s">
        <v>4931</v>
      </c>
      <c r="N383" s="79" t="s">
        <v>4932</v>
      </c>
      <c r="O383" s="79" t="s">
        <v>1258</v>
      </c>
      <c r="P383" s="83">
        <v>41852.0</v>
      </c>
      <c r="Q383" s="81" t="s">
        <v>4915</v>
      </c>
      <c r="R383" s="86" t="str">
        <f>HYPERLINK("http://www.theatlantic.com/health/archive/2014/08/littering-and-following-the-crowd/374913/","http://www.theatlantic.com/health/archive/2014/08/littering-and-following-the-crowd/374913/")</f>
        <v>http://www.theatlantic.com/health/archive/2014/08/littering-and-following-the-crowd/374913/</v>
      </c>
      <c r="S383" s="81"/>
      <c r="T383" s="81" t="s">
        <v>462</v>
      </c>
      <c r="U383" s="81" t="s">
        <v>462</v>
      </c>
      <c r="V383" s="81"/>
      <c r="W383" s="81" t="s">
        <v>769</v>
      </c>
      <c r="X383" s="81"/>
      <c r="Y383" s="88">
        <v>41878.0</v>
      </c>
      <c r="Z383" s="81" t="s">
        <v>4936</v>
      </c>
      <c r="AA383" s="81" t="s">
        <v>769</v>
      </c>
      <c r="AB383" s="81"/>
      <c r="AC383" s="88">
        <v>42436.0</v>
      </c>
      <c r="AD383" s="81"/>
      <c r="AE383" s="81"/>
      <c r="AF383" s="81"/>
      <c r="AG383" s="81"/>
      <c r="AH383" s="81"/>
      <c r="AI383" s="81"/>
      <c r="AJ383" s="81" t="s">
        <v>4156</v>
      </c>
      <c r="AK383" s="81"/>
      <c r="AL383" s="79"/>
    </row>
    <row r="384" ht="22.5" customHeight="1">
      <c r="A384" s="79">
        <v>10382.0</v>
      </c>
      <c r="B384" s="79" t="s">
        <v>1230</v>
      </c>
      <c r="C384" s="79" t="s">
        <v>238</v>
      </c>
      <c r="D384" s="79" t="s">
        <v>64</v>
      </c>
      <c r="E384" s="79" t="s">
        <v>712</v>
      </c>
      <c r="F384" s="80">
        <v>7.0</v>
      </c>
      <c r="G384" s="81"/>
      <c r="H384" s="79" t="s">
        <v>224</v>
      </c>
      <c r="I384" s="80"/>
      <c r="J384" s="81"/>
      <c r="K384" s="79" t="s">
        <v>111</v>
      </c>
      <c r="L384" s="80">
        <v>41.0</v>
      </c>
      <c r="M384" s="79" t="s">
        <v>4940</v>
      </c>
      <c r="N384" s="79" t="s">
        <v>2366</v>
      </c>
      <c r="O384" s="79" t="s">
        <v>4941</v>
      </c>
      <c r="P384" s="83">
        <v>42062.0</v>
      </c>
      <c r="Q384" s="81" t="s">
        <v>4942</v>
      </c>
      <c r="R384" s="86" t="str">
        <f>HYPERLINK("http://www.psychologicalscience.org/index.php/news/were-only-human/the-perils-of-adolescence.html","http://www.psychologicalscience.org/index.php/news/were-only-human/the-perils-of-adolescence.html")</f>
        <v>http://www.psychologicalscience.org/index.php/news/were-only-human/the-perils-of-adolescence.html</v>
      </c>
      <c r="S384" s="81" t="s">
        <v>3928</v>
      </c>
      <c r="T384" s="81" t="s">
        <v>462</v>
      </c>
      <c r="U384" s="81" t="s">
        <v>462</v>
      </c>
      <c r="V384" s="81" t="s">
        <v>676</v>
      </c>
      <c r="W384" s="81" t="s">
        <v>677</v>
      </c>
      <c r="X384" s="81"/>
      <c r="Y384" s="88"/>
      <c r="Z384" s="81"/>
      <c r="AA384" s="81"/>
      <c r="AB384" s="81"/>
      <c r="AC384" s="88"/>
      <c r="AD384" s="81"/>
      <c r="AE384" s="81"/>
      <c r="AF384" s="81"/>
      <c r="AG384" s="81"/>
      <c r="AH384" s="81"/>
      <c r="AI384" s="81"/>
      <c r="AJ384" s="81" t="s">
        <v>991</v>
      </c>
      <c r="AK384" s="81"/>
      <c r="AL384" s="79"/>
    </row>
    <row r="385" ht="22.5" customHeight="1">
      <c r="A385" s="79">
        <v>10383.0</v>
      </c>
      <c r="B385" s="79" t="s">
        <v>1230</v>
      </c>
      <c r="C385" s="79" t="s">
        <v>238</v>
      </c>
      <c r="D385" s="79" t="s">
        <v>64</v>
      </c>
      <c r="E385" s="79" t="s">
        <v>68</v>
      </c>
      <c r="F385" s="80">
        <v>7.0</v>
      </c>
      <c r="G385" s="81"/>
      <c r="H385" s="79" t="s">
        <v>4947</v>
      </c>
      <c r="I385" s="80" t="s">
        <v>4695</v>
      </c>
      <c r="J385" s="81"/>
      <c r="K385" s="79" t="s">
        <v>324</v>
      </c>
      <c r="L385" s="80" t="s">
        <v>325</v>
      </c>
      <c r="M385" s="79" t="s">
        <v>4948</v>
      </c>
      <c r="N385" s="79" t="s">
        <v>1286</v>
      </c>
      <c r="O385" s="79" t="s">
        <v>1281</v>
      </c>
      <c r="P385" s="83">
        <v>40893.0</v>
      </c>
      <c r="Q385" s="81" t="s">
        <v>4949</v>
      </c>
      <c r="R385" s="86" t="str">
        <f>HYPERLINK("http://www.theguardian.com/sustainable-business/social-norm-behaviour-change","http://www.theguardian.com/sustainable-business/social-norm-behaviour-change")</f>
        <v>http://www.theguardian.com/sustainable-business/social-norm-behaviour-change</v>
      </c>
      <c r="S385" s="81"/>
      <c r="T385" s="81" t="s">
        <v>462</v>
      </c>
      <c r="U385" s="81" t="s">
        <v>462</v>
      </c>
      <c r="V385" s="81"/>
      <c r="W385" s="81" t="s">
        <v>600</v>
      </c>
      <c r="X385" s="81"/>
      <c r="Y385" s="81"/>
      <c r="Z385" s="81"/>
      <c r="AA385" s="81" t="s">
        <v>2619</v>
      </c>
      <c r="AB385" s="81"/>
      <c r="AC385" s="81"/>
      <c r="AD385" s="81"/>
      <c r="AE385" s="81"/>
      <c r="AF385" s="81"/>
      <c r="AG385" s="81"/>
      <c r="AH385" s="81"/>
      <c r="AI385" s="81"/>
      <c r="AJ385" s="81" t="s">
        <v>731</v>
      </c>
      <c r="AK385" s="81"/>
      <c r="AL385" s="79"/>
    </row>
    <row r="386" ht="22.5" customHeight="1">
      <c r="A386" s="79">
        <v>10384.0</v>
      </c>
      <c r="B386" s="79" t="s">
        <v>1230</v>
      </c>
      <c r="C386" s="79" t="s">
        <v>238</v>
      </c>
      <c r="D386" s="79" t="s">
        <v>64</v>
      </c>
      <c r="E386" s="79" t="s">
        <v>68</v>
      </c>
      <c r="F386" s="80">
        <v>7.0</v>
      </c>
      <c r="G386" s="81"/>
      <c r="H386" s="79" t="s">
        <v>470</v>
      </c>
      <c r="I386" s="80">
        <v>3000.0</v>
      </c>
      <c r="J386" s="81"/>
      <c r="K386" s="79" t="s">
        <v>289</v>
      </c>
      <c r="L386" s="80">
        <v>40.0</v>
      </c>
      <c r="M386" s="79" t="s">
        <v>4001</v>
      </c>
      <c r="N386" s="79" t="s">
        <v>4002</v>
      </c>
      <c r="O386" s="79" t="s">
        <v>4003</v>
      </c>
      <c r="P386" s="83"/>
      <c r="Q386" s="81" t="s">
        <v>4004</v>
      </c>
      <c r="R386" s="86" t="str">
        <f>HYPERLINK("http://www.green-technology.org/green_technology_magazine/smud.htm","http://www.green-technology.org/green_technology_magazine/smud.htm")</f>
        <v>http://www.green-technology.org/green_technology_magazine/smud.htm</v>
      </c>
      <c r="S386" s="81"/>
      <c r="T386" s="81" t="s">
        <v>428</v>
      </c>
      <c r="U386" s="81" t="s">
        <v>462</v>
      </c>
      <c r="V386" s="81"/>
      <c r="W386" s="81" t="s">
        <v>769</v>
      </c>
      <c r="X386" s="81" t="s">
        <v>4009</v>
      </c>
      <c r="Y386" s="88">
        <v>42429.0</v>
      </c>
      <c r="Z386" s="88">
        <v>42612.0</v>
      </c>
      <c r="AA386" s="81"/>
      <c r="AB386" s="81"/>
      <c r="AC386" s="81"/>
      <c r="AD386" s="81"/>
      <c r="AE386" s="81"/>
      <c r="AF386" s="81"/>
      <c r="AG386" s="81"/>
      <c r="AH386" s="81"/>
      <c r="AI386" s="81"/>
      <c r="AJ386" s="81" t="s">
        <v>991</v>
      </c>
      <c r="AK386" s="81"/>
      <c r="AL386" s="79"/>
    </row>
    <row r="387" ht="22.5" customHeight="1">
      <c r="A387" s="79">
        <v>10385.0</v>
      </c>
      <c r="B387" s="79" t="s">
        <v>1230</v>
      </c>
      <c r="C387" s="79" t="s">
        <v>238</v>
      </c>
      <c r="D387" s="79" t="s">
        <v>64</v>
      </c>
      <c r="E387" s="79" t="s">
        <v>68</v>
      </c>
      <c r="F387" s="80">
        <v>7.0</v>
      </c>
      <c r="G387" s="81"/>
      <c r="H387" s="79" t="s">
        <v>4964</v>
      </c>
      <c r="I387" s="80">
        <v>11000.0</v>
      </c>
      <c r="J387" s="81"/>
      <c r="K387" s="79" t="s">
        <v>289</v>
      </c>
      <c r="L387" s="80">
        <v>40.0</v>
      </c>
      <c r="M387" s="79" t="s">
        <v>4965</v>
      </c>
      <c r="N387" s="79" t="s">
        <v>1374</v>
      </c>
      <c r="O387" s="79" t="s">
        <v>1375</v>
      </c>
      <c r="P387" s="83">
        <v>42074.0</v>
      </c>
      <c r="Q387" s="81" t="s">
        <v>4966</v>
      </c>
      <c r="R387" s="86" t="str">
        <f>HYPERLINK("http://www.washingtonpost.com/news/energy-environment/wp/2015/03/11/forget-what-your-neighbors-think-stop-dousing-your-lawn-with-so-much-fertilizer/?postshare=5611426249758304","http://www.washingtonpost.com/news/energy-environment/wp/2015/03/11/forget-what-your-neighbors-think-stop-dousing-your-lawn-with-so-much-fertilizer/?postshare=5611426249758304")</f>
        <v>http://www.washingtonpost.com/news/energy-environment/wp/2015/03/11/forget-what-your-neighbors-think-stop-dousing-your-lawn-with-so-much-fertilizer/?postshare=5611426249758304</v>
      </c>
      <c r="S387" s="81"/>
      <c r="T387" s="81" t="s">
        <v>462</v>
      </c>
      <c r="U387" s="81" t="s">
        <v>462</v>
      </c>
      <c r="V387" s="81"/>
      <c r="W387" s="81" t="s">
        <v>769</v>
      </c>
      <c r="X387" s="81" t="s">
        <v>4971</v>
      </c>
      <c r="Y387" s="88">
        <v>42076.0</v>
      </c>
      <c r="Z387" s="88"/>
      <c r="AA387" s="81" t="s">
        <v>769</v>
      </c>
      <c r="AB387" s="81"/>
      <c r="AC387" s="88">
        <v>41350.0</v>
      </c>
      <c r="AD387" s="81" t="s">
        <v>1488</v>
      </c>
      <c r="AE387" s="81"/>
      <c r="AF387" s="81"/>
      <c r="AG387" s="81"/>
      <c r="AH387" s="81" t="s">
        <v>428</v>
      </c>
      <c r="AI387" s="81"/>
      <c r="AJ387" s="81" t="s">
        <v>991</v>
      </c>
      <c r="AK387" s="81" t="s">
        <v>4973</v>
      </c>
      <c r="AL387" s="79"/>
    </row>
    <row r="388" ht="22.5" customHeight="1">
      <c r="A388" s="79">
        <v>10386.0</v>
      </c>
      <c r="B388" s="79" t="s">
        <v>1230</v>
      </c>
      <c r="C388" s="79" t="s">
        <v>238</v>
      </c>
      <c r="D388" s="79" t="s">
        <v>64</v>
      </c>
      <c r="E388" s="79" t="s">
        <v>68</v>
      </c>
      <c r="F388" s="80">
        <v>7.0</v>
      </c>
      <c r="G388" s="81"/>
      <c r="H388" s="79" t="s">
        <v>526</v>
      </c>
      <c r="I388" s="80">
        <v>20000.0</v>
      </c>
      <c r="J388" s="81"/>
      <c r="K388" s="79" t="s">
        <v>289</v>
      </c>
      <c r="L388" s="80">
        <v>40.0</v>
      </c>
      <c r="M388" s="79" t="s">
        <v>1427</v>
      </c>
      <c r="N388" s="79" t="s">
        <v>1419</v>
      </c>
      <c r="O388" s="79" t="s">
        <v>1420</v>
      </c>
      <c r="P388" s="83">
        <v>42121.0</v>
      </c>
      <c r="Q388" s="81" t="s">
        <v>1431</v>
      </c>
      <c r="R388" s="86" t="str">
        <f>HYPERLINK("http://www.citylab.com/commute/2015/04/an-underrated-approach-to-cutting-car-commutes-peer-pressure/391514/?utm_source=SFTwitter","http://www.citylab.com/commute/2015/04/an-underrated-approach-to-cutting-car-commutes-peer-pressure/391514/?utm_source=SFTwitter")</f>
        <v>http://www.citylab.com/commute/2015/04/an-underrated-approach-to-cutting-car-commutes-peer-pressure/391514/?utm_source=SFTwitter</v>
      </c>
      <c r="S388" s="81"/>
      <c r="T388" s="81" t="s">
        <v>462</v>
      </c>
      <c r="U388" s="81" t="s">
        <v>462</v>
      </c>
      <c r="V388" s="81"/>
      <c r="W388" s="81" t="s">
        <v>769</v>
      </c>
      <c r="X388" s="81"/>
      <c r="Y388" s="88">
        <v>42123.0</v>
      </c>
      <c r="Z388" s="88"/>
      <c r="AA388" s="81" t="s">
        <v>769</v>
      </c>
      <c r="AB388" s="81"/>
      <c r="AC388" s="88">
        <v>42139.0</v>
      </c>
      <c r="AD388" s="81"/>
      <c r="AE388" s="81"/>
      <c r="AF388" s="81"/>
      <c r="AG388" s="81"/>
      <c r="AH388" s="81"/>
      <c r="AI388" s="81"/>
      <c r="AJ388" s="81" t="s">
        <v>991</v>
      </c>
      <c r="AK388" s="81"/>
      <c r="AL388" s="79"/>
    </row>
    <row r="389" ht="22.5" customHeight="1">
      <c r="A389" s="79">
        <v>10387.0</v>
      </c>
      <c r="B389" s="79" t="s">
        <v>1230</v>
      </c>
      <c r="C389" s="79" t="s">
        <v>238</v>
      </c>
      <c r="D389" s="79" t="s">
        <v>64</v>
      </c>
      <c r="E389" s="79" t="s">
        <v>68</v>
      </c>
      <c r="F389" s="80">
        <v>7.0</v>
      </c>
      <c r="G389" s="81"/>
      <c r="H389" s="79" t="s">
        <v>470</v>
      </c>
      <c r="I389" s="80">
        <v>3000.0</v>
      </c>
      <c r="J389" s="81"/>
      <c r="K389" s="79" t="s">
        <v>289</v>
      </c>
      <c r="L389" s="80">
        <v>40.0</v>
      </c>
      <c r="M389" s="79" t="s">
        <v>4994</v>
      </c>
      <c r="N389" s="79" t="s">
        <v>4996</v>
      </c>
      <c r="O389" s="79" t="s">
        <v>1325</v>
      </c>
      <c r="P389" s="83">
        <v>39843.0</v>
      </c>
      <c r="Q389" s="81" t="s">
        <v>4998</v>
      </c>
      <c r="R389" s="86" t="str">
        <f>HYPERLINK("http://www.nytimes.com/2009/01/31/science/earth/31compete.html?_r=0","http://www.nytimes.com/2009/01/31/science/earth/31compete.html?_r=0")</f>
        <v>http://www.nytimes.com/2009/01/31/science/earth/31compete.html?_r=0</v>
      </c>
      <c r="S389" s="81"/>
      <c r="T389" s="81" t="s">
        <v>428</v>
      </c>
      <c r="U389" s="81" t="s">
        <v>462</v>
      </c>
      <c r="V389" s="81"/>
      <c r="W389" s="81" t="s">
        <v>600</v>
      </c>
      <c r="X389" s="81" t="s">
        <v>5002</v>
      </c>
      <c r="Y389" s="88">
        <v>42430.0</v>
      </c>
      <c r="Z389" s="88">
        <v>42612.0</v>
      </c>
      <c r="AA389" s="81"/>
      <c r="AB389" s="81"/>
      <c r="AC389" s="81"/>
      <c r="AD389" s="81"/>
      <c r="AE389" s="81"/>
      <c r="AF389" s="81"/>
      <c r="AG389" s="81"/>
      <c r="AH389" s="81"/>
      <c r="AI389" s="81"/>
      <c r="AJ389" s="81" t="s">
        <v>991</v>
      </c>
      <c r="AK389" s="81"/>
      <c r="AL389" s="79"/>
    </row>
    <row r="390" ht="22.5" customHeight="1">
      <c r="A390" s="79">
        <v>10388.0</v>
      </c>
      <c r="B390" s="79" t="s">
        <v>1230</v>
      </c>
      <c r="C390" s="79" t="s">
        <v>238</v>
      </c>
      <c r="D390" s="79" t="s">
        <v>64</v>
      </c>
      <c r="E390" s="79" t="s">
        <v>2726</v>
      </c>
      <c r="F390" s="80" t="s">
        <v>2727</v>
      </c>
      <c r="G390" s="81"/>
      <c r="H390" s="79" t="s">
        <v>578</v>
      </c>
      <c r="I390" s="80">
        <v>2000.0</v>
      </c>
      <c r="J390" s="81"/>
      <c r="K390" s="79" t="s">
        <v>289</v>
      </c>
      <c r="L390" s="80">
        <v>40.0</v>
      </c>
      <c r="M390" s="94" t="s">
        <v>2729</v>
      </c>
      <c r="N390" s="79" t="s">
        <v>2132</v>
      </c>
      <c r="O390" s="79" t="s">
        <v>1550</v>
      </c>
      <c r="P390" s="83">
        <v>42523.0</v>
      </c>
      <c r="Q390" s="81" t="s">
        <v>2730</v>
      </c>
      <c r="R390" s="86" t="str">
        <f>HYPERLINK("http://ecoaffect.org/2016/06/02/personally-speaking-why-effective-climate-messaging-starts-with-people/","http://ecoaffect.org/2016/06/02/personally-speaking-why-effective-climate-messaging-starts-with-people/")</f>
        <v>http://ecoaffect.org/2016/06/02/personally-speaking-why-effective-climate-messaging-starts-with-people/</v>
      </c>
      <c r="S390" s="81"/>
      <c r="T390" s="81"/>
      <c r="U390" s="81"/>
      <c r="V390" s="81"/>
      <c r="W390" s="81" t="s">
        <v>769</v>
      </c>
      <c r="X390" s="81" t="s">
        <v>2733</v>
      </c>
      <c r="Y390" s="88">
        <v>42671.0</v>
      </c>
      <c r="Z390" s="81"/>
      <c r="AA390" s="81"/>
      <c r="AB390" s="81"/>
      <c r="AC390" s="81"/>
      <c r="AD390" s="81"/>
      <c r="AE390" s="81"/>
      <c r="AF390" s="81"/>
      <c r="AG390" s="81"/>
      <c r="AH390" s="81"/>
      <c r="AI390" s="81" t="s">
        <v>428</v>
      </c>
      <c r="AJ390" s="81" t="s">
        <v>731</v>
      </c>
      <c r="AK390" s="81"/>
      <c r="AL390" s="79"/>
    </row>
    <row r="391" ht="22.5" customHeight="1">
      <c r="A391" s="79">
        <v>10389.0</v>
      </c>
      <c r="B391" s="79" t="s">
        <v>1230</v>
      </c>
      <c r="C391" s="79" t="s">
        <v>238</v>
      </c>
      <c r="D391" s="79" t="s">
        <v>64</v>
      </c>
      <c r="E391" s="79" t="s">
        <v>3651</v>
      </c>
      <c r="F391" s="80" t="s">
        <v>1231</v>
      </c>
      <c r="G391" s="81"/>
      <c r="H391" s="79" t="s">
        <v>789</v>
      </c>
      <c r="I391" s="80">
        <v>21000.0</v>
      </c>
      <c r="J391" s="81"/>
      <c r="K391" s="79" t="s">
        <v>111</v>
      </c>
      <c r="L391" s="80">
        <v>41.0</v>
      </c>
      <c r="M391" s="79" t="s">
        <v>4662</v>
      </c>
      <c r="N391" s="79" t="s">
        <v>4000</v>
      </c>
      <c r="O391" s="79" t="s">
        <v>3850</v>
      </c>
      <c r="P391" s="83">
        <v>40955.0</v>
      </c>
      <c r="Q391" s="81" t="s">
        <v>4665</v>
      </c>
      <c r="R391" s="86" t="str">
        <f>HYPERLINK("http://inudgeyou.com/green-nudge-nudging-litter-into-the-bin/","http://inudgeyou.com/green-nudge-nudging-litter-into-the-bin/")</f>
        <v>http://inudgeyou.com/green-nudge-nudging-litter-into-the-bin/</v>
      </c>
      <c r="S391" s="81"/>
      <c r="T391" s="81" t="s">
        <v>4672</v>
      </c>
      <c r="U391" s="81" t="s">
        <v>4673</v>
      </c>
      <c r="V391" s="81">
        <v>1.0</v>
      </c>
      <c r="W391" s="81" t="s">
        <v>769</v>
      </c>
      <c r="X391" s="81" t="s">
        <v>4674</v>
      </c>
      <c r="Y391" s="88">
        <v>41905.0</v>
      </c>
      <c r="Z391" s="88"/>
      <c r="AA391" s="81" t="s">
        <v>769</v>
      </c>
      <c r="AB391" s="81"/>
      <c r="AC391" s="88">
        <v>42438.0</v>
      </c>
      <c r="AD391" s="81"/>
      <c r="AE391" s="81"/>
      <c r="AF391" s="81"/>
      <c r="AG391" s="81"/>
      <c r="AH391" s="81"/>
      <c r="AI391" s="81"/>
      <c r="AJ391" s="81" t="s">
        <v>4156</v>
      </c>
      <c r="AK391" s="81"/>
      <c r="AL391" s="79"/>
    </row>
    <row r="392" ht="22.5" customHeight="1">
      <c r="A392" s="79">
        <v>10390.0</v>
      </c>
      <c r="B392" s="79" t="s">
        <v>1230</v>
      </c>
      <c r="C392" s="79" t="s">
        <v>238</v>
      </c>
      <c r="D392" s="79" t="s">
        <v>64</v>
      </c>
      <c r="E392" s="79" t="s">
        <v>3651</v>
      </c>
      <c r="F392" s="80" t="s">
        <v>1231</v>
      </c>
      <c r="G392" s="81"/>
      <c r="H392" s="79" t="s">
        <v>644</v>
      </c>
      <c r="I392" s="80">
        <v>2000.0</v>
      </c>
      <c r="J392" s="81"/>
      <c r="K392" s="79" t="s">
        <v>289</v>
      </c>
      <c r="L392" s="80">
        <v>40.0</v>
      </c>
      <c r="M392" s="79" t="s">
        <v>3652</v>
      </c>
      <c r="N392" s="79" t="s">
        <v>3653</v>
      </c>
      <c r="O392" s="79" t="s">
        <v>3654</v>
      </c>
      <c r="P392" s="83">
        <v>41918.0</v>
      </c>
      <c r="Q392" s="81" t="s">
        <v>3655</v>
      </c>
      <c r="R392" s="86" t="str">
        <f>HYPERLINK("http://www.fastcocreate.com/3036634/nature-is-speaking-through-harrison-ford-julia-roberts-and-kevin-spacey-and-she-is-pissed","http://www.fastcocreate.com/3036634/nature-is-speaking-through-harrison-ford-julia-roberts-and-kevin-spacey-and-she-is-pissed")</f>
        <v>http://www.fastcocreate.com/3036634/nature-is-speaking-through-harrison-ford-julia-roberts-and-kevin-spacey-and-she-is-pissed</v>
      </c>
      <c r="S392" s="81"/>
      <c r="T392" s="81" t="s">
        <v>462</v>
      </c>
      <c r="U392" s="81" t="s">
        <v>462</v>
      </c>
      <c r="V392" s="81" t="s">
        <v>676</v>
      </c>
      <c r="W392" s="81" t="s">
        <v>769</v>
      </c>
      <c r="X392" s="81" t="s">
        <v>3656</v>
      </c>
      <c r="Y392" s="88">
        <v>42205.0</v>
      </c>
      <c r="Z392" s="88">
        <v>42569.0</v>
      </c>
      <c r="AA392" s="81" t="s">
        <v>769</v>
      </c>
      <c r="AB392" s="81"/>
      <c r="AC392" s="88">
        <v>41947.0</v>
      </c>
      <c r="AD392" s="81"/>
      <c r="AE392" s="81"/>
      <c r="AF392" s="81"/>
      <c r="AG392" s="81"/>
      <c r="AH392" s="81"/>
      <c r="AI392" s="81"/>
      <c r="AJ392" s="81" t="s">
        <v>1680</v>
      </c>
      <c r="AK392" s="81"/>
      <c r="AL392" s="79"/>
    </row>
    <row r="393" ht="22.5" customHeight="1">
      <c r="A393" s="79">
        <v>10391.0</v>
      </c>
      <c r="B393" s="79" t="s">
        <v>1230</v>
      </c>
      <c r="C393" s="79" t="s">
        <v>238</v>
      </c>
      <c r="D393" s="79" t="s">
        <v>64</v>
      </c>
      <c r="E393" s="79" t="s">
        <v>3651</v>
      </c>
      <c r="F393" s="80" t="s">
        <v>1231</v>
      </c>
      <c r="G393" s="81"/>
      <c r="H393" s="79" t="s">
        <v>5027</v>
      </c>
      <c r="I393" s="80">
        <v>10000.0</v>
      </c>
      <c r="J393" s="81"/>
      <c r="K393" s="79" t="s">
        <v>289</v>
      </c>
      <c r="L393" s="80">
        <v>40.0</v>
      </c>
      <c r="M393" s="79" t="s">
        <v>5028</v>
      </c>
      <c r="N393" s="79" t="s">
        <v>5029</v>
      </c>
      <c r="O393" s="79" t="s">
        <v>1325</v>
      </c>
      <c r="P393" s="83">
        <v>41513.0</v>
      </c>
      <c r="Q393" s="81" t="s">
        <v>5032</v>
      </c>
      <c r="R393" s="86" t="str">
        <f>HYPERLINK("http://www.nytimes.com/2013/08/28/dining/wooing-us-down-the-produce-aisle.html","http://www.nytimes.com/2013/08/28/dining/wooing-us-down-the-produce-aisle.html")</f>
        <v>http://www.nytimes.com/2013/08/28/dining/wooing-us-down-the-produce-aisle.html</v>
      </c>
      <c r="S393" s="81"/>
      <c r="T393" s="81" t="s">
        <v>462</v>
      </c>
      <c r="U393" s="81" t="s">
        <v>462</v>
      </c>
      <c r="V393" s="81" t="s">
        <v>676</v>
      </c>
      <c r="W393" s="81" t="s">
        <v>677</v>
      </c>
      <c r="X393" s="81"/>
      <c r="Y393" s="81"/>
      <c r="Z393" s="81"/>
      <c r="AA393" s="81"/>
      <c r="AB393" s="81"/>
      <c r="AC393" s="81"/>
      <c r="AD393" s="81"/>
      <c r="AE393" s="81"/>
      <c r="AF393" s="81"/>
      <c r="AG393" s="81"/>
      <c r="AH393" s="81"/>
      <c r="AI393" s="81"/>
      <c r="AJ393" s="81" t="s">
        <v>1240</v>
      </c>
      <c r="AK393" s="81"/>
      <c r="AL393" s="79"/>
    </row>
    <row r="394" ht="22.5" customHeight="1">
      <c r="A394" s="79">
        <v>10392.0</v>
      </c>
      <c r="B394" s="79" t="s">
        <v>1230</v>
      </c>
      <c r="C394" s="79" t="s">
        <v>238</v>
      </c>
      <c r="D394" s="79" t="s">
        <v>64</v>
      </c>
      <c r="E394" s="79" t="s">
        <v>3651</v>
      </c>
      <c r="F394" s="80" t="s">
        <v>1231</v>
      </c>
      <c r="G394" s="81"/>
      <c r="H394" s="79" t="s">
        <v>837</v>
      </c>
      <c r="I394" s="80">
        <v>2000.0</v>
      </c>
      <c r="J394" s="81"/>
      <c r="K394" s="79" t="s">
        <v>289</v>
      </c>
      <c r="L394" s="80">
        <v>40.0</v>
      </c>
      <c r="M394" s="79" t="s">
        <v>4151</v>
      </c>
      <c r="N394" s="79" t="s">
        <v>4152</v>
      </c>
      <c r="O394" s="79" t="s">
        <v>1265</v>
      </c>
      <c r="P394" s="83">
        <v>40572.0</v>
      </c>
      <c r="Q394" s="81" t="s">
        <v>4153</v>
      </c>
      <c r="R394" s="86" t="str">
        <f>HYPERLINK("http://grist.org/article/2011-01-28-is-it-hot-in-here-or-is-the-climate-changing/","http://grist.org/article/2011-01-28-is-it-hot-in-here-or-is-the-climate-changing/")</f>
        <v>http://grist.org/article/2011-01-28-is-it-hot-in-here-or-is-the-climate-changing/</v>
      </c>
      <c r="S394" s="81" t="s">
        <v>4155</v>
      </c>
      <c r="T394" s="81" t="s">
        <v>462</v>
      </c>
      <c r="U394" s="81" t="s">
        <v>462</v>
      </c>
      <c r="V394" s="81" t="s">
        <v>978</v>
      </c>
      <c r="W394" s="81" t="s">
        <v>600</v>
      </c>
      <c r="X394" s="81" t="s">
        <v>1105</v>
      </c>
      <c r="Y394" s="88" t="s">
        <v>1105</v>
      </c>
      <c r="Z394" s="81"/>
      <c r="AA394" s="81" t="s">
        <v>769</v>
      </c>
      <c r="AB394" s="81"/>
      <c r="AC394" s="88">
        <v>41863.0</v>
      </c>
      <c r="AD394" s="81"/>
      <c r="AE394" s="81"/>
      <c r="AF394" s="81"/>
      <c r="AG394" s="81"/>
      <c r="AH394" s="81"/>
      <c r="AI394" s="81"/>
      <c r="AJ394" s="81" t="s">
        <v>4156</v>
      </c>
      <c r="AK394" s="81"/>
      <c r="AL394" s="79"/>
    </row>
    <row r="395" ht="22.5" customHeight="1">
      <c r="A395" s="79">
        <v>10393.0</v>
      </c>
      <c r="B395" s="79" t="s">
        <v>1230</v>
      </c>
      <c r="C395" s="79" t="s">
        <v>238</v>
      </c>
      <c r="D395" s="79" t="s">
        <v>64</v>
      </c>
      <c r="E395" s="79" t="s">
        <v>3651</v>
      </c>
      <c r="F395" s="80" t="s">
        <v>1231</v>
      </c>
      <c r="G395" s="81"/>
      <c r="H395" s="79" t="s">
        <v>445</v>
      </c>
      <c r="I395" s="80">
        <v>7000.0</v>
      </c>
      <c r="J395" s="81"/>
      <c r="K395" s="79" t="s">
        <v>289</v>
      </c>
      <c r="L395" s="80">
        <v>40.0</v>
      </c>
      <c r="M395" s="94" t="s">
        <v>5052</v>
      </c>
      <c r="N395" s="79" t="s">
        <v>3789</v>
      </c>
      <c r="O395" s="79" t="s">
        <v>2108</v>
      </c>
      <c r="P395" s="83">
        <v>42289.0</v>
      </c>
      <c r="Q395" s="81" t="s">
        <v>5053</v>
      </c>
      <c r="R395" s="86" t="str">
        <f>HYPERLINK("http://www.resource-media.org/food-waste-on-twitter-lots-of-talk-but-can-we-get-some-action/#.V09TH_krLIU","http://www.resource-media.org/food-waste-on-twitter-lots-of-talk-but-can-we-get-some-action/#.V09TH_krLIU")</f>
        <v>http://www.resource-media.org/food-waste-on-twitter-lots-of-talk-but-can-we-get-some-action/#.V09TH_krLIU</v>
      </c>
      <c r="S395" s="81"/>
      <c r="T395" s="81"/>
      <c r="U395" s="81"/>
      <c r="V395" s="81"/>
      <c r="W395" s="81" t="s">
        <v>769</v>
      </c>
      <c r="X395" s="81" t="s">
        <v>5065</v>
      </c>
      <c r="Y395" s="88">
        <v>42677.0</v>
      </c>
      <c r="Z395" s="81"/>
      <c r="AA395" s="81"/>
      <c r="AB395" s="81"/>
      <c r="AC395" s="81"/>
      <c r="AD395" s="81"/>
      <c r="AE395" s="81"/>
      <c r="AF395" s="81"/>
      <c r="AG395" s="81"/>
      <c r="AH395" s="81"/>
      <c r="AI395" s="81" t="s">
        <v>428</v>
      </c>
      <c r="AJ395" s="81" t="s">
        <v>2670</v>
      </c>
      <c r="AK395" s="81"/>
      <c r="AL395" s="79"/>
    </row>
    <row r="396" ht="22.5" customHeight="1">
      <c r="A396" s="79">
        <v>10394.0</v>
      </c>
      <c r="B396" s="79" t="s">
        <v>1230</v>
      </c>
      <c r="C396" s="79" t="s">
        <v>238</v>
      </c>
      <c r="D396" s="79" t="s">
        <v>64</v>
      </c>
      <c r="E396" s="79" t="s">
        <v>1229</v>
      </c>
      <c r="F396" s="80" t="s">
        <v>1231</v>
      </c>
      <c r="G396" s="81"/>
      <c r="H396" s="79" t="s">
        <v>1234</v>
      </c>
      <c r="I396" s="80" t="s">
        <v>1233</v>
      </c>
      <c r="J396" s="81"/>
      <c r="K396" s="79" t="s">
        <v>289</v>
      </c>
      <c r="L396" s="80">
        <v>40.0</v>
      </c>
      <c r="M396" s="79" t="s">
        <v>1235</v>
      </c>
      <c r="N396" s="86" t="str">
        <f>HYPERLINK("http://environmentalpolicy.ucdavis.edu/people/levy","Michael Levy ")</f>
        <v>Michael Levy </v>
      </c>
      <c r="O396" s="79" t="s">
        <v>1226</v>
      </c>
      <c r="P396" s="83">
        <v>41530.0</v>
      </c>
      <c r="Q396" s="81" t="s">
        <v>1124</v>
      </c>
      <c r="R396" s="86" t="str">
        <f>HYPERLINK("http://environmentalpolicy.ucdavis.edu/node/291","http://environmentalpolicy.ucdavis.edu/node/291")</f>
        <v>http://environmentalpolicy.ucdavis.edu/node/291</v>
      </c>
      <c r="S396" s="81"/>
      <c r="T396" s="81" t="s">
        <v>462</v>
      </c>
      <c r="U396" s="81" t="s">
        <v>462</v>
      </c>
      <c r="V396" s="81"/>
      <c r="W396" s="81" t="s">
        <v>769</v>
      </c>
      <c r="X396" s="81" t="s">
        <v>1239</v>
      </c>
      <c r="Y396" s="88">
        <v>42167.0</v>
      </c>
      <c r="Z396" s="81"/>
      <c r="AA396" s="81" t="s">
        <v>769</v>
      </c>
      <c r="AB396" s="81"/>
      <c r="AC396" s="88">
        <v>42174.0</v>
      </c>
      <c r="AD396" s="81"/>
      <c r="AE396" s="81"/>
      <c r="AF396" s="81"/>
      <c r="AG396" s="81"/>
      <c r="AH396" s="81"/>
      <c r="AI396" s="81"/>
      <c r="AJ396" s="81" t="s">
        <v>1240</v>
      </c>
      <c r="AK396" s="81"/>
      <c r="AL396" s="79"/>
    </row>
    <row r="397" ht="22.5" customHeight="1">
      <c r="A397" s="79">
        <v>10395.0</v>
      </c>
      <c r="B397" s="79" t="s">
        <v>1230</v>
      </c>
      <c r="C397" s="79" t="s">
        <v>238</v>
      </c>
      <c r="D397" s="79" t="s">
        <v>64</v>
      </c>
      <c r="E397" s="79" t="s">
        <v>387</v>
      </c>
      <c r="F397" s="80">
        <v>8.0</v>
      </c>
      <c r="G397" s="81"/>
      <c r="H397" s="79" t="s">
        <v>644</v>
      </c>
      <c r="I397" s="80">
        <v>2000.0</v>
      </c>
      <c r="J397" s="81"/>
      <c r="K397" s="79" t="s">
        <v>324</v>
      </c>
      <c r="L397" s="80" t="s">
        <v>325</v>
      </c>
      <c r="M397" s="79" t="s">
        <v>5081</v>
      </c>
      <c r="N397" s="79" t="s">
        <v>2746</v>
      </c>
      <c r="O397" s="79" t="s">
        <v>2724</v>
      </c>
      <c r="P397" s="83">
        <v>42068.0</v>
      </c>
      <c r="Q397" s="81"/>
      <c r="R397" s="86" t="str">
        <f>HYPERLINK("http://talkingclimate.org/personal-climate-stories/","http://talkingclimate.org/personal-climate-stories/")</f>
        <v>http://talkingclimate.org/personal-climate-stories/</v>
      </c>
      <c r="S397" s="81"/>
      <c r="T397" s="81" t="s">
        <v>462</v>
      </c>
      <c r="U397" s="81" t="s">
        <v>462</v>
      </c>
      <c r="V397" s="81"/>
      <c r="W397" s="81" t="s">
        <v>769</v>
      </c>
      <c r="X397" s="81" t="s">
        <v>5085</v>
      </c>
      <c r="Y397" s="88">
        <v>42215.0</v>
      </c>
      <c r="Z397" s="88">
        <v>42579.0</v>
      </c>
      <c r="AA397" s="81" t="s">
        <v>769</v>
      </c>
      <c r="AB397" s="81"/>
      <c r="AC397" s="88">
        <v>42215.0</v>
      </c>
      <c r="AD397" s="81"/>
      <c r="AE397" s="81"/>
      <c r="AF397" s="81"/>
      <c r="AG397" s="81"/>
      <c r="AH397" s="81"/>
      <c r="AI397" s="81"/>
      <c r="AJ397" s="81"/>
      <c r="AK397" s="81"/>
      <c r="AL397" s="79"/>
    </row>
    <row r="398" ht="22.5" customHeight="1">
      <c r="A398" s="79">
        <v>10396.0</v>
      </c>
      <c r="B398" s="79" t="s">
        <v>1230</v>
      </c>
      <c r="C398" s="79" t="s">
        <v>238</v>
      </c>
      <c r="D398" s="79" t="s">
        <v>64</v>
      </c>
      <c r="E398" s="79" t="s">
        <v>387</v>
      </c>
      <c r="F398" s="80">
        <v>8.0</v>
      </c>
      <c r="G398" s="81"/>
      <c r="H398" s="79" t="s">
        <v>644</v>
      </c>
      <c r="I398" s="80">
        <v>2000.0</v>
      </c>
      <c r="J398" s="81"/>
      <c r="K398" s="79" t="s">
        <v>289</v>
      </c>
      <c r="L398" s="80">
        <v>40.0</v>
      </c>
      <c r="M398" s="94" t="s">
        <v>1607</v>
      </c>
      <c r="N398" s="79" t="s">
        <v>1495</v>
      </c>
      <c r="O398" s="79" t="s">
        <v>1441</v>
      </c>
      <c r="P398" s="83">
        <v>42212.0</v>
      </c>
      <c r="Q398" s="81" t="s">
        <v>1608</v>
      </c>
      <c r="R398" s="86" t="str">
        <f>HYPERLINK("http://www.climateaccess.org/blog/human-conversations-about-climate-change","http://www.climateaccess.org/blog/human-conversations-about-climate-change")</f>
        <v>http://www.climateaccess.org/blog/human-conversations-about-climate-change</v>
      </c>
      <c r="S398" s="81"/>
      <c r="T398" s="81"/>
      <c r="U398" s="81"/>
      <c r="V398" s="81"/>
      <c r="W398" s="81" t="s">
        <v>428</v>
      </c>
      <c r="X398" s="81" t="s">
        <v>1614</v>
      </c>
      <c r="Y398" s="88">
        <v>42635.0</v>
      </c>
      <c r="Z398" s="81"/>
      <c r="AA398" s="81"/>
      <c r="AB398" s="81"/>
      <c r="AC398" s="81"/>
      <c r="AD398" s="81"/>
      <c r="AE398" s="81"/>
      <c r="AF398" s="81"/>
      <c r="AG398" s="81"/>
      <c r="AH398" s="81"/>
      <c r="AI398" s="81" t="s">
        <v>428</v>
      </c>
      <c r="AJ398" s="81"/>
      <c r="AK398" s="81"/>
      <c r="AL398" s="79"/>
    </row>
    <row r="399" ht="22.5" customHeight="1">
      <c r="A399" s="79">
        <v>10397.0</v>
      </c>
      <c r="B399" s="79" t="s">
        <v>1230</v>
      </c>
      <c r="C399" s="79" t="s">
        <v>238</v>
      </c>
      <c r="D399" s="79" t="s">
        <v>64</v>
      </c>
      <c r="E399" s="79" t="s">
        <v>387</v>
      </c>
      <c r="F399" s="80">
        <v>8.0</v>
      </c>
      <c r="G399" s="81"/>
      <c r="H399" s="79" t="s">
        <v>1621</v>
      </c>
      <c r="I399" s="80" t="s">
        <v>1197</v>
      </c>
      <c r="J399" s="81"/>
      <c r="K399" s="79" t="s">
        <v>289</v>
      </c>
      <c r="L399" s="80">
        <v>40.0</v>
      </c>
      <c r="M399" s="94" t="s">
        <v>1622</v>
      </c>
      <c r="N399" s="79" t="s">
        <v>1623</v>
      </c>
      <c r="O399" s="79" t="s">
        <v>1441</v>
      </c>
      <c r="P399" s="83">
        <v>42207.0</v>
      </c>
      <c r="Q399" s="81" t="s">
        <v>1624</v>
      </c>
      <c r="R399" s="86" t="str">
        <f>HYPERLINK("http://www.climateaccess.org/blog/building-local-support-carbon-rules","http://www.climateaccess.org/blog/building-local-support-carbon-rules")</f>
        <v>http://www.climateaccess.org/blog/building-local-support-carbon-rules</v>
      </c>
      <c r="S399" s="81"/>
      <c r="T399" s="81"/>
      <c r="U399" s="81"/>
      <c r="V399" s="81"/>
      <c r="W399" s="81" t="s">
        <v>769</v>
      </c>
      <c r="X399" s="81" t="s">
        <v>1632</v>
      </c>
      <c r="Y399" s="88">
        <v>42661.0</v>
      </c>
      <c r="Z399" s="81"/>
      <c r="AA399" s="81"/>
      <c r="AB399" s="81"/>
      <c r="AC399" s="81"/>
      <c r="AD399" s="81"/>
      <c r="AE399" s="81"/>
      <c r="AF399" s="81"/>
      <c r="AG399" s="81"/>
      <c r="AH399" s="81"/>
      <c r="AI399" s="81" t="s">
        <v>428</v>
      </c>
      <c r="AJ399" s="81"/>
      <c r="AK399" s="81"/>
      <c r="AL399" s="79"/>
    </row>
    <row r="400" ht="22.5" customHeight="1">
      <c r="A400" s="79">
        <v>10398.0</v>
      </c>
      <c r="B400" s="79" t="s">
        <v>1230</v>
      </c>
      <c r="C400" s="79" t="s">
        <v>238</v>
      </c>
      <c r="D400" s="79" t="s">
        <v>64</v>
      </c>
      <c r="E400" s="79" t="s">
        <v>387</v>
      </c>
      <c r="F400" s="80">
        <v>8.0</v>
      </c>
      <c r="G400" s="81"/>
      <c r="H400" s="79" t="s">
        <v>644</v>
      </c>
      <c r="I400" s="80">
        <v>2000.0</v>
      </c>
      <c r="J400" s="81"/>
      <c r="K400" s="79" t="s">
        <v>111</v>
      </c>
      <c r="L400" s="80">
        <v>41.0</v>
      </c>
      <c r="M400" s="79" t="s">
        <v>2737</v>
      </c>
      <c r="N400" s="79" t="s">
        <v>1548</v>
      </c>
      <c r="O400" s="79" t="s">
        <v>1550</v>
      </c>
      <c r="P400" s="83">
        <v>42202.0</v>
      </c>
      <c r="Q400" s="81" t="s">
        <v>2739</v>
      </c>
      <c r="R400" s="86" t="str">
        <f>HYPERLINK("http://ecoaffect.org/2015/07/17/3-ways-to-improve-your-climate-conversations/","http://ecoaffect.org/2015/07/17/3-ways-to-improve-your-climate-conversations/")</f>
        <v>http://ecoaffect.org/2015/07/17/3-ways-to-improve-your-climate-conversations/</v>
      </c>
      <c r="S400" s="81"/>
      <c r="T400" s="81" t="s">
        <v>462</v>
      </c>
      <c r="U400" s="81" t="s">
        <v>462</v>
      </c>
      <c r="V400" s="81" t="s">
        <v>1836</v>
      </c>
      <c r="W400" s="81" t="s">
        <v>600</v>
      </c>
      <c r="X400" s="81"/>
      <c r="Y400" s="88"/>
      <c r="Z400" s="93"/>
      <c r="AA400" s="81"/>
      <c r="AB400" s="81"/>
      <c r="AC400" s="88"/>
      <c r="AD400" s="81" t="s">
        <v>1088</v>
      </c>
      <c r="AE400" s="81"/>
      <c r="AF400" s="81"/>
      <c r="AG400" s="81"/>
      <c r="AH400" s="81"/>
      <c r="AI400" s="81"/>
      <c r="AJ400" s="81"/>
      <c r="AK400" s="81"/>
      <c r="AL400" s="79"/>
    </row>
    <row r="401" ht="22.5" customHeight="1">
      <c r="A401" s="79">
        <v>10399.0</v>
      </c>
      <c r="B401" s="79" t="s">
        <v>1230</v>
      </c>
      <c r="C401" s="79" t="s">
        <v>238</v>
      </c>
      <c r="D401" s="79" t="s">
        <v>64</v>
      </c>
      <c r="E401" s="79" t="s">
        <v>387</v>
      </c>
      <c r="F401" s="80">
        <v>8.0</v>
      </c>
      <c r="G401" s="81"/>
      <c r="H401" s="79" t="s">
        <v>644</v>
      </c>
      <c r="I401" s="80">
        <v>2000.0</v>
      </c>
      <c r="J401" s="81"/>
      <c r="K401" s="79" t="s">
        <v>111</v>
      </c>
      <c r="L401" s="80">
        <v>41.0</v>
      </c>
      <c r="M401" s="94" t="s">
        <v>2748</v>
      </c>
      <c r="N401" s="79" t="s">
        <v>1548</v>
      </c>
      <c r="O401" s="79" t="s">
        <v>1550</v>
      </c>
      <c r="P401" s="83">
        <v>42314.0</v>
      </c>
      <c r="Q401" s="81" t="s">
        <v>2749</v>
      </c>
      <c r="R401" s="86" t="str">
        <f>HYPERLINK("http://ecoaffect.org/2015/11/06/9-best-practices-for-engaging-the-public-on-climate-related-flood-risks/","http://ecoaffect.org/2015/11/06/9-best-practices-for-engaging-the-public-on-climate-related-flood-risks/")</f>
        <v>http://ecoaffect.org/2015/11/06/9-best-practices-for-engaging-the-public-on-climate-related-flood-risks/</v>
      </c>
      <c r="S401" s="81"/>
      <c r="T401" s="81"/>
      <c r="U401" s="81"/>
      <c r="V401" s="81"/>
      <c r="W401" s="81" t="s">
        <v>769</v>
      </c>
      <c r="X401" s="81" t="s">
        <v>2751</v>
      </c>
      <c r="Y401" s="81"/>
      <c r="Z401" s="81"/>
      <c r="AA401" s="81"/>
      <c r="AB401" s="81"/>
      <c r="AC401" s="81"/>
      <c r="AD401" s="81"/>
      <c r="AE401" s="81"/>
      <c r="AF401" s="81"/>
      <c r="AG401" s="81"/>
      <c r="AH401" s="81"/>
      <c r="AI401" s="81" t="s">
        <v>428</v>
      </c>
      <c r="AJ401" s="81"/>
      <c r="AK401" s="79"/>
      <c r="AL401" s="79"/>
    </row>
    <row r="402" ht="22.5" customHeight="1">
      <c r="A402" s="79">
        <v>10400.0</v>
      </c>
      <c r="B402" s="79" t="s">
        <v>1230</v>
      </c>
      <c r="C402" s="79" t="s">
        <v>238</v>
      </c>
      <c r="D402" s="79" t="s">
        <v>64</v>
      </c>
      <c r="E402" s="79" t="s">
        <v>387</v>
      </c>
      <c r="F402" s="80">
        <v>8.0</v>
      </c>
      <c r="G402" s="81"/>
      <c r="H402" s="79" t="s">
        <v>837</v>
      </c>
      <c r="I402" s="80"/>
      <c r="J402" s="81"/>
      <c r="K402" s="79" t="s">
        <v>1877</v>
      </c>
      <c r="L402" s="80" t="s">
        <v>1878</v>
      </c>
      <c r="M402" s="94" t="s">
        <v>5102</v>
      </c>
      <c r="N402" s="79" t="s">
        <v>5104</v>
      </c>
      <c r="O402" s="79" t="s">
        <v>5105</v>
      </c>
      <c r="P402" s="83">
        <v>42212.0</v>
      </c>
      <c r="Q402" s="81" t="s">
        <v>5106</v>
      </c>
      <c r="R402" s="86" t="str">
        <f>HYPERLINK("http://blogs.ei.columbia.edu/2015/07/27/what-the-world-thinks-of-climate-change/","http://blogs.ei.columbia.edu/2015/07/27/what-the-world-thinks-of-climate-change/")</f>
        <v>http://blogs.ei.columbia.edu/2015/07/27/what-the-world-thinks-of-climate-change/</v>
      </c>
      <c r="S402" s="81"/>
      <c r="T402" s="81"/>
      <c r="U402" s="81"/>
      <c r="V402" s="81"/>
      <c r="W402" s="81" t="s">
        <v>769</v>
      </c>
      <c r="X402" s="81" t="s">
        <v>5114</v>
      </c>
      <c r="Y402" s="88">
        <v>42709.0</v>
      </c>
      <c r="Z402" s="81"/>
      <c r="AA402" s="81"/>
      <c r="AB402" s="81"/>
      <c r="AC402" s="81"/>
      <c r="AD402" s="81"/>
      <c r="AE402" s="81"/>
      <c r="AF402" s="81"/>
      <c r="AG402" s="81"/>
      <c r="AH402" s="81"/>
      <c r="AI402" s="81" t="s">
        <v>428</v>
      </c>
      <c r="AJ402" s="81"/>
      <c r="AK402" s="79"/>
      <c r="AL402" s="79"/>
    </row>
    <row r="403" ht="22.5" customHeight="1">
      <c r="A403" s="79">
        <v>10401.0</v>
      </c>
      <c r="B403" s="79" t="s">
        <v>1230</v>
      </c>
      <c r="C403" s="79" t="s">
        <v>238</v>
      </c>
      <c r="D403" s="79" t="s">
        <v>64</v>
      </c>
      <c r="E403" s="79" t="s">
        <v>387</v>
      </c>
      <c r="F403" s="80">
        <v>8.0</v>
      </c>
      <c r="G403" s="81"/>
      <c r="H403" s="79" t="s">
        <v>644</v>
      </c>
      <c r="I403" s="80">
        <v>2000.0</v>
      </c>
      <c r="J403" s="81"/>
      <c r="K403" s="79" t="s">
        <v>289</v>
      </c>
      <c r="L403" s="80">
        <v>40.0</v>
      </c>
      <c r="M403" s="94" t="s">
        <v>2752</v>
      </c>
      <c r="N403" s="79" t="s">
        <v>2132</v>
      </c>
      <c r="O403" s="79" t="s">
        <v>1550</v>
      </c>
      <c r="P403" s="83">
        <v>42464.0</v>
      </c>
      <c r="Q403" s="81" t="s">
        <v>2755</v>
      </c>
      <c r="R403" s="86" t="str">
        <f>HYPERLINK("http://ecoaffect.org/2016/04/04/climate-messaging-lessons-from-the-marriage-equality-movement/","http://ecoaffect.org/2016/04/04/climate-messaging-lessons-from-the-marriage-equality-movement/")</f>
        <v>http://ecoaffect.org/2016/04/04/climate-messaging-lessons-from-the-marriage-equality-movement/</v>
      </c>
      <c r="S403" s="81"/>
      <c r="T403" s="81"/>
      <c r="U403" s="81"/>
      <c r="V403" s="81"/>
      <c r="W403" s="81" t="s">
        <v>769</v>
      </c>
      <c r="X403" s="81" t="s">
        <v>2758</v>
      </c>
      <c r="Y403" s="88">
        <v>42670.0</v>
      </c>
      <c r="Z403" s="81"/>
      <c r="AA403" s="81"/>
      <c r="AB403" s="81"/>
      <c r="AC403" s="81"/>
      <c r="AD403" s="81"/>
      <c r="AE403" s="81"/>
      <c r="AF403" s="81"/>
      <c r="AG403" s="81"/>
      <c r="AH403" s="81"/>
      <c r="AI403" s="81" t="s">
        <v>428</v>
      </c>
      <c r="AJ403" s="81"/>
      <c r="AK403" s="79"/>
      <c r="AL403" s="79"/>
    </row>
    <row r="404" ht="22.5" customHeight="1">
      <c r="A404" s="79">
        <v>10402.0</v>
      </c>
      <c r="B404" s="79" t="s">
        <v>1230</v>
      </c>
      <c r="C404" s="79" t="s">
        <v>238</v>
      </c>
      <c r="D404" s="79" t="s">
        <v>64</v>
      </c>
      <c r="E404" s="79" t="s">
        <v>387</v>
      </c>
      <c r="F404" s="80">
        <v>8.0</v>
      </c>
      <c r="G404" s="81"/>
      <c r="H404" s="79" t="s">
        <v>644</v>
      </c>
      <c r="I404" s="80">
        <v>2000.0</v>
      </c>
      <c r="J404" s="81"/>
      <c r="K404" s="79" t="s">
        <v>289</v>
      </c>
      <c r="L404" s="80">
        <v>40.0</v>
      </c>
      <c r="M404" s="94" t="s">
        <v>2006</v>
      </c>
      <c r="N404" s="79" t="s">
        <v>2008</v>
      </c>
      <c r="O404" s="79" t="s">
        <v>2010</v>
      </c>
      <c r="P404" s="83">
        <v>42457.0</v>
      </c>
      <c r="Q404" s="81" t="s">
        <v>2011</v>
      </c>
      <c r="R404" s="86" t="str">
        <f>HYPERLINK("http://www.scientificamerican.com/article/how-to-talk-global-warming-in-plain-english/","http://www.scientificamerican.com/article/how-to-talk-global-warming-in-plain-english/")</f>
        <v>http://www.scientificamerican.com/article/how-to-talk-global-warming-in-plain-english/</v>
      </c>
      <c r="S404" s="81"/>
      <c r="T404" s="81"/>
      <c r="U404" s="81"/>
      <c r="V404" s="81"/>
      <c r="W404" s="81" t="s">
        <v>769</v>
      </c>
      <c r="X404" s="81" t="s">
        <v>2016</v>
      </c>
      <c r="Y404" s="88">
        <v>42669.0</v>
      </c>
      <c r="Z404" s="81"/>
      <c r="AA404" s="81"/>
      <c r="AB404" s="81"/>
      <c r="AC404" s="81"/>
      <c r="AD404" s="81"/>
      <c r="AE404" s="81"/>
      <c r="AF404" s="81"/>
      <c r="AG404" s="81"/>
      <c r="AH404" s="81"/>
      <c r="AI404" s="81" t="s">
        <v>428</v>
      </c>
      <c r="AJ404" s="81"/>
      <c r="AK404" s="79"/>
      <c r="AL404" s="79"/>
    </row>
    <row r="405" ht="22.5" customHeight="1">
      <c r="A405" s="79">
        <v>10403.0</v>
      </c>
      <c r="B405" s="79" t="s">
        <v>1230</v>
      </c>
      <c r="C405" s="79" t="s">
        <v>238</v>
      </c>
      <c r="D405" s="79" t="s">
        <v>64</v>
      </c>
      <c r="E405" s="79" t="s">
        <v>387</v>
      </c>
      <c r="F405" s="80">
        <v>8.0</v>
      </c>
      <c r="G405" s="81"/>
      <c r="H405" s="79" t="s">
        <v>644</v>
      </c>
      <c r="I405" s="80">
        <v>2000.0</v>
      </c>
      <c r="J405" s="81"/>
      <c r="K405" s="79" t="s">
        <v>289</v>
      </c>
      <c r="L405" s="80">
        <v>40.0</v>
      </c>
      <c r="M405" s="79" t="s">
        <v>5117</v>
      </c>
      <c r="N405" s="79" t="s">
        <v>5118</v>
      </c>
      <c r="O405" s="79" t="s">
        <v>5119</v>
      </c>
      <c r="P405" s="83">
        <v>41891.0</v>
      </c>
      <c r="Q405" s="81" t="s">
        <v>5120</v>
      </c>
      <c r="R405" s="86" t="str">
        <f>HYPERLINK("http://talkingpointsmemo.com/news/red-state-cities-find-euphemisms-prepare-global-warming%C2%A0%E2%80%A6","http://talkingpointsmemo.com/news/red-state-cities-find-euphemisms-prepare-global-warming …")</f>
        <v>http://talkingpointsmemo.com/news/red-state-cities-find-euphemisms-prepare-global-warming …</v>
      </c>
      <c r="S405" s="81" t="s">
        <v>5122</v>
      </c>
      <c r="T405" s="81" t="s">
        <v>462</v>
      </c>
      <c r="U405" s="81" t="s">
        <v>462</v>
      </c>
      <c r="V405" s="81"/>
      <c r="W405" s="81" t="s">
        <v>769</v>
      </c>
      <c r="X405" s="81" t="s">
        <v>5124</v>
      </c>
      <c r="Y405" s="88">
        <v>41922.0</v>
      </c>
      <c r="Z405" s="81"/>
      <c r="AA405" s="81" t="s">
        <v>769</v>
      </c>
      <c r="AB405" s="81"/>
      <c r="AC405" s="88"/>
      <c r="AD405" s="81"/>
      <c r="AE405" s="81"/>
      <c r="AF405" s="81"/>
      <c r="AG405" s="81"/>
      <c r="AH405" s="81"/>
      <c r="AI405" s="81"/>
      <c r="AJ405" s="81"/>
      <c r="AK405" s="79"/>
      <c r="AL405" s="79"/>
    </row>
    <row r="406" ht="22.5" customHeight="1">
      <c r="A406" s="79">
        <v>10404.0</v>
      </c>
      <c r="B406" s="79" t="s">
        <v>1230</v>
      </c>
      <c r="C406" s="79" t="s">
        <v>238</v>
      </c>
      <c r="D406" s="79" t="s">
        <v>64</v>
      </c>
      <c r="E406" s="79" t="s">
        <v>387</v>
      </c>
      <c r="F406" s="80">
        <v>8.0</v>
      </c>
      <c r="G406" s="81"/>
      <c r="H406" s="79" t="s">
        <v>1114</v>
      </c>
      <c r="I406" s="80">
        <v>2000.0</v>
      </c>
      <c r="J406" s="81"/>
      <c r="K406" s="79" t="s">
        <v>111</v>
      </c>
      <c r="L406" s="80">
        <v>41.0</v>
      </c>
      <c r="M406" s="94" t="s">
        <v>3796</v>
      </c>
      <c r="N406" s="79" t="s">
        <v>3797</v>
      </c>
      <c r="O406" s="79" t="s">
        <v>2975</v>
      </c>
      <c r="P406" s="83">
        <v>42163.0</v>
      </c>
      <c r="Q406" s="81" t="s">
        <v>3798</v>
      </c>
      <c r="R406" s="86" t="str">
        <f>HYPERLINK("http://frank.jou.ufl.edu/frankology/the-tree-huggers-got-it-right-the-link-between-compassion-and-conservation/","http://frank.jou.ufl.edu/frankology/the-tree-huggers-got-it-right-the-link-between-compassion-and-conservation/")</f>
        <v>http://frank.jou.ufl.edu/frankology/the-tree-huggers-got-it-right-the-link-between-compassion-and-conservation/</v>
      </c>
      <c r="S406" s="81"/>
      <c r="T406" s="81" t="s">
        <v>428</v>
      </c>
      <c r="U406" s="81"/>
      <c r="V406" s="81"/>
      <c r="W406" s="81" t="s">
        <v>769</v>
      </c>
      <c r="X406" s="81" t="s">
        <v>3799</v>
      </c>
      <c r="Y406" s="88">
        <v>42684.0</v>
      </c>
      <c r="Z406" s="81"/>
      <c r="AA406" s="81"/>
      <c r="AB406" s="81"/>
      <c r="AC406" s="81"/>
      <c r="AD406" s="81"/>
      <c r="AE406" s="81"/>
      <c r="AF406" s="81"/>
      <c r="AG406" s="81"/>
      <c r="AH406" s="81"/>
      <c r="AI406" s="81"/>
      <c r="AJ406" s="81" t="s">
        <v>3297</v>
      </c>
      <c r="AK406" s="79"/>
      <c r="AL406" s="79"/>
    </row>
    <row r="407" ht="22.5" customHeight="1">
      <c r="A407" s="79">
        <v>10405.0</v>
      </c>
      <c r="B407" s="79" t="s">
        <v>1230</v>
      </c>
      <c r="C407" s="79" t="s">
        <v>238</v>
      </c>
      <c r="D407" s="79" t="s">
        <v>64</v>
      </c>
      <c r="E407" s="79" t="s">
        <v>387</v>
      </c>
      <c r="F407" s="80">
        <v>8.0</v>
      </c>
      <c r="G407" s="81"/>
      <c r="H407" s="79" t="s">
        <v>224</v>
      </c>
      <c r="I407" s="80"/>
      <c r="J407" s="81"/>
      <c r="K407" s="79" t="s">
        <v>111</v>
      </c>
      <c r="L407" s="80">
        <v>41.0</v>
      </c>
      <c r="M407" s="94" t="s">
        <v>3806</v>
      </c>
      <c r="N407" s="79" t="s">
        <v>3797</v>
      </c>
      <c r="O407" s="79" t="s">
        <v>2975</v>
      </c>
      <c r="P407" s="83">
        <v>42170.0</v>
      </c>
      <c r="Q407" s="81" t="s">
        <v>3813</v>
      </c>
      <c r="R407" s="86" t="str">
        <f>HYPERLINK("http://frank.jou.ufl.edu/frankology/some-ghoulish-findings-about-fear-of-death-and-charitable-giving/","http://frank.jou.ufl.edu/frankology/some-ghoulish-findings-about-fear-of-death-and-charitable-giving/")</f>
        <v>http://frank.jou.ufl.edu/frankology/some-ghoulish-findings-about-fear-of-death-and-charitable-giving/</v>
      </c>
      <c r="S407" s="81"/>
      <c r="T407" s="81" t="s">
        <v>428</v>
      </c>
      <c r="U407" s="81"/>
      <c r="V407" s="81"/>
      <c r="W407" s="81" t="s">
        <v>769</v>
      </c>
      <c r="X407" s="81" t="s">
        <v>3815</v>
      </c>
      <c r="Y407" s="88">
        <v>42683.0</v>
      </c>
      <c r="Z407" s="81"/>
      <c r="AA407" s="81"/>
      <c r="AB407" s="81"/>
      <c r="AC407" s="81"/>
      <c r="AD407" s="81"/>
      <c r="AE407" s="81"/>
      <c r="AF407" s="81"/>
      <c r="AG407" s="81"/>
      <c r="AH407" s="81"/>
      <c r="AI407" s="81"/>
      <c r="AJ407" s="81"/>
      <c r="AK407" s="79"/>
      <c r="AL407" s="79"/>
    </row>
    <row r="408" ht="22.5" customHeight="1">
      <c r="A408" s="79">
        <v>10406.0</v>
      </c>
      <c r="B408" s="79" t="s">
        <v>1230</v>
      </c>
      <c r="C408" s="79" t="s">
        <v>238</v>
      </c>
      <c r="D408" s="79" t="s">
        <v>64</v>
      </c>
      <c r="E408" s="79" t="s">
        <v>387</v>
      </c>
      <c r="F408" s="80">
        <v>8.0</v>
      </c>
      <c r="G408" s="81"/>
      <c r="H408" s="79" t="s">
        <v>1114</v>
      </c>
      <c r="I408" s="80">
        <v>2000.0</v>
      </c>
      <c r="J408" s="81"/>
      <c r="K408" s="79" t="s">
        <v>289</v>
      </c>
      <c r="L408" s="80">
        <v>40.0</v>
      </c>
      <c r="M408" s="94" t="s">
        <v>5140</v>
      </c>
      <c r="N408" s="79" t="s">
        <v>5141</v>
      </c>
      <c r="O408" s="79" t="s">
        <v>1375</v>
      </c>
      <c r="P408" s="83">
        <v>42373.0</v>
      </c>
      <c r="Q408" s="81" t="s">
        <v>5142</v>
      </c>
      <c r="R408" s="86" t="str">
        <f>HYPERLINK("https://www.washingtonpost.com/posteverything/wp/2016/01/04/psychologists-have-discovered-the-secret-to-making-people-care-about-climate-change/?postshare=1441451917973467&amp;tid=ss_tw-bottom","https://www.washingtonpost.com/posteverything/wp/2016/01/04/psychologists-have-discovered-the-secret-to-making-people-care-about-climate-change/?postshare=1441451917973467&amp;tid=ss_tw-bottom")</f>
        <v>https://www.washingtonpost.com/posteverything/wp/2016/01/04/psychologists-have-discovered-the-secret-to-making-people-care-about-climate-change/?postshare=1441451917973467&amp;tid=ss_tw-bottom</v>
      </c>
      <c r="S408" s="81"/>
      <c r="T408" s="81"/>
      <c r="U408" s="81"/>
      <c r="V408" s="81"/>
      <c r="W408" s="81" t="s">
        <v>769</v>
      </c>
      <c r="X408" s="81" t="s">
        <v>5146</v>
      </c>
      <c r="Y408" s="88">
        <v>42648.0</v>
      </c>
      <c r="Z408" s="81"/>
      <c r="AA408" s="81"/>
      <c r="AB408" s="81"/>
      <c r="AC408" s="81"/>
      <c r="AD408" s="81"/>
      <c r="AE408" s="81"/>
      <c r="AF408" s="81"/>
      <c r="AG408" s="81"/>
      <c r="AH408" s="81"/>
      <c r="AI408" s="81" t="s">
        <v>428</v>
      </c>
      <c r="AJ408" s="81"/>
      <c r="AK408" s="79"/>
      <c r="AL408" s="79"/>
    </row>
    <row r="409" ht="22.5" customHeight="1">
      <c r="A409" s="79">
        <v>10407.0</v>
      </c>
      <c r="B409" s="79" t="s">
        <v>1230</v>
      </c>
      <c r="C409" s="79" t="s">
        <v>238</v>
      </c>
      <c r="D409" s="79" t="s">
        <v>64</v>
      </c>
      <c r="E409" s="79" t="s">
        <v>387</v>
      </c>
      <c r="F409" s="80">
        <v>8.0</v>
      </c>
      <c r="G409" s="81"/>
      <c r="H409" s="79" t="s">
        <v>116</v>
      </c>
      <c r="I409" s="80">
        <v>3000.0</v>
      </c>
      <c r="J409" s="81"/>
      <c r="K409" s="79" t="s">
        <v>289</v>
      </c>
      <c r="L409" s="80">
        <v>40.0</v>
      </c>
      <c r="M409" s="79" t="s">
        <v>947</v>
      </c>
      <c r="N409" s="79" t="s">
        <v>948</v>
      </c>
      <c r="O409" s="79" t="s">
        <v>945</v>
      </c>
      <c r="P409" s="83">
        <v>42244.0</v>
      </c>
      <c r="Q409" s="81" t="s">
        <v>949</v>
      </c>
      <c r="R409" s="79" t="s">
        <v>950</v>
      </c>
      <c r="S409" s="81"/>
      <c r="T409" s="81" t="s">
        <v>462</v>
      </c>
      <c r="U409" s="81" t="s">
        <v>462</v>
      </c>
      <c r="V409" s="81" t="s">
        <v>676</v>
      </c>
      <c r="W409" s="81" t="s">
        <v>769</v>
      </c>
      <c r="X409" s="81" t="s">
        <v>951</v>
      </c>
      <c r="Y409" s="88">
        <v>42340.0</v>
      </c>
      <c r="Z409" s="81"/>
      <c r="AA409" s="81" t="s">
        <v>769</v>
      </c>
      <c r="AB409" s="81"/>
      <c r="AC409" s="88">
        <v>42342.0</v>
      </c>
      <c r="AD409" s="81"/>
      <c r="AE409" s="81"/>
      <c r="AF409" s="81"/>
      <c r="AG409" s="81"/>
      <c r="AH409" s="81"/>
      <c r="AI409" s="81"/>
      <c r="AJ409" s="81"/>
      <c r="AK409" s="79"/>
      <c r="AL409" s="79"/>
    </row>
    <row r="410" ht="22.5" customHeight="1">
      <c r="A410" s="79">
        <v>10408.0</v>
      </c>
      <c r="B410" s="79" t="s">
        <v>1230</v>
      </c>
      <c r="C410" s="79" t="s">
        <v>238</v>
      </c>
      <c r="D410" s="79" t="s">
        <v>64</v>
      </c>
      <c r="E410" s="79" t="s">
        <v>387</v>
      </c>
      <c r="F410" s="80">
        <v>8.0</v>
      </c>
      <c r="G410" s="81"/>
      <c r="H410" s="79" t="s">
        <v>644</v>
      </c>
      <c r="I410" s="80">
        <v>2000.0</v>
      </c>
      <c r="J410" s="81"/>
      <c r="K410" s="79" t="s">
        <v>289</v>
      </c>
      <c r="L410" s="80">
        <v>40.0</v>
      </c>
      <c r="M410" s="79" t="s">
        <v>4271</v>
      </c>
      <c r="N410" s="79" t="s">
        <v>4272</v>
      </c>
      <c r="O410" s="79" t="s">
        <v>1775</v>
      </c>
      <c r="P410" s="83">
        <v>42052.0</v>
      </c>
      <c r="Q410" s="81" t="s">
        <v>4273</v>
      </c>
      <c r="R410" s="86" t="str">
        <f>HYPERLINK("http://www.huffingtonpost.com/miroslava-korenha/what-the-environmental-co_b_6350424.html","http://www.huffingtonpost.com/miroslava-korenha/what-the-environmental-co_b_6350424.html")</f>
        <v>http://www.huffingtonpost.com/miroslava-korenha/what-the-environmental-co_b_6350424.html</v>
      </c>
      <c r="S410" s="81"/>
      <c r="T410" s="81" t="s">
        <v>462</v>
      </c>
      <c r="U410" s="81" t="s">
        <v>462</v>
      </c>
      <c r="V410" s="81">
        <v>3.0</v>
      </c>
      <c r="W410" s="81" t="s">
        <v>769</v>
      </c>
      <c r="X410" s="81" t="s">
        <v>4276</v>
      </c>
      <c r="Y410" s="88">
        <v>42459.0</v>
      </c>
      <c r="Z410" s="88"/>
      <c r="AA410" s="81"/>
      <c r="AB410" s="81"/>
      <c r="AC410" s="81"/>
      <c r="AD410" s="81"/>
      <c r="AE410" s="81"/>
      <c r="AF410" s="81"/>
      <c r="AG410" s="81"/>
      <c r="AH410" s="81"/>
      <c r="AI410" s="81"/>
      <c r="AJ410" s="81"/>
      <c r="AK410" s="79"/>
      <c r="AL410" s="79"/>
    </row>
    <row r="411" ht="22.5" customHeight="1">
      <c r="A411" s="79">
        <v>10409.0</v>
      </c>
      <c r="B411" s="79" t="s">
        <v>1230</v>
      </c>
      <c r="C411" s="79" t="s">
        <v>238</v>
      </c>
      <c r="D411" s="79" t="s">
        <v>64</v>
      </c>
      <c r="E411" s="79" t="s">
        <v>387</v>
      </c>
      <c r="F411" s="80">
        <v>8.0</v>
      </c>
      <c r="G411" s="81"/>
      <c r="H411" s="79" t="s">
        <v>644</v>
      </c>
      <c r="I411" s="80">
        <v>2000.0</v>
      </c>
      <c r="J411" s="81"/>
      <c r="K411" s="79" t="s">
        <v>289</v>
      </c>
      <c r="L411" s="80">
        <v>40.0</v>
      </c>
      <c r="M411" s="94" t="s">
        <v>5164</v>
      </c>
      <c r="N411" s="79" t="s">
        <v>5165</v>
      </c>
      <c r="O411" s="79" t="s">
        <v>2653</v>
      </c>
      <c r="P411" s="83">
        <v>40884.0</v>
      </c>
      <c r="Q411" s="81" t="s">
        <v>5166</v>
      </c>
      <c r="R411" s="86" t="str">
        <f>HYPERLINK("http://articles.latimes.com/2011/dec/07/nation/la-na-evangelical-warming-20111207","http://articles.latimes.com/2011/dec/07/nation/la-na-evangelical-warming-20111207")</f>
        <v>http://articles.latimes.com/2011/dec/07/nation/la-na-evangelical-warming-20111207</v>
      </c>
      <c r="S411" s="81"/>
      <c r="T411" s="81" t="s">
        <v>428</v>
      </c>
      <c r="U411" s="81"/>
      <c r="V411" s="81"/>
      <c r="W411" s="81" t="s">
        <v>769</v>
      </c>
      <c r="X411" s="81" t="s">
        <v>5171</v>
      </c>
      <c r="Y411" s="88">
        <v>42684.0</v>
      </c>
      <c r="Z411" s="81"/>
      <c r="AA411" s="81"/>
      <c r="AB411" s="81"/>
      <c r="AC411" s="81"/>
      <c r="AD411" s="81"/>
      <c r="AE411" s="81"/>
      <c r="AF411" s="81"/>
      <c r="AG411" s="81"/>
      <c r="AH411" s="81"/>
      <c r="AI411" s="81"/>
      <c r="AJ411" s="81"/>
      <c r="AK411" s="79"/>
      <c r="AL411" s="79"/>
    </row>
    <row r="412" ht="22.5" customHeight="1">
      <c r="A412" s="79">
        <v>10410.0</v>
      </c>
      <c r="B412" s="79" t="s">
        <v>1230</v>
      </c>
      <c r="C412" s="79" t="s">
        <v>238</v>
      </c>
      <c r="D412" s="79" t="s">
        <v>64</v>
      </c>
      <c r="E412" s="79" t="s">
        <v>387</v>
      </c>
      <c r="F412" s="80">
        <v>8.0</v>
      </c>
      <c r="G412" s="81"/>
      <c r="H412" s="79" t="s">
        <v>1114</v>
      </c>
      <c r="I412" s="80">
        <v>2000.0</v>
      </c>
      <c r="J412" s="81"/>
      <c r="K412" s="79" t="s">
        <v>289</v>
      </c>
      <c r="L412" s="80">
        <v>40.0</v>
      </c>
      <c r="M412" s="94" t="s">
        <v>5174</v>
      </c>
      <c r="N412" s="79" t="s">
        <v>5175</v>
      </c>
      <c r="O412" s="79" t="s">
        <v>5176</v>
      </c>
      <c r="P412" s="83">
        <v>42221.0</v>
      </c>
      <c r="Q412" s="81" t="s">
        <v>5177</v>
      </c>
      <c r="R412" s="86" t="str">
        <f>HYPERLINK("http://www.wired.com/2015/08/obamas-getting-americans-care-climate-change/","http://www.wired.com/2015/08/obamas-getting-americans-care-climate-change/")</f>
        <v>http://www.wired.com/2015/08/obamas-getting-americans-care-climate-change/</v>
      </c>
      <c r="S412" s="81"/>
      <c r="T412" s="81"/>
      <c r="U412" s="81"/>
      <c r="V412" s="81"/>
      <c r="W412" s="81" t="s">
        <v>428</v>
      </c>
      <c r="X412" s="106" t="str">
        <f>HYPERLINK("https://hootsuite.com/dashboard","President Obama got Americans to care about #climatechange by connecting it to jobs, local impacts, and health!")</f>
        <v>President Obama got Americans to care about #climatechange by connecting it to jobs, local impacts, and health!</v>
      </c>
      <c r="Y412" s="88">
        <v>42650.0</v>
      </c>
      <c r="Z412" s="81"/>
      <c r="AA412" s="81"/>
      <c r="AB412" s="81"/>
      <c r="AC412" s="81"/>
      <c r="AD412" s="81"/>
      <c r="AE412" s="81"/>
      <c r="AF412" s="81"/>
      <c r="AG412" s="81"/>
      <c r="AH412" s="81"/>
      <c r="AI412" s="81" t="s">
        <v>428</v>
      </c>
      <c r="AJ412" s="81"/>
      <c r="AK412" s="79"/>
      <c r="AL412" s="79"/>
    </row>
    <row r="413" ht="22.5" customHeight="1">
      <c r="A413" s="79">
        <v>10411.0</v>
      </c>
      <c r="B413" s="79" t="s">
        <v>1230</v>
      </c>
      <c r="C413" s="79" t="s">
        <v>238</v>
      </c>
      <c r="D413" s="79" t="s">
        <v>64</v>
      </c>
      <c r="E413" s="79" t="s">
        <v>387</v>
      </c>
      <c r="F413" s="80">
        <v>8.0</v>
      </c>
      <c r="G413" s="81"/>
      <c r="H413" s="79" t="s">
        <v>578</v>
      </c>
      <c r="I413" s="80">
        <v>2000.0</v>
      </c>
      <c r="J413" s="81"/>
      <c r="K413" s="79" t="s">
        <v>324</v>
      </c>
      <c r="L413" s="80" t="s">
        <v>325</v>
      </c>
      <c r="M413" s="94" t="s">
        <v>2760</v>
      </c>
      <c r="N413" s="79" t="s">
        <v>2761</v>
      </c>
      <c r="O413" s="79" t="s">
        <v>1550</v>
      </c>
      <c r="P413" s="83">
        <v>42349.0</v>
      </c>
      <c r="Q413" s="81" t="s">
        <v>2762</v>
      </c>
      <c r="R413" s="86" t="str">
        <f>HYPERLINK("http://ecoaffect.org/2015/12/11/13612/","http://ecoaffect.org/2015/12/11/13612/")</f>
        <v>http://ecoaffect.org/2015/12/11/13612/</v>
      </c>
      <c r="S413" s="81"/>
      <c r="T413" s="81"/>
      <c r="U413" s="81"/>
      <c r="V413" s="81"/>
      <c r="W413" s="81" t="s">
        <v>769</v>
      </c>
      <c r="X413" s="81" t="s">
        <v>2769</v>
      </c>
      <c r="Y413" s="88">
        <v>42696.0</v>
      </c>
      <c r="Z413" s="81"/>
      <c r="AA413" s="81"/>
      <c r="AB413" s="81"/>
      <c r="AC413" s="81"/>
      <c r="AD413" s="81"/>
      <c r="AE413" s="81"/>
      <c r="AF413" s="81"/>
      <c r="AG413" s="81"/>
      <c r="AH413" s="81"/>
      <c r="AI413" s="81" t="s">
        <v>428</v>
      </c>
      <c r="AJ413" s="81"/>
      <c r="AK413" s="79"/>
      <c r="AL413" s="79"/>
    </row>
    <row r="414" ht="22.5" customHeight="1">
      <c r="A414" s="79">
        <v>10412.0</v>
      </c>
      <c r="B414" s="79" t="s">
        <v>1230</v>
      </c>
      <c r="C414" s="79" t="s">
        <v>238</v>
      </c>
      <c r="D414" s="79" t="s">
        <v>64</v>
      </c>
      <c r="E414" s="79" t="s">
        <v>387</v>
      </c>
      <c r="F414" s="80">
        <v>8.0</v>
      </c>
      <c r="G414" s="81"/>
      <c r="H414" s="79" t="s">
        <v>644</v>
      </c>
      <c r="I414" s="80">
        <v>2000.0</v>
      </c>
      <c r="J414" s="81"/>
      <c r="K414" s="79" t="s">
        <v>289</v>
      </c>
      <c r="L414" s="80">
        <v>40.0</v>
      </c>
      <c r="M414" s="94" t="s">
        <v>2770</v>
      </c>
      <c r="N414" s="79" t="s">
        <v>2771</v>
      </c>
      <c r="O414" s="79" t="s">
        <v>1550</v>
      </c>
      <c r="P414" s="83">
        <v>42356.0</v>
      </c>
      <c r="Q414" s="81" t="s">
        <v>2772</v>
      </c>
      <c r="R414" s="86" t="str">
        <f>HYPERLINK("http://ecoaffect.org/2015/12/18/putting-people-first-3-ways-to-approach-climate-communications-2/","http://ecoaffect.org/2015/12/18/putting-people-first-3-ways-to-approach-climate-communications-2/")</f>
        <v>http://ecoaffect.org/2015/12/18/putting-people-first-3-ways-to-approach-climate-communications-2/</v>
      </c>
      <c r="S414" s="81"/>
      <c r="T414" s="81"/>
      <c r="U414" s="81"/>
      <c r="V414" s="81"/>
      <c r="W414" s="81" t="s">
        <v>769</v>
      </c>
      <c r="X414" s="81" t="s">
        <v>2776</v>
      </c>
      <c r="Y414" s="88">
        <v>42688.0</v>
      </c>
      <c r="Z414" s="81"/>
      <c r="AA414" s="81"/>
      <c r="AB414" s="81"/>
      <c r="AC414" s="81"/>
      <c r="AD414" s="81"/>
      <c r="AE414" s="81"/>
      <c r="AF414" s="81"/>
      <c r="AG414" s="81"/>
      <c r="AH414" s="81"/>
      <c r="AI414" s="81" t="s">
        <v>428</v>
      </c>
      <c r="AJ414" s="81"/>
      <c r="AK414" s="79"/>
      <c r="AL414" s="79"/>
    </row>
    <row r="415" ht="22.5" customHeight="1">
      <c r="A415" s="79">
        <v>10413.0</v>
      </c>
      <c r="B415" s="79" t="s">
        <v>1230</v>
      </c>
      <c r="C415" s="79" t="s">
        <v>238</v>
      </c>
      <c r="D415" s="79" t="s">
        <v>64</v>
      </c>
      <c r="E415" s="79" t="s">
        <v>387</v>
      </c>
      <c r="F415" s="80">
        <v>8.0</v>
      </c>
      <c r="G415" s="81"/>
      <c r="H415" s="79" t="s">
        <v>224</v>
      </c>
      <c r="I415" s="80"/>
      <c r="J415" s="81"/>
      <c r="K415" s="79" t="s">
        <v>324</v>
      </c>
      <c r="L415" s="80" t="s">
        <v>325</v>
      </c>
      <c r="M415" s="94" t="s">
        <v>5199</v>
      </c>
      <c r="N415" s="79" t="s">
        <v>2340</v>
      </c>
      <c r="O415" s="79" t="s">
        <v>2017</v>
      </c>
      <c r="P415" s="83">
        <v>42107.0</v>
      </c>
      <c r="Q415" s="81" t="s">
        <v>3813</v>
      </c>
      <c r="R415" s="86" t="str">
        <f>HYPERLINK("https://psmag.com/from-humbug-to-humble-the-power-of-the-scrooge-effect-18275f5059d1#.naruae2of","https://psmag.com/from-humbug-to-humble-the-power-of-the-scrooge-effect-18275f5059d1#.naruae2of")</f>
        <v>https://psmag.com/from-humbug-to-humble-the-power-of-the-scrooge-effect-18275f5059d1#.naruae2of</v>
      </c>
      <c r="S415" s="81"/>
      <c r="T415" s="81" t="s">
        <v>428</v>
      </c>
      <c r="U415" s="81"/>
      <c r="V415" s="81"/>
      <c r="W415" s="81" t="s">
        <v>769</v>
      </c>
      <c r="X415" s="81" t="s">
        <v>5207</v>
      </c>
      <c r="Y415" s="88">
        <v>42683.0</v>
      </c>
      <c r="Z415" s="81"/>
      <c r="AA415" s="81" t="s">
        <v>769</v>
      </c>
      <c r="AB415" s="88">
        <v>42662.0</v>
      </c>
      <c r="AC415" s="81"/>
      <c r="AD415" s="81"/>
      <c r="AE415" s="81"/>
      <c r="AF415" s="81"/>
      <c r="AG415" s="81"/>
      <c r="AH415" s="81"/>
      <c r="AI415" s="81"/>
      <c r="AJ415" s="81"/>
      <c r="AK415" s="79"/>
      <c r="AL415" s="79"/>
    </row>
    <row r="416" ht="22.5" customHeight="1">
      <c r="A416" s="79">
        <v>10414.0</v>
      </c>
      <c r="B416" s="79" t="s">
        <v>1230</v>
      </c>
      <c r="C416" s="79" t="s">
        <v>238</v>
      </c>
      <c r="D416" s="79" t="s">
        <v>64</v>
      </c>
      <c r="E416" s="79" t="s">
        <v>1480</v>
      </c>
      <c r="F416" s="80">
        <v>8.0</v>
      </c>
      <c r="G416" s="81"/>
      <c r="H416" s="79" t="s">
        <v>837</v>
      </c>
      <c r="I416" s="80">
        <v>2000.0</v>
      </c>
      <c r="J416" s="81"/>
      <c r="K416" s="79" t="s">
        <v>298</v>
      </c>
      <c r="L416" s="80">
        <v>44.0</v>
      </c>
      <c r="M416" s="79" t="s">
        <v>5211</v>
      </c>
      <c r="N416" s="79" t="s">
        <v>5212</v>
      </c>
      <c r="O416" s="79" t="s">
        <v>5213</v>
      </c>
      <c r="P416" s="83">
        <v>40691.0</v>
      </c>
      <c r="Q416" s="81"/>
      <c r="R416" s="86" t="str">
        <f>HYPERLINK("http://www.theage.com.au/it-pro/forget-facts-its-personality-that-rules-reactions-to-climate-change-20110527-1f8dl.html","http://www.theage.com.au/it-pro/forget-facts-its-personality-that-rules-reactions-to-climate-change-20110527-1f8dl.html")</f>
        <v>http://www.theage.com.au/it-pro/forget-facts-its-personality-that-rules-reactions-to-climate-change-20110527-1f8dl.html</v>
      </c>
      <c r="S416" s="81"/>
      <c r="T416" s="81" t="s">
        <v>842</v>
      </c>
      <c r="U416" s="81" t="s">
        <v>462</v>
      </c>
      <c r="V416" s="81" t="s">
        <v>676</v>
      </c>
      <c r="W416" s="81" t="s">
        <v>769</v>
      </c>
      <c r="X416" s="81" t="s">
        <v>5215</v>
      </c>
      <c r="Y416" s="88">
        <v>42332.0</v>
      </c>
      <c r="Z416" s="88">
        <v>42541.0</v>
      </c>
      <c r="AA416" s="81" t="s">
        <v>769</v>
      </c>
      <c r="AB416" s="81"/>
      <c r="AC416" s="88">
        <v>42335.0</v>
      </c>
      <c r="AD416" s="81"/>
      <c r="AE416" s="81"/>
      <c r="AF416" s="81"/>
      <c r="AG416" s="81"/>
      <c r="AH416" s="81"/>
      <c r="AI416" s="81"/>
      <c r="AJ416" s="81"/>
      <c r="AK416" s="79"/>
      <c r="AL416" s="79"/>
    </row>
    <row r="417" ht="22.5" customHeight="1">
      <c r="A417" s="79">
        <v>10415.0</v>
      </c>
      <c r="B417" s="79" t="s">
        <v>1230</v>
      </c>
      <c r="C417" s="79" t="s">
        <v>238</v>
      </c>
      <c r="D417" s="79" t="s">
        <v>64</v>
      </c>
      <c r="E417" s="79" t="s">
        <v>1480</v>
      </c>
      <c r="F417" s="80">
        <v>8.0</v>
      </c>
      <c r="G417" s="81"/>
      <c r="H417" s="79" t="s">
        <v>1114</v>
      </c>
      <c r="I417" s="80">
        <v>2000.0</v>
      </c>
      <c r="J417" s="81"/>
      <c r="K417" s="79" t="s">
        <v>289</v>
      </c>
      <c r="L417" s="80">
        <v>40.0</v>
      </c>
      <c r="M417" s="79" t="s">
        <v>2778</v>
      </c>
      <c r="N417" s="79" t="s">
        <v>1548</v>
      </c>
      <c r="O417" s="79" t="s">
        <v>1550</v>
      </c>
      <c r="P417" s="83">
        <v>42111.0</v>
      </c>
      <c r="Q417" s="81" t="s">
        <v>2780</v>
      </c>
      <c r="R417" s="86" t="str">
        <f>HYPERLINK("http://ecoaffect.org/2015/04/17/why-do-you-care-about-climate-change-how-making-it-personal-can-drive-people-to-action/","http://ecoaffect.org/2015/04/17/why-do-you-care-about-climate-change-how-making-it-personal-can-drive-people-to-action/")</f>
        <v>http://ecoaffect.org/2015/04/17/why-do-you-care-about-climate-change-how-making-it-personal-can-drive-people-to-action/</v>
      </c>
      <c r="S417" s="81"/>
      <c r="T417" s="81" t="s">
        <v>462</v>
      </c>
      <c r="U417" s="81" t="s">
        <v>462</v>
      </c>
      <c r="V417" s="81"/>
      <c r="W417" s="81" t="s">
        <v>769</v>
      </c>
      <c r="X417" s="81" t="s">
        <v>2781</v>
      </c>
      <c r="Y417" s="88">
        <v>42132.0</v>
      </c>
      <c r="Z417" s="88">
        <v>42584.0</v>
      </c>
      <c r="AA417" s="81"/>
      <c r="AB417" s="81"/>
      <c r="AC417" s="88"/>
      <c r="AD417" s="81"/>
      <c r="AE417" s="81"/>
      <c r="AF417" s="81"/>
      <c r="AG417" s="81"/>
      <c r="AH417" s="81"/>
      <c r="AI417" s="81"/>
      <c r="AJ417" s="81"/>
      <c r="AK417" s="81"/>
      <c r="AL417" s="79"/>
    </row>
    <row r="418" ht="22.5" customHeight="1">
      <c r="A418" s="79">
        <v>10416.0</v>
      </c>
      <c r="B418" s="79" t="s">
        <v>1230</v>
      </c>
      <c r="C418" s="79" t="s">
        <v>238</v>
      </c>
      <c r="D418" s="79" t="s">
        <v>64</v>
      </c>
      <c r="E418" s="79" t="s">
        <v>1480</v>
      </c>
      <c r="F418" s="80">
        <v>8.0</v>
      </c>
      <c r="G418" s="81"/>
      <c r="H418" s="79" t="s">
        <v>224</v>
      </c>
      <c r="I418" s="80"/>
      <c r="J418" s="81"/>
      <c r="K418" s="79" t="s">
        <v>289</v>
      </c>
      <c r="L418" s="80">
        <v>40.0</v>
      </c>
      <c r="M418" s="79" t="s">
        <v>4251</v>
      </c>
      <c r="N418" s="79" t="s">
        <v>2604</v>
      </c>
      <c r="O418" s="79" t="s">
        <v>4252</v>
      </c>
      <c r="P418" s="83">
        <v>41002.0</v>
      </c>
      <c r="Q418" s="81"/>
      <c r="R418" s="86" t="str">
        <f>HYPERLINK("http://www.helpscout.net/blog/the-psychology-of-personalization-how-waiters-increased-tips-by-23-percent-without-changing-service/","http://www.helpscout.net/blog/the-psychology-of-personalization-how-waiters-increased-tips-by-23-percent-without-changing-service/")</f>
        <v>http://www.helpscout.net/blog/the-psychology-of-personalization-how-waiters-increased-tips-by-23-percent-without-changing-service/</v>
      </c>
      <c r="S418" s="81"/>
      <c r="T418" s="81" t="s">
        <v>842</v>
      </c>
      <c r="U418" s="81" t="s">
        <v>462</v>
      </c>
      <c r="V418" s="81"/>
      <c r="W418" s="81" t="s">
        <v>677</v>
      </c>
      <c r="X418" s="81"/>
      <c r="Y418" s="81"/>
      <c r="Z418" s="81"/>
      <c r="AA418" s="81"/>
      <c r="AB418" s="81"/>
      <c r="AC418" s="81"/>
      <c r="AD418" s="81"/>
      <c r="AE418" s="81"/>
      <c r="AF418" s="81"/>
      <c r="AG418" s="81"/>
      <c r="AH418" s="81"/>
      <c r="AI418" s="81"/>
      <c r="AJ418" s="81" t="s">
        <v>657</v>
      </c>
      <c r="AK418" s="81"/>
      <c r="AL418" s="79"/>
    </row>
    <row r="419" ht="22.5" customHeight="1">
      <c r="A419" s="79">
        <v>10417.0</v>
      </c>
      <c r="B419" s="79" t="s">
        <v>1230</v>
      </c>
      <c r="C419" s="79" t="s">
        <v>238</v>
      </c>
      <c r="D419" s="79" t="s">
        <v>64</v>
      </c>
      <c r="E419" s="79" t="s">
        <v>1480</v>
      </c>
      <c r="F419" s="80">
        <v>8.0</v>
      </c>
      <c r="G419" s="81"/>
      <c r="H419" s="79" t="s">
        <v>2025</v>
      </c>
      <c r="I419" s="80" t="s">
        <v>2024</v>
      </c>
      <c r="J419" s="81"/>
      <c r="K419" s="79" t="s">
        <v>289</v>
      </c>
      <c r="L419" s="80">
        <v>40.0</v>
      </c>
      <c r="M419" s="79" t="s">
        <v>2026</v>
      </c>
      <c r="N419" s="79" t="s">
        <v>591</v>
      </c>
      <c r="O419" s="79" t="s">
        <v>2010</v>
      </c>
      <c r="P419" s="83">
        <v>42041.0</v>
      </c>
      <c r="Q419" s="81" t="s">
        <v>2032</v>
      </c>
      <c r="R419" s="86" t="str">
        <f>HYPERLINK("http://www.eenews.net/climatewire/2015/02/06/stories/1060013001","http://www.eenews.net/climatewire/2015/02/06/stories/1060013001")</f>
        <v>http://www.eenews.net/climatewire/2015/02/06/stories/1060013001</v>
      </c>
      <c r="S419" s="81"/>
      <c r="T419" s="81" t="s">
        <v>462</v>
      </c>
      <c r="U419" s="81" t="s">
        <v>462</v>
      </c>
      <c r="V419" s="81"/>
      <c r="W419" s="81" t="s">
        <v>769</v>
      </c>
      <c r="X419" s="81" t="s">
        <v>2036</v>
      </c>
      <c r="Y419" s="88">
        <v>42061.0</v>
      </c>
      <c r="Z419" s="96" t="str">
        <f>HYPERLINK("http://t.co/6DlzfY3VHl","6/16/2016")</f>
        <v>6/16/2016</v>
      </c>
      <c r="AA419" s="81" t="s">
        <v>769</v>
      </c>
      <c r="AB419" s="81"/>
      <c r="AC419" s="88">
        <v>42471.0</v>
      </c>
      <c r="AD419" s="81" t="s">
        <v>2045</v>
      </c>
      <c r="AE419" s="81"/>
      <c r="AF419" s="81"/>
      <c r="AG419" s="81"/>
      <c r="AH419" s="81" t="s">
        <v>428</v>
      </c>
      <c r="AI419" s="81"/>
      <c r="AJ419" s="81"/>
      <c r="AK419" s="81"/>
      <c r="AL419" s="79"/>
    </row>
    <row r="420" ht="22.5" customHeight="1">
      <c r="A420" s="79">
        <v>10418.0</v>
      </c>
      <c r="B420" s="79" t="s">
        <v>1230</v>
      </c>
      <c r="C420" s="79" t="s">
        <v>238</v>
      </c>
      <c r="D420" s="79" t="s">
        <v>64</v>
      </c>
      <c r="E420" s="79" t="s">
        <v>1480</v>
      </c>
      <c r="F420" s="80">
        <v>8.0</v>
      </c>
      <c r="G420" s="81"/>
      <c r="H420" s="79" t="s">
        <v>837</v>
      </c>
      <c r="I420" s="80">
        <v>2000.0</v>
      </c>
      <c r="J420" s="81"/>
      <c r="K420" s="79" t="s">
        <v>111</v>
      </c>
      <c r="L420" s="80">
        <v>41.0</v>
      </c>
      <c r="M420" s="79" t="s">
        <v>5244</v>
      </c>
      <c r="N420" s="79" t="s">
        <v>215</v>
      </c>
      <c r="O420" s="79" t="s">
        <v>1281</v>
      </c>
      <c r="P420" s="83">
        <v>41878.0</v>
      </c>
      <c r="Q420" s="81" t="s">
        <v>5247</v>
      </c>
      <c r="R420" s="86" t="str">
        <f>HYPERLINK("http://www.theguardian.com/environment/2014/aug/27/uk-winter-floods-climate-change","http://www.theguardian.com/environment/2014/aug/27/uk-winter-floods-climate-change")</f>
        <v>http://www.theguardian.com/environment/2014/aug/27/uk-winter-floods-climate-change</v>
      </c>
      <c r="S420" s="81"/>
      <c r="T420" s="81" t="s">
        <v>428</v>
      </c>
      <c r="U420" s="81" t="s">
        <v>842</v>
      </c>
      <c r="V420" s="81"/>
      <c r="W420" s="81" t="s">
        <v>600</v>
      </c>
      <c r="X420" s="81"/>
      <c r="Y420" s="81"/>
      <c r="Z420" s="81"/>
      <c r="AA420" s="81"/>
      <c r="AB420" s="81"/>
      <c r="AC420" s="81"/>
      <c r="AD420" s="81"/>
      <c r="AE420" s="81"/>
      <c r="AF420" s="81"/>
      <c r="AG420" s="81"/>
      <c r="AH420" s="81"/>
      <c r="AI420" s="81"/>
      <c r="AJ420" s="81"/>
      <c r="AK420" s="81"/>
      <c r="AL420" s="79"/>
    </row>
    <row r="421" ht="22.5" customHeight="1">
      <c r="A421" s="79">
        <v>10419.0</v>
      </c>
      <c r="B421" s="79" t="s">
        <v>1230</v>
      </c>
      <c r="C421" s="79" t="s">
        <v>238</v>
      </c>
      <c r="D421" s="79" t="s">
        <v>64</v>
      </c>
      <c r="E421" s="79" t="s">
        <v>1480</v>
      </c>
      <c r="F421" s="80">
        <v>8.0</v>
      </c>
      <c r="G421" s="81"/>
      <c r="H421" s="79" t="s">
        <v>470</v>
      </c>
      <c r="I421" s="80">
        <v>3000.0</v>
      </c>
      <c r="J421" s="81"/>
      <c r="K421" s="79" t="s">
        <v>289</v>
      </c>
      <c r="L421" s="80">
        <v>40.0</v>
      </c>
      <c r="M421" s="79" t="s">
        <v>5257</v>
      </c>
      <c r="N421" s="79" t="s">
        <v>5258</v>
      </c>
      <c r="O421" s="79" t="s">
        <v>2221</v>
      </c>
      <c r="P421" s="83">
        <v>42016.0</v>
      </c>
      <c r="Q421" s="81" t="s">
        <v>5261</v>
      </c>
      <c r="R421" s="86" t="str">
        <f>HYPERLINK("http://www.medicaldaily.com/energy-conservation-lesson-saving-lives-motivates-people-use-less-electricity-317442","http://www.medicaldaily.com/energy-conservation-lesson-saving-lives-motivates-people-use-less-electricity-317442")</f>
        <v>http://www.medicaldaily.com/energy-conservation-lesson-saving-lives-motivates-people-use-less-electricity-317442</v>
      </c>
      <c r="S421" s="81" t="s">
        <v>5266</v>
      </c>
      <c r="T421" s="81" t="s">
        <v>462</v>
      </c>
      <c r="U421" s="81" t="s">
        <v>462</v>
      </c>
      <c r="V421" s="81"/>
      <c r="W421" s="81" t="s">
        <v>769</v>
      </c>
      <c r="X421" s="81" t="s">
        <v>5267</v>
      </c>
      <c r="Y421" s="88">
        <v>42451.0</v>
      </c>
      <c r="Z421" s="81"/>
      <c r="AA421" s="81" t="s">
        <v>769</v>
      </c>
      <c r="AB421" s="81"/>
      <c r="AC421" s="88">
        <v>42040.0</v>
      </c>
      <c r="AD421" s="81" t="s">
        <v>1406</v>
      </c>
      <c r="AE421" s="81"/>
      <c r="AF421" s="81"/>
      <c r="AG421" s="81"/>
      <c r="AH421" s="81" t="s">
        <v>428</v>
      </c>
      <c r="AI421" s="81"/>
      <c r="AJ421" s="81"/>
      <c r="AK421" s="81"/>
      <c r="AL421" s="79"/>
    </row>
    <row r="422" ht="22.5" customHeight="1">
      <c r="A422" s="79">
        <v>10420.0</v>
      </c>
      <c r="B422" s="79" t="s">
        <v>1230</v>
      </c>
      <c r="C422" s="79" t="s">
        <v>238</v>
      </c>
      <c r="D422" s="79" t="s">
        <v>64</v>
      </c>
      <c r="E422" s="79" t="s">
        <v>1715</v>
      </c>
      <c r="F422" s="80" t="s">
        <v>1724</v>
      </c>
      <c r="G422" s="81"/>
      <c r="H422" s="79" t="s">
        <v>837</v>
      </c>
      <c r="I422" s="80">
        <v>2000.0</v>
      </c>
      <c r="J422" s="81"/>
      <c r="K422" s="79" t="s">
        <v>111</v>
      </c>
      <c r="L422" s="80">
        <v>41.0</v>
      </c>
      <c r="M422" s="79" t="s">
        <v>5271</v>
      </c>
      <c r="N422" s="79" t="s">
        <v>1286</v>
      </c>
      <c r="O422" s="79" t="s">
        <v>1281</v>
      </c>
      <c r="P422" s="83">
        <v>42033.0</v>
      </c>
      <c r="Q422" s="81" t="s">
        <v>5272</v>
      </c>
      <c r="R422" s="86" t="str">
        <f>HYPERLINK("http://www.theguardian.com/sustainable-business/2015/jan/29/climate-change-communicate-risk-appeal-popular-opinion","http://www.theguardian.com/sustainable-business/2015/jan/29/climate-change-communicate-risk-appeal-popular-opinion")</f>
        <v>http://www.theguardian.com/sustainable-business/2015/jan/29/climate-change-communicate-risk-appeal-popular-opinion</v>
      </c>
      <c r="S422" s="81"/>
      <c r="T422" s="81" t="s">
        <v>5275</v>
      </c>
      <c r="U422" s="81" t="s">
        <v>5277</v>
      </c>
      <c r="V422" s="81" t="s">
        <v>1099</v>
      </c>
      <c r="W422" s="81" t="s">
        <v>600</v>
      </c>
      <c r="X422" s="81" t="s">
        <v>5280</v>
      </c>
      <c r="Y422" s="88">
        <v>42067.0</v>
      </c>
      <c r="Z422" s="88"/>
      <c r="AA422" s="81"/>
      <c r="AB422" s="81"/>
      <c r="AC422" s="81"/>
      <c r="AD422" s="81" t="s">
        <v>2045</v>
      </c>
      <c r="AE422" s="81"/>
      <c r="AF422" s="81"/>
      <c r="AG422" s="81"/>
      <c r="AH422" s="81" t="s">
        <v>428</v>
      </c>
      <c r="AI422" s="81"/>
      <c r="AJ422" s="81"/>
      <c r="AK422" s="81"/>
      <c r="AL422" s="79"/>
    </row>
    <row r="423" ht="22.5" customHeight="1">
      <c r="A423" s="79">
        <v>10421.0</v>
      </c>
      <c r="B423" s="79" t="s">
        <v>1230</v>
      </c>
      <c r="C423" s="79" t="s">
        <v>238</v>
      </c>
      <c r="D423" s="79" t="s">
        <v>64</v>
      </c>
      <c r="E423" s="79" t="s">
        <v>1715</v>
      </c>
      <c r="F423" s="80" t="s">
        <v>1724</v>
      </c>
      <c r="G423" s="81"/>
      <c r="H423" s="79" t="s">
        <v>1882</v>
      </c>
      <c r="I423" s="80">
        <v>15000.0</v>
      </c>
      <c r="J423" s="81"/>
      <c r="K423" s="79" t="s">
        <v>289</v>
      </c>
      <c r="L423" s="80">
        <v>40.0</v>
      </c>
      <c r="M423" s="94" t="s">
        <v>5282</v>
      </c>
      <c r="N423" s="79" t="s">
        <v>3789</v>
      </c>
      <c r="O423" s="79" t="s">
        <v>2108</v>
      </c>
      <c r="P423" s="83">
        <v>42215.0</v>
      </c>
      <c r="Q423" s="81" t="s">
        <v>5283</v>
      </c>
      <c r="R423" s="86" t="str">
        <f>HYPERLINK("http://www.resource-media.org/here-now-us-actualizes-climate-change-for-marin-county/#.V09gBvkrLIU","http://www.resource-media.org/here-now-us-actualizes-climate-change-for-marin-county/#.V09gBvkrLIU")</f>
        <v>http://www.resource-media.org/here-now-us-actualizes-climate-change-for-marin-county/#.V09gBvkrLIU</v>
      </c>
      <c r="S423" s="81" t="s">
        <v>5288</v>
      </c>
      <c r="T423" s="81"/>
      <c r="U423" s="81"/>
      <c r="V423" s="81"/>
      <c r="W423" s="81" t="s">
        <v>769</v>
      </c>
      <c r="X423" s="81" t="s">
        <v>5290</v>
      </c>
      <c r="Y423" s="88">
        <v>42681.0</v>
      </c>
      <c r="Z423" s="81"/>
      <c r="AA423" s="81"/>
      <c r="AB423" s="81"/>
      <c r="AC423" s="81"/>
      <c r="AD423" s="81"/>
      <c r="AE423" s="81"/>
      <c r="AF423" s="81"/>
      <c r="AG423" s="81"/>
      <c r="AH423" s="81"/>
      <c r="AI423" s="81" t="s">
        <v>428</v>
      </c>
      <c r="AJ423" s="81"/>
      <c r="AK423" s="81"/>
      <c r="AL423" s="79"/>
    </row>
    <row r="424" ht="22.5" customHeight="1">
      <c r="A424" s="79">
        <v>10422.0</v>
      </c>
      <c r="B424" s="79" t="s">
        <v>1230</v>
      </c>
      <c r="C424" s="79" t="s">
        <v>238</v>
      </c>
      <c r="D424" s="79" t="s">
        <v>64</v>
      </c>
      <c r="E424" s="119" t="s">
        <v>1715</v>
      </c>
      <c r="F424" s="138" t="s">
        <v>1724</v>
      </c>
      <c r="G424" s="88"/>
      <c r="H424" s="79" t="s">
        <v>644</v>
      </c>
      <c r="I424" s="80">
        <v>2000.0</v>
      </c>
      <c r="J424" s="81"/>
      <c r="K424" s="79" t="s">
        <v>324</v>
      </c>
      <c r="L424" s="80" t="s">
        <v>325</v>
      </c>
      <c r="M424" s="94" t="s">
        <v>1727</v>
      </c>
      <c r="N424" s="79" t="s">
        <v>1728</v>
      </c>
      <c r="O424" s="79" t="s">
        <v>1685</v>
      </c>
      <c r="P424" s="83">
        <v>42383.0</v>
      </c>
      <c r="Q424" s="81" t="s">
        <v>1731</v>
      </c>
      <c r="R424" s="86" t="str">
        <f>HYPERLINK("http://www.climatechangenews.com/2016/01/14/28197/","http://www.climatechangenews.com/2016/01/14/28197/")</f>
        <v>http://www.climatechangenews.com/2016/01/14/28197/</v>
      </c>
      <c r="S424" s="81"/>
      <c r="T424" s="81"/>
      <c r="U424" s="81"/>
      <c r="V424" s="81"/>
      <c r="W424" s="81" t="s">
        <v>600</v>
      </c>
      <c r="X424" s="81"/>
      <c r="Y424" s="81"/>
      <c r="Z424" s="81"/>
      <c r="AA424" s="81"/>
      <c r="AB424" s="81"/>
      <c r="AC424" s="81"/>
      <c r="AD424" s="81"/>
      <c r="AE424" s="81"/>
      <c r="AF424" s="81"/>
      <c r="AG424" s="81"/>
      <c r="AH424" s="81"/>
      <c r="AI424" s="81" t="s">
        <v>428</v>
      </c>
      <c r="AJ424" s="88"/>
      <c r="AK424" s="81"/>
      <c r="AL424" s="79"/>
    </row>
    <row r="425" ht="22.5" customHeight="1">
      <c r="A425" s="79">
        <v>10423.0</v>
      </c>
      <c r="B425" s="79" t="s">
        <v>1230</v>
      </c>
      <c r="C425" s="79" t="s">
        <v>238</v>
      </c>
      <c r="D425" s="79" t="s">
        <v>64</v>
      </c>
      <c r="E425" s="79" t="s">
        <v>1715</v>
      </c>
      <c r="F425" s="138" t="s">
        <v>1724</v>
      </c>
      <c r="G425" s="81"/>
      <c r="H425" s="79" t="s">
        <v>3572</v>
      </c>
      <c r="I425" s="80">
        <v>16000.0</v>
      </c>
      <c r="J425" s="81"/>
      <c r="K425" s="79" t="s">
        <v>272</v>
      </c>
      <c r="L425" s="80">
        <v>42.0</v>
      </c>
      <c r="M425" s="79" t="s">
        <v>4263</v>
      </c>
      <c r="N425" s="79" t="s">
        <v>4264</v>
      </c>
      <c r="O425" s="79" t="s">
        <v>4265</v>
      </c>
      <c r="P425" s="83">
        <v>42184.0</v>
      </c>
      <c r="Q425" s="81" t="s">
        <v>1510</v>
      </c>
      <c r="R425" s="86" t="str">
        <f>HYPERLINK("http://www.hongkongfp.com/2015/06/29/chinese-company-uses-smoke-art-to-warn-of-air-pollution-dangers/","http://www.hongkongfp.com/2015/06/29/chinese-company-uses-smoke-art-to-warn-of-air-pollution-dangers/")</f>
        <v>http://www.hongkongfp.com/2015/06/29/chinese-company-uses-smoke-art-to-warn-of-air-pollution-dangers/</v>
      </c>
      <c r="S425" s="81"/>
      <c r="T425" s="81" t="s">
        <v>462</v>
      </c>
      <c r="U425" s="81" t="s">
        <v>462</v>
      </c>
      <c r="V425" s="81" t="s">
        <v>676</v>
      </c>
      <c r="W425" s="81" t="s">
        <v>769</v>
      </c>
      <c r="X425" s="81" t="s">
        <v>4266</v>
      </c>
      <c r="Y425" s="88">
        <v>42207.0</v>
      </c>
      <c r="Z425" s="81"/>
      <c r="AA425" s="81" t="s">
        <v>769</v>
      </c>
      <c r="AB425" s="81"/>
      <c r="AC425" s="88">
        <v>42226.0</v>
      </c>
      <c r="AD425" s="81"/>
      <c r="AE425" s="81"/>
      <c r="AF425" s="81"/>
      <c r="AG425" s="81"/>
      <c r="AH425" s="81"/>
      <c r="AI425" s="81"/>
      <c r="AJ425" s="81"/>
      <c r="AK425" s="81"/>
      <c r="AL425" s="79"/>
    </row>
    <row r="426" ht="22.5" customHeight="1">
      <c r="A426" s="79">
        <v>10424.0</v>
      </c>
      <c r="B426" s="79" t="s">
        <v>1230</v>
      </c>
      <c r="C426" s="79" t="s">
        <v>238</v>
      </c>
      <c r="D426" s="79" t="s">
        <v>64</v>
      </c>
      <c r="E426" s="79" t="s">
        <v>772</v>
      </c>
      <c r="F426" s="80">
        <v>5.0</v>
      </c>
      <c r="G426" s="81"/>
      <c r="H426" s="79" t="s">
        <v>224</v>
      </c>
      <c r="I426" s="80"/>
      <c r="J426" s="81"/>
      <c r="K426" s="79" t="s">
        <v>289</v>
      </c>
      <c r="L426" s="80">
        <v>40.0</v>
      </c>
      <c r="M426" s="79" t="s">
        <v>5307</v>
      </c>
      <c r="N426" s="79" t="s">
        <v>3936</v>
      </c>
      <c r="O426" s="79" t="s">
        <v>1430</v>
      </c>
      <c r="P426" s="83">
        <v>41736.0</v>
      </c>
      <c r="Q426" s="81"/>
      <c r="R426" s="86" t="str">
        <f>HYPERLINK("http://www.npr.org/blogs/health/2014/04/07/300178813/play-it-again-and-again-sam","http://www.npr.org/blogs/health/2014/04/07/300178813/play-it-again-and-again-sam")</f>
        <v>http://www.npr.org/blogs/health/2014/04/07/300178813/play-it-again-and-again-sam</v>
      </c>
      <c r="S426" s="81"/>
      <c r="T426" s="81" t="s">
        <v>462</v>
      </c>
      <c r="U426" s="81" t="s">
        <v>462</v>
      </c>
      <c r="V426" s="81"/>
      <c r="W426" s="81" t="s">
        <v>677</v>
      </c>
      <c r="X426" s="81"/>
      <c r="Y426" s="88"/>
      <c r="Z426" s="81"/>
      <c r="AA426" s="81"/>
      <c r="AB426" s="81"/>
      <c r="AC426" s="88"/>
      <c r="AD426" s="81"/>
      <c r="AE426" s="81"/>
      <c r="AF426" s="81"/>
      <c r="AG426" s="81"/>
      <c r="AH426" s="81"/>
      <c r="AI426" s="81"/>
      <c r="AJ426" s="81"/>
      <c r="AK426" s="81"/>
      <c r="AL426" s="79"/>
    </row>
    <row r="427" ht="22.5" customHeight="1">
      <c r="A427" s="79">
        <v>10425.0</v>
      </c>
      <c r="B427" s="79" t="s">
        <v>1230</v>
      </c>
      <c r="C427" s="79" t="s">
        <v>238</v>
      </c>
      <c r="D427" s="79" t="s">
        <v>64</v>
      </c>
      <c r="E427" s="79" t="s">
        <v>772</v>
      </c>
      <c r="F427" s="80">
        <v>5.0</v>
      </c>
      <c r="G427" s="81"/>
      <c r="H427" s="79" t="s">
        <v>644</v>
      </c>
      <c r="I427" s="80">
        <v>2000.0</v>
      </c>
      <c r="J427" s="81"/>
      <c r="K427" s="79" t="s">
        <v>3835</v>
      </c>
      <c r="L427" s="80" t="s">
        <v>3836</v>
      </c>
      <c r="M427" s="94" t="s">
        <v>5310</v>
      </c>
      <c r="N427" s="79" t="s">
        <v>5311</v>
      </c>
      <c r="O427" s="79" t="s">
        <v>1281</v>
      </c>
      <c r="P427" s="83">
        <v>42485.0</v>
      </c>
      <c r="Q427" s="81"/>
      <c r="R427" s="86" t="str">
        <f>HYPERLINK("http://www.theguardian.com/global-development-professionals-network/2016/apr/25/12-ways-the-arts-can-encourage-climate-action","http://www.theguardian.com/global-development-professionals-network/2016/apr/25/12-ways-the-arts-can-encourage-climate-action")</f>
        <v>http://www.theguardian.com/global-development-professionals-network/2016/apr/25/12-ways-the-arts-can-encourage-climate-action</v>
      </c>
      <c r="S427" s="81"/>
      <c r="T427" s="81"/>
      <c r="U427" s="81"/>
      <c r="V427" s="81"/>
      <c r="W427" s="81" t="s">
        <v>600</v>
      </c>
      <c r="X427" s="81"/>
      <c r="Y427" s="81"/>
      <c r="Z427" s="81"/>
      <c r="AA427" s="81"/>
      <c r="AB427" s="81"/>
      <c r="AC427" s="81"/>
      <c r="AD427" s="81"/>
      <c r="AE427" s="81"/>
      <c r="AF427" s="81"/>
      <c r="AG427" s="81"/>
      <c r="AH427" s="81"/>
      <c r="AI427" s="81" t="s">
        <v>428</v>
      </c>
      <c r="AJ427" s="81"/>
      <c r="AK427" s="81"/>
      <c r="AL427" s="79"/>
    </row>
    <row r="428" ht="22.5" customHeight="1">
      <c r="A428" s="79">
        <v>10426.0</v>
      </c>
      <c r="B428" s="79" t="s">
        <v>1230</v>
      </c>
      <c r="C428" s="79" t="s">
        <v>238</v>
      </c>
      <c r="D428" s="79" t="s">
        <v>64</v>
      </c>
      <c r="E428" s="79" t="s">
        <v>772</v>
      </c>
      <c r="F428" s="80">
        <v>5.0</v>
      </c>
      <c r="G428" s="81"/>
      <c r="H428" s="79" t="s">
        <v>644</v>
      </c>
      <c r="I428" s="80">
        <v>2000.0</v>
      </c>
      <c r="J428" s="81"/>
      <c r="K428" s="79" t="s">
        <v>111</v>
      </c>
      <c r="L428" s="80">
        <v>41.0</v>
      </c>
      <c r="M428" s="94" t="s">
        <v>4161</v>
      </c>
      <c r="N428" s="79" t="s">
        <v>4162</v>
      </c>
      <c r="O428" s="79" t="s">
        <v>1265</v>
      </c>
      <c r="P428" s="83">
        <v>42521.0</v>
      </c>
      <c r="Q428" s="81" t="s">
        <v>4166</v>
      </c>
      <c r="R428" s="86" t="str">
        <f>HYPERLINK("http://grist.org/climate-energy/watch-global-warming-spiral-out-of-control/","http://grist.org/climate-energy/watch-global-warming-spiral-out-of-control/")</f>
        <v>http://grist.org/climate-energy/watch-global-warming-spiral-out-of-control/</v>
      </c>
      <c r="S428" s="81"/>
      <c r="T428" s="81"/>
      <c r="U428" s="81"/>
      <c r="V428" s="81"/>
      <c r="W428" s="81" t="s">
        <v>769</v>
      </c>
      <c r="X428" s="81" t="s">
        <v>4172</v>
      </c>
      <c r="Y428" s="88">
        <v>42697.0</v>
      </c>
      <c r="Z428" s="81"/>
      <c r="AA428" s="81" t="s">
        <v>769</v>
      </c>
      <c r="AB428" s="81" t="s">
        <v>4172</v>
      </c>
      <c r="AC428" s="88">
        <v>42650.0</v>
      </c>
      <c r="AD428" s="81"/>
      <c r="AE428" s="81"/>
      <c r="AF428" s="81"/>
      <c r="AG428" s="81"/>
      <c r="AH428" s="81"/>
      <c r="AI428" s="81" t="s">
        <v>428</v>
      </c>
      <c r="AJ428" s="81"/>
      <c r="AK428" s="81"/>
      <c r="AL428" s="79"/>
    </row>
    <row r="429" ht="22.5" customHeight="1">
      <c r="A429" s="79">
        <v>10427.0</v>
      </c>
      <c r="B429" s="79" t="s">
        <v>1230</v>
      </c>
      <c r="C429" s="79" t="s">
        <v>238</v>
      </c>
      <c r="D429" s="79" t="s">
        <v>64</v>
      </c>
      <c r="E429" s="79" t="s">
        <v>772</v>
      </c>
      <c r="F429" s="80">
        <v>5.0</v>
      </c>
      <c r="G429" s="81"/>
      <c r="H429" s="79" t="s">
        <v>1643</v>
      </c>
      <c r="I429" s="80" t="s">
        <v>1642</v>
      </c>
      <c r="J429" s="81"/>
      <c r="K429" s="79" t="s">
        <v>289</v>
      </c>
      <c r="L429" s="80">
        <v>40.0</v>
      </c>
      <c r="M429" s="94" t="s">
        <v>5324</v>
      </c>
      <c r="N429" s="79" t="s">
        <v>5325</v>
      </c>
      <c r="O429" s="79" t="s">
        <v>5326</v>
      </c>
      <c r="P429" s="83">
        <v>42261.0</v>
      </c>
      <c r="Q429" s="81" t="s">
        <v>5327</v>
      </c>
      <c r="R429" s="86" t="str">
        <f>HYPERLINK("http://www.scientificamerican.com/article/virtual-reality-viewfinders-show-sea-level-rise-and-what-to-do-about-it/","http://www.scientificamerican.com/article/virtual-reality-viewfinders-show-sea-level-rise-and-what-to-do-about-it/")</f>
        <v>http://www.scientificamerican.com/article/virtual-reality-viewfinders-show-sea-level-rise-and-what-to-do-about-it/</v>
      </c>
      <c r="S429" s="81"/>
      <c r="T429" s="81"/>
      <c r="U429" s="81"/>
      <c r="V429" s="81"/>
      <c r="W429" s="81"/>
      <c r="X429" s="81"/>
      <c r="Y429" s="81"/>
      <c r="Z429" s="81"/>
      <c r="AA429" s="81"/>
      <c r="AB429" s="81"/>
      <c r="AC429" s="81"/>
      <c r="AD429" s="81"/>
      <c r="AE429" s="81"/>
      <c r="AF429" s="81"/>
      <c r="AG429" s="81"/>
      <c r="AH429" s="81"/>
      <c r="AI429" s="81" t="s">
        <v>428</v>
      </c>
      <c r="AJ429" s="81"/>
      <c r="AK429" s="81"/>
      <c r="AL429" s="79"/>
    </row>
    <row r="430" ht="22.5" customHeight="1">
      <c r="A430" s="79">
        <v>10428.0</v>
      </c>
      <c r="B430" s="79" t="s">
        <v>1230</v>
      </c>
      <c r="C430" s="79" t="s">
        <v>238</v>
      </c>
      <c r="D430" s="79" t="s">
        <v>64</v>
      </c>
      <c r="E430" s="79" t="s">
        <v>772</v>
      </c>
      <c r="F430" s="80">
        <v>5.0</v>
      </c>
      <c r="G430" s="81"/>
      <c r="H430" s="79" t="s">
        <v>1389</v>
      </c>
      <c r="I430" s="80" t="s">
        <v>1388</v>
      </c>
      <c r="J430" s="81"/>
      <c r="K430" s="79" t="s">
        <v>289</v>
      </c>
      <c r="L430" s="80">
        <v>40.0</v>
      </c>
      <c r="M430" s="79" t="s">
        <v>1391</v>
      </c>
      <c r="N430" s="79" t="s">
        <v>1392</v>
      </c>
      <c r="O430" s="79" t="s">
        <v>1394</v>
      </c>
      <c r="P430" s="83">
        <v>2009.0</v>
      </c>
      <c r="Q430" s="81" t="s">
        <v>1396</v>
      </c>
      <c r="R430" s="86" t="str">
        <f>HYPERLINK("http://www.chrisjordan.com/gallery/rtn2/#bees","http://www.chrisjordan.com/gallery/rtn2/#bees")</f>
        <v>http://www.chrisjordan.com/gallery/rtn2/#bees</v>
      </c>
      <c r="S430" s="81"/>
      <c r="T430" s="81" t="s">
        <v>462</v>
      </c>
      <c r="U430" s="81" t="s">
        <v>462</v>
      </c>
      <c r="V430" s="81"/>
      <c r="W430" s="81" t="s">
        <v>600</v>
      </c>
      <c r="X430" s="81"/>
      <c r="Y430" s="88"/>
      <c r="Z430" s="81"/>
      <c r="AA430" s="81"/>
      <c r="AB430" s="81"/>
      <c r="AC430" s="88"/>
      <c r="AD430" s="81"/>
      <c r="AE430" s="81"/>
      <c r="AF430" s="81"/>
      <c r="AG430" s="81"/>
      <c r="AH430" s="81"/>
      <c r="AI430" s="81"/>
      <c r="AJ430" s="81"/>
      <c r="AK430" s="81"/>
      <c r="AL430" s="79"/>
    </row>
    <row r="431" ht="22.5" customHeight="1">
      <c r="A431" s="79">
        <v>10429.0</v>
      </c>
      <c r="B431" s="79" t="s">
        <v>1230</v>
      </c>
      <c r="C431" s="79" t="s">
        <v>238</v>
      </c>
      <c r="D431" s="79" t="s">
        <v>64</v>
      </c>
      <c r="E431" s="79" t="s">
        <v>772</v>
      </c>
      <c r="F431" s="80">
        <v>5.0</v>
      </c>
      <c r="G431" s="81"/>
      <c r="H431" s="79" t="s">
        <v>644</v>
      </c>
      <c r="I431" s="80">
        <v>2000.0</v>
      </c>
      <c r="J431" s="81"/>
      <c r="K431" s="79" t="s">
        <v>111</v>
      </c>
      <c r="L431" s="80">
        <v>41.0</v>
      </c>
      <c r="M431" s="94" t="s">
        <v>5328</v>
      </c>
      <c r="N431" s="79" t="s">
        <v>1374</v>
      </c>
      <c r="O431" s="79" t="s">
        <v>1375</v>
      </c>
      <c r="P431" s="83">
        <v>42501.0</v>
      </c>
      <c r="Q431" s="81" t="s">
        <v>5329</v>
      </c>
      <c r="R431" s="86" t="str">
        <f>HYPERLINK("https://www.washingtonpost.com/news/energy-environment/wp/2016/05/11/this-scientist-just-changed-how-we-think-about-climate-change-with-one-gif/","https://www.washingtonpost.com/news/energy-environment/wp/2016/05/11/this-scientist-just-changed-how-we-think-about-climate-change-with-one-gif/")</f>
        <v>https://www.washingtonpost.com/news/energy-environment/wp/2016/05/11/this-scientist-just-changed-how-we-think-about-climate-change-with-one-gif/</v>
      </c>
      <c r="S431" s="81"/>
      <c r="T431" s="81"/>
      <c r="U431" s="81"/>
      <c r="V431" s="81"/>
      <c r="W431" s="81" t="s">
        <v>600</v>
      </c>
      <c r="X431" s="81" t="s">
        <v>5330</v>
      </c>
      <c r="Y431" s="81"/>
      <c r="Z431" s="81"/>
      <c r="AA431" s="81"/>
      <c r="AB431" s="81" t="s">
        <v>5331</v>
      </c>
      <c r="AC431" s="81"/>
      <c r="AD431" s="81"/>
      <c r="AE431" s="81"/>
      <c r="AF431" s="81"/>
      <c r="AG431" s="81"/>
      <c r="AH431" s="81"/>
      <c r="AI431" s="81" t="s">
        <v>428</v>
      </c>
      <c r="AJ431" s="81"/>
      <c r="AK431" s="81"/>
      <c r="AL431" s="79"/>
    </row>
    <row r="432" ht="22.5" customHeight="1">
      <c r="A432" s="79">
        <v>10430.0</v>
      </c>
      <c r="B432" s="79" t="s">
        <v>1230</v>
      </c>
      <c r="C432" s="79" t="s">
        <v>238</v>
      </c>
      <c r="D432" s="79" t="s">
        <v>64</v>
      </c>
      <c r="E432" s="79" t="s">
        <v>772</v>
      </c>
      <c r="F432" s="80">
        <v>5.0</v>
      </c>
      <c r="G432" s="81"/>
      <c r="H432" s="79" t="s">
        <v>578</v>
      </c>
      <c r="I432" s="80">
        <v>2000.0</v>
      </c>
      <c r="J432" s="81"/>
      <c r="K432" s="79" t="s">
        <v>1590</v>
      </c>
      <c r="L432" s="80"/>
      <c r="M432" s="79" t="s">
        <v>5334</v>
      </c>
      <c r="N432" s="79" t="s">
        <v>1374</v>
      </c>
      <c r="O432" s="79" t="s">
        <v>4860</v>
      </c>
      <c r="P432" s="83">
        <v>42172.0</v>
      </c>
      <c r="Q432" s="81" t="s">
        <v>5335</v>
      </c>
      <c r="R432" s="79" t="s">
        <v>5338</v>
      </c>
      <c r="S432" s="81"/>
      <c r="T432" s="81" t="s">
        <v>462</v>
      </c>
      <c r="U432" s="81" t="s">
        <v>462</v>
      </c>
      <c r="V432" s="81" t="s">
        <v>978</v>
      </c>
      <c r="W432" s="81" t="s">
        <v>769</v>
      </c>
      <c r="X432" s="81" t="s">
        <v>5341</v>
      </c>
      <c r="Y432" s="88">
        <v>42172.0</v>
      </c>
      <c r="Z432" s="88">
        <v>42548.0</v>
      </c>
      <c r="AA432" s="81" t="s">
        <v>769</v>
      </c>
      <c r="AB432" s="81"/>
      <c r="AC432" s="88">
        <v>42173.0</v>
      </c>
      <c r="AD432" s="81"/>
      <c r="AE432" s="81"/>
      <c r="AF432" s="81"/>
      <c r="AG432" s="81"/>
      <c r="AH432" s="81"/>
      <c r="AI432" s="81" t="s">
        <v>428</v>
      </c>
      <c r="AJ432" s="81"/>
      <c r="AK432" s="81"/>
      <c r="AL432" s="79"/>
    </row>
    <row r="433" ht="22.5" customHeight="1">
      <c r="A433" s="79">
        <v>10431.0</v>
      </c>
      <c r="B433" s="79" t="s">
        <v>1230</v>
      </c>
      <c r="C433" s="79" t="s">
        <v>238</v>
      </c>
      <c r="D433" s="79" t="s">
        <v>64</v>
      </c>
      <c r="E433" s="79" t="s">
        <v>772</v>
      </c>
      <c r="F433" s="80">
        <v>5.0</v>
      </c>
      <c r="G433" s="81"/>
      <c r="H433" s="79" t="s">
        <v>578</v>
      </c>
      <c r="I433" s="80">
        <v>2000.0</v>
      </c>
      <c r="J433" s="81"/>
      <c r="K433" s="79" t="s">
        <v>289</v>
      </c>
      <c r="L433" s="80">
        <v>40.0</v>
      </c>
      <c r="M433" s="94" t="s">
        <v>1058</v>
      </c>
      <c r="N433" s="79" t="s">
        <v>1059</v>
      </c>
      <c r="O433" s="79" t="s">
        <v>1060</v>
      </c>
      <c r="P433" s="83">
        <v>40584.0</v>
      </c>
      <c r="Q433" s="81" t="s">
        <v>1061</v>
      </c>
      <c r="R433" s="86" t="str">
        <f>HYPERLINK("http://newsroom.haas.berkeley.edu/research-news/global-warming-science-or-sensation-feeling-warm-makes-people-more-likely-believe","http://newsroom.haas.berkeley.edu/research-news/global-warming-science-or-sensation-feeling-warm-makes-people-more-likely-believe")</f>
        <v>http://newsroom.haas.berkeley.edu/research-news/global-warming-science-or-sensation-feeling-warm-makes-people-more-likely-believe</v>
      </c>
      <c r="S433" s="81"/>
      <c r="T433" s="81" t="s">
        <v>428</v>
      </c>
      <c r="U433" s="81"/>
      <c r="V433" s="81"/>
      <c r="W433" s="81" t="s">
        <v>769</v>
      </c>
      <c r="X433" s="81" t="s">
        <v>1062</v>
      </c>
      <c r="Y433" s="88">
        <v>42682.0</v>
      </c>
      <c r="Z433" s="81"/>
      <c r="AA433" s="81"/>
      <c r="AB433" s="81"/>
      <c r="AC433" s="81"/>
      <c r="AD433" s="81"/>
      <c r="AE433" s="81"/>
      <c r="AF433" s="81"/>
      <c r="AG433" s="81"/>
      <c r="AH433" s="81"/>
      <c r="AI433" s="81"/>
      <c r="AJ433" s="81"/>
      <c r="AK433" s="81"/>
      <c r="AL433" s="79"/>
    </row>
    <row r="434" ht="22.5" customHeight="1">
      <c r="A434" s="79">
        <v>10432.0</v>
      </c>
      <c r="B434" s="79" t="s">
        <v>1230</v>
      </c>
      <c r="C434" s="79" t="s">
        <v>238</v>
      </c>
      <c r="D434" s="79" t="s">
        <v>64</v>
      </c>
      <c r="E434" s="79" t="s">
        <v>772</v>
      </c>
      <c r="F434" s="80">
        <v>5.0</v>
      </c>
      <c r="G434" s="81"/>
      <c r="H434" s="79" t="s">
        <v>789</v>
      </c>
      <c r="I434" s="80">
        <v>21000.0</v>
      </c>
      <c r="J434" s="81"/>
      <c r="K434" s="79" t="s">
        <v>111</v>
      </c>
      <c r="L434" s="80">
        <v>41.0</v>
      </c>
      <c r="M434" s="79" t="s">
        <v>4423</v>
      </c>
      <c r="N434" s="79" t="s">
        <v>4424</v>
      </c>
      <c r="O434" s="79" t="s">
        <v>4425</v>
      </c>
      <c r="P434" s="83">
        <v>40718.0</v>
      </c>
      <c r="Q434" s="81" t="s">
        <v>4423</v>
      </c>
      <c r="R434" s="86" t="str">
        <f>HYPERLINK("http://inhabitat.com/the-city-of-lucerne-turns-taking-out-the-trash-into-a-fun-game/","http://inhabitat.com/the-city-of-lucerne-turns-taking-out-the-trash-into-a-fun-game/")</f>
        <v>http://inhabitat.com/the-city-of-lucerne-turns-taking-out-the-trash-into-a-fun-game/</v>
      </c>
      <c r="S434" s="81"/>
      <c r="T434" s="81" t="s">
        <v>462</v>
      </c>
      <c r="U434" s="81" t="s">
        <v>462</v>
      </c>
      <c r="V434" s="81" t="s">
        <v>676</v>
      </c>
      <c r="W434" s="81" t="s">
        <v>769</v>
      </c>
      <c r="X434" s="81" t="s">
        <v>4423</v>
      </c>
      <c r="Y434" s="88">
        <v>41961.0</v>
      </c>
      <c r="Z434" s="88">
        <v>42578.0</v>
      </c>
      <c r="AA434" s="81" t="s">
        <v>769</v>
      </c>
      <c r="AB434" s="81"/>
      <c r="AC434" s="88">
        <v>41975.0</v>
      </c>
      <c r="AD434" s="81"/>
      <c r="AE434" s="81"/>
      <c r="AF434" s="81"/>
      <c r="AG434" s="81"/>
      <c r="AH434" s="81"/>
      <c r="AI434" s="81"/>
      <c r="AJ434" s="81"/>
      <c r="AK434" s="81"/>
      <c r="AL434" s="79"/>
    </row>
    <row r="435" ht="22.5" customHeight="1">
      <c r="A435" s="79">
        <v>10433.0</v>
      </c>
      <c r="B435" s="79" t="s">
        <v>1230</v>
      </c>
      <c r="C435" s="79" t="s">
        <v>238</v>
      </c>
      <c r="D435" s="79" t="s">
        <v>64</v>
      </c>
      <c r="E435" s="79" t="s">
        <v>772</v>
      </c>
      <c r="F435" s="80">
        <v>5.0</v>
      </c>
      <c r="G435" s="81"/>
      <c r="H435" s="79" t="s">
        <v>2451</v>
      </c>
      <c r="I435" s="80">
        <v>16000.0</v>
      </c>
      <c r="J435" s="81"/>
      <c r="K435" s="79" t="s">
        <v>289</v>
      </c>
      <c r="L435" s="80">
        <v>40.0</v>
      </c>
      <c r="M435" s="79" t="s">
        <v>2454</v>
      </c>
      <c r="N435" s="79" t="s">
        <v>2455</v>
      </c>
      <c r="O435" s="79" t="s">
        <v>2457</v>
      </c>
      <c r="P435" s="83">
        <v>41788.0</v>
      </c>
      <c r="Q435" s="81" t="s">
        <v>108</v>
      </c>
      <c r="R435" s="86" t="str">
        <f>HYPERLINK("http://distractify.com/old-school/2014/05/29/powerful-social-advertisements-1197697406","http://distractify.com/old-school/2014/05/29/powerful-social-advertisements-1197697406")</f>
        <v>http://distractify.com/old-school/2014/05/29/powerful-social-advertisements-1197697406</v>
      </c>
      <c r="S435" s="81" t="s">
        <v>2465</v>
      </c>
      <c r="T435" s="81" t="s">
        <v>462</v>
      </c>
      <c r="U435" s="81" t="s">
        <v>462</v>
      </c>
      <c r="V435" s="81" t="s">
        <v>2466</v>
      </c>
      <c r="W435" s="81" t="s">
        <v>600</v>
      </c>
      <c r="X435" s="81"/>
      <c r="Y435" s="88"/>
      <c r="Z435" s="81"/>
      <c r="AA435" s="81"/>
      <c r="AB435" s="81"/>
      <c r="AC435" s="88"/>
      <c r="AD435" s="81"/>
      <c r="AE435" s="81"/>
      <c r="AF435" s="81"/>
      <c r="AG435" s="81"/>
      <c r="AH435" s="81"/>
      <c r="AI435" s="81"/>
      <c r="AJ435" s="81"/>
      <c r="AK435" s="81"/>
      <c r="AL435" s="79"/>
    </row>
    <row r="436" ht="22.5" customHeight="1">
      <c r="A436" s="79">
        <v>10434.0</v>
      </c>
      <c r="B436" s="79" t="s">
        <v>1230</v>
      </c>
      <c r="C436" s="79" t="s">
        <v>238</v>
      </c>
      <c r="D436" s="79" t="s">
        <v>64</v>
      </c>
      <c r="E436" s="79" t="s">
        <v>772</v>
      </c>
      <c r="F436" s="80">
        <v>5.0</v>
      </c>
      <c r="G436" s="81"/>
      <c r="H436" s="79" t="s">
        <v>1114</v>
      </c>
      <c r="I436" s="80">
        <v>2000.0</v>
      </c>
      <c r="J436" s="81"/>
      <c r="K436" s="79" t="s">
        <v>111</v>
      </c>
      <c r="L436" s="80">
        <v>41.0</v>
      </c>
      <c r="M436" s="79" t="s">
        <v>2123</v>
      </c>
      <c r="N436" s="79" t="s">
        <v>2124</v>
      </c>
      <c r="O436" s="79" t="s">
        <v>2126</v>
      </c>
      <c r="P436" s="83">
        <v>40954.0</v>
      </c>
      <c r="Q436" s="81" t="s">
        <v>2127</v>
      </c>
      <c r="R436" s="86" t="str">
        <f>HYPERLINK("http://edition.cnn.com/2012/02/08/tech/innovation/green-nudge-environment-persuasion/index.html?hpt=hp_c3","http://edition.cnn.com/2012/02/08/tech/innovation/green-nudge-environment-persuasion/index.html?hpt=hp_c3")</f>
        <v>http://edition.cnn.com/2012/02/08/tech/innovation/green-nudge-environment-persuasion/index.html?hpt=hp_c3</v>
      </c>
      <c r="S436" s="81"/>
      <c r="T436" s="81" t="s">
        <v>428</v>
      </c>
      <c r="U436" s="81" t="s">
        <v>462</v>
      </c>
      <c r="V436" s="81"/>
      <c r="W436" s="81" t="s">
        <v>600</v>
      </c>
      <c r="X436" s="81"/>
      <c r="Y436" s="81"/>
      <c r="Z436" s="81"/>
      <c r="AA436" s="81"/>
      <c r="AB436" s="81"/>
      <c r="AC436" s="81"/>
      <c r="AD436" s="81"/>
      <c r="AE436" s="81"/>
      <c r="AF436" s="81"/>
      <c r="AG436" s="81"/>
      <c r="AH436" s="81"/>
      <c r="AI436" s="81"/>
      <c r="AJ436" s="81"/>
      <c r="AK436" s="81"/>
      <c r="AL436" s="79"/>
    </row>
    <row r="437" ht="22.5" customHeight="1">
      <c r="A437" s="79">
        <v>10435.0</v>
      </c>
      <c r="B437" s="79" t="s">
        <v>1230</v>
      </c>
      <c r="C437" s="79" t="s">
        <v>238</v>
      </c>
      <c r="D437" s="79" t="s">
        <v>64</v>
      </c>
      <c r="E437" s="79" t="s">
        <v>772</v>
      </c>
      <c r="F437" s="80">
        <v>5.0</v>
      </c>
      <c r="G437" s="81"/>
      <c r="H437" s="79" t="s">
        <v>644</v>
      </c>
      <c r="I437" s="80">
        <v>2000.0</v>
      </c>
      <c r="J437" s="81"/>
      <c r="K437" s="79" t="s">
        <v>289</v>
      </c>
      <c r="L437" s="80">
        <v>40.0</v>
      </c>
      <c r="M437" s="94" t="s">
        <v>4178</v>
      </c>
      <c r="N437" s="79" t="s">
        <v>1945</v>
      </c>
      <c r="O437" s="79" t="s">
        <v>1265</v>
      </c>
      <c r="P437" s="83">
        <v>42487.0</v>
      </c>
      <c r="Q437" s="81" t="s">
        <v>4182</v>
      </c>
      <c r="R437" s="86" t="str">
        <f>HYPERLINK("http://grist.org/climate-energy/how-to-convince-the-climate-slacker-to-get-serious/","http://grist.org/climate-energy/how-to-convince-the-climate-slacker-to-get-serious/")</f>
        <v>http://grist.org/climate-energy/how-to-convince-the-climate-slacker-to-get-serious/</v>
      </c>
      <c r="S437" s="81"/>
      <c r="T437" s="81"/>
      <c r="U437" s="81"/>
      <c r="V437" s="81"/>
      <c r="W437" s="81"/>
      <c r="X437" s="81"/>
      <c r="Y437" s="81"/>
      <c r="Z437" s="81"/>
      <c r="AA437" s="81"/>
      <c r="AB437" s="81"/>
      <c r="AC437" s="81"/>
      <c r="AD437" s="81"/>
      <c r="AE437" s="81"/>
      <c r="AF437" s="81"/>
      <c r="AG437" s="81"/>
      <c r="AH437" s="81"/>
      <c r="AI437" s="81" t="s">
        <v>428</v>
      </c>
      <c r="AJ437" s="81"/>
      <c r="AK437" s="81"/>
      <c r="AL437" s="79"/>
    </row>
    <row r="438" ht="22.5" customHeight="1">
      <c r="A438" s="79">
        <v>10436.0</v>
      </c>
      <c r="B438" s="79" t="s">
        <v>1230</v>
      </c>
      <c r="C438" s="79" t="s">
        <v>238</v>
      </c>
      <c r="D438" s="79" t="s">
        <v>64</v>
      </c>
      <c r="E438" s="79" t="s">
        <v>772</v>
      </c>
      <c r="F438" s="80">
        <v>5.0</v>
      </c>
      <c r="G438" s="81"/>
      <c r="H438" s="79" t="s">
        <v>644</v>
      </c>
      <c r="I438" s="80">
        <v>2000.0</v>
      </c>
      <c r="J438" s="81"/>
      <c r="K438" s="79" t="s">
        <v>111</v>
      </c>
      <c r="L438" s="80">
        <v>41.0</v>
      </c>
      <c r="M438" s="94" t="s">
        <v>4194</v>
      </c>
      <c r="N438" s="79" t="s">
        <v>1945</v>
      </c>
      <c r="O438" s="79" t="s">
        <v>1265</v>
      </c>
      <c r="P438" s="83">
        <v>42395.0</v>
      </c>
      <c r="Q438" s="81" t="s">
        <v>4195</v>
      </c>
      <c r="R438" s="86" t="str">
        <f>HYPERLINK("http://grist.org/climate-energy/how-to-tell-the-story-of-climate-change-in-photos/","http://grist.org/climate-energy/how-to-tell-the-story-of-climate-change-in-photos/")</f>
        <v>http://grist.org/climate-energy/how-to-tell-the-story-of-climate-change-in-photos/</v>
      </c>
      <c r="S438" s="81"/>
      <c r="T438" s="81"/>
      <c r="U438" s="81"/>
      <c r="V438" s="81"/>
      <c r="W438" s="81"/>
      <c r="X438" s="81"/>
      <c r="Y438" s="81"/>
      <c r="Z438" s="81"/>
      <c r="AA438" s="81"/>
      <c r="AB438" s="81"/>
      <c r="AC438" s="81"/>
      <c r="AD438" s="81"/>
      <c r="AE438" s="81"/>
      <c r="AF438" s="81"/>
      <c r="AG438" s="81"/>
      <c r="AH438" s="81"/>
      <c r="AI438" s="81" t="s">
        <v>428</v>
      </c>
      <c r="AJ438" s="81"/>
      <c r="AK438" s="81"/>
      <c r="AL438" s="79"/>
    </row>
    <row r="439" ht="22.5" customHeight="1">
      <c r="A439" s="79">
        <v>10437.0</v>
      </c>
      <c r="B439" s="79" t="s">
        <v>1230</v>
      </c>
      <c r="C439" s="79" t="s">
        <v>238</v>
      </c>
      <c r="D439" s="79" t="s">
        <v>64</v>
      </c>
      <c r="E439" s="79" t="s">
        <v>772</v>
      </c>
      <c r="F439" s="80">
        <v>5.0</v>
      </c>
      <c r="G439" s="81"/>
      <c r="H439" s="79" t="s">
        <v>470</v>
      </c>
      <c r="I439" s="80">
        <v>3000.0</v>
      </c>
      <c r="J439" s="81"/>
      <c r="K439" s="79" t="s">
        <v>324</v>
      </c>
      <c r="L439" s="80" t="s">
        <v>325</v>
      </c>
      <c r="M439" s="94" t="s">
        <v>5371</v>
      </c>
      <c r="N439" s="79" t="s">
        <v>5372</v>
      </c>
      <c r="O439" s="79" t="s">
        <v>5373</v>
      </c>
      <c r="P439" s="83">
        <v>42212.0</v>
      </c>
      <c r="Q439" s="81"/>
      <c r="R439" s="86" t="str">
        <f>HYPERLINK("http://www.misbehavingbook.org/blog/2015/7/27/nudgespotting-behaviorally-informed-light-switches","http://www.misbehavingbook.org/blog/2015/7/27/nudgespotting-behaviorally-informed-light-switches")</f>
        <v>http://www.misbehavingbook.org/blog/2015/7/27/nudgespotting-behaviorally-informed-light-switches</v>
      </c>
      <c r="S439" s="81"/>
      <c r="T439" s="81" t="s">
        <v>462</v>
      </c>
      <c r="U439" s="81" t="s">
        <v>462</v>
      </c>
      <c r="V439" s="81" t="s">
        <v>676</v>
      </c>
      <c r="W439" s="81" t="s">
        <v>769</v>
      </c>
      <c r="X439" s="81" t="s">
        <v>5379</v>
      </c>
      <c r="Y439" s="81"/>
      <c r="Z439" s="81"/>
      <c r="AA439" s="81" t="s">
        <v>769</v>
      </c>
      <c r="AB439" s="81" t="s">
        <v>5379</v>
      </c>
      <c r="AC439" s="88">
        <v>42653.0</v>
      </c>
      <c r="AD439" s="81" t="s">
        <v>1088</v>
      </c>
      <c r="AE439" s="81"/>
      <c r="AF439" s="81"/>
      <c r="AG439" s="81"/>
      <c r="AH439" s="81"/>
      <c r="AI439" s="81"/>
      <c r="AJ439" s="81"/>
      <c r="AK439" s="81"/>
      <c r="AL439" s="79"/>
    </row>
    <row r="440" ht="22.5" customHeight="1">
      <c r="A440" s="79">
        <v>10438.0</v>
      </c>
      <c r="B440" s="79" t="s">
        <v>1230</v>
      </c>
      <c r="C440" s="79" t="s">
        <v>238</v>
      </c>
      <c r="D440" s="79" t="s">
        <v>64</v>
      </c>
      <c r="E440" s="79" t="s">
        <v>772</v>
      </c>
      <c r="F440" s="80">
        <v>5.0</v>
      </c>
      <c r="G440" s="81"/>
      <c r="H440" s="79" t="s">
        <v>1223</v>
      </c>
      <c r="I440" s="80">
        <v>3000.0</v>
      </c>
      <c r="J440" s="81"/>
      <c r="K440" s="79" t="s">
        <v>3326</v>
      </c>
      <c r="L440" s="80">
        <v>45.0</v>
      </c>
      <c r="M440" s="79" t="s">
        <v>5381</v>
      </c>
      <c r="N440" s="79" t="s">
        <v>5382</v>
      </c>
      <c r="O440" s="79" t="s">
        <v>3423</v>
      </c>
      <c r="P440" s="83">
        <v>40821.0</v>
      </c>
      <c r="Q440" s="81"/>
      <c r="R440" s="86" t="str">
        <f>HYPERLINK("http://www.treehugger.com/sustainable-product-design/new-packaging-tells-you-how-to-reuse-it-creatively.html","http://www.treehugger.com/sustainable-product-design/new-packaging-tells-you-how-to-reuse-it-creatively.html")</f>
        <v>http://www.treehugger.com/sustainable-product-design/new-packaging-tells-you-how-to-reuse-it-creatively.html</v>
      </c>
      <c r="S440" s="81"/>
      <c r="T440" s="81" t="s">
        <v>462</v>
      </c>
      <c r="U440" s="81" t="s">
        <v>462</v>
      </c>
      <c r="V440" s="81"/>
      <c r="W440" s="81" t="s">
        <v>600</v>
      </c>
      <c r="X440" s="81"/>
      <c r="Y440" s="81"/>
      <c r="Z440" s="81"/>
      <c r="AA440" s="81"/>
      <c r="AB440" s="81"/>
      <c r="AC440" s="81"/>
      <c r="AD440" s="81"/>
      <c r="AE440" s="81"/>
      <c r="AF440" s="81"/>
      <c r="AG440" s="81"/>
      <c r="AH440" s="81"/>
      <c r="AI440" s="81"/>
      <c r="AJ440" s="81"/>
      <c r="AK440" s="81"/>
      <c r="AL440" s="79"/>
    </row>
    <row r="441" ht="22.5" customHeight="1">
      <c r="A441" s="79">
        <v>10439.0</v>
      </c>
      <c r="B441" s="79" t="s">
        <v>1230</v>
      </c>
      <c r="C441" s="79" t="s">
        <v>238</v>
      </c>
      <c r="D441" s="79" t="s">
        <v>64</v>
      </c>
      <c r="E441" s="79" t="s">
        <v>772</v>
      </c>
      <c r="F441" s="80">
        <v>5.0</v>
      </c>
      <c r="G441" s="81"/>
      <c r="H441" s="79" t="s">
        <v>789</v>
      </c>
      <c r="I441" s="80">
        <v>21000.0</v>
      </c>
      <c r="J441" s="81"/>
      <c r="K441" s="79" t="s">
        <v>272</v>
      </c>
      <c r="L441" s="80">
        <v>42.0</v>
      </c>
      <c r="M441" s="79" t="s">
        <v>5383</v>
      </c>
      <c r="N441" s="79" t="s">
        <v>5384</v>
      </c>
      <c r="O441" s="79" t="s">
        <v>5385</v>
      </c>
      <c r="P441" s="83">
        <v>42009.0</v>
      </c>
      <c r="Q441" s="81" t="s">
        <v>5386</v>
      </c>
      <c r="R441" s="86" t="str">
        <f>HYPERLINK("http://www.onegreenplanet.org/environment/are-you-a-litter-bug-how-that-can-change-with-an-extra-set-of-eyes/","http://www.onegreenplanet.org/environment/are-you-a-litter-bug-how-that-can-change-with-an-extra-set-of-eyes/")</f>
        <v>http://www.onegreenplanet.org/environment/are-you-a-litter-bug-how-that-can-change-with-an-extra-set-of-eyes/</v>
      </c>
      <c r="S441" s="81"/>
      <c r="T441" s="81" t="s">
        <v>462</v>
      </c>
      <c r="U441" s="81" t="s">
        <v>462</v>
      </c>
      <c r="V441" s="81"/>
      <c r="W441" s="81" t="s">
        <v>769</v>
      </c>
      <c r="X441" s="81" t="s">
        <v>5387</v>
      </c>
      <c r="Y441" s="88">
        <v>42102.0</v>
      </c>
      <c r="Z441" s="88">
        <v>42508.0</v>
      </c>
      <c r="AA441" s="81" t="s">
        <v>769</v>
      </c>
      <c r="AB441" s="81"/>
      <c r="AC441" s="88">
        <v>42028.0</v>
      </c>
      <c r="AD441" s="81"/>
      <c r="AE441" s="81"/>
      <c r="AF441" s="81"/>
      <c r="AG441" s="81"/>
      <c r="AH441" s="81"/>
      <c r="AI441" s="81"/>
      <c r="AJ441" s="81"/>
      <c r="AK441" s="81"/>
      <c r="AL441" s="79"/>
    </row>
    <row r="442" ht="22.5" customHeight="1">
      <c r="A442" s="79">
        <v>10440.0</v>
      </c>
      <c r="B442" s="79" t="s">
        <v>1230</v>
      </c>
      <c r="C442" s="79" t="s">
        <v>238</v>
      </c>
      <c r="D442" s="79" t="s">
        <v>64</v>
      </c>
      <c r="E442" s="79" t="s">
        <v>772</v>
      </c>
      <c r="F442" s="80">
        <v>5.0</v>
      </c>
      <c r="G442" s="81"/>
      <c r="H442" s="79" t="s">
        <v>445</v>
      </c>
      <c r="I442" s="80">
        <v>7000.0</v>
      </c>
      <c r="J442" s="81"/>
      <c r="K442" s="79" t="s">
        <v>289</v>
      </c>
      <c r="L442" s="80">
        <v>40.0</v>
      </c>
      <c r="M442" s="94" t="s">
        <v>5391</v>
      </c>
      <c r="N442" s="79" t="s">
        <v>5392</v>
      </c>
      <c r="O442" s="79" t="s">
        <v>2108</v>
      </c>
      <c r="P442" s="83">
        <v>42279.0</v>
      </c>
      <c r="Q442" s="81" t="s">
        <v>5393</v>
      </c>
      <c r="R442" s="86" t="str">
        <f>HYPERLINK("http://www.resource-media.org/visualizing-food-waste/#.V09TKPkrLIU","http://www.resource-media.org/visualizing-food-waste/#.V09TKPkrLIU")</f>
        <v>http://www.resource-media.org/visualizing-food-waste/#.V09TKPkrLIU</v>
      </c>
      <c r="S442" s="81"/>
      <c r="T442" s="81"/>
      <c r="U442" s="81"/>
      <c r="V442" s="81"/>
      <c r="W442" s="81" t="s">
        <v>769</v>
      </c>
      <c r="X442" s="81" t="s">
        <v>5396</v>
      </c>
      <c r="Y442" s="88">
        <v>42692.0</v>
      </c>
      <c r="Z442" s="81"/>
      <c r="AA442" s="81"/>
      <c r="AB442" s="81"/>
      <c r="AC442" s="81"/>
      <c r="AD442" s="81"/>
      <c r="AE442" s="81"/>
      <c r="AF442" s="81"/>
      <c r="AG442" s="81"/>
      <c r="AH442" s="81"/>
      <c r="AI442" s="81" t="s">
        <v>428</v>
      </c>
      <c r="AJ442" s="81"/>
      <c r="AK442" s="81"/>
      <c r="AL442" s="79"/>
    </row>
    <row r="443" ht="22.5" customHeight="1">
      <c r="A443" s="79">
        <v>10441.0</v>
      </c>
      <c r="B443" s="79" t="s">
        <v>1230</v>
      </c>
      <c r="C443" s="79" t="s">
        <v>238</v>
      </c>
      <c r="D443" s="79" t="s">
        <v>64</v>
      </c>
      <c r="E443" s="79" t="s">
        <v>772</v>
      </c>
      <c r="F443" s="80">
        <v>5.0</v>
      </c>
      <c r="G443" s="81"/>
      <c r="H443" s="79" t="s">
        <v>789</v>
      </c>
      <c r="I443" s="80">
        <v>21000.0</v>
      </c>
      <c r="J443" s="81"/>
      <c r="K443" s="79" t="s">
        <v>111</v>
      </c>
      <c r="L443" s="80">
        <v>41.0</v>
      </c>
      <c r="M443" s="94" t="s">
        <v>5399</v>
      </c>
      <c r="N443" s="79" t="s">
        <v>5400</v>
      </c>
      <c r="O443" s="79" t="s">
        <v>3423</v>
      </c>
      <c r="P443" s="83">
        <v>42340.0</v>
      </c>
      <c r="Q443" s="81" t="s">
        <v>5401</v>
      </c>
      <c r="R443" s="86" t="str">
        <f>HYPERLINK("http://www.treehugger.com/sustainable-product-design/simple-and-bizarre-thing-dramatically-reduces-littering.html","http://www.treehugger.com/sustainable-product-design/simple-and-bizarre-thing-dramatically-reduces-littering.html")</f>
        <v>http://www.treehugger.com/sustainable-product-design/simple-and-bizarre-thing-dramatically-reduces-littering.html</v>
      </c>
      <c r="S443" s="81"/>
      <c r="T443" s="81" t="s">
        <v>462</v>
      </c>
      <c r="U443" s="81" t="s">
        <v>462</v>
      </c>
      <c r="V443" s="81"/>
      <c r="W443" s="81" t="s">
        <v>600</v>
      </c>
      <c r="X443" s="88" t="s">
        <v>5416</v>
      </c>
      <c r="Y443" s="88">
        <v>42374.0</v>
      </c>
      <c r="Z443" s="88"/>
      <c r="AA443" s="88" t="s">
        <v>561</v>
      </c>
      <c r="AB443" s="88"/>
      <c r="AC443" s="88">
        <v>42391.0</v>
      </c>
      <c r="AD443" s="81"/>
      <c r="AE443" s="81"/>
      <c r="AF443" s="81"/>
      <c r="AG443" s="81"/>
      <c r="AH443" s="81"/>
      <c r="AI443" s="81"/>
      <c r="AJ443" s="81"/>
      <c r="AK443" s="81"/>
      <c r="AL443" s="79"/>
    </row>
    <row r="444" ht="22.5" customHeight="1">
      <c r="A444" s="79">
        <v>10442.0</v>
      </c>
      <c r="B444" s="79" t="s">
        <v>1230</v>
      </c>
      <c r="C444" s="79" t="s">
        <v>238</v>
      </c>
      <c r="D444" s="79" t="s">
        <v>64</v>
      </c>
      <c r="E444" s="79" t="s">
        <v>772</v>
      </c>
      <c r="F444" s="80">
        <v>5.0</v>
      </c>
      <c r="G444" s="81"/>
      <c r="H444" s="79" t="s">
        <v>1223</v>
      </c>
      <c r="I444" s="80">
        <v>3000.0</v>
      </c>
      <c r="J444" s="81"/>
      <c r="K444" s="79" t="s">
        <v>289</v>
      </c>
      <c r="L444" s="80">
        <v>40.0</v>
      </c>
      <c r="M444" s="79" t="s">
        <v>5421</v>
      </c>
      <c r="N444" s="79" t="s">
        <v>215</v>
      </c>
      <c r="O444" s="79" t="s">
        <v>3508</v>
      </c>
      <c r="P444" s="83"/>
      <c r="Q444" s="81" t="s">
        <v>5426</v>
      </c>
      <c r="R444" s="86" t="str">
        <f>HYPERLINK("http://www.toolsofchange.com/English/CaseStudies/default.asp?ID=8","http://www.toolsofchange.com/English/CaseStudies/default.asp?ID=8")</f>
        <v>http://www.toolsofchange.com/English/CaseStudies/default.asp?ID=8</v>
      </c>
      <c r="S444" s="81"/>
      <c r="T444" s="81" t="s">
        <v>428</v>
      </c>
      <c r="U444" s="81" t="s">
        <v>462</v>
      </c>
      <c r="V444" s="81"/>
      <c r="W444" s="81" t="s">
        <v>600</v>
      </c>
      <c r="X444" s="81"/>
      <c r="Y444" s="88"/>
      <c r="Z444" s="88"/>
      <c r="AA444" s="81"/>
      <c r="AB444" s="81"/>
      <c r="AC444" s="88"/>
      <c r="AD444" s="81"/>
      <c r="AE444" s="81"/>
      <c r="AF444" s="81"/>
      <c r="AG444" s="81"/>
      <c r="AH444" s="81"/>
      <c r="AI444" s="81"/>
      <c r="AJ444" s="81"/>
      <c r="AK444" s="81" t="s">
        <v>5431</v>
      </c>
      <c r="AL444" s="79"/>
    </row>
    <row r="445" ht="22.5" customHeight="1">
      <c r="A445" s="79">
        <v>10443.0</v>
      </c>
      <c r="B445" s="79" t="s">
        <v>1230</v>
      </c>
      <c r="C445" s="79" t="s">
        <v>238</v>
      </c>
      <c r="D445" s="79" t="s">
        <v>64</v>
      </c>
      <c r="E445" s="79" t="s">
        <v>772</v>
      </c>
      <c r="F445" s="80">
        <v>5.0</v>
      </c>
      <c r="G445" s="81"/>
      <c r="H445" s="79" t="s">
        <v>5433</v>
      </c>
      <c r="I445" s="80" t="s">
        <v>5434</v>
      </c>
      <c r="J445" s="81"/>
      <c r="K445" s="79" t="s">
        <v>5438</v>
      </c>
      <c r="L445" s="80" t="s">
        <v>1840</v>
      </c>
      <c r="M445" s="79" t="s">
        <v>5440</v>
      </c>
      <c r="N445" s="79" t="s">
        <v>215</v>
      </c>
      <c r="O445" s="79" t="s">
        <v>1281</v>
      </c>
      <c r="P445" s="83">
        <v>42095.0</v>
      </c>
      <c r="Q445" s="81" t="s">
        <v>5441</v>
      </c>
      <c r="R445" s="86" t="str">
        <f>HYPERLINK("http://www.theguardian.com/global-development-professionals-network/gallery/2015/apr/01/over-population-over-consumption-in-pictures","http://www.theguardian.com/global-development-professionals-network/gallery/2015/apr/01/over-population-over-consumption-in-pictures")</f>
        <v>http://www.theguardian.com/global-development-professionals-network/gallery/2015/apr/01/over-population-over-consumption-in-pictures</v>
      </c>
      <c r="S445" s="81" t="s">
        <v>5442</v>
      </c>
      <c r="T445" s="81" t="s">
        <v>462</v>
      </c>
      <c r="U445" s="81" t="s">
        <v>462</v>
      </c>
      <c r="V445" s="81" t="s">
        <v>676</v>
      </c>
      <c r="W445" s="81" t="s">
        <v>769</v>
      </c>
      <c r="X445" s="81" t="s">
        <v>5443</v>
      </c>
      <c r="Y445" s="88">
        <v>42171.0</v>
      </c>
      <c r="Z445" s="88">
        <v>42163.0</v>
      </c>
      <c r="AA445" s="81" t="s">
        <v>769</v>
      </c>
      <c r="AB445" s="81"/>
      <c r="AC445" s="88">
        <v>42180.0</v>
      </c>
      <c r="AD445" s="81"/>
      <c r="AE445" s="81"/>
      <c r="AF445" s="81"/>
      <c r="AG445" s="81"/>
      <c r="AH445" s="81"/>
      <c r="AI445" s="81"/>
      <c r="AJ445" s="81"/>
      <c r="AK445" s="81"/>
      <c r="AL445" s="79"/>
    </row>
    <row r="446" ht="22.5" customHeight="1">
      <c r="A446" s="79">
        <v>10444.0</v>
      </c>
      <c r="B446" s="79" t="s">
        <v>1230</v>
      </c>
      <c r="C446" s="79" t="s">
        <v>238</v>
      </c>
      <c r="D446" s="79" t="s">
        <v>64</v>
      </c>
      <c r="E446" s="79" t="s">
        <v>772</v>
      </c>
      <c r="F446" s="80">
        <v>5.0</v>
      </c>
      <c r="G446" s="81"/>
      <c r="H446" s="79" t="s">
        <v>224</v>
      </c>
      <c r="I446" s="80"/>
      <c r="J446" s="81"/>
      <c r="K446" s="79" t="s">
        <v>289</v>
      </c>
      <c r="L446" s="80">
        <v>40.0</v>
      </c>
      <c r="M446" s="79" t="s">
        <v>5447</v>
      </c>
      <c r="N446" s="79" t="s">
        <v>215</v>
      </c>
      <c r="O446" s="79" t="s">
        <v>1430</v>
      </c>
      <c r="P446" s="83">
        <v>42015.0</v>
      </c>
      <c r="Q446" s="81"/>
      <c r="R446" s="86" t="str">
        <f>HYPERLINK("http://www.npr.org/2015/01/11/376496332/the-more-the-better-repetition-propels-songs-up-the-charts","http://www.npr.org/2015/01/11/376496332/the-more-the-better-repetition-propels-songs-up-the-charts")</f>
        <v>http://www.npr.org/2015/01/11/376496332/the-more-the-better-repetition-propels-songs-up-the-charts</v>
      </c>
      <c r="S446" s="81"/>
      <c r="T446" s="81" t="s">
        <v>462</v>
      </c>
      <c r="U446" s="81" t="s">
        <v>462</v>
      </c>
      <c r="V446" s="81" t="s">
        <v>676</v>
      </c>
      <c r="W446" s="81" t="s">
        <v>677</v>
      </c>
      <c r="X446" s="81"/>
      <c r="Y446" s="88"/>
      <c r="Z446" s="81"/>
      <c r="AA446" s="81"/>
      <c r="AB446" s="81"/>
      <c r="AC446" s="88"/>
      <c r="AD446" s="81"/>
      <c r="AE446" s="81"/>
      <c r="AF446" s="81"/>
      <c r="AG446" s="81"/>
      <c r="AH446" s="81"/>
      <c r="AI446" s="81"/>
      <c r="AJ446" s="81"/>
      <c r="AK446" s="81"/>
      <c r="AL446" s="79"/>
    </row>
    <row r="447" ht="22.5" customHeight="1">
      <c r="A447" s="79">
        <v>10445.0</v>
      </c>
      <c r="B447" s="79" t="s">
        <v>1230</v>
      </c>
      <c r="C447" s="79" t="s">
        <v>238</v>
      </c>
      <c r="D447" s="79" t="s">
        <v>64</v>
      </c>
      <c r="E447" s="79" t="s">
        <v>772</v>
      </c>
      <c r="F447" s="80">
        <v>5.0</v>
      </c>
      <c r="G447" s="81"/>
      <c r="H447" s="79" t="s">
        <v>4046</v>
      </c>
      <c r="I447" s="80">
        <v>3000.0</v>
      </c>
      <c r="J447" s="81"/>
      <c r="K447" s="79" t="s">
        <v>289</v>
      </c>
      <c r="L447" s="80">
        <v>40.0</v>
      </c>
      <c r="M447" s="79" t="s">
        <v>5450</v>
      </c>
      <c r="N447" s="79" t="s">
        <v>5451</v>
      </c>
      <c r="O447" s="79" t="s">
        <v>5452</v>
      </c>
      <c r="P447" s="83">
        <v>40047.0</v>
      </c>
      <c r="Q447" s="81" t="s">
        <v>5454</v>
      </c>
      <c r="R447" s="86" t="str">
        <f>HYPERLINK("http://thesecomefromtrees.blogspot.com/2009/08/wow-29-paper-towel-use-reduction-at.html","http://thesecomefromtrees.blogspot.com/2009/08/wow-29-paper-towel-use-reduction-at.html")</f>
        <v>http://thesecomefromtrees.blogspot.com/2009/08/wow-29-paper-towel-use-reduction-at.html</v>
      </c>
      <c r="S447" s="81"/>
      <c r="T447" s="81" t="s">
        <v>428</v>
      </c>
      <c r="U447" s="81" t="s">
        <v>462</v>
      </c>
      <c r="V447" s="81">
        <v>1.0</v>
      </c>
      <c r="W447" s="81" t="s">
        <v>600</v>
      </c>
      <c r="X447" s="81"/>
      <c r="Y447" s="88"/>
      <c r="Z447" s="81"/>
      <c r="AA447" s="81"/>
      <c r="AB447" s="81"/>
      <c r="AC447" s="88"/>
      <c r="AD447" s="81"/>
      <c r="AE447" s="81"/>
      <c r="AF447" s="81"/>
      <c r="AG447" s="81"/>
      <c r="AH447" s="81"/>
      <c r="AI447" s="81"/>
      <c r="AJ447" s="81"/>
      <c r="AK447" s="81"/>
      <c r="AL447" s="79"/>
    </row>
    <row r="448" ht="22.5" customHeight="1">
      <c r="A448" s="79">
        <v>10446.0</v>
      </c>
      <c r="B448" s="79" t="s">
        <v>1230</v>
      </c>
      <c r="C448" s="79" t="s">
        <v>238</v>
      </c>
      <c r="D448" s="79" t="s">
        <v>64</v>
      </c>
      <c r="E448" s="79" t="s">
        <v>772</v>
      </c>
      <c r="F448" s="80">
        <v>5.0</v>
      </c>
      <c r="G448" s="81"/>
      <c r="H448" s="79" t="s">
        <v>5459</v>
      </c>
      <c r="I448" s="80">
        <v>10000.0</v>
      </c>
      <c r="J448" s="81"/>
      <c r="K448" s="79" t="s">
        <v>272</v>
      </c>
      <c r="L448" s="80">
        <v>42.0</v>
      </c>
      <c r="M448" s="79" t="s">
        <v>5460</v>
      </c>
      <c r="N448" s="79" t="s">
        <v>5462</v>
      </c>
      <c r="O448" s="79" t="s">
        <v>5464</v>
      </c>
      <c r="P448" s="83">
        <v>41987.0</v>
      </c>
      <c r="Q448" s="81" t="s">
        <v>5466</v>
      </c>
      <c r="R448" s="86" t="str">
        <f>HYPERLINK("http://www.thehindu.com/news/national/world-bank-report-stresses-behavioural-aspects/article6691378.ece","http://www.thehindu.com/news/national/world-bank-report-stresses-behavioural-aspects/article6691378.ece")</f>
        <v>http://www.thehindu.com/news/national/world-bank-report-stresses-behavioural-aspects/article6691378.ece</v>
      </c>
      <c r="S448" s="81"/>
      <c r="T448" s="81" t="s">
        <v>462</v>
      </c>
      <c r="U448" s="81" t="s">
        <v>462</v>
      </c>
      <c r="V448" s="81" t="s">
        <v>676</v>
      </c>
      <c r="W448" s="81" t="s">
        <v>677</v>
      </c>
      <c r="X448" s="81"/>
      <c r="Y448" s="88"/>
      <c r="Z448" s="81"/>
      <c r="AA448" s="81"/>
      <c r="AB448" s="81"/>
      <c r="AC448" s="88"/>
      <c r="AD448" s="81"/>
      <c r="AE448" s="88"/>
      <c r="AF448" s="81"/>
      <c r="AG448" s="81"/>
      <c r="AH448" s="81"/>
      <c r="AI448" s="81"/>
      <c r="AJ448" s="81"/>
      <c r="AK448" s="81" t="s">
        <v>5467</v>
      </c>
      <c r="AL448" s="79"/>
    </row>
    <row r="449" ht="22.5" customHeight="1">
      <c r="A449" s="79">
        <v>10447.0</v>
      </c>
      <c r="B449" s="79" t="s">
        <v>1230</v>
      </c>
      <c r="C449" s="79" t="s">
        <v>238</v>
      </c>
      <c r="D449" s="79" t="s">
        <v>64</v>
      </c>
      <c r="E449" s="79" t="s">
        <v>772</v>
      </c>
      <c r="F449" s="80">
        <v>5.0</v>
      </c>
      <c r="G449" s="81"/>
      <c r="H449" s="79" t="s">
        <v>224</v>
      </c>
      <c r="I449" s="80"/>
      <c r="J449" s="81"/>
      <c r="K449" s="79" t="s">
        <v>111</v>
      </c>
      <c r="L449" s="80">
        <v>41.0</v>
      </c>
      <c r="M449" s="79" t="s">
        <v>5470</v>
      </c>
      <c r="N449" s="79" t="s">
        <v>5472</v>
      </c>
      <c r="O449" s="79" t="s">
        <v>4039</v>
      </c>
      <c r="P449" s="83"/>
      <c r="Q449" s="81" t="s">
        <v>4039</v>
      </c>
      <c r="R449" s="86" t="str">
        <f>HYPERLINK("https://nudges.wordpress.com/the-amsterdam-urinals/","https://nudges.wordpress.com/the-amsterdam-urinals/")</f>
        <v>https://nudges.wordpress.com/the-amsterdam-urinals/</v>
      </c>
      <c r="S449" s="81"/>
      <c r="T449" s="81" t="s">
        <v>428</v>
      </c>
      <c r="U449" s="81" t="s">
        <v>462</v>
      </c>
      <c r="V449" s="81"/>
      <c r="W449" s="81" t="s">
        <v>769</v>
      </c>
      <c r="X449" s="81" t="s">
        <v>5473</v>
      </c>
      <c r="Y449" s="88">
        <v>42320.0</v>
      </c>
      <c r="Z449" s="88"/>
      <c r="AA449" s="81" t="s">
        <v>769</v>
      </c>
      <c r="AB449" s="81"/>
      <c r="AC449" s="81"/>
      <c r="AD449" s="81"/>
      <c r="AE449" s="81"/>
      <c r="AF449" s="81"/>
      <c r="AG449" s="81"/>
      <c r="AH449" s="81"/>
      <c r="AI449" s="81"/>
      <c r="AJ449" s="81"/>
      <c r="AK449" s="79"/>
      <c r="AL449" s="79"/>
    </row>
    <row r="450" ht="22.5" customHeight="1">
      <c r="A450" s="79">
        <v>10448.0</v>
      </c>
      <c r="B450" s="79" t="s">
        <v>1230</v>
      </c>
      <c r="C450" s="79" t="s">
        <v>238</v>
      </c>
      <c r="D450" s="79" t="s">
        <v>64</v>
      </c>
      <c r="E450" s="79" t="s">
        <v>772</v>
      </c>
      <c r="F450" s="80">
        <v>5.0</v>
      </c>
      <c r="G450" s="81"/>
      <c r="H450" s="79" t="s">
        <v>644</v>
      </c>
      <c r="I450" s="80">
        <v>2000.0</v>
      </c>
      <c r="J450" s="81"/>
      <c r="K450" s="79" t="s">
        <v>289</v>
      </c>
      <c r="L450" s="80">
        <v>40.0</v>
      </c>
      <c r="M450" s="79" t="s">
        <v>5475</v>
      </c>
      <c r="N450" s="79" t="s">
        <v>5476</v>
      </c>
      <c r="O450" s="79" t="s">
        <v>1754</v>
      </c>
      <c r="P450" s="83">
        <v>41877.0</v>
      </c>
      <c r="Q450" s="81"/>
      <c r="R450" s="86" t="str">
        <f>HYPERLINK("http://www.huffingtonpost.com/2014/08/26/virtual-reality-sustainable-habits_n_5717647.html","http://www.huffingtonpost.com/2014/08/26/virtual-reality-sustainable-habits_n_5717647.html")</f>
        <v>http://www.huffingtonpost.com/2014/08/26/virtual-reality-sustainable-habits_n_5717647.html</v>
      </c>
      <c r="S450" s="81"/>
      <c r="T450" s="81" t="s">
        <v>462</v>
      </c>
      <c r="U450" s="81" t="s">
        <v>462</v>
      </c>
      <c r="V450" s="81" t="s">
        <v>676</v>
      </c>
      <c r="W450" s="81" t="s">
        <v>769</v>
      </c>
      <c r="X450" s="81" t="s">
        <v>5478</v>
      </c>
      <c r="Y450" s="88">
        <v>42165.0</v>
      </c>
      <c r="Z450" s="88">
        <v>42429.0</v>
      </c>
      <c r="AA450" s="81" t="s">
        <v>769</v>
      </c>
      <c r="AB450" s="81"/>
      <c r="AC450" s="88">
        <v>42171.0</v>
      </c>
      <c r="AD450" s="81"/>
      <c r="AE450" s="81"/>
      <c r="AF450" s="81"/>
      <c r="AG450" s="81"/>
      <c r="AH450" s="81"/>
      <c r="AI450" s="81"/>
      <c r="AJ450" s="81"/>
      <c r="AK450" s="79"/>
      <c r="AL450" s="79"/>
    </row>
    <row r="451" ht="22.5" customHeight="1">
      <c r="A451" s="79">
        <v>10449.0</v>
      </c>
      <c r="B451" s="79" t="s">
        <v>1230</v>
      </c>
      <c r="C451" s="79" t="s">
        <v>238</v>
      </c>
      <c r="D451" s="79" t="s">
        <v>64</v>
      </c>
      <c r="E451" s="79" t="s">
        <v>772</v>
      </c>
      <c r="F451" s="80">
        <v>5.0</v>
      </c>
      <c r="G451" s="81"/>
      <c r="H451" s="79" t="s">
        <v>1882</v>
      </c>
      <c r="I451" s="80">
        <v>15000.0</v>
      </c>
      <c r="J451" s="81"/>
      <c r="K451" s="79" t="s">
        <v>289</v>
      </c>
      <c r="L451" s="80">
        <v>40.0</v>
      </c>
      <c r="M451" s="79" t="s">
        <v>5481</v>
      </c>
      <c r="N451" s="79" t="s">
        <v>5482</v>
      </c>
      <c r="O451" s="79" t="s">
        <v>5483</v>
      </c>
      <c r="P451" s="83">
        <v>42200.0</v>
      </c>
      <c r="Q451" s="81" t="s">
        <v>5484</v>
      </c>
      <c r="R451" s="86" t="str">
        <f>HYPERLINK("http://www.takepart.com/article/2015/07/15/what-sea-level-rise-looks-america-coast?cmpid=organic-share-twitter","http://www.takepart.com/article/2015/07/15/what-sea-level-rise-looks-america-coast?cmpid=organic-share-twitter")</f>
        <v>http://www.takepart.com/article/2015/07/15/what-sea-level-rise-looks-america-coast?cmpid=organic-share-twitter</v>
      </c>
      <c r="S451" s="81"/>
      <c r="T451" s="81" t="s">
        <v>462</v>
      </c>
      <c r="U451" s="81" t="s">
        <v>462</v>
      </c>
      <c r="V451" s="81"/>
      <c r="W451" s="81" t="s">
        <v>769</v>
      </c>
      <c r="X451" s="81" t="s">
        <v>5488</v>
      </c>
      <c r="Y451" s="88">
        <v>42313.0</v>
      </c>
      <c r="Z451" s="88">
        <v>42618.0</v>
      </c>
      <c r="AA451" s="81" t="s">
        <v>769</v>
      </c>
      <c r="AB451" s="81"/>
      <c r="AC451" s="88"/>
      <c r="AD451" s="81"/>
      <c r="AE451" s="81"/>
      <c r="AF451" s="81"/>
      <c r="AG451" s="81"/>
      <c r="AH451" s="81"/>
      <c r="AI451" s="81"/>
      <c r="AJ451" s="81"/>
      <c r="AK451" s="79"/>
      <c r="AL451" s="79"/>
    </row>
    <row r="452" ht="22.5" customHeight="1">
      <c r="A452" s="79">
        <v>10450.0</v>
      </c>
      <c r="B452" s="79" t="s">
        <v>1230</v>
      </c>
      <c r="C452" s="79" t="s">
        <v>238</v>
      </c>
      <c r="D452" s="79" t="s">
        <v>64</v>
      </c>
      <c r="E452" s="79" t="s">
        <v>779</v>
      </c>
      <c r="F452" s="80">
        <v>5.0</v>
      </c>
      <c r="G452" s="81"/>
      <c r="H452" s="79" t="s">
        <v>1114</v>
      </c>
      <c r="I452" s="80">
        <v>2000.0</v>
      </c>
      <c r="J452" s="81"/>
      <c r="K452" s="79" t="s">
        <v>289</v>
      </c>
      <c r="L452" s="80">
        <v>40.0</v>
      </c>
      <c r="M452" s="79" t="s">
        <v>1986</v>
      </c>
      <c r="N452" s="79" t="s">
        <v>1987</v>
      </c>
      <c r="O452" s="79" t="s">
        <v>1959</v>
      </c>
      <c r="P452" s="83">
        <v>42118.0</v>
      </c>
      <c r="Q452" s="81" t="s">
        <v>108</v>
      </c>
      <c r="R452" s="86" t="str">
        <f>HYPERLINK("http://www.climateaccess.org/blog/why-groups-need-be-ready-climate-crisis-events-deepwater-spill","http://www.climateaccess.org/blog/why-groups-need-be-ready-climate-crisis-events-deepwater-spill")</f>
        <v>http://www.climateaccess.org/blog/why-groups-need-be-ready-climate-crisis-events-deepwater-spill</v>
      </c>
      <c r="S452" s="81"/>
      <c r="T452" s="81" t="s">
        <v>462</v>
      </c>
      <c r="U452" s="81" t="s">
        <v>462</v>
      </c>
      <c r="V452" s="81">
        <v>1.0</v>
      </c>
      <c r="W452" s="81" t="s">
        <v>769</v>
      </c>
      <c r="X452" s="81" t="s">
        <v>2003</v>
      </c>
      <c r="Y452" s="88">
        <v>42178.0</v>
      </c>
      <c r="Z452" s="81"/>
      <c r="AA452" s="81"/>
      <c r="AB452" s="81"/>
      <c r="AC452" s="88"/>
      <c r="AD452" s="81"/>
      <c r="AE452" s="81"/>
      <c r="AF452" s="81"/>
      <c r="AG452" s="81"/>
      <c r="AH452" s="81"/>
      <c r="AI452" s="81"/>
      <c r="AJ452" s="81"/>
      <c r="AK452" s="79"/>
      <c r="AL452" s="79"/>
    </row>
    <row r="453" ht="22.5" customHeight="1">
      <c r="A453" s="79">
        <v>10451.0</v>
      </c>
      <c r="B453" s="79" t="s">
        <v>1230</v>
      </c>
      <c r="C453" s="79" t="s">
        <v>238</v>
      </c>
      <c r="D453" s="79" t="s">
        <v>64</v>
      </c>
      <c r="E453" s="79" t="s">
        <v>779</v>
      </c>
      <c r="F453" s="80">
        <v>5.0</v>
      </c>
      <c r="G453" s="81"/>
      <c r="H453" s="79" t="s">
        <v>224</v>
      </c>
      <c r="I453" s="80"/>
      <c r="J453" s="81"/>
      <c r="K453" s="79" t="s">
        <v>289</v>
      </c>
      <c r="L453" s="80">
        <v>40.0</v>
      </c>
      <c r="M453" s="79" t="s">
        <v>5497</v>
      </c>
      <c r="N453" s="79" t="s">
        <v>2366</v>
      </c>
      <c r="O453" s="79" t="s">
        <v>1754</v>
      </c>
      <c r="P453" s="83">
        <v>41806.0</v>
      </c>
      <c r="Q453" s="81" t="s">
        <v>5500</v>
      </c>
      <c r="R453" s="86" t="str">
        <f>HYPERLINK("http://www.huffingtonpost.com/wray-herbert/the-psychology-of-a-memor_b_5158650.html","http://www.huffingtonpost.com/wray-herbert/the-psychology-of-a-memor_b_5158650.html")</f>
        <v>http://www.huffingtonpost.com/wray-herbert/the-psychology-of-a-memor_b_5158650.html</v>
      </c>
      <c r="S453" s="81"/>
      <c r="T453" s="81" t="s">
        <v>462</v>
      </c>
      <c r="U453" s="81" t="s">
        <v>462</v>
      </c>
      <c r="V453" s="81">
        <v>3.0</v>
      </c>
      <c r="W453" s="81" t="s">
        <v>677</v>
      </c>
      <c r="X453" s="81"/>
      <c r="Y453" s="88"/>
      <c r="Z453" s="81"/>
      <c r="AA453" s="81"/>
      <c r="AB453" s="81"/>
      <c r="AC453" s="88"/>
      <c r="AD453" s="81"/>
      <c r="AE453" s="81"/>
      <c r="AF453" s="81"/>
      <c r="AG453" s="81"/>
      <c r="AH453" s="81"/>
      <c r="AI453" s="81"/>
      <c r="AJ453" s="81"/>
      <c r="AK453" s="79"/>
      <c r="AL453" s="79"/>
    </row>
    <row r="454" ht="22.5" customHeight="1">
      <c r="A454" s="79">
        <v>10452.0</v>
      </c>
      <c r="B454" s="79" t="s">
        <v>1985</v>
      </c>
      <c r="C454" s="79" t="s">
        <v>238</v>
      </c>
      <c r="D454" s="79" t="s">
        <v>115</v>
      </c>
      <c r="E454" s="79" t="s">
        <v>265</v>
      </c>
      <c r="F454" s="80">
        <v>9.0</v>
      </c>
      <c r="G454" s="81"/>
      <c r="H454" s="79" t="s">
        <v>224</v>
      </c>
      <c r="I454" s="80"/>
      <c r="J454" s="81"/>
      <c r="K454" s="79" t="s">
        <v>289</v>
      </c>
      <c r="L454" s="80">
        <v>40.0</v>
      </c>
      <c r="M454" s="94" t="s">
        <v>5502</v>
      </c>
      <c r="N454" s="79" t="s">
        <v>2366</v>
      </c>
      <c r="O454" s="79" t="s">
        <v>5504</v>
      </c>
      <c r="P454" s="83">
        <v>41508.0</v>
      </c>
      <c r="Q454" s="81" t="s">
        <v>5505</v>
      </c>
      <c r="R454" s="79" t="s">
        <v>5506</v>
      </c>
      <c r="S454" s="81"/>
      <c r="T454" s="81"/>
      <c r="U454" s="81"/>
      <c r="V454" s="81"/>
      <c r="W454" s="81"/>
      <c r="X454" s="81"/>
      <c r="Y454" s="81"/>
      <c r="Z454" s="81"/>
      <c r="AA454" s="81"/>
      <c r="AB454" s="81"/>
      <c r="AC454" s="81"/>
      <c r="AD454" s="81"/>
      <c r="AE454" s="81"/>
      <c r="AF454" s="81"/>
      <c r="AG454" s="81"/>
      <c r="AH454" s="81"/>
      <c r="AI454" s="81"/>
      <c r="AJ454" s="81"/>
      <c r="AK454" s="79"/>
      <c r="AL454" s="79"/>
    </row>
    <row r="455" ht="22.5" customHeight="1">
      <c r="A455" s="79">
        <v>10453.0</v>
      </c>
      <c r="B455" s="79" t="s">
        <v>1230</v>
      </c>
      <c r="C455" s="79" t="s">
        <v>238</v>
      </c>
      <c r="D455" s="79" t="s">
        <v>115</v>
      </c>
      <c r="E455" s="79" t="s">
        <v>376</v>
      </c>
      <c r="F455" s="80">
        <v>2.0</v>
      </c>
      <c r="G455" s="81"/>
      <c r="H455" s="79" t="s">
        <v>224</v>
      </c>
      <c r="I455" s="80"/>
      <c r="J455" s="81"/>
      <c r="K455" s="79" t="s">
        <v>289</v>
      </c>
      <c r="L455" s="80">
        <v>40.0</v>
      </c>
      <c r="M455" s="79" t="s">
        <v>5511</v>
      </c>
      <c r="N455" s="79" t="s">
        <v>3020</v>
      </c>
      <c r="O455" s="79" t="s">
        <v>5512</v>
      </c>
      <c r="P455" s="83">
        <v>41858.0</v>
      </c>
      <c r="Q455" s="81" t="s">
        <v>5513</v>
      </c>
      <c r="R455" s="86" t="str">
        <f>HYPERLINK("http://www.smartthinkingbook.com/2014/08/do-you-prefer-more-choice-or-less-it.html","http://www.smartthinkingbook.com/2014/08/do-you-prefer-more-choice-or-less-it.html")</f>
        <v>http://www.smartthinkingbook.com/2014/08/do-you-prefer-more-choice-or-less-it.html</v>
      </c>
      <c r="S455" s="81"/>
      <c r="T455" s="81" t="s">
        <v>462</v>
      </c>
      <c r="U455" s="81" t="s">
        <v>462</v>
      </c>
      <c r="V455" s="81" t="s">
        <v>676</v>
      </c>
      <c r="W455" s="81" t="s">
        <v>769</v>
      </c>
      <c r="X455" s="81"/>
      <c r="Y455" s="88">
        <v>42156.0</v>
      </c>
      <c r="Z455" s="81"/>
      <c r="AA455" s="81"/>
      <c r="AB455" s="81"/>
      <c r="AC455" s="88"/>
      <c r="AD455" s="81"/>
      <c r="AE455" s="81"/>
      <c r="AF455" s="81"/>
      <c r="AG455" s="81"/>
      <c r="AH455" s="81"/>
      <c r="AI455" s="81"/>
      <c r="AJ455" s="81"/>
      <c r="AK455" s="79"/>
      <c r="AL455" s="79"/>
    </row>
    <row r="456" ht="22.5" customHeight="1">
      <c r="A456" s="79">
        <v>10454.0</v>
      </c>
      <c r="B456" s="79" t="s">
        <v>1230</v>
      </c>
      <c r="C456" s="79" t="s">
        <v>238</v>
      </c>
      <c r="D456" s="79" t="s">
        <v>115</v>
      </c>
      <c r="E456" s="79" t="s">
        <v>779</v>
      </c>
      <c r="F456" s="80">
        <v>5.0</v>
      </c>
      <c r="G456" s="81"/>
      <c r="H456" s="79" t="s">
        <v>224</v>
      </c>
      <c r="I456" s="80"/>
      <c r="J456" s="81"/>
      <c r="K456" s="79" t="s">
        <v>289</v>
      </c>
      <c r="L456" s="80">
        <v>40.0</v>
      </c>
      <c r="M456" s="79" t="s">
        <v>5514</v>
      </c>
      <c r="N456" s="79" t="s">
        <v>5515</v>
      </c>
      <c r="O456" s="79" t="s">
        <v>2245</v>
      </c>
      <c r="P456" s="83">
        <v>41708.0</v>
      </c>
      <c r="Q456" s="81" t="s">
        <v>5517</v>
      </c>
      <c r="R456" s="86" t="str">
        <f>HYPERLINK("http://www.wired.com/2014/03/neuroscience-decision-making-explained-30-seconds/","http://www.wired.com/2014/03/neuroscience-decision-making-explained-30-seconds/")</f>
        <v>http://www.wired.com/2014/03/neuroscience-decision-making-explained-30-seconds/</v>
      </c>
      <c r="S456" s="81" t="s">
        <v>5518</v>
      </c>
      <c r="T456" s="81" t="s">
        <v>462</v>
      </c>
      <c r="U456" s="81" t="s">
        <v>462</v>
      </c>
      <c r="V456" s="81" t="s">
        <v>1474</v>
      </c>
      <c r="W456" s="81" t="s">
        <v>769</v>
      </c>
      <c r="X456" s="81" t="s">
        <v>5519</v>
      </c>
      <c r="Y456" s="88">
        <v>42236.0</v>
      </c>
      <c r="Z456" s="81"/>
      <c r="AA456" s="81" t="s">
        <v>769</v>
      </c>
      <c r="AB456" s="81"/>
      <c r="AC456" s="88"/>
      <c r="AD456" s="81"/>
      <c r="AE456" s="81"/>
      <c r="AF456" s="81"/>
      <c r="AG456" s="81"/>
      <c r="AH456" s="81"/>
      <c r="AI456" s="81"/>
      <c r="AJ456" s="81"/>
      <c r="AK456" s="79"/>
      <c r="AL456" s="79"/>
    </row>
    <row r="457" ht="22.5" customHeight="1">
      <c r="A457" s="79">
        <v>10455.0</v>
      </c>
      <c r="B457" s="79" t="s">
        <v>1230</v>
      </c>
      <c r="C457" s="79" t="s">
        <v>238</v>
      </c>
      <c r="D457" s="79" t="s">
        <v>115</v>
      </c>
      <c r="E457" s="79" t="s">
        <v>779</v>
      </c>
      <c r="F457" s="80">
        <v>5.0</v>
      </c>
      <c r="G457" s="81"/>
      <c r="H457" s="79" t="s">
        <v>185</v>
      </c>
      <c r="I457" s="80">
        <v>3000.0</v>
      </c>
      <c r="J457" s="81"/>
      <c r="K457" s="79" t="s">
        <v>1976</v>
      </c>
      <c r="L457" s="80">
        <v>44.0</v>
      </c>
      <c r="M457" s="94" t="s">
        <v>5520</v>
      </c>
      <c r="N457" s="79" t="s">
        <v>5521</v>
      </c>
      <c r="O457" s="79" t="s">
        <v>813</v>
      </c>
      <c r="P457" s="83">
        <v>38875.0</v>
      </c>
      <c r="Q457" s="81"/>
      <c r="R457" s="79" t="s">
        <v>5523</v>
      </c>
      <c r="S457" s="81"/>
      <c r="T457" s="81" t="s">
        <v>39</v>
      </c>
      <c r="U457" s="81" t="s">
        <v>462</v>
      </c>
      <c r="V457" s="81"/>
      <c r="W457" s="81"/>
      <c r="X457" s="81"/>
      <c r="Y457" s="81"/>
      <c r="Z457" s="81"/>
      <c r="AA457" s="81"/>
      <c r="AB457" s="81"/>
      <c r="AC457" s="81"/>
      <c r="AD457" s="81"/>
      <c r="AE457" s="81"/>
      <c r="AF457" s="81"/>
      <c r="AG457" s="81"/>
      <c r="AH457" s="81"/>
      <c r="AI457" s="81"/>
      <c r="AJ457" s="81" t="s">
        <v>5524</v>
      </c>
      <c r="AK457" s="79"/>
      <c r="AL457" s="79"/>
    </row>
    <row r="458" ht="22.5" customHeight="1">
      <c r="A458" s="79">
        <v>10456.0</v>
      </c>
      <c r="B458" s="79" t="s">
        <v>1985</v>
      </c>
      <c r="C458" s="79" t="s">
        <v>238</v>
      </c>
      <c r="D458" s="79" t="s">
        <v>5525</v>
      </c>
      <c r="E458" s="79" t="s">
        <v>1153</v>
      </c>
      <c r="F458" s="80">
        <v>6.0</v>
      </c>
      <c r="G458" s="81"/>
      <c r="H458" s="79" t="s">
        <v>4222</v>
      </c>
      <c r="I458" s="80" t="s">
        <v>3073</v>
      </c>
      <c r="J458" s="81"/>
      <c r="K458" s="79" t="s">
        <v>289</v>
      </c>
      <c r="L458" s="80">
        <v>40.0</v>
      </c>
      <c r="M458" s="94" t="s">
        <v>4223</v>
      </c>
      <c r="N458" s="79" t="s">
        <v>4224</v>
      </c>
      <c r="O458" s="79" t="s">
        <v>4225</v>
      </c>
      <c r="P458" s="83" t="s">
        <v>4226</v>
      </c>
      <c r="Q458" s="81"/>
      <c r="R458" s="79" t="s">
        <v>4227</v>
      </c>
      <c r="S458" s="81"/>
      <c r="T458" s="81"/>
      <c r="U458" s="81"/>
      <c r="V458" s="81"/>
      <c r="W458" s="81"/>
      <c r="X458" s="81"/>
      <c r="Y458" s="81"/>
      <c r="Z458" s="81"/>
      <c r="AA458" s="81"/>
      <c r="AB458" s="81"/>
      <c r="AC458" s="81"/>
      <c r="AD458" s="81"/>
      <c r="AE458" s="81"/>
      <c r="AF458" s="81"/>
      <c r="AG458" s="81"/>
      <c r="AH458" s="81"/>
      <c r="AI458" s="81"/>
      <c r="AJ458" s="81"/>
      <c r="AK458" s="79"/>
      <c r="AL458" s="79"/>
    </row>
    <row r="459" ht="22.5" customHeight="1">
      <c r="A459" s="79">
        <v>10457.0</v>
      </c>
      <c r="B459" s="79" t="s">
        <v>1230</v>
      </c>
      <c r="C459" s="79" t="s">
        <v>238</v>
      </c>
      <c r="D459" s="79" t="s">
        <v>5526</v>
      </c>
      <c r="E459" s="79" t="s">
        <v>429</v>
      </c>
      <c r="F459" s="80">
        <v>2.0</v>
      </c>
      <c r="G459" s="81"/>
      <c r="H459" s="79" t="s">
        <v>578</v>
      </c>
      <c r="I459" s="80">
        <v>2000.0</v>
      </c>
      <c r="J459" s="81"/>
      <c r="K459" s="79" t="s">
        <v>324</v>
      </c>
      <c r="L459" s="80" t="s">
        <v>325</v>
      </c>
      <c r="M459" s="79" t="s">
        <v>5529</v>
      </c>
      <c r="N459" s="79" t="s">
        <v>5472</v>
      </c>
      <c r="O459" s="79" t="s">
        <v>5532</v>
      </c>
      <c r="P459" s="83">
        <v>40213.0</v>
      </c>
      <c r="Q459" s="81" t="s">
        <v>5534</v>
      </c>
      <c r="R459" s="86" t="str">
        <f>HYPERLINK("https://nudges.wordpress.com/tag/environment/","https://nudges.wordpress.com/tag/environment/")</f>
        <v>https://nudges.wordpress.com/tag/environment/</v>
      </c>
      <c r="S459" s="81"/>
      <c r="T459" s="81" t="s">
        <v>428</v>
      </c>
      <c r="U459" s="81" t="s">
        <v>462</v>
      </c>
      <c r="V459" s="81"/>
      <c r="W459" s="81" t="s">
        <v>600</v>
      </c>
      <c r="X459" s="81"/>
      <c r="Y459" s="88"/>
      <c r="Z459" s="81"/>
      <c r="AA459" s="81"/>
      <c r="AB459" s="81"/>
      <c r="AC459" s="88"/>
      <c r="AD459" s="81"/>
      <c r="AE459" s="81"/>
      <c r="AF459" s="81"/>
      <c r="AG459" s="81"/>
      <c r="AH459" s="81"/>
      <c r="AI459" s="81"/>
      <c r="AJ459" s="81"/>
      <c r="AK459" s="79"/>
      <c r="AL459" s="79"/>
    </row>
    <row r="460" ht="22.5" customHeight="1">
      <c r="A460" s="79"/>
      <c r="B460" s="79"/>
      <c r="C460" s="79"/>
      <c r="D460" s="79"/>
      <c r="E460" s="79"/>
      <c r="F460" s="80"/>
      <c r="G460" s="81"/>
      <c r="H460" s="79"/>
      <c r="I460" s="80"/>
      <c r="J460" s="81"/>
      <c r="K460" s="79"/>
      <c r="L460" s="80"/>
      <c r="M460" s="94"/>
      <c r="N460" s="79"/>
      <c r="O460" s="79"/>
      <c r="P460" s="83"/>
      <c r="Q460" s="81"/>
      <c r="R460" s="79"/>
      <c r="S460" s="81"/>
      <c r="T460" s="81"/>
      <c r="U460" s="81"/>
      <c r="V460" s="81"/>
      <c r="W460" s="81"/>
      <c r="X460" s="81"/>
      <c r="Y460" s="81"/>
      <c r="Z460" s="81"/>
      <c r="AA460" s="81"/>
      <c r="AB460" s="81"/>
      <c r="AC460" s="81"/>
      <c r="AD460" s="81"/>
      <c r="AE460" s="81"/>
      <c r="AF460" s="81"/>
      <c r="AG460" s="81"/>
      <c r="AH460" s="81"/>
      <c r="AI460" s="81"/>
      <c r="AJ460" s="81"/>
      <c r="AK460" s="79"/>
      <c r="AL460" s="79"/>
    </row>
    <row r="461" ht="22.5" customHeight="1">
      <c r="A461" s="79"/>
      <c r="B461" s="79"/>
      <c r="C461" s="79"/>
      <c r="D461" s="79"/>
      <c r="E461" s="79"/>
      <c r="F461" s="80"/>
      <c r="G461" s="81"/>
      <c r="H461" s="79"/>
      <c r="I461" s="80"/>
      <c r="J461" s="81"/>
      <c r="K461" s="79"/>
      <c r="L461" s="80"/>
      <c r="M461" s="94"/>
      <c r="N461" s="79"/>
      <c r="O461" s="79"/>
      <c r="P461" s="83"/>
      <c r="Q461" s="81"/>
      <c r="R461" s="79"/>
      <c r="S461" s="81"/>
      <c r="T461" s="81"/>
      <c r="U461" s="81"/>
      <c r="V461" s="81"/>
      <c r="W461" s="81"/>
      <c r="X461" s="81"/>
      <c r="Y461" s="81"/>
      <c r="Z461" s="81"/>
      <c r="AA461" s="81"/>
      <c r="AB461" s="81"/>
      <c r="AC461" s="81"/>
      <c r="AD461" s="81"/>
      <c r="AE461" s="81"/>
      <c r="AF461" s="81"/>
      <c r="AG461" s="81"/>
      <c r="AH461" s="81"/>
      <c r="AI461" s="81"/>
      <c r="AJ461" s="81"/>
      <c r="AK461" s="79"/>
      <c r="AL461" s="79"/>
    </row>
    <row r="462" ht="22.5" customHeight="1">
      <c r="A462" s="79"/>
      <c r="B462" s="79"/>
      <c r="C462" s="79"/>
      <c r="D462" s="79"/>
      <c r="E462" s="79"/>
      <c r="F462" s="80"/>
      <c r="G462" s="81"/>
      <c r="H462" s="79"/>
      <c r="I462" s="80"/>
      <c r="J462" s="81"/>
      <c r="K462" s="79"/>
      <c r="L462" s="80"/>
      <c r="M462" s="94"/>
      <c r="N462" s="79"/>
      <c r="O462" s="79"/>
      <c r="P462" s="83"/>
      <c r="Q462" s="81"/>
      <c r="R462" s="79"/>
      <c r="S462" s="81"/>
      <c r="T462" s="81"/>
      <c r="U462" s="81"/>
      <c r="V462" s="81"/>
      <c r="W462" s="81"/>
      <c r="X462" s="81"/>
      <c r="Y462" s="81"/>
      <c r="Z462" s="81"/>
      <c r="AA462" s="81"/>
      <c r="AB462" s="81"/>
      <c r="AC462" s="81"/>
      <c r="AD462" s="81"/>
      <c r="AE462" s="81"/>
      <c r="AF462" s="81"/>
      <c r="AG462" s="81"/>
      <c r="AH462" s="81"/>
      <c r="AI462" s="81"/>
      <c r="AJ462" s="81"/>
      <c r="AK462" s="79"/>
      <c r="AL462" s="79"/>
    </row>
    <row r="463" ht="22.5" customHeight="1">
      <c r="A463" s="79"/>
      <c r="B463" s="79"/>
      <c r="C463" s="79"/>
      <c r="D463" s="79"/>
      <c r="E463" s="79"/>
      <c r="F463" s="80"/>
      <c r="G463" s="81"/>
      <c r="H463" s="79"/>
      <c r="I463" s="80"/>
      <c r="J463" s="81"/>
      <c r="K463" s="79"/>
      <c r="L463" s="80"/>
      <c r="M463" s="94"/>
      <c r="N463" s="79"/>
      <c r="O463" s="79"/>
      <c r="P463" s="83"/>
      <c r="Q463" s="81"/>
      <c r="R463" s="79"/>
      <c r="S463" s="81"/>
      <c r="T463" s="81"/>
      <c r="U463" s="81"/>
      <c r="V463" s="81"/>
      <c r="W463" s="81"/>
      <c r="X463" s="81"/>
      <c r="Y463" s="81"/>
      <c r="Z463" s="81"/>
      <c r="AA463" s="81"/>
      <c r="AB463" s="81"/>
      <c r="AC463" s="81"/>
      <c r="AD463" s="81"/>
      <c r="AE463" s="81"/>
      <c r="AF463" s="81"/>
      <c r="AG463" s="81"/>
      <c r="AH463" s="81"/>
      <c r="AI463" s="81"/>
      <c r="AJ463" s="81"/>
      <c r="AK463" s="79"/>
      <c r="AL463" s="79"/>
    </row>
    <row r="464" ht="22.5" customHeight="1">
      <c r="A464" s="79"/>
      <c r="B464" s="79"/>
      <c r="C464" s="79"/>
      <c r="D464" s="79"/>
      <c r="E464" s="79"/>
      <c r="F464" s="80"/>
      <c r="G464" s="81"/>
      <c r="H464" s="79"/>
      <c r="I464" s="80"/>
      <c r="J464" s="81"/>
      <c r="K464" s="79"/>
      <c r="L464" s="80"/>
      <c r="M464" s="94"/>
      <c r="N464" s="79"/>
      <c r="O464" s="79"/>
      <c r="P464" s="83"/>
      <c r="Q464" s="81"/>
      <c r="R464" s="79"/>
      <c r="S464" s="81"/>
      <c r="T464" s="81"/>
      <c r="U464" s="81"/>
      <c r="V464" s="81"/>
      <c r="W464" s="81"/>
      <c r="X464" s="81"/>
      <c r="Y464" s="81"/>
      <c r="Z464" s="81"/>
      <c r="AA464" s="81"/>
      <c r="AB464" s="81"/>
      <c r="AC464" s="81"/>
      <c r="AD464" s="81"/>
      <c r="AE464" s="81"/>
      <c r="AF464" s="81"/>
      <c r="AG464" s="81"/>
      <c r="AH464" s="81"/>
      <c r="AI464" s="81"/>
      <c r="AJ464" s="81"/>
      <c r="AK464" s="79"/>
      <c r="AL464" s="79"/>
    </row>
    <row r="465" ht="22.5" customHeight="1">
      <c r="A465" s="79"/>
      <c r="B465" s="79"/>
      <c r="C465" s="79"/>
      <c r="D465" s="79"/>
      <c r="E465" s="79"/>
      <c r="F465" s="79"/>
      <c r="G465" s="79"/>
      <c r="H465" s="79"/>
      <c r="I465" s="79"/>
      <c r="J465" s="79"/>
      <c r="K465" s="79"/>
      <c r="L465" s="79"/>
      <c r="M465" s="79"/>
      <c r="N465" s="79"/>
      <c r="O465" s="79"/>
      <c r="P465" s="79"/>
      <c r="Q465" s="79"/>
      <c r="R465" s="79"/>
      <c r="S465" s="79"/>
      <c r="T465" s="79"/>
      <c r="U465" s="79"/>
      <c r="V465" s="79"/>
      <c r="W465" s="79"/>
      <c r="X465" s="79"/>
      <c r="Y465" s="79"/>
      <c r="Z465" s="79"/>
      <c r="AA465" s="79"/>
      <c r="AB465" s="79"/>
      <c r="AC465" s="79"/>
      <c r="AD465" s="79"/>
      <c r="AE465" s="79"/>
      <c r="AF465" s="79"/>
      <c r="AG465" s="79"/>
      <c r="AH465" s="79"/>
      <c r="AI465" s="79"/>
      <c r="AJ465" s="79"/>
      <c r="AK465" s="79"/>
      <c r="AL465" s="79"/>
    </row>
    <row r="466" ht="22.5" customHeight="1">
      <c r="A466" s="79"/>
      <c r="B466" s="79"/>
      <c r="C466" s="79"/>
      <c r="D466" s="79"/>
      <c r="E466" s="79"/>
      <c r="F466" s="79"/>
      <c r="G466" s="79"/>
      <c r="H466" s="79"/>
      <c r="I466" s="79"/>
      <c r="J466" s="79"/>
      <c r="K466" s="79"/>
      <c r="L466" s="79"/>
      <c r="M466" s="79"/>
      <c r="N466" s="79"/>
      <c r="O466" s="79"/>
      <c r="P466" s="79"/>
      <c r="Q466" s="79"/>
      <c r="R466" s="79"/>
      <c r="S466" s="79"/>
      <c r="T466" s="79"/>
      <c r="U466" s="79"/>
      <c r="V466" s="79"/>
      <c r="W466" s="79"/>
      <c r="X466" s="79"/>
      <c r="Y466" s="79"/>
      <c r="Z466" s="79"/>
      <c r="AA466" s="79"/>
      <c r="AB466" s="79"/>
      <c r="AC466" s="79"/>
      <c r="AD466" s="79"/>
      <c r="AE466" s="79"/>
      <c r="AF466" s="79"/>
      <c r="AG466" s="79"/>
      <c r="AH466" s="79"/>
      <c r="AI466" s="79"/>
      <c r="AJ466" s="79"/>
      <c r="AK466" s="79"/>
      <c r="AL466" s="79"/>
    </row>
    <row r="467" ht="22.5" customHeight="1">
      <c r="A467" s="79"/>
      <c r="B467" s="79"/>
      <c r="C467" s="79"/>
      <c r="D467" s="79"/>
      <c r="E467" s="79"/>
      <c r="F467" s="79"/>
      <c r="G467" s="79"/>
      <c r="H467" s="79"/>
      <c r="I467" s="79"/>
      <c r="J467" s="79"/>
      <c r="K467" s="79"/>
      <c r="L467" s="79"/>
      <c r="M467" s="79"/>
      <c r="N467" s="79"/>
      <c r="O467" s="79"/>
      <c r="P467" s="79"/>
      <c r="Q467" s="79"/>
      <c r="R467" s="79"/>
      <c r="S467" s="79"/>
      <c r="T467" s="79"/>
      <c r="U467" s="79"/>
      <c r="V467" s="79"/>
      <c r="W467" s="79"/>
      <c r="X467" s="79"/>
      <c r="Y467" s="79"/>
      <c r="Z467" s="79"/>
      <c r="AA467" s="79"/>
      <c r="AB467" s="79"/>
      <c r="AC467" s="79"/>
      <c r="AD467" s="79"/>
      <c r="AE467" s="79"/>
      <c r="AF467" s="79"/>
      <c r="AG467" s="79"/>
      <c r="AH467" s="79"/>
      <c r="AI467" s="79"/>
      <c r="AJ467" s="79"/>
      <c r="AK467" s="79"/>
      <c r="AL467" s="79"/>
    </row>
    <row r="468" ht="22.5" customHeight="1">
      <c r="A468" s="79"/>
      <c r="B468" s="79"/>
      <c r="C468" s="79"/>
      <c r="D468" s="79"/>
      <c r="E468" s="79"/>
      <c r="F468" s="79"/>
      <c r="G468" s="79"/>
      <c r="H468" s="79"/>
      <c r="I468" s="79"/>
      <c r="J468" s="79"/>
      <c r="K468" s="79"/>
      <c r="L468" s="79"/>
      <c r="M468" s="79"/>
      <c r="N468" s="79"/>
      <c r="O468" s="79"/>
      <c r="P468" s="79"/>
      <c r="Q468" s="79"/>
      <c r="R468" s="79"/>
      <c r="S468" s="79"/>
      <c r="T468" s="79"/>
      <c r="U468" s="79"/>
      <c r="V468" s="79"/>
      <c r="W468" s="79"/>
      <c r="X468" s="79"/>
      <c r="Y468" s="79"/>
      <c r="Z468" s="79"/>
      <c r="AA468" s="79"/>
      <c r="AB468" s="79"/>
      <c r="AC468" s="79"/>
      <c r="AD468" s="79"/>
      <c r="AE468" s="79"/>
      <c r="AF468" s="79"/>
      <c r="AG468" s="79"/>
      <c r="AH468" s="79"/>
      <c r="AI468" s="79"/>
      <c r="AJ468" s="79"/>
      <c r="AK468" s="79"/>
      <c r="AL468" s="79"/>
    </row>
    <row r="469" ht="22.5" customHeight="1">
      <c r="A469" s="79"/>
      <c r="B469" s="79"/>
      <c r="C469" s="79"/>
      <c r="D469" s="79"/>
      <c r="E469" s="79"/>
      <c r="F469" s="79"/>
      <c r="G469" s="79"/>
      <c r="H469" s="79"/>
      <c r="I469" s="79"/>
      <c r="J469" s="79"/>
      <c r="K469" s="79"/>
      <c r="L469" s="79"/>
      <c r="M469" s="79"/>
      <c r="N469" s="79"/>
      <c r="O469" s="79"/>
      <c r="P469" s="79"/>
      <c r="Q469" s="79"/>
      <c r="R469" s="79"/>
      <c r="S469" s="79"/>
      <c r="T469" s="79"/>
      <c r="U469" s="79"/>
      <c r="V469" s="79"/>
      <c r="W469" s="79"/>
      <c r="X469" s="79"/>
      <c r="Y469" s="79"/>
      <c r="Z469" s="79"/>
      <c r="AA469" s="79"/>
      <c r="AB469" s="79"/>
      <c r="AC469" s="79"/>
      <c r="AD469" s="79"/>
      <c r="AE469" s="79"/>
      <c r="AF469" s="79"/>
      <c r="AG469" s="79"/>
      <c r="AH469" s="79"/>
      <c r="AI469" s="79"/>
      <c r="AJ469" s="79"/>
      <c r="AK469" s="79"/>
      <c r="AL469" s="79"/>
    </row>
    <row r="470" ht="22.5" customHeight="1">
      <c r="A470" s="79"/>
      <c r="B470" s="79"/>
      <c r="C470" s="79"/>
      <c r="D470" s="79"/>
      <c r="E470" s="79"/>
      <c r="F470" s="79"/>
      <c r="G470" s="79"/>
      <c r="H470" s="79"/>
      <c r="I470" s="79"/>
      <c r="J470" s="79"/>
      <c r="K470" s="79"/>
      <c r="L470" s="79"/>
      <c r="M470" s="79"/>
      <c r="N470" s="79"/>
      <c r="O470" s="79"/>
      <c r="P470" s="79"/>
      <c r="Q470" s="79"/>
      <c r="R470" s="79"/>
      <c r="S470" s="79"/>
      <c r="T470" s="79"/>
      <c r="U470" s="79"/>
      <c r="V470" s="79"/>
      <c r="W470" s="79"/>
      <c r="X470" s="79"/>
      <c r="Y470" s="79"/>
      <c r="Z470" s="79"/>
      <c r="AA470" s="79"/>
      <c r="AB470" s="79"/>
      <c r="AC470" s="79"/>
      <c r="AD470" s="79"/>
      <c r="AE470" s="79"/>
      <c r="AF470" s="79"/>
      <c r="AG470" s="79"/>
      <c r="AH470" s="79"/>
      <c r="AI470" s="79"/>
      <c r="AJ470" s="79"/>
      <c r="AK470" s="79"/>
      <c r="AL470" s="79"/>
    </row>
    <row r="471" ht="22.5" customHeight="1">
      <c r="A471" s="79"/>
      <c r="B471" s="79"/>
      <c r="C471" s="79"/>
      <c r="D471" s="79"/>
      <c r="E471" s="79"/>
      <c r="F471" s="79"/>
      <c r="G471" s="79"/>
      <c r="H471" s="79"/>
      <c r="I471" s="79"/>
      <c r="J471" s="79"/>
      <c r="K471" s="79"/>
      <c r="L471" s="79"/>
      <c r="M471" s="79"/>
      <c r="N471" s="79"/>
      <c r="O471" s="79"/>
      <c r="P471" s="79"/>
      <c r="Q471" s="79"/>
      <c r="R471" s="79"/>
      <c r="S471" s="79"/>
      <c r="T471" s="79"/>
      <c r="U471" s="79"/>
      <c r="V471" s="79"/>
      <c r="W471" s="79"/>
      <c r="X471" s="79"/>
      <c r="Y471" s="79"/>
      <c r="Z471" s="79"/>
      <c r="AA471" s="79"/>
      <c r="AB471" s="79"/>
      <c r="AC471" s="79"/>
      <c r="AD471" s="79"/>
      <c r="AE471" s="79"/>
      <c r="AF471" s="79"/>
      <c r="AG471" s="79"/>
      <c r="AH471" s="79"/>
      <c r="AI471" s="79"/>
      <c r="AJ471" s="79"/>
      <c r="AK471" s="79"/>
      <c r="AL471" s="79"/>
    </row>
    <row r="472" ht="22.5" customHeight="1">
      <c r="A472" s="79"/>
      <c r="B472" s="79"/>
      <c r="C472" s="79"/>
      <c r="D472" s="79"/>
      <c r="E472" s="79"/>
      <c r="F472" s="80"/>
      <c r="G472" s="81"/>
      <c r="H472" s="79"/>
      <c r="I472" s="80"/>
      <c r="J472" s="81"/>
      <c r="K472" s="79"/>
      <c r="L472" s="80"/>
      <c r="M472" s="94"/>
      <c r="N472" s="79"/>
      <c r="O472" s="79"/>
      <c r="P472" s="83"/>
      <c r="Q472" s="81"/>
      <c r="R472" s="79"/>
      <c r="S472" s="81"/>
      <c r="T472" s="81"/>
      <c r="U472" s="81"/>
      <c r="V472" s="81"/>
      <c r="W472" s="81"/>
      <c r="X472" s="81"/>
      <c r="Y472" s="81"/>
      <c r="Z472" s="81"/>
      <c r="AA472" s="81"/>
      <c r="AB472" s="81"/>
      <c r="AC472" s="81"/>
      <c r="AD472" s="81"/>
      <c r="AE472" s="81"/>
      <c r="AF472" s="81"/>
      <c r="AG472" s="81"/>
      <c r="AH472" s="81"/>
      <c r="AI472" s="81"/>
      <c r="AJ472" s="81"/>
      <c r="AK472" s="81"/>
      <c r="AL472" s="79"/>
    </row>
    <row r="473" ht="22.5" customHeight="1">
      <c r="A473" s="79"/>
      <c r="B473" s="79"/>
      <c r="C473" s="79"/>
      <c r="D473" s="79"/>
      <c r="E473" s="79"/>
      <c r="F473" s="79"/>
      <c r="G473" s="79"/>
      <c r="H473" s="79"/>
      <c r="I473" s="79"/>
      <c r="J473" s="79"/>
      <c r="K473" s="79"/>
      <c r="L473" s="79"/>
      <c r="M473" s="79"/>
      <c r="N473" s="79"/>
      <c r="O473" s="79"/>
      <c r="P473" s="79"/>
      <c r="Q473" s="79"/>
      <c r="R473" s="79"/>
      <c r="S473" s="79"/>
      <c r="T473" s="79"/>
      <c r="U473" s="79"/>
      <c r="V473" s="79"/>
      <c r="W473" s="79"/>
      <c r="X473" s="79"/>
      <c r="Y473" s="79"/>
      <c r="Z473" s="79"/>
      <c r="AA473" s="79"/>
      <c r="AB473" s="79"/>
      <c r="AC473" s="79"/>
      <c r="AD473" s="79"/>
      <c r="AE473" s="79"/>
      <c r="AF473" s="79"/>
      <c r="AG473" s="79"/>
      <c r="AH473" s="79"/>
      <c r="AI473" s="79"/>
      <c r="AJ473" s="79"/>
      <c r="AK473" s="79"/>
      <c r="AL473" s="79"/>
    </row>
    <row r="474" ht="22.5" customHeight="1">
      <c r="A474" s="79"/>
      <c r="B474" s="79"/>
      <c r="C474" s="79"/>
      <c r="D474" s="79"/>
      <c r="E474" s="79"/>
      <c r="F474" s="79"/>
      <c r="G474" s="79"/>
      <c r="H474" s="79"/>
      <c r="I474" s="79"/>
      <c r="J474" s="79"/>
      <c r="K474" s="79"/>
      <c r="L474" s="79"/>
      <c r="M474" s="79"/>
      <c r="N474" s="79"/>
      <c r="O474" s="79"/>
      <c r="P474" s="79"/>
      <c r="Q474" s="79"/>
      <c r="R474" s="79"/>
      <c r="S474" s="79"/>
      <c r="T474" s="79"/>
      <c r="U474" s="79"/>
      <c r="V474" s="79"/>
      <c r="W474" s="79"/>
      <c r="X474" s="79"/>
      <c r="Y474" s="79"/>
      <c r="Z474" s="79"/>
      <c r="AA474" s="79"/>
      <c r="AB474" s="79"/>
      <c r="AC474" s="79"/>
      <c r="AD474" s="79"/>
      <c r="AE474" s="79"/>
      <c r="AF474" s="79"/>
      <c r="AG474" s="79"/>
      <c r="AH474" s="79"/>
      <c r="AI474" s="79"/>
      <c r="AJ474" s="79"/>
      <c r="AK474" s="79"/>
      <c r="AL474" s="79"/>
    </row>
    <row r="475" ht="22.5" customHeight="1">
      <c r="A475" s="79"/>
      <c r="B475" s="79"/>
      <c r="C475" s="79"/>
      <c r="D475" s="79"/>
      <c r="E475" s="79"/>
      <c r="F475" s="79"/>
      <c r="G475" s="79"/>
      <c r="H475" s="79"/>
      <c r="I475" s="79"/>
      <c r="J475" s="79"/>
      <c r="K475" s="79"/>
      <c r="L475" s="79"/>
      <c r="M475" s="79"/>
      <c r="N475" s="79"/>
      <c r="O475" s="79"/>
      <c r="P475" s="79"/>
      <c r="Q475" s="79"/>
      <c r="R475" s="79"/>
      <c r="S475" s="79"/>
      <c r="T475" s="79"/>
      <c r="U475" s="79"/>
      <c r="V475" s="79"/>
      <c r="W475" s="79"/>
      <c r="X475" s="79"/>
      <c r="Y475" s="79"/>
      <c r="Z475" s="79"/>
      <c r="AA475" s="79"/>
      <c r="AB475" s="79"/>
      <c r="AC475" s="79"/>
      <c r="AD475" s="79"/>
      <c r="AE475" s="79"/>
      <c r="AF475" s="79"/>
      <c r="AG475" s="79"/>
      <c r="AH475" s="79"/>
      <c r="AI475" s="79"/>
      <c r="AJ475" s="79"/>
      <c r="AK475" s="79"/>
      <c r="AL475" s="79"/>
    </row>
    <row r="476" ht="22.5" customHeight="1">
      <c r="A476" s="79"/>
      <c r="B476" s="79"/>
      <c r="C476" s="79"/>
      <c r="D476" s="79"/>
      <c r="E476" s="79"/>
      <c r="F476" s="79"/>
      <c r="G476" s="79"/>
      <c r="H476" s="79"/>
      <c r="I476" s="79"/>
      <c r="J476" s="79"/>
      <c r="K476" s="79"/>
      <c r="L476" s="79"/>
      <c r="M476" s="79"/>
      <c r="N476" s="79"/>
      <c r="O476" s="79"/>
      <c r="P476" s="79"/>
      <c r="Q476" s="79"/>
      <c r="R476" s="79"/>
      <c r="S476" s="79"/>
      <c r="T476" s="79"/>
      <c r="U476" s="79"/>
      <c r="V476" s="79"/>
      <c r="W476" s="79"/>
      <c r="X476" s="79"/>
      <c r="Y476" s="79"/>
      <c r="Z476" s="79"/>
      <c r="AA476" s="79"/>
      <c r="AB476" s="79"/>
      <c r="AC476" s="79"/>
      <c r="AD476" s="79"/>
      <c r="AE476" s="79"/>
      <c r="AF476" s="79"/>
      <c r="AG476" s="79"/>
      <c r="AH476" s="79"/>
      <c r="AI476" s="79"/>
      <c r="AJ476" s="79"/>
      <c r="AK476" s="79"/>
      <c r="AL476" s="79"/>
    </row>
    <row r="477" ht="22.5" customHeight="1">
      <c r="A477" s="79"/>
      <c r="B477" s="79"/>
      <c r="C477" s="79"/>
      <c r="D477" s="79"/>
      <c r="E477" s="79"/>
      <c r="F477" s="79"/>
      <c r="G477" s="79"/>
      <c r="H477" s="79"/>
      <c r="I477" s="79"/>
      <c r="J477" s="79"/>
      <c r="K477" s="79"/>
      <c r="L477" s="79"/>
      <c r="M477" s="79"/>
      <c r="N477" s="79"/>
      <c r="O477" s="79"/>
      <c r="P477" s="79"/>
      <c r="Q477" s="79"/>
      <c r="R477" s="79"/>
      <c r="S477" s="79"/>
      <c r="T477" s="79"/>
      <c r="U477" s="79"/>
      <c r="V477" s="79"/>
      <c r="W477" s="79"/>
      <c r="X477" s="79"/>
      <c r="Y477" s="79"/>
      <c r="Z477" s="79"/>
      <c r="AA477" s="79"/>
      <c r="AB477" s="79"/>
      <c r="AC477" s="79"/>
      <c r="AD477" s="79"/>
      <c r="AE477" s="79"/>
      <c r="AF477" s="79"/>
      <c r="AG477" s="79"/>
      <c r="AH477" s="79"/>
      <c r="AI477" s="79"/>
      <c r="AJ477" s="79"/>
      <c r="AK477" s="79"/>
      <c r="AL477" s="79"/>
    </row>
    <row r="478" ht="22.5" customHeight="1">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c r="AA478" s="79"/>
      <c r="AB478" s="79"/>
      <c r="AC478" s="79"/>
      <c r="AD478" s="79"/>
      <c r="AE478" s="79"/>
      <c r="AF478" s="79"/>
      <c r="AG478" s="79"/>
      <c r="AH478" s="79"/>
      <c r="AI478" s="79"/>
      <c r="AJ478" s="79"/>
      <c r="AK478" s="79"/>
      <c r="AL478" s="79"/>
    </row>
    <row r="479" ht="22.5" customHeight="1">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c r="AA479" s="79"/>
      <c r="AB479" s="79"/>
      <c r="AC479" s="79"/>
      <c r="AD479" s="79"/>
      <c r="AE479" s="79"/>
      <c r="AF479" s="79"/>
      <c r="AG479" s="79"/>
      <c r="AH479" s="79"/>
      <c r="AI479" s="79"/>
      <c r="AJ479" s="79"/>
      <c r="AK479" s="79"/>
      <c r="AL479" s="79"/>
    </row>
    <row r="480" ht="22.5" customHeight="1">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c r="AA480" s="79"/>
      <c r="AB480" s="79"/>
      <c r="AC480" s="79"/>
      <c r="AD480" s="79"/>
      <c r="AE480" s="79"/>
      <c r="AF480" s="79"/>
      <c r="AG480" s="79"/>
      <c r="AH480" s="79"/>
      <c r="AI480" s="79"/>
      <c r="AJ480" s="79"/>
      <c r="AK480" s="79"/>
      <c r="AL480" s="79"/>
    </row>
    <row r="481" ht="22.5" customHeight="1">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c r="AA481" s="79"/>
      <c r="AB481" s="79"/>
      <c r="AC481" s="79"/>
      <c r="AD481" s="79"/>
      <c r="AE481" s="79"/>
      <c r="AF481" s="79"/>
      <c r="AG481" s="79"/>
      <c r="AH481" s="79"/>
      <c r="AI481" s="79"/>
      <c r="AJ481" s="79"/>
      <c r="AK481" s="79"/>
      <c r="AL481" s="79"/>
    </row>
    <row r="482" ht="22.5" customHeight="1">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c r="AA482" s="79"/>
      <c r="AB482" s="79"/>
      <c r="AC482" s="79"/>
      <c r="AD482" s="79"/>
      <c r="AE482" s="79"/>
      <c r="AF482" s="79"/>
      <c r="AG482" s="79"/>
      <c r="AH482" s="79"/>
      <c r="AI482" s="79"/>
      <c r="AJ482" s="79"/>
      <c r="AK482" s="79"/>
      <c r="AL482" s="79"/>
    </row>
    <row r="483" ht="22.5" customHeight="1">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c r="AA483" s="79"/>
      <c r="AB483" s="79"/>
      <c r="AC483" s="79"/>
      <c r="AD483" s="79"/>
      <c r="AE483" s="79"/>
      <c r="AF483" s="79"/>
      <c r="AG483" s="79"/>
      <c r="AH483" s="79"/>
      <c r="AI483" s="79"/>
      <c r="AJ483" s="79"/>
      <c r="AK483" s="79"/>
      <c r="AL483" s="79"/>
    </row>
    <row r="484" ht="22.5" customHeight="1">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c r="AA484" s="79"/>
      <c r="AB484" s="79"/>
      <c r="AC484" s="79"/>
      <c r="AD484" s="79"/>
      <c r="AE484" s="79"/>
      <c r="AF484" s="79"/>
      <c r="AG484" s="79"/>
      <c r="AH484" s="79"/>
      <c r="AI484" s="79"/>
      <c r="AJ484" s="79"/>
      <c r="AK484" s="79"/>
      <c r="AL484" s="79"/>
    </row>
    <row r="485" ht="22.5" customHeight="1">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c r="AA485" s="79"/>
      <c r="AB485" s="79"/>
      <c r="AC485" s="79"/>
      <c r="AD485" s="79"/>
      <c r="AE485" s="79"/>
      <c r="AF485" s="79"/>
      <c r="AG485" s="79"/>
      <c r="AH485" s="79"/>
      <c r="AI485" s="79"/>
      <c r="AJ485" s="79"/>
      <c r="AK485" s="79"/>
      <c r="AL485" s="79"/>
    </row>
    <row r="486" ht="22.5" customHeight="1">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c r="AA486" s="79"/>
      <c r="AB486" s="79"/>
      <c r="AC486" s="79"/>
      <c r="AD486" s="79"/>
      <c r="AE486" s="79"/>
      <c r="AF486" s="79"/>
      <c r="AG486" s="79"/>
      <c r="AH486" s="79"/>
      <c r="AI486" s="79"/>
      <c r="AJ486" s="79"/>
      <c r="AK486" s="79"/>
      <c r="AL486" s="79"/>
    </row>
    <row r="487" ht="22.5" customHeight="1">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c r="AA487" s="79"/>
      <c r="AB487" s="79"/>
      <c r="AC487" s="79"/>
      <c r="AD487" s="79"/>
      <c r="AE487" s="79"/>
      <c r="AF487" s="79"/>
      <c r="AG487" s="79"/>
      <c r="AH487" s="79"/>
      <c r="AI487" s="79"/>
      <c r="AJ487" s="79"/>
      <c r="AK487" s="79"/>
      <c r="AL487" s="79"/>
    </row>
    <row r="488" ht="22.5" customHeight="1">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c r="AA488" s="79"/>
      <c r="AB488" s="79"/>
      <c r="AC488" s="79"/>
      <c r="AD488" s="79"/>
      <c r="AE488" s="79"/>
      <c r="AF488" s="79"/>
      <c r="AG488" s="79"/>
      <c r="AH488" s="79"/>
      <c r="AI488" s="79"/>
      <c r="AJ488" s="79"/>
      <c r="AK488" s="79"/>
      <c r="AL488" s="79"/>
    </row>
    <row r="489" ht="22.5" customHeight="1">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c r="AA489" s="79"/>
      <c r="AB489" s="79"/>
      <c r="AC489" s="79"/>
      <c r="AD489" s="79"/>
      <c r="AE489" s="79"/>
      <c r="AF489" s="79"/>
      <c r="AG489" s="79"/>
      <c r="AH489" s="79"/>
      <c r="AI489" s="79"/>
      <c r="AJ489" s="79"/>
      <c r="AK489" s="79"/>
      <c r="AL489" s="79"/>
    </row>
    <row r="490" ht="22.5" customHeight="1">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c r="AA490" s="79"/>
      <c r="AB490" s="79"/>
      <c r="AC490" s="79"/>
      <c r="AD490" s="79"/>
      <c r="AE490" s="79"/>
      <c r="AF490" s="79"/>
      <c r="AG490" s="79"/>
      <c r="AH490" s="79"/>
      <c r="AI490" s="79"/>
      <c r="AJ490" s="79"/>
      <c r="AK490" s="79"/>
      <c r="AL490" s="79"/>
    </row>
    <row r="491" ht="22.5" customHeight="1">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c r="AA491" s="79"/>
      <c r="AB491" s="79"/>
      <c r="AC491" s="79"/>
      <c r="AD491" s="79"/>
      <c r="AE491" s="79"/>
      <c r="AF491" s="79"/>
      <c r="AG491" s="79"/>
      <c r="AH491" s="79"/>
      <c r="AI491" s="79"/>
      <c r="AJ491" s="79"/>
      <c r="AK491" s="79"/>
      <c r="AL491" s="79"/>
    </row>
    <row r="492" ht="22.5" customHeight="1">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c r="AA492" s="79"/>
      <c r="AB492" s="79"/>
      <c r="AC492" s="79"/>
      <c r="AD492" s="79"/>
      <c r="AE492" s="79"/>
      <c r="AF492" s="79"/>
      <c r="AG492" s="79"/>
      <c r="AH492" s="79"/>
      <c r="AI492" s="79"/>
      <c r="AJ492" s="79"/>
      <c r="AK492" s="79"/>
      <c r="AL492" s="79"/>
    </row>
    <row r="493" ht="22.5" customHeight="1">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c r="AA493" s="79"/>
      <c r="AB493" s="79"/>
      <c r="AC493" s="79"/>
      <c r="AD493" s="79"/>
      <c r="AE493" s="79"/>
      <c r="AF493" s="79"/>
      <c r="AG493" s="79"/>
      <c r="AH493" s="79"/>
      <c r="AI493" s="79"/>
      <c r="AJ493" s="79"/>
      <c r="AK493" s="79"/>
      <c r="AL493" s="79"/>
    </row>
    <row r="494" ht="22.5" customHeight="1">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c r="AA494" s="79"/>
      <c r="AB494" s="79"/>
      <c r="AC494" s="79"/>
      <c r="AD494" s="79"/>
      <c r="AE494" s="79"/>
      <c r="AF494" s="79"/>
      <c r="AG494" s="79"/>
      <c r="AH494" s="79"/>
      <c r="AI494" s="79"/>
      <c r="AJ494" s="79"/>
      <c r="AK494" s="79"/>
      <c r="AL494" s="79"/>
    </row>
    <row r="495" ht="22.5" customHeight="1">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c r="AA495" s="79"/>
      <c r="AB495" s="79"/>
      <c r="AC495" s="79"/>
      <c r="AD495" s="79"/>
      <c r="AE495" s="79"/>
      <c r="AF495" s="79"/>
      <c r="AG495" s="79"/>
      <c r="AH495" s="79"/>
      <c r="AI495" s="79"/>
      <c r="AJ495" s="79"/>
      <c r="AK495" s="79"/>
      <c r="AL495" s="79"/>
    </row>
    <row r="496" ht="22.5" customHeight="1">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c r="AA496" s="79"/>
      <c r="AB496" s="79"/>
      <c r="AC496" s="79"/>
      <c r="AD496" s="79"/>
      <c r="AE496" s="79"/>
      <c r="AF496" s="79"/>
      <c r="AG496" s="79"/>
      <c r="AH496" s="79"/>
      <c r="AI496" s="79"/>
      <c r="AJ496" s="79"/>
      <c r="AK496" s="79"/>
      <c r="AL496" s="79"/>
    </row>
    <row r="497" ht="22.5" customHeight="1">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c r="AA497" s="79"/>
      <c r="AB497" s="79"/>
      <c r="AC497" s="79"/>
      <c r="AD497" s="79"/>
      <c r="AE497" s="79"/>
      <c r="AF497" s="79"/>
      <c r="AG497" s="79"/>
      <c r="AH497" s="79"/>
      <c r="AI497" s="79"/>
      <c r="AJ497" s="79"/>
      <c r="AK497" s="79"/>
      <c r="AL497" s="79"/>
    </row>
    <row r="498" ht="22.5" customHeight="1">
      <c r="A498" s="79"/>
      <c r="B498" s="79"/>
      <c r="C498" s="79"/>
      <c r="D498" s="79"/>
      <c r="E498" s="79"/>
      <c r="F498" s="80"/>
      <c r="G498" s="81"/>
      <c r="H498" s="79"/>
      <c r="I498" s="80"/>
      <c r="J498" s="81"/>
      <c r="K498" s="79"/>
      <c r="L498" s="80"/>
      <c r="M498" s="94"/>
      <c r="N498" s="79"/>
      <c r="O498" s="79"/>
      <c r="P498" s="83"/>
      <c r="Q498" s="81"/>
      <c r="R498" s="79"/>
      <c r="S498" s="81"/>
      <c r="T498" s="81"/>
      <c r="U498" s="81"/>
      <c r="V498" s="81"/>
      <c r="W498" s="81"/>
      <c r="X498" s="81"/>
      <c r="Y498" s="81"/>
      <c r="Z498" s="81"/>
      <c r="AA498" s="81"/>
      <c r="AB498" s="81"/>
      <c r="AC498" s="81"/>
      <c r="AD498" s="81"/>
      <c r="AE498" s="81"/>
      <c r="AF498" s="81"/>
      <c r="AG498" s="81"/>
      <c r="AH498" s="81"/>
      <c r="AI498" s="81"/>
      <c r="AJ498" s="81"/>
      <c r="AK498" s="81"/>
      <c r="AL498" s="79"/>
    </row>
    <row r="499" ht="22.5" customHeight="1">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c r="AA499" s="79"/>
      <c r="AB499" s="79"/>
      <c r="AC499" s="79"/>
      <c r="AD499" s="79"/>
      <c r="AE499" s="79"/>
      <c r="AF499" s="79"/>
      <c r="AG499" s="79"/>
      <c r="AH499" s="79"/>
      <c r="AI499" s="79"/>
      <c r="AJ499" s="79"/>
      <c r="AK499" s="79"/>
      <c r="AL499" s="79"/>
    </row>
    <row r="500" ht="22.5" customHeight="1">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c r="AA500" s="79"/>
      <c r="AB500" s="79"/>
      <c r="AC500" s="79"/>
      <c r="AD500" s="79"/>
      <c r="AE500" s="79"/>
      <c r="AF500" s="79"/>
      <c r="AG500" s="79"/>
      <c r="AH500" s="79"/>
      <c r="AI500" s="79"/>
      <c r="AJ500" s="79"/>
      <c r="AK500" s="79"/>
      <c r="AL500" s="79"/>
    </row>
    <row r="501" ht="22.5" customHeight="1">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c r="AA501" s="79"/>
      <c r="AB501" s="79"/>
      <c r="AC501" s="79"/>
      <c r="AD501" s="79"/>
      <c r="AE501" s="79"/>
      <c r="AF501" s="79"/>
      <c r="AG501" s="79"/>
      <c r="AH501" s="79"/>
      <c r="AI501" s="79"/>
      <c r="AJ501" s="79"/>
      <c r="AK501" s="79"/>
      <c r="AL501" s="79"/>
    </row>
    <row r="502" ht="22.5" customHeight="1">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c r="AA502" s="79"/>
      <c r="AB502" s="79"/>
      <c r="AC502" s="79"/>
      <c r="AD502" s="79"/>
      <c r="AE502" s="79"/>
      <c r="AF502" s="79"/>
      <c r="AG502" s="79"/>
      <c r="AH502" s="79"/>
      <c r="AI502" s="79"/>
      <c r="AJ502" s="79"/>
      <c r="AK502" s="79"/>
      <c r="AL502" s="79"/>
    </row>
    <row r="503" ht="22.5" customHeight="1">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c r="AA503" s="79"/>
      <c r="AB503" s="79"/>
      <c r="AC503" s="79"/>
      <c r="AD503" s="79"/>
      <c r="AE503" s="79"/>
      <c r="AF503" s="79"/>
      <c r="AG503" s="79"/>
      <c r="AH503" s="79"/>
      <c r="AI503" s="79"/>
      <c r="AJ503" s="79"/>
      <c r="AK503" s="79"/>
      <c r="AL503" s="79"/>
    </row>
    <row r="504" ht="22.5" customHeight="1">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c r="AA504" s="79"/>
      <c r="AB504" s="79"/>
      <c r="AC504" s="79"/>
      <c r="AD504" s="79"/>
      <c r="AE504" s="79"/>
      <c r="AF504" s="79"/>
      <c r="AG504" s="79"/>
      <c r="AH504" s="79"/>
      <c r="AI504" s="79"/>
      <c r="AJ504" s="79"/>
      <c r="AK504" s="79"/>
      <c r="AL504" s="79"/>
    </row>
    <row r="505" ht="22.5" customHeight="1">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c r="AA505" s="79"/>
      <c r="AB505" s="79"/>
      <c r="AC505" s="79"/>
      <c r="AD505" s="79"/>
      <c r="AE505" s="79"/>
      <c r="AF505" s="79"/>
      <c r="AG505" s="79"/>
      <c r="AH505" s="79"/>
      <c r="AI505" s="79"/>
      <c r="AJ505" s="79"/>
      <c r="AK505" s="79"/>
      <c r="AL505" s="79"/>
    </row>
    <row r="506" ht="22.5" customHeight="1">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c r="AA506" s="79"/>
      <c r="AB506" s="79"/>
      <c r="AC506" s="79"/>
      <c r="AD506" s="79"/>
      <c r="AE506" s="79"/>
      <c r="AF506" s="79"/>
      <c r="AG506" s="79"/>
      <c r="AH506" s="79"/>
      <c r="AI506" s="79"/>
      <c r="AJ506" s="79"/>
      <c r="AK506" s="79"/>
      <c r="AL506" s="79"/>
    </row>
    <row r="507" ht="22.5" customHeight="1">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c r="AA507" s="79"/>
      <c r="AB507" s="79"/>
      <c r="AC507" s="79"/>
      <c r="AD507" s="79"/>
      <c r="AE507" s="79"/>
      <c r="AF507" s="79"/>
      <c r="AG507" s="79"/>
      <c r="AH507" s="79"/>
      <c r="AI507" s="79"/>
      <c r="AJ507" s="79"/>
      <c r="AK507" s="79"/>
      <c r="AL507" s="79"/>
    </row>
    <row r="508" ht="22.5" customHeight="1">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c r="AA508" s="79"/>
      <c r="AB508" s="79"/>
      <c r="AC508" s="79"/>
      <c r="AD508" s="79"/>
      <c r="AE508" s="79"/>
      <c r="AF508" s="79"/>
      <c r="AG508" s="79"/>
      <c r="AH508" s="79"/>
      <c r="AI508" s="79"/>
      <c r="AJ508" s="79"/>
      <c r="AK508" s="79"/>
      <c r="AL508" s="79"/>
    </row>
    <row r="509" ht="22.5" customHeight="1">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c r="AA509" s="79"/>
      <c r="AB509" s="79"/>
      <c r="AC509" s="79"/>
      <c r="AD509" s="79"/>
      <c r="AE509" s="79"/>
      <c r="AF509" s="79"/>
      <c r="AG509" s="79"/>
      <c r="AH509" s="79"/>
      <c r="AI509" s="79"/>
      <c r="AJ509" s="79"/>
      <c r="AK509" s="79"/>
      <c r="AL509" s="79"/>
    </row>
    <row r="510" ht="22.5" customHeight="1">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c r="AA510" s="79"/>
      <c r="AB510" s="79"/>
      <c r="AC510" s="79"/>
      <c r="AD510" s="79"/>
      <c r="AE510" s="79"/>
      <c r="AF510" s="79"/>
      <c r="AG510" s="79"/>
      <c r="AH510" s="79"/>
      <c r="AI510" s="79"/>
      <c r="AJ510" s="79"/>
      <c r="AK510" s="79"/>
      <c r="AL510" s="79"/>
    </row>
    <row r="511" ht="22.5" customHeight="1">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c r="AA511" s="79"/>
      <c r="AB511" s="79"/>
      <c r="AC511" s="79"/>
      <c r="AD511" s="79"/>
      <c r="AE511" s="79"/>
      <c r="AF511" s="79"/>
      <c r="AG511" s="79"/>
      <c r="AH511" s="79"/>
      <c r="AI511" s="79"/>
      <c r="AJ511" s="79"/>
      <c r="AK511" s="79"/>
      <c r="AL511" s="79"/>
    </row>
    <row r="512" ht="22.5" customHeight="1">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c r="AA512" s="79"/>
      <c r="AB512" s="79"/>
      <c r="AC512" s="79"/>
      <c r="AD512" s="79"/>
      <c r="AE512" s="79"/>
      <c r="AF512" s="79"/>
      <c r="AG512" s="79"/>
      <c r="AH512" s="79"/>
      <c r="AI512" s="79"/>
      <c r="AJ512" s="79"/>
      <c r="AK512" s="79"/>
      <c r="AL512" s="79"/>
    </row>
    <row r="513" ht="22.5" customHeight="1">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c r="AA513" s="79"/>
      <c r="AB513" s="79"/>
      <c r="AC513" s="79"/>
      <c r="AD513" s="79"/>
      <c r="AE513" s="79"/>
      <c r="AF513" s="79"/>
      <c r="AG513" s="79"/>
      <c r="AH513" s="79"/>
      <c r="AI513" s="79"/>
      <c r="AJ513" s="79"/>
      <c r="AK513" s="79"/>
      <c r="AL513" s="79"/>
    </row>
    <row r="514" ht="22.5" customHeight="1">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c r="AA514" s="79"/>
      <c r="AB514" s="79"/>
      <c r="AC514" s="79"/>
      <c r="AD514" s="79"/>
      <c r="AE514" s="79"/>
      <c r="AF514" s="79"/>
      <c r="AG514" s="79"/>
      <c r="AH514" s="79"/>
      <c r="AI514" s="79"/>
      <c r="AJ514" s="79"/>
      <c r="AK514" s="79"/>
      <c r="AL514" s="79"/>
    </row>
    <row r="515" ht="22.5" customHeight="1">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c r="AA515" s="79"/>
      <c r="AB515" s="79"/>
      <c r="AC515" s="79"/>
      <c r="AD515" s="79"/>
      <c r="AE515" s="79"/>
      <c r="AF515" s="79"/>
      <c r="AG515" s="79"/>
      <c r="AH515" s="79"/>
      <c r="AI515" s="79"/>
      <c r="AJ515" s="79"/>
      <c r="AK515" s="79"/>
      <c r="AL515" s="79"/>
    </row>
    <row r="516" ht="22.5" customHeight="1">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c r="AA516" s="79"/>
      <c r="AB516" s="79"/>
      <c r="AC516" s="79"/>
      <c r="AD516" s="79"/>
      <c r="AE516" s="79"/>
      <c r="AF516" s="79"/>
      <c r="AG516" s="79"/>
      <c r="AH516" s="79"/>
      <c r="AI516" s="79"/>
      <c r="AJ516" s="79"/>
      <c r="AK516" s="79"/>
      <c r="AL516" s="79"/>
    </row>
    <row r="517" ht="22.5" customHeight="1">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c r="AA517" s="79"/>
      <c r="AB517" s="79"/>
      <c r="AC517" s="79"/>
      <c r="AD517" s="79"/>
      <c r="AE517" s="79"/>
      <c r="AF517" s="79"/>
      <c r="AG517" s="79"/>
      <c r="AH517" s="79"/>
      <c r="AI517" s="79"/>
      <c r="AJ517" s="79"/>
      <c r="AK517" s="79"/>
      <c r="AL517" s="79"/>
    </row>
    <row r="518" ht="22.5" customHeight="1">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c r="AA518" s="79"/>
      <c r="AB518" s="79"/>
      <c r="AC518" s="79"/>
      <c r="AD518" s="79"/>
      <c r="AE518" s="79"/>
      <c r="AF518" s="79"/>
      <c r="AG518" s="79"/>
      <c r="AH518" s="79"/>
      <c r="AI518" s="79"/>
      <c r="AJ518" s="79"/>
      <c r="AK518" s="79"/>
      <c r="AL518" s="79"/>
    </row>
    <row r="519" ht="22.5" customHeight="1">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c r="AA519" s="79"/>
      <c r="AB519" s="79"/>
      <c r="AC519" s="79"/>
      <c r="AD519" s="79"/>
      <c r="AE519" s="79"/>
      <c r="AF519" s="79"/>
      <c r="AG519" s="79"/>
      <c r="AH519" s="79"/>
      <c r="AI519" s="79"/>
      <c r="AJ519" s="79"/>
      <c r="AK519" s="79"/>
      <c r="AL519" s="79"/>
    </row>
    <row r="520" ht="22.5" customHeight="1">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c r="AA520" s="79"/>
      <c r="AB520" s="79"/>
      <c r="AC520" s="79"/>
      <c r="AD520" s="79"/>
      <c r="AE520" s="79"/>
      <c r="AF520" s="79"/>
      <c r="AG520" s="79"/>
      <c r="AH520" s="79"/>
      <c r="AI520" s="79"/>
      <c r="AJ520" s="79"/>
      <c r="AK520" s="79"/>
      <c r="AL520" s="79"/>
    </row>
    <row r="521" ht="22.5" customHeight="1">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c r="AA521" s="79"/>
      <c r="AB521" s="79"/>
      <c r="AC521" s="79"/>
      <c r="AD521" s="79"/>
      <c r="AE521" s="79"/>
      <c r="AF521" s="79"/>
      <c r="AG521" s="79"/>
      <c r="AH521" s="79"/>
      <c r="AI521" s="79"/>
      <c r="AJ521" s="79"/>
      <c r="AK521" s="79"/>
      <c r="AL521" s="79"/>
    </row>
    <row r="522" ht="22.5" customHeight="1">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c r="AA522" s="79"/>
      <c r="AB522" s="79"/>
      <c r="AC522" s="79"/>
      <c r="AD522" s="79"/>
      <c r="AE522" s="79"/>
      <c r="AF522" s="79"/>
      <c r="AG522" s="79"/>
      <c r="AH522" s="79"/>
      <c r="AI522" s="79"/>
      <c r="AJ522" s="79"/>
      <c r="AK522" s="79"/>
      <c r="AL522" s="79"/>
    </row>
    <row r="523" ht="22.5" customHeight="1">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c r="AA523" s="79"/>
      <c r="AB523" s="79"/>
      <c r="AC523" s="79"/>
      <c r="AD523" s="79"/>
      <c r="AE523" s="79"/>
      <c r="AF523" s="79"/>
      <c r="AG523" s="79"/>
      <c r="AH523" s="79"/>
      <c r="AI523" s="79"/>
      <c r="AJ523" s="79"/>
      <c r="AK523" s="79"/>
      <c r="AL523" s="79"/>
    </row>
    <row r="524" ht="22.5" customHeight="1">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c r="AA524" s="79"/>
      <c r="AB524" s="79"/>
      <c r="AC524" s="79"/>
      <c r="AD524" s="79"/>
      <c r="AE524" s="79"/>
      <c r="AF524" s="79"/>
      <c r="AG524" s="79"/>
      <c r="AH524" s="79"/>
      <c r="AI524" s="79"/>
      <c r="AJ524" s="79"/>
      <c r="AK524" s="79"/>
      <c r="AL524" s="79"/>
    </row>
    <row r="525" ht="22.5" customHeight="1">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c r="AA525" s="79"/>
      <c r="AB525" s="79"/>
      <c r="AC525" s="79"/>
      <c r="AD525" s="79"/>
      <c r="AE525" s="79"/>
      <c r="AF525" s="79"/>
      <c r="AG525" s="79"/>
      <c r="AH525" s="79"/>
      <c r="AI525" s="79"/>
      <c r="AJ525" s="79"/>
      <c r="AK525" s="79"/>
      <c r="AL525" s="79"/>
    </row>
    <row r="526" ht="22.5" customHeight="1">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c r="AA526" s="79"/>
      <c r="AB526" s="79"/>
      <c r="AC526" s="79"/>
      <c r="AD526" s="79"/>
      <c r="AE526" s="79"/>
      <c r="AF526" s="79"/>
      <c r="AG526" s="79"/>
      <c r="AH526" s="79"/>
      <c r="AI526" s="79"/>
      <c r="AJ526" s="79"/>
      <c r="AK526" s="79"/>
      <c r="AL526" s="79"/>
    </row>
    <row r="527" ht="22.5" customHeight="1">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c r="AA527" s="79"/>
      <c r="AB527" s="79"/>
      <c r="AC527" s="79"/>
      <c r="AD527" s="79"/>
      <c r="AE527" s="79"/>
      <c r="AF527" s="79"/>
      <c r="AG527" s="79"/>
      <c r="AH527" s="79"/>
      <c r="AI527" s="79"/>
      <c r="AJ527" s="79"/>
      <c r="AK527" s="79"/>
      <c r="AL527" s="79"/>
    </row>
    <row r="528" ht="22.5" customHeight="1">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c r="AA528" s="79"/>
      <c r="AB528" s="79"/>
      <c r="AC528" s="79"/>
      <c r="AD528" s="79"/>
      <c r="AE528" s="79"/>
      <c r="AF528" s="79"/>
      <c r="AG528" s="79"/>
      <c r="AH528" s="79"/>
      <c r="AI528" s="79"/>
      <c r="AJ528" s="79"/>
      <c r="AK528" s="79"/>
      <c r="AL528" s="79"/>
    </row>
    <row r="529" ht="22.5" customHeight="1">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c r="AA529" s="79"/>
      <c r="AB529" s="79"/>
      <c r="AC529" s="79"/>
      <c r="AD529" s="79"/>
      <c r="AE529" s="79"/>
      <c r="AF529" s="79"/>
      <c r="AG529" s="79"/>
      <c r="AH529" s="79"/>
      <c r="AI529" s="79"/>
      <c r="AJ529" s="79"/>
      <c r="AK529" s="79"/>
      <c r="AL529" s="79"/>
    </row>
    <row r="530" ht="22.5" customHeight="1">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c r="AA530" s="79"/>
      <c r="AB530" s="79"/>
      <c r="AC530" s="79"/>
      <c r="AD530" s="79"/>
      <c r="AE530" s="79"/>
      <c r="AF530" s="79"/>
      <c r="AG530" s="79"/>
      <c r="AH530" s="79"/>
      <c r="AI530" s="79"/>
      <c r="AJ530" s="79"/>
      <c r="AK530" s="79"/>
      <c r="AL530" s="79"/>
    </row>
    <row r="531" ht="22.5" customHeight="1">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c r="AA531" s="79"/>
      <c r="AB531" s="79"/>
      <c r="AC531" s="79"/>
      <c r="AD531" s="79"/>
      <c r="AE531" s="79"/>
      <c r="AF531" s="79"/>
      <c r="AG531" s="79"/>
      <c r="AH531" s="79"/>
      <c r="AI531" s="79"/>
      <c r="AJ531" s="79"/>
      <c r="AK531" s="79"/>
      <c r="AL531" s="79"/>
    </row>
    <row r="532" ht="22.5" customHeight="1">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c r="AA532" s="79"/>
      <c r="AB532" s="79"/>
      <c r="AC532" s="79"/>
      <c r="AD532" s="79"/>
      <c r="AE532" s="79"/>
      <c r="AF532" s="79"/>
      <c r="AG532" s="79"/>
      <c r="AH532" s="79"/>
      <c r="AI532" s="79"/>
      <c r="AJ532" s="79"/>
      <c r="AK532" s="79"/>
      <c r="AL532" s="79"/>
    </row>
    <row r="533" ht="22.5" customHeight="1">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c r="AA533" s="79"/>
      <c r="AB533" s="79"/>
      <c r="AC533" s="79"/>
      <c r="AD533" s="79"/>
      <c r="AE533" s="79"/>
      <c r="AF533" s="79"/>
      <c r="AG533" s="79"/>
      <c r="AH533" s="79"/>
      <c r="AI533" s="79"/>
      <c r="AJ533" s="79"/>
      <c r="AK533" s="79"/>
      <c r="AL533" s="79"/>
    </row>
    <row r="534" ht="22.5" customHeight="1">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c r="AA534" s="79"/>
      <c r="AB534" s="79"/>
      <c r="AC534" s="79"/>
      <c r="AD534" s="79"/>
      <c r="AE534" s="79"/>
      <c r="AF534" s="79"/>
      <c r="AG534" s="79"/>
      <c r="AH534" s="79"/>
      <c r="AI534" s="79"/>
      <c r="AJ534" s="79"/>
      <c r="AK534" s="79"/>
      <c r="AL534" s="79"/>
    </row>
    <row r="535" ht="22.5" customHeight="1">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c r="AA535" s="79"/>
      <c r="AB535" s="79"/>
      <c r="AC535" s="79"/>
      <c r="AD535" s="79"/>
      <c r="AE535" s="79"/>
      <c r="AF535" s="79"/>
      <c r="AG535" s="79"/>
      <c r="AH535" s="79"/>
      <c r="AI535" s="79"/>
      <c r="AJ535" s="79"/>
      <c r="AK535" s="79"/>
      <c r="AL535" s="79"/>
    </row>
    <row r="536" ht="22.5" customHeight="1">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c r="AA536" s="79"/>
      <c r="AB536" s="79"/>
      <c r="AC536" s="79"/>
      <c r="AD536" s="79"/>
      <c r="AE536" s="79"/>
      <c r="AF536" s="79"/>
      <c r="AG536" s="79"/>
      <c r="AH536" s="79"/>
      <c r="AI536" s="79"/>
      <c r="AJ536" s="79"/>
      <c r="AK536" s="79"/>
      <c r="AL536" s="79"/>
    </row>
    <row r="537" ht="22.5" customHeight="1">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c r="AA537" s="79"/>
      <c r="AB537" s="79"/>
      <c r="AC537" s="79"/>
      <c r="AD537" s="79"/>
      <c r="AE537" s="79"/>
      <c r="AF537" s="79"/>
      <c r="AG537" s="79"/>
      <c r="AH537" s="79"/>
      <c r="AI537" s="79"/>
      <c r="AJ537" s="79"/>
      <c r="AK537" s="79"/>
      <c r="AL537" s="79"/>
    </row>
    <row r="538" ht="22.5" customHeight="1">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c r="AA538" s="79"/>
      <c r="AB538" s="79"/>
      <c r="AC538" s="79"/>
      <c r="AD538" s="79"/>
      <c r="AE538" s="79"/>
      <c r="AF538" s="79"/>
      <c r="AG538" s="79"/>
      <c r="AH538" s="79"/>
      <c r="AI538" s="79"/>
      <c r="AJ538" s="79"/>
      <c r="AK538" s="79"/>
      <c r="AL538" s="79"/>
    </row>
    <row r="539" ht="22.5" customHeight="1">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c r="AA539" s="79"/>
      <c r="AB539" s="79"/>
      <c r="AC539" s="79"/>
      <c r="AD539" s="79"/>
      <c r="AE539" s="79"/>
      <c r="AF539" s="79"/>
      <c r="AG539" s="79"/>
      <c r="AH539" s="79"/>
      <c r="AI539" s="79"/>
      <c r="AJ539" s="79"/>
      <c r="AK539" s="79"/>
      <c r="AL539" s="79"/>
    </row>
    <row r="540" ht="22.5" customHeight="1">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c r="AA540" s="79"/>
      <c r="AB540" s="79"/>
      <c r="AC540" s="79"/>
      <c r="AD540" s="79"/>
      <c r="AE540" s="79"/>
      <c r="AF540" s="79"/>
      <c r="AG540" s="79"/>
      <c r="AH540" s="79"/>
      <c r="AI540" s="79"/>
      <c r="AJ540" s="79"/>
      <c r="AK540" s="79"/>
      <c r="AL540" s="79"/>
    </row>
    <row r="541" ht="22.5" customHeight="1">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c r="AA541" s="79"/>
      <c r="AB541" s="79"/>
      <c r="AC541" s="79"/>
      <c r="AD541" s="79"/>
      <c r="AE541" s="79"/>
      <c r="AF541" s="79"/>
      <c r="AG541" s="79"/>
      <c r="AH541" s="79"/>
      <c r="AI541" s="79"/>
      <c r="AJ541" s="79"/>
      <c r="AK541" s="79"/>
      <c r="AL541" s="79"/>
    </row>
    <row r="542" ht="22.5" customHeight="1">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c r="AA542" s="79"/>
      <c r="AB542" s="79"/>
      <c r="AC542" s="79"/>
      <c r="AD542" s="79"/>
      <c r="AE542" s="79"/>
      <c r="AF542" s="79"/>
      <c r="AG542" s="79"/>
      <c r="AH542" s="79"/>
      <c r="AI542" s="79"/>
      <c r="AJ542" s="79"/>
      <c r="AK542" s="79"/>
      <c r="AL542" s="79"/>
    </row>
    <row r="543" ht="22.5" customHeight="1">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c r="AA543" s="79"/>
      <c r="AB543" s="79"/>
      <c r="AC543" s="79"/>
      <c r="AD543" s="79"/>
      <c r="AE543" s="79"/>
      <c r="AF543" s="79"/>
      <c r="AG543" s="79"/>
      <c r="AH543" s="79"/>
      <c r="AI543" s="79"/>
      <c r="AJ543" s="79"/>
      <c r="AK543" s="79"/>
      <c r="AL543" s="79"/>
    </row>
    <row r="544" ht="22.5" customHeight="1">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c r="AA544" s="79"/>
      <c r="AB544" s="79"/>
      <c r="AC544" s="79"/>
      <c r="AD544" s="79"/>
      <c r="AE544" s="79"/>
      <c r="AF544" s="79"/>
      <c r="AG544" s="79"/>
      <c r="AH544" s="79"/>
      <c r="AI544" s="79"/>
      <c r="AJ544" s="79"/>
      <c r="AK544" s="79"/>
      <c r="AL544" s="79"/>
    </row>
    <row r="545" ht="22.5" customHeight="1">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c r="AA545" s="79"/>
      <c r="AB545" s="79"/>
      <c r="AC545" s="79"/>
      <c r="AD545" s="79"/>
      <c r="AE545" s="79"/>
      <c r="AF545" s="79"/>
      <c r="AG545" s="79"/>
      <c r="AH545" s="79"/>
      <c r="AI545" s="79"/>
      <c r="AJ545" s="79"/>
      <c r="AK545" s="79"/>
      <c r="AL545" s="79"/>
    </row>
    <row r="546" ht="22.5" customHeight="1">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c r="AA546" s="79"/>
      <c r="AB546" s="79"/>
      <c r="AC546" s="79"/>
      <c r="AD546" s="79"/>
      <c r="AE546" s="79"/>
      <c r="AF546" s="79"/>
      <c r="AG546" s="79"/>
      <c r="AH546" s="79"/>
      <c r="AI546" s="79"/>
      <c r="AJ546" s="79"/>
      <c r="AK546" s="79"/>
      <c r="AL546" s="79"/>
    </row>
    <row r="547" ht="22.5" customHeight="1">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c r="AA547" s="79"/>
      <c r="AB547" s="79"/>
      <c r="AC547" s="79"/>
      <c r="AD547" s="79"/>
      <c r="AE547" s="79"/>
      <c r="AF547" s="79"/>
      <c r="AG547" s="79"/>
      <c r="AH547" s="79"/>
      <c r="AI547" s="79"/>
      <c r="AJ547" s="79"/>
      <c r="AK547" s="79"/>
      <c r="AL547" s="79"/>
    </row>
    <row r="548" ht="22.5" customHeight="1">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c r="AA548" s="79"/>
      <c r="AB548" s="79"/>
      <c r="AC548" s="79"/>
      <c r="AD548" s="79"/>
      <c r="AE548" s="79"/>
      <c r="AF548" s="79"/>
      <c r="AG548" s="79"/>
      <c r="AH548" s="79"/>
      <c r="AI548" s="79"/>
      <c r="AJ548" s="79"/>
      <c r="AK548" s="79"/>
      <c r="AL548" s="79"/>
    </row>
    <row r="549" ht="22.5" customHeight="1">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c r="AA549" s="79"/>
      <c r="AB549" s="79"/>
      <c r="AC549" s="79"/>
      <c r="AD549" s="79"/>
      <c r="AE549" s="79"/>
      <c r="AF549" s="79"/>
      <c r="AG549" s="79"/>
      <c r="AH549" s="79"/>
      <c r="AI549" s="79"/>
      <c r="AJ549" s="79"/>
      <c r="AK549" s="79"/>
      <c r="AL549" s="79"/>
    </row>
    <row r="550" ht="22.5" customHeight="1">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c r="AA550" s="79"/>
      <c r="AB550" s="79"/>
      <c r="AC550" s="79"/>
      <c r="AD550" s="79"/>
      <c r="AE550" s="79"/>
      <c r="AF550" s="79"/>
      <c r="AG550" s="79"/>
      <c r="AH550" s="79"/>
      <c r="AI550" s="79"/>
      <c r="AJ550" s="79"/>
      <c r="AK550" s="79"/>
      <c r="AL550" s="79"/>
    </row>
    <row r="551" ht="22.5" customHeight="1">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c r="AA551" s="79"/>
      <c r="AB551" s="79"/>
      <c r="AC551" s="79"/>
      <c r="AD551" s="79"/>
      <c r="AE551" s="79"/>
      <c r="AF551" s="79"/>
      <c r="AG551" s="79"/>
      <c r="AH551" s="79"/>
      <c r="AI551" s="79"/>
      <c r="AJ551" s="79"/>
      <c r="AK551" s="79"/>
      <c r="AL551" s="79"/>
    </row>
    <row r="552" ht="22.5" customHeight="1">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c r="AA552" s="79"/>
      <c r="AB552" s="79"/>
      <c r="AC552" s="79"/>
      <c r="AD552" s="79"/>
      <c r="AE552" s="79"/>
      <c r="AF552" s="79"/>
      <c r="AG552" s="79"/>
      <c r="AH552" s="79"/>
      <c r="AI552" s="79"/>
      <c r="AJ552" s="79"/>
      <c r="AK552" s="79"/>
      <c r="AL552" s="79"/>
    </row>
    <row r="553" ht="22.5" customHeight="1">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c r="AA553" s="79"/>
      <c r="AB553" s="79"/>
      <c r="AC553" s="79"/>
      <c r="AD553" s="79"/>
      <c r="AE553" s="79"/>
      <c r="AF553" s="79"/>
      <c r="AG553" s="79"/>
      <c r="AH553" s="79"/>
      <c r="AI553" s="79"/>
      <c r="AJ553" s="79"/>
      <c r="AK553" s="79"/>
      <c r="AL553" s="79"/>
    </row>
    <row r="554" ht="22.5" customHeight="1">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c r="AA554" s="79"/>
      <c r="AB554" s="79"/>
      <c r="AC554" s="79"/>
      <c r="AD554" s="79"/>
      <c r="AE554" s="79"/>
      <c r="AF554" s="79"/>
      <c r="AG554" s="79"/>
      <c r="AH554" s="79"/>
      <c r="AI554" s="79"/>
      <c r="AJ554" s="79"/>
      <c r="AK554" s="79"/>
      <c r="AL554" s="79"/>
    </row>
    <row r="555" ht="22.5" customHeight="1">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c r="AA555" s="79"/>
      <c r="AB555" s="79"/>
      <c r="AC555" s="79"/>
      <c r="AD555" s="79"/>
      <c r="AE555" s="79"/>
      <c r="AF555" s="79"/>
      <c r="AG555" s="79"/>
      <c r="AH555" s="79"/>
      <c r="AI555" s="79"/>
      <c r="AJ555" s="79"/>
      <c r="AK555" s="79"/>
      <c r="AL555" s="79"/>
    </row>
    <row r="556" ht="22.5" customHeight="1">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c r="AA556" s="79"/>
      <c r="AB556" s="79"/>
      <c r="AC556" s="79"/>
      <c r="AD556" s="79"/>
      <c r="AE556" s="79"/>
      <c r="AF556" s="79"/>
      <c r="AG556" s="79"/>
      <c r="AH556" s="79"/>
      <c r="AI556" s="79"/>
      <c r="AJ556" s="79"/>
      <c r="AK556" s="79"/>
      <c r="AL556" s="79"/>
    </row>
    <row r="557" ht="22.5" customHeight="1">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c r="AA557" s="79"/>
      <c r="AB557" s="79"/>
      <c r="AC557" s="79"/>
      <c r="AD557" s="79"/>
      <c r="AE557" s="79"/>
      <c r="AF557" s="79"/>
      <c r="AG557" s="79"/>
      <c r="AH557" s="79"/>
      <c r="AI557" s="79"/>
      <c r="AJ557" s="79"/>
      <c r="AK557" s="79"/>
      <c r="AL557" s="79"/>
    </row>
    <row r="558" ht="22.5" customHeight="1">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c r="AA558" s="79"/>
      <c r="AB558" s="79"/>
      <c r="AC558" s="79"/>
      <c r="AD558" s="79"/>
      <c r="AE558" s="79"/>
      <c r="AF558" s="79"/>
      <c r="AG558" s="79"/>
      <c r="AH558" s="79"/>
      <c r="AI558" s="79"/>
      <c r="AJ558" s="79"/>
      <c r="AK558" s="79"/>
      <c r="AL558" s="79"/>
    </row>
    <row r="559" ht="22.5" customHeight="1">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c r="AA559" s="79"/>
      <c r="AB559" s="79"/>
      <c r="AC559" s="79"/>
      <c r="AD559" s="79"/>
      <c r="AE559" s="79"/>
      <c r="AF559" s="79"/>
      <c r="AG559" s="79"/>
      <c r="AH559" s="79"/>
      <c r="AI559" s="79"/>
      <c r="AJ559" s="79"/>
      <c r="AK559" s="79"/>
      <c r="AL559" s="79"/>
    </row>
    <row r="560" ht="22.5" customHeight="1">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c r="AA560" s="79"/>
      <c r="AB560" s="79"/>
      <c r="AC560" s="79"/>
      <c r="AD560" s="79"/>
      <c r="AE560" s="79"/>
      <c r="AF560" s="79"/>
      <c r="AG560" s="79"/>
      <c r="AH560" s="79"/>
      <c r="AI560" s="79"/>
      <c r="AJ560" s="79"/>
      <c r="AK560" s="79"/>
      <c r="AL560" s="79"/>
    </row>
    <row r="561" ht="22.5" customHeight="1">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c r="AA561" s="79"/>
      <c r="AB561" s="79"/>
      <c r="AC561" s="79"/>
      <c r="AD561" s="79"/>
      <c r="AE561" s="79"/>
      <c r="AF561" s="79"/>
      <c r="AG561" s="79"/>
      <c r="AH561" s="79"/>
      <c r="AI561" s="79"/>
      <c r="AJ561" s="79"/>
      <c r="AK561" s="79"/>
      <c r="AL561" s="79"/>
    </row>
    <row r="562" ht="22.5" customHeight="1">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c r="AA562" s="79"/>
      <c r="AB562" s="79"/>
      <c r="AC562" s="79"/>
      <c r="AD562" s="79"/>
      <c r="AE562" s="79"/>
      <c r="AF562" s="79"/>
      <c r="AG562" s="79"/>
      <c r="AH562" s="79"/>
      <c r="AI562" s="79"/>
      <c r="AJ562" s="79"/>
      <c r="AK562" s="79"/>
      <c r="AL562" s="79"/>
    </row>
    <row r="563" ht="22.5" customHeight="1">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c r="AA563" s="79"/>
      <c r="AB563" s="79"/>
      <c r="AC563" s="79"/>
      <c r="AD563" s="79"/>
      <c r="AE563" s="79"/>
      <c r="AF563" s="79"/>
      <c r="AG563" s="79"/>
      <c r="AH563" s="79"/>
      <c r="AI563" s="79"/>
      <c r="AJ563" s="79"/>
      <c r="AK563" s="79"/>
      <c r="AL563" s="79"/>
    </row>
    <row r="564" ht="22.5" customHeight="1">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c r="AA564" s="79"/>
      <c r="AB564" s="79"/>
      <c r="AC564" s="79"/>
      <c r="AD564" s="79"/>
      <c r="AE564" s="79"/>
      <c r="AF564" s="79"/>
      <c r="AG564" s="79"/>
      <c r="AH564" s="79"/>
      <c r="AI564" s="79"/>
      <c r="AJ564" s="79"/>
      <c r="AK564" s="79"/>
      <c r="AL564" s="79"/>
    </row>
    <row r="565" ht="22.5" customHeight="1">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c r="AA565" s="79"/>
      <c r="AB565" s="79"/>
      <c r="AC565" s="79"/>
      <c r="AD565" s="79"/>
      <c r="AE565" s="79"/>
      <c r="AF565" s="79"/>
      <c r="AG565" s="79"/>
      <c r="AH565" s="79"/>
      <c r="AI565" s="79"/>
      <c r="AJ565" s="79"/>
      <c r="AK565" s="79"/>
      <c r="AL565" s="79"/>
    </row>
    <row r="566" ht="22.5" customHeight="1">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c r="AA566" s="79"/>
      <c r="AB566" s="79"/>
      <c r="AC566" s="79"/>
      <c r="AD566" s="79"/>
      <c r="AE566" s="79"/>
      <c r="AF566" s="79"/>
      <c r="AG566" s="79"/>
      <c r="AH566" s="79"/>
      <c r="AI566" s="79"/>
      <c r="AJ566" s="79"/>
      <c r="AK566" s="79"/>
      <c r="AL566" s="79"/>
    </row>
    <row r="567" ht="22.5" customHeight="1">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c r="AA567" s="79"/>
      <c r="AB567" s="79"/>
      <c r="AC567" s="79"/>
      <c r="AD567" s="79"/>
      <c r="AE567" s="79"/>
      <c r="AF567" s="79"/>
      <c r="AG567" s="79"/>
      <c r="AH567" s="79"/>
      <c r="AI567" s="79"/>
      <c r="AJ567" s="79"/>
      <c r="AK567" s="79"/>
      <c r="AL567" s="79"/>
    </row>
    <row r="568" ht="22.5" customHeight="1">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c r="AA568" s="79"/>
      <c r="AB568" s="79"/>
      <c r="AC568" s="79"/>
      <c r="AD568" s="79"/>
      <c r="AE568" s="79"/>
      <c r="AF568" s="79"/>
      <c r="AG568" s="79"/>
      <c r="AH568" s="79"/>
      <c r="AI568" s="79"/>
      <c r="AJ568" s="79"/>
      <c r="AK568" s="79"/>
      <c r="AL568" s="79"/>
    </row>
    <row r="569" ht="22.5" customHeight="1">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c r="AA569" s="79"/>
      <c r="AB569" s="79"/>
      <c r="AC569" s="79"/>
      <c r="AD569" s="79"/>
      <c r="AE569" s="79"/>
      <c r="AF569" s="79"/>
      <c r="AG569" s="79"/>
      <c r="AH569" s="79"/>
      <c r="AI569" s="79"/>
      <c r="AJ569" s="79"/>
      <c r="AK569" s="79"/>
      <c r="AL569" s="79"/>
    </row>
    <row r="570" ht="22.5" customHeight="1">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c r="AA570" s="79"/>
      <c r="AB570" s="79"/>
      <c r="AC570" s="79"/>
      <c r="AD570" s="79"/>
      <c r="AE570" s="79"/>
      <c r="AF570" s="79"/>
      <c r="AG570" s="79"/>
      <c r="AH570" s="79"/>
      <c r="AI570" s="79"/>
      <c r="AJ570" s="79"/>
      <c r="AK570" s="79"/>
      <c r="AL570" s="79"/>
    </row>
    <row r="571" ht="22.5" customHeight="1">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c r="AA571" s="79"/>
      <c r="AB571" s="79"/>
      <c r="AC571" s="79"/>
      <c r="AD571" s="79"/>
      <c r="AE571" s="79"/>
      <c r="AF571" s="79"/>
      <c r="AG571" s="79"/>
      <c r="AH571" s="79"/>
      <c r="AI571" s="79"/>
      <c r="AJ571" s="79"/>
      <c r="AK571" s="79"/>
      <c r="AL571" s="79"/>
    </row>
    <row r="572" ht="22.5" customHeight="1">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c r="AA572" s="79"/>
      <c r="AB572" s="79"/>
      <c r="AC572" s="79"/>
      <c r="AD572" s="79"/>
      <c r="AE572" s="79"/>
      <c r="AF572" s="79"/>
      <c r="AG572" s="79"/>
      <c r="AH572" s="79"/>
      <c r="AI572" s="79"/>
      <c r="AJ572" s="79"/>
      <c r="AK572" s="79"/>
      <c r="AL572" s="79"/>
    </row>
    <row r="573" ht="22.5" customHeight="1">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c r="AA573" s="79"/>
      <c r="AB573" s="79"/>
      <c r="AC573" s="79"/>
      <c r="AD573" s="79"/>
      <c r="AE573" s="79"/>
      <c r="AF573" s="79"/>
      <c r="AG573" s="79"/>
      <c r="AH573" s="79"/>
      <c r="AI573" s="79"/>
      <c r="AJ573" s="79"/>
      <c r="AK573" s="79"/>
      <c r="AL573" s="79"/>
    </row>
    <row r="574" ht="22.5" customHeight="1">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c r="AA574" s="79"/>
      <c r="AB574" s="79"/>
      <c r="AC574" s="79"/>
      <c r="AD574" s="79"/>
      <c r="AE574" s="79"/>
      <c r="AF574" s="79"/>
      <c r="AG574" s="79"/>
      <c r="AH574" s="79"/>
      <c r="AI574" s="79"/>
      <c r="AJ574" s="79"/>
      <c r="AK574" s="79"/>
      <c r="AL574" s="79"/>
    </row>
    <row r="575" ht="22.5" customHeight="1">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c r="AA575" s="79"/>
      <c r="AB575" s="79"/>
      <c r="AC575" s="79"/>
      <c r="AD575" s="79"/>
      <c r="AE575" s="79"/>
      <c r="AF575" s="79"/>
      <c r="AG575" s="79"/>
      <c r="AH575" s="79"/>
      <c r="AI575" s="79"/>
      <c r="AJ575" s="79"/>
      <c r="AK575" s="79"/>
      <c r="AL575" s="79"/>
    </row>
    <row r="576" ht="22.5" customHeight="1">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c r="AA576" s="79"/>
      <c r="AB576" s="79"/>
      <c r="AC576" s="79"/>
      <c r="AD576" s="79"/>
      <c r="AE576" s="79"/>
      <c r="AF576" s="79"/>
      <c r="AG576" s="79"/>
      <c r="AH576" s="79"/>
      <c r="AI576" s="79"/>
      <c r="AJ576" s="79"/>
      <c r="AK576" s="79"/>
      <c r="AL576" s="79"/>
    </row>
    <row r="577" ht="22.5" customHeight="1">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c r="AA577" s="79"/>
      <c r="AB577" s="79"/>
      <c r="AC577" s="79"/>
      <c r="AD577" s="79"/>
      <c r="AE577" s="79"/>
      <c r="AF577" s="79"/>
      <c r="AG577" s="79"/>
      <c r="AH577" s="79"/>
      <c r="AI577" s="79"/>
      <c r="AJ577" s="79"/>
      <c r="AK577" s="79"/>
      <c r="AL577" s="79"/>
    </row>
    <row r="578" ht="22.5" customHeight="1">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c r="AA578" s="79"/>
      <c r="AB578" s="79"/>
      <c r="AC578" s="79"/>
      <c r="AD578" s="79"/>
      <c r="AE578" s="79"/>
      <c r="AF578" s="79"/>
      <c r="AG578" s="79"/>
      <c r="AH578" s="79"/>
      <c r="AI578" s="79"/>
      <c r="AJ578" s="79"/>
      <c r="AK578" s="79"/>
      <c r="AL578" s="79"/>
    </row>
    <row r="579" ht="22.5" customHeight="1">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c r="AA579" s="79"/>
      <c r="AB579" s="79"/>
      <c r="AC579" s="79"/>
      <c r="AD579" s="79"/>
      <c r="AE579" s="79"/>
      <c r="AF579" s="79"/>
      <c r="AG579" s="79"/>
      <c r="AH579" s="79"/>
      <c r="AI579" s="79"/>
      <c r="AJ579" s="79"/>
      <c r="AK579" s="79"/>
      <c r="AL579" s="79"/>
    </row>
    <row r="580" ht="22.5" customHeight="1">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c r="AA580" s="79"/>
      <c r="AB580" s="79"/>
      <c r="AC580" s="79"/>
      <c r="AD580" s="79"/>
      <c r="AE580" s="79"/>
      <c r="AF580" s="79"/>
      <c r="AG580" s="79"/>
      <c r="AH580" s="79"/>
      <c r="AI580" s="79"/>
      <c r="AJ580" s="79"/>
      <c r="AK580" s="79"/>
      <c r="AL580" s="79"/>
    </row>
    <row r="581" ht="22.5" customHeight="1">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c r="AA581" s="79"/>
      <c r="AB581" s="79"/>
      <c r="AC581" s="79"/>
      <c r="AD581" s="79"/>
      <c r="AE581" s="79"/>
      <c r="AF581" s="79"/>
      <c r="AG581" s="79"/>
      <c r="AH581" s="79"/>
      <c r="AI581" s="79"/>
      <c r="AJ581" s="79"/>
      <c r="AK581" s="79"/>
      <c r="AL581" s="79"/>
    </row>
    <row r="582" ht="22.5" customHeight="1">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c r="AA582" s="79"/>
      <c r="AB582" s="79"/>
      <c r="AC582" s="79"/>
      <c r="AD582" s="79"/>
      <c r="AE582" s="79"/>
      <c r="AF582" s="79"/>
      <c r="AG582" s="79"/>
      <c r="AH582" s="79"/>
      <c r="AI582" s="79"/>
      <c r="AJ582" s="79"/>
      <c r="AK582" s="79"/>
      <c r="AL582" s="79"/>
    </row>
    <row r="583" ht="22.5" customHeight="1">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c r="AA583" s="79"/>
      <c r="AB583" s="79"/>
      <c r="AC583" s="79"/>
      <c r="AD583" s="79"/>
      <c r="AE583" s="79"/>
      <c r="AF583" s="79"/>
      <c r="AG583" s="79"/>
      <c r="AH583" s="79"/>
      <c r="AI583" s="79"/>
      <c r="AJ583" s="79"/>
      <c r="AK583" s="79"/>
      <c r="AL583" s="79"/>
    </row>
    <row r="584" ht="22.5" customHeight="1">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c r="AA584" s="79"/>
      <c r="AB584" s="79"/>
      <c r="AC584" s="79"/>
      <c r="AD584" s="79"/>
      <c r="AE584" s="79"/>
      <c r="AF584" s="79"/>
      <c r="AG584" s="79"/>
      <c r="AH584" s="79"/>
      <c r="AI584" s="79"/>
      <c r="AJ584" s="79"/>
      <c r="AK584" s="79"/>
      <c r="AL584" s="79"/>
    </row>
    <row r="585" ht="22.5" customHeight="1">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c r="AA585" s="79"/>
      <c r="AB585" s="79"/>
      <c r="AC585" s="79"/>
      <c r="AD585" s="79"/>
      <c r="AE585" s="79"/>
      <c r="AF585" s="79"/>
      <c r="AG585" s="79"/>
      <c r="AH585" s="79"/>
      <c r="AI585" s="79"/>
      <c r="AJ585" s="79"/>
      <c r="AK585" s="79"/>
      <c r="AL585" s="79"/>
    </row>
    <row r="586" ht="22.5" customHeight="1">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c r="AA586" s="79"/>
      <c r="AB586" s="79"/>
      <c r="AC586" s="79"/>
      <c r="AD586" s="79"/>
      <c r="AE586" s="79"/>
      <c r="AF586" s="79"/>
      <c r="AG586" s="79"/>
      <c r="AH586" s="79"/>
      <c r="AI586" s="79"/>
      <c r="AJ586" s="79"/>
      <c r="AK586" s="79"/>
      <c r="AL586" s="79"/>
    </row>
    <row r="587" ht="22.5" customHeight="1">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c r="AA587" s="79"/>
      <c r="AB587" s="79"/>
      <c r="AC587" s="79"/>
      <c r="AD587" s="79"/>
      <c r="AE587" s="79"/>
      <c r="AF587" s="79"/>
      <c r="AG587" s="79"/>
      <c r="AH587" s="79"/>
      <c r="AI587" s="79"/>
      <c r="AJ587" s="79"/>
      <c r="AK587" s="79"/>
      <c r="AL587" s="79"/>
    </row>
    <row r="588" ht="22.5" customHeight="1">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c r="AA588" s="79"/>
      <c r="AB588" s="79"/>
      <c r="AC588" s="79"/>
      <c r="AD588" s="79"/>
      <c r="AE588" s="79"/>
      <c r="AF588" s="79"/>
      <c r="AG588" s="79"/>
      <c r="AH588" s="79"/>
      <c r="AI588" s="79"/>
      <c r="AJ588" s="79"/>
      <c r="AK588" s="79"/>
      <c r="AL588" s="79"/>
    </row>
    <row r="589" ht="22.5" customHeight="1">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c r="AA589" s="79"/>
      <c r="AB589" s="79"/>
      <c r="AC589" s="79"/>
      <c r="AD589" s="79"/>
      <c r="AE589" s="79"/>
      <c r="AF589" s="79"/>
      <c r="AG589" s="79"/>
      <c r="AH589" s="79"/>
      <c r="AI589" s="79"/>
      <c r="AJ589" s="79"/>
      <c r="AK589" s="79"/>
      <c r="AL589" s="79"/>
    </row>
    <row r="590" ht="22.5" customHeight="1">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c r="AA590" s="79"/>
      <c r="AB590" s="79"/>
      <c r="AC590" s="79"/>
      <c r="AD590" s="79"/>
      <c r="AE590" s="79"/>
      <c r="AF590" s="79"/>
      <c r="AG590" s="79"/>
      <c r="AH590" s="79"/>
      <c r="AI590" s="79"/>
      <c r="AJ590" s="79"/>
      <c r="AK590" s="79"/>
      <c r="AL590" s="79"/>
    </row>
    <row r="591" ht="22.5" customHeight="1">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c r="AA591" s="79"/>
      <c r="AB591" s="79"/>
      <c r="AC591" s="79"/>
      <c r="AD591" s="79"/>
      <c r="AE591" s="79"/>
      <c r="AF591" s="79"/>
      <c r="AG591" s="79"/>
      <c r="AH591" s="79"/>
      <c r="AI591" s="79"/>
      <c r="AJ591" s="79"/>
      <c r="AK591" s="79"/>
      <c r="AL591" s="79"/>
    </row>
    <row r="592" ht="22.5" customHeight="1">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c r="AA592" s="79"/>
      <c r="AB592" s="79"/>
      <c r="AC592" s="79"/>
      <c r="AD592" s="79"/>
      <c r="AE592" s="79"/>
      <c r="AF592" s="79"/>
      <c r="AG592" s="79"/>
      <c r="AH592" s="79"/>
      <c r="AI592" s="79"/>
      <c r="AJ592" s="79"/>
      <c r="AK592" s="79"/>
      <c r="AL592" s="79"/>
    </row>
    <row r="593" ht="22.5" customHeight="1">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c r="AA593" s="79"/>
      <c r="AB593" s="79"/>
      <c r="AC593" s="79"/>
      <c r="AD593" s="79"/>
      <c r="AE593" s="79"/>
      <c r="AF593" s="79"/>
      <c r="AG593" s="79"/>
      <c r="AH593" s="79"/>
      <c r="AI593" s="79"/>
      <c r="AJ593" s="79"/>
      <c r="AK593" s="79"/>
      <c r="AL593" s="79"/>
    </row>
    <row r="594" ht="22.5" customHeight="1">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c r="AA594" s="79"/>
      <c r="AB594" s="79"/>
      <c r="AC594" s="79"/>
      <c r="AD594" s="79"/>
      <c r="AE594" s="79"/>
      <c r="AF594" s="79"/>
      <c r="AG594" s="79"/>
      <c r="AH594" s="79"/>
      <c r="AI594" s="79"/>
      <c r="AJ594" s="79"/>
      <c r="AK594" s="79"/>
      <c r="AL594" s="79"/>
    </row>
    <row r="595" ht="22.5" customHeight="1">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c r="AA595" s="79"/>
      <c r="AB595" s="79"/>
      <c r="AC595" s="79"/>
      <c r="AD595" s="79"/>
      <c r="AE595" s="79"/>
      <c r="AF595" s="79"/>
      <c r="AG595" s="79"/>
      <c r="AH595" s="79"/>
      <c r="AI595" s="79"/>
      <c r="AJ595" s="79"/>
      <c r="AK595" s="79"/>
      <c r="AL595" s="79"/>
    </row>
    <row r="596" ht="22.5" customHeight="1">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c r="AA596" s="79"/>
      <c r="AB596" s="79"/>
      <c r="AC596" s="79"/>
      <c r="AD596" s="79"/>
      <c r="AE596" s="79"/>
      <c r="AF596" s="79"/>
      <c r="AG596" s="79"/>
      <c r="AH596" s="79"/>
      <c r="AI596" s="79"/>
      <c r="AJ596" s="79"/>
      <c r="AK596" s="79"/>
      <c r="AL596" s="79"/>
    </row>
    <row r="597" ht="22.5" customHeight="1">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c r="AA597" s="79"/>
      <c r="AB597" s="79"/>
      <c r="AC597" s="79"/>
      <c r="AD597" s="79"/>
      <c r="AE597" s="79"/>
      <c r="AF597" s="79"/>
      <c r="AG597" s="79"/>
      <c r="AH597" s="79"/>
      <c r="AI597" s="79"/>
      <c r="AJ597" s="79"/>
      <c r="AK597" s="79"/>
      <c r="AL597" s="79"/>
    </row>
    <row r="598" ht="22.5" customHeight="1">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c r="AA598" s="79"/>
      <c r="AB598" s="79"/>
      <c r="AC598" s="79"/>
      <c r="AD598" s="79"/>
      <c r="AE598" s="79"/>
      <c r="AF598" s="79"/>
      <c r="AG598" s="79"/>
      <c r="AH598" s="79"/>
      <c r="AI598" s="79"/>
      <c r="AJ598" s="79"/>
      <c r="AK598" s="79"/>
      <c r="AL598" s="79"/>
    </row>
    <row r="599" ht="22.5" customHeight="1">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c r="AA599" s="79"/>
      <c r="AB599" s="79"/>
      <c r="AC599" s="79"/>
      <c r="AD599" s="79"/>
      <c r="AE599" s="79"/>
      <c r="AF599" s="79"/>
      <c r="AG599" s="79"/>
      <c r="AH599" s="79"/>
      <c r="AI599" s="79"/>
      <c r="AJ599" s="79"/>
      <c r="AK599" s="79"/>
      <c r="AL599" s="79"/>
    </row>
    <row r="600" ht="22.5" customHeight="1">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c r="AA600" s="79"/>
      <c r="AB600" s="79"/>
      <c r="AC600" s="79"/>
      <c r="AD600" s="79"/>
      <c r="AE600" s="79"/>
      <c r="AF600" s="79"/>
      <c r="AG600" s="79"/>
      <c r="AH600" s="79"/>
      <c r="AI600" s="79"/>
      <c r="AJ600" s="79"/>
      <c r="AK600" s="79"/>
      <c r="AL600" s="79"/>
    </row>
    <row r="601" ht="22.5" customHeight="1">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c r="AA601" s="79"/>
      <c r="AB601" s="79"/>
      <c r="AC601" s="79"/>
      <c r="AD601" s="79"/>
      <c r="AE601" s="79"/>
      <c r="AF601" s="79"/>
      <c r="AG601" s="79"/>
      <c r="AH601" s="79"/>
      <c r="AI601" s="79"/>
      <c r="AJ601" s="79"/>
      <c r="AK601" s="79"/>
      <c r="AL601" s="79"/>
    </row>
    <row r="602" ht="22.5" customHeight="1">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c r="AA602" s="79"/>
      <c r="AB602" s="79"/>
      <c r="AC602" s="79"/>
      <c r="AD602" s="79"/>
      <c r="AE602" s="79"/>
      <c r="AF602" s="79"/>
      <c r="AG602" s="79"/>
      <c r="AH602" s="79"/>
      <c r="AI602" s="79"/>
      <c r="AJ602" s="79"/>
      <c r="AK602" s="79"/>
      <c r="AL602" s="79"/>
    </row>
    <row r="603" ht="22.5" customHeight="1">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c r="AA603" s="79"/>
      <c r="AB603" s="79"/>
      <c r="AC603" s="79"/>
      <c r="AD603" s="79"/>
      <c r="AE603" s="79"/>
      <c r="AF603" s="79"/>
      <c r="AG603" s="79"/>
      <c r="AH603" s="79"/>
      <c r="AI603" s="79"/>
      <c r="AJ603" s="79"/>
      <c r="AK603" s="79"/>
      <c r="AL603" s="79"/>
    </row>
    <row r="604" ht="22.5" customHeight="1">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c r="AA604" s="79"/>
      <c r="AB604" s="79"/>
      <c r="AC604" s="79"/>
      <c r="AD604" s="79"/>
      <c r="AE604" s="79"/>
      <c r="AF604" s="79"/>
      <c r="AG604" s="79"/>
      <c r="AH604" s="79"/>
      <c r="AI604" s="79"/>
      <c r="AJ604" s="79"/>
      <c r="AK604" s="79"/>
      <c r="AL604" s="79"/>
    </row>
    <row r="605" ht="22.5" customHeight="1">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c r="AA605" s="79"/>
      <c r="AB605" s="79"/>
      <c r="AC605" s="79"/>
      <c r="AD605" s="79"/>
      <c r="AE605" s="79"/>
      <c r="AF605" s="79"/>
      <c r="AG605" s="79"/>
      <c r="AH605" s="79"/>
      <c r="AI605" s="79"/>
      <c r="AJ605" s="79"/>
      <c r="AK605" s="79"/>
      <c r="AL605" s="79"/>
    </row>
    <row r="606" ht="22.5" customHeight="1">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c r="AA606" s="79"/>
      <c r="AB606" s="79"/>
      <c r="AC606" s="79"/>
      <c r="AD606" s="79"/>
      <c r="AE606" s="79"/>
      <c r="AF606" s="79"/>
      <c r="AG606" s="79"/>
      <c r="AH606" s="79"/>
      <c r="AI606" s="79"/>
      <c r="AJ606" s="79"/>
      <c r="AK606" s="79"/>
      <c r="AL606" s="79"/>
    </row>
    <row r="607" ht="22.5" customHeight="1">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c r="AA607" s="79"/>
      <c r="AB607" s="79"/>
      <c r="AC607" s="79"/>
      <c r="AD607" s="79"/>
      <c r="AE607" s="79"/>
      <c r="AF607" s="79"/>
      <c r="AG607" s="79"/>
      <c r="AH607" s="79"/>
      <c r="AI607" s="79"/>
      <c r="AJ607" s="79"/>
      <c r="AK607" s="79"/>
      <c r="AL607" s="79"/>
    </row>
    <row r="608" ht="22.5" customHeight="1">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c r="AA608" s="79"/>
      <c r="AB608" s="79"/>
      <c r="AC608" s="79"/>
      <c r="AD608" s="79"/>
      <c r="AE608" s="79"/>
      <c r="AF608" s="79"/>
      <c r="AG608" s="79"/>
      <c r="AH608" s="79"/>
      <c r="AI608" s="79"/>
      <c r="AJ608" s="79"/>
      <c r="AK608" s="79"/>
      <c r="AL608" s="79"/>
    </row>
    <row r="609" ht="22.5" customHeight="1">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c r="AA609" s="79"/>
      <c r="AB609" s="79"/>
      <c r="AC609" s="79"/>
      <c r="AD609" s="79"/>
      <c r="AE609" s="79"/>
      <c r="AF609" s="79"/>
      <c r="AG609" s="79"/>
      <c r="AH609" s="79"/>
      <c r="AI609" s="79"/>
      <c r="AJ609" s="79"/>
      <c r="AK609" s="79"/>
      <c r="AL609" s="79"/>
    </row>
    <row r="610" ht="22.5" customHeight="1">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c r="AA610" s="79"/>
      <c r="AB610" s="79"/>
      <c r="AC610" s="79"/>
      <c r="AD610" s="79"/>
      <c r="AE610" s="79"/>
      <c r="AF610" s="79"/>
      <c r="AG610" s="79"/>
      <c r="AH610" s="79"/>
      <c r="AI610" s="79"/>
      <c r="AJ610" s="79"/>
      <c r="AK610" s="79"/>
      <c r="AL610" s="79"/>
    </row>
    <row r="611" ht="22.5" customHeight="1">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c r="AA611" s="79"/>
      <c r="AB611" s="79"/>
      <c r="AC611" s="79"/>
      <c r="AD611" s="79"/>
      <c r="AE611" s="79"/>
      <c r="AF611" s="79"/>
      <c r="AG611" s="79"/>
      <c r="AH611" s="79"/>
      <c r="AI611" s="79"/>
      <c r="AJ611" s="79"/>
      <c r="AK611" s="79"/>
      <c r="AL611" s="79"/>
    </row>
    <row r="612" ht="22.5" customHeight="1">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c r="AA612" s="79"/>
      <c r="AB612" s="79"/>
      <c r="AC612" s="79"/>
      <c r="AD612" s="79"/>
      <c r="AE612" s="79"/>
      <c r="AF612" s="79"/>
      <c r="AG612" s="79"/>
      <c r="AH612" s="79"/>
      <c r="AI612" s="79"/>
      <c r="AJ612" s="79"/>
      <c r="AK612" s="79"/>
      <c r="AL612" s="79"/>
    </row>
    <row r="613" ht="22.5" customHeight="1">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c r="AA613" s="79"/>
      <c r="AB613" s="79"/>
      <c r="AC613" s="79"/>
      <c r="AD613" s="79"/>
      <c r="AE613" s="79"/>
      <c r="AF613" s="79"/>
      <c r="AG613" s="79"/>
      <c r="AH613" s="79"/>
      <c r="AI613" s="79"/>
      <c r="AJ613" s="79"/>
      <c r="AK613" s="79"/>
      <c r="AL613" s="79"/>
    </row>
    <row r="614" ht="22.5" customHeight="1">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c r="AA614" s="79"/>
      <c r="AB614" s="79"/>
      <c r="AC614" s="79"/>
      <c r="AD614" s="79"/>
      <c r="AE614" s="79"/>
      <c r="AF614" s="79"/>
      <c r="AG614" s="79"/>
      <c r="AH614" s="79"/>
      <c r="AI614" s="79"/>
      <c r="AJ614" s="79"/>
      <c r="AK614" s="79"/>
      <c r="AL614" s="79"/>
    </row>
    <row r="615" ht="22.5" customHeight="1">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c r="AA615" s="79"/>
      <c r="AB615" s="79"/>
      <c r="AC615" s="79"/>
      <c r="AD615" s="79"/>
      <c r="AE615" s="79"/>
      <c r="AF615" s="79"/>
      <c r="AG615" s="79"/>
      <c r="AH615" s="79"/>
      <c r="AI615" s="79"/>
      <c r="AJ615" s="79"/>
      <c r="AK615" s="79"/>
      <c r="AL615" s="79"/>
    </row>
    <row r="616" ht="22.5" customHeight="1">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c r="AA616" s="79"/>
      <c r="AB616" s="79"/>
      <c r="AC616" s="79"/>
      <c r="AD616" s="79"/>
      <c r="AE616" s="79"/>
      <c r="AF616" s="79"/>
      <c r="AG616" s="79"/>
      <c r="AH616" s="79"/>
      <c r="AI616" s="79"/>
      <c r="AJ616" s="79"/>
      <c r="AK616" s="79"/>
      <c r="AL616" s="79"/>
    </row>
    <row r="617" ht="22.5" customHeight="1">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c r="AA617" s="79"/>
      <c r="AB617" s="79"/>
      <c r="AC617" s="79"/>
      <c r="AD617" s="79"/>
      <c r="AE617" s="79"/>
      <c r="AF617" s="79"/>
      <c r="AG617" s="79"/>
      <c r="AH617" s="79"/>
      <c r="AI617" s="79"/>
      <c r="AJ617" s="79"/>
      <c r="AK617" s="79"/>
      <c r="AL617" s="79"/>
    </row>
    <row r="618" ht="22.5" customHeight="1">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c r="AA618" s="79"/>
      <c r="AB618" s="79"/>
      <c r="AC618" s="79"/>
      <c r="AD618" s="79"/>
      <c r="AE618" s="79"/>
      <c r="AF618" s="79"/>
      <c r="AG618" s="79"/>
      <c r="AH618" s="79"/>
      <c r="AI618" s="79"/>
      <c r="AJ618" s="79"/>
      <c r="AK618" s="79"/>
      <c r="AL618" s="79"/>
    </row>
    <row r="619" ht="22.5" customHeight="1">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c r="AA619" s="79"/>
      <c r="AB619" s="79"/>
      <c r="AC619" s="79"/>
      <c r="AD619" s="79"/>
      <c r="AE619" s="79"/>
      <c r="AF619" s="79"/>
      <c r="AG619" s="79"/>
      <c r="AH619" s="79"/>
      <c r="AI619" s="79"/>
      <c r="AJ619" s="79"/>
      <c r="AK619" s="79"/>
      <c r="AL619" s="79"/>
    </row>
    <row r="620" ht="22.5" customHeight="1">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c r="AA620" s="79"/>
      <c r="AB620" s="79"/>
      <c r="AC620" s="79"/>
      <c r="AD620" s="79"/>
      <c r="AE620" s="79"/>
      <c r="AF620" s="79"/>
      <c r="AG620" s="79"/>
      <c r="AH620" s="79"/>
      <c r="AI620" s="79"/>
      <c r="AJ620" s="79"/>
      <c r="AK620" s="79"/>
      <c r="AL620" s="79"/>
    </row>
    <row r="621" ht="22.5" customHeight="1">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c r="AA621" s="79"/>
      <c r="AB621" s="79"/>
      <c r="AC621" s="79"/>
      <c r="AD621" s="79"/>
      <c r="AE621" s="79"/>
      <c r="AF621" s="79"/>
      <c r="AG621" s="79"/>
      <c r="AH621" s="79"/>
      <c r="AI621" s="79"/>
      <c r="AJ621" s="79"/>
      <c r="AK621" s="79"/>
      <c r="AL621" s="79"/>
    </row>
    <row r="622" ht="22.5" customHeight="1">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c r="AA622" s="79"/>
      <c r="AB622" s="79"/>
      <c r="AC622" s="79"/>
      <c r="AD622" s="79"/>
      <c r="AE622" s="79"/>
      <c r="AF622" s="79"/>
      <c r="AG622" s="79"/>
      <c r="AH622" s="79"/>
      <c r="AI622" s="79"/>
      <c r="AJ622" s="79"/>
      <c r="AK622" s="79"/>
      <c r="AL622" s="79"/>
    </row>
    <row r="623" ht="22.5" customHeight="1">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c r="AA623" s="79"/>
      <c r="AB623" s="79"/>
      <c r="AC623" s="79"/>
      <c r="AD623" s="79"/>
      <c r="AE623" s="79"/>
      <c r="AF623" s="79"/>
      <c r="AG623" s="79"/>
      <c r="AH623" s="79"/>
      <c r="AI623" s="79"/>
      <c r="AJ623" s="79"/>
      <c r="AK623" s="79"/>
      <c r="AL623" s="79"/>
    </row>
    <row r="624" ht="22.5" customHeight="1">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c r="AA624" s="79"/>
      <c r="AB624" s="79"/>
      <c r="AC624" s="79"/>
      <c r="AD624" s="79"/>
      <c r="AE624" s="79"/>
      <c r="AF624" s="79"/>
      <c r="AG624" s="79"/>
      <c r="AH624" s="79"/>
      <c r="AI624" s="79"/>
      <c r="AJ624" s="79"/>
      <c r="AK624" s="79"/>
      <c r="AL624" s="79"/>
    </row>
    <row r="625" ht="22.5" customHeight="1">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c r="AA625" s="79"/>
      <c r="AB625" s="79"/>
      <c r="AC625" s="79"/>
      <c r="AD625" s="79"/>
      <c r="AE625" s="79"/>
      <c r="AF625" s="79"/>
      <c r="AG625" s="79"/>
      <c r="AH625" s="79"/>
      <c r="AI625" s="79"/>
      <c r="AJ625" s="79"/>
      <c r="AK625" s="79"/>
      <c r="AL625" s="79"/>
    </row>
    <row r="626" ht="22.5" customHeight="1">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c r="AA626" s="79"/>
      <c r="AB626" s="79"/>
      <c r="AC626" s="79"/>
      <c r="AD626" s="79"/>
      <c r="AE626" s="79"/>
      <c r="AF626" s="79"/>
      <c r="AG626" s="79"/>
      <c r="AH626" s="79"/>
      <c r="AI626" s="79"/>
      <c r="AJ626" s="79"/>
      <c r="AK626" s="79"/>
      <c r="AL626" s="79"/>
    </row>
    <row r="627" ht="22.5" customHeight="1">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c r="AA627" s="79"/>
      <c r="AB627" s="79"/>
      <c r="AC627" s="79"/>
      <c r="AD627" s="79"/>
      <c r="AE627" s="79"/>
      <c r="AF627" s="79"/>
      <c r="AG627" s="79"/>
      <c r="AH627" s="79"/>
      <c r="AI627" s="79"/>
      <c r="AJ627" s="79"/>
      <c r="AK627" s="79"/>
      <c r="AL627" s="79"/>
    </row>
    <row r="628" ht="22.5" customHeight="1">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c r="AA628" s="79"/>
      <c r="AB628" s="79"/>
      <c r="AC628" s="79"/>
      <c r="AD628" s="79"/>
      <c r="AE628" s="79"/>
      <c r="AF628" s="79"/>
      <c r="AG628" s="79"/>
      <c r="AH628" s="79"/>
      <c r="AI628" s="79"/>
      <c r="AJ628" s="79"/>
      <c r="AK628" s="79"/>
      <c r="AL628" s="79"/>
    </row>
    <row r="629" ht="22.5" customHeight="1">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c r="AA629" s="79"/>
      <c r="AB629" s="79"/>
      <c r="AC629" s="79"/>
      <c r="AD629" s="79"/>
      <c r="AE629" s="79"/>
      <c r="AF629" s="79"/>
      <c r="AG629" s="79"/>
      <c r="AH629" s="79"/>
      <c r="AI629" s="79"/>
      <c r="AJ629" s="79"/>
      <c r="AK629" s="79"/>
      <c r="AL629" s="79"/>
    </row>
    <row r="630" ht="22.5" customHeight="1">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c r="AA630" s="79"/>
      <c r="AB630" s="79"/>
      <c r="AC630" s="79"/>
      <c r="AD630" s="79"/>
      <c r="AE630" s="79"/>
      <c r="AF630" s="79"/>
      <c r="AG630" s="79"/>
      <c r="AH630" s="79"/>
      <c r="AI630" s="79"/>
      <c r="AJ630" s="79"/>
      <c r="AK630" s="79"/>
      <c r="AL630" s="79"/>
    </row>
    <row r="631" ht="22.5" customHeight="1">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c r="AA631" s="79"/>
      <c r="AB631" s="79"/>
      <c r="AC631" s="79"/>
      <c r="AD631" s="79"/>
      <c r="AE631" s="79"/>
      <c r="AF631" s="79"/>
      <c r="AG631" s="79"/>
      <c r="AH631" s="79"/>
      <c r="AI631" s="79"/>
      <c r="AJ631" s="79"/>
      <c r="AK631" s="79"/>
      <c r="AL631" s="79"/>
    </row>
    <row r="632" ht="22.5" customHeight="1">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c r="AA632" s="79"/>
      <c r="AB632" s="79"/>
      <c r="AC632" s="79"/>
      <c r="AD632" s="79"/>
      <c r="AE632" s="79"/>
      <c r="AF632" s="79"/>
      <c r="AG632" s="79"/>
      <c r="AH632" s="79"/>
      <c r="AI632" s="79"/>
      <c r="AJ632" s="79"/>
      <c r="AK632" s="79"/>
      <c r="AL632" s="79"/>
    </row>
    <row r="633" ht="22.5" customHeight="1">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c r="AA633" s="79"/>
      <c r="AB633" s="79"/>
      <c r="AC633" s="79"/>
      <c r="AD633" s="79"/>
      <c r="AE633" s="79"/>
      <c r="AF633" s="79"/>
      <c r="AG633" s="79"/>
      <c r="AH633" s="79"/>
      <c r="AI633" s="79"/>
      <c r="AJ633" s="79"/>
      <c r="AK633" s="79"/>
      <c r="AL633" s="79"/>
    </row>
    <row r="634" ht="22.5" customHeight="1">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c r="AA634" s="79"/>
      <c r="AB634" s="79"/>
      <c r="AC634" s="79"/>
      <c r="AD634" s="79"/>
      <c r="AE634" s="79"/>
      <c r="AF634" s="79"/>
      <c r="AG634" s="79"/>
      <c r="AH634" s="79"/>
      <c r="AI634" s="79"/>
      <c r="AJ634" s="79"/>
      <c r="AK634" s="79"/>
      <c r="AL634" s="79"/>
    </row>
    <row r="635" ht="22.5" customHeight="1">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c r="AA635" s="79"/>
      <c r="AB635" s="79"/>
      <c r="AC635" s="79"/>
      <c r="AD635" s="79"/>
      <c r="AE635" s="79"/>
      <c r="AF635" s="79"/>
      <c r="AG635" s="79"/>
      <c r="AH635" s="79"/>
      <c r="AI635" s="79"/>
      <c r="AJ635" s="79"/>
      <c r="AK635" s="79"/>
      <c r="AL635" s="79"/>
    </row>
    <row r="636" ht="22.5" customHeight="1">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c r="AA636" s="79"/>
      <c r="AB636" s="79"/>
      <c r="AC636" s="79"/>
      <c r="AD636" s="79"/>
      <c r="AE636" s="79"/>
      <c r="AF636" s="79"/>
      <c r="AG636" s="79"/>
      <c r="AH636" s="79"/>
      <c r="AI636" s="79"/>
      <c r="AJ636" s="79"/>
      <c r="AK636" s="79"/>
      <c r="AL636" s="79"/>
    </row>
    <row r="637" ht="22.5" customHeight="1">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c r="AA637" s="79"/>
      <c r="AB637" s="79"/>
      <c r="AC637" s="79"/>
      <c r="AD637" s="79"/>
      <c r="AE637" s="79"/>
      <c r="AF637" s="79"/>
      <c r="AG637" s="79"/>
      <c r="AH637" s="79"/>
      <c r="AI637" s="79"/>
      <c r="AJ637" s="79"/>
      <c r="AK637" s="79"/>
      <c r="AL637" s="79"/>
    </row>
    <row r="638" ht="22.5" customHeight="1">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c r="AA638" s="79"/>
      <c r="AB638" s="79"/>
      <c r="AC638" s="79"/>
      <c r="AD638" s="79"/>
      <c r="AE638" s="79"/>
      <c r="AF638" s="79"/>
      <c r="AG638" s="79"/>
      <c r="AH638" s="79"/>
      <c r="AI638" s="79"/>
      <c r="AJ638" s="79"/>
      <c r="AK638" s="79"/>
      <c r="AL638" s="79"/>
    </row>
    <row r="639" ht="22.5" customHeight="1">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c r="AA639" s="79"/>
      <c r="AB639" s="79"/>
      <c r="AC639" s="79"/>
      <c r="AD639" s="79"/>
      <c r="AE639" s="79"/>
      <c r="AF639" s="79"/>
      <c r="AG639" s="79"/>
      <c r="AH639" s="79"/>
      <c r="AI639" s="79"/>
      <c r="AJ639" s="79"/>
      <c r="AK639" s="79"/>
      <c r="AL639" s="79"/>
    </row>
    <row r="640" ht="22.5" customHeight="1">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c r="AA640" s="79"/>
      <c r="AB640" s="79"/>
      <c r="AC640" s="79"/>
      <c r="AD640" s="79"/>
      <c r="AE640" s="79"/>
      <c r="AF640" s="79"/>
      <c r="AG640" s="79"/>
      <c r="AH640" s="79"/>
      <c r="AI640" s="79"/>
      <c r="AJ640" s="79"/>
      <c r="AK640" s="79"/>
      <c r="AL640" s="79"/>
    </row>
    <row r="641" ht="22.5" customHeight="1">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c r="AA641" s="79"/>
      <c r="AB641" s="79"/>
      <c r="AC641" s="79"/>
      <c r="AD641" s="79"/>
      <c r="AE641" s="79"/>
      <c r="AF641" s="79"/>
      <c r="AG641" s="79"/>
      <c r="AH641" s="79"/>
      <c r="AI641" s="79"/>
      <c r="AJ641" s="79"/>
      <c r="AK641" s="79"/>
      <c r="AL641" s="79"/>
    </row>
    <row r="642" ht="22.5" customHeight="1">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c r="AA642" s="79"/>
      <c r="AB642" s="79"/>
      <c r="AC642" s="79"/>
      <c r="AD642" s="79"/>
      <c r="AE642" s="79"/>
      <c r="AF642" s="79"/>
      <c r="AG642" s="79"/>
      <c r="AH642" s="79"/>
      <c r="AI642" s="79"/>
      <c r="AJ642" s="79"/>
      <c r="AK642" s="79"/>
      <c r="AL642" s="79"/>
    </row>
    <row r="643" ht="22.5" customHeight="1">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c r="AA643" s="79"/>
      <c r="AB643" s="79"/>
      <c r="AC643" s="79"/>
      <c r="AD643" s="79"/>
      <c r="AE643" s="79"/>
      <c r="AF643" s="79"/>
      <c r="AG643" s="79"/>
      <c r="AH643" s="79"/>
      <c r="AI643" s="79"/>
      <c r="AJ643" s="79"/>
      <c r="AK643" s="79"/>
      <c r="AL643" s="79"/>
    </row>
    <row r="644" ht="22.5" customHeight="1">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c r="AA644" s="79"/>
      <c r="AB644" s="79"/>
      <c r="AC644" s="79"/>
      <c r="AD644" s="79"/>
      <c r="AE644" s="79"/>
      <c r="AF644" s="79"/>
      <c r="AG644" s="79"/>
      <c r="AH644" s="79"/>
      <c r="AI644" s="79"/>
      <c r="AJ644" s="79"/>
      <c r="AK644" s="79"/>
      <c r="AL644" s="79"/>
    </row>
    <row r="645" ht="22.5" customHeight="1">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c r="AA645" s="79"/>
      <c r="AB645" s="79"/>
      <c r="AC645" s="79"/>
      <c r="AD645" s="79"/>
      <c r="AE645" s="79"/>
      <c r="AF645" s="79"/>
      <c r="AG645" s="79"/>
      <c r="AH645" s="79"/>
      <c r="AI645" s="79"/>
      <c r="AJ645" s="79"/>
      <c r="AK645" s="79"/>
      <c r="AL645" s="79"/>
    </row>
    <row r="646" ht="22.5" customHeight="1">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c r="AA646" s="79"/>
      <c r="AB646" s="79"/>
      <c r="AC646" s="79"/>
      <c r="AD646" s="79"/>
      <c r="AE646" s="79"/>
      <c r="AF646" s="79"/>
      <c r="AG646" s="79"/>
      <c r="AH646" s="79"/>
      <c r="AI646" s="79"/>
      <c r="AJ646" s="79"/>
      <c r="AK646" s="79"/>
      <c r="AL646" s="79"/>
    </row>
    <row r="647" ht="22.5" customHeight="1">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c r="AA647" s="79"/>
      <c r="AB647" s="79"/>
      <c r="AC647" s="79"/>
      <c r="AD647" s="79"/>
      <c r="AE647" s="79"/>
      <c r="AF647" s="79"/>
      <c r="AG647" s="79"/>
      <c r="AH647" s="79"/>
      <c r="AI647" s="79"/>
      <c r="AJ647" s="79"/>
      <c r="AK647" s="79"/>
      <c r="AL647" s="79"/>
    </row>
    <row r="648" ht="22.5" customHeight="1">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c r="AA648" s="79"/>
      <c r="AB648" s="79"/>
      <c r="AC648" s="79"/>
      <c r="AD648" s="79"/>
      <c r="AE648" s="79"/>
      <c r="AF648" s="79"/>
      <c r="AG648" s="79"/>
      <c r="AH648" s="79"/>
      <c r="AI648" s="79"/>
      <c r="AJ648" s="79"/>
      <c r="AK648" s="79"/>
      <c r="AL648" s="79"/>
    </row>
    <row r="649" ht="22.5" customHeight="1">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c r="AA649" s="79"/>
      <c r="AB649" s="79"/>
      <c r="AC649" s="79"/>
      <c r="AD649" s="79"/>
      <c r="AE649" s="79"/>
      <c r="AF649" s="79"/>
      <c r="AG649" s="79"/>
      <c r="AH649" s="79"/>
      <c r="AI649" s="79"/>
      <c r="AJ649" s="79"/>
      <c r="AK649" s="79"/>
      <c r="AL649" s="79"/>
    </row>
    <row r="650" ht="22.5" customHeight="1">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c r="AA650" s="79"/>
      <c r="AB650" s="79"/>
      <c r="AC650" s="79"/>
      <c r="AD650" s="79"/>
      <c r="AE650" s="79"/>
      <c r="AF650" s="79"/>
      <c r="AG650" s="79"/>
      <c r="AH650" s="79"/>
      <c r="AI650" s="79"/>
      <c r="AJ650" s="79"/>
      <c r="AK650" s="79"/>
      <c r="AL650" s="79"/>
    </row>
    <row r="651" ht="22.5" customHeight="1">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c r="AA651" s="79"/>
      <c r="AB651" s="79"/>
      <c r="AC651" s="79"/>
      <c r="AD651" s="79"/>
      <c r="AE651" s="79"/>
      <c r="AF651" s="79"/>
      <c r="AG651" s="79"/>
      <c r="AH651" s="79"/>
      <c r="AI651" s="79"/>
      <c r="AJ651" s="79"/>
      <c r="AK651" s="79"/>
      <c r="AL651" s="79"/>
    </row>
    <row r="652" ht="22.5" customHeight="1">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c r="AA652" s="79"/>
      <c r="AB652" s="79"/>
      <c r="AC652" s="79"/>
      <c r="AD652" s="79"/>
      <c r="AE652" s="79"/>
      <c r="AF652" s="79"/>
      <c r="AG652" s="79"/>
      <c r="AH652" s="79"/>
      <c r="AI652" s="79"/>
      <c r="AJ652" s="79"/>
      <c r="AK652" s="79"/>
      <c r="AL652" s="79"/>
    </row>
    <row r="653" ht="22.5" customHeight="1">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c r="AA653" s="79"/>
      <c r="AB653" s="79"/>
      <c r="AC653" s="79"/>
      <c r="AD653" s="79"/>
      <c r="AE653" s="79"/>
      <c r="AF653" s="79"/>
      <c r="AG653" s="79"/>
      <c r="AH653" s="79"/>
      <c r="AI653" s="79"/>
      <c r="AJ653" s="79"/>
      <c r="AK653" s="79"/>
      <c r="AL653" s="79"/>
    </row>
    <row r="654" ht="22.5" customHeight="1">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c r="AA654" s="79"/>
      <c r="AB654" s="79"/>
      <c r="AC654" s="79"/>
      <c r="AD654" s="79"/>
      <c r="AE654" s="79"/>
      <c r="AF654" s="79"/>
      <c r="AG654" s="79"/>
      <c r="AH654" s="79"/>
      <c r="AI654" s="79"/>
      <c r="AJ654" s="79"/>
      <c r="AK654" s="79"/>
      <c r="AL654" s="79"/>
    </row>
    <row r="655" ht="22.5" customHeight="1">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c r="AA655" s="79"/>
      <c r="AB655" s="79"/>
      <c r="AC655" s="79"/>
      <c r="AD655" s="79"/>
      <c r="AE655" s="79"/>
      <c r="AF655" s="79"/>
      <c r="AG655" s="79"/>
      <c r="AH655" s="79"/>
      <c r="AI655" s="79"/>
      <c r="AJ655" s="79"/>
      <c r="AK655" s="79"/>
      <c r="AL655" s="79"/>
    </row>
    <row r="656" ht="22.5" customHeight="1">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c r="AA656" s="79"/>
      <c r="AB656" s="79"/>
      <c r="AC656" s="79"/>
      <c r="AD656" s="79"/>
      <c r="AE656" s="79"/>
      <c r="AF656" s="79"/>
      <c r="AG656" s="79"/>
      <c r="AH656" s="79"/>
      <c r="AI656" s="79"/>
      <c r="AJ656" s="79"/>
      <c r="AK656" s="79"/>
      <c r="AL656" s="79"/>
    </row>
    <row r="657" ht="22.5" customHeight="1">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c r="AA657" s="79"/>
      <c r="AB657" s="79"/>
      <c r="AC657" s="79"/>
      <c r="AD657" s="79"/>
      <c r="AE657" s="79"/>
      <c r="AF657" s="79"/>
      <c r="AG657" s="79"/>
      <c r="AH657" s="79"/>
      <c r="AI657" s="79"/>
      <c r="AJ657" s="79"/>
      <c r="AK657" s="79"/>
      <c r="AL657" s="79"/>
    </row>
    <row r="658" ht="22.5" customHeight="1">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c r="AA658" s="79"/>
      <c r="AB658" s="79"/>
      <c r="AC658" s="79"/>
      <c r="AD658" s="79"/>
      <c r="AE658" s="79"/>
      <c r="AF658" s="79"/>
      <c r="AG658" s="79"/>
      <c r="AH658" s="79"/>
      <c r="AI658" s="79"/>
      <c r="AJ658" s="79"/>
      <c r="AK658" s="79"/>
      <c r="AL658" s="79"/>
    </row>
    <row r="659" ht="22.5" customHeight="1">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c r="AA659" s="79"/>
      <c r="AB659" s="79"/>
      <c r="AC659" s="79"/>
      <c r="AD659" s="79"/>
      <c r="AE659" s="79"/>
      <c r="AF659" s="79"/>
      <c r="AG659" s="79"/>
      <c r="AH659" s="79"/>
      <c r="AI659" s="79"/>
      <c r="AJ659" s="79"/>
      <c r="AK659" s="79"/>
      <c r="AL659" s="79"/>
    </row>
    <row r="660" ht="22.5" customHeight="1">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c r="AA660" s="79"/>
      <c r="AB660" s="79"/>
      <c r="AC660" s="79"/>
      <c r="AD660" s="79"/>
      <c r="AE660" s="79"/>
      <c r="AF660" s="79"/>
      <c r="AG660" s="79"/>
      <c r="AH660" s="79"/>
      <c r="AI660" s="79"/>
      <c r="AJ660" s="79"/>
      <c r="AK660" s="79"/>
      <c r="AL660" s="79"/>
    </row>
    <row r="661" ht="22.5" customHeight="1">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c r="AA661" s="79"/>
      <c r="AB661" s="79"/>
      <c r="AC661" s="79"/>
      <c r="AD661" s="79"/>
      <c r="AE661" s="79"/>
      <c r="AF661" s="79"/>
      <c r="AG661" s="79"/>
      <c r="AH661" s="79"/>
      <c r="AI661" s="79"/>
      <c r="AJ661" s="79"/>
      <c r="AK661" s="79"/>
      <c r="AL661" s="79"/>
    </row>
    <row r="662" ht="22.5" customHeight="1">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c r="AA662" s="79"/>
      <c r="AB662" s="79"/>
      <c r="AC662" s="79"/>
      <c r="AD662" s="79"/>
      <c r="AE662" s="79"/>
      <c r="AF662" s="79"/>
      <c r="AG662" s="79"/>
      <c r="AH662" s="79"/>
      <c r="AI662" s="79"/>
      <c r="AJ662" s="79"/>
      <c r="AK662" s="79"/>
      <c r="AL662" s="79"/>
    </row>
    <row r="663" ht="22.5" customHeight="1">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c r="AA663" s="79"/>
      <c r="AB663" s="79"/>
      <c r="AC663" s="79"/>
      <c r="AD663" s="79"/>
      <c r="AE663" s="79"/>
      <c r="AF663" s="79"/>
      <c r="AG663" s="79"/>
      <c r="AH663" s="79"/>
      <c r="AI663" s="79"/>
      <c r="AJ663" s="79"/>
      <c r="AK663" s="79"/>
      <c r="AL663" s="79"/>
    </row>
    <row r="664" ht="22.5" customHeight="1">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c r="AA664" s="79"/>
      <c r="AB664" s="79"/>
      <c r="AC664" s="79"/>
      <c r="AD664" s="79"/>
      <c r="AE664" s="79"/>
      <c r="AF664" s="79"/>
      <c r="AG664" s="79"/>
      <c r="AH664" s="79"/>
      <c r="AI664" s="79"/>
      <c r="AJ664" s="79"/>
      <c r="AK664" s="79"/>
      <c r="AL664" s="79"/>
    </row>
    <row r="665" ht="22.5" customHeight="1">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c r="AA665" s="79"/>
      <c r="AB665" s="79"/>
      <c r="AC665" s="79"/>
      <c r="AD665" s="79"/>
      <c r="AE665" s="79"/>
      <c r="AF665" s="79"/>
      <c r="AG665" s="79"/>
      <c r="AH665" s="79"/>
      <c r="AI665" s="79"/>
      <c r="AJ665" s="79"/>
      <c r="AK665" s="79"/>
      <c r="AL665" s="79"/>
    </row>
    <row r="666" ht="22.5" customHeight="1">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c r="AA666" s="79"/>
      <c r="AB666" s="79"/>
      <c r="AC666" s="79"/>
      <c r="AD666" s="79"/>
      <c r="AE666" s="79"/>
      <c r="AF666" s="79"/>
      <c r="AG666" s="79"/>
      <c r="AH666" s="79"/>
      <c r="AI666" s="79"/>
      <c r="AJ666" s="79"/>
      <c r="AK666" s="79"/>
      <c r="AL666" s="79"/>
    </row>
    <row r="667" ht="22.5" customHeight="1">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c r="AA667" s="79"/>
      <c r="AB667" s="79"/>
      <c r="AC667" s="79"/>
      <c r="AD667" s="79"/>
      <c r="AE667" s="79"/>
      <c r="AF667" s="79"/>
      <c r="AG667" s="79"/>
      <c r="AH667" s="79"/>
      <c r="AI667" s="79"/>
      <c r="AJ667" s="79"/>
      <c r="AK667" s="79"/>
      <c r="AL667" s="79"/>
    </row>
    <row r="668" ht="22.5" customHeight="1">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c r="AA668" s="79"/>
      <c r="AB668" s="79"/>
      <c r="AC668" s="79"/>
      <c r="AD668" s="79"/>
      <c r="AE668" s="79"/>
      <c r="AF668" s="79"/>
      <c r="AG668" s="79"/>
      <c r="AH668" s="79"/>
      <c r="AI668" s="79"/>
      <c r="AJ668" s="79"/>
      <c r="AK668" s="79"/>
      <c r="AL668" s="79"/>
    </row>
    <row r="669" ht="22.5" customHeight="1">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c r="AA669" s="79"/>
      <c r="AB669" s="79"/>
      <c r="AC669" s="79"/>
      <c r="AD669" s="79"/>
      <c r="AE669" s="79"/>
      <c r="AF669" s="79"/>
      <c r="AG669" s="79"/>
      <c r="AH669" s="79"/>
      <c r="AI669" s="79"/>
      <c r="AJ669" s="79"/>
      <c r="AK669" s="79"/>
      <c r="AL669" s="79"/>
    </row>
    <row r="670" ht="22.5" customHeight="1">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c r="AA670" s="79"/>
      <c r="AB670" s="79"/>
      <c r="AC670" s="79"/>
      <c r="AD670" s="79"/>
      <c r="AE670" s="79"/>
      <c r="AF670" s="79"/>
      <c r="AG670" s="79"/>
      <c r="AH670" s="79"/>
      <c r="AI670" s="79"/>
      <c r="AJ670" s="79"/>
      <c r="AK670" s="79"/>
      <c r="AL670" s="79"/>
    </row>
    <row r="671" ht="22.5" customHeight="1">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c r="AA671" s="79"/>
      <c r="AB671" s="79"/>
      <c r="AC671" s="79"/>
      <c r="AD671" s="79"/>
      <c r="AE671" s="79"/>
      <c r="AF671" s="79"/>
      <c r="AG671" s="79"/>
      <c r="AH671" s="79"/>
      <c r="AI671" s="79"/>
      <c r="AJ671" s="79"/>
      <c r="AK671" s="79"/>
      <c r="AL671" s="79"/>
    </row>
    <row r="672" ht="22.5" customHeight="1">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c r="AA672" s="79"/>
      <c r="AB672" s="79"/>
      <c r="AC672" s="79"/>
      <c r="AD672" s="79"/>
      <c r="AE672" s="79"/>
      <c r="AF672" s="79"/>
      <c r="AG672" s="79"/>
      <c r="AH672" s="79"/>
      <c r="AI672" s="79"/>
      <c r="AJ672" s="79"/>
      <c r="AK672" s="79"/>
      <c r="AL672" s="79"/>
    </row>
    <row r="673" ht="22.5" customHeight="1">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c r="AA673" s="79"/>
      <c r="AB673" s="79"/>
      <c r="AC673" s="79"/>
      <c r="AD673" s="79"/>
      <c r="AE673" s="79"/>
      <c r="AF673" s="79"/>
      <c r="AG673" s="79"/>
      <c r="AH673" s="79"/>
      <c r="AI673" s="79"/>
      <c r="AJ673" s="79"/>
      <c r="AK673" s="79"/>
      <c r="AL673" s="79"/>
    </row>
    <row r="674" ht="22.5" customHeight="1">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c r="AA674" s="79"/>
      <c r="AB674" s="79"/>
      <c r="AC674" s="79"/>
      <c r="AD674" s="79"/>
      <c r="AE674" s="79"/>
      <c r="AF674" s="79"/>
      <c r="AG674" s="79"/>
      <c r="AH674" s="79"/>
      <c r="AI674" s="79"/>
      <c r="AJ674" s="79"/>
      <c r="AK674" s="79"/>
      <c r="AL674" s="79"/>
    </row>
    <row r="675" ht="22.5" customHeight="1">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c r="AA675" s="79"/>
      <c r="AB675" s="79"/>
      <c r="AC675" s="79"/>
      <c r="AD675" s="79"/>
      <c r="AE675" s="79"/>
      <c r="AF675" s="79"/>
      <c r="AG675" s="79"/>
      <c r="AH675" s="79"/>
      <c r="AI675" s="79"/>
      <c r="AJ675" s="79"/>
      <c r="AK675" s="79"/>
      <c r="AL675" s="79"/>
    </row>
    <row r="676" ht="22.5" customHeight="1">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c r="AA676" s="79"/>
      <c r="AB676" s="79"/>
      <c r="AC676" s="79"/>
      <c r="AD676" s="79"/>
      <c r="AE676" s="79"/>
      <c r="AF676" s="79"/>
      <c r="AG676" s="79"/>
      <c r="AH676" s="79"/>
      <c r="AI676" s="79"/>
      <c r="AJ676" s="79"/>
      <c r="AK676" s="79"/>
      <c r="AL676" s="79"/>
    </row>
    <row r="677" ht="22.5" customHeight="1">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c r="AA677" s="79"/>
      <c r="AB677" s="79"/>
      <c r="AC677" s="79"/>
      <c r="AD677" s="79"/>
      <c r="AE677" s="79"/>
      <c r="AF677" s="79"/>
      <c r="AG677" s="79"/>
      <c r="AH677" s="79"/>
      <c r="AI677" s="79"/>
      <c r="AJ677" s="79"/>
      <c r="AK677" s="79"/>
      <c r="AL677" s="79"/>
    </row>
    <row r="678" ht="22.5" customHeight="1">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c r="AA678" s="79"/>
      <c r="AB678" s="79"/>
      <c r="AC678" s="79"/>
      <c r="AD678" s="79"/>
      <c r="AE678" s="79"/>
      <c r="AF678" s="79"/>
      <c r="AG678" s="79"/>
      <c r="AH678" s="79"/>
      <c r="AI678" s="79"/>
      <c r="AJ678" s="79"/>
      <c r="AK678" s="79"/>
      <c r="AL678" s="79"/>
    </row>
    <row r="679" ht="22.5" customHeight="1">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c r="AA679" s="79"/>
      <c r="AB679" s="79"/>
      <c r="AC679" s="79"/>
      <c r="AD679" s="79"/>
      <c r="AE679" s="79"/>
      <c r="AF679" s="79"/>
      <c r="AG679" s="79"/>
      <c r="AH679" s="79"/>
      <c r="AI679" s="79"/>
      <c r="AJ679" s="79"/>
      <c r="AK679" s="79"/>
      <c r="AL679" s="79"/>
    </row>
    <row r="680" ht="22.5" customHeight="1">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c r="AA680" s="79"/>
      <c r="AB680" s="79"/>
      <c r="AC680" s="79"/>
      <c r="AD680" s="79"/>
      <c r="AE680" s="79"/>
      <c r="AF680" s="79"/>
      <c r="AG680" s="79"/>
      <c r="AH680" s="79"/>
      <c r="AI680" s="79"/>
      <c r="AJ680" s="79"/>
      <c r="AK680" s="79"/>
      <c r="AL680" s="79"/>
    </row>
    <row r="681" ht="22.5" customHeight="1">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c r="AA681" s="79"/>
      <c r="AB681" s="79"/>
      <c r="AC681" s="79"/>
      <c r="AD681" s="79"/>
      <c r="AE681" s="79"/>
      <c r="AF681" s="79"/>
      <c r="AG681" s="79"/>
      <c r="AH681" s="79"/>
      <c r="AI681" s="79"/>
      <c r="AJ681" s="79"/>
      <c r="AK681" s="79"/>
      <c r="AL681" s="79"/>
    </row>
    <row r="682" ht="22.5" customHeight="1">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c r="AA682" s="79"/>
      <c r="AB682" s="79"/>
      <c r="AC682" s="79"/>
      <c r="AD682" s="79"/>
      <c r="AE682" s="79"/>
      <c r="AF682" s="79"/>
      <c r="AG682" s="79"/>
      <c r="AH682" s="79"/>
      <c r="AI682" s="79"/>
      <c r="AJ682" s="79"/>
      <c r="AK682" s="79"/>
      <c r="AL682" s="79"/>
    </row>
    <row r="683" ht="22.5" customHeight="1">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c r="AA683" s="79"/>
      <c r="AB683" s="79"/>
      <c r="AC683" s="79"/>
      <c r="AD683" s="79"/>
      <c r="AE683" s="79"/>
      <c r="AF683" s="79"/>
      <c r="AG683" s="79"/>
      <c r="AH683" s="79"/>
      <c r="AI683" s="79"/>
      <c r="AJ683" s="79"/>
      <c r="AK683" s="79"/>
      <c r="AL683" s="79"/>
    </row>
    <row r="684" ht="22.5" customHeight="1">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c r="AA684" s="79"/>
      <c r="AB684" s="79"/>
      <c r="AC684" s="79"/>
      <c r="AD684" s="79"/>
      <c r="AE684" s="79"/>
      <c r="AF684" s="79"/>
      <c r="AG684" s="79"/>
      <c r="AH684" s="79"/>
      <c r="AI684" s="79"/>
      <c r="AJ684" s="79"/>
      <c r="AK684" s="79"/>
      <c r="AL684" s="79"/>
    </row>
    <row r="685" ht="22.5" customHeight="1">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c r="AA685" s="79"/>
      <c r="AB685" s="79"/>
      <c r="AC685" s="79"/>
      <c r="AD685" s="79"/>
      <c r="AE685" s="79"/>
      <c r="AF685" s="79"/>
      <c r="AG685" s="79"/>
      <c r="AH685" s="79"/>
      <c r="AI685" s="79"/>
      <c r="AJ685" s="79"/>
      <c r="AK685" s="79"/>
      <c r="AL685" s="79"/>
    </row>
    <row r="686" ht="22.5" customHeight="1">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c r="AA686" s="79"/>
      <c r="AB686" s="79"/>
      <c r="AC686" s="79"/>
      <c r="AD686" s="79"/>
      <c r="AE686" s="79"/>
      <c r="AF686" s="79"/>
      <c r="AG686" s="79"/>
      <c r="AH686" s="79"/>
      <c r="AI686" s="79"/>
      <c r="AJ686" s="79"/>
      <c r="AK686" s="79"/>
      <c r="AL686" s="79"/>
    </row>
    <row r="687" ht="22.5" customHeight="1">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c r="AA687" s="79"/>
      <c r="AB687" s="79"/>
      <c r="AC687" s="79"/>
      <c r="AD687" s="79"/>
      <c r="AE687" s="79"/>
      <c r="AF687" s="79"/>
      <c r="AG687" s="79"/>
      <c r="AH687" s="79"/>
      <c r="AI687" s="79"/>
      <c r="AJ687" s="79"/>
      <c r="AK687" s="79"/>
      <c r="AL687" s="79"/>
    </row>
    <row r="688" ht="22.5" customHeight="1">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c r="AA688" s="79"/>
      <c r="AB688" s="79"/>
      <c r="AC688" s="79"/>
      <c r="AD688" s="79"/>
      <c r="AE688" s="79"/>
      <c r="AF688" s="79"/>
      <c r="AG688" s="79"/>
      <c r="AH688" s="79"/>
      <c r="AI688" s="79"/>
      <c r="AJ688" s="79"/>
      <c r="AK688" s="79"/>
      <c r="AL688" s="79"/>
    </row>
    <row r="689" ht="22.5" customHeight="1">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c r="AA689" s="79"/>
      <c r="AB689" s="79"/>
      <c r="AC689" s="79"/>
      <c r="AD689" s="79"/>
      <c r="AE689" s="79"/>
      <c r="AF689" s="79"/>
      <c r="AG689" s="79"/>
      <c r="AH689" s="79"/>
      <c r="AI689" s="79"/>
      <c r="AJ689" s="79"/>
      <c r="AK689" s="79"/>
      <c r="AL689" s="79"/>
    </row>
    <row r="690" ht="22.5" customHeight="1">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c r="AA690" s="79"/>
      <c r="AB690" s="79"/>
      <c r="AC690" s="79"/>
      <c r="AD690" s="79"/>
      <c r="AE690" s="79"/>
      <c r="AF690" s="79"/>
      <c r="AG690" s="79"/>
      <c r="AH690" s="79"/>
      <c r="AI690" s="79"/>
      <c r="AJ690" s="79"/>
      <c r="AK690" s="79"/>
      <c r="AL690" s="79"/>
    </row>
    <row r="691" ht="22.5" customHeight="1">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c r="AA691" s="79"/>
      <c r="AB691" s="79"/>
      <c r="AC691" s="79"/>
      <c r="AD691" s="79"/>
      <c r="AE691" s="79"/>
      <c r="AF691" s="79"/>
      <c r="AG691" s="79"/>
      <c r="AH691" s="79"/>
      <c r="AI691" s="79"/>
      <c r="AJ691" s="79"/>
      <c r="AK691" s="79"/>
      <c r="AL691" s="79"/>
    </row>
    <row r="692" ht="22.5" customHeight="1">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c r="AA692" s="79"/>
      <c r="AB692" s="79"/>
      <c r="AC692" s="79"/>
      <c r="AD692" s="79"/>
      <c r="AE692" s="79"/>
      <c r="AF692" s="79"/>
      <c r="AG692" s="79"/>
      <c r="AH692" s="79"/>
      <c r="AI692" s="79"/>
      <c r="AJ692" s="79"/>
      <c r="AK692" s="79"/>
      <c r="AL692" s="79"/>
    </row>
    <row r="693" ht="22.5" customHeight="1">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c r="AA693" s="79"/>
      <c r="AB693" s="79"/>
      <c r="AC693" s="79"/>
      <c r="AD693" s="79"/>
      <c r="AE693" s="79"/>
      <c r="AF693" s="79"/>
      <c r="AG693" s="79"/>
      <c r="AH693" s="79"/>
      <c r="AI693" s="79"/>
      <c r="AJ693" s="79"/>
      <c r="AK693" s="79"/>
      <c r="AL693" s="79"/>
    </row>
    <row r="694" ht="22.5" customHeight="1">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c r="AA694" s="79"/>
      <c r="AB694" s="79"/>
      <c r="AC694" s="79"/>
      <c r="AD694" s="79"/>
      <c r="AE694" s="79"/>
      <c r="AF694" s="79"/>
      <c r="AG694" s="79"/>
      <c r="AH694" s="79"/>
      <c r="AI694" s="79"/>
      <c r="AJ694" s="79"/>
      <c r="AK694" s="79"/>
      <c r="AL694" s="79"/>
    </row>
    <row r="695" ht="22.5" customHeight="1">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c r="AA695" s="79"/>
      <c r="AB695" s="79"/>
      <c r="AC695" s="79"/>
      <c r="AD695" s="79"/>
      <c r="AE695" s="79"/>
      <c r="AF695" s="79"/>
      <c r="AG695" s="79"/>
      <c r="AH695" s="79"/>
      <c r="AI695" s="79"/>
      <c r="AJ695" s="79"/>
      <c r="AK695" s="79"/>
      <c r="AL695" s="79"/>
    </row>
    <row r="696" ht="22.5" customHeight="1">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c r="AA696" s="79"/>
      <c r="AB696" s="79"/>
      <c r="AC696" s="79"/>
      <c r="AD696" s="79"/>
      <c r="AE696" s="79"/>
      <c r="AF696" s="79"/>
      <c r="AG696" s="79"/>
      <c r="AH696" s="79"/>
      <c r="AI696" s="79"/>
      <c r="AJ696" s="79"/>
      <c r="AK696" s="79"/>
      <c r="AL696" s="79"/>
    </row>
    <row r="697" ht="22.5" customHeight="1">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c r="AA697" s="79"/>
      <c r="AB697" s="79"/>
      <c r="AC697" s="79"/>
      <c r="AD697" s="79"/>
      <c r="AE697" s="79"/>
      <c r="AF697" s="79"/>
      <c r="AG697" s="79"/>
      <c r="AH697" s="79"/>
      <c r="AI697" s="79"/>
      <c r="AJ697" s="79"/>
      <c r="AK697" s="79"/>
      <c r="AL697" s="79"/>
    </row>
    <row r="698" ht="22.5" customHeight="1">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c r="AA698" s="79"/>
      <c r="AB698" s="79"/>
      <c r="AC698" s="79"/>
      <c r="AD698" s="79"/>
      <c r="AE698" s="79"/>
      <c r="AF698" s="79"/>
      <c r="AG698" s="79"/>
      <c r="AH698" s="79"/>
      <c r="AI698" s="79"/>
      <c r="AJ698" s="79"/>
      <c r="AK698" s="79"/>
      <c r="AL698" s="79"/>
    </row>
    <row r="699" ht="22.5" customHeight="1">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c r="AA699" s="79"/>
      <c r="AB699" s="79"/>
      <c r="AC699" s="79"/>
      <c r="AD699" s="79"/>
      <c r="AE699" s="79"/>
      <c r="AF699" s="79"/>
      <c r="AG699" s="79"/>
      <c r="AH699" s="79"/>
      <c r="AI699" s="79"/>
      <c r="AJ699" s="79"/>
      <c r="AK699" s="79"/>
      <c r="AL699" s="79"/>
    </row>
    <row r="700" ht="22.5" customHeight="1">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c r="AA700" s="79"/>
      <c r="AB700" s="79"/>
      <c r="AC700" s="79"/>
      <c r="AD700" s="79"/>
      <c r="AE700" s="79"/>
      <c r="AF700" s="79"/>
      <c r="AG700" s="79"/>
      <c r="AH700" s="79"/>
      <c r="AI700" s="79"/>
      <c r="AJ700" s="79"/>
      <c r="AK700" s="79"/>
      <c r="AL700" s="79"/>
    </row>
    <row r="701" ht="22.5" customHeight="1">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c r="AA701" s="79"/>
      <c r="AB701" s="79"/>
      <c r="AC701" s="79"/>
      <c r="AD701" s="79"/>
      <c r="AE701" s="79"/>
      <c r="AF701" s="79"/>
      <c r="AG701" s="79"/>
      <c r="AH701" s="79"/>
      <c r="AI701" s="79"/>
      <c r="AJ701" s="79"/>
      <c r="AK701" s="79"/>
      <c r="AL701" s="79"/>
    </row>
    <row r="702" ht="22.5" customHeight="1">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c r="AA702" s="79"/>
      <c r="AB702" s="79"/>
      <c r="AC702" s="79"/>
      <c r="AD702" s="79"/>
      <c r="AE702" s="79"/>
      <c r="AF702" s="79"/>
      <c r="AG702" s="79"/>
      <c r="AH702" s="79"/>
      <c r="AI702" s="79"/>
      <c r="AJ702" s="79"/>
      <c r="AK702" s="79"/>
      <c r="AL702" s="79"/>
    </row>
    <row r="703" ht="22.5" customHeight="1">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c r="AA703" s="79"/>
      <c r="AB703" s="79"/>
      <c r="AC703" s="79"/>
      <c r="AD703" s="79"/>
      <c r="AE703" s="79"/>
      <c r="AF703" s="79"/>
      <c r="AG703" s="79"/>
      <c r="AH703" s="79"/>
      <c r="AI703" s="79"/>
      <c r="AJ703" s="79"/>
      <c r="AK703" s="79"/>
      <c r="AL703" s="79"/>
    </row>
    <row r="704" ht="22.5" customHeight="1">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c r="AA704" s="79"/>
      <c r="AB704" s="79"/>
      <c r="AC704" s="79"/>
      <c r="AD704" s="79"/>
      <c r="AE704" s="79"/>
      <c r="AF704" s="79"/>
      <c r="AG704" s="79"/>
      <c r="AH704" s="79"/>
      <c r="AI704" s="79"/>
      <c r="AJ704" s="79"/>
      <c r="AK704" s="79"/>
      <c r="AL704" s="79"/>
    </row>
    <row r="705" ht="22.5" customHeight="1">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c r="AA705" s="79"/>
      <c r="AB705" s="79"/>
      <c r="AC705" s="79"/>
      <c r="AD705" s="79"/>
      <c r="AE705" s="79"/>
      <c r="AF705" s="79"/>
      <c r="AG705" s="79"/>
      <c r="AH705" s="79"/>
      <c r="AI705" s="79"/>
      <c r="AJ705" s="79"/>
      <c r="AK705" s="79"/>
      <c r="AL705" s="79"/>
    </row>
    <row r="706" ht="22.5" customHeight="1">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c r="AA706" s="79"/>
      <c r="AB706" s="79"/>
      <c r="AC706" s="79"/>
      <c r="AD706" s="79"/>
      <c r="AE706" s="79"/>
      <c r="AF706" s="79"/>
      <c r="AG706" s="79"/>
      <c r="AH706" s="79"/>
      <c r="AI706" s="79"/>
      <c r="AJ706" s="79"/>
      <c r="AK706" s="79"/>
      <c r="AL706" s="79"/>
    </row>
    <row r="707" ht="22.5" customHeight="1">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c r="AA707" s="79"/>
      <c r="AB707" s="79"/>
      <c r="AC707" s="79"/>
      <c r="AD707" s="79"/>
      <c r="AE707" s="79"/>
      <c r="AF707" s="79"/>
      <c r="AG707" s="79"/>
      <c r="AH707" s="79"/>
      <c r="AI707" s="79"/>
      <c r="AJ707" s="79"/>
      <c r="AK707" s="79"/>
      <c r="AL707" s="79"/>
    </row>
    <row r="708" ht="22.5" customHeight="1">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c r="AA708" s="79"/>
      <c r="AB708" s="79"/>
      <c r="AC708" s="79"/>
      <c r="AD708" s="79"/>
      <c r="AE708" s="79"/>
      <c r="AF708" s="79"/>
      <c r="AG708" s="79"/>
      <c r="AH708" s="79"/>
      <c r="AI708" s="79"/>
      <c r="AJ708" s="79"/>
      <c r="AK708" s="79"/>
      <c r="AL708" s="79"/>
    </row>
    <row r="709" ht="22.5" customHeight="1">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c r="AA709" s="79"/>
      <c r="AB709" s="79"/>
      <c r="AC709" s="79"/>
      <c r="AD709" s="79"/>
      <c r="AE709" s="79"/>
      <c r="AF709" s="79"/>
      <c r="AG709" s="79"/>
      <c r="AH709" s="79"/>
      <c r="AI709" s="79"/>
      <c r="AJ709" s="79"/>
      <c r="AK709" s="79"/>
      <c r="AL709" s="79"/>
    </row>
    <row r="710" ht="22.5" customHeight="1">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c r="AA710" s="79"/>
      <c r="AB710" s="79"/>
      <c r="AC710" s="79"/>
      <c r="AD710" s="79"/>
      <c r="AE710" s="79"/>
      <c r="AF710" s="79"/>
      <c r="AG710" s="79"/>
      <c r="AH710" s="79"/>
      <c r="AI710" s="79"/>
      <c r="AJ710" s="79"/>
      <c r="AK710" s="79"/>
      <c r="AL710" s="79"/>
    </row>
    <row r="711" ht="22.5" customHeight="1">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c r="AA711" s="79"/>
      <c r="AB711" s="79"/>
      <c r="AC711" s="79"/>
      <c r="AD711" s="79"/>
      <c r="AE711" s="79"/>
      <c r="AF711" s="79"/>
      <c r="AG711" s="79"/>
      <c r="AH711" s="79"/>
      <c r="AI711" s="79"/>
      <c r="AJ711" s="79"/>
      <c r="AK711" s="79"/>
      <c r="AL711" s="79"/>
    </row>
    <row r="712" ht="22.5" customHeight="1">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c r="AA712" s="79"/>
      <c r="AB712" s="79"/>
      <c r="AC712" s="79"/>
      <c r="AD712" s="79"/>
      <c r="AE712" s="79"/>
      <c r="AF712" s="79"/>
      <c r="AG712" s="79"/>
      <c r="AH712" s="79"/>
      <c r="AI712" s="79"/>
      <c r="AJ712" s="79"/>
      <c r="AK712" s="79"/>
      <c r="AL712" s="79"/>
    </row>
    <row r="713" ht="22.5" customHeight="1">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c r="AA713" s="79"/>
      <c r="AB713" s="79"/>
      <c r="AC713" s="79"/>
      <c r="AD713" s="79"/>
      <c r="AE713" s="79"/>
      <c r="AF713" s="79"/>
      <c r="AG713" s="79"/>
      <c r="AH713" s="79"/>
      <c r="AI713" s="79"/>
      <c r="AJ713" s="79"/>
      <c r="AK713" s="79"/>
      <c r="AL713" s="79"/>
    </row>
    <row r="714" ht="22.5" customHeight="1">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c r="AA714" s="79"/>
      <c r="AB714" s="79"/>
      <c r="AC714" s="79"/>
      <c r="AD714" s="79"/>
      <c r="AE714" s="79"/>
      <c r="AF714" s="79"/>
      <c r="AG714" s="79"/>
      <c r="AH714" s="79"/>
      <c r="AI714" s="79"/>
      <c r="AJ714" s="79"/>
      <c r="AK714" s="79"/>
      <c r="AL714" s="79"/>
    </row>
    <row r="715" ht="22.5" customHeight="1">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c r="AA715" s="79"/>
      <c r="AB715" s="79"/>
      <c r="AC715" s="79"/>
      <c r="AD715" s="79"/>
      <c r="AE715" s="79"/>
      <c r="AF715" s="79"/>
      <c r="AG715" s="79"/>
      <c r="AH715" s="79"/>
      <c r="AI715" s="79"/>
      <c r="AJ715" s="79"/>
      <c r="AK715" s="79"/>
      <c r="AL715" s="79"/>
    </row>
    <row r="716" ht="22.5" customHeight="1">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c r="AA716" s="79"/>
      <c r="AB716" s="79"/>
      <c r="AC716" s="79"/>
      <c r="AD716" s="79"/>
      <c r="AE716" s="79"/>
      <c r="AF716" s="79"/>
      <c r="AG716" s="79"/>
      <c r="AH716" s="79"/>
      <c r="AI716" s="79"/>
      <c r="AJ716" s="79"/>
      <c r="AK716" s="79"/>
      <c r="AL716" s="79"/>
    </row>
    <row r="717" ht="22.5" customHeight="1">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c r="AA717" s="79"/>
      <c r="AB717" s="79"/>
      <c r="AC717" s="79"/>
      <c r="AD717" s="79"/>
      <c r="AE717" s="79"/>
      <c r="AF717" s="79"/>
      <c r="AG717" s="79"/>
      <c r="AH717" s="79"/>
      <c r="AI717" s="79"/>
      <c r="AJ717" s="79"/>
      <c r="AK717" s="79"/>
      <c r="AL717" s="79"/>
    </row>
    <row r="718" ht="22.5" customHeight="1">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c r="AA718" s="79"/>
      <c r="AB718" s="79"/>
      <c r="AC718" s="79"/>
      <c r="AD718" s="79"/>
      <c r="AE718" s="79"/>
      <c r="AF718" s="79"/>
      <c r="AG718" s="79"/>
      <c r="AH718" s="79"/>
      <c r="AI718" s="79"/>
      <c r="AJ718" s="79"/>
      <c r="AK718" s="79"/>
      <c r="AL718" s="79"/>
    </row>
    <row r="719" ht="22.5" customHeight="1">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c r="AA719" s="79"/>
      <c r="AB719" s="79"/>
      <c r="AC719" s="79"/>
      <c r="AD719" s="79"/>
      <c r="AE719" s="79"/>
      <c r="AF719" s="79"/>
      <c r="AG719" s="79"/>
      <c r="AH719" s="79"/>
      <c r="AI719" s="79"/>
      <c r="AJ719" s="79"/>
      <c r="AK719" s="79"/>
      <c r="AL719" s="79"/>
    </row>
    <row r="720" ht="22.5" customHeight="1">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c r="AA720" s="79"/>
      <c r="AB720" s="79"/>
      <c r="AC720" s="79"/>
      <c r="AD720" s="79"/>
      <c r="AE720" s="79"/>
      <c r="AF720" s="79"/>
      <c r="AG720" s="79"/>
      <c r="AH720" s="79"/>
      <c r="AI720" s="79"/>
      <c r="AJ720" s="79"/>
      <c r="AK720" s="79"/>
      <c r="AL720" s="79"/>
    </row>
    <row r="721" ht="22.5" customHeight="1">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c r="AA721" s="79"/>
      <c r="AB721" s="79"/>
      <c r="AC721" s="79"/>
      <c r="AD721" s="79"/>
      <c r="AE721" s="79"/>
      <c r="AF721" s="79"/>
      <c r="AG721" s="79"/>
      <c r="AH721" s="79"/>
      <c r="AI721" s="79"/>
      <c r="AJ721" s="79"/>
      <c r="AK721" s="79"/>
      <c r="AL721" s="79"/>
    </row>
    <row r="722" ht="22.5" customHeight="1">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c r="AA722" s="79"/>
      <c r="AB722" s="79"/>
      <c r="AC722" s="79"/>
      <c r="AD722" s="79"/>
      <c r="AE722" s="79"/>
      <c r="AF722" s="79"/>
      <c r="AG722" s="79"/>
      <c r="AH722" s="79"/>
      <c r="AI722" s="79"/>
      <c r="AJ722" s="79"/>
      <c r="AK722" s="79"/>
      <c r="AL722" s="79"/>
    </row>
    <row r="723" ht="22.5" customHeight="1">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c r="AA723" s="79"/>
      <c r="AB723" s="79"/>
      <c r="AC723" s="79"/>
      <c r="AD723" s="79"/>
      <c r="AE723" s="79"/>
      <c r="AF723" s="79"/>
      <c r="AG723" s="79"/>
      <c r="AH723" s="79"/>
      <c r="AI723" s="79"/>
      <c r="AJ723" s="79"/>
      <c r="AK723" s="79"/>
      <c r="AL723" s="79"/>
    </row>
    <row r="724" ht="22.5" customHeight="1">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c r="AA724" s="79"/>
      <c r="AB724" s="79"/>
      <c r="AC724" s="79"/>
      <c r="AD724" s="79"/>
      <c r="AE724" s="79"/>
      <c r="AF724" s="79"/>
      <c r="AG724" s="79"/>
      <c r="AH724" s="79"/>
      <c r="AI724" s="79"/>
      <c r="AJ724" s="79"/>
      <c r="AK724" s="79"/>
      <c r="AL724" s="79"/>
    </row>
    <row r="725" ht="22.5" customHeight="1">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c r="AA725" s="79"/>
      <c r="AB725" s="79"/>
      <c r="AC725" s="79"/>
      <c r="AD725" s="79"/>
      <c r="AE725" s="79"/>
      <c r="AF725" s="79"/>
      <c r="AG725" s="79"/>
      <c r="AH725" s="79"/>
      <c r="AI725" s="79"/>
      <c r="AJ725" s="79"/>
      <c r="AK725" s="79"/>
      <c r="AL725" s="79"/>
    </row>
    <row r="726" ht="22.5" customHeight="1">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c r="AA726" s="79"/>
      <c r="AB726" s="79"/>
      <c r="AC726" s="79"/>
      <c r="AD726" s="79"/>
      <c r="AE726" s="79"/>
      <c r="AF726" s="79"/>
      <c r="AG726" s="79"/>
      <c r="AH726" s="79"/>
      <c r="AI726" s="79"/>
      <c r="AJ726" s="79"/>
      <c r="AK726" s="79"/>
      <c r="AL726" s="79"/>
    </row>
    <row r="727" ht="22.5" customHeight="1">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c r="AA727" s="79"/>
      <c r="AB727" s="79"/>
      <c r="AC727" s="79"/>
      <c r="AD727" s="79"/>
      <c r="AE727" s="79"/>
      <c r="AF727" s="79"/>
      <c r="AG727" s="79"/>
      <c r="AH727" s="79"/>
      <c r="AI727" s="79"/>
      <c r="AJ727" s="79"/>
      <c r="AK727" s="79"/>
      <c r="AL727" s="79"/>
    </row>
    <row r="728" ht="22.5" customHeight="1">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c r="AA728" s="79"/>
      <c r="AB728" s="79"/>
      <c r="AC728" s="79"/>
      <c r="AD728" s="79"/>
      <c r="AE728" s="79"/>
      <c r="AF728" s="79"/>
      <c r="AG728" s="79"/>
      <c r="AH728" s="79"/>
      <c r="AI728" s="79"/>
      <c r="AJ728" s="79"/>
      <c r="AK728" s="79"/>
      <c r="AL728" s="79"/>
    </row>
    <row r="729" ht="22.5" customHeight="1">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c r="AA729" s="79"/>
      <c r="AB729" s="79"/>
      <c r="AC729" s="79"/>
      <c r="AD729" s="79"/>
      <c r="AE729" s="79"/>
      <c r="AF729" s="79"/>
      <c r="AG729" s="79"/>
      <c r="AH729" s="79"/>
      <c r="AI729" s="79"/>
      <c r="AJ729" s="79"/>
      <c r="AK729" s="79"/>
      <c r="AL729" s="79"/>
    </row>
    <row r="730" ht="22.5" customHeight="1">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c r="AA730" s="79"/>
      <c r="AB730" s="79"/>
      <c r="AC730" s="79"/>
      <c r="AD730" s="79"/>
      <c r="AE730" s="79"/>
      <c r="AF730" s="79"/>
      <c r="AG730" s="79"/>
      <c r="AH730" s="79"/>
      <c r="AI730" s="79"/>
      <c r="AJ730" s="79"/>
      <c r="AK730" s="79"/>
      <c r="AL730" s="79"/>
    </row>
    <row r="731" ht="22.5" customHeight="1">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c r="AA731" s="79"/>
      <c r="AB731" s="79"/>
      <c r="AC731" s="79"/>
      <c r="AD731" s="79"/>
      <c r="AE731" s="79"/>
      <c r="AF731" s="79"/>
      <c r="AG731" s="79"/>
      <c r="AH731" s="79"/>
      <c r="AI731" s="79"/>
      <c r="AJ731" s="79"/>
      <c r="AK731" s="79"/>
      <c r="AL731" s="79"/>
    </row>
    <row r="732" ht="22.5" customHeight="1">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c r="AA732" s="79"/>
      <c r="AB732" s="79"/>
      <c r="AC732" s="79"/>
      <c r="AD732" s="79"/>
      <c r="AE732" s="79"/>
      <c r="AF732" s="79"/>
      <c r="AG732" s="79"/>
      <c r="AH732" s="79"/>
      <c r="AI732" s="79"/>
      <c r="AJ732" s="79"/>
      <c r="AK732" s="79"/>
      <c r="AL732" s="79"/>
    </row>
    <row r="733" ht="22.5" customHeight="1">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c r="AA733" s="79"/>
      <c r="AB733" s="79"/>
      <c r="AC733" s="79"/>
      <c r="AD733" s="79"/>
      <c r="AE733" s="79"/>
      <c r="AF733" s="79"/>
      <c r="AG733" s="79"/>
      <c r="AH733" s="79"/>
      <c r="AI733" s="79"/>
      <c r="AJ733" s="79"/>
      <c r="AK733" s="79"/>
      <c r="AL733" s="79"/>
    </row>
    <row r="734" ht="22.5" customHeight="1">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c r="AA734" s="79"/>
      <c r="AB734" s="79"/>
      <c r="AC734" s="79"/>
      <c r="AD734" s="79"/>
      <c r="AE734" s="79"/>
      <c r="AF734" s="79"/>
      <c r="AG734" s="79"/>
      <c r="AH734" s="79"/>
      <c r="AI734" s="79"/>
      <c r="AJ734" s="79"/>
      <c r="AK734" s="79"/>
      <c r="AL734" s="79"/>
    </row>
    <row r="735" ht="22.5" customHeight="1">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c r="AA735" s="79"/>
      <c r="AB735" s="79"/>
      <c r="AC735" s="79"/>
      <c r="AD735" s="79"/>
      <c r="AE735" s="79"/>
      <c r="AF735" s="79"/>
      <c r="AG735" s="79"/>
      <c r="AH735" s="79"/>
      <c r="AI735" s="79"/>
      <c r="AJ735" s="79"/>
      <c r="AK735" s="79"/>
      <c r="AL735" s="79"/>
    </row>
    <row r="736" ht="22.5" customHeight="1">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c r="AA736" s="79"/>
      <c r="AB736" s="79"/>
      <c r="AC736" s="79"/>
      <c r="AD736" s="79"/>
      <c r="AE736" s="79"/>
      <c r="AF736" s="79"/>
      <c r="AG736" s="79"/>
      <c r="AH736" s="79"/>
      <c r="AI736" s="79"/>
      <c r="AJ736" s="79"/>
      <c r="AK736" s="79"/>
      <c r="AL736" s="79"/>
    </row>
    <row r="737" ht="22.5" customHeight="1">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c r="AA737" s="79"/>
      <c r="AB737" s="79"/>
      <c r="AC737" s="79"/>
      <c r="AD737" s="79"/>
      <c r="AE737" s="79"/>
      <c r="AF737" s="79"/>
      <c r="AG737" s="79"/>
      <c r="AH737" s="79"/>
      <c r="AI737" s="79"/>
      <c r="AJ737" s="79"/>
      <c r="AK737" s="79"/>
      <c r="AL737" s="79"/>
    </row>
    <row r="738" ht="22.5" customHeight="1">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c r="AA738" s="79"/>
      <c r="AB738" s="79"/>
      <c r="AC738" s="79"/>
      <c r="AD738" s="79"/>
      <c r="AE738" s="79"/>
      <c r="AF738" s="79"/>
      <c r="AG738" s="79"/>
      <c r="AH738" s="79"/>
      <c r="AI738" s="79"/>
      <c r="AJ738" s="79"/>
      <c r="AK738" s="79"/>
      <c r="AL738" s="79"/>
    </row>
    <row r="739" ht="22.5" customHeight="1">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c r="AA739" s="79"/>
      <c r="AB739" s="79"/>
      <c r="AC739" s="79"/>
      <c r="AD739" s="79"/>
      <c r="AE739" s="79"/>
      <c r="AF739" s="79"/>
      <c r="AG739" s="79"/>
      <c r="AH739" s="79"/>
      <c r="AI739" s="79"/>
      <c r="AJ739" s="79"/>
      <c r="AK739" s="79"/>
      <c r="AL739" s="79"/>
    </row>
    <row r="740" ht="22.5" customHeight="1">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c r="AA740" s="79"/>
      <c r="AB740" s="79"/>
      <c r="AC740" s="79"/>
      <c r="AD740" s="79"/>
      <c r="AE740" s="79"/>
      <c r="AF740" s="79"/>
      <c r="AG740" s="79"/>
      <c r="AH740" s="79"/>
      <c r="AI740" s="79"/>
      <c r="AJ740" s="79"/>
      <c r="AK740" s="79"/>
      <c r="AL740" s="79"/>
    </row>
    <row r="741" ht="22.5" customHeight="1">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c r="AA741" s="79"/>
      <c r="AB741" s="79"/>
      <c r="AC741" s="79"/>
      <c r="AD741" s="79"/>
      <c r="AE741" s="79"/>
      <c r="AF741" s="79"/>
      <c r="AG741" s="79"/>
      <c r="AH741" s="79"/>
      <c r="AI741" s="79"/>
      <c r="AJ741" s="79"/>
      <c r="AK741" s="79"/>
      <c r="AL741" s="79"/>
    </row>
    <row r="742" ht="22.5" customHeight="1">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c r="AA742" s="79"/>
      <c r="AB742" s="79"/>
      <c r="AC742" s="79"/>
      <c r="AD742" s="79"/>
      <c r="AE742" s="79"/>
      <c r="AF742" s="79"/>
      <c r="AG742" s="79"/>
      <c r="AH742" s="79"/>
      <c r="AI742" s="79"/>
      <c r="AJ742" s="79"/>
      <c r="AK742" s="79"/>
      <c r="AL742" s="79"/>
    </row>
    <row r="743" ht="22.5" customHeight="1">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c r="AA743" s="79"/>
      <c r="AB743" s="79"/>
      <c r="AC743" s="79"/>
      <c r="AD743" s="79"/>
      <c r="AE743" s="79"/>
      <c r="AF743" s="79"/>
      <c r="AG743" s="79"/>
      <c r="AH743" s="79"/>
      <c r="AI743" s="79"/>
      <c r="AJ743" s="79"/>
      <c r="AK743" s="79"/>
      <c r="AL743" s="79"/>
    </row>
    <row r="744" ht="22.5" customHeight="1">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c r="AA744" s="79"/>
      <c r="AB744" s="79"/>
      <c r="AC744" s="79"/>
      <c r="AD744" s="79"/>
      <c r="AE744" s="79"/>
      <c r="AF744" s="79"/>
      <c r="AG744" s="79"/>
      <c r="AH744" s="79"/>
      <c r="AI744" s="79"/>
      <c r="AJ744" s="79"/>
      <c r="AK744" s="79"/>
      <c r="AL744" s="79"/>
    </row>
    <row r="745" ht="22.5" customHeight="1">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c r="AA745" s="79"/>
      <c r="AB745" s="79"/>
      <c r="AC745" s="79"/>
      <c r="AD745" s="79"/>
      <c r="AE745" s="79"/>
      <c r="AF745" s="79"/>
      <c r="AG745" s="79"/>
      <c r="AH745" s="79"/>
      <c r="AI745" s="79"/>
      <c r="AJ745" s="79"/>
      <c r="AK745" s="79"/>
      <c r="AL745" s="79"/>
    </row>
    <row r="746" ht="22.5" customHeight="1">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c r="AA746" s="79"/>
      <c r="AB746" s="79"/>
      <c r="AC746" s="79"/>
      <c r="AD746" s="79"/>
      <c r="AE746" s="79"/>
      <c r="AF746" s="79"/>
      <c r="AG746" s="79"/>
      <c r="AH746" s="79"/>
      <c r="AI746" s="79"/>
      <c r="AJ746" s="79"/>
      <c r="AK746" s="79"/>
      <c r="AL746" s="79"/>
    </row>
    <row r="747" ht="22.5" customHeight="1">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c r="AA747" s="79"/>
      <c r="AB747" s="79"/>
      <c r="AC747" s="79"/>
      <c r="AD747" s="79"/>
      <c r="AE747" s="79"/>
      <c r="AF747" s="79"/>
      <c r="AG747" s="79"/>
      <c r="AH747" s="79"/>
      <c r="AI747" s="79"/>
      <c r="AJ747" s="79"/>
      <c r="AK747" s="79"/>
      <c r="AL747" s="79"/>
    </row>
    <row r="748" ht="22.5" customHeight="1">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c r="AA748" s="79"/>
      <c r="AB748" s="79"/>
      <c r="AC748" s="79"/>
      <c r="AD748" s="79"/>
      <c r="AE748" s="79"/>
      <c r="AF748" s="79"/>
      <c r="AG748" s="79"/>
      <c r="AH748" s="79"/>
      <c r="AI748" s="79"/>
      <c r="AJ748" s="79"/>
      <c r="AK748" s="79"/>
      <c r="AL748" s="79"/>
    </row>
    <row r="749" ht="22.5" customHeight="1">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c r="AA749" s="79"/>
      <c r="AB749" s="79"/>
      <c r="AC749" s="79"/>
      <c r="AD749" s="79"/>
      <c r="AE749" s="79"/>
      <c r="AF749" s="79"/>
      <c r="AG749" s="79"/>
      <c r="AH749" s="79"/>
      <c r="AI749" s="79"/>
      <c r="AJ749" s="79"/>
      <c r="AK749" s="79"/>
      <c r="AL749" s="79"/>
    </row>
    <row r="750" ht="22.5" customHeight="1">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c r="AA750" s="79"/>
      <c r="AB750" s="79"/>
      <c r="AC750" s="79"/>
      <c r="AD750" s="79"/>
      <c r="AE750" s="79"/>
      <c r="AF750" s="79"/>
      <c r="AG750" s="79"/>
      <c r="AH750" s="79"/>
      <c r="AI750" s="79"/>
      <c r="AJ750" s="79"/>
      <c r="AK750" s="79"/>
      <c r="AL750" s="79"/>
    </row>
    <row r="751" ht="22.5" customHeight="1">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c r="AA751" s="79"/>
      <c r="AB751" s="79"/>
      <c r="AC751" s="79"/>
      <c r="AD751" s="79"/>
      <c r="AE751" s="79"/>
      <c r="AF751" s="79"/>
      <c r="AG751" s="79"/>
      <c r="AH751" s="79"/>
      <c r="AI751" s="79"/>
      <c r="AJ751" s="79"/>
      <c r="AK751" s="79"/>
      <c r="AL751" s="79"/>
    </row>
    <row r="752" ht="22.5" customHeight="1">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c r="AA752" s="79"/>
      <c r="AB752" s="79"/>
      <c r="AC752" s="79"/>
      <c r="AD752" s="79"/>
      <c r="AE752" s="79"/>
      <c r="AF752" s="79"/>
      <c r="AG752" s="79"/>
      <c r="AH752" s="79"/>
      <c r="AI752" s="79"/>
      <c r="AJ752" s="79"/>
      <c r="AK752" s="79"/>
      <c r="AL752" s="79"/>
    </row>
    <row r="753" ht="22.5" customHeight="1">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c r="AA753" s="79"/>
      <c r="AB753" s="79"/>
      <c r="AC753" s="79"/>
      <c r="AD753" s="79"/>
      <c r="AE753" s="79"/>
      <c r="AF753" s="79"/>
      <c r="AG753" s="79"/>
      <c r="AH753" s="79"/>
      <c r="AI753" s="79"/>
      <c r="AJ753" s="79"/>
      <c r="AK753" s="79"/>
      <c r="AL753" s="79"/>
    </row>
    <row r="754" ht="22.5" customHeight="1">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c r="AA754" s="79"/>
      <c r="AB754" s="79"/>
      <c r="AC754" s="79"/>
      <c r="AD754" s="79"/>
      <c r="AE754" s="79"/>
      <c r="AF754" s="79"/>
      <c r="AG754" s="79"/>
      <c r="AH754" s="79"/>
      <c r="AI754" s="79"/>
      <c r="AJ754" s="79"/>
      <c r="AK754" s="79"/>
      <c r="AL754" s="79"/>
    </row>
    <row r="755" ht="22.5" customHeight="1">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c r="AA755" s="79"/>
      <c r="AB755" s="79"/>
      <c r="AC755" s="79"/>
      <c r="AD755" s="79"/>
      <c r="AE755" s="79"/>
      <c r="AF755" s="79"/>
      <c r="AG755" s="79"/>
      <c r="AH755" s="79"/>
      <c r="AI755" s="79"/>
      <c r="AJ755" s="79"/>
      <c r="AK755" s="79"/>
      <c r="AL755" s="79"/>
    </row>
    <row r="756" ht="22.5" customHeight="1">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c r="AA756" s="79"/>
      <c r="AB756" s="79"/>
      <c r="AC756" s="79"/>
      <c r="AD756" s="79"/>
      <c r="AE756" s="79"/>
      <c r="AF756" s="79"/>
      <c r="AG756" s="79"/>
      <c r="AH756" s="79"/>
      <c r="AI756" s="79"/>
      <c r="AJ756" s="79"/>
      <c r="AK756" s="79"/>
      <c r="AL756" s="79"/>
    </row>
    <row r="757" ht="22.5" customHeight="1">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c r="AA757" s="79"/>
      <c r="AB757" s="79"/>
      <c r="AC757" s="79"/>
      <c r="AD757" s="79"/>
      <c r="AE757" s="79"/>
      <c r="AF757" s="79"/>
      <c r="AG757" s="79"/>
      <c r="AH757" s="79"/>
      <c r="AI757" s="79"/>
      <c r="AJ757" s="79"/>
      <c r="AK757" s="79"/>
      <c r="AL757" s="79"/>
    </row>
    <row r="758" ht="22.5" customHeight="1">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c r="AA758" s="79"/>
      <c r="AB758" s="79"/>
      <c r="AC758" s="79"/>
      <c r="AD758" s="79"/>
      <c r="AE758" s="79"/>
      <c r="AF758" s="79"/>
      <c r="AG758" s="79"/>
      <c r="AH758" s="79"/>
      <c r="AI758" s="79"/>
      <c r="AJ758" s="79"/>
      <c r="AK758" s="79"/>
      <c r="AL758" s="79"/>
    </row>
    <row r="759" ht="22.5" customHeight="1">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c r="AA759" s="79"/>
      <c r="AB759" s="79"/>
      <c r="AC759" s="79"/>
      <c r="AD759" s="79"/>
      <c r="AE759" s="79"/>
      <c r="AF759" s="79"/>
      <c r="AG759" s="79"/>
      <c r="AH759" s="79"/>
      <c r="AI759" s="79"/>
      <c r="AJ759" s="79"/>
      <c r="AK759" s="79"/>
      <c r="AL759" s="79"/>
    </row>
    <row r="760" ht="22.5" customHeight="1">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c r="AA760" s="79"/>
      <c r="AB760" s="79"/>
      <c r="AC760" s="79"/>
      <c r="AD760" s="79"/>
      <c r="AE760" s="79"/>
      <c r="AF760" s="79"/>
      <c r="AG760" s="79"/>
      <c r="AH760" s="79"/>
      <c r="AI760" s="79"/>
      <c r="AJ760" s="79"/>
      <c r="AK760" s="79"/>
      <c r="AL760" s="79"/>
    </row>
    <row r="761" ht="22.5" customHeight="1">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c r="AA761" s="79"/>
      <c r="AB761" s="79"/>
      <c r="AC761" s="79"/>
      <c r="AD761" s="79"/>
      <c r="AE761" s="79"/>
      <c r="AF761" s="79"/>
      <c r="AG761" s="79"/>
      <c r="AH761" s="79"/>
      <c r="AI761" s="79"/>
      <c r="AJ761" s="79"/>
      <c r="AK761" s="79"/>
      <c r="AL761" s="79"/>
    </row>
    <row r="762" ht="22.5" customHeight="1">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c r="AA762" s="79"/>
      <c r="AB762" s="79"/>
      <c r="AC762" s="79"/>
      <c r="AD762" s="79"/>
      <c r="AE762" s="79"/>
      <c r="AF762" s="79"/>
      <c r="AG762" s="79"/>
      <c r="AH762" s="79"/>
      <c r="AI762" s="79"/>
      <c r="AJ762" s="79"/>
      <c r="AK762" s="79"/>
      <c r="AL762" s="79"/>
    </row>
    <row r="763" ht="22.5" customHeight="1">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c r="AA763" s="79"/>
      <c r="AB763" s="79"/>
      <c r="AC763" s="79"/>
      <c r="AD763" s="79"/>
      <c r="AE763" s="79"/>
      <c r="AF763" s="79"/>
      <c r="AG763" s="79"/>
      <c r="AH763" s="79"/>
      <c r="AI763" s="79"/>
      <c r="AJ763" s="79"/>
      <c r="AK763" s="79"/>
      <c r="AL763" s="79"/>
    </row>
    <row r="764" ht="22.5" customHeight="1">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c r="AA764" s="79"/>
      <c r="AB764" s="79"/>
      <c r="AC764" s="79"/>
      <c r="AD764" s="79"/>
      <c r="AE764" s="79"/>
      <c r="AF764" s="79"/>
      <c r="AG764" s="79"/>
      <c r="AH764" s="79"/>
      <c r="AI764" s="79"/>
      <c r="AJ764" s="79"/>
      <c r="AK764" s="79"/>
      <c r="AL764" s="79"/>
    </row>
    <row r="765" ht="22.5" customHeight="1">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c r="AA765" s="79"/>
      <c r="AB765" s="79"/>
      <c r="AC765" s="79"/>
      <c r="AD765" s="79"/>
      <c r="AE765" s="79"/>
      <c r="AF765" s="79"/>
      <c r="AG765" s="79"/>
      <c r="AH765" s="79"/>
      <c r="AI765" s="79"/>
      <c r="AJ765" s="79"/>
      <c r="AK765" s="79"/>
      <c r="AL765" s="79"/>
    </row>
    <row r="766" ht="22.5" customHeight="1">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c r="AA766" s="79"/>
      <c r="AB766" s="79"/>
      <c r="AC766" s="79"/>
      <c r="AD766" s="79"/>
      <c r="AE766" s="79"/>
      <c r="AF766" s="79"/>
      <c r="AG766" s="79"/>
      <c r="AH766" s="79"/>
      <c r="AI766" s="79"/>
      <c r="AJ766" s="79"/>
      <c r="AK766" s="79"/>
      <c r="AL766" s="79"/>
    </row>
    <row r="767" ht="22.5" customHeight="1">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c r="AA767" s="79"/>
      <c r="AB767" s="79"/>
      <c r="AC767" s="79"/>
      <c r="AD767" s="79"/>
      <c r="AE767" s="79"/>
      <c r="AF767" s="79"/>
      <c r="AG767" s="79"/>
      <c r="AH767" s="79"/>
      <c r="AI767" s="79"/>
      <c r="AJ767" s="79"/>
      <c r="AK767" s="79"/>
      <c r="AL767" s="79"/>
    </row>
    <row r="768" ht="22.5" customHeight="1">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c r="AA768" s="79"/>
      <c r="AB768" s="79"/>
      <c r="AC768" s="79"/>
      <c r="AD768" s="79"/>
      <c r="AE768" s="79"/>
      <c r="AF768" s="79"/>
      <c r="AG768" s="79"/>
      <c r="AH768" s="79"/>
      <c r="AI768" s="79"/>
      <c r="AJ768" s="79"/>
      <c r="AK768" s="79"/>
      <c r="AL768" s="79"/>
    </row>
    <row r="769" ht="22.5" customHeight="1">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c r="AA769" s="79"/>
      <c r="AB769" s="79"/>
      <c r="AC769" s="79"/>
      <c r="AD769" s="79"/>
      <c r="AE769" s="79"/>
      <c r="AF769" s="79"/>
      <c r="AG769" s="79"/>
      <c r="AH769" s="79"/>
      <c r="AI769" s="79"/>
      <c r="AJ769" s="79"/>
      <c r="AK769" s="79"/>
      <c r="AL769" s="79"/>
    </row>
    <row r="770" ht="22.5" customHeight="1">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c r="AA770" s="79"/>
      <c r="AB770" s="79"/>
      <c r="AC770" s="79"/>
      <c r="AD770" s="79"/>
      <c r="AE770" s="79"/>
      <c r="AF770" s="79"/>
      <c r="AG770" s="79"/>
      <c r="AH770" s="79"/>
      <c r="AI770" s="79"/>
      <c r="AJ770" s="79"/>
      <c r="AK770" s="79"/>
      <c r="AL770" s="79"/>
    </row>
    <row r="771" ht="22.5" customHeight="1">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c r="AA771" s="79"/>
      <c r="AB771" s="79"/>
      <c r="AC771" s="79"/>
      <c r="AD771" s="79"/>
      <c r="AE771" s="79"/>
      <c r="AF771" s="79"/>
      <c r="AG771" s="79"/>
      <c r="AH771" s="79"/>
      <c r="AI771" s="79"/>
      <c r="AJ771" s="79"/>
      <c r="AK771" s="79"/>
      <c r="AL771" s="79"/>
    </row>
    <row r="772" ht="22.5" customHeight="1">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c r="AA772" s="79"/>
      <c r="AB772" s="79"/>
      <c r="AC772" s="79"/>
      <c r="AD772" s="79"/>
      <c r="AE772" s="79"/>
      <c r="AF772" s="79"/>
      <c r="AG772" s="79"/>
      <c r="AH772" s="79"/>
      <c r="AI772" s="79"/>
      <c r="AJ772" s="79"/>
      <c r="AK772" s="79"/>
      <c r="AL772" s="79"/>
    </row>
    <row r="773" ht="22.5" customHeight="1">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c r="AA773" s="79"/>
      <c r="AB773" s="79"/>
      <c r="AC773" s="79"/>
      <c r="AD773" s="79"/>
      <c r="AE773" s="79"/>
      <c r="AF773" s="79"/>
      <c r="AG773" s="79"/>
      <c r="AH773" s="79"/>
      <c r="AI773" s="79"/>
      <c r="AJ773" s="79"/>
      <c r="AK773" s="79"/>
      <c r="AL773" s="79"/>
    </row>
    <row r="774" ht="22.5" customHeight="1">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c r="AA774" s="79"/>
      <c r="AB774" s="79"/>
      <c r="AC774" s="79"/>
      <c r="AD774" s="79"/>
      <c r="AE774" s="79"/>
      <c r="AF774" s="79"/>
      <c r="AG774" s="79"/>
      <c r="AH774" s="79"/>
      <c r="AI774" s="79"/>
      <c r="AJ774" s="79"/>
      <c r="AK774" s="79"/>
      <c r="AL774" s="79"/>
    </row>
    <row r="775" ht="22.5" customHeight="1">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c r="AA775" s="79"/>
      <c r="AB775" s="79"/>
      <c r="AC775" s="79"/>
      <c r="AD775" s="79"/>
      <c r="AE775" s="79"/>
      <c r="AF775" s="79"/>
      <c r="AG775" s="79"/>
      <c r="AH775" s="79"/>
      <c r="AI775" s="79"/>
      <c r="AJ775" s="79"/>
      <c r="AK775" s="79"/>
      <c r="AL775" s="79"/>
    </row>
    <row r="776" ht="22.5" customHeight="1">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c r="AA776" s="79"/>
      <c r="AB776" s="79"/>
      <c r="AC776" s="79"/>
      <c r="AD776" s="79"/>
      <c r="AE776" s="79"/>
      <c r="AF776" s="79"/>
      <c r="AG776" s="79"/>
      <c r="AH776" s="79"/>
      <c r="AI776" s="79"/>
      <c r="AJ776" s="79"/>
      <c r="AK776" s="79"/>
      <c r="AL776" s="79"/>
    </row>
    <row r="777" ht="22.5" customHeight="1">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c r="AA777" s="79"/>
      <c r="AB777" s="79"/>
      <c r="AC777" s="79"/>
      <c r="AD777" s="79"/>
      <c r="AE777" s="79"/>
      <c r="AF777" s="79"/>
      <c r="AG777" s="79"/>
      <c r="AH777" s="79"/>
      <c r="AI777" s="79"/>
      <c r="AJ777" s="79"/>
      <c r="AK777" s="79"/>
      <c r="AL777" s="79"/>
    </row>
    <row r="778" ht="22.5" customHeight="1">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c r="AA778" s="79"/>
      <c r="AB778" s="79"/>
      <c r="AC778" s="79"/>
      <c r="AD778" s="79"/>
      <c r="AE778" s="79"/>
      <c r="AF778" s="79"/>
      <c r="AG778" s="79"/>
      <c r="AH778" s="79"/>
      <c r="AI778" s="79"/>
      <c r="AJ778" s="79"/>
      <c r="AK778" s="79"/>
      <c r="AL778" s="79"/>
    </row>
    <row r="779" ht="22.5" customHeight="1">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c r="AA779" s="79"/>
      <c r="AB779" s="79"/>
      <c r="AC779" s="79"/>
      <c r="AD779" s="79"/>
      <c r="AE779" s="79"/>
      <c r="AF779" s="79"/>
      <c r="AG779" s="79"/>
      <c r="AH779" s="79"/>
      <c r="AI779" s="79"/>
      <c r="AJ779" s="79"/>
      <c r="AK779" s="79"/>
      <c r="AL779" s="79"/>
    </row>
    <row r="780" ht="22.5" customHeight="1">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c r="AA780" s="79"/>
      <c r="AB780" s="79"/>
      <c r="AC780" s="79"/>
      <c r="AD780" s="79"/>
      <c r="AE780" s="79"/>
      <c r="AF780" s="79"/>
      <c r="AG780" s="79"/>
      <c r="AH780" s="79"/>
      <c r="AI780" s="79"/>
      <c r="AJ780" s="79"/>
      <c r="AK780" s="79"/>
      <c r="AL780" s="79"/>
    </row>
    <row r="781" ht="22.5" customHeight="1">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c r="AA781" s="79"/>
      <c r="AB781" s="79"/>
      <c r="AC781" s="79"/>
      <c r="AD781" s="79"/>
      <c r="AE781" s="79"/>
      <c r="AF781" s="79"/>
      <c r="AG781" s="79"/>
      <c r="AH781" s="79"/>
      <c r="AI781" s="79"/>
      <c r="AJ781" s="79"/>
      <c r="AK781" s="79"/>
      <c r="AL781" s="79"/>
    </row>
    <row r="782" ht="22.5" customHeight="1">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c r="AA782" s="79"/>
      <c r="AB782" s="79"/>
      <c r="AC782" s="79"/>
      <c r="AD782" s="79"/>
      <c r="AE782" s="79"/>
      <c r="AF782" s="79"/>
      <c r="AG782" s="79"/>
      <c r="AH782" s="79"/>
      <c r="AI782" s="79"/>
      <c r="AJ782" s="79"/>
      <c r="AK782" s="79"/>
      <c r="AL782" s="79"/>
    </row>
    <row r="783" ht="22.5" customHeight="1">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c r="AA783" s="79"/>
      <c r="AB783" s="79"/>
      <c r="AC783" s="79"/>
      <c r="AD783" s="79"/>
      <c r="AE783" s="79"/>
      <c r="AF783" s="79"/>
      <c r="AG783" s="79"/>
      <c r="AH783" s="79"/>
      <c r="AI783" s="79"/>
      <c r="AJ783" s="79"/>
      <c r="AK783" s="79"/>
      <c r="AL783" s="79"/>
    </row>
    <row r="784" ht="22.5" customHeight="1">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c r="AA784" s="79"/>
      <c r="AB784" s="79"/>
      <c r="AC784" s="79"/>
      <c r="AD784" s="79"/>
      <c r="AE784" s="79"/>
      <c r="AF784" s="79"/>
      <c r="AG784" s="79"/>
      <c r="AH784" s="79"/>
      <c r="AI784" s="79"/>
      <c r="AJ784" s="79"/>
      <c r="AK784" s="79"/>
      <c r="AL784" s="79"/>
    </row>
    <row r="785" ht="22.5" customHeight="1">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c r="AA785" s="79"/>
      <c r="AB785" s="79"/>
      <c r="AC785" s="79"/>
      <c r="AD785" s="79"/>
      <c r="AE785" s="79"/>
      <c r="AF785" s="79"/>
      <c r="AG785" s="79"/>
      <c r="AH785" s="79"/>
      <c r="AI785" s="79"/>
      <c r="AJ785" s="79"/>
      <c r="AK785" s="79"/>
      <c r="AL785" s="79"/>
    </row>
    <row r="786" ht="22.5" customHeight="1">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c r="AA786" s="79"/>
      <c r="AB786" s="79"/>
      <c r="AC786" s="79"/>
      <c r="AD786" s="79"/>
      <c r="AE786" s="79"/>
      <c r="AF786" s="79"/>
      <c r="AG786" s="79"/>
      <c r="AH786" s="79"/>
      <c r="AI786" s="79"/>
      <c r="AJ786" s="79"/>
      <c r="AK786" s="79"/>
      <c r="AL786" s="79"/>
    </row>
    <row r="787" ht="22.5" customHeight="1">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c r="AA787" s="79"/>
      <c r="AB787" s="79"/>
      <c r="AC787" s="79"/>
      <c r="AD787" s="79"/>
      <c r="AE787" s="79"/>
      <c r="AF787" s="79"/>
      <c r="AG787" s="79"/>
      <c r="AH787" s="79"/>
      <c r="AI787" s="79"/>
      <c r="AJ787" s="79"/>
      <c r="AK787" s="79"/>
      <c r="AL787" s="79"/>
    </row>
    <row r="788" ht="22.5" customHeight="1">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c r="AA788" s="79"/>
      <c r="AB788" s="79"/>
      <c r="AC788" s="79"/>
      <c r="AD788" s="79"/>
      <c r="AE788" s="79"/>
      <c r="AF788" s="79"/>
      <c r="AG788" s="79"/>
      <c r="AH788" s="79"/>
      <c r="AI788" s="79"/>
      <c r="AJ788" s="79"/>
      <c r="AK788" s="79"/>
      <c r="AL788" s="79"/>
    </row>
    <row r="789" ht="22.5" customHeight="1">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c r="AA789" s="79"/>
      <c r="AB789" s="79"/>
      <c r="AC789" s="79"/>
      <c r="AD789" s="79"/>
      <c r="AE789" s="79"/>
      <c r="AF789" s="79"/>
      <c r="AG789" s="79"/>
      <c r="AH789" s="79"/>
      <c r="AI789" s="79"/>
      <c r="AJ789" s="79"/>
      <c r="AK789" s="79"/>
      <c r="AL789" s="79"/>
    </row>
    <row r="790" ht="22.5" customHeight="1">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c r="AA790" s="79"/>
      <c r="AB790" s="79"/>
      <c r="AC790" s="79"/>
      <c r="AD790" s="79"/>
      <c r="AE790" s="79"/>
      <c r="AF790" s="79"/>
      <c r="AG790" s="79"/>
      <c r="AH790" s="79"/>
      <c r="AI790" s="79"/>
      <c r="AJ790" s="79"/>
      <c r="AK790" s="79"/>
      <c r="AL790" s="79"/>
    </row>
    <row r="791" ht="22.5" customHeight="1">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c r="AA791" s="79"/>
      <c r="AB791" s="79"/>
      <c r="AC791" s="79"/>
      <c r="AD791" s="79"/>
      <c r="AE791" s="79"/>
      <c r="AF791" s="79"/>
      <c r="AG791" s="79"/>
      <c r="AH791" s="79"/>
      <c r="AI791" s="79"/>
      <c r="AJ791" s="79"/>
      <c r="AK791" s="79"/>
      <c r="AL791" s="79"/>
    </row>
    <row r="792" ht="22.5" customHeight="1">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c r="AA792" s="79"/>
      <c r="AB792" s="79"/>
      <c r="AC792" s="79"/>
      <c r="AD792" s="79"/>
      <c r="AE792" s="79"/>
      <c r="AF792" s="79"/>
      <c r="AG792" s="79"/>
      <c r="AH792" s="79"/>
      <c r="AI792" s="79"/>
      <c r="AJ792" s="79"/>
      <c r="AK792" s="79"/>
      <c r="AL792" s="79"/>
    </row>
    <row r="793" ht="22.5" customHeight="1">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c r="AA793" s="79"/>
      <c r="AB793" s="79"/>
      <c r="AC793" s="79"/>
      <c r="AD793" s="79"/>
      <c r="AE793" s="79"/>
      <c r="AF793" s="79"/>
      <c r="AG793" s="79"/>
      <c r="AH793" s="79"/>
      <c r="AI793" s="79"/>
      <c r="AJ793" s="79"/>
      <c r="AK793" s="79"/>
      <c r="AL793" s="79"/>
    </row>
    <row r="794" ht="22.5" customHeight="1">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c r="AA794" s="79"/>
      <c r="AB794" s="79"/>
      <c r="AC794" s="79"/>
      <c r="AD794" s="79"/>
      <c r="AE794" s="79"/>
      <c r="AF794" s="79"/>
      <c r="AG794" s="79"/>
      <c r="AH794" s="79"/>
      <c r="AI794" s="79"/>
      <c r="AJ794" s="79"/>
      <c r="AK794" s="79"/>
      <c r="AL794" s="79"/>
    </row>
    <row r="795" ht="22.5" customHeight="1">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c r="AA795" s="79"/>
      <c r="AB795" s="79"/>
      <c r="AC795" s="79"/>
      <c r="AD795" s="79"/>
      <c r="AE795" s="79"/>
      <c r="AF795" s="79"/>
      <c r="AG795" s="79"/>
      <c r="AH795" s="79"/>
      <c r="AI795" s="79"/>
      <c r="AJ795" s="79"/>
      <c r="AK795" s="79"/>
      <c r="AL795" s="79"/>
    </row>
    <row r="796" ht="22.5" customHeight="1">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c r="AA796" s="79"/>
      <c r="AB796" s="79"/>
      <c r="AC796" s="79"/>
      <c r="AD796" s="79"/>
      <c r="AE796" s="79"/>
      <c r="AF796" s="79"/>
      <c r="AG796" s="79"/>
      <c r="AH796" s="79"/>
      <c r="AI796" s="79"/>
      <c r="AJ796" s="79"/>
      <c r="AK796" s="79"/>
      <c r="AL796" s="79"/>
    </row>
    <row r="797" ht="22.5" customHeight="1">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c r="AA797" s="79"/>
      <c r="AB797" s="79"/>
      <c r="AC797" s="79"/>
      <c r="AD797" s="79"/>
      <c r="AE797" s="79"/>
      <c r="AF797" s="79"/>
      <c r="AG797" s="79"/>
      <c r="AH797" s="79"/>
      <c r="AI797" s="79"/>
      <c r="AJ797" s="79"/>
      <c r="AK797" s="79"/>
      <c r="AL797" s="79"/>
    </row>
    <row r="798" ht="22.5" customHeight="1">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c r="AA798" s="79"/>
      <c r="AB798" s="79"/>
      <c r="AC798" s="79"/>
      <c r="AD798" s="79"/>
      <c r="AE798" s="79"/>
      <c r="AF798" s="79"/>
      <c r="AG798" s="79"/>
      <c r="AH798" s="79"/>
      <c r="AI798" s="79"/>
      <c r="AJ798" s="79"/>
      <c r="AK798" s="79"/>
      <c r="AL798" s="79"/>
    </row>
    <row r="799" ht="22.5" customHeight="1">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c r="AA799" s="79"/>
      <c r="AB799" s="79"/>
      <c r="AC799" s="79"/>
      <c r="AD799" s="79"/>
      <c r="AE799" s="79"/>
      <c r="AF799" s="79"/>
      <c r="AG799" s="79"/>
      <c r="AH799" s="79"/>
      <c r="AI799" s="79"/>
      <c r="AJ799" s="79"/>
      <c r="AK799" s="79"/>
      <c r="AL799" s="79"/>
    </row>
    <row r="800" ht="22.5" customHeight="1">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c r="AA800" s="79"/>
      <c r="AB800" s="79"/>
      <c r="AC800" s="79"/>
      <c r="AD800" s="79"/>
      <c r="AE800" s="79"/>
      <c r="AF800" s="79"/>
      <c r="AG800" s="79"/>
      <c r="AH800" s="79"/>
      <c r="AI800" s="79"/>
      <c r="AJ800" s="79"/>
      <c r="AK800" s="79"/>
      <c r="AL800" s="79"/>
    </row>
    <row r="801" ht="22.5" customHeight="1">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c r="AA801" s="79"/>
      <c r="AB801" s="79"/>
      <c r="AC801" s="79"/>
      <c r="AD801" s="79"/>
      <c r="AE801" s="79"/>
      <c r="AF801" s="79"/>
      <c r="AG801" s="79"/>
      <c r="AH801" s="79"/>
      <c r="AI801" s="79"/>
      <c r="AJ801" s="79"/>
      <c r="AK801" s="79"/>
      <c r="AL801" s="79"/>
    </row>
    <row r="802" ht="22.5" customHeight="1">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c r="AA802" s="79"/>
      <c r="AB802" s="79"/>
      <c r="AC802" s="79"/>
      <c r="AD802" s="79"/>
      <c r="AE802" s="79"/>
      <c r="AF802" s="79"/>
      <c r="AG802" s="79"/>
      <c r="AH802" s="79"/>
      <c r="AI802" s="79"/>
      <c r="AJ802" s="79"/>
      <c r="AK802" s="79"/>
      <c r="AL802" s="79"/>
    </row>
    <row r="803" ht="22.5" customHeight="1">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c r="AA803" s="79"/>
      <c r="AB803" s="79"/>
      <c r="AC803" s="79"/>
      <c r="AD803" s="79"/>
      <c r="AE803" s="79"/>
      <c r="AF803" s="79"/>
      <c r="AG803" s="79"/>
      <c r="AH803" s="79"/>
      <c r="AI803" s="79"/>
      <c r="AJ803" s="79"/>
      <c r="AK803" s="79"/>
      <c r="AL803" s="79"/>
    </row>
    <row r="804" ht="22.5" customHeight="1">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c r="AA804" s="79"/>
      <c r="AB804" s="79"/>
      <c r="AC804" s="79"/>
      <c r="AD804" s="79"/>
      <c r="AE804" s="79"/>
      <c r="AF804" s="79"/>
      <c r="AG804" s="79"/>
      <c r="AH804" s="79"/>
      <c r="AI804" s="79"/>
      <c r="AJ804" s="79"/>
      <c r="AK804" s="79"/>
      <c r="AL804" s="79"/>
    </row>
    <row r="805" ht="22.5" customHeight="1">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c r="AA805" s="79"/>
      <c r="AB805" s="79"/>
      <c r="AC805" s="79"/>
      <c r="AD805" s="79"/>
      <c r="AE805" s="79"/>
      <c r="AF805" s="79"/>
      <c r="AG805" s="79"/>
      <c r="AH805" s="79"/>
      <c r="AI805" s="79"/>
      <c r="AJ805" s="79"/>
      <c r="AK805" s="79"/>
      <c r="AL805" s="79"/>
    </row>
    <row r="806" ht="22.5" customHeight="1">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c r="AA806" s="79"/>
      <c r="AB806" s="79"/>
      <c r="AC806" s="79"/>
      <c r="AD806" s="79"/>
      <c r="AE806" s="79"/>
      <c r="AF806" s="79"/>
      <c r="AG806" s="79"/>
      <c r="AH806" s="79"/>
      <c r="AI806" s="79"/>
      <c r="AJ806" s="79"/>
      <c r="AK806" s="79"/>
      <c r="AL806" s="79"/>
    </row>
    <row r="807" ht="22.5" customHeight="1">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c r="AA807" s="79"/>
      <c r="AB807" s="79"/>
      <c r="AC807" s="79"/>
      <c r="AD807" s="79"/>
      <c r="AE807" s="79"/>
      <c r="AF807" s="79"/>
      <c r="AG807" s="79"/>
      <c r="AH807" s="79"/>
      <c r="AI807" s="79"/>
      <c r="AJ807" s="79"/>
      <c r="AK807" s="79"/>
      <c r="AL807" s="79"/>
    </row>
    <row r="808" ht="22.5" customHeight="1">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c r="AA808" s="79"/>
      <c r="AB808" s="79"/>
      <c r="AC808" s="79"/>
      <c r="AD808" s="79"/>
      <c r="AE808" s="79"/>
      <c r="AF808" s="79"/>
      <c r="AG808" s="79"/>
      <c r="AH808" s="79"/>
      <c r="AI808" s="79"/>
      <c r="AJ808" s="79"/>
      <c r="AK808" s="79"/>
      <c r="AL808" s="79"/>
    </row>
    <row r="809" ht="22.5" customHeight="1">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c r="AA809" s="79"/>
      <c r="AB809" s="79"/>
      <c r="AC809" s="79"/>
      <c r="AD809" s="79"/>
      <c r="AE809" s="79"/>
      <c r="AF809" s="79"/>
      <c r="AG809" s="79"/>
      <c r="AH809" s="79"/>
      <c r="AI809" s="79"/>
      <c r="AJ809" s="79"/>
      <c r="AK809" s="79"/>
      <c r="AL809" s="79"/>
    </row>
    <row r="810" ht="22.5" customHeight="1">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c r="AA810" s="79"/>
      <c r="AB810" s="79"/>
      <c r="AC810" s="79"/>
      <c r="AD810" s="79"/>
      <c r="AE810" s="79"/>
      <c r="AF810" s="79"/>
      <c r="AG810" s="79"/>
      <c r="AH810" s="79"/>
      <c r="AI810" s="79"/>
      <c r="AJ810" s="79"/>
      <c r="AK810" s="79"/>
      <c r="AL810" s="79"/>
    </row>
    <row r="811" ht="22.5" customHeight="1">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c r="AA811" s="79"/>
      <c r="AB811" s="79"/>
      <c r="AC811" s="79"/>
      <c r="AD811" s="79"/>
      <c r="AE811" s="79"/>
      <c r="AF811" s="79"/>
      <c r="AG811" s="79"/>
      <c r="AH811" s="79"/>
      <c r="AI811" s="79"/>
      <c r="AJ811" s="79"/>
      <c r="AK811" s="79"/>
      <c r="AL811" s="79"/>
    </row>
    <row r="812" ht="22.5" customHeight="1">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c r="AA812" s="79"/>
      <c r="AB812" s="79"/>
      <c r="AC812" s="79"/>
      <c r="AD812" s="79"/>
      <c r="AE812" s="79"/>
      <c r="AF812" s="79"/>
      <c r="AG812" s="79"/>
      <c r="AH812" s="79"/>
      <c r="AI812" s="79"/>
      <c r="AJ812" s="79"/>
      <c r="AK812" s="79"/>
      <c r="AL812" s="79"/>
    </row>
    <row r="813" ht="22.5" customHeight="1">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c r="AA813" s="79"/>
      <c r="AB813" s="79"/>
      <c r="AC813" s="79"/>
      <c r="AD813" s="79"/>
      <c r="AE813" s="79"/>
      <c r="AF813" s="79"/>
      <c r="AG813" s="79"/>
      <c r="AH813" s="79"/>
      <c r="AI813" s="79"/>
      <c r="AJ813" s="79"/>
      <c r="AK813" s="79"/>
      <c r="AL813" s="79"/>
    </row>
    <row r="814" ht="22.5" customHeight="1">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c r="AA814" s="79"/>
      <c r="AB814" s="79"/>
      <c r="AC814" s="79"/>
      <c r="AD814" s="79"/>
      <c r="AE814" s="79"/>
      <c r="AF814" s="79"/>
      <c r="AG814" s="79"/>
      <c r="AH814" s="79"/>
      <c r="AI814" s="79"/>
      <c r="AJ814" s="79"/>
      <c r="AK814" s="79"/>
      <c r="AL814" s="79"/>
    </row>
    <row r="815" ht="22.5" customHeight="1">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c r="AA815" s="79"/>
      <c r="AB815" s="79"/>
      <c r="AC815" s="79"/>
      <c r="AD815" s="79"/>
      <c r="AE815" s="79"/>
      <c r="AF815" s="79"/>
      <c r="AG815" s="79"/>
      <c r="AH815" s="79"/>
      <c r="AI815" s="79"/>
      <c r="AJ815" s="79"/>
      <c r="AK815" s="79"/>
      <c r="AL815" s="79"/>
    </row>
    <row r="816" ht="22.5" customHeight="1">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c r="AA816" s="79"/>
      <c r="AB816" s="79"/>
      <c r="AC816" s="79"/>
      <c r="AD816" s="79"/>
      <c r="AE816" s="79"/>
      <c r="AF816" s="79"/>
      <c r="AG816" s="79"/>
      <c r="AH816" s="79"/>
      <c r="AI816" s="79"/>
      <c r="AJ816" s="79"/>
      <c r="AK816" s="79"/>
      <c r="AL816" s="79"/>
    </row>
    <row r="817" ht="22.5" customHeight="1">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c r="AA817" s="79"/>
      <c r="AB817" s="79"/>
      <c r="AC817" s="79"/>
      <c r="AD817" s="79"/>
      <c r="AE817" s="79"/>
      <c r="AF817" s="79"/>
      <c r="AG817" s="79"/>
      <c r="AH817" s="79"/>
      <c r="AI817" s="79"/>
      <c r="AJ817" s="79"/>
      <c r="AK817" s="79"/>
      <c r="AL817" s="79"/>
    </row>
    <row r="818" ht="22.5" customHeight="1">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c r="AA818" s="79"/>
      <c r="AB818" s="79"/>
      <c r="AC818" s="79"/>
      <c r="AD818" s="79"/>
      <c r="AE818" s="79"/>
      <c r="AF818" s="79"/>
      <c r="AG818" s="79"/>
      <c r="AH818" s="79"/>
      <c r="AI818" s="79"/>
      <c r="AJ818" s="79"/>
      <c r="AK818" s="79"/>
      <c r="AL818" s="79"/>
    </row>
    <row r="819" ht="22.5" customHeight="1">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c r="AA819" s="79"/>
      <c r="AB819" s="79"/>
      <c r="AC819" s="79"/>
      <c r="AD819" s="79"/>
      <c r="AE819" s="79"/>
      <c r="AF819" s="79"/>
      <c r="AG819" s="79"/>
      <c r="AH819" s="79"/>
      <c r="AI819" s="79"/>
      <c r="AJ819" s="79"/>
      <c r="AK819" s="79"/>
      <c r="AL819" s="79"/>
    </row>
    <row r="820" ht="22.5" customHeight="1">
      <c r="A820" s="79"/>
      <c r="B820" s="79"/>
      <c r="C820" s="79"/>
      <c r="D820" s="79"/>
      <c r="E820" s="79"/>
      <c r="F820" s="80"/>
      <c r="G820" s="81"/>
      <c r="H820" s="79"/>
      <c r="I820" s="80"/>
      <c r="J820" s="81"/>
      <c r="K820" s="79"/>
      <c r="L820" s="80"/>
      <c r="M820" s="94"/>
      <c r="N820" s="79"/>
      <c r="O820" s="79"/>
      <c r="P820" s="83"/>
      <c r="Q820" s="81"/>
      <c r="R820" s="79"/>
      <c r="S820" s="81"/>
      <c r="T820" s="81"/>
      <c r="U820" s="81"/>
      <c r="V820" s="81"/>
      <c r="W820" s="81"/>
      <c r="X820" s="81"/>
      <c r="Y820" s="81"/>
      <c r="Z820" s="81"/>
      <c r="AA820" s="81"/>
      <c r="AB820" s="81"/>
      <c r="AC820" s="81"/>
      <c r="AD820" s="81"/>
      <c r="AE820" s="81"/>
      <c r="AF820" s="81"/>
      <c r="AG820" s="81"/>
      <c r="AH820" s="81"/>
      <c r="AI820" s="81"/>
      <c r="AJ820" s="81"/>
      <c r="AK820" s="81"/>
      <c r="AL820" s="79"/>
    </row>
    <row r="821" ht="22.5" customHeight="1">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c r="AA821" s="79"/>
      <c r="AB821" s="79"/>
      <c r="AC821" s="79"/>
      <c r="AD821" s="79"/>
      <c r="AE821" s="79"/>
      <c r="AF821" s="79"/>
      <c r="AG821" s="79"/>
      <c r="AH821" s="79"/>
      <c r="AI821" s="79"/>
      <c r="AJ821" s="79"/>
      <c r="AK821" s="79"/>
      <c r="AL821" s="79"/>
    </row>
    <row r="822" ht="22.5" customHeight="1">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c r="AA822" s="79"/>
      <c r="AB822" s="79"/>
      <c r="AC822" s="79"/>
      <c r="AD822" s="79"/>
      <c r="AE822" s="79"/>
      <c r="AF822" s="79"/>
      <c r="AG822" s="79"/>
      <c r="AH822" s="79"/>
      <c r="AI822" s="79"/>
      <c r="AJ822" s="79"/>
      <c r="AK822" s="79"/>
      <c r="AL822" s="79"/>
    </row>
    <row r="823" ht="22.5" customHeight="1">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c r="AA823" s="79"/>
      <c r="AB823" s="79"/>
      <c r="AC823" s="79"/>
      <c r="AD823" s="79"/>
      <c r="AE823" s="79"/>
      <c r="AF823" s="79"/>
      <c r="AG823" s="79"/>
      <c r="AH823" s="79"/>
      <c r="AI823" s="79"/>
      <c r="AJ823" s="79"/>
      <c r="AK823" s="79"/>
      <c r="AL823" s="79"/>
    </row>
    <row r="824" ht="22.5" customHeight="1">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c r="AA824" s="79"/>
      <c r="AB824" s="79"/>
      <c r="AC824" s="79"/>
      <c r="AD824" s="79"/>
      <c r="AE824" s="79"/>
      <c r="AF824" s="79"/>
      <c r="AG824" s="79"/>
      <c r="AH824" s="79"/>
      <c r="AI824" s="79"/>
      <c r="AJ824" s="79"/>
      <c r="AK824" s="79"/>
      <c r="AL824" s="79"/>
    </row>
    <row r="825" ht="22.5" customHeight="1">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c r="AA825" s="79"/>
      <c r="AB825" s="79"/>
      <c r="AC825" s="79"/>
      <c r="AD825" s="79"/>
      <c r="AE825" s="79"/>
      <c r="AF825" s="79"/>
      <c r="AG825" s="79"/>
      <c r="AH825" s="79"/>
      <c r="AI825" s="79"/>
      <c r="AJ825" s="79"/>
      <c r="AK825" s="79"/>
      <c r="AL825" s="79"/>
    </row>
    <row r="826" ht="22.5" customHeight="1">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c r="AA826" s="79"/>
      <c r="AB826" s="79"/>
      <c r="AC826" s="79"/>
      <c r="AD826" s="79"/>
      <c r="AE826" s="79"/>
      <c r="AF826" s="79"/>
      <c r="AG826" s="79"/>
      <c r="AH826" s="79"/>
      <c r="AI826" s="79"/>
      <c r="AJ826" s="79"/>
      <c r="AK826" s="79"/>
      <c r="AL826" s="79"/>
    </row>
    <row r="827" ht="22.5" customHeight="1">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c r="AA827" s="79"/>
      <c r="AB827" s="79"/>
      <c r="AC827" s="79"/>
      <c r="AD827" s="79"/>
      <c r="AE827" s="79"/>
      <c r="AF827" s="79"/>
      <c r="AG827" s="79"/>
      <c r="AH827" s="79"/>
      <c r="AI827" s="79"/>
      <c r="AJ827" s="79"/>
      <c r="AK827" s="79"/>
      <c r="AL827" s="79"/>
    </row>
    <row r="828" ht="22.5" customHeight="1">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c r="AA828" s="79"/>
      <c r="AB828" s="79"/>
      <c r="AC828" s="79"/>
      <c r="AD828" s="79"/>
      <c r="AE828" s="79"/>
      <c r="AF828" s="79"/>
      <c r="AG828" s="79"/>
      <c r="AH828" s="79"/>
      <c r="AI828" s="79"/>
      <c r="AJ828" s="79"/>
      <c r="AK828" s="79"/>
      <c r="AL828" s="79"/>
    </row>
    <row r="829" ht="22.5" customHeight="1">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c r="AA829" s="79"/>
      <c r="AB829" s="79"/>
      <c r="AC829" s="79"/>
      <c r="AD829" s="79"/>
      <c r="AE829" s="79"/>
      <c r="AF829" s="79"/>
      <c r="AG829" s="79"/>
      <c r="AH829" s="79"/>
      <c r="AI829" s="79"/>
      <c r="AJ829" s="79"/>
      <c r="AK829" s="79"/>
      <c r="AL829" s="79"/>
    </row>
    <row r="830" ht="22.5" customHeight="1">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c r="AA830" s="79"/>
      <c r="AB830" s="79"/>
      <c r="AC830" s="79"/>
      <c r="AD830" s="79"/>
      <c r="AE830" s="79"/>
      <c r="AF830" s="79"/>
      <c r="AG830" s="79"/>
      <c r="AH830" s="79"/>
      <c r="AI830" s="79"/>
      <c r="AJ830" s="79"/>
      <c r="AK830" s="79"/>
      <c r="AL830" s="79"/>
    </row>
    <row r="831" ht="22.5" customHeight="1">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c r="AA831" s="79"/>
      <c r="AB831" s="79"/>
      <c r="AC831" s="79"/>
      <c r="AD831" s="79"/>
      <c r="AE831" s="79"/>
      <c r="AF831" s="79"/>
      <c r="AG831" s="79"/>
      <c r="AH831" s="79"/>
      <c r="AI831" s="79"/>
      <c r="AJ831" s="79"/>
      <c r="AK831" s="79"/>
      <c r="AL831" s="79"/>
    </row>
    <row r="832" ht="22.5" customHeight="1">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c r="AA832" s="79"/>
      <c r="AB832" s="79"/>
      <c r="AC832" s="79"/>
      <c r="AD832" s="79"/>
      <c r="AE832" s="79"/>
      <c r="AF832" s="79"/>
      <c r="AG832" s="79"/>
      <c r="AH832" s="79"/>
      <c r="AI832" s="79"/>
      <c r="AJ832" s="79"/>
      <c r="AK832" s="79"/>
      <c r="AL832" s="79"/>
    </row>
    <row r="833" ht="22.5" customHeight="1">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c r="AA833" s="79"/>
      <c r="AB833" s="79"/>
      <c r="AC833" s="79"/>
      <c r="AD833" s="79"/>
      <c r="AE833" s="79"/>
      <c r="AF833" s="79"/>
      <c r="AG833" s="79"/>
      <c r="AH833" s="79"/>
      <c r="AI833" s="79"/>
      <c r="AJ833" s="79"/>
      <c r="AK833" s="79"/>
      <c r="AL833" s="79"/>
    </row>
    <row r="834" ht="22.5" customHeight="1">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c r="AA834" s="79"/>
      <c r="AB834" s="79"/>
      <c r="AC834" s="79"/>
      <c r="AD834" s="79"/>
      <c r="AE834" s="79"/>
      <c r="AF834" s="79"/>
      <c r="AG834" s="79"/>
      <c r="AH834" s="79"/>
      <c r="AI834" s="79"/>
      <c r="AJ834" s="79"/>
      <c r="AK834" s="79"/>
      <c r="AL834" s="79"/>
    </row>
    <row r="835" ht="22.5" customHeight="1">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c r="AA835" s="79"/>
      <c r="AB835" s="79"/>
      <c r="AC835" s="79"/>
      <c r="AD835" s="79"/>
      <c r="AE835" s="79"/>
      <c r="AF835" s="79"/>
      <c r="AG835" s="79"/>
      <c r="AH835" s="79"/>
      <c r="AI835" s="79"/>
      <c r="AJ835" s="79"/>
      <c r="AK835" s="79"/>
      <c r="AL835" s="79"/>
    </row>
    <row r="836" ht="22.5" customHeight="1">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c r="AA836" s="79"/>
      <c r="AB836" s="79"/>
      <c r="AC836" s="79"/>
      <c r="AD836" s="79"/>
      <c r="AE836" s="79"/>
      <c r="AF836" s="79"/>
      <c r="AG836" s="79"/>
      <c r="AH836" s="79"/>
      <c r="AI836" s="79"/>
      <c r="AJ836" s="79"/>
      <c r="AK836" s="79"/>
      <c r="AL836" s="79"/>
    </row>
    <row r="837" ht="22.5" customHeight="1">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c r="AA837" s="79"/>
      <c r="AB837" s="79"/>
      <c r="AC837" s="79"/>
      <c r="AD837" s="79"/>
      <c r="AE837" s="79"/>
      <c r="AF837" s="79"/>
      <c r="AG837" s="79"/>
      <c r="AH837" s="79"/>
      <c r="AI837" s="79"/>
      <c r="AJ837" s="79"/>
      <c r="AK837" s="79"/>
      <c r="AL837" s="79"/>
    </row>
    <row r="838" ht="22.5" customHeight="1">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c r="AA838" s="79"/>
      <c r="AB838" s="79"/>
      <c r="AC838" s="79"/>
      <c r="AD838" s="79"/>
      <c r="AE838" s="79"/>
      <c r="AF838" s="79"/>
      <c r="AG838" s="79"/>
      <c r="AH838" s="79"/>
      <c r="AI838" s="79"/>
      <c r="AJ838" s="79"/>
      <c r="AK838" s="79"/>
      <c r="AL838" s="79"/>
    </row>
    <row r="839" ht="22.5" customHeight="1">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c r="AA839" s="79"/>
      <c r="AB839" s="79"/>
      <c r="AC839" s="79"/>
      <c r="AD839" s="79"/>
      <c r="AE839" s="79"/>
      <c r="AF839" s="79"/>
      <c r="AG839" s="79"/>
      <c r="AH839" s="79"/>
      <c r="AI839" s="79"/>
      <c r="AJ839" s="79"/>
      <c r="AK839" s="79"/>
      <c r="AL839" s="79"/>
    </row>
    <row r="840" ht="22.5" customHeight="1">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c r="AA840" s="79"/>
      <c r="AB840" s="79"/>
      <c r="AC840" s="79"/>
      <c r="AD840" s="79"/>
      <c r="AE840" s="79"/>
      <c r="AF840" s="79"/>
      <c r="AG840" s="79"/>
      <c r="AH840" s="79"/>
      <c r="AI840" s="79"/>
      <c r="AJ840" s="79"/>
      <c r="AK840" s="79"/>
      <c r="AL840" s="79"/>
    </row>
    <row r="841" ht="22.5" customHeight="1">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c r="AA841" s="79"/>
      <c r="AB841" s="79"/>
      <c r="AC841" s="79"/>
      <c r="AD841" s="79"/>
      <c r="AE841" s="79"/>
      <c r="AF841" s="79"/>
      <c r="AG841" s="79"/>
      <c r="AH841" s="79"/>
      <c r="AI841" s="79"/>
      <c r="AJ841" s="79"/>
      <c r="AK841" s="79"/>
      <c r="AL841" s="79"/>
    </row>
    <row r="842" ht="22.5" customHeight="1">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c r="AA842" s="79"/>
      <c r="AB842" s="79"/>
      <c r="AC842" s="79"/>
      <c r="AD842" s="79"/>
      <c r="AE842" s="79"/>
      <c r="AF842" s="79"/>
      <c r="AG842" s="79"/>
      <c r="AH842" s="79"/>
      <c r="AI842" s="79"/>
      <c r="AJ842" s="79"/>
      <c r="AK842" s="79"/>
      <c r="AL842" s="79"/>
    </row>
    <row r="843" ht="22.5" customHeight="1">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c r="AA843" s="79"/>
      <c r="AB843" s="79"/>
      <c r="AC843" s="79"/>
      <c r="AD843" s="79"/>
      <c r="AE843" s="79"/>
      <c r="AF843" s="79"/>
      <c r="AG843" s="79"/>
      <c r="AH843" s="79"/>
      <c r="AI843" s="79"/>
      <c r="AJ843" s="79"/>
      <c r="AK843" s="79"/>
      <c r="AL843" s="79"/>
    </row>
    <row r="844" ht="22.5" customHeight="1">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c r="AA844" s="79"/>
      <c r="AB844" s="79"/>
      <c r="AC844" s="79"/>
      <c r="AD844" s="79"/>
      <c r="AE844" s="79"/>
      <c r="AF844" s="79"/>
      <c r="AG844" s="79"/>
      <c r="AH844" s="79"/>
      <c r="AI844" s="79"/>
      <c r="AJ844" s="79"/>
      <c r="AK844" s="79"/>
      <c r="AL844" s="79"/>
    </row>
    <row r="845" ht="22.5" customHeight="1">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c r="AA845" s="79"/>
      <c r="AB845" s="79"/>
      <c r="AC845" s="79"/>
      <c r="AD845" s="79"/>
      <c r="AE845" s="79"/>
      <c r="AF845" s="79"/>
      <c r="AG845" s="79"/>
      <c r="AH845" s="79"/>
      <c r="AI845" s="79"/>
      <c r="AJ845" s="79"/>
      <c r="AK845" s="79"/>
      <c r="AL845" s="79"/>
    </row>
    <row r="846" ht="22.5" customHeight="1">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c r="AA846" s="79"/>
      <c r="AB846" s="79"/>
      <c r="AC846" s="79"/>
      <c r="AD846" s="79"/>
      <c r="AE846" s="79"/>
      <c r="AF846" s="79"/>
      <c r="AG846" s="79"/>
      <c r="AH846" s="79"/>
      <c r="AI846" s="79"/>
      <c r="AJ846" s="79"/>
      <c r="AK846" s="79"/>
      <c r="AL846" s="79"/>
    </row>
    <row r="847" ht="22.5" customHeight="1">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c r="AA847" s="79"/>
      <c r="AB847" s="79"/>
      <c r="AC847" s="79"/>
      <c r="AD847" s="79"/>
      <c r="AE847" s="79"/>
      <c r="AF847" s="79"/>
      <c r="AG847" s="79"/>
      <c r="AH847" s="79"/>
      <c r="AI847" s="79"/>
      <c r="AJ847" s="79"/>
      <c r="AK847" s="79"/>
      <c r="AL847" s="79"/>
    </row>
    <row r="848" ht="22.5" customHeight="1">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c r="AA848" s="79"/>
      <c r="AB848" s="79"/>
      <c r="AC848" s="79"/>
      <c r="AD848" s="79"/>
      <c r="AE848" s="79"/>
      <c r="AF848" s="79"/>
      <c r="AG848" s="79"/>
      <c r="AH848" s="79"/>
      <c r="AI848" s="79"/>
      <c r="AJ848" s="79"/>
      <c r="AK848" s="79"/>
      <c r="AL848" s="79"/>
    </row>
    <row r="849" ht="22.5" customHeight="1">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c r="AA849" s="79"/>
      <c r="AB849" s="79"/>
      <c r="AC849" s="79"/>
      <c r="AD849" s="79"/>
      <c r="AE849" s="79"/>
      <c r="AF849" s="79"/>
      <c r="AG849" s="79"/>
      <c r="AH849" s="79"/>
      <c r="AI849" s="79"/>
      <c r="AJ849" s="79"/>
      <c r="AK849" s="79"/>
      <c r="AL849" s="79"/>
    </row>
    <row r="850" ht="22.5" customHeight="1">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c r="AA850" s="79"/>
      <c r="AB850" s="79"/>
      <c r="AC850" s="79"/>
      <c r="AD850" s="79"/>
      <c r="AE850" s="79"/>
      <c r="AF850" s="79"/>
      <c r="AG850" s="79"/>
      <c r="AH850" s="79"/>
      <c r="AI850" s="79"/>
      <c r="AJ850" s="79"/>
      <c r="AK850" s="79"/>
      <c r="AL850" s="79"/>
    </row>
    <row r="851" ht="22.5" customHeight="1">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c r="AA851" s="79"/>
      <c r="AB851" s="79"/>
      <c r="AC851" s="79"/>
      <c r="AD851" s="79"/>
      <c r="AE851" s="79"/>
      <c r="AF851" s="79"/>
      <c r="AG851" s="79"/>
      <c r="AH851" s="79"/>
      <c r="AI851" s="79"/>
      <c r="AJ851" s="79"/>
      <c r="AK851" s="79"/>
      <c r="AL851" s="79"/>
    </row>
    <row r="852" ht="22.5" customHeight="1">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c r="AA852" s="79"/>
      <c r="AB852" s="79"/>
      <c r="AC852" s="79"/>
      <c r="AD852" s="79"/>
      <c r="AE852" s="79"/>
      <c r="AF852" s="79"/>
      <c r="AG852" s="79"/>
      <c r="AH852" s="79"/>
      <c r="AI852" s="79"/>
      <c r="AJ852" s="79"/>
      <c r="AK852" s="79"/>
      <c r="AL852" s="79"/>
    </row>
    <row r="853" ht="22.5" customHeight="1">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c r="AA853" s="79"/>
      <c r="AB853" s="79"/>
      <c r="AC853" s="79"/>
      <c r="AD853" s="79"/>
      <c r="AE853" s="79"/>
      <c r="AF853" s="79"/>
      <c r="AG853" s="79"/>
      <c r="AH853" s="79"/>
      <c r="AI853" s="79"/>
      <c r="AJ853" s="79"/>
      <c r="AK853" s="79"/>
      <c r="AL853" s="79"/>
    </row>
    <row r="854" ht="22.5" customHeight="1">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c r="AA854" s="79"/>
      <c r="AB854" s="79"/>
      <c r="AC854" s="79"/>
      <c r="AD854" s="79"/>
      <c r="AE854" s="79"/>
      <c r="AF854" s="79"/>
      <c r="AG854" s="79"/>
      <c r="AH854" s="79"/>
      <c r="AI854" s="79"/>
      <c r="AJ854" s="79"/>
      <c r="AK854" s="79"/>
      <c r="AL854" s="79"/>
    </row>
    <row r="855" ht="22.5" customHeight="1">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c r="AA855" s="79"/>
      <c r="AB855" s="79"/>
      <c r="AC855" s="79"/>
      <c r="AD855" s="79"/>
      <c r="AE855" s="79"/>
      <c r="AF855" s="79"/>
      <c r="AG855" s="79"/>
      <c r="AH855" s="79"/>
      <c r="AI855" s="79"/>
      <c r="AJ855" s="79"/>
      <c r="AK855" s="79"/>
      <c r="AL855" s="79"/>
    </row>
    <row r="856" ht="22.5" customHeight="1">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c r="AA856" s="79"/>
      <c r="AB856" s="79"/>
      <c r="AC856" s="79"/>
      <c r="AD856" s="79"/>
      <c r="AE856" s="79"/>
      <c r="AF856" s="79"/>
      <c r="AG856" s="79"/>
      <c r="AH856" s="79"/>
      <c r="AI856" s="79"/>
      <c r="AJ856" s="79"/>
      <c r="AK856" s="79"/>
      <c r="AL856" s="79"/>
    </row>
    <row r="857" ht="22.5" customHeight="1">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c r="AA857" s="79"/>
      <c r="AB857" s="79"/>
      <c r="AC857" s="79"/>
      <c r="AD857" s="79"/>
      <c r="AE857" s="79"/>
      <c r="AF857" s="79"/>
      <c r="AG857" s="79"/>
      <c r="AH857" s="79"/>
      <c r="AI857" s="79"/>
      <c r="AJ857" s="79"/>
      <c r="AK857" s="79"/>
      <c r="AL857" s="79"/>
    </row>
    <row r="858" ht="22.5" customHeight="1">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c r="AA858" s="79"/>
      <c r="AB858" s="79"/>
      <c r="AC858" s="79"/>
      <c r="AD858" s="79"/>
      <c r="AE858" s="79"/>
      <c r="AF858" s="79"/>
      <c r="AG858" s="79"/>
      <c r="AH858" s="79"/>
      <c r="AI858" s="79"/>
      <c r="AJ858" s="79"/>
      <c r="AK858" s="79"/>
      <c r="AL858" s="79"/>
    </row>
    <row r="859" ht="22.5" customHeight="1">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c r="AA859" s="79"/>
      <c r="AB859" s="79"/>
      <c r="AC859" s="79"/>
      <c r="AD859" s="79"/>
      <c r="AE859" s="79"/>
      <c r="AF859" s="79"/>
      <c r="AG859" s="79"/>
      <c r="AH859" s="79"/>
      <c r="AI859" s="79"/>
      <c r="AJ859" s="79"/>
      <c r="AK859" s="79"/>
      <c r="AL859" s="79"/>
    </row>
    <row r="860" ht="22.5" customHeight="1">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c r="AA860" s="79"/>
      <c r="AB860" s="79"/>
      <c r="AC860" s="79"/>
      <c r="AD860" s="79"/>
      <c r="AE860" s="79"/>
      <c r="AF860" s="79"/>
      <c r="AG860" s="79"/>
      <c r="AH860" s="79"/>
      <c r="AI860" s="79"/>
      <c r="AJ860" s="79"/>
      <c r="AK860" s="79"/>
      <c r="AL860" s="79"/>
    </row>
    <row r="861" ht="22.5" customHeight="1">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c r="AA861" s="79"/>
      <c r="AB861" s="79"/>
      <c r="AC861" s="79"/>
      <c r="AD861" s="79"/>
      <c r="AE861" s="79"/>
      <c r="AF861" s="79"/>
      <c r="AG861" s="79"/>
      <c r="AH861" s="79"/>
      <c r="AI861" s="79"/>
      <c r="AJ861" s="79"/>
      <c r="AK861" s="79"/>
      <c r="AL861" s="79"/>
    </row>
    <row r="862" ht="22.5" customHeight="1">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c r="AA862" s="79"/>
      <c r="AB862" s="79"/>
      <c r="AC862" s="79"/>
      <c r="AD862" s="79"/>
      <c r="AE862" s="79"/>
      <c r="AF862" s="79"/>
      <c r="AG862" s="79"/>
      <c r="AH862" s="79"/>
      <c r="AI862" s="79"/>
      <c r="AJ862" s="79"/>
      <c r="AK862" s="79"/>
      <c r="AL862" s="79"/>
    </row>
    <row r="863" ht="22.5" customHeight="1">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c r="AA863" s="79"/>
      <c r="AB863" s="79"/>
      <c r="AC863" s="79"/>
      <c r="AD863" s="79"/>
      <c r="AE863" s="79"/>
      <c r="AF863" s="79"/>
      <c r="AG863" s="79"/>
      <c r="AH863" s="79"/>
      <c r="AI863" s="79"/>
      <c r="AJ863" s="79"/>
      <c r="AK863" s="79"/>
      <c r="AL863" s="79"/>
    </row>
    <row r="864" ht="22.5" customHeight="1">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c r="AA864" s="79"/>
      <c r="AB864" s="79"/>
      <c r="AC864" s="79"/>
      <c r="AD864" s="79"/>
      <c r="AE864" s="79"/>
      <c r="AF864" s="79"/>
      <c r="AG864" s="79"/>
      <c r="AH864" s="79"/>
      <c r="AI864" s="79"/>
      <c r="AJ864" s="79"/>
      <c r="AK864" s="79"/>
      <c r="AL864" s="79"/>
    </row>
    <row r="865" ht="22.5" customHeight="1">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c r="AA865" s="79"/>
      <c r="AB865" s="79"/>
      <c r="AC865" s="79"/>
      <c r="AD865" s="79"/>
      <c r="AE865" s="79"/>
      <c r="AF865" s="79"/>
      <c r="AG865" s="79"/>
      <c r="AH865" s="79"/>
      <c r="AI865" s="79"/>
      <c r="AJ865" s="79"/>
      <c r="AK865" s="79"/>
      <c r="AL865" s="79"/>
    </row>
    <row r="866" ht="22.5" customHeight="1">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c r="AA866" s="79"/>
      <c r="AB866" s="79"/>
      <c r="AC866" s="79"/>
      <c r="AD866" s="79"/>
      <c r="AE866" s="79"/>
      <c r="AF866" s="79"/>
      <c r="AG866" s="79"/>
      <c r="AH866" s="79"/>
      <c r="AI866" s="79"/>
      <c r="AJ866" s="79"/>
      <c r="AK866" s="79"/>
      <c r="AL866" s="79"/>
    </row>
    <row r="867" ht="22.5" customHeight="1">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c r="AA867" s="79"/>
      <c r="AB867" s="79"/>
      <c r="AC867" s="79"/>
      <c r="AD867" s="79"/>
      <c r="AE867" s="79"/>
      <c r="AF867" s="79"/>
      <c r="AG867" s="79"/>
      <c r="AH867" s="79"/>
      <c r="AI867" s="79"/>
      <c r="AJ867" s="79"/>
      <c r="AK867" s="79"/>
      <c r="AL867" s="79"/>
    </row>
    <row r="868" ht="22.5" customHeight="1">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c r="AA868" s="79"/>
      <c r="AB868" s="79"/>
      <c r="AC868" s="79"/>
      <c r="AD868" s="79"/>
      <c r="AE868" s="79"/>
      <c r="AF868" s="79"/>
      <c r="AG868" s="79"/>
      <c r="AH868" s="79"/>
      <c r="AI868" s="79"/>
      <c r="AJ868" s="79"/>
      <c r="AK868" s="79"/>
      <c r="AL868" s="79"/>
    </row>
    <row r="869" ht="22.5" customHeight="1">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c r="AA869" s="79"/>
      <c r="AB869" s="79"/>
      <c r="AC869" s="79"/>
      <c r="AD869" s="79"/>
      <c r="AE869" s="79"/>
      <c r="AF869" s="79"/>
      <c r="AG869" s="79"/>
      <c r="AH869" s="79"/>
      <c r="AI869" s="79"/>
      <c r="AJ869" s="79"/>
      <c r="AK869" s="79"/>
      <c r="AL869" s="79"/>
    </row>
    <row r="870" ht="22.5" customHeight="1">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c r="AA870" s="79"/>
      <c r="AB870" s="79"/>
      <c r="AC870" s="79"/>
      <c r="AD870" s="79"/>
      <c r="AE870" s="79"/>
      <c r="AF870" s="79"/>
      <c r="AG870" s="79"/>
      <c r="AH870" s="79"/>
      <c r="AI870" s="79"/>
      <c r="AJ870" s="79"/>
      <c r="AK870" s="79"/>
      <c r="AL870" s="79"/>
    </row>
    <row r="871" ht="22.5" customHeight="1">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c r="AA871" s="79"/>
      <c r="AB871" s="79"/>
      <c r="AC871" s="79"/>
      <c r="AD871" s="79"/>
      <c r="AE871" s="79"/>
      <c r="AF871" s="79"/>
      <c r="AG871" s="79"/>
      <c r="AH871" s="79"/>
      <c r="AI871" s="79"/>
      <c r="AJ871" s="79"/>
      <c r="AK871" s="79"/>
      <c r="AL871" s="79"/>
    </row>
    <row r="872" ht="22.5" customHeight="1">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c r="AA872" s="79"/>
      <c r="AB872" s="79"/>
      <c r="AC872" s="79"/>
      <c r="AD872" s="79"/>
      <c r="AE872" s="79"/>
      <c r="AF872" s="79"/>
      <c r="AG872" s="79"/>
      <c r="AH872" s="79"/>
      <c r="AI872" s="79"/>
      <c r="AJ872" s="79"/>
      <c r="AK872" s="79"/>
      <c r="AL872" s="79"/>
    </row>
    <row r="873" ht="22.5" customHeight="1">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c r="AA873" s="79"/>
      <c r="AB873" s="79"/>
      <c r="AC873" s="79"/>
      <c r="AD873" s="79"/>
      <c r="AE873" s="79"/>
      <c r="AF873" s="79"/>
      <c r="AG873" s="79"/>
      <c r="AH873" s="79"/>
      <c r="AI873" s="79"/>
      <c r="AJ873" s="79"/>
      <c r="AK873" s="79"/>
      <c r="AL873" s="79"/>
    </row>
    <row r="874" ht="22.5" customHeight="1">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c r="AA874" s="79"/>
      <c r="AB874" s="79"/>
      <c r="AC874" s="79"/>
      <c r="AD874" s="79"/>
      <c r="AE874" s="79"/>
      <c r="AF874" s="79"/>
      <c r="AG874" s="79"/>
      <c r="AH874" s="79"/>
      <c r="AI874" s="79"/>
      <c r="AJ874" s="79"/>
      <c r="AK874" s="79"/>
      <c r="AL874" s="79"/>
    </row>
    <row r="875" ht="22.5" customHeight="1">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c r="AA875" s="79"/>
      <c r="AB875" s="79"/>
      <c r="AC875" s="79"/>
      <c r="AD875" s="79"/>
      <c r="AE875" s="79"/>
      <c r="AF875" s="79"/>
      <c r="AG875" s="79"/>
      <c r="AH875" s="79"/>
      <c r="AI875" s="79"/>
      <c r="AJ875" s="79"/>
      <c r="AK875" s="79"/>
      <c r="AL875" s="79"/>
    </row>
    <row r="876" ht="22.5" customHeight="1">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c r="AA876" s="79"/>
      <c r="AB876" s="79"/>
      <c r="AC876" s="79"/>
      <c r="AD876" s="79"/>
      <c r="AE876" s="79"/>
      <c r="AF876" s="79"/>
      <c r="AG876" s="79"/>
      <c r="AH876" s="79"/>
      <c r="AI876" s="79"/>
      <c r="AJ876" s="79"/>
      <c r="AK876" s="79"/>
      <c r="AL876" s="79"/>
    </row>
    <row r="877" ht="22.5" customHeight="1">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c r="AA877" s="79"/>
      <c r="AB877" s="79"/>
      <c r="AC877" s="79"/>
      <c r="AD877" s="79"/>
      <c r="AE877" s="79"/>
      <c r="AF877" s="79"/>
      <c r="AG877" s="79"/>
      <c r="AH877" s="79"/>
      <c r="AI877" s="79"/>
      <c r="AJ877" s="79"/>
      <c r="AK877" s="79"/>
      <c r="AL877" s="79"/>
    </row>
    <row r="878" ht="22.5" customHeight="1">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c r="AA878" s="79"/>
      <c r="AB878" s="79"/>
      <c r="AC878" s="79"/>
      <c r="AD878" s="79"/>
      <c r="AE878" s="79"/>
      <c r="AF878" s="79"/>
      <c r="AG878" s="79"/>
      <c r="AH878" s="79"/>
      <c r="AI878" s="79"/>
      <c r="AJ878" s="79"/>
      <c r="AK878" s="79"/>
      <c r="AL878" s="79"/>
    </row>
    <row r="879" ht="22.5" customHeight="1">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c r="AA879" s="79"/>
      <c r="AB879" s="79"/>
      <c r="AC879" s="79"/>
      <c r="AD879" s="79"/>
      <c r="AE879" s="79"/>
      <c r="AF879" s="79"/>
      <c r="AG879" s="79"/>
      <c r="AH879" s="79"/>
      <c r="AI879" s="79"/>
      <c r="AJ879" s="79"/>
      <c r="AK879" s="79"/>
      <c r="AL879" s="79"/>
    </row>
    <row r="880" ht="22.5" customHeight="1">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c r="AA880" s="79"/>
      <c r="AB880" s="79"/>
      <c r="AC880" s="79"/>
      <c r="AD880" s="79"/>
      <c r="AE880" s="79"/>
      <c r="AF880" s="79"/>
      <c r="AG880" s="79"/>
      <c r="AH880" s="79"/>
      <c r="AI880" s="79"/>
      <c r="AJ880" s="79"/>
      <c r="AK880" s="79"/>
      <c r="AL880" s="79"/>
    </row>
    <row r="881" ht="22.5" customHeight="1">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c r="AA881" s="79"/>
      <c r="AB881" s="79"/>
      <c r="AC881" s="79"/>
      <c r="AD881" s="79"/>
      <c r="AE881" s="79"/>
      <c r="AF881" s="79"/>
      <c r="AG881" s="79"/>
      <c r="AH881" s="79"/>
      <c r="AI881" s="79"/>
      <c r="AJ881" s="79"/>
      <c r="AK881" s="79"/>
      <c r="AL881" s="79"/>
    </row>
    <row r="882" ht="22.5" customHeight="1">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c r="AA882" s="79"/>
      <c r="AB882" s="79"/>
      <c r="AC882" s="79"/>
      <c r="AD882" s="79"/>
      <c r="AE882" s="79"/>
      <c r="AF882" s="79"/>
      <c r="AG882" s="79"/>
      <c r="AH882" s="79"/>
      <c r="AI882" s="79"/>
      <c r="AJ882" s="79"/>
      <c r="AK882" s="79"/>
      <c r="AL882" s="79"/>
    </row>
    <row r="883" ht="22.5" customHeight="1">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c r="AA883" s="79"/>
      <c r="AB883" s="79"/>
      <c r="AC883" s="79"/>
      <c r="AD883" s="79"/>
      <c r="AE883" s="79"/>
      <c r="AF883" s="79"/>
      <c r="AG883" s="79"/>
      <c r="AH883" s="79"/>
      <c r="AI883" s="79"/>
      <c r="AJ883" s="79"/>
      <c r="AK883" s="79"/>
      <c r="AL883" s="79"/>
    </row>
    <row r="884" ht="22.5" customHeight="1">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c r="AA884" s="79"/>
      <c r="AB884" s="79"/>
      <c r="AC884" s="79"/>
      <c r="AD884" s="79"/>
      <c r="AE884" s="79"/>
      <c r="AF884" s="79"/>
      <c r="AG884" s="79"/>
      <c r="AH884" s="79"/>
      <c r="AI884" s="79"/>
      <c r="AJ884" s="79"/>
      <c r="AK884" s="79"/>
      <c r="AL884" s="79"/>
    </row>
    <row r="885" ht="22.5" customHeight="1">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c r="AA885" s="79"/>
      <c r="AB885" s="79"/>
      <c r="AC885" s="79"/>
      <c r="AD885" s="79"/>
      <c r="AE885" s="79"/>
      <c r="AF885" s="79"/>
      <c r="AG885" s="79"/>
      <c r="AH885" s="79"/>
      <c r="AI885" s="79"/>
      <c r="AJ885" s="79"/>
      <c r="AK885" s="79"/>
      <c r="AL885" s="79"/>
    </row>
    <row r="886" ht="22.5" customHeight="1">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c r="AA886" s="79"/>
      <c r="AB886" s="79"/>
      <c r="AC886" s="79"/>
      <c r="AD886" s="79"/>
      <c r="AE886" s="79"/>
      <c r="AF886" s="79"/>
      <c r="AG886" s="79"/>
      <c r="AH886" s="79"/>
      <c r="AI886" s="79"/>
      <c r="AJ886" s="79"/>
      <c r="AK886" s="79"/>
      <c r="AL886" s="79"/>
    </row>
    <row r="887" ht="22.5" customHeight="1">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c r="AA887" s="79"/>
      <c r="AB887" s="79"/>
      <c r="AC887" s="79"/>
      <c r="AD887" s="79"/>
      <c r="AE887" s="79"/>
      <c r="AF887" s="79"/>
      <c r="AG887" s="79"/>
      <c r="AH887" s="79"/>
      <c r="AI887" s="79"/>
      <c r="AJ887" s="79"/>
      <c r="AK887" s="79"/>
      <c r="AL887" s="79"/>
    </row>
    <row r="888" ht="22.5" customHeight="1">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c r="AA888" s="79"/>
      <c r="AB888" s="79"/>
      <c r="AC888" s="79"/>
      <c r="AD888" s="79"/>
      <c r="AE888" s="79"/>
      <c r="AF888" s="79"/>
      <c r="AG888" s="79"/>
      <c r="AH888" s="79"/>
      <c r="AI888" s="79"/>
      <c r="AJ888" s="79"/>
      <c r="AK888" s="79"/>
      <c r="AL888" s="79"/>
    </row>
    <row r="889" ht="22.5" customHeight="1">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c r="AA889" s="79"/>
      <c r="AB889" s="79"/>
      <c r="AC889" s="79"/>
      <c r="AD889" s="79"/>
      <c r="AE889" s="79"/>
      <c r="AF889" s="79"/>
      <c r="AG889" s="79"/>
      <c r="AH889" s="79"/>
      <c r="AI889" s="79"/>
      <c r="AJ889" s="79"/>
      <c r="AK889" s="79"/>
      <c r="AL889" s="79"/>
    </row>
    <row r="890" ht="22.5" customHeight="1">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c r="AA890" s="79"/>
      <c r="AB890" s="79"/>
      <c r="AC890" s="79"/>
      <c r="AD890" s="79"/>
      <c r="AE890" s="79"/>
      <c r="AF890" s="79"/>
      <c r="AG890" s="79"/>
      <c r="AH890" s="79"/>
      <c r="AI890" s="79"/>
      <c r="AJ890" s="79"/>
      <c r="AK890" s="79"/>
      <c r="AL890" s="79"/>
    </row>
    <row r="891" ht="22.5" customHeight="1">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c r="AA891" s="79"/>
      <c r="AB891" s="79"/>
      <c r="AC891" s="79"/>
      <c r="AD891" s="79"/>
      <c r="AE891" s="79"/>
      <c r="AF891" s="79"/>
      <c r="AG891" s="79"/>
      <c r="AH891" s="79"/>
      <c r="AI891" s="79"/>
      <c r="AJ891" s="79"/>
      <c r="AK891" s="79"/>
      <c r="AL891" s="79"/>
    </row>
    <row r="892" ht="22.5" customHeight="1">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c r="AA892" s="79"/>
      <c r="AB892" s="79"/>
      <c r="AC892" s="79"/>
      <c r="AD892" s="79"/>
      <c r="AE892" s="79"/>
      <c r="AF892" s="79"/>
      <c r="AG892" s="79"/>
      <c r="AH892" s="79"/>
      <c r="AI892" s="79"/>
      <c r="AJ892" s="79"/>
      <c r="AK892" s="79"/>
      <c r="AL892" s="79"/>
    </row>
    <row r="893" ht="22.5" customHeight="1">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c r="AA893" s="79"/>
      <c r="AB893" s="79"/>
      <c r="AC893" s="79"/>
      <c r="AD893" s="79"/>
      <c r="AE893" s="79"/>
      <c r="AF893" s="79"/>
      <c r="AG893" s="79"/>
      <c r="AH893" s="79"/>
      <c r="AI893" s="79"/>
      <c r="AJ893" s="79"/>
      <c r="AK893" s="79"/>
      <c r="AL893" s="79"/>
    </row>
    <row r="894" ht="22.5" customHeight="1">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c r="AA894" s="79"/>
      <c r="AB894" s="79"/>
      <c r="AC894" s="79"/>
      <c r="AD894" s="79"/>
      <c r="AE894" s="79"/>
      <c r="AF894" s="79"/>
      <c r="AG894" s="79"/>
      <c r="AH894" s="79"/>
      <c r="AI894" s="79"/>
      <c r="AJ894" s="79"/>
      <c r="AK894" s="79"/>
      <c r="AL894" s="79"/>
    </row>
    <row r="895" ht="22.5" customHeight="1">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c r="AA895" s="79"/>
      <c r="AB895" s="79"/>
      <c r="AC895" s="79"/>
      <c r="AD895" s="79"/>
      <c r="AE895" s="79"/>
      <c r="AF895" s="79"/>
      <c r="AG895" s="79"/>
      <c r="AH895" s="79"/>
      <c r="AI895" s="79"/>
      <c r="AJ895" s="79"/>
      <c r="AK895" s="79"/>
      <c r="AL895" s="79"/>
    </row>
    <row r="896" ht="22.5" customHeight="1">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c r="AA896" s="79"/>
      <c r="AB896" s="79"/>
      <c r="AC896" s="79"/>
      <c r="AD896" s="79"/>
      <c r="AE896" s="79"/>
      <c r="AF896" s="79"/>
      <c r="AG896" s="79"/>
      <c r="AH896" s="79"/>
      <c r="AI896" s="79"/>
      <c r="AJ896" s="79"/>
      <c r="AK896" s="79"/>
      <c r="AL896" s="79"/>
    </row>
    <row r="897" ht="22.5" customHeight="1">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c r="AA897" s="79"/>
      <c r="AB897" s="79"/>
      <c r="AC897" s="79"/>
      <c r="AD897" s="79"/>
      <c r="AE897" s="79"/>
      <c r="AF897" s="79"/>
      <c r="AG897" s="79"/>
      <c r="AH897" s="79"/>
      <c r="AI897" s="79"/>
      <c r="AJ897" s="79"/>
      <c r="AK897" s="79"/>
      <c r="AL897" s="79"/>
    </row>
    <row r="898" ht="22.5" customHeight="1">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c r="AA898" s="79"/>
      <c r="AB898" s="79"/>
      <c r="AC898" s="79"/>
      <c r="AD898" s="79"/>
      <c r="AE898" s="79"/>
      <c r="AF898" s="79"/>
      <c r="AG898" s="79"/>
      <c r="AH898" s="79"/>
      <c r="AI898" s="79"/>
      <c r="AJ898" s="79"/>
      <c r="AK898" s="79"/>
      <c r="AL898" s="79"/>
    </row>
    <row r="899" ht="22.5" customHeight="1">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c r="AA899" s="79"/>
      <c r="AB899" s="79"/>
      <c r="AC899" s="79"/>
      <c r="AD899" s="79"/>
      <c r="AE899" s="79"/>
      <c r="AF899" s="79"/>
      <c r="AG899" s="79"/>
      <c r="AH899" s="79"/>
      <c r="AI899" s="79"/>
      <c r="AJ899" s="79"/>
      <c r="AK899" s="79"/>
      <c r="AL899" s="79"/>
    </row>
    <row r="900" ht="22.5" customHeight="1">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c r="AA900" s="79"/>
      <c r="AB900" s="79"/>
      <c r="AC900" s="79"/>
      <c r="AD900" s="79"/>
      <c r="AE900" s="79"/>
      <c r="AF900" s="79"/>
      <c r="AG900" s="79"/>
      <c r="AH900" s="79"/>
      <c r="AI900" s="79"/>
      <c r="AJ900" s="79"/>
      <c r="AK900" s="79"/>
      <c r="AL900" s="79"/>
    </row>
    <row r="901" ht="22.5" customHeight="1">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c r="AA901" s="79"/>
      <c r="AB901" s="79"/>
      <c r="AC901" s="79"/>
      <c r="AD901" s="79"/>
      <c r="AE901" s="79"/>
      <c r="AF901" s="79"/>
      <c r="AG901" s="79"/>
      <c r="AH901" s="79"/>
      <c r="AI901" s="79"/>
      <c r="AJ901" s="79"/>
      <c r="AK901" s="79"/>
      <c r="AL901" s="79"/>
    </row>
    <row r="902" ht="22.5" customHeight="1">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c r="AA902" s="79"/>
      <c r="AB902" s="79"/>
      <c r="AC902" s="79"/>
      <c r="AD902" s="79"/>
      <c r="AE902" s="79"/>
      <c r="AF902" s="79"/>
      <c r="AG902" s="79"/>
      <c r="AH902" s="79"/>
      <c r="AI902" s="79"/>
      <c r="AJ902" s="79"/>
      <c r="AK902" s="79"/>
      <c r="AL902" s="79"/>
    </row>
    <row r="903" ht="22.5" customHeight="1">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c r="AA903" s="79"/>
      <c r="AB903" s="79"/>
      <c r="AC903" s="79"/>
      <c r="AD903" s="79"/>
      <c r="AE903" s="79"/>
      <c r="AF903" s="79"/>
      <c r="AG903" s="79"/>
      <c r="AH903" s="79"/>
      <c r="AI903" s="79"/>
      <c r="AJ903" s="79"/>
      <c r="AK903" s="79"/>
      <c r="AL903" s="79"/>
    </row>
    <row r="904" ht="22.5" customHeight="1">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c r="AA904" s="79"/>
      <c r="AB904" s="79"/>
      <c r="AC904" s="79"/>
      <c r="AD904" s="79"/>
      <c r="AE904" s="79"/>
      <c r="AF904" s="79"/>
      <c r="AG904" s="79"/>
      <c r="AH904" s="79"/>
      <c r="AI904" s="79"/>
      <c r="AJ904" s="79"/>
      <c r="AK904" s="79"/>
      <c r="AL904" s="79"/>
    </row>
    <row r="905" ht="22.5" customHeight="1">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c r="AA905" s="79"/>
      <c r="AB905" s="79"/>
      <c r="AC905" s="79"/>
      <c r="AD905" s="79"/>
      <c r="AE905" s="79"/>
      <c r="AF905" s="79"/>
      <c r="AG905" s="79"/>
      <c r="AH905" s="79"/>
      <c r="AI905" s="79"/>
      <c r="AJ905" s="79"/>
      <c r="AK905" s="79"/>
      <c r="AL905" s="79"/>
    </row>
    <row r="906" ht="22.5" customHeight="1">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c r="AA906" s="79"/>
      <c r="AB906" s="79"/>
      <c r="AC906" s="79"/>
      <c r="AD906" s="79"/>
      <c r="AE906" s="79"/>
      <c r="AF906" s="79"/>
      <c r="AG906" s="79"/>
      <c r="AH906" s="79"/>
      <c r="AI906" s="79"/>
      <c r="AJ906" s="79"/>
      <c r="AK906" s="79"/>
      <c r="AL906" s="79"/>
    </row>
    <row r="907" ht="22.5" customHeight="1">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c r="AA907" s="79"/>
      <c r="AB907" s="79"/>
      <c r="AC907" s="79"/>
      <c r="AD907" s="79"/>
      <c r="AE907" s="79"/>
      <c r="AF907" s="79"/>
      <c r="AG907" s="79"/>
      <c r="AH907" s="79"/>
      <c r="AI907" s="79"/>
      <c r="AJ907" s="79"/>
      <c r="AK907" s="79"/>
      <c r="AL907" s="79"/>
    </row>
    <row r="908" ht="22.5" customHeight="1">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c r="AA908" s="79"/>
      <c r="AB908" s="79"/>
      <c r="AC908" s="79"/>
      <c r="AD908" s="79"/>
      <c r="AE908" s="79"/>
      <c r="AF908" s="79"/>
      <c r="AG908" s="79"/>
      <c r="AH908" s="79"/>
      <c r="AI908" s="79"/>
      <c r="AJ908" s="79"/>
      <c r="AK908" s="79"/>
      <c r="AL908" s="79"/>
    </row>
    <row r="909" ht="22.5" customHeight="1">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c r="AA909" s="79"/>
      <c r="AB909" s="79"/>
      <c r="AC909" s="79"/>
      <c r="AD909" s="79"/>
      <c r="AE909" s="79"/>
      <c r="AF909" s="79"/>
      <c r="AG909" s="79"/>
      <c r="AH909" s="79"/>
      <c r="AI909" s="79"/>
      <c r="AJ909" s="79"/>
      <c r="AK909" s="79"/>
      <c r="AL909" s="79"/>
    </row>
    <row r="910" ht="22.5" customHeight="1">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c r="AA910" s="79"/>
      <c r="AB910" s="79"/>
      <c r="AC910" s="79"/>
      <c r="AD910" s="79"/>
      <c r="AE910" s="79"/>
      <c r="AF910" s="79"/>
      <c r="AG910" s="79"/>
      <c r="AH910" s="79"/>
      <c r="AI910" s="79"/>
      <c r="AJ910" s="79"/>
      <c r="AK910" s="79"/>
      <c r="AL910" s="79"/>
    </row>
    <row r="911" ht="22.5" customHeight="1">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c r="AA911" s="79"/>
      <c r="AB911" s="79"/>
      <c r="AC911" s="79"/>
      <c r="AD911" s="79"/>
      <c r="AE911" s="79"/>
      <c r="AF911" s="79"/>
      <c r="AG911" s="79"/>
      <c r="AH911" s="79"/>
      <c r="AI911" s="79"/>
      <c r="AJ911" s="79"/>
      <c r="AK911" s="79"/>
      <c r="AL911" s="79"/>
    </row>
    <row r="912" ht="22.5" customHeight="1">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c r="AA912" s="79"/>
      <c r="AB912" s="79"/>
      <c r="AC912" s="79"/>
      <c r="AD912" s="79"/>
      <c r="AE912" s="79"/>
      <c r="AF912" s="79"/>
      <c r="AG912" s="79"/>
      <c r="AH912" s="79"/>
      <c r="AI912" s="79"/>
      <c r="AJ912" s="79"/>
      <c r="AK912" s="79"/>
      <c r="AL912" s="79"/>
    </row>
    <row r="913" ht="22.5" customHeight="1">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c r="AA913" s="79"/>
      <c r="AB913" s="79"/>
      <c r="AC913" s="79"/>
      <c r="AD913" s="79"/>
      <c r="AE913" s="79"/>
      <c r="AF913" s="79"/>
      <c r="AG913" s="79"/>
      <c r="AH913" s="79"/>
      <c r="AI913" s="79"/>
      <c r="AJ913" s="79"/>
      <c r="AK913" s="79"/>
      <c r="AL913" s="79"/>
    </row>
    <row r="914" ht="22.5" customHeight="1">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c r="AA914" s="79"/>
      <c r="AB914" s="79"/>
      <c r="AC914" s="79"/>
      <c r="AD914" s="79"/>
      <c r="AE914" s="79"/>
      <c r="AF914" s="79"/>
      <c r="AG914" s="79"/>
      <c r="AH914" s="79"/>
      <c r="AI914" s="79"/>
      <c r="AJ914" s="79"/>
      <c r="AK914" s="79"/>
      <c r="AL914" s="79"/>
    </row>
    <row r="915" ht="22.5" customHeight="1">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c r="AA915" s="79"/>
      <c r="AB915" s="79"/>
      <c r="AC915" s="79"/>
      <c r="AD915" s="79"/>
      <c r="AE915" s="79"/>
      <c r="AF915" s="79"/>
      <c r="AG915" s="79"/>
      <c r="AH915" s="79"/>
      <c r="AI915" s="79"/>
      <c r="AJ915" s="79"/>
      <c r="AK915" s="79"/>
      <c r="AL915" s="79"/>
    </row>
    <row r="916" ht="22.5" customHeight="1">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c r="AA916" s="79"/>
      <c r="AB916" s="79"/>
      <c r="AC916" s="79"/>
      <c r="AD916" s="79"/>
      <c r="AE916" s="79"/>
      <c r="AF916" s="79"/>
      <c r="AG916" s="79"/>
      <c r="AH916" s="79"/>
      <c r="AI916" s="79"/>
      <c r="AJ916" s="79"/>
      <c r="AK916" s="79"/>
      <c r="AL916" s="79"/>
    </row>
    <row r="917" ht="22.5" customHeight="1">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c r="AA917" s="79"/>
      <c r="AB917" s="79"/>
      <c r="AC917" s="79"/>
      <c r="AD917" s="79"/>
      <c r="AE917" s="79"/>
      <c r="AF917" s="79"/>
      <c r="AG917" s="79"/>
      <c r="AH917" s="79"/>
      <c r="AI917" s="79"/>
      <c r="AJ917" s="79"/>
      <c r="AK917" s="79"/>
      <c r="AL917" s="79"/>
    </row>
    <row r="918" ht="22.5" customHeight="1">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c r="AA918" s="79"/>
      <c r="AB918" s="79"/>
      <c r="AC918" s="79"/>
      <c r="AD918" s="79"/>
      <c r="AE918" s="79"/>
      <c r="AF918" s="79"/>
      <c r="AG918" s="79"/>
      <c r="AH918" s="79"/>
      <c r="AI918" s="79"/>
      <c r="AJ918" s="79"/>
      <c r="AK918" s="79"/>
      <c r="AL918" s="79"/>
    </row>
    <row r="919" ht="22.5" customHeight="1">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c r="AA919" s="79"/>
      <c r="AB919" s="79"/>
      <c r="AC919" s="79"/>
      <c r="AD919" s="79"/>
      <c r="AE919" s="79"/>
      <c r="AF919" s="79"/>
      <c r="AG919" s="79"/>
      <c r="AH919" s="79"/>
      <c r="AI919" s="79"/>
      <c r="AJ919" s="79"/>
      <c r="AK919" s="79"/>
      <c r="AL919" s="79"/>
    </row>
    <row r="920" ht="22.5" customHeight="1">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c r="AA920" s="79"/>
      <c r="AB920" s="79"/>
      <c r="AC920" s="79"/>
      <c r="AD920" s="79"/>
      <c r="AE920" s="79"/>
      <c r="AF920" s="79"/>
      <c r="AG920" s="79"/>
      <c r="AH920" s="79"/>
      <c r="AI920" s="79"/>
      <c r="AJ920" s="79"/>
      <c r="AK920" s="79"/>
      <c r="AL920" s="79"/>
    </row>
    <row r="921" ht="22.5" customHeight="1">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c r="AA921" s="79"/>
      <c r="AB921" s="79"/>
      <c r="AC921" s="79"/>
      <c r="AD921" s="79"/>
      <c r="AE921" s="79"/>
      <c r="AF921" s="79"/>
      <c r="AG921" s="79"/>
      <c r="AH921" s="79"/>
      <c r="AI921" s="79"/>
      <c r="AJ921" s="79"/>
      <c r="AK921" s="79"/>
      <c r="AL921" s="79"/>
    </row>
    <row r="922" ht="22.5" customHeight="1">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c r="AA922" s="79"/>
      <c r="AB922" s="79"/>
      <c r="AC922" s="79"/>
      <c r="AD922" s="79"/>
      <c r="AE922" s="79"/>
      <c r="AF922" s="79"/>
      <c r="AG922" s="79"/>
      <c r="AH922" s="79"/>
      <c r="AI922" s="79"/>
      <c r="AJ922" s="79"/>
      <c r="AK922" s="79"/>
      <c r="AL922" s="79"/>
    </row>
    <row r="923" ht="22.5" customHeight="1">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c r="AA923" s="79"/>
      <c r="AB923" s="79"/>
      <c r="AC923" s="79"/>
      <c r="AD923" s="79"/>
      <c r="AE923" s="79"/>
      <c r="AF923" s="79"/>
      <c r="AG923" s="79"/>
      <c r="AH923" s="79"/>
      <c r="AI923" s="79"/>
      <c r="AJ923" s="79"/>
      <c r="AK923" s="79"/>
      <c r="AL923" s="79"/>
    </row>
    <row r="924" ht="22.5" customHeight="1">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c r="AA924" s="79"/>
      <c r="AB924" s="79"/>
      <c r="AC924" s="79"/>
      <c r="AD924" s="79"/>
      <c r="AE924" s="79"/>
      <c r="AF924" s="79"/>
      <c r="AG924" s="79"/>
      <c r="AH924" s="79"/>
      <c r="AI924" s="79"/>
      <c r="AJ924" s="79"/>
      <c r="AK924" s="79"/>
      <c r="AL924" s="79"/>
    </row>
    <row r="925" ht="22.5" customHeight="1">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c r="AA925" s="79"/>
      <c r="AB925" s="79"/>
      <c r="AC925" s="79"/>
      <c r="AD925" s="79"/>
      <c r="AE925" s="79"/>
      <c r="AF925" s="79"/>
      <c r="AG925" s="79"/>
      <c r="AH925" s="79"/>
      <c r="AI925" s="79"/>
      <c r="AJ925" s="79"/>
      <c r="AK925" s="79"/>
      <c r="AL925" s="79"/>
    </row>
    <row r="926" ht="22.5" customHeight="1">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c r="AA926" s="79"/>
      <c r="AB926" s="79"/>
      <c r="AC926" s="79"/>
      <c r="AD926" s="79"/>
      <c r="AE926" s="79"/>
      <c r="AF926" s="79"/>
      <c r="AG926" s="79"/>
      <c r="AH926" s="79"/>
      <c r="AI926" s="79"/>
      <c r="AJ926" s="79"/>
      <c r="AK926" s="79"/>
      <c r="AL926" s="79"/>
    </row>
    <row r="927" ht="22.5" customHeight="1">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c r="AA927" s="79"/>
      <c r="AB927" s="79"/>
      <c r="AC927" s="79"/>
      <c r="AD927" s="79"/>
      <c r="AE927" s="79"/>
      <c r="AF927" s="79"/>
      <c r="AG927" s="79"/>
      <c r="AH927" s="79"/>
      <c r="AI927" s="79"/>
      <c r="AJ927" s="79"/>
      <c r="AK927" s="79"/>
      <c r="AL927" s="79"/>
    </row>
    <row r="928" ht="22.5" customHeight="1">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c r="AA928" s="79"/>
      <c r="AB928" s="79"/>
      <c r="AC928" s="79"/>
      <c r="AD928" s="79"/>
      <c r="AE928" s="79"/>
      <c r="AF928" s="79"/>
      <c r="AG928" s="79"/>
      <c r="AH928" s="79"/>
      <c r="AI928" s="79"/>
      <c r="AJ928" s="79"/>
      <c r="AK928" s="79"/>
      <c r="AL928" s="79"/>
    </row>
    <row r="929" ht="22.5" customHeight="1">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c r="AA929" s="79"/>
      <c r="AB929" s="79"/>
      <c r="AC929" s="79"/>
      <c r="AD929" s="79"/>
      <c r="AE929" s="79"/>
      <c r="AF929" s="79"/>
      <c r="AG929" s="79"/>
      <c r="AH929" s="79"/>
      <c r="AI929" s="79"/>
      <c r="AJ929" s="79"/>
      <c r="AK929" s="79"/>
      <c r="AL929" s="79"/>
    </row>
    <row r="930" ht="22.5" customHeight="1">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c r="AA930" s="79"/>
      <c r="AB930" s="79"/>
      <c r="AC930" s="79"/>
      <c r="AD930" s="79"/>
      <c r="AE930" s="79"/>
      <c r="AF930" s="79"/>
      <c r="AG930" s="79"/>
      <c r="AH930" s="79"/>
      <c r="AI930" s="79"/>
      <c r="AJ930" s="79"/>
      <c r="AK930" s="79"/>
      <c r="AL930" s="79"/>
    </row>
    <row r="931" ht="22.5" customHeight="1">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c r="AA931" s="79"/>
      <c r="AB931" s="79"/>
      <c r="AC931" s="79"/>
      <c r="AD931" s="79"/>
      <c r="AE931" s="79"/>
      <c r="AF931" s="79"/>
      <c r="AG931" s="79"/>
      <c r="AH931" s="79"/>
      <c r="AI931" s="79"/>
      <c r="AJ931" s="79"/>
      <c r="AK931" s="79"/>
      <c r="AL931" s="79"/>
    </row>
    <row r="932" ht="22.5" customHeight="1">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c r="AA932" s="79"/>
      <c r="AB932" s="79"/>
      <c r="AC932" s="79"/>
      <c r="AD932" s="79"/>
      <c r="AE932" s="79"/>
      <c r="AF932" s="79"/>
      <c r="AG932" s="79"/>
      <c r="AH932" s="79"/>
      <c r="AI932" s="79"/>
      <c r="AJ932" s="79"/>
      <c r="AK932" s="79"/>
      <c r="AL932" s="79"/>
    </row>
    <row r="933" ht="22.5" customHeight="1">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c r="AA933" s="79"/>
      <c r="AB933" s="79"/>
      <c r="AC933" s="79"/>
      <c r="AD933" s="79"/>
      <c r="AE933" s="79"/>
      <c r="AF933" s="79"/>
      <c r="AG933" s="79"/>
      <c r="AH933" s="79"/>
      <c r="AI933" s="79"/>
      <c r="AJ933" s="79"/>
      <c r="AK933" s="79"/>
      <c r="AL933" s="79"/>
    </row>
    <row r="934" ht="22.5" customHeight="1">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c r="AA934" s="79"/>
      <c r="AB934" s="79"/>
      <c r="AC934" s="79"/>
      <c r="AD934" s="79"/>
      <c r="AE934" s="79"/>
      <c r="AF934" s="79"/>
      <c r="AG934" s="79"/>
      <c r="AH934" s="79"/>
      <c r="AI934" s="79"/>
      <c r="AJ934" s="79"/>
      <c r="AK934" s="79"/>
      <c r="AL934" s="79"/>
    </row>
    <row r="935" ht="22.5" customHeight="1">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c r="AA935" s="79"/>
      <c r="AB935" s="79"/>
      <c r="AC935" s="79"/>
      <c r="AD935" s="79"/>
      <c r="AE935" s="79"/>
      <c r="AF935" s="79"/>
      <c r="AG935" s="79"/>
      <c r="AH935" s="79"/>
      <c r="AI935" s="79"/>
      <c r="AJ935" s="79"/>
      <c r="AK935" s="79"/>
      <c r="AL935" s="79"/>
    </row>
    <row r="936" ht="22.5" customHeight="1">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c r="AA936" s="79"/>
      <c r="AB936" s="79"/>
      <c r="AC936" s="79"/>
      <c r="AD936" s="79"/>
      <c r="AE936" s="79"/>
      <c r="AF936" s="79"/>
      <c r="AG936" s="79"/>
      <c r="AH936" s="79"/>
      <c r="AI936" s="79"/>
      <c r="AJ936" s="79"/>
      <c r="AK936" s="79"/>
      <c r="AL936" s="79"/>
    </row>
    <row r="937" ht="22.5" customHeight="1">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c r="AA937" s="79"/>
      <c r="AB937" s="79"/>
      <c r="AC937" s="79"/>
      <c r="AD937" s="79"/>
      <c r="AE937" s="79"/>
      <c r="AF937" s="79"/>
      <c r="AG937" s="79"/>
      <c r="AH937" s="79"/>
      <c r="AI937" s="79"/>
      <c r="AJ937" s="79"/>
      <c r="AK937" s="79"/>
      <c r="AL937" s="79"/>
    </row>
    <row r="938" ht="22.5" customHeight="1">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c r="AA938" s="79"/>
      <c r="AB938" s="79"/>
      <c r="AC938" s="79"/>
      <c r="AD938" s="79"/>
      <c r="AE938" s="79"/>
      <c r="AF938" s="79"/>
      <c r="AG938" s="79"/>
      <c r="AH938" s="79"/>
      <c r="AI938" s="79"/>
      <c r="AJ938" s="79"/>
      <c r="AK938" s="79"/>
      <c r="AL938" s="79"/>
    </row>
    <row r="939" ht="22.5" customHeight="1">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c r="AA939" s="79"/>
      <c r="AB939" s="79"/>
      <c r="AC939" s="79"/>
      <c r="AD939" s="79"/>
      <c r="AE939" s="79"/>
      <c r="AF939" s="79"/>
      <c r="AG939" s="79"/>
      <c r="AH939" s="79"/>
      <c r="AI939" s="79"/>
      <c r="AJ939" s="79"/>
      <c r="AK939" s="79"/>
      <c r="AL939" s="79"/>
    </row>
    <row r="940" ht="22.5" customHeight="1">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c r="AA940" s="79"/>
      <c r="AB940" s="79"/>
      <c r="AC940" s="79"/>
      <c r="AD940" s="79"/>
      <c r="AE940" s="79"/>
      <c r="AF940" s="79"/>
      <c r="AG940" s="79"/>
      <c r="AH940" s="79"/>
      <c r="AI940" s="79"/>
      <c r="AJ940" s="79"/>
      <c r="AK940" s="79"/>
      <c r="AL940" s="79"/>
    </row>
    <row r="941" ht="22.5" customHeight="1">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c r="AA941" s="79"/>
      <c r="AB941" s="79"/>
      <c r="AC941" s="79"/>
      <c r="AD941" s="79"/>
      <c r="AE941" s="79"/>
      <c r="AF941" s="79"/>
      <c r="AG941" s="79"/>
      <c r="AH941" s="79"/>
      <c r="AI941" s="79"/>
      <c r="AJ941" s="79"/>
      <c r="AK941" s="79"/>
      <c r="AL941" s="79"/>
    </row>
    <row r="942" ht="22.5" customHeight="1">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c r="AA942" s="79"/>
      <c r="AB942" s="79"/>
      <c r="AC942" s="79"/>
      <c r="AD942" s="79"/>
      <c r="AE942" s="79"/>
      <c r="AF942" s="79"/>
      <c r="AG942" s="79"/>
      <c r="AH942" s="79"/>
      <c r="AI942" s="79"/>
      <c r="AJ942" s="79"/>
      <c r="AK942" s="79"/>
      <c r="AL942" s="79"/>
    </row>
    <row r="943" ht="22.5" customHeight="1">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c r="AA943" s="79"/>
      <c r="AB943" s="79"/>
      <c r="AC943" s="79"/>
      <c r="AD943" s="79"/>
      <c r="AE943" s="79"/>
      <c r="AF943" s="79"/>
      <c r="AG943" s="79"/>
      <c r="AH943" s="79"/>
      <c r="AI943" s="79"/>
      <c r="AJ943" s="79"/>
      <c r="AK943" s="79"/>
      <c r="AL943" s="79"/>
    </row>
    <row r="944" ht="22.5" customHeight="1">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c r="AA944" s="79"/>
      <c r="AB944" s="79"/>
      <c r="AC944" s="79"/>
      <c r="AD944" s="79"/>
      <c r="AE944" s="79"/>
      <c r="AF944" s="79"/>
      <c r="AG944" s="79"/>
      <c r="AH944" s="79"/>
      <c r="AI944" s="79"/>
      <c r="AJ944" s="79"/>
      <c r="AK944" s="79"/>
      <c r="AL944" s="79"/>
    </row>
    <row r="945" ht="22.5" customHeight="1">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c r="AA945" s="79"/>
      <c r="AB945" s="79"/>
      <c r="AC945" s="79"/>
      <c r="AD945" s="79"/>
      <c r="AE945" s="79"/>
      <c r="AF945" s="79"/>
      <c r="AG945" s="79"/>
      <c r="AH945" s="79"/>
      <c r="AI945" s="79"/>
      <c r="AJ945" s="79"/>
      <c r="AK945" s="79"/>
      <c r="AL945" s="79"/>
    </row>
    <row r="946" ht="22.5" customHeight="1">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c r="AA946" s="79"/>
      <c r="AB946" s="79"/>
      <c r="AC946" s="79"/>
      <c r="AD946" s="79"/>
      <c r="AE946" s="79"/>
      <c r="AF946" s="79"/>
      <c r="AG946" s="79"/>
      <c r="AH946" s="79"/>
      <c r="AI946" s="79"/>
      <c r="AJ946" s="79"/>
      <c r="AK946" s="79"/>
      <c r="AL946" s="79"/>
    </row>
    <row r="947" ht="22.5" customHeight="1">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c r="AA947" s="79"/>
      <c r="AB947" s="79"/>
      <c r="AC947" s="79"/>
      <c r="AD947" s="79"/>
      <c r="AE947" s="79"/>
      <c r="AF947" s="79"/>
      <c r="AG947" s="79"/>
      <c r="AH947" s="79"/>
      <c r="AI947" s="79"/>
      <c r="AJ947" s="79"/>
      <c r="AK947" s="79"/>
      <c r="AL947" s="79"/>
    </row>
    <row r="948" ht="22.5" customHeight="1">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c r="AA948" s="79"/>
      <c r="AB948" s="79"/>
      <c r="AC948" s="79"/>
      <c r="AD948" s="79"/>
      <c r="AE948" s="79"/>
      <c r="AF948" s="79"/>
      <c r="AG948" s="79"/>
      <c r="AH948" s="79"/>
      <c r="AI948" s="79"/>
      <c r="AJ948" s="79"/>
      <c r="AK948" s="79"/>
      <c r="AL948" s="79"/>
    </row>
    <row r="949" ht="22.5" customHeight="1">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c r="AA949" s="79"/>
      <c r="AB949" s="79"/>
      <c r="AC949" s="79"/>
      <c r="AD949" s="79"/>
      <c r="AE949" s="79"/>
      <c r="AF949" s="79"/>
      <c r="AG949" s="79"/>
      <c r="AH949" s="79"/>
      <c r="AI949" s="79"/>
      <c r="AJ949" s="79"/>
      <c r="AK949" s="79"/>
      <c r="AL949" s="79"/>
    </row>
    <row r="950" ht="22.5" customHeight="1">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c r="AA950" s="79"/>
      <c r="AB950" s="79"/>
      <c r="AC950" s="79"/>
      <c r="AD950" s="79"/>
      <c r="AE950" s="79"/>
      <c r="AF950" s="79"/>
      <c r="AG950" s="79"/>
      <c r="AH950" s="79"/>
      <c r="AI950" s="79"/>
      <c r="AJ950" s="79"/>
      <c r="AK950" s="79"/>
      <c r="AL950" s="79"/>
    </row>
    <row r="951" ht="22.5" customHeight="1">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c r="AA951" s="79"/>
      <c r="AB951" s="79"/>
      <c r="AC951" s="79"/>
      <c r="AD951" s="79"/>
      <c r="AE951" s="79"/>
      <c r="AF951" s="79"/>
      <c r="AG951" s="79"/>
      <c r="AH951" s="79"/>
      <c r="AI951" s="79"/>
      <c r="AJ951" s="79"/>
      <c r="AK951" s="79"/>
      <c r="AL951" s="79"/>
    </row>
    <row r="952" ht="22.5" customHeight="1">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c r="AA952" s="79"/>
      <c r="AB952" s="79"/>
      <c r="AC952" s="79"/>
      <c r="AD952" s="79"/>
      <c r="AE952" s="79"/>
      <c r="AF952" s="79"/>
      <c r="AG952" s="79"/>
      <c r="AH952" s="79"/>
      <c r="AI952" s="79"/>
      <c r="AJ952" s="79"/>
      <c r="AK952" s="79"/>
      <c r="AL952" s="79"/>
    </row>
    <row r="953" ht="22.5" customHeight="1">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c r="AA953" s="79"/>
      <c r="AB953" s="79"/>
      <c r="AC953" s="79"/>
      <c r="AD953" s="79"/>
      <c r="AE953" s="79"/>
      <c r="AF953" s="79"/>
      <c r="AG953" s="79"/>
      <c r="AH953" s="79"/>
      <c r="AI953" s="79"/>
      <c r="AJ953" s="79"/>
      <c r="AK953" s="79"/>
      <c r="AL953" s="79"/>
    </row>
    <row r="954" ht="22.5" customHeight="1">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c r="AA954" s="79"/>
      <c r="AB954" s="79"/>
      <c r="AC954" s="79"/>
      <c r="AD954" s="79"/>
      <c r="AE954" s="79"/>
      <c r="AF954" s="79"/>
      <c r="AG954" s="79"/>
      <c r="AH954" s="79"/>
      <c r="AI954" s="79"/>
      <c r="AJ954" s="79"/>
      <c r="AK954" s="79"/>
      <c r="AL954" s="79"/>
    </row>
    <row r="955" ht="22.5" customHeight="1">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c r="AA955" s="79"/>
      <c r="AB955" s="79"/>
      <c r="AC955" s="79"/>
      <c r="AD955" s="79"/>
      <c r="AE955" s="79"/>
      <c r="AF955" s="79"/>
      <c r="AG955" s="79"/>
      <c r="AH955" s="79"/>
      <c r="AI955" s="79"/>
      <c r="AJ955" s="79"/>
      <c r="AK955" s="79"/>
      <c r="AL955" s="79"/>
    </row>
    <row r="956" ht="22.5" customHeight="1">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c r="AA956" s="79"/>
      <c r="AB956" s="79"/>
      <c r="AC956" s="79"/>
      <c r="AD956" s="79"/>
      <c r="AE956" s="79"/>
      <c r="AF956" s="79"/>
      <c r="AG956" s="79"/>
      <c r="AH956" s="79"/>
      <c r="AI956" s="79"/>
      <c r="AJ956" s="79"/>
      <c r="AK956" s="79"/>
      <c r="AL956" s="79"/>
    </row>
    <row r="957" ht="22.5" customHeight="1">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c r="AA957" s="79"/>
      <c r="AB957" s="79"/>
      <c r="AC957" s="79"/>
      <c r="AD957" s="79"/>
      <c r="AE957" s="79"/>
      <c r="AF957" s="79"/>
      <c r="AG957" s="79"/>
      <c r="AH957" s="79"/>
      <c r="AI957" s="79"/>
      <c r="AJ957" s="79"/>
      <c r="AK957" s="79"/>
      <c r="AL957" s="79"/>
    </row>
    <row r="958" ht="22.5" customHeight="1">
      <c r="A958" s="79"/>
      <c r="B958" s="79"/>
      <c r="C958" s="79"/>
      <c r="D958" s="79"/>
      <c r="E958" s="79"/>
      <c r="F958" s="80"/>
      <c r="G958" s="81"/>
      <c r="H958" s="79"/>
      <c r="I958" s="80"/>
      <c r="J958" s="81"/>
      <c r="K958" s="79"/>
      <c r="L958" s="80"/>
      <c r="M958" s="94"/>
      <c r="N958" s="79"/>
      <c r="O958" s="79"/>
      <c r="P958" s="83"/>
      <c r="Q958" s="81"/>
      <c r="R958" s="79"/>
      <c r="S958" s="81"/>
      <c r="T958" s="81"/>
      <c r="U958" s="81"/>
      <c r="V958" s="81"/>
      <c r="W958" s="81"/>
      <c r="X958" s="81"/>
      <c r="Y958" s="81"/>
      <c r="Z958" s="81"/>
      <c r="AA958" s="81"/>
      <c r="AB958" s="81"/>
      <c r="AC958" s="81"/>
      <c r="AD958" s="81"/>
      <c r="AE958" s="81"/>
      <c r="AF958" s="81"/>
      <c r="AG958" s="81"/>
      <c r="AH958" s="81"/>
      <c r="AI958" s="81"/>
      <c r="AJ958" s="81"/>
      <c r="AK958" s="81"/>
      <c r="AL958" s="79"/>
    </row>
    <row r="959" ht="22.5" customHeight="1">
      <c r="A959" s="79"/>
      <c r="B959" s="79"/>
      <c r="C959" s="79"/>
      <c r="D959" s="79"/>
      <c r="E959" s="79"/>
      <c r="F959" s="80"/>
      <c r="G959" s="81"/>
      <c r="H959" s="79"/>
      <c r="I959" s="80"/>
      <c r="J959" s="81"/>
      <c r="K959" s="79"/>
      <c r="L959" s="80"/>
      <c r="M959" s="94"/>
      <c r="N959" s="79"/>
      <c r="O959" s="79"/>
      <c r="P959" s="83"/>
      <c r="Q959" s="81"/>
      <c r="R959" s="79"/>
      <c r="S959" s="81"/>
      <c r="T959" s="81"/>
      <c r="U959" s="81"/>
      <c r="V959" s="81"/>
      <c r="W959" s="81"/>
      <c r="X959" s="81"/>
      <c r="Y959" s="81"/>
      <c r="Z959" s="81"/>
      <c r="AA959" s="81"/>
      <c r="AB959" s="81"/>
      <c r="AC959" s="81"/>
      <c r="AD959" s="81"/>
      <c r="AE959" s="81"/>
      <c r="AF959" s="81"/>
      <c r="AG959" s="81"/>
      <c r="AH959" s="81"/>
      <c r="AI959" s="81"/>
      <c r="AJ959" s="81"/>
      <c r="AK959" s="81"/>
      <c r="AL959" s="79"/>
    </row>
    <row r="960" ht="22.5" customHeight="1">
      <c r="A960" s="79"/>
      <c r="B960" s="79"/>
      <c r="C960" s="79"/>
      <c r="D960" s="79"/>
      <c r="E960" s="79"/>
      <c r="F960" s="80"/>
      <c r="G960" s="81"/>
      <c r="H960" s="79"/>
      <c r="I960" s="80"/>
      <c r="J960" s="81"/>
      <c r="K960" s="79"/>
      <c r="L960" s="80"/>
      <c r="M960" s="94"/>
      <c r="N960" s="79"/>
      <c r="O960" s="79"/>
      <c r="P960" s="83"/>
      <c r="Q960" s="81"/>
      <c r="R960" s="79"/>
      <c r="S960" s="81"/>
      <c r="T960" s="81"/>
      <c r="U960" s="81"/>
      <c r="V960" s="81"/>
      <c r="W960" s="81"/>
      <c r="X960" s="81"/>
      <c r="Y960" s="81"/>
      <c r="Z960" s="81"/>
      <c r="AA960" s="81"/>
      <c r="AB960" s="81"/>
      <c r="AC960" s="81"/>
      <c r="AD960" s="81"/>
      <c r="AE960" s="81"/>
      <c r="AF960" s="81"/>
      <c r="AG960" s="81"/>
      <c r="AH960" s="81"/>
      <c r="AI960" s="81"/>
      <c r="AJ960" s="81"/>
      <c r="AK960" s="81"/>
      <c r="AL960" s="79"/>
    </row>
    <row r="961" ht="22.5" customHeight="1">
      <c r="A961" s="79"/>
      <c r="B961" s="79"/>
      <c r="C961" s="79"/>
      <c r="D961" s="79"/>
      <c r="E961" s="79"/>
      <c r="F961" s="80"/>
      <c r="G961" s="81"/>
      <c r="H961" s="79"/>
      <c r="I961" s="80"/>
      <c r="J961" s="81"/>
      <c r="K961" s="79"/>
      <c r="L961" s="80"/>
      <c r="M961" s="94"/>
      <c r="N961" s="79"/>
      <c r="O961" s="79"/>
      <c r="P961" s="83"/>
      <c r="Q961" s="81"/>
      <c r="R961" s="79"/>
      <c r="S961" s="81"/>
      <c r="T961" s="81"/>
      <c r="U961" s="81"/>
      <c r="V961" s="81"/>
      <c r="W961" s="81"/>
      <c r="X961" s="81"/>
      <c r="Y961" s="81"/>
      <c r="Z961" s="81"/>
      <c r="AA961" s="81"/>
      <c r="AB961" s="81"/>
      <c r="AC961" s="81"/>
      <c r="AD961" s="81"/>
      <c r="AE961" s="81"/>
      <c r="AF961" s="81"/>
      <c r="AG961" s="81"/>
      <c r="AH961" s="81"/>
      <c r="AI961" s="81"/>
      <c r="AJ961" s="81"/>
      <c r="AK961" s="81"/>
      <c r="AL961" s="79"/>
    </row>
    <row r="962" ht="22.5" customHeight="1">
      <c r="A962" s="79"/>
      <c r="B962" s="79"/>
      <c r="C962" s="79"/>
      <c r="D962" s="79"/>
      <c r="E962" s="79"/>
      <c r="F962" s="80"/>
      <c r="G962" s="81"/>
      <c r="H962" s="79"/>
      <c r="I962" s="80"/>
      <c r="J962" s="81"/>
      <c r="K962" s="79"/>
      <c r="L962" s="80"/>
      <c r="M962" s="94"/>
      <c r="N962" s="79"/>
      <c r="O962" s="79"/>
      <c r="P962" s="83"/>
      <c r="Q962" s="81"/>
      <c r="R962" s="79"/>
      <c r="S962" s="81"/>
      <c r="T962" s="81"/>
      <c r="U962" s="81"/>
      <c r="V962" s="81"/>
      <c r="W962" s="81"/>
      <c r="X962" s="81"/>
      <c r="Y962" s="81"/>
      <c r="Z962" s="81"/>
      <c r="AA962" s="81"/>
      <c r="AB962" s="81"/>
      <c r="AC962" s="81"/>
      <c r="AD962" s="81"/>
      <c r="AE962" s="81"/>
      <c r="AF962" s="81"/>
      <c r="AG962" s="81"/>
      <c r="AH962" s="81"/>
      <c r="AI962" s="81"/>
      <c r="AJ962" s="81"/>
      <c r="AK962" s="81"/>
      <c r="AL962" s="79"/>
    </row>
    <row r="963" ht="22.5" customHeight="1">
      <c r="A963" s="79"/>
      <c r="B963" s="79"/>
      <c r="C963" s="79"/>
      <c r="D963" s="79"/>
      <c r="E963" s="79"/>
      <c r="F963" s="80"/>
      <c r="G963" s="81"/>
      <c r="H963" s="79"/>
      <c r="I963" s="80"/>
      <c r="J963" s="81"/>
      <c r="K963" s="79"/>
      <c r="L963" s="80"/>
      <c r="M963" s="94"/>
      <c r="N963" s="79"/>
      <c r="O963" s="79"/>
      <c r="P963" s="83"/>
      <c r="Q963" s="81"/>
      <c r="R963" s="79"/>
      <c r="S963" s="81"/>
      <c r="T963" s="81"/>
      <c r="U963" s="81"/>
      <c r="V963" s="81"/>
      <c r="W963" s="81"/>
      <c r="X963" s="81"/>
      <c r="Y963" s="81"/>
      <c r="Z963" s="81"/>
      <c r="AA963" s="81"/>
      <c r="AB963" s="81"/>
      <c r="AC963" s="81"/>
      <c r="AD963" s="81"/>
      <c r="AE963" s="81"/>
      <c r="AF963" s="81"/>
      <c r="AG963" s="81"/>
      <c r="AH963" s="81"/>
      <c r="AI963" s="81"/>
      <c r="AJ963" s="81"/>
      <c r="AK963" s="81"/>
      <c r="AL963" s="79"/>
    </row>
    <row r="964" ht="22.5" customHeight="1">
      <c r="A964" s="79"/>
      <c r="B964" s="79"/>
      <c r="C964" s="79"/>
      <c r="D964" s="79"/>
      <c r="E964" s="79"/>
      <c r="F964" s="80"/>
      <c r="G964" s="81"/>
      <c r="H964" s="79"/>
      <c r="I964" s="80"/>
      <c r="J964" s="81"/>
      <c r="K964" s="79"/>
      <c r="L964" s="80"/>
      <c r="M964" s="94"/>
      <c r="N964" s="79"/>
      <c r="O964" s="79"/>
      <c r="P964" s="83"/>
      <c r="Q964" s="81"/>
      <c r="R964" s="79"/>
      <c r="S964" s="81"/>
      <c r="T964" s="81"/>
      <c r="U964" s="81"/>
      <c r="V964" s="81"/>
      <c r="W964" s="81"/>
      <c r="X964" s="81"/>
      <c r="Y964" s="81"/>
      <c r="Z964" s="81"/>
      <c r="AA964" s="81"/>
      <c r="AB964" s="81"/>
      <c r="AC964" s="81"/>
      <c r="AD964" s="81"/>
      <c r="AE964" s="81"/>
      <c r="AF964" s="81"/>
      <c r="AG964" s="81"/>
      <c r="AH964" s="81"/>
      <c r="AI964" s="81"/>
      <c r="AJ964" s="81"/>
      <c r="AK964" s="81"/>
      <c r="AL964" s="79"/>
    </row>
    <row r="965" ht="22.5" customHeight="1">
      <c r="A965" s="79"/>
      <c r="B965" s="79"/>
      <c r="C965" s="79"/>
      <c r="D965" s="79"/>
      <c r="E965" s="79"/>
      <c r="F965" s="80"/>
      <c r="G965" s="81"/>
      <c r="H965" s="79"/>
      <c r="I965" s="80"/>
      <c r="J965" s="81"/>
      <c r="K965" s="79"/>
      <c r="L965" s="80"/>
      <c r="M965" s="94"/>
      <c r="N965" s="79"/>
      <c r="O965" s="79"/>
      <c r="P965" s="83"/>
      <c r="Q965" s="81"/>
      <c r="R965" s="79"/>
      <c r="S965" s="81"/>
      <c r="T965" s="81"/>
      <c r="U965" s="81"/>
      <c r="V965" s="81"/>
      <c r="W965" s="81"/>
      <c r="X965" s="81"/>
      <c r="Y965" s="81"/>
      <c r="Z965" s="81"/>
      <c r="AA965" s="81"/>
      <c r="AB965" s="81"/>
      <c r="AC965" s="81"/>
      <c r="AD965" s="81"/>
      <c r="AE965" s="81"/>
      <c r="AF965" s="81"/>
      <c r="AG965" s="81"/>
      <c r="AH965" s="81"/>
      <c r="AI965" s="81"/>
      <c r="AJ965" s="81"/>
      <c r="AK965" s="81"/>
      <c r="AL965" s="79"/>
    </row>
    <row r="966" ht="22.5" customHeight="1">
      <c r="A966" s="79"/>
      <c r="B966" s="79"/>
      <c r="C966" s="79"/>
      <c r="D966" s="79"/>
      <c r="E966" s="79"/>
      <c r="F966" s="80"/>
      <c r="G966" s="81"/>
      <c r="H966" s="79"/>
      <c r="I966" s="80"/>
      <c r="J966" s="81"/>
      <c r="K966" s="79"/>
      <c r="L966" s="80"/>
      <c r="M966" s="94"/>
      <c r="N966" s="79"/>
      <c r="O966" s="79"/>
      <c r="P966" s="83"/>
      <c r="Q966" s="81"/>
      <c r="R966" s="79"/>
      <c r="S966" s="81"/>
      <c r="T966" s="81"/>
      <c r="U966" s="81"/>
      <c r="V966" s="81"/>
      <c r="W966" s="81"/>
      <c r="X966" s="81"/>
      <c r="Y966" s="81"/>
      <c r="Z966" s="81"/>
      <c r="AA966" s="81"/>
      <c r="AB966" s="81"/>
      <c r="AC966" s="81"/>
      <c r="AD966" s="81"/>
      <c r="AE966" s="81"/>
      <c r="AF966" s="81"/>
      <c r="AG966" s="81"/>
      <c r="AH966" s="81"/>
      <c r="AI966" s="81"/>
      <c r="AJ966" s="81"/>
      <c r="AK966" s="81"/>
      <c r="AL966" s="79"/>
    </row>
    <row r="967" ht="22.5" customHeight="1">
      <c r="A967" s="79"/>
      <c r="B967" s="79"/>
      <c r="C967" s="79"/>
      <c r="D967" s="79"/>
      <c r="E967" s="79"/>
      <c r="F967" s="80"/>
      <c r="G967" s="81"/>
      <c r="H967" s="79"/>
      <c r="I967" s="80"/>
      <c r="J967" s="81"/>
      <c r="K967" s="79"/>
      <c r="L967" s="80"/>
      <c r="M967" s="94"/>
      <c r="N967" s="79"/>
      <c r="O967" s="79"/>
      <c r="P967" s="83"/>
      <c r="Q967" s="81"/>
      <c r="R967" s="79"/>
      <c r="S967" s="81"/>
      <c r="T967" s="81"/>
      <c r="U967" s="81"/>
      <c r="V967" s="81"/>
      <c r="W967" s="81"/>
      <c r="X967" s="81"/>
      <c r="Y967" s="81"/>
      <c r="Z967" s="81"/>
      <c r="AA967" s="81"/>
      <c r="AB967" s="81"/>
      <c r="AC967" s="81"/>
      <c r="AD967" s="81"/>
      <c r="AE967" s="81"/>
      <c r="AF967" s="81"/>
      <c r="AG967" s="81"/>
      <c r="AH967" s="81"/>
      <c r="AI967" s="81"/>
      <c r="AJ967" s="81"/>
      <c r="AK967" s="81"/>
      <c r="AL967" s="79"/>
    </row>
    <row r="968" ht="22.5" customHeight="1">
      <c r="A968" s="79"/>
      <c r="B968" s="79"/>
      <c r="C968" s="79"/>
      <c r="D968" s="79"/>
      <c r="E968" s="79"/>
      <c r="F968" s="80"/>
      <c r="G968" s="81"/>
      <c r="H968" s="79"/>
      <c r="I968" s="80"/>
      <c r="J968" s="81"/>
      <c r="K968" s="79"/>
      <c r="L968" s="80"/>
      <c r="M968" s="94"/>
      <c r="N968" s="79"/>
      <c r="O968" s="79"/>
      <c r="P968" s="83"/>
      <c r="Q968" s="81"/>
      <c r="R968" s="79"/>
      <c r="S968" s="81"/>
      <c r="T968" s="81"/>
      <c r="U968" s="81"/>
      <c r="V968" s="81"/>
      <c r="W968" s="81"/>
      <c r="X968" s="81"/>
      <c r="Y968" s="81"/>
      <c r="Z968" s="81"/>
      <c r="AA968" s="81"/>
      <c r="AB968" s="81"/>
      <c r="AC968" s="81"/>
      <c r="AD968" s="81"/>
      <c r="AE968" s="81"/>
      <c r="AF968" s="81"/>
      <c r="AG968" s="81"/>
      <c r="AH968" s="81"/>
      <c r="AI968" s="81"/>
      <c r="AJ968" s="81"/>
      <c r="AK968" s="81"/>
      <c r="AL968" s="79"/>
    </row>
    <row r="969" ht="22.5" customHeight="1">
      <c r="A969" s="79"/>
      <c r="B969" s="79"/>
      <c r="C969" s="79"/>
      <c r="D969" s="79"/>
      <c r="E969" s="79"/>
      <c r="F969" s="80"/>
      <c r="G969" s="81"/>
      <c r="H969" s="79"/>
      <c r="I969" s="80"/>
      <c r="J969" s="81"/>
      <c r="K969" s="79"/>
      <c r="L969" s="80"/>
      <c r="M969" s="94"/>
      <c r="N969" s="79"/>
      <c r="O969" s="79"/>
      <c r="P969" s="83"/>
      <c r="Q969" s="81"/>
      <c r="R969" s="79"/>
      <c r="S969" s="81"/>
      <c r="T969" s="81"/>
      <c r="U969" s="81"/>
      <c r="V969" s="81"/>
      <c r="W969" s="81"/>
      <c r="X969" s="81"/>
      <c r="Y969" s="81"/>
      <c r="Z969" s="81"/>
      <c r="AA969" s="81"/>
      <c r="AB969" s="81"/>
      <c r="AC969" s="81"/>
      <c r="AD969" s="81"/>
      <c r="AE969" s="81"/>
      <c r="AF969" s="81"/>
      <c r="AG969" s="81"/>
      <c r="AH969" s="81"/>
      <c r="AI969" s="81"/>
      <c r="AJ969" s="81"/>
      <c r="AK969" s="81"/>
      <c r="AL969" s="79"/>
    </row>
    <row r="970" ht="22.5" customHeight="1">
      <c r="A970" s="79"/>
      <c r="B970" s="79"/>
      <c r="C970" s="79"/>
      <c r="D970" s="79"/>
      <c r="E970" s="79"/>
      <c r="F970" s="80"/>
      <c r="G970" s="81"/>
      <c r="H970" s="79"/>
      <c r="I970" s="80"/>
      <c r="J970" s="81"/>
      <c r="K970" s="79"/>
      <c r="L970" s="80"/>
      <c r="M970" s="94"/>
      <c r="N970" s="79"/>
      <c r="O970" s="79"/>
      <c r="P970" s="83"/>
      <c r="Q970" s="81"/>
      <c r="R970" s="79"/>
      <c r="S970" s="81"/>
      <c r="T970" s="81"/>
      <c r="U970" s="81"/>
      <c r="V970" s="81"/>
      <c r="W970" s="81"/>
      <c r="X970" s="81"/>
      <c r="Y970" s="81"/>
      <c r="Z970" s="81"/>
      <c r="AA970" s="81"/>
      <c r="AB970" s="81"/>
      <c r="AC970" s="81"/>
      <c r="AD970" s="81"/>
      <c r="AE970" s="81"/>
      <c r="AF970" s="81"/>
      <c r="AG970" s="81"/>
      <c r="AH970" s="81"/>
      <c r="AI970" s="81"/>
      <c r="AJ970" s="81"/>
      <c r="AK970" s="81"/>
      <c r="AL970" s="79"/>
    </row>
    <row r="971" ht="22.5" customHeight="1">
      <c r="A971" s="79"/>
      <c r="B971" s="79"/>
      <c r="C971" s="79"/>
      <c r="D971" s="79"/>
      <c r="E971" s="79"/>
      <c r="F971" s="80"/>
      <c r="G971" s="81"/>
      <c r="H971" s="79"/>
      <c r="I971" s="80"/>
      <c r="J971" s="81"/>
      <c r="K971" s="79"/>
      <c r="L971" s="80"/>
      <c r="M971" s="94"/>
      <c r="N971" s="79"/>
      <c r="O971" s="79"/>
      <c r="P971" s="83"/>
      <c r="Q971" s="81"/>
      <c r="R971" s="79"/>
      <c r="S971" s="81"/>
      <c r="T971" s="81"/>
      <c r="U971" s="81"/>
      <c r="V971" s="81"/>
      <c r="W971" s="81"/>
      <c r="X971" s="81"/>
      <c r="Y971" s="81"/>
      <c r="Z971" s="81"/>
      <c r="AA971" s="81"/>
      <c r="AB971" s="81"/>
      <c r="AC971" s="81"/>
      <c r="AD971" s="81"/>
      <c r="AE971" s="81"/>
      <c r="AF971" s="81"/>
      <c r="AG971" s="81"/>
      <c r="AH971" s="81"/>
      <c r="AI971" s="81"/>
      <c r="AJ971" s="81"/>
      <c r="AK971" s="81"/>
      <c r="AL971" s="79"/>
    </row>
    <row r="972" ht="22.5" customHeight="1">
      <c r="A972" s="79"/>
      <c r="B972" s="79"/>
      <c r="C972" s="79"/>
      <c r="D972" s="79"/>
      <c r="E972" s="79"/>
      <c r="F972" s="80"/>
      <c r="G972" s="81"/>
      <c r="H972" s="79"/>
      <c r="I972" s="80"/>
      <c r="J972" s="81"/>
      <c r="K972" s="79"/>
      <c r="L972" s="80"/>
      <c r="M972" s="94"/>
      <c r="N972" s="79"/>
      <c r="O972" s="79"/>
      <c r="P972" s="83"/>
      <c r="Q972" s="81"/>
      <c r="R972" s="79"/>
      <c r="S972" s="81"/>
      <c r="T972" s="81"/>
      <c r="U972" s="81"/>
      <c r="V972" s="81"/>
      <c r="W972" s="81"/>
      <c r="X972" s="81"/>
      <c r="Y972" s="81"/>
      <c r="Z972" s="81"/>
      <c r="AA972" s="81"/>
      <c r="AB972" s="81"/>
      <c r="AC972" s="81"/>
      <c r="AD972" s="81"/>
      <c r="AE972" s="81"/>
      <c r="AF972" s="81"/>
      <c r="AG972" s="81"/>
      <c r="AH972" s="81"/>
      <c r="AI972" s="81"/>
      <c r="AJ972" s="81"/>
      <c r="AK972" s="81"/>
      <c r="AL972" s="79"/>
    </row>
    <row r="973" ht="22.5" customHeight="1">
      <c r="A973" s="79"/>
      <c r="B973" s="79"/>
      <c r="C973" s="79"/>
      <c r="D973" s="79"/>
      <c r="E973" s="79"/>
      <c r="F973" s="80"/>
      <c r="G973" s="81"/>
      <c r="H973" s="79"/>
      <c r="I973" s="80"/>
      <c r="J973" s="81"/>
      <c r="K973" s="79"/>
      <c r="L973" s="80"/>
      <c r="M973" s="94"/>
      <c r="N973" s="79"/>
      <c r="O973" s="79"/>
      <c r="P973" s="83"/>
      <c r="Q973" s="81"/>
      <c r="R973" s="79"/>
      <c r="S973" s="81"/>
      <c r="T973" s="81"/>
      <c r="U973" s="81"/>
      <c r="V973" s="81"/>
      <c r="W973" s="81"/>
      <c r="X973" s="81"/>
      <c r="Y973" s="81"/>
      <c r="Z973" s="81"/>
      <c r="AA973" s="81"/>
      <c r="AB973" s="81"/>
      <c r="AC973" s="81"/>
      <c r="AD973" s="81"/>
      <c r="AE973" s="81"/>
      <c r="AF973" s="81"/>
      <c r="AG973" s="81"/>
      <c r="AH973" s="81"/>
      <c r="AI973" s="81"/>
      <c r="AJ973" s="81"/>
      <c r="AK973" s="81"/>
      <c r="AL973" s="79"/>
    </row>
    <row r="974" ht="22.5" customHeight="1">
      <c r="A974" s="79"/>
      <c r="B974" s="79"/>
      <c r="C974" s="79"/>
      <c r="D974" s="79"/>
      <c r="E974" s="79"/>
      <c r="F974" s="80"/>
      <c r="G974" s="81"/>
      <c r="H974" s="79"/>
      <c r="I974" s="80"/>
      <c r="J974" s="81"/>
      <c r="K974" s="79"/>
      <c r="L974" s="80"/>
      <c r="M974" s="94"/>
      <c r="N974" s="79"/>
      <c r="O974" s="79"/>
      <c r="P974" s="83"/>
      <c r="Q974" s="81"/>
      <c r="R974" s="79"/>
      <c r="S974" s="81"/>
      <c r="T974" s="81"/>
      <c r="U974" s="81"/>
      <c r="V974" s="81"/>
      <c r="W974" s="81"/>
      <c r="X974" s="81"/>
      <c r="Y974" s="81"/>
      <c r="Z974" s="81"/>
      <c r="AA974" s="81"/>
      <c r="AB974" s="81"/>
      <c r="AC974" s="81"/>
      <c r="AD974" s="81"/>
      <c r="AE974" s="81"/>
      <c r="AF974" s="81"/>
      <c r="AG974" s="81"/>
      <c r="AH974" s="81"/>
      <c r="AI974" s="81"/>
      <c r="AJ974" s="81"/>
      <c r="AK974" s="81"/>
      <c r="AL974" s="79"/>
    </row>
    <row r="975" ht="22.5" customHeight="1">
      <c r="A975" s="79"/>
      <c r="B975" s="79"/>
      <c r="C975" s="79"/>
      <c r="D975" s="79"/>
      <c r="E975" s="79"/>
      <c r="F975" s="80"/>
      <c r="G975" s="81"/>
      <c r="H975" s="79"/>
      <c r="I975" s="80"/>
      <c r="J975" s="81"/>
      <c r="K975" s="79"/>
      <c r="L975" s="80"/>
      <c r="M975" s="94"/>
      <c r="N975" s="79"/>
      <c r="O975" s="79"/>
      <c r="P975" s="83"/>
      <c r="Q975" s="81"/>
      <c r="R975" s="79"/>
      <c r="S975" s="81"/>
      <c r="T975" s="81"/>
      <c r="U975" s="81"/>
      <c r="V975" s="81"/>
      <c r="W975" s="81"/>
      <c r="X975" s="81"/>
      <c r="Y975" s="81"/>
      <c r="Z975" s="81"/>
      <c r="AA975" s="81"/>
      <c r="AB975" s="81"/>
      <c r="AC975" s="81"/>
      <c r="AD975" s="81"/>
      <c r="AE975" s="81"/>
      <c r="AF975" s="81"/>
      <c r="AG975" s="81"/>
      <c r="AH975" s="81"/>
      <c r="AI975" s="81"/>
      <c r="AJ975" s="81"/>
      <c r="AK975" s="81"/>
      <c r="AL975" s="79"/>
    </row>
    <row r="976" ht="22.5" customHeight="1">
      <c r="A976" s="79"/>
      <c r="B976" s="79"/>
      <c r="C976" s="79"/>
      <c r="D976" s="79"/>
      <c r="E976" s="79"/>
      <c r="F976" s="80"/>
      <c r="G976" s="81"/>
      <c r="H976" s="79"/>
      <c r="I976" s="80"/>
      <c r="J976" s="81"/>
      <c r="K976" s="79"/>
      <c r="L976" s="80"/>
      <c r="M976" s="94"/>
      <c r="N976" s="79"/>
      <c r="O976" s="79"/>
      <c r="P976" s="83"/>
      <c r="Q976" s="81"/>
      <c r="R976" s="79"/>
      <c r="S976" s="81"/>
      <c r="T976" s="81"/>
      <c r="U976" s="81"/>
      <c r="V976" s="81"/>
      <c r="W976" s="81"/>
      <c r="X976" s="81"/>
      <c r="Y976" s="81"/>
      <c r="Z976" s="81"/>
      <c r="AA976" s="81"/>
      <c r="AB976" s="81"/>
      <c r="AC976" s="81"/>
      <c r="AD976" s="81"/>
      <c r="AE976" s="81"/>
      <c r="AF976" s="81"/>
      <c r="AG976" s="81"/>
      <c r="AH976" s="81"/>
      <c r="AI976" s="81"/>
      <c r="AJ976" s="81"/>
      <c r="AK976" s="81"/>
      <c r="AL976" s="79"/>
    </row>
    <row r="977" ht="22.5" customHeight="1">
      <c r="A977" s="79"/>
      <c r="B977" s="79"/>
      <c r="C977" s="79"/>
      <c r="D977" s="79"/>
      <c r="E977" s="79"/>
      <c r="F977" s="80"/>
      <c r="G977" s="81"/>
      <c r="H977" s="79"/>
      <c r="I977" s="80"/>
      <c r="J977" s="81"/>
      <c r="K977" s="79"/>
      <c r="L977" s="80"/>
      <c r="M977" s="94"/>
      <c r="N977" s="79"/>
      <c r="O977" s="79"/>
      <c r="P977" s="83"/>
      <c r="Q977" s="81"/>
      <c r="R977" s="79"/>
      <c r="S977" s="81"/>
      <c r="T977" s="81"/>
      <c r="U977" s="81"/>
      <c r="V977" s="81"/>
      <c r="W977" s="81"/>
      <c r="X977" s="81"/>
      <c r="Y977" s="81"/>
      <c r="Z977" s="81"/>
      <c r="AA977" s="81"/>
      <c r="AB977" s="81"/>
      <c r="AC977" s="81"/>
      <c r="AD977" s="81"/>
      <c r="AE977" s="81"/>
      <c r="AF977" s="81"/>
      <c r="AG977" s="81"/>
      <c r="AH977" s="81"/>
      <c r="AI977" s="81"/>
      <c r="AJ977" s="81"/>
      <c r="AK977" s="81"/>
      <c r="AL977" s="79"/>
    </row>
    <row r="978" ht="22.5" customHeight="1">
      <c r="A978" s="79"/>
      <c r="B978" s="79"/>
      <c r="C978" s="79"/>
      <c r="D978" s="79"/>
      <c r="E978" s="79"/>
      <c r="F978" s="80"/>
      <c r="G978" s="81"/>
      <c r="H978" s="79"/>
      <c r="I978" s="80"/>
      <c r="J978" s="81"/>
      <c r="K978" s="79"/>
      <c r="L978" s="80"/>
      <c r="M978" s="94"/>
      <c r="N978" s="79"/>
      <c r="O978" s="79"/>
      <c r="P978" s="83"/>
      <c r="Q978" s="81"/>
      <c r="R978" s="79"/>
      <c r="S978" s="81"/>
      <c r="T978" s="81"/>
      <c r="U978" s="81"/>
      <c r="V978" s="81"/>
      <c r="W978" s="81"/>
      <c r="X978" s="81"/>
      <c r="Y978" s="81"/>
      <c r="Z978" s="81"/>
      <c r="AA978" s="81"/>
      <c r="AB978" s="81"/>
      <c r="AC978" s="81"/>
      <c r="AD978" s="81"/>
      <c r="AE978" s="81"/>
      <c r="AF978" s="81"/>
      <c r="AG978" s="81"/>
      <c r="AH978" s="81"/>
      <c r="AI978" s="81"/>
      <c r="AJ978" s="81"/>
      <c r="AK978" s="81"/>
      <c r="AL978" s="79"/>
    </row>
    <row r="979" ht="22.5" customHeight="1">
      <c r="A979" s="79"/>
      <c r="B979" s="79"/>
      <c r="C979" s="79"/>
      <c r="D979" s="79"/>
      <c r="E979" s="79"/>
      <c r="F979" s="80"/>
      <c r="G979" s="81"/>
      <c r="H979" s="79"/>
      <c r="I979" s="80"/>
      <c r="J979" s="81"/>
      <c r="K979" s="79"/>
      <c r="L979" s="80"/>
      <c r="M979" s="94"/>
      <c r="N979" s="79"/>
      <c r="O979" s="79"/>
      <c r="P979" s="83"/>
      <c r="Q979" s="81"/>
      <c r="R979" s="79"/>
      <c r="S979" s="81"/>
      <c r="T979" s="81"/>
      <c r="U979" s="81"/>
      <c r="V979" s="81"/>
      <c r="W979" s="81"/>
      <c r="X979" s="81"/>
      <c r="Y979" s="81"/>
      <c r="Z979" s="81"/>
      <c r="AA979" s="81"/>
      <c r="AB979" s="81"/>
      <c r="AC979" s="81"/>
      <c r="AD979" s="81"/>
      <c r="AE979" s="81"/>
      <c r="AF979" s="81"/>
      <c r="AG979" s="81"/>
      <c r="AH979" s="81"/>
      <c r="AI979" s="81"/>
      <c r="AJ979" s="81"/>
      <c r="AK979" s="81"/>
      <c r="AL979" s="79"/>
    </row>
    <row r="980" ht="22.5" customHeight="1">
      <c r="A980" s="79"/>
      <c r="B980" s="79"/>
      <c r="C980" s="79"/>
      <c r="D980" s="79"/>
      <c r="E980" s="79"/>
      <c r="F980" s="80"/>
      <c r="G980" s="81"/>
      <c r="H980" s="79"/>
      <c r="I980" s="80"/>
      <c r="J980" s="81"/>
      <c r="K980" s="79"/>
      <c r="L980" s="80"/>
      <c r="M980" s="94"/>
      <c r="N980" s="79"/>
      <c r="O980" s="79"/>
      <c r="P980" s="83"/>
      <c r="Q980" s="81"/>
      <c r="R980" s="79"/>
      <c r="S980" s="81"/>
      <c r="T980" s="81"/>
      <c r="U980" s="81"/>
      <c r="V980" s="81"/>
      <c r="W980" s="81"/>
      <c r="X980" s="81"/>
      <c r="Y980" s="81"/>
      <c r="Z980" s="81"/>
      <c r="AA980" s="81"/>
      <c r="AB980" s="81"/>
      <c r="AC980" s="81"/>
      <c r="AD980" s="81"/>
      <c r="AE980" s="81"/>
      <c r="AF980" s="81"/>
      <c r="AG980" s="81"/>
      <c r="AH980" s="81"/>
      <c r="AI980" s="81"/>
      <c r="AJ980" s="81"/>
      <c r="AK980" s="81"/>
      <c r="AL980" s="79"/>
    </row>
    <row r="981" ht="22.5" customHeight="1">
      <c r="A981" s="79"/>
      <c r="B981" s="79"/>
      <c r="C981" s="79"/>
      <c r="D981" s="79"/>
      <c r="E981" s="79"/>
      <c r="F981" s="80"/>
      <c r="G981" s="81"/>
      <c r="H981" s="79"/>
      <c r="I981" s="80"/>
      <c r="J981" s="81"/>
      <c r="K981" s="79"/>
      <c r="L981" s="80"/>
      <c r="M981" s="94"/>
      <c r="N981" s="79"/>
      <c r="O981" s="79"/>
      <c r="P981" s="83"/>
      <c r="Q981" s="81"/>
      <c r="R981" s="79"/>
      <c r="S981" s="81"/>
      <c r="T981" s="81"/>
      <c r="U981" s="81"/>
      <c r="V981" s="81"/>
      <c r="W981" s="81"/>
      <c r="X981" s="81"/>
      <c r="Y981" s="81"/>
      <c r="Z981" s="81"/>
      <c r="AA981" s="81"/>
      <c r="AB981" s="81"/>
      <c r="AC981" s="81"/>
      <c r="AD981" s="81"/>
      <c r="AE981" s="81"/>
      <c r="AF981" s="81"/>
      <c r="AG981" s="81"/>
      <c r="AH981" s="81"/>
      <c r="AI981" s="81"/>
      <c r="AJ981" s="81"/>
      <c r="AK981" s="81"/>
      <c r="AL981" s="79"/>
    </row>
    <row r="982" ht="22.5" customHeight="1">
      <c r="A982" s="79"/>
      <c r="B982" s="79"/>
      <c r="C982" s="79"/>
      <c r="D982" s="79"/>
      <c r="E982" s="79"/>
      <c r="F982" s="80"/>
      <c r="G982" s="81"/>
      <c r="H982" s="79"/>
      <c r="I982" s="80"/>
      <c r="J982" s="81"/>
      <c r="K982" s="79"/>
      <c r="L982" s="80"/>
      <c r="M982" s="94"/>
      <c r="N982" s="79"/>
      <c r="O982" s="79"/>
      <c r="P982" s="83"/>
      <c r="Q982" s="81"/>
      <c r="R982" s="79"/>
      <c r="S982" s="81"/>
      <c r="T982" s="81"/>
      <c r="U982" s="81"/>
      <c r="V982" s="81"/>
      <c r="W982" s="81"/>
      <c r="X982" s="81"/>
      <c r="Y982" s="81"/>
      <c r="Z982" s="81"/>
      <c r="AA982" s="81"/>
      <c r="AB982" s="81"/>
      <c r="AC982" s="81"/>
      <c r="AD982" s="81"/>
      <c r="AE982" s="81"/>
      <c r="AF982" s="81"/>
      <c r="AG982" s="81"/>
      <c r="AH982" s="81"/>
      <c r="AI982" s="81"/>
      <c r="AJ982" s="81"/>
      <c r="AK982" s="81"/>
      <c r="AL982" s="79"/>
    </row>
    <row r="983" ht="22.5" customHeight="1">
      <c r="A983" s="79"/>
      <c r="B983" s="79"/>
      <c r="C983" s="79"/>
      <c r="D983" s="79"/>
      <c r="E983" s="79"/>
      <c r="F983" s="80"/>
      <c r="G983" s="81"/>
      <c r="H983" s="79"/>
      <c r="I983" s="80"/>
      <c r="J983" s="81"/>
      <c r="K983" s="79"/>
      <c r="L983" s="80"/>
      <c r="M983" s="94"/>
      <c r="N983" s="79"/>
      <c r="O983" s="79"/>
      <c r="P983" s="83"/>
      <c r="Q983" s="81"/>
      <c r="R983" s="79"/>
      <c r="S983" s="81"/>
      <c r="T983" s="81"/>
      <c r="U983" s="81"/>
      <c r="V983" s="81"/>
      <c r="W983" s="81"/>
      <c r="X983" s="81"/>
      <c r="Y983" s="81"/>
      <c r="Z983" s="81"/>
      <c r="AA983" s="81"/>
      <c r="AB983" s="81"/>
      <c r="AC983" s="81"/>
      <c r="AD983" s="81"/>
      <c r="AE983" s="81"/>
      <c r="AF983" s="81"/>
      <c r="AG983" s="81"/>
      <c r="AH983" s="81"/>
      <c r="AI983" s="81"/>
      <c r="AJ983" s="81"/>
      <c r="AK983" s="81"/>
      <c r="AL983" s="79"/>
    </row>
    <row r="984" ht="22.5" customHeight="1">
      <c r="A984" s="79"/>
      <c r="B984" s="79"/>
      <c r="C984" s="79"/>
      <c r="D984" s="79"/>
      <c r="E984" s="79"/>
      <c r="F984" s="80"/>
      <c r="G984" s="81"/>
      <c r="H984" s="79"/>
      <c r="I984" s="80"/>
      <c r="J984" s="81"/>
      <c r="K984" s="79"/>
      <c r="L984" s="80"/>
      <c r="M984" s="94"/>
      <c r="N984" s="79"/>
      <c r="O984" s="79"/>
      <c r="P984" s="83"/>
      <c r="Q984" s="81"/>
      <c r="R984" s="79"/>
      <c r="S984" s="81"/>
      <c r="T984" s="81"/>
      <c r="U984" s="81"/>
      <c r="V984" s="81"/>
      <c r="W984" s="81"/>
      <c r="X984" s="81"/>
      <c r="Y984" s="81"/>
      <c r="Z984" s="81"/>
      <c r="AA984" s="81"/>
      <c r="AB984" s="81"/>
      <c r="AC984" s="81"/>
      <c r="AD984" s="81"/>
      <c r="AE984" s="81"/>
      <c r="AF984" s="81"/>
      <c r="AG984" s="81"/>
      <c r="AH984" s="81"/>
      <c r="AI984" s="81"/>
      <c r="AJ984" s="81"/>
      <c r="AK984" s="81"/>
      <c r="AL984" s="79"/>
    </row>
    <row r="985" ht="22.5" customHeight="1">
      <c r="A985" s="79"/>
      <c r="B985" s="79"/>
      <c r="C985" s="79"/>
      <c r="D985" s="79"/>
      <c r="E985" s="79"/>
      <c r="F985" s="80"/>
      <c r="G985" s="81"/>
      <c r="H985" s="79"/>
      <c r="I985" s="80"/>
      <c r="J985" s="81"/>
      <c r="K985" s="79"/>
      <c r="L985" s="80"/>
      <c r="M985" s="94"/>
      <c r="N985" s="79"/>
      <c r="O985" s="79"/>
      <c r="P985" s="83"/>
      <c r="Q985" s="81"/>
      <c r="R985" s="79"/>
      <c r="S985" s="81"/>
      <c r="T985" s="81"/>
      <c r="U985" s="81"/>
      <c r="V985" s="81"/>
      <c r="W985" s="81"/>
      <c r="X985" s="81"/>
      <c r="Y985" s="81"/>
      <c r="Z985" s="81"/>
      <c r="AA985" s="81"/>
      <c r="AB985" s="81"/>
      <c r="AC985" s="81"/>
      <c r="AD985" s="81"/>
      <c r="AE985" s="81"/>
      <c r="AF985" s="81"/>
      <c r="AG985" s="81"/>
      <c r="AH985" s="81"/>
      <c r="AI985" s="81"/>
      <c r="AJ985" s="81"/>
      <c r="AK985" s="81"/>
      <c r="AL985" s="79"/>
    </row>
    <row r="986" ht="22.5" customHeight="1">
      <c r="A986" s="79"/>
      <c r="B986" s="79"/>
      <c r="C986" s="79"/>
      <c r="D986" s="79"/>
      <c r="E986" s="79"/>
      <c r="F986" s="80"/>
      <c r="G986" s="81"/>
      <c r="H986" s="79"/>
      <c r="I986" s="80"/>
      <c r="J986" s="81"/>
      <c r="K986" s="79"/>
      <c r="L986" s="80"/>
      <c r="M986" s="94"/>
      <c r="N986" s="79"/>
      <c r="O986" s="79"/>
      <c r="P986" s="83"/>
      <c r="Q986" s="81"/>
      <c r="R986" s="79"/>
      <c r="S986" s="81"/>
      <c r="T986" s="81"/>
      <c r="U986" s="81"/>
      <c r="V986" s="81"/>
      <c r="W986" s="81"/>
      <c r="X986" s="81"/>
      <c r="Y986" s="81"/>
      <c r="Z986" s="81"/>
      <c r="AA986" s="81"/>
      <c r="AB986" s="81"/>
      <c r="AC986" s="81"/>
      <c r="AD986" s="81"/>
      <c r="AE986" s="81"/>
      <c r="AF986" s="81"/>
      <c r="AG986" s="81"/>
      <c r="AH986" s="81"/>
      <c r="AI986" s="81"/>
      <c r="AJ986" s="81"/>
      <c r="AK986" s="81"/>
      <c r="AL986" s="79"/>
    </row>
    <row r="987" ht="22.5" customHeight="1">
      <c r="A987" s="79"/>
      <c r="B987" s="79"/>
      <c r="C987" s="79"/>
      <c r="D987" s="79"/>
      <c r="E987" s="79"/>
      <c r="F987" s="80"/>
      <c r="G987" s="81"/>
      <c r="H987" s="79"/>
      <c r="I987" s="80"/>
      <c r="J987" s="81"/>
      <c r="K987" s="79"/>
      <c r="L987" s="80"/>
      <c r="M987" s="94"/>
      <c r="N987" s="79"/>
      <c r="O987" s="79"/>
      <c r="P987" s="83"/>
      <c r="Q987" s="81"/>
      <c r="R987" s="79"/>
      <c r="S987" s="81"/>
      <c r="T987" s="81"/>
      <c r="U987" s="81"/>
      <c r="V987" s="81"/>
      <c r="W987" s="81"/>
      <c r="X987" s="81"/>
      <c r="Y987" s="81"/>
      <c r="Z987" s="81"/>
      <c r="AA987" s="81"/>
      <c r="AB987" s="81"/>
      <c r="AC987" s="81"/>
      <c r="AD987" s="81"/>
      <c r="AE987" s="81"/>
      <c r="AF987" s="81"/>
      <c r="AG987" s="81"/>
      <c r="AH987" s="81"/>
      <c r="AI987" s="81"/>
      <c r="AJ987" s="81"/>
      <c r="AK987" s="81"/>
      <c r="AL987" s="79"/>
    </row>
    <row r="988" ht="22.5" customHeight="1">
      <c r="A988" s="79"/>
      <c r="B988" s="79"/>
      <c r="C988" s="79"/>
      <c r="D988" s="79"/>
      <c r="E988" s="79"/>
      <c r="F988" s="80"/>
      <c r="G988" s="81"/>
      <c r="H988" s="79"/>
      <c r="I988" s="80"/>
      <c r="J988" s="81"/>
      <c r="K988" s="79"/>
      <c r="L988" s="80"/>
      <c r="M988" s="94"/>
      <c r="N988" s="79"/>
      <c r="O988" s="79"/>
      <c r="P988" s="83"/>
      <c r="Q988" s="81"/>
      <c r="R988" s="79"/>
      <c r="S988" s="81"/>
      <c r="T988" s="81"/>
      <c r="U988" s="81"/>
      <c r="V988" s="81"/>
      <c r="W988" s="81"/>
      <c r="X988" s="81"/>
      <c r="Y988" s="81"/>
      <c r="Z988" s="81"/>
      <c r="AA988" s="81"/>
      <c r="AB988" s="81"/>
      <c r="AC988" s="81"/>
      <c r="AD988" s="81"/>
      <c r="AE988" s="81"/>
      <c r="AF988" s="81"/>
      <c r="AG988" s="81"/>
      <c r="AH988" s="81"/>
      <c r="AI988" s="81"/>
      <c r="AJ988" s="81"/>
      <c r="AK988" s="81"/>
      <c r="AL988" s="79"/>
    </row>
    <row r="989" ht="22.5" customHeight="1">
      <c r="A989" s="79"/>
      <c r="B989" s="79"/>
      <c r="C989" s="79"/>
      <c r="D989" s="79"/>
      <c r="E989" s="79"/>
      <c r="F989" s="80"/>
      <c r="G989" s="81"/>
      <c r="H989" s="79"/>
      <c r="I989" s="80"/>
      <c r="J989" s="81"/>
      <c r="K989" s="79"/>
      <c r="L989" s="80"/>
      <c r="M989" s="94"/>
      <c r="N989" s="79"/>
      <c r="O989" s="79"/>
      <c r="P989" s="83"/>
      <c r="Q989" s="81"/>
      <c r="R989" s="79"/>
      <c r="S989" s="81"/>
      <c r="T989" s="81"/>
      <c r="U989" s="81"/>
      <c r="V989" s="81"/>
      <c r="W989" s="81"/>
      <c r="X989" s="81"/>
      <c r="Y989" s="81"/>
      <c r="Z989" s="81"/>
      <c r="AA989" s="81"/>
      <c r="AB989" s="81"/>
      <c r="AC989" s="81"/>
      <c r="AD989" s="81"/>
      <c r="AE989" s="81"/>
      <c r="AF989" s="81"/>
      <c r="AG989" s="81"/>
      <c r="AH989" s="81"/>
      <c r="AI989" s="81"/>
      <c r="AJ989" s="81"/>
      <c r="AK989" s="81"/>
      <c r="AL989" s="79"/>
    </row>
    <row r="990" ht="22.5" customHeight="1">
      <c r="A990" s="79"/>
      <c r="B990" s="79"/>
      <c r="C990" s="79"/>
      <c r="D990" s="79"/>
      <c r="E990" s="79"/>
      <c r="F990" s="80"/>
      <c r="G990" s="81"/>
      <c r="H990" s="79"/>
      <c r="I990" s="80"/>
      <c r="J990" s="81"/>
      <c r="K990" s="79"/>
      <c r="L990" s="80"/>
      <c r="M990" s="94"/>
      <c r="N990" s="79"/>
      <c r="O990" s="79"/>
      <c r="P990" s="83"/>
      <c r="Q990" s="81"/>
      <c r="R990" s="79"/>
      <c r="S990" s="81"/>
      <c r="T990" s="81"/>
      <c r="U990" s="81"/>
      <c r="V990" s="81"/>
      <c r="W990" s="81"/>
      <c r="X990" s="81"/>
      <c r="Y990" s="81"/>
      <c r="Z990" s="81"/>
      <c r="AA990" s="81"/>
      <c r="AB990" s="81"/>
      <c r="AC990" s="81"/>
      <c r="AD990" s="81"/>
      <c r="AE990" s="81"/>
      <c r="AF990" s="81"/>
      <c r="AG990" s="81"/>
      <c r="AH990" s="81"/>
      <c r="AI990" s="81"/>
      <c r="AJ990" s="81"/>
      <c r="AK990" s="81"/>
      <c r="AL990" s="79"/>
    </row>
    <row r="991" ht="22.5" customHeight="1">
      <c r="A991" s="79"/>
      <c r="B991" s="79"/>
      <c r="C991" s="79"/>
      <c r="D991" s="79"/>
      <c r="E991" s="79"/>
      <c r="F991" s="80"/>
      <c r="G991" s="81"/>
      <c r="H991" s="79"/>
      <c r="I991" s="80"/>
      <c r="J991" s="81"/>
      <c r="K991" s="79"/>
      <c r="L991" s="80"/>
      <c r="M991" s="94"/>
      <c r="N991" s="79"/>
      <c r="O991" s="79"/>
      <c r="P991" s="83"/>
      <c r="Q991" s="81"/>
      <c r="R991" s="79"/>
      <c r="S991" s="81"/>
      <c r="T991" s="81"/>
      <c r="U991" s="81"/>
      <c r="V991" s="81"/>
      <c r="W991" s="81"/>
      <c r="X991" s="81"/>
      <c r="Y991" s="81"/>
      <c r="Z991" s="81"/>
      <c r="AA991" s="81"/>
      <c r="AB991" s="81"/>
      <c r="AC991" s="81"/>
      <c r="AD991" s="81"/>
      <c r="AE991" s="81"/>
      <c r="AF991" s="81"/>
      <c r="AG991" s="81"/>
      <c r="AH991" s="81"/>
      <c r="AI991" s="81"/>
      <c r="AJ991" s="81"/>
      <c r="AK991" s="81"/>
      <c r="AL991" s="79"/>
    </row>
    <row r="992" ht="22.5" customHeight="1">
      <c r="A992" s="79"/>
      <c r="B992" s="79"/>
      <c r="C992" s="79"/>
      <c r="D992" s="79"/>
      <c r="E992" s="79"/>
      <c r="F992" s="80"/>
      <c r="G992" s="81"/>
      <c r="H992" s="79"/>
      <c r="I992" s="80"/>
      <c r="J992" s="81"/>
      <c r="K992" s="79"/>
      <c r="L992" s="80"/>
      <c r="M992" s="94"/>
      <c r="N992" s="79"/>
      <c r="O992" s="79"/>
      <c r="P992" s="83"/>
      <c r="Q992" s="81"/>
      <c r="R992" s="79"/>
      <c r="S992" s="81"/>
      <c r="T992" s="81"/>
      <c r="U992" s="81"/>
      <c r="V992" s="81"/>
      <c r="W992" s="81"/>
      <c r="X992" s="81"/>
      <c r="Y992" s="81"/>
      <c r="Z992" s="81"/>
      <c r="AA992" s="81"/>
      <c r="AB992" s="81"/>
      <c r="AC992" s="81"/>
      <c r="AD992" s="81"/>
      <c r="AE992" s="81"/>
      <c r="AF992" s="81"/>
      <c r="AG992" s="81"/>
      <c r="AH992" s="81"/>
      <c r="AI992" s="81"/>
      <c r="AJ992" s="81"/>
      <c r="AK992" s="81"/>
      <c r="AL992" s="79"/>
    </row>
    <row r="993" ht="22.5" customHeight="1">
      <c r="A993" s="79"/>
      <c r="B993" s="79"/>
      <c r="C993" s="79"/>
      <c r="D993" s="79"/>
      <c r="E993" s="79"/>
      <c r="F993" s="80"/>
      <c r="G993" s="81"/>
      <c r="H993" s="79"/>
      <c r="I993" s="80"/>
      <c r="J993" s="81"/>
      <c r="K993" s="79"/>
      <c r="L993" s="80"/>
      <c r="M993" s="94"/>
      <c r="N993" s="79"/>
      <c r="O993" s="79"/>
      <c r="P993" s="83"/>
      <c r="Q993" s="81"/>
      <c r="R993" s="79"/>
      <c r="S993" s="81"/>
      <c r="T993" s="81"/>
      <c r="U993" s="81"/>
      <c r="V993" s="81"/>
      <c r="W993" s="81"/>
      <c r="X993" s="81"/>
      <c r="Y993" s="81"/>
      <c r="Z993" s="81"/>
      <c r="AA993" s="81"/>
      <c r="AB993" s="81"/>
      <c r="AC993" s="81"/>
      <c r="AD993" s="81"/>
      <c r="AE993" s="81"/>
      <c r="AF993" s="81"/>
      <c r="AG993" s="81"/>
      <c r="AH993" s="81"/>
      <c r="AI993" s="81"/>
      <c r="AJ993" s="81"/>
      <c r="AK993" s="81"/>
      <c r="AL993" s="79"/>
    </row>
    <row r="994" ht="22.5" customHeight="1">
      <c r="A994" s="79"/>
      <c r="B994" s="79"/>
      <c r="C994" s="79"/>
      <c r="D994" s="79"/>
      <c r="E994" s="79"/>
      <c r="F994" s="80"/>
      <c r="G994" s="81"/>
      <c r="H994" s="79"/>
      <c r="I994" s="80"/>
      <c r="J994" s="81"/>
      <c r="K994" s="79"/>
      <c r="L994" s="80"/>
      <c r="M994" s="94"/>
      <c r="N994" s="79"/>
      <c r="O994" s="79"/>
      <c r="P994" s="83"/>
      <c r="Q994" s="81"/>
      <c r="R994" s="79"/>
      <c r="S994" s="81"/>
      <c r="T994" s="81"/>
      <c r="U994" s="81"/>
      <c r="V994" s="81"/>
      <c r="W994" s="81"/>
      <c r="X994" s="81"/>
      <c r="Y994" s="81"/>
      <c r="Z994" s="81"/>
      <c r="AA994" s="81"/>
      <c r="AB994" s="81"/>
      <c r="AC994" s="81"/>
      <c r="AD994" s="81"/>
      <c r="AE994" s="81"/>
      <c r="AF994" s="81"/>
      <c r="AG994" s="81"/>
      <c r="AH994" s="81"/>
      <c r="AI994" s="81"/>
      <c r="AJ994" s="81"/>
      <c r="AK994" s="81"/>
      <c r="AL994" s="79"/>
    </row>
    <row r="995" ht="22.5" customHeight="1">
      <c r="A995" s="79"/>
      <c r="B995" s="79"/>
      <c r="C995" s="79"/>
      <c r="D995" s="79"/>
      <c r="E995" s="79"/>
      <c r="F995" s="80"/>
      <c r="G995" s="81"/>
      <c r="H995" s="79"/>
      <c r="I995" s="80"/>
      <c r="J995" s="81"/>
      <c r="K995" s="79"/>
      <c r="L995" s="80"/>
      <c r="M995" s="94"/>
      <c r="N995" s="79"/>
      <c r="O995" s="79"/>
      <c r="P995" s="83"/>
      <c r="Q995" s="81"/>
      <c r="R995" s="79"/>
      <c r="S995" s="81"/>
      <c r="T995" s="81"/>
      <c r="U995" s="81"/>
      <c r="V995" s="81"/>
      <c r="W995" s="81"/>
      <c r="X995" s="81"/>
      <c r="Y995" s="81"/>
      <c r="Z995" s="81"/>
      <c r="AA995" s="81"/>
      <c r="AB995" s="81"/>
      <c r="AC995" s="81"/>
      <c r="AD995" s="81"/>
      <c r="AE995" s="81"/>
      <c r="AF995" s="81"/>
      <c r="AG995" s="81"/>
      <c r="AH995" s="81"/>
      <c r="AI995" s="81"/>
      <c r="AJ995" s="81"/>
      <c r="AK995" s="81"/>
      <c r="AL995" s="79"/>
    </row>
    <row r="996" ht="22.5" customHeight="1">
      <c r="A996" s="79"/>
      <c r="B996" s="79"/>
      <c r="C996" s="79"/>
      <c r="D996" s="79"/>
      <c r="E996" s="79"/>
      <c r="F996" s="80"/>
      <c r="G996" s="81"/>
      <c r="H996" s="79"/>
      <c r="I996" s="80"/>
      <c r="J996" s="81"/>
      <c r="K996" s="79"/>
      <c r="L996" s="80"/>
      <c r="M996" s="94"/>
      <c r="N996" s="79"/>
      <c r="O996" s="79"/>
      <c r="P996" s="83"/>
      <c r="Q996" s="81"/>
      <c r="R996" s="79"/>
      <c r="S996" s="81"/>
      <c r="T996" s="81"/>
      <c r="U996" s="81"/>
      <c r="V996" s="81"/>
      <c r="W996" s="81"/>
      <c r="X996" s="81"/>
      <c r="Y996" s="81"/>
      <c r="Z996" s="81"/>
      <c r="AA996" s="81"/>
      <c r="AB996" s="81"/>
      <c r="AC996" s="81"/>
      <c r="AD996" s="81"/>
      <c r="AE996" s="81"/>
      <c r="AF996" s="81"/>
      <c r="AG996" s="81"/>
      <c r="AH996" s="81"/>
      <c r="AI996" s="81"/>
      <c r="AJ996" s="81"/>
      <c r="AK996" s="81"/>
      <c r="AL996" s="79"/>
    </row>
    <row r="997" ht="22.5" customHeight="1">
      <c r="A997" s="79"/>
      <c r="B997" s="79"/>
      <c r="C997" s="79"/>
      <c r="D997" s="79"/>
      <c r="E997" s="79"/>
      <c r="F997" s="80"/>
      <c r="G997" s="81"/>
      <c r="H997" s="79"/>
      <c r="I997" s="80"/>
      <c r="J997" s="81"/>
      <c r="K997" s="79"/>
      <c r="L997" s="80"/>
      <c r="M997" s="94"/>
      <c r="N997" s="79"/>
      <c r="O997" s="79"/>
      <c r="P997" s="83"/>
      <c r="Q997" s="81"/>
      <c r="R997" s="79"/>
      <c r="S997" s="81"/>
      <c r="T997" s="81"/>
      <c r="U997" s="81"/>
      <c r="V997" s="81"/>
      <c r="W997" s="81"/>
      <c r="X997" s="81"/>
      <c r="Y997" s="81"/>
      <c r="Z997" s="81"/>
      <c r="AA997" s="81"/>
      <c r="AB997" s="81"/>
      <c r="AC997" s="81"/>
      <c r="AD997" s="81"/>
      <c r="AE997" s="81"/>
      <c r="AF997" s="81"/>
      <c r="AG997" s="81"/>
      <c r="AH997" s="81"/>
      <c r="AI997" s="81"/>
      <c r="AJ997" s="81"/>
      <c r="AK997" s="81"/>
      <c r="AL997" s="79"/>
    </row>
    <row r="998" ht="22.5" customHeight="1">
      <c r="A998" s="79"/>
      <c r="B998" s="79"/>
      <c r="C998" s="79"/>
      <c r="D998" s="79"/>
      <c r="E998" s="79"/>
      <c r="F998" s="80"/>
      <c r="G998" s="81"/>
      <c r="H998" s="79"/>
      <c r="I998" s="80"/>
      <c r="J998" s="81"/>
      <c r="K998" s="79"/>
      <c r="L998" s="80"/>
      <c r="M998" s="94"/>
      <c r="N998" s="79"/>
      <c r="O998" s="79"/>
      <c r="P998" s="83"/>
      <c r="Q998" s="81"/>
      <c r="R998" s="79"/>
      <c r="S998" s="81"/>
      <c r="T998" s="81"/>
      <c r="U998" s="81"/>
      <c r="V998" s="81"/>
      <c r="W998" s="81"/>
      <c r="X998" s="81"/>
      <c r="Y998" s="81"/>
      <c r="Z998" s="81"/>
      <c r="AA998" s="81"/>
      <c r="AB998" s="81"/>
      <c r="AC998" s="81"/>
      <c r="AD998" s="81"/>
      <c r="AE998" s="81"/>
      <c r="AF998" s="81"/>
      <c r="AG998" s="81"/>
      <c r="AH998" s="81"/>
      <c r="AI998" s="81"/>
      <c r="AJ998" s="81"/>
      <c r="AK998" s="81"/>
      <c r="AL998" s="79"/>
    </row>
    <row r="999" ht="22.5" customHeight="1">
      <c r="A999" s="79"/>
      <c r="B999" s="79"/>
      <c r="C999" s="79"/>
      <c r="D999" s="79"/>
      <c r="E999" s="79"/>
      <c r="F999" s="80"/>
      <c r="G999" s="81"/>
      <c r="H999" s="79"/>
      <c r="I999" s="80"/>
      <c r="J999" s="81"/>
      <c r="K999" s="79"/>
      <c r="L999" s="80"/>
      <c r="M999" s="94"/>
      <c r="N999" s="79"/>
      <c r="O999" s="79"/>
      <c r="P999" s="83"/>
      <c r="Q999" s="81"/>
      <c r="R999" s="79"/>
      <c r="S999" s="81"/>
      <c r="T999" s="81"/>
      <c r="U999" s="81"/>
      <c r="V999" s="81"/>
      <c r="W999" s="81"/>
      <c r="X999" s="81"/>
      <c r="Y999" s="81"/>
      <c r="Z999" s="81"/>
      <c r="AA999" s="81"/>
      <c r="AB999" s="81"/>
      <c r="AC999" s="81"/>
      <c r="AD999" s="81"/>
      <c r="AE999" s="81"/>
      <c r="AF999" s="81"/>
      <c r="AG999" s="81"/>
      <c r="AH999" s="81"/>
      <c r="AI999" s="81"/>
      <c r="AJ999" s="81"/>
      <c r="AK999" s="81"/>
      <c r="AL999" s="79"/>
    </row>
    <row r="1000" ht="22.5" customHeight="1">
      <c r="A1000" s="79"/>
      <c r="B1000" s="79"/>
      <c r="C1000" s="79"/>
      <c r="D1000" s="79"/>
      <c r="E1000" s="79"/>
      <c r="F1000" s="80"/>
      <c r="G1000" s="81"/>
      <c r="H1000" s="79"/>
      <c r="I1000" s="80"/>
      <c r="J1000" s="81"/>
      <c r="K1000" s="79"/>
      <c r="L1000" s="80"/>
      <c r="M1000" s="94"/>
      <c r="N1000" s="79"/>
      <c r="O1000" s="79"/>
      <c r="P1000" s="83"/>
      <c r="Q1000" s="81"/>
      <c r="R1000" s="79"/>
      <c r="S1000" s="81"/>
      <c r="T1000" s="81"/>
      <c r="U1000" s="81"/>
      <c r="V1000" s="81"/>
      <c r="W1000" s="81"/>
      <c r="X1000" s="81"/>
      <c r="Y1000" s="81"/>
      <c r="Z1000" s="81"/>
      <c r="AA1000" s="81"/>
      <c r="AB1000" s="81"/>
      <c r="AC1000" s="81"/>
      <c r="AD1000" s="81"/>
      <c r="AE1000" s="81"/>
      <c r="AF1000" s="81"/>
      <c r="AG1000" s="81"/>
      <c r="AH1000" s="81"/>
      <c r="AI1000" s="81"/>
      <c r="AJ1000" s="81"/>
      <c r="AK1000" s="81"/>
      <c r="AL1000" s="79"/>
    </row>
  </sheetData>
  <hyperlinks>
    <hyperlink r:id="rId2" ref="R2"/>
    <hyperlink r:id="rId3" ref="R3"/>
    <hyperlink r:id="rId4" ref="R4"/>
    <hyperlink r:id="rId5" ref="R5"/>
    <hyperlink r:id="rId6" ref="R6"/>
    <hyperlink r:id="rId7" ref="R7"/>
    <hyperlink r:id="rId8" ref="R8"/>
    <hyperlink r:id="rId9" ref="R9"/>
    <hyperlink r:id="rId10" ref="R10"/>
    <hyperlink r:id="rId11" ref="R11"/>
    <hyperlink r:id="rId12" ref="R12"/>
    <hyperlink r:id="rId13" ref="R13"/>
    <hyperlink r:id="rId14" ref="R14"/>
    <hyperlink r:id="rId15" ref="R15"/>
    <hyperlink r:id="rId16" ref="R16"/>
    <hyperlink r:id="rId17" ref="R17"/>
    <hyperlink r:id="rId18" ref="R18"/>
    <hyperlink r:id="rId19" ref="R19"/>
    <hyperlink r:id="rId20" ref="R20"/>
    <hyperlink r:id="rId21" ref="R21"/>
    <hyperlink r:id="rId22" ref="R22"/>
    <hyperlink r:id="rId23" ref="R23"/>
    <hyperlink r:id="rId24" ref="R24"/>
    <hyperlink r:id="rId25" ref="R25"/>
    <hyperlink r:id="rId26" ref="R26"/>
    <hyperlink r:id="rId27" ref="R27"/>
    <hyperlink r:id="rId28" ref="Z27"/>
    <hyperlink r:id="rId29" ref="R28"/>
    <hyperlink r:id="rId30" ref="R29"/>
    <hyperlink r:id="rId31" ref="R30"/>
    <hyperlink r:id="rId32" ref="R31"/>
    <hyperlink r:id="rId33" ref="R32"/>
    <hyperlink r:id="rId34" ref="R33"/>
    <hyperlink r:id="rId35" ref="R34"/>
    <hyperlink r:id="rId36" ref="R35"/>
    <hyperlink r:id="rId37" ref="R36"/>
    <hyperlink r:id="rId38" ref="R37"/>
    <hyperlink r:id="rId39" ref="R38"/>
    <hyperlink r:id="rId40" ref="R39"/>
    <hyperlink r:id="rId41" ref="R40"/>
    <hyperlink r:id="rId42" ref="R41"/>
    <hyperlink r:id="rId43" location=".VwQ4ofkrLIV" ref="R42"/>
    <hyperlink r:id="rId44" ref="R43"/>
    <hyperlink r:id="rId45" ref="Z43"/>
    <hyperlink r:id="rId46" ref="R44"/>
    <hyperlink r:id="rId47" ref="R45"/>
    <hyperlink r:id="rId48" ref="R46"/>
    <hyperlink r:id="rId49" ref="R47"/>
    <hyperlink r:id="rId50" ref="R48"/>
    <hyperlink r:id="rId51" ref="R49"/>
    <hyperlink r:id="rId52" ref="R50"/>
    <hyperlink r:id="rId53" ref="R51"/>
    <hyperlink r:id="rId54" ref="R52"/>
    <hyperlink r:id="rId55" ref="R53"/>
    <hyperlink r:id="rId56" ref="R54"/>
    <hyperlink r:id="rId57" ref="R55"/>
    <hyperlink r:id="rId58" ref="R56"/>
    <hyperlink r:id="rId59" ref="R57"/>
    <hyperlink r:id="rId60" ref="R58"/>
    <hyperlink r:id="rId61" ref="R59"/>
    <hyperlink r:id="rId62" ref="R60"/>
    <hyperlink r:id="rId63" ref="R61"/>
    <hyperlink r:id="rId64" ref="R62"/>
    <hyperlink r:id="rId65" ref="M64"/>
    <hyperlink r:id="rId66" ref="R64"/>
    <hyperlink r:id="rId67" ref="R67"/>
    <hyperlink r:id="rId68" ref="R68"/>
    <hyperlink r:id="rId69" ref="R69"/>
    <hyperlink r:id="rId70" ref="R70"/>
    <hyperlink r:id="rId71" ref="R71"/>
    <hyperlink r:id="rId72" ref="R72"/>
    <hyperlink r:id="rId73" ref="R73"/>
    <hyperlink r:id="rId74" ref="R74"/>
    <hyperlink r:id="rId75" ref="R75"/>
    <hyperlink r:id="rId76" ref="R76"/>
    <hyperlink r:id="rId77" location=".V09S1fkrLIU" ref="R77"/>
    <hyperlink r:id="rId78" ref="R78"/>
    <hyperlink r:id="rId79" ref="R79"/>
    <hyperlink r:id="rId80" ref="R80"/>
    <hyperlink r:id="rId81" ref="R81"/>
    <hyperlink r:id="rId82" ref="R82"/>
    <hyperlink r:id="rId83" ref="R83"/>
    <hyperlink r:id="rId84" ref="R84"/>
    <hyperlink r:id="rId85" ref="R85"/>
    <hyperlink r:id="rId86" ref="R86"/>
    <hyperlink r:id="rId87" ref="R87"/>
    <hyperlink r:id="rId88" ref="R88"/>
    <hyperlink r:id="rId89" ref="R89"/>
    <hyperlink r:id="rId90" ref="R90"/>
    <hyperlink r:id="rId91" ref="R91"/>
    <hyperlink r:id="rId92" ref="R92"/>
    <hyperlink r:id="rId93" ref="R93"/>
    <hyperlink r:id="rId94" ref="R94"/>
    <hyperlink r:id="rId95" ref="R95"/>
    <hyperlink r:id="rId96" ref="R96"/>
    <hyperlink r:id="rId97" ref="Z96"/>
    <hyperlink r:id="rId98" ref="R97"/>
    <hyperlink r:id="rId99" ref="R98"/>
    <hyperlink r:id="rId100" ref="Z98"/>
    <hyperlink r:id="rId101" ref="N99"/>
    <hyperlink r:id="rId102" ref="P99"/>
    <hyperlink r:id="rId103" ref="R99"/>
    <hyperlink r:id="rId104" ref="R100"/>
    <hyperlink r:id="rId105" ref="R101"/>
    <hyperlink r:id="rId106" ref="R102"/>
    <hyperlink r:id="rId107" ref="N103"/>
    <hyperlink r:id="rId108" ref="R103"/>
    <hyperlink r:id="rId109" ref="R104"/>
    <hyperlink r:id="rId110" ref="R105"/>
    <hyperlink r:id="rId111" ref="R106"/>
    <hyperlink r:id="rId112" ref="R107"/>
    <hyperlink r:id="rId113" ref="R108"/>
    <hyperlink r:id="rId114" ref="R109"/>
    <hyperlink r:id="rId115" ref="R110"/>
    <hyperlink r:id="rId116" ref="R111"/>
    <hyperlink r:id="rId117" ref="R112"/>
    <hyperlink r:id="rId118" ref="R113"/>
    <hyperlink r:id="rId119" ref="R114"/>
    <hyperlink r:id="rId120" ref="R115"/>
    <hyperlink r:id="rId121" location=".V09f__krLIU" ref="R117"/>
    <hyperlink r:id="rId122" ref="R118"/>
    <hyperlink r:id="rId123" ref="R119"/>
    <hyperlink r:id="rId124" ref="R120"/>
    <hyperlink r:id="rId125" ref="R121"/>
    <hyperlink r:id="rId126" ref="R122"/>
    <hyperlink r:id="rId127" ref="M123"/>
    <hyperlink r:id="rId128" ref="R123"/>
    <hyperlink r:id="rId129" ref="R124"/>
    <hyperlink r:id="rId130" ref="R125"/>
    <hyperlink r:id="rId131" ref="R126"/>
    <hyperlink r:id="rId132" ref="R127"/>
    <hyperlink r:id="rId133" ref="R128"/>
    <hyperlink r:id="rId134" ref="R129"/>
    <hyperlink r:id="rId135" ref="R130"/>
    <hyperlink r:id="rId136" ref="R131"/>
    <hyperlink r:id="rId137" ref="R132"/>
    <hyperlink r:id="rId138" ref="R133"/>
    <hyperlink r:id="rId139" location=".VZBXRFJMUZx" ref="R134"/>
    <hyperlink r:id="rId140" ref="R135"/>
    <hyperlink r:id="rId141" ref="R136"/>
    <hyperlink r:id="rId142" ref="R137"/>
    <hyperlink r:id="rId143" ref="R139"/>
    <hyperlink r:id="rId144" ref="R140"/>
    <hyperlink r:id="rId145" ref="R141"/>
    <hyperlink r:id="rId146" ref="R143"/>
    <hyperlink r:id="rId147" ref="R144"/>
    <hyperlink r:id="rId148" ref="R145"/>
    <hyperlink r:id="rId149" ref="R146"/>
    <hyperlink r:id="rId150" ref="R147"/>
    <hyperlink r:id="rId151" ref="R148"/>
    <hyperlink r:id="rId152" ref="R149"/>
    <hyperlink r:id="rId153" ref="R150"/>
    <hyperlink r:id="rId154" ref="R151"/>
    <hyperlink r:id="rId155" ref="R152"/>
    <hyperlink r:id="rId156" ref="R153"/>
    <hyperlink r:id="rId157" ref="R154"/>
    <hyperlink r:id="rId158" ref="R155"/>
    <hyperlink r:id="rId159" ref="R156"/>
    <hyperlink r:id="rId160" ref="R157"/>
    <hyperlink r:id="rId161" ref="R158"/>
    <hyperlink r:id="rId162" ref="R159"/>
    <hyperlink r:id="rId163" ref="R160"/>
    <hyperlink r:id="rId164" ref="R161"/>
    <hyperlink r:id="rId165" ref="R162"/>
    <hyperlink r:id="rId166" ref="R163"/>
    <hyperlink r:id="rId167" ref="Z163"/>
    <hyperlink r:id="rId168" ref="R164"/>
    <hyperlink r:id="rId169" ref="R165"/>
    <hyperlink r:id="rId170" ref="R166"/>
    <hyperlink r:id="rId171" ref="R167"/>
    <hyperlink r:id="rId172" ref="R168"/>
    <hyperlink r:id="rId173" ref="R169"/>
    <hyperlink r:id="rId174" ref="R170"/>
    <hyperlink r:id="rId175" ref="R171"/>
    <hyperlink r:id="rId176" ref="R173"/>
    <hyperlink r:id="rId177" ref="R174"/>
    <hyperlink r:id="rId178" ref="R175"/>
    <hyperlink r:id="rId179" ref="R176"/>
    <hyperlink r:id="rId180" ref="N177"/>
    <hyperlink r:id="rId181" ref="R177"/>
    <hyperlink r:id="rId182" ref="R178"/>
    <hyperlink r:id="rId183" ref="R179"/>
    <hyperlink r:id="rId184" ref="R180"/>
    <hyperlink r:id="rId185" ref="R182"/>
    <hyperlink r:id="rId186" ref="R185"/>
    <hyperlink r:id="rId187" ref="Z185"/>
    <hyperlink r:id="rId188" ref="R187"/>
    <hyperlink r:id="rId189" ref="R188"/>
    <hyperlink r:id="rId190" ref="R189"/>
    <hyperlink r:id="rId191" ref="R190"/>
    <hyperlink r:id="rId192" ref="R191"/>
    <hyperlink r:id="rId193" ref="R192"/>
    <hyperlink r:id="rId194" ref="R193"/>
    <hyperlink r:id="rId195" ref="R194"/>
    <hyperlink r:id="rId196" ref="R195"/>
    <hyperlink r:id="rId197" ref="R196"/>
    <hyperlink r:id="rId198" ref="R197"/>
    <hyperlink r:id="rId199" ref="R198"/>
    <hyperlink r:id="rId200" ref="R199"/>
    <hyperlink r:id="rId201" ref="R200"/>
    <hyperlink r:id="rId202" ref="R201"/>
    <hyperlink r:id="rId203" ref="R202"/>
    <hyperlink r:id="rId204" ref="R203"/>
    <hyperlink r:id="rId205" ref="R204"/>
    <hyperlink r:id="rId206" ref="R205"/>
    <hyperlink r:id="rId207" ref="R206"/>
    <hyperlink r:id="rId208" ref="R207"/>
    <hyperlink r:id="rId209" ref="R208"/>
    <hyperlink r:id="rId210" ref="R209"/>
    <hyperlink r:id="rId211" ref="R210"/>
    <hyperlink r:id="rId212" ref="R212"/>
    <hyperlink r:id="rId213" ref="R213"/>
    <hyperlink r:id="rId214" ref="R214"/>
    <hyperlink r:id="rId215" ref="R216"/>
    <hyperlink r:id="rId216" ref="R217"/>
    <hyperlink r:id="rId217" ref="X217"/>
    <hyperlink r:id="rId218" ref="R218"/>
    <hyperlink r:id="rId219" ref="R219"/>
    <hyperlink r:id="rId220" ref="Z219"/>
    <hyperlink r:id="rId221" ref="R220"/>
    <hyperlink r:id="rId222" ref="N221"/>
    <hyperlink r:id="rId223" ref="R221"/>
    <hyperlink r:id="rId224" ref="R222"/>
    <hyperlink r:id="rId225" ref="R223"/>
    <hyperlink r:id="rId226" ref="R224"/>
    <hyperlink r:id="rId227" ref="R225"/>
    <hyperlink r:id="rId228" ref="R226"/>
    <hyperlink r:id="rId229" ref="R227"/>
    <hyperlink r:id="rId230" ref="R228"/>
    <hyperlink r:id="rId231" ref="R229"/>
    <hyperlink r:id="rId232" ref="R230"/>
    <hyperlink r:id="rId233" ref="R231"/>
    <hyperlink r:id="rId234" ref="R232"/>
    <hyperlink r:id="rId235" ref="R233"/>
    <hyperlink r:id="rId236" ref="R234"/>
    <hyperlink r:id="rId237" ref="R235"/>
    <hyperlink r:id="rId238" ref="R236"/>
    <hyperlink r:id="rId239" ref="R237"/>
    <hyperlink r:id="rId240" ref="R238"/>
    <hyperlink r:id="rId241" ref="R239"/>
    <hyperlink r:id="rId242" ref="R240"/>
    <hyperlink r:id="rId243" ref="R241"/>
    <hyperlink r:id="rId244" ref="R242"/>
    <hyperlink r:id="rId245" ref="R243"/>
    <hyperlink r:id="rId246" ref="R244"/>
    <hyperlink r:id="rId247" ref="Z244"/>
    <hyperlink r:id="rId248" ref="R245"/>
    <hyperlink r:id="rId249" ref="R246"/>
    <hyperlink r:id="rId250" ref="R247"/>
    <hyperlink r:id="rId251" ref="R249"/>
    <hyperlink r:id="rId252" ref="R251"/>
    <hyperlink r:id="rId253" ref="R252"/>
    <hyperlink r:id="rId254" ref="R253"/>
    <hyperlink r:id="rId255" ref="R254"/>
    <hyperlink r:id="rId256" location=".V09TIvkrLIU" ref="R255"/>
    <hyperlink r:id="rId257" ref="R256"/>
    <hyperlink r:id="rId258" ref="R257"/>
    <hyperlink r:id="rId259" ref="R258"/>
    <hyperlink r:id="rId260" ref="R259"/>
    <hyperlink r:id="rId261" ref="R260"/>
    <hyperlink r:id="rId262" ref="R262"/>
    <hyperlink r:id="rId263" ref="R263"/>
    <hyperlink r:id="rId264" ref="R264"/>
    <hyperlink r:id="rId265" ref="N265"/>
    <hyperlink r:id="rId266" ref="R265"/>
    <hyperlink r:id="rId267" ref="R266"/>
    <hyperlink r:id="rId268" ref="R267"/>
    <hyperlink r:id="rId269" ref="R268"/>
    <hyperlink r:id="rId270" ref="Z268"/>
    <hyperlink r:id="rId271" ref="R269"/>
    <hyperlink r:id="rId272" ref="R270"/>
    <hyperlink r:id="rId273" ref="R271"/>
    <hyperlink r:id="rId274" ref="R272"/>
    <hyperlink r:id="rId275" location=".VdLqKzZRHIV" ref="R273"/>
    <hyperlink r:id="rId276" ref="R274"/>
    <hyperlink r:id="rId277" ref="R275"/>
    <hyperlink r:id="rId278" ref="R276"/>
    <hyperlink r:id="rId279" ref="R277"/>
    <hyperlink r:id="rId280" ref="R278"/>
    <hyperlink r:id="rId281" ref="R279"/>
    <hyperlink r:id="rId282" ref="R280"/>
    <hyperlink r:id="rId283" ref="R281"/>
    <hyperlink r:id="rId284" ref="R282"/>
    <hyperlink r:id="rId285" ref="Z282"/>
    <hyperlink r:id="rId286" ref="R283"/>
    <hyperlink r:id="rId287" ref="R284"/>
    <hyperlink r:id="rId288" ref="R285"/>
    <hyperlink r:id="rId289" ref="R286"/>
    <hyperlink r:id="rId290" ref="R287"/>
    <hyperlink r:id="rId291" ref="R288"/>
    <hyperlink r:id="rId292" ref="R289"/>
    <hyperlink r:id="rId293" ref="R291"/>
    <hyperlink r:id="rId294" ref="R292"/>
    <hyperlink r:id="rId295" ref="Q293"/>
    <hyperlink r:id="rId296" ref="R293"/>
    <hyperlink r:id="rId297" ref="R294"/>
    <hyperlink r:id="rId298" ref="R295"/>
    <hyperlink r:id="rId299" ref="R296"/>
    <hyperlink r:id="rId300" ref="R297"/>
    <hyperlink r:id="rId301" ref="R298"/>
    <hyperlink r:id="rId302" ref="R299"/>
    <hyperlink r:id="rId303" ref="R300"/>
    <hyperlink r:id="rId304" ref="R301"/>
    <hyperlink r:id="rId305" ref="R302"/>
    <hyperlink r:id="rId306" location=".VXm7rPlVhBc" ref="R303"/>
    <hyperlink r:id="rId307" ref="R304"/>
    <hyperlink r:id="rId308" ref="R305"/>
    <hyperlink r:id="rId309" ref="R306"/>
    <hyperlink r:id="rId310" ref="R307"/>
    <hyperlink r:id="rId311" ref="R308"/>
    <hyperlink r:id="rId312" ref="R309"/>
    <hyperlink r:id="rId313" ref="R310"/>
    <hyperlink r:id="rId314" ref="R311"/>
    <hyperlink r:id="rId315" ref="R312"/>
    <hyperlink r:id="rId316" ref="R313"/>
    <hyperlink r:id="rId317" ref="R314"/>
    <hyperlink r:id="rId318" ref="R315"/>
    <hyperlink r:id="rId319" ref="R316"/>
    <hyperlink r:id="rId320" ref="R317"/>
    <hyperlink r:id="rId321" ref="R318"/>
    <hyperlink r:id="rId322" ref="R319"/>
    <hyperlink r:id="rId323" location="axzz3rh5c0Tt3" ref="R320"/>
    <hyperlink r:id="rId324" ref="R321"/>
    <hyperlink r:id="rId325" ref="R325"/>
    <hyperlink r:id="rId326" ref="R327"/>
    <hyperlink r:id="rId327" ref="R332"/>
    <hyperlink r:id="rId328" ref="R335"/>
    <hyperlink r:id="rId329" ref="R337"/>
    <hyperlink r:id="rId330" ref="R339"/>
    <hyperlink r:id="rId331" ref="R340"/>
    <hyperlink r:id="rId332" ref="R341"/>
    <hyperlink r:id="rId333" ref="R343"/>
    <hyperlink r:id="rId334" ref="R344"/>
    <hyperlink r:id="rId335" ref="R345"/>
    <hyperlink r:id="rId336" ref="R350"/>
    <hyperlink r:id="rId337" ref="R354"/>
    <hyperlink r:id="rId338" ref="R359"/>
    <hyperlink r:id="rId339" ref="R362"/>
    <hyperlink r:id="rId340" ref="R367"/>
    <hyperlink r:id="rId341" ref="R370"/>
    <hyperlink r:id="rId342" ref="R371"/>
    <hyperlink r:id="rId343" ref="R372"/>
    <hyperlink r:id="rId344" ref="R373"/>
    <hyperlink r:id="rId345" ref="Z373"/>
    <hyperlink r:id="rId346" ref="R374"/>
    <hyperlink r:id="rId347" ref="R375"/>
    <hyperlink r:id="rId348" ref="R376"/>
    <hyperlink r:id="rId349" location=".V090i_krLIU" ref="R377"/>
    <hyperlink r:id="rId350" ref="R378"/>
    <hyperlink r:id="rId351" ref="Z378"/>
    <hyperlink r:id="rId352" ref="R379"/>
    <hyperlink r:id="rId353" ref="R380"/>
    <hyperlink r:id="rId354" ref="R381"/>
    <hyperlink r:id="rId355" ref="R382"/>
    <hyperlink r:id="rId356" ref="R383"/>
    <hyperlink r:id="rId357" ref="R384"/>
    <hyperlink r:id="rId358" ref="R385"/>
    <hyperlink r:id="rId359" ref="R386"/>
    <hyperlink r:id="rId360" ref="R387"/>
    <hyperlink r:id="rId361" ref="R388"/>
    <hyperlink r:id="rId362" ref="R389"/>
    <hyperlink r:id="rId363" ref="R390"/>
    <hyperlink r:id="rId364" ref="R391"/>
    <hyperlink r:id="rId365" ref="R392"/>
    <hyperlink r:id="rId366" ref="R393"/>
    <hyperlink r:id="rId367" ref="R394"/>
    <hyperlink r:id="rId368" location=".V09TH_krLIU" ref="R395"/>
    <hyperlink r:id="rId369" ref="N396"/>
    <hyperlink r:id="rId370" ref="R396"/>
    <hyperlink r:id="rId371" ref="R397"/>
    <hyperlink r:id="rId372" ref="R398"/>
    <hyperlink r:id="rId373" ref="R399"/>
    <hyperlink r:id="rId374" ref="R400"/>
    <hyperlink r:id="rId375" ref="R401"/>
    <hyperlink r:id="rId376" ref="R402"/>
    <hyperlink r:id="rId377" ref="R403"/>
    <hyperlink r:id="rId378" ref="R404"/>
    <hyperlink r:id="rId379" ref="R405"/>
    <hyperlink r:id="rId380" ref="R406"/>
    <hyperlink r:id="rId381" ref="R407"/>
    <hyperlink r:id="rId382" ref="R408"/>
    <hyperlink r:id="rId383" ref="R410"/>
    <hyperlink r:id="rId384" ref="R411"/>
    <hyperlink r:id="rId385" ref="R412"/>
    <hyperlink r:id="rId386" ref="X412"/>
    <hyperlink r:id="rId387" ref="R413"/>
    <hyperlink r:id="rId388" ref="R414"/>
    <hyperlink r:id="rId389" location=".naruae2of" ref="R415"/>
    <hyperlink r:id="rId390" ref="R416"/>
    <hyperlink r:id="rId391" ref="R417"/>
    <hyperlink r:id="rId392" ref="R418"/>
    <hyperlink r:id="rId393" ref="R419"/>
    <hyperlink r:id="rId394" ref="Z419"/>
    <hyperlink r:id="rId395" ref="R420"/>
    <hyperlink r:id="rId396" ref="R421"/>
    <hyperlink r:id="rId397" ref="R422"/>
    <hyperlink r:id="rId398" location=".V09gBvkrLIU" ref="R423"/>
    <hyperlink r:id="rId399" ref="R424"/>
    <hyperlink r:id="rId400" ref="R425"/>
    <hyperlink r:id="rId401" ref="R426"/>
    <hyperlink r:id="rId402" ref="R427"/>
    <hyperlink r:id="rId403" ref="R428"/>
    <hyperlink r:id="rId404" ref="R429"/>
    <hyperlink r:id="rId405" location="bees" ref="R430"/>
    <hyperlink r:id="rId406" ref="R431"/>
    <hyperlink r:id="rId407" ref="R433"/>
    <hyperlink r:id="rId408" ref="R434"/>
    <hyperlink r:id="rId409" ref="R435"/>
    <hyperlink r:id="rId410" ref="R436"/>
    <hyperlink r:id="rId411" ref="R437"/>
    <hyperlink r:id="rId412" ref="R438"/>
    <hyperlink r:id="rId413" ref="R439"/>
    <hyperlink r:id="rId414" ref="R440"/>
    <hyperlink r:id="rId415" ref="R441"/>
    <hyperlink r:id="rId416" location=".V09TKPkrLIU" ref="R442"/>
    <hyperlink r:id="rId417" ref="R443"/>
    <hyperlink r:id="rId418" ref="R444"/>
    <hyperlink r:id="rId419" ref="R445"/>
    <hyperlink r:id="rId420" ref="R446"/>
    <hyperlink r:id="rId421" ref="R447"/>
    <hyperlink r:id="rId422" ref="R448"/>
    <hyperlink r:id="rId423" ref="R449"/>
    <hyperlink r:id="rId424" ref="R450"/>
    <hyperlink r:id="rId425" ref="R451"/>
    <hyperlink r:id="rId426" ref="R452"/>
    <hyperlink r:id="rId427" ref="R453"/>
    <hyperlink r:id="rId428" ref="R455"/>
    <hyperlink r:id="rId429" ref="R456"/>
    <hyperlink r:id="rId430" ref="R459"/>
  </hyperlinks>
  <drawing r:id="rId431"/>
  <legacyDrawing r:id="rId43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7" width="12.11"/>
    <col customWidth="1" min="8" max="8" width="88.0"/>
    <col customWidth="1" min="9" max="40" width="12.11"/>
  </cols>
  <sheetData>
    <row r="1" ht="94.5" customHeight="1">
      <c r="A1" s="82" t="s">
        <v>1236</v>
      </c>
      <c r="B1" s="82" t="s">
        <v>1241</v>
      </c>
      <c r="C1" s="82" t="s">
        <v>1242</v>
      </c>
      <c r="D1" s="82" t="s">
        <v>9</v>
      </c>
      <c r="E1" s="82" t="s">
        <v>1217</v>
      </c>
      <c r="F1" s="84" t="s">
        <v>1218</v>
      </c>
      <c r="G1" s="82" t="s">
        <v>15</v>
      </c>
      <c r="H1" s="82" t="s">
        <v>1219</v>
      </c>
      <c r="I1" s="82" t="s">
        <v>1220</v>
      </c>
      <c r="J1" s="82" t="s">
        <v>1221</v>
      </c>
      <c r="K1" s="85" t="s">
        <v>1222</v>
      </c>
      <c r="L1" s="85" t="s">
        <v>1228</v>
      </c>
      <c r="M1" s="82" t="s">
        <v>24</v>
      </c>
      <c r="N1" s="82" t="s">
        <v>67</v>
      </c>
      <c r="O1" s="82" t="s">
        <v>71</v>
      </c>
      <c r="P1" s="82" t="s">
        <v>72</v>
      </c>
      <c r="Q1" s="82" t="s">
        <v>74</v>
      </c>
      <c r="R1" s="82" t="s">
        <v>75</v>
      </c>
      <c r="S1" s="82" t="s">
        <v>76</v>
      </c>
      <c r="T1" s="82" t="s">
        <v>77</v>
      </c>
      <c r="U1" s="82" t="s">
        <v>79</v>
      </c>
      <c r="V1" s="82" t="s">
        <v>80</v>
      </c>
      <c r="W1" s="82" t="s">
        <v>81</v>
      </c>
      <c r="X1" s="82" t="s">
        <v>82</v>
      </c>
      <c r="Y1" s="82" t="s">
        <v>83</v>
      </c>
      <c r="Z1" s="82" t="s">
        <v>84</v>
      </c>
      <c r="AA1" s="82" t="s">
        <v>85</v>
      </c>
      <c r="AB1" s="82" t="s">
        <v>86</v>
      </c>
      <c r="AC1" s="82" t="s">
        <v>87</v>
      </c>
      <c r="AD1" s="82" t="s">
        <v>88</v>
      </c>
      <c r="AE1" s="82"/>
      <c r="AF1" s="82"/>
      <c r="AG1" s="82"/>
      <c r="AH1" s="82"/>
      <c r="AI1" s="82"/>
      <c r="AJ1" s="82"/>
      <c r="AK1" s="82"/>
      <c r="AL1" s="82"/>
      <c r="AM1" s="82"/>
      <c r="AN1" s="82"/>
    </row>
    <row r="2" ht="16.5" customHeight="1">
      <c r="A2" s="87" t="s">
        <v>1252</v>
      </c>
      <c r="B2" s="87" t="s">
        <v>1255</v>
      </c>
      <c r="C2" s="87" t="s">
        <v>574</v>
      </c>
      <c r="D2" s="87"/>
      <c r="E2" s="87" t="s">
        <v>267</v>
      </c>
      <c r="F2" s="79"/>
      <c r="G2" s="87" t="s">
        <v>289</v>
      </c>
      <c r="H2" s="87" t="s">
        <v>1256</v>
      </c>
      <c r="I2" s="87" t="s">
        <v>1257</v>
      </c>
      <c r="J2" s="87" t="s">
        <v>1258</v>
      </c>
      <c r="K2" s="89">
        <v>40973.0</v>
      </c>
      <c r="L2" s="87" t="s">
        <v>1264</v>
      </c>
      <c r="M2" s="90" t="str">
        <f>HYPERLINK("http://www.theatlantic.com/health/archive/2012/03/study-of-the-day-why-that-last-piece-of-chocolate-tastes-the-best/253636/","http://www.theatlantic.com/health/archive/2012/03/study-of-the-day-why-that-last-piece-of-chocolate-tastes-the-best/253636/")</f>
        <v>http://www.theatlantic.com/health/archive/2012/03/study-of-the-day-why-that-last-piece-of-chocolate-tastes-the-best/253636/</v>
      </c>
      <c r="N2" s="87"/>
      <c r="O2" s="87" t="s">
        <v>462</v>
      </c>
      <c r="P2" s="87" t="s">
        <v>462</v>
      </c>
      <c r="Q2" s="87"/>
      <c r="R2" s="87" t="s">
        <v>926</v>
      </c>
      <c r="S2" s="87" t="s">
        <v>1278</v>
      </c>
      <c r="T2" s="91">
        <v>42066.0</v>
      </c>
      <c r="U2" s="87"/>
      <c r="V2" s="87" t="s">
        <v>530</v>
      </c>
      <c r="W2" s="87"/>
      <c r="X2" s="91"/>
      <c r="Y2" s="87"/>
      <c r="Z2" s="87"/>
      <c r="AA2" s="87"/>
      <c r="AB2" s="87"/>
      <c r="AC2" s="87"/>
      <c r="AD2" s="87"/>
      <c r="AE2" s="87"/>
      <c r="AF2" s="87"/>
      <c r="AG2" s="87"/>
      <c r="AH2" s="87"/>
      <c r="AI2" s="87"/>
      <c r="AJ2" s="87"/>
      <c r="AK2" s="87"/>
      <c r="AL2" s="87"/>
      <c r="AM2" s="87"/>
      <c r="AN2" s="87"/>
    </row>
    <row r="3" ht="16.5" customHeight="1">
      <c r="A3" s="87" t="s">
        <v>1252</v>
      </c>
      <c r="B3" s="87" t="s">
        <v>173</v>
      </c>
      <c r="C3" s="87" t="s">
        <v>574</v>
      </c>
      <c r="D3" s="87"/>
      <c r="E3" s="87" t="s">
        <v>644</v>
      </c>
      <c r="F3" s="79"/>
      <c r="G3" s="87" t="s">
        <v>111</v>
      </c>
      <c r="H3" s="87" t="s">
        <v>1285</v>
      </c>
      <c r="I3" s="87" t="s">
        <v>1286</v>
      </c>
      <c r="J3" s="87" t="s">
        <v>1287</v>
      </c>
      <c r="K3" s="89">
        <v>41942.0</v>
      </c>
      <c r="L3" s="87" t="s">
        <v>1288</v>
      </c>
      <c r="M3" s="90" t="str">
        <f>HYPERLINK("http://www.climateoutreach.org.uk/research-reveals-current-climate-engagement-strategies-are-failing-to-reach-young-people/","http://www.climateoutreach.org.uk/research-reveals-current-climate-engagement-strategies-are-failing-to-reach-young-people/")</f>
        <v>http://www.climateoutreach.org.uk/research-reveals-current-climate-engagement-strategies-are-failing-to-reach-young-people/</v>
      </c>
      <c r="N3" s="87" t="s">
        <v>1291</v>
      </c>
      <c r="O3" s="87" t="s">
        <v>428</v>
      </c>
      <c r="P3" s="87" t="s">
        <v>462</v>
      </c>
      <c r="Q3" s="87"/>
      <c r="R3" s="87" t="s">
        <v>769</v>
      </c>
      <c r="S3" s="87"/>
      <c r="T3" s="91"/>
      <c r="U3" s="87"/>
      <c r="V3" s="87"/>
      <c r="W3" s="87"/>
      <c r="X3" s="91"/>
      <c r="Y3" s="87"/>
      <c r="Z3" s="87"/>
      <c r="AA3" s="87"/>
      <c r="AB3" s="87"/>
      <c r="AC3" s="87"/>
      <c r="AD3" s="87"/>
      <c r="AE3" s="87"/>
      <c r="AF3" s="87"/>
      <c r="AG3" s="87"/>
      <c r="AH3" s="87"/>
      <c r="AI3" s="87"/>
      <c r="AJ3" s="87"/>
      <c r="AK3" s="87"/>
      <c r="AL3" s="87"/>
      <c r="AM3" s="87"/>
      <c r="AN3" s="87"/>
    </row>
    <row r="4" ht="16.5" customHeight="1">
      <c r="A4" s="87" t="s">
        <v>1252</v>
      </c>
      <c r="B4" s="87" t="s">
        <v>64</v>
      </c>
      <c r="C4" s="87" t="s">
        <v>574</v>
      </c>
      <c r="D4" s="87"/>
      <c r="E4" s="87" t="s">
        <v>578</v>
      </c>
      <c r="F4" s="79"/>
      <c r="G4" s="87" t="s">
        <v>289</v>
      </c>
      <c r="H4" s="87" t="s">
        <v>1300</v>
      </c>
      <c r="I4" s="87" t="s">
        <v>1301</v>
      </c>
      <c r="J4" s="87" t="s">
        <v>1303</v>
      </c>
      <c r="K4" s="89">
        <v>40689.0</v>
      </c>
      <c r="L4" s="87" t="s">
        <v>1305</v>
      </c>
      <c r="M4" s="90" t="str">
        <f>HYPERLINK("http://e360.yale.edu/feature/green_failure_whats_wrong_with_environmental_education/2407/","http://e360.yale.edu/feature/green_failure_whats_wrong_with_environmental_education/2407/")</f>
        <v>http://e360.yale.edu/feature/green_failure_whats_wrong_with_environmental_education/2407/</v>
      </c>
      <c r="N4" s="87"/>
      <c r="O4" s="87" t="s">
        <v>462</v>
      </c>
      <c r="P4" s="87" t="s">
        <v>462</v>
      </c>
      <c r="Q4" s="87" t="s">
        <v>676</v>
      </c>
      <c r="R4" s="87" t="s">
        <v>769</v>
      </c>
      <c r="S4" s="87"/>
      <c r="T4" s="91">
        <v>42619.0</v>
      </c>
      <c r="U4" s="87"/>
      <c r="V4" s="87"/>
      <c r="W4" s="87"/>
      <c r="X4" s="91"/>
      <c r="Y4" s="87"/>
      <c r="Z4" s="87"/>
      <c r="AA4" s="87"/>
      <c r="AB4" s="87"/>
      <c r="AC4" s="87"/>
      <c r="AD4" s="87"/>
      <c r="AE4" s="87"/>
      <c r="AF4" s="87"/>
      <c r="AG4" s="87"/>
      <c r="AH4" s="87"/>
      <c r="AI4" s="87"/>
      <c r="AJ4" s="87"/>
      <c r="AK4" s="87"/>
      <c r="AL4" s="87"/>
      <c r="AM4" s="87"/>
      <c r="AN4" s="87"/>
    </row>
    <row r="5" ht="16.5" customHeight="1">
      <c r="A5" s="87" t="s">
        <v>1252</v>
      </c>
      <c r="B5" s="87" t="s">
        <v>64</v>
      </c>
      <c r="C5" s="87" t="s">
        <v>1311</v>
      </c>
      <c r="D5" s="87"/>
      <c r="E5" s="87" t="s">
        <v>1312</v>
      </c>
      <c r="F5" s="79"/>
      <c r="G5" s="87" t="s">
        <v>1255</v>
      </c>
      <c r="H5" s="87" t="s">
        <v>1313</v>
      </c>
      <c r="I5" s="87" t="s">
        <v>1314</v>
      </c>
      <c r="J5" s="87" t="s">
        <v>1315</v>
      </c>
      <c r="K5" s="89">
        <v>42149.0</v>
      </c>
      <c r="L5" s="87" t="s">
        <v>1318</v>
      </c>
      <c r="M5" s="90" t="str">
        <f>HYPERLINK("http://www.triplepundit.com/2015/05/green-initiatives-improve-brands-perceived-value/","http://www.triplepundit.com/2015/05/green-initiatives-improve-brands-perceived-value/")</f>
        <v>http://www.triplepundit.com/2015/05/green-initiatives-improve-brands-perceived-value/</v>
      </c>
      <c r="N5" s="87"/>
      <c r="O5" s="87" t="s">
        <v>462</v>
      </c>
      <c r="P5" s="87" t="s">
        <v>462</v>
      </c>
      <c r="Q5" s="87" t="s">
        <v>676</v>
      </c>
      <c r="R5" s="87" t="s">
        <v>769</v>
      </c>
      <c r="S5" s="87" t="s">
        <v>1329</v>
      </c>
      <c r="T5" s="91">
        <v>42187.0</v>
      </c>
      <c r="U5" s="87"/>
      <c r="V5" s="87"/>
      <c r="W5" s="87"/>
      <c r="X5" s="91"/>
      <c r="Y5" s="87"/>
      <c r="Z5" s="87"/>
      <c r="AA5" s="87"/>
      <c r="AB5" s="87"/>
      <c r="AC5" s="87"/>
      <c r="AD5" s="87"/>
      <c r="AE5" s="87"/>
      <c r="AF5" s="87"/>
      <c r="AG5" s="87"/>
      <c r="AH5" s="87"/>
      <c r="AI5" s="87"/>
      <c r="AJ5" s="87"/>
      <c r="AK5" s="87"/>
      <c r="AL5" s="87"/>
      <c r="AM5" s="87"/>
      <c r="AN5" s="87"/>
    </row>
    <row r="6" ht="16.5" customHeight="1">
      <c r="A6" s="87" t="s">
        <v>1252</v>
      </c>
      <c r="B6" s="87" t="s">
        <v>64</v>
      </c>
      <c r="C6" s="87" t="s">
        <v>1331</v>
      </c>
      <c r="D6" s="87"/>
      <c r="E6" s="87" t="s">
        <v>1332</v>
      </c>
      <c r="F6" s="79"/>
      <c r="G6" s="87" t="s">
        <v>289</v>
      </c>
      <c r="H6" s="92" t="s">
        <v>1333</v>
      </c>
      <c r="I6" s="87" t="s">
        <v>1335</v>
      </c>
      <c r="J6" s="87" t="s">
        <v>1336</v>
      </c>
      <c r="K6" s="89">
        <v>42331.0</v>
      </c>
      <c r="L6" s="87" t="s">
        <v>1337</v>
      </c>
      <c r="M6" s="90" t="str">
        <f>HYPERLINK("http://climatecommunication.yale.edu/publications/finding-common-ground-at-the-thanksgiving-table/","http://climatecommunication.yale.edu/publications/finding-common-ground-at-the-thanksgiving-table/")</f>
        <v>http://climatecommunication.yale.edu/publications/finding-common-ground-at-the-thanksgiving-table/</v>
      </c>
      <c r="N6" s="87"/>
      <c r="O6" s="87"/>
      <c r="P6" s="87"/>
      <c r="Q6" s="87"/>
      <c r="R6" s="87" t="s">
        <v>769</v>
      </c>
      <c r="S6" s="87" t="s">
        <v>1349</v>
      </c>
      <c r="T6" s="91">
        <v>42643.0</v>
      </c>
      <c r="U6" s="87"/>
      <c r="V6" s="87"/>
      <c r="W6" s="87"/>
      <c r="X6" s="87"/>
      <c r="Y6" s="87"/>
      <c r="Z6" s="87"/>
      <c r="AA6" s="87"/>
      <c r="AB6" s="87"/>
      <c r="AC6" s="87"/>
      <c r="AD6" s="87" t="s">
        <v>428</v>
      </c>
      <c r="AE6" s="87"/>
      <c r="AF6" s="87"/>
      <c r="AG6" s="87"/>
      <c r="AH6" s="87"/>
      <c r="AI6" s="87"/>
      <c r="AJ6" s="87"/>
      <c r="AK6" s="87"/>
      <c r="AL6" s="87"/>
      <c r="AM6" s="87"/>
      <c r="AN6" s="87"/>
    </row>
    <row r="7" ht="16.5" customHeight="1">
      <c r="A7" s="87" t="s">
        <v>1252</v>
      </c>
      <c r="B7" s="87" t="s">
        <v>64</v>
      </c>
      <c r="C7" s="87" t="s">
        <v>1331</v>
      </c>
      <c r="D7" s="87"/>
      <c r="E7" s="87" t="s">
        <v>388</v>
      </c>
      <c r="F7" s="79"/>
      <c r="G7" s="87" t="s">
        <v>289</v>
      </c>
      <c r="H7" s="92" t="s">
        <v>1351</v>
      </c>
      <c r="I7" s="87" t="s">
        <v>1352</v>
      </c>
      <c r="J7" s="87" t="s">
        <v>1353</v>
      </c>
      <c r="K7" s="89">
        <v>42502.0</v>
      </c>
      <c r="L7" s="87" t="s">
        <v>1354</v>
      </c>
      <c r="M7" s="90" t="str">
        <f>HYPERLINK("http://nymag.com/scienceofus/2016/05/why-americans-ignore-the-role-of-luck-in-everything.html","http://nymag.com/scienceofus/2016/05/why-americans-ignore-the-role-of-luck-in-everything.html")</f>
        <v>http://nymag.com/scienceofus/2016/05/why-americans-ignore-the-role-of-luck-in-everything.html</v>
      </c>
      <c r="N7" s="87"/>
      <c r="O7" s="87" t="s">
        <v>530</v>
      </c>
      <c r="P7" s="87" t="s">
        <v>1358</v>
      </c>
      <c r="Q7" s="87" t="s">
        <v>676</v>
      </c>
      <c r="R7" s="87" t="s">
        <v>677</v>
      </c>
      <c r="S7" s="87"/>
      <c r="T7" s="87"/>
      <c r="U7" s="87"/>
      <c r="V7" s="87"/>
      <c r="W7" s="87"/>
      <c r="X7" s="87"/>
      <c r="Y7" s="87"/>
      <c r="Z7" s="87"/>
      <c r="AA7" s="87"/>
      <c r="AB7" s="87"/>
      <c r="AC7" s="87"/>
      <c r="AD7" s="87"/>
      <c r="AE7" s="87"/>
      <c r="AF7" s="87"/>
      <c r="AG7" s="87"/>
      <c r="AH7" s="87"/>
      <c r="AI7" s="87"/>
      <c r="AJ7" s="87"/>
      <c r="AK7" s="87"/>
      <c r="AL7" s="87"/>
      <c r="AM7" s="87"/>
      <c r="AN7" s="87"/>
    </row>
    <row r="8" ht="16.5" customHeight="1">
      <c r="A8" s="87" t="s">
        <v>1252</v>
      </c>
      <c r="B8" s="87" t="s">
        <v>64</v>
      </c>
      <c r="C8" s="87" t="s">
        <v>1361</v>
      </c>
      <c r="D8" s="87"/>
      <c r="E8" s="87" t="s">
        <v>470</v>
      </c>
      <c r="F8" s="79"/>
      <c r="G8" s="87" t="s">
        <v>289</v>
      </c>
      <c r="H8" s="87" t="s">
        <v>1362</v>
      </c>
      <c r="I8" s="87" t="s">
        <v>1255</v>
      </c>
      <c r="J8" s="87" t="s">
        <v>1363</v>
      </c>
      <c r="K8" s="89" t="s">
        <v>1255</v>
      </c>
      <c r="L8" s="87" t="s">
        <v>1364</v>
      </c>
      <c r="M8" s="90" t="str">
        <f>HYPERLINK("https://ux.opower.com/1kwh/","https://ux.opower.com/1kwh/")</f>
        <v>https://ux.opower.com/1kwh/</v>
      </c>
      <c r="N8" s="87"/>
      <c r="O8" s="87" t="s">
        <v>1358</v>
      </c>
      <c r="P8" s="87" t="s">
        <v>462</v>
      </c>
      <c r="Q8" s="87">
        <v>1.0</v>
      </c>
      <c r="R8" s="87" t="s">
        <v>769</v>
      </c>
      <c r="S8" s="87" t="s">
        <v>1370</v>
      </c>
      <c r="T8" s="91">
        <v>42703.0</v>
      </c>
      <c r="U8" s="87"/>
      <c r="V8" s="87" t="s">
        <v>769</v>
      </c>
      <c r="W8" s="87" t="s">
        <v>1372</v>
      </c>
      <c r="X8" s="91">
        <v>42656.0</v>
      </c>
      <c r="Y8" s="87"/>
      <c r="Z8" s="87"/>
      <c r="AA8" s="87"/>
      <c r="AB8" s="87"/>
      <c r="AC8" s="87"/>
      <c r="AD8" s="87"/>
      <c r="AE8" s="87"/>
      <c r="AF8" s="87"/>
      <c r="AG8" s="87"/>
      <c r="AH8" s="87"/>
      <c r="AI8" s="87"/>
      <c r="AJ8" s="87"/>
      <c r="AK8" s="87"/>
      <c r="AL8" s="87"/>
      <c r="AM8" s="87"/>
      <c r="AN8" s="87"/>
    </row>
    <row r="9" ht="16.5" customHeight="1">
      <c r="A9" s="87" t="s">
        <v>1252</v>
      </c>
      <c r="B9" s="87" t="s">
        <v>173</v>
      </c>
      <c r="C9" s="87" t="s">
        <v>887</v>
      </c>
      <c r="D9" s="87"/>
      <c r="E9" s="87" t="s">
        <v>1376</v>
      </c>
      <c r="F9" s="79"/>
      <c r="G9" s="87" t="s">
        <v>289</v>
      </c>
      <c r="H9" s="87" t="s">
        <v>1377</v>
      </c>
      <c r="I9" s="87" t="s">
        <v>1378</v>
      </c>
      <c r="J9" s="87" t="s">
        <v>1379</v>
      </c>
      <c r="K9" s="89" t="s">
        <v>1255</v>
      </c>
      <c r="L9" s="87"/>
      <c r="M9" s="90" t="str">
        <f>HYPERLINK("http://www.humansandnature.org/mind---morality---jennifer-jacquet-response-127.php","http://www.humansandnature.org/mind---morality---jennifer-jacquet-response-127.php")</f>
        <v>http://www.humansandnature.org/mind---morality---jennifer-jacquet-response-127.php</v>
      </c>
      <c r="N9" s="87"/>
      <c r="O9" s="87" t="s">
        <v>428</v>
      </c>
      <c r="P9" s="87" t="s">
        <v>462</v>
      </c>
      <c r="Q9" s="87"/>
      <c r="R9" s="87" t="s">
        <v>600</v>
      </c>
      <c r="S9" s="87" t="s">
        <v>1386</v>
      </c>
      <c r="T9" s="91">
        <v>42185.0</v>
      </c>
      <c r="U9" s="91">
        <v>42551.0</v>
      </c>
      <c r="V9" s="87"/>
      <c r="W9" s="87"/>
      <c r="X9" s="87"/>
      <c r="Y9" s="87"/>
      <c r="Z9" s="87"/>
      <c r="AA9" s="87"/>
      <c r="AB9" s="87"/>
      <c r="AC9" s="87"/>
      <c r="AD9" s="87" t="s">
        <v>428</v>
      </c>
      <c r="AE9" s="87"/>
      <c r="AF9" s="87"/>
      <c r="AG9" s="87"/>
      <c r="AH9" s="87"/>
      <c r="AI9" s="87"/>
      <c r="AJ9" s="87"/>
      <c r="AK9" s="87"/>
      <c r="AL9" s="87"/>
      <c r="AM9" s="87"/>
      <c r="AN9" s="87"/>
    </row>
    <row r="10" ht="16.5" customHeight="1">
      <c r="A10" s="87" t="s">
        <v>1252</v>
      </c>
      <c r="B10" s="87" t="s">
        <v>173</v>
      </c>
      <c r="C10" s="87" t="s">
        <v>429</v>
      </c>
      <c r="D10" s="87"/>
      <c r="E10" s="87" t="s">
        <v>247</v>
      </c>
      <c r="F10" s="79"/>
      <c r="G10" s="87" t="s">
        <v>111</v>
      </c>
      <c r="H10" s="92" t="s">
        <v>1393</v>
      </c>
      <c r="I10" s="87" t="s">
        <v>1395</v>
      </c>
      <c r="J10" s="87" t="s">
        <v>1281</v>
      </c>
      <c r="K10" s="89">
        <v>42445.0</v>
      </c>
      <c r="L10" s="87" t="s">
        <v>1397</v>
      </c>
      <c r="M10" s="90" t="str">
        <f>HYPERLINK("http://www.theguardian.com/commentisfree/2016/mar/16/takeaway-coffee-cups-recycle-environment-waste","http://www.theguardian.com/commentisfree/2016/mar/16/takeaway-coffee-cups-recycle-environment-waste")</f>
        <v>http://www.theguardian.com/commentisfree/2016/mar/16/takeaway-coffee-cups-recycle-environment-waste</v>
      </c>
      <c r="N10" s="87"/>
      <c r="O10" s="87"/>
      <c r="P10" s="87"/>
      <c r="Q10" s="87"/>
      <c r="R10" s="87" t="s">
        <v>600</v>
      </c>
      <c r="S10" s="87" t="s">
        <v>1398</v>
      </c>
      <c r="T10" s="87"/>
      <c r="U10" s="87"/>
      <c r="V10" s="87" t="s">
        <v>462</v>
      </c>
      <c r="W10" s="87" t="s">
        <v>1399</v>
      </c>
      <c r="X10" s="87"/>
      <c r="Y10" s="87"/>
      <c r="Z10" s="87"/>
      <c r="AA10" s="87"/>
      <c r="AB10" s="87"/>
      <c r="AC10" s="87"/>
      <c r="AD10" s="87" t="s">
        <v>428</v>
      </c>
      <c r="AE10" s="87"/>
      <c r="AF10" s="87"/>
      <c r="AG10" s="87"/>
      <c r="AH10" s="87"/>
      <c r="AI10" s="87"/>
      <c r="AJ10" s="87"/>
      <c r="AK10" s="87"/>
      <c r="AL10" s="87"/>
      <c r="AM10" s="87"/>
      <c r="AN10" s="87"/>
    </row>
    <row r="11" ht="16.5" customHeight="1">
      <c r="A11" s="87" t="s">
        <v>1252</v>
      </c>
      <c r="B11" s="87" t="s">
        <v>64</v>
      </c>
      <c r="C11" s="87" t="s">
        <v>323</v>
      </c>
      <c r="D11" s="87"/>
      <c r="E11" s="87" t="s">
        <v>1376</v>
      </c>
      <c r="F11" s="79"/>
      <c r="G11" s="87" t="s">
        <v>289</v>
      </c>
      <c r="H11" s="87" t="s">
        <v>1400</v>
      </c>
      <c r="I11" s="87" t="s">
        <v>1401</v>
      </c>
      <c r="J11" s="87" t="s">
        <v>1402</v>
      </c>
      <c r="K11" s="89">
        <v>42135.0</v>
      </c>
      <c r="L11" s="87" t="s">
        <v>1403</v>
      </c>
      <c r="M11" s="90" t="str">
        <f>HYPERLINK("https://www.americanprogress.org/issues/green/report/2015/05/11/112873/social-cohesion-the-secret-weapon-in-the-fight-for-equitable-climate-resilience/","https://www.americanprogress.org/issues/green/report/2015/05/11/112873/social-cohesion-the-secret-weapon-in-the-fight-for-equitable-climate-resilience/")</f>
        <v>https://www.americanprogress.org/issues/green/report/2015/05/11/112873/social-cohesion-the-secret-weapon-in-the-fight-for-equitable-climate-resilience/</v>
      </c>
      <c r="N11" s="87"/>
      <c r="O11" s="87" t="s">
        <v>462</v>
      </c>
      <c r="P11" s="87" t="s">
        <v>462</v>
      </c>
      <c r="Q11" s="87"/>
      <c r="R11" s="87" t="s">
        <v>769</v>
      </c>
      <c r="S11" s="87" t="s">
        <v>1409</v>
      </c>
      <c r="T11" s="91">
        <v>42177.0</v>
      </c>
      <c r="U11" s="91">
        <v>42530.0</v>
      </c>
      <c r="V11" s="87"/>
      <c r="W11" s="87"/>
      <c r="X11" s="91"/>
      <c r="Y11" s="87"/>
      <c r="Z11" s="87"/>
      <c r="AA11" s="87"/>
      <c r="AB11" s="87"/>
      <c r="AC11" s="87"/>
      <c r="AD11" s="87"/>
      <c r="AE11" s="87"/>
      <c r="AF11" s="87"/>
      <c r="AG11" s="87"/>
      <c r="AH11" s="87"/>
      <c r="AI11" s="87"/>
      <c r="AJ11" s="87"/>
      <c r="AK11" s="87"/>
      <c r="AL11" s="87"/>
      <c r="AM11" s="87"/>
      <c r="AN11" s="87"/>
    </row>
    <row r="12" ht="16.5" customHeight="1">
      <c r="A12" s="87" t="s">
        <v>1252</v>
      </c>
      <c r="B12" s="87" t="s">
        <v>1255</v>
      </c>
      <c r="C12" s="87" t="s">
        <v>421</v>
      </c>
      <c r="D12" s="87"/>
      <c r="E12" s="87" t="s">
        <v>837</v>
      </c>
      <c r="F12" s="79"/>
      <c r="G12" s="87" t="s">
        <v>1255</v>
      </c>
      <c r="H12" s="87" t="s">
        <v>1411</v>
      </c>
      <c r="I12" s="90" t="str">
        <f>HYPERLINK("http://www.newyorker.com/contributors/andy-borowitz","Andy Borowitz")</f>
        <v>Andy Borowitz</v>
      </c>
      <c r="J12" s="87" t="s">
        <v>1412</v>
      </c>
      <c r="K12" s="89">
        <v>42136.0</v>
      </c>
      <c r="L12" s="87" t="s">
        <v>1413</v>
      </c>
      <c r="M12" s="90" t="str">
        <f>HYPERLINK("http://www.newyorker.com/humor/borowitz-report/scientists-earth-endangered-by-new-strain-of-fact-resistant-humans","http://www.newyorker.com/humor/borowitz-report/scientists-earth-endangered-by-new-strain-of-fact-resistant-humans")</f>
        <v>http://www.newyorker.com/humor/borowitz-report/scientists-earth-endangered-by-new-strain-of-fact-resistant-humans</v>
      </c>
      <c r="N12" s="87" t="s">
        <v>1415</v>
      </c>
      <c r="O12" s="87" t="s">
        <v>462</v>
      </c>
      <c r="P12" s="87" t="s">
        <v>462</v>
      </c>
      <c r="Q12" s="87"/>
      <c r="R12" s="87" t="s">
        <v>769</v>
      </c>
      <c r="S12" s="87" t="s">
        <v>1416</v>
      </c>
      <c r="T12" s="91">
        <v>42171.0</v>
      </c>
      <c r="U12" s="91">
        <v>42527.0</v>
      </c>
      <c r="V12" s="87" t="s">
        <v>769</v>
      </c>
      <c r="W12" s="87"/>
      <c r="X12" s="91">
        <v>42179.0</v>
      </c>
      <c r="Y12" s="87"/>
      <c r="Z12" s="87"/>
      <c r="AA12" s="87"/>
      <c r="AB12" s="87"/>
      <c r="AC12" s="87"/>
      <c r="AD12" s="87"/>
      <c r="AE12" s="87"/>
      <c r="AF12" s="87"/>
      <c r="AG12" s="87"/>
      <c r="AH12" s="87"/>
      <c r="AI12" s="87"/>
      <c r="AJ12" s="87"/>
      <c r="AK12" s="87"/>
      <c r="AL12" s="87"/>
      <c r="AM12" s="87"/>
      <c r="AN12" s="87"/>
    </row>
    <row r="13" ht="16.5" customHeight="1">
      <c r="A13" s="87" t="s">
        <v>1252</v>
      </c>
      <c r="B13" s="87" t="s">
        <v>1255</v>
      </c>
      <c r="C13" s="87" t="s">
        <v>421</v>
      </c>
      <c r="D13" s="87"/>
      <c r="E13" s="87" t="s">
        <v>578</v>
      </c>
      <c r="F13" s="79"/>
      <c r="G13" s="87" t="s">
        <v>1255</v>
      </c>
      <c r="H13" s="87" t="s">
        <v>1418</v>
      </c>
      <c r="I13" s="90" t="str">
        <f>HYPERLINK("http://www.vox.com/authors/david-roberts"," David Roberts")</f>
        <v> David Roberts</v>
      </c>
      <c r="J13" s="87" t="s">
        <v>1421</v>
      </c>
      <c r="K13" s="89">
        <v>42139.0</v>
      </c>
      <c r="L13" s="87"/>
      <c r="M13" s="90" t="str">
        <f>HYPERLINK("http://www.vox.com/2015/5/15/8612113/truth-climate-change","http://www.vox.com/2015/5/15/8612113/truth-climate-change")</f>
        <v>http://www.vox.com/2015/5/15/8612113/truth-climate-change</v>
      </c>
      <c r="N13" s="87"/>
      <c r="O13" s="87" t="s">
        <v>462</v>
      </c>
      <c r="P13" s="87" t="s">
        <v>462</v>
      </c>
      <c r="Q13" s="87"/>
      <c r="R13" s="87" t="s">
        <v>600</v>
      </c>
      <c r="S13" s="87"/>
      <c r="T13" s="91"/>
      <c r="U13" s="87"/>
      <c r="V13" s="87"/>
      <c r="W13" s="87"/>
      <c r="X13" s="91"/>
      <c r="Y13" s="87"/>
      <c r="Z13" s="87"/>
      <c r="AA13" s="87"/>
      <c r="AB13" s="87"/>
      <c r="AC13" s="87"/>
      <c r="AD13" s="87"/>
      <c r="AE13" s="87"/>
      <c r="AF13" s="87"/>
      <c r="AG13" s="87"/>
      <c r="AH13" s="87"/>
      <c r="AI13" s="87"/>
      <c r="AJ13" s="87"/>
      <c r="AK13" s="87"/>
      <c r="AL13" s="87"/>
      <c r="AM13" s="87"/>
      <c r="AN13" s="87"/>
    </row>
    <row r="14" ht="16.5" customHeight="1">
      <c r="A14" s="87" t="s">
        <v>1252</v>
      </c>
      <c r="B14" s="87" t="s">
        <v>173</v>
      </c>
      <c r="C14" s="87" t="s">
        <v>490</v>
      </c>
      <c r="D14" s="87"/>
      <c r="E14" s="87" t="s">
        <v>388</v>
      </c>
      <c r="F14" s="79"/>
      <c r="G14" s="87" t="s">
        <v>289</v>
      </c>
      <c r="H14" s="87" t="s">
        <v>1428</v>
      </c>
      <c r="I14" s="87" t="s">
        <v>1429</v>
      </c>
      <c r="J14" s="87" t="s">
        <v>1430</v>
      </c>
      <c r="K14" s="89">
        <v>41864.0</v>
      </c>
      <c r="L14" s="87"/>
      <c r="M14" s="90" t="str">
        <f>HYPERLINK("http://www.npr.org/2014/08/13/340005026/how-a-co-worker-s-breast-cancer-diagnosis-affects-colleagues","http://www.npr.org/2014/08/13/340005026/how-a-co-worker-s-breast-cancer-diagnosis-affects-colleagues")</f>
        <v>http://www.npr.org/2014/08/13/340005026/how-a-co-worker-s-breast-cancer-diagnosis-affects-colleagues</v>
      </c>
      <c r="N14" s="87"/>
      <c r="O14" s="87" t="s">
        <v>428</v>
      </c>
      <c r="P14" s="87" t="s">
        <v>462</v>
      </c>
      <c r="Q14" s="87"/>
      <c r="R14" s="87" t="s">
        <v>677</v>
      </c>
      <c r="S14" s="87"/>
      <c r="T14" s="91"/>
      <c r="U14" s="87"/>
      <c r="V14" s="87"/>
      <c r="W14" s="87"/>
      <c r="X14" s="91"/>
      <c r="Y14" s="87"/>
      <c r="Z14" s="87"/>
      <c r="AA14" s="87"/>
      <c r="AB14" s="87"/>
      <c r="AC14" s="87"/>
      <c r="AD14" s="87"/>
      <c r="AE14" s="87"/>
      <c r="AF14" s="87"/>
      <c r="AG14" s="87"/>
      <c r="AH14" s="87"/>
      <c r="AI14" s="87"/>
      <c r="AJ14" s="87"/>
      <c r="AK14" s="87"/>
      <c r="AL14" s="87"/>
      <c r="AM14" s="87"/>
      <c r="AN14" s="87"/>
    </row>
    <row r="15" ht="16.5" customHeight="1">
      <c r="A15" s="87" t="s">
        <v>1252</v>
      </c>
      <c r="B15" s="87" t="s">
        <v>64</v>
      </c>
      <c r="C15" s="87" t="s">
        <v>490</v>
      </c>
      <c r="D15" s="87"/>
      <c r="E15" s="87" t="s">
        <v>1436</v>
      </c>
      <c r="F15" s="79"/>
      <c r="G15" s="87" t="s">
        <v>289</v>
      </c>
      <c r="H15" s="87" t="s">
        <v>1437</v>
      </c>
      <c r="I15" s="87" t="s">
        <v>1438</v>
      </c>
      <c r="J15" s="87" t="s">
        <v>1281</v>
      </c>
      <c r="K15" s="89">
        <v>41903.0</v>
      </c>
      <c r="L15" s="87"/>
      <c r="M15" s="90" t="str">
        <f>HYPERLINK("http://www.theguardian.com/environment/2014/sep/21/sir-paul-mccartney-raps-meat-free-monday?CMP=twt_gu","http://www.theguardian.com/environment/2014/sep/21/sir-paul-mccartney-raps-meat-free-monday?CMP=twt_gu")</f>
        <v>http://www.theguardian.com/environment/2014/sep/21/sir-paul-mccartney-raps-meat-free-monday?CMP=twt_gu</v>
      </c>
      <c r="N15" s="87"/>
      <c r="O15" s="87" t="s">
        <v>462</v>
      </c>
      <c r="P15" s="87" t="s">
        <v>462</v>
      </c>
      <c r="Q15" s="87" t="s">
        <v>676</v>
      </c>
      <c r="R15" s="87" t="s">
        <v>600</v>
      </c>
      <c r="S15" s="87"/>
      <c r="T15" s="91"/>
      <c r="U15" s="87"/>
      <c r="V15" s="87"/>
      <c r="W15" s="87"/>
      <c r="X15" s="91"/>
      <c r="Y15" s="87"/>
      <c r="Z15" s="87"/>
      <c r="AA15" s="87"/>
      <c r="AB15" s="87"/>
      <c r="AC15" s="87"/>
      <c r="AD15" s="87"/>
      <c r="AE15" s="87"/>
      <c r="AF15" s="87"/>
      <c r="AG15" s="87"/>
      <c r="AH15" s="87"/>
      <c r="AI15" s="87"/>
      <c r="AJ15" s="87"/>
      <c r="AK15" s="87"/>
      <c r="AL15" s="87"/>
      <c r="AM15" s="87"/>
      <c r="AN15" s="87"/>
    </row>
    <row r="16" ht="16.5" customHeight="1">
      <c r="A16" s="87" t="s">
        <v>1252</v>
      </c>
      <c r="B16" s="87" t="s">
        <v>173</v>
      </c>
      <c r="C16" s="87" t="s">
        <v>1447</v>
      </c>
      <c r="D16" s="87"/>
      <c r="E16" s="87" t="s">
        <v>388</v>
      </c>
      <c r="F16" s="79"/>
      <c r="G16" s="87" t="s">
        <v>289</v>
      </c>
      <c r="H16" s="87" t="s">
        <v>1448</v>
      </c>
      <c r="I16" s="87" t="s">
        <v>1449</v>
      </c>
      <c r="J16" s="87" t="s">
        <v>1450</v>
      </c>
      <c r="K16" s="89">
        <v>42137.0</v>
      </c>
      <c r="L16" s="87" t="s">
        <v>1452</v>
      </c>
      <c r="M16" s="90" t="str">
        <f>HYPERLINK("http://www.instituteofdecisionmaking.com/want-to-change-behavior/","http://www.instituteofdecisionmaking.com/want-to-change-behavior/")</f>
        <v>http://www.instituteofdecisionmaking.com/want-to-change-behavior/</v>
      </c>
      <c r="N16" s="87" t="s">
        <v>1453</v>
      </c>
      <c r="O16" s="87" t="s">
        <v>462</v>
      </c>
      <c r="P16" s="87" t="s">
        <v>462</v>
      </c>
      <c r="Q16" s="87"/>
      <c r="R16" s="87" t="s">
        <v>769</v>
      </c>
      <c r="S16" s="87" t="s">
        <v>1457</v>
      </c>
      <c r="T16" s="91">
        <v>42341.0</v>
      </c>
      <c r="U16" s="87"/>
      <c r="V16" s="87" t="s">
        <v>769</v>
      </c>
      <c r="W16" s="87"/>
      <c r="X16" s="91">
        <v>42345.0</v>
      </c>
      <c r="Y16" s="87"/>
      <c r="Z16" s="87"/>
      <c r="AA16" s="87"/>
      <c r="AB16" s="87"/>
      <c r="AC16" s="87"/>
      <c r="AD16" s="87"/>
      <c r="AE16" s="87"/>
      <c r="AF16" s="87"/>
      <c r="AG16" s="87"/>
      <c r="AH16" s="87"/>
      <c r="AI16" s="87"/>
      <c r="AJ16" s="87"/>
      <c r="AK16" s="87"/>
      <c r="AL16" s="87"/>
      <c r="AM16" s="87"/>
      <c r="AN16" s="87"/>
    </row>
    <row r="17" ht="16.5" customHeight="1">
      <c r="A17" s="87" t="s">
        <v>1252</v>
      </c>
      <c r="B17" s="87" t="s">
        <v>1255</v>
      </c>
      <c r="C17" s="87" t="s">
        <v>1255</v>
      </c>
      <c r="D17" s="87"/>
      <c r="E17" s="87" t="s">
        <v>578</v>
      </c>
      <c r="F17" s="79"/>
      <c r="G17" s="87" t="s">
        <v>289</v>
      </c>
      <c r="H17" s="87" t="s">
        <v>1463</v>
      </c>
      <c r="I17" s="87" t="s">
        <v>1464</v>
      </c>
      <c r="J17" s="87" t="s">
        <v>1097</v>
      </c>
      <c r="K17" s="89">
        <v>42179.0</v>
      </c>
      <c r="L17" s="87"/>
      <c r="M17" s="90" t="str">
        <f>HYPERLINK("http://www.bloomberg.com/graphics/2015-whats-warming-the-world/","http://www.bloomberg.com/graphics/2015-whats-warming-the-world/")</f>
        <v>http://www.bloomberg.com/graphics/2015-whats-warming-the-world/</v>
      </c>
      <c r="N17" s="87"/>
      <c r="O17" s="87" t="s">
        <v>462</v>
      </c>
      <c r="P17" s="87" t="s">
        <v>462</v>
      </c>
      <c r="Q17" s="87"/>
      <c r="R17" s="87" t="s">
        <v>769</v>
      </c>
      <c r="S17" s="87" t="s">
        <v>1469</v>
      </c>
      <c r="T17" s="91">
        <v>42193.0</v>
      </c>
      <c r="U17" s="91">
        <v>42576.0</v>
      </c>
      <c r="V17" s="87" t="s">
        <v>769</v>
      </c>
      <c r="W17" s="87"/>
      <c r="X17" s="91">
        <v>42209.0</v>
      </c>
      <c r="Y17" s="87"/>
      <c r="Z17" s="91"/>
      <c r="AA17" s="87"/>
      <c r="AB17" s="87"/>
      <c r="AC17" s="87"/>
      <c r="AD17" s="87"/>
      <c r="AE17" s="87"/>
      <c r="AF17" s="87"/>
      <c r="AG17" s="87"/>
      <c r="AH17" s="87"/>
      <c r="AI17" s="87"/>
      <c r="AJ17" s="87"/>
      <c r="AK17" s="87"/>
      <c r="AL17" s="87"/>
      <c r="AM17" s="87"/>
      <c r="AN17" s="87"/>
    </row>
    <row r="18" ht="16.5" customHeight="1">
      <c r="A18" s="87" t="s">
        <v>1252</v>
      </c>
      <c r="B18" s="87" t="s">
        <v>64</v>
      </c>
      <c r="C18" s="87" t="s">
        <v>387</v>
      </c>
      <c r="D18" s="87"/>
      <c r="E18" s="87" t="s">
        <v>578</v>
      </c>
      <c r="F18" s="79"/>
      <c r="G18" s="87" t="s">
        <v>111</v>
      </c>
      <c r="H18" s="87" t="s">
        <v>1471</v>
      </c>
      <c r="I18" s="87" t="s">
        <v>1472</v>
      </c>
      <c r="J18" s="87" t="s">
        <v>1471</v>
      </c>
      <c r="K18" s="89" t="s">
        <v>1255</v>
      </c>
      <c r="L18" s="87"/>
      <c r="M18" s="90" t="str">
        <f>HYPERLINK("http://fortheloveof.org.uk/stories/","http://fortheloveof.org.uk/stories/")</f>
        <v>http://fortheloveof.org.uk/stories/</v>
      </c>
      <c r="N18" s="87"/>
      <c r="O18" s="87" t="s">
        <v>428</v>
      </c>
      <c r="P18" s="87" t="s">
        <v>462</v>
      </c>
      <c r="Q18" s="87"/>
      <c r="R18" s="87" t="s">
        <v>600</v>
      </c>
      <c r="S18" s="87"/>
      <c r="T18" s="87"/>
      <c r="U18" s="87"/>
      <c r="V18" s="87"/>
      <c r="W18" s="87"/>
      <c r="X18" s="87"/>
      <c r="Y18" s="87"/>
      <c r="Z18" s="87"/>
      <c r="AA18" s="87"/>
      <c r="AB18" s="87"/>
      <c r="AC18" s="87"/>
      <c r="AD18" s="87"/>
      <c r="AE18" s="87"/>
      <c r="AF18" s="87"/>
      <c r="AG18" s="87"/>
      <c r="AH18" s="87"/>
      <c r="AI18" s="87"/>
      <c r="AJ18" s="87"/>
      <c r="AK18" s="87"/>
      <c r="AL18" s="87"/>
      <c r="AM18" s="87"/>
      <c r="AN18" s="87"/>
    </row>
    <row r="19" ht="16.5" customHeight="1">
      <c r="A19" s="87" t="s">
        <v>1252</v>
      </c>
      <c r="B19" s="87" t="s">
        <v>1255</v>
      </c>
      <c r="C19" s="87" t="s">
        <v>1480</v>
      </c>
      <c r="D19" s="87"/>
      <c r="E19" s="87" t="s">
        <v>837</v>
      </c>
      <c r="F19" s="79"/>
      <c r="G19" s="87" t="s">
        <v>289</v>
      </c>
      <c r="H19" s="87" t="s">
        <v>1482</v>
      </c>
      <c r="I19" s="87" t="s">
        <v>1483</v>
      </c>
      <c r="J19" s="87" t="s">
        <v>1484</v>
      </c>
      <c r="K19" s="89">
        <v>42100.0</v>
      </c>
      <c r="L19" s="87" t="s">
        <v>1485</v>
      </c>
      <c r="M19" s="90" t="str">
        <f>HYPERLINK("http://insideclimatenews.org/carbon-copy/06042015/climate-change-beliefs-parsed-local-level-paint-valuable-portrait","http://insideclimatenews.org/carbon-copy/06042015/climate-change-beliefs-parsed-local-level-paint-valuable-portrait")</f>
        <v>http://insideclimatenews.org/carbon-copy/06042015/climate-change-beliefs-parsed-local-level-paint-valuable-portrait</v>
      </c>
      <c r="N19" s="87"/>
      <c r="O19" s="87" t="s">
        <v>462</v>
      </c>
      <c r="P19" s="87" t="s">
        <v>462</v>
      </c>
      <c r="Q19" s="87"/>
      <c r="R19" s="87" t="s">
        <v>769</v>
      </c>
      <c r="S19" s="87" t="s">
        <v>1487</v>
      </c>
      <c r="T19" s="91">
        <v>42206.0</v>
      </c>
      <c r="U19" s="91">
        <v>42514.0</v>
      </c>
      <c r="V19" s="87" t="s">
        <v>769</v>
      </c>
      <c r="W19" s="87"/>
      <c r="X19" s="91">
        <v>42107.0</v>
      </c>
      <c r="Y19" s="87" t="s">
        <v>1488</v>
      </c>
      <c r="Z19" s="87"/>
      <c r="AA19" s="87"/>
      <c r="AB19" s="87"/>
      <c r="AC19" s="87"/>
      <c r="AD19" s="87"/>
      <c r="AE19" s="87"/>
      <c r="AF19" s="87"/>
      <c r="AG19" s="87"/>
      <c r="AH19" s="87"/>
      <c r="AI19" s="87"/>
      <c r="AJ19" s="87"/>
      <c r="AK19" s="87"/>
      <c r="AL19" s="87"/>
      <c r="AM19" s="87"/>
      <c r="AN19" s="87"/>
    </row>
    <row r="20" ht="16.5" customHeight="1">
      <c r="A20" s="87" t="s">
        <v>1252</v>
      </c>
      <c r="B20" s="87" t="s">
        <v>64</v>
      </c>
      <c r="C20" s="87" t="s">
        <v>1480</v>
      </c>
      <c r="D20" s="87"/>
      <c r="E20" s="87" t="s">
        <v>1490</v>
      </c>
      <c r="F20" s="79"/>
      <c r="G20" s="87" t="s">
        <v>289</v>
      </c>
      <c r="H20" s="87" t="s">
        <v>1491</v>
      </c>
      <c r="I20" s="87" t="s">
        <v>1492</v>
      </c>
      <c r="J20" s="87" t="s">
        <v>1493</v>
      </c>
      <c r="K20" s="89">
        <v>42095.0</v>
      </c>
      <c r="L20" s="87"/>
      <c r="M20" s="90" t="str">
        <f>HYPERLINK("http://calgary.ctvnews.ca/inspired-to-ignite-world-vision-s-30-hour-famine-movement-1.2307984","http://calgary.ctvnews.ca/inspired-to-ignite-world-vision-s-30-hour-famine-movement-1.2307984")</f>
        <v>http://calgary.ctvnews.ca/inspired-to-ignite-world-vision-s-30-hour-famine-movement-1.2307984</v>
      </c>
      <c r="N20" s="87"/>
      <c r="O20" s="87" t="s">
        <v>428</v>
      </c>
      <c r="P20" s="87" t="s">
        <v>462</v>
      </c>
      <c r="Q20" s="87"/>
      <c r="R20" s="87" t="s">
        <v>600</v>
      </c>
      <c r="S20" s="87"/>
      <c r="T20" s="91"/>
      <c r="U20" s="87"/>
      <c r="V20" s="87"/>
      <c r="W20" s="87"/>
      <c r="X20" s="91"/>
      <c r="Y20" s="87"/>
      <c r="Z20" s="87"/>
      <c r="AA20" s="87"/>
      <c r="AB20" s="87"/>
      <c r="AC20" s="87"/>
      <c r="AD20" s="87"/>
      <c r="AE20" s="87"/>
      <c r="AF20" s="87"/>
      <c r="AG20" s="87"/>
      <c r="AH20" s="87"/>
      <c r="AI20" s="87"/>
      <c r="AJ20" s="87"/>
      <c r="AK20" s="87"/>
      <c r="AL20" s="87"/>
      <c r="AM20" s="87"/>
      <c r="AN20" s="87"/>
    </row>
    <row r="21" ht="16.5" customHeight="1">
      <c r="A21" s="87" t="s">
        <v>1252</v>
      </c>
      <c r="B21" s="87" t="s">
        <v>64</v>
      </c>
      <c r="C21" s="87" t="s">
        <v>1480</v>
      </c>
      <c r="D21" s="87"/>
      <c r="E21" s="87" t="s">
        <v>1490</v>
      </c>
      <c r="F21" s="79"/>
      <c r="G21" s="87" t="s">
        <v>289</v>
      </c>
      <c r="H21" s="87" t="s">
        <v>1499</v>
      </c>
      <c r="I21" s="87" t="s">
        <v>1500</v>
      </c>
      <c r="J21" s="87" t="s">
        <v>1501</v>
      </c>
      <c r="K21" s="89">
        <v>42066.0</v>
      </c>
      <c r="L21" s="87"/>
      <c r="M21" s="90" t="str">
        <f>HYPERLINK("http://napavalleyregister.com/star/news/local/students-adults-learn-about-experience-famine/article_d227d8b6-b635-5397-8048-226aaf53d641.html","http://napavalleyregister.com/star/news/local/students-adults-learn-about-experience-famine/article_d227d8b6-b635-5397-8048-226aaf53d641.html")</f>
        <v>http://napavalleyregister.com/star/news/local/students-adults-learn-about-experience-famine/article_d227d8b6-b635-5397-8048-226aaf53d641.html</v>
      </c>
      <c r="N21" s="87"/>
      <c r="O21" s="87" t="s">
        <v>428</v>
      </c>
      <c r="P21" s="87" t="s">
        <v>462</v>
      </c>
      <c r="Q21" s="87"/>
      <c r="R21" s="87" t="s">
        <v>600</v>
      </c>
      <c r="S21" s="87"/>
      <c r="T21" s="87"/>
      <c r="U21" s="87"/>
      <c r="V21" s="87"/>
      <c r="W21" s="87"/>
      <c r="X21" s="87"/>
      <c r="Y21" s="87"/>
      <c r="Z21" s="87"/>
      <c r="AA21" s="87"/>
      <c r="AB21" s="87"/>
      <c r="AC21" s="87"/>
      <c r="AD21" s="87"/>
      <c r="AE21" s="87"/>
      <c r="AF21" s="87"/>
      <c r="AG21" s="87"/>
      <c r="AH21" s="87"/>
      <c r="AI21" s="87"/>
      <c r="AJ21" s="87"/>
      <c r="AK21" s="87"/>
      <c r="AL21" s="87"/>
      <c r="AM21" s="87"/>
      <c r="AN21" s="87"/>
    </row>
    <row r="22" ht="16.5" customHeight="1">
      <c r="A22" s="87" t="s">
        <v>1252</v>
      </c>
      <c r="B22" s="87" t="s">
        <v>64</v>
      </c>
      <c r="C22" s="87" t="s">
        <v>1480</v>
      </c>
      <c r="D22" s="87"/>
      <c r="E22" s="87" t="s">
        <v>1490</v>
      </c>
      <c r="F22" s="79"/>
      <c r="G22" s="87" t="s">
        <v>289</v>
      </c>
      <c r="H22" s="87" t="s">
        <v>1506</v>
      </c>
      <c r="I22" s="87" t="s">
        <v>1507</v>
      </c>
      <c r="J22" s="87" t="s">
        <v>1375</v>
      </c>
      <c r="K22" s="89">
        <v>39138.0</v>
      </c>
      <c r="L22" s="87"/>
      <c r="M22" s="90" t="str">
        <f>HYPERLINK("http://www.washingtonpost.com/wp-dyn/content/article/2007/02/24/AR2007022401366.html","http://www.washingtonpost.com/wp-dyn/content/article/2007/02/24/AR2007022401366.html")</f>
        <v>http://www.washingtonpost.com/wp-dyn/content/article/2007/02/24/AR2007022401366.html</v>
      </c>
      <c r="N22" s="87"/>
      <c r="O22" s="87" t="s">
        <v>428</v>
      </c>
      <c r="P22" s="87" t="s">
        <v>462</v>
      </c>
      <c r="Q22" s="87"/>
      <c r="R22" s="87" t="s">
        <v>600</v>
      </c>
      <c r="S22" s="87"/>
      <c r="T22" s="91"/>
      <c r="U22" s="87"/>
      <c r="V22" s="87"/>
      <c r="W22" s="87"/>
      <c r="X22" s="91"/>
      <c r="Y22" s="87"/>
      <c r="Z22" s="87"/>
      <c r="AA22" s="87"/>
      <c r="AB22" s="87"/>
      <c r="AC22" s="87"/>
      <c r="AD22" s="87"/>
      <c r="AE22" s="87"/>
      <c r="AF22" s="87"/>
      <c r="AG22" s="87"/>
      <c r="AH22" s="87"/>
      <c r="AI22" s="87"/>
      <c r="AJ22" s="87"/>
      <c r="AK22" s="87"/>
      <c r="AL22" s="87"/>
      <c r="AM22" s="87"/>
      <c r="AN22" s="87"/>
    </row>
    <row r="23" ht="16.5" customHeight="1">
      <c r="A23" s="87" t="s">
        <v>462</v>
      </c>
      <c r="B23" s="87" t="s">
        <v>1255</v>
      </c>
      <c r="C23" s="87" t="s">
        <v>574</v>
      </c>
      <c r="D23" s="87"/>
      <c r="E23" s="87" t="s">
        <v>323</v>
      </c>
      <c r="F23" s="79"/>
      <c r="G23" s="87" t="s">
        <v>289</v>
      </c>
      <c r="H23" s="87" t="s">
        <v>1513</v>
      </c>
      <c r="I23" s="87" t="s">
        <v>1514</v>
      </c>
      <c r="J23" s="87" t="s">
        <v>1514</v>
      </c>
      <c r="K23" s="89">
        <v>41880.0</v>
      </c>
      <c r="L23" s="87" t="s">
        <v>1515</v>
      </c>
      <c r="M23" s="90" t="str">
        <f>HYPERLINK("http://www.therootsolutions.org/#!Dose-of-Decision-Science-Loss-Aversion/c13v2/0AACC220-63E1-47F3-B872-BF714A08DB29","http://www.therootsolutions.org/#!Dose-of-Decision-Science-Loss-Aversion/c13v2/0AACC220-63E1-47F3-B872-BF714A08DB29")</f>
        <v>http://www.therootsolutions.org/#!Dose-of-Decision-Science-Loss-Aversion/c13v2/0AACC220-63E1-47F3-B872-BF714A08DB29</v>
      </c>
      <c r="N23" s="87" t="s">
        <v>1519</v>
      </c>
      <c r="O23" s="87" t="s">
        <v>462</v>
      </c>
      <c r="P23" s="87" t="s">
        <v>462</v>
      </c>
      <c r="Q23" s="87" t="s">
        <v>676</v>
      </c>
      <c r="R23" s="87" t="s">
        <v>769</v>
      </c>
      <c r="S23" s="87" t="s">
        <v>1523</v>
      </c>
      <c r="T23" s="91">
        <v>41880.0</v>
      </c>
      <c r="U23" s="91">
        <v>42534.0</v>
      </c>
      <c r="V23" s="87" t="s">
        <v>769</v>
      </c>
      <c r="W23" s="87"/>
      <c r="X23" s="91">
        <v>41880.0</v>
      </c>
      <c r="Y23" s="87"/>
      <c r="Z23" s="87"/>
      <c r="AA23" s="87"/>
      <c r="AB23" s="87"/>
      <c r="AC23" s="87"/>
      <c r="AD23" s="87"/>
      <c r="AE23" s="87"/>
      <c r="AF23" s="87"/>
      <c r="AG23" s="87"/>
      <c r="AH23" s="87"/>
      <c r="AI23" s="87"/>
      <c r="AJ23" s="87"/>
      <c r="AK23" s="87"/>
      <c r="AL23" s="87"/>
      <c r="AM23" s="87"/>
      <c r="AN23" s="87"/>
    </row>
    <row r="24" ht="16.5" customHeight="1">
      <c r="A24" s="87" t="s">
        <v>462</v>
      </c>
      <c r="B24" s="87" t="s">
        <v>1255</v>
      </c>
      <c r="C24" s="87" t="s">
        <v>574</v>
      </c>
      <c r="D24" s="87"/>
      <c r="E24" s="87" t="s">
        <v>267</v>
      </c>
      <c r="F24" s="79"/>
      <c r="G24" s="87" t="s">
        <v>289</v>
      </c>
      <c r="H24" s="87" t="s">
        <v>1524</v>
      </c>
      <c r="I24" s="87" t="s">
        <v>1525</v>
      </c>
      <c r="J24" s="87" t="s">
        <v>1526</v>
      </c>
      <c r="K24" s="89">
        <v>41891.0</v>
      </c>
      <c r="L24" s="87"/>
      <c r="M24" s="90" t="str">
        <f>HYPERLINK("http://frameblog.org/2014/09/09/communicating-complexity/","http://frameblog.org/2014/09/09/communicating-complexity/")</f>
        <v>http://frameblog.org/2014/09/09/communicating-complexity/</v>
      </c>
      <c r="N24" s="87"/>
      <c r="O24" s="87" t="s">
        <v>462</v>
      </c>
      <c r="P24" s="87" t="s">
        <v>462</v>
      </c>
      <c r="Q24" s="87"/>
      <c r="R24" s="87" t="s">
        <v>677</v>
      </c>
      <c r="S24" s="87"/>
      <c r="T24" s="87"/>
      <c r="U24" s="87"/>
      <c r="V24" s="87"/>
      <c r="W24" s="87"/>
      <c r="X24" s="87"/>
      <c r="Y24" s="87"/>
      <c r="Z24" s="87"/>
      <c r="AA24" s="87"/>
      <c r="AB24" s="87"/>
      <c r="AC24" s="87"/>
      <c r="AD24" s="87"/>
      <c r="AE24" s="87"/>
      <c r="AF24" s="87"/>
      <c r="AG24" s="87"/>
      <c r="AH24" s="87"/>
      <c r="AI24" s="87"/>
      <c r="AJ24" s="87"/>
      <c r="AK24" s="87"/>
      <c r="AL24" s="87"/>
      <c r="AM24" s="87"/>
      <c r="AN24" s="87"/>
    </row>
    <row r="25" ht="16.5" customHeight="1">
      <c r="A25" s="87" t="s">
        <v>462</v>
      </c>
      <c r="B25" s="87" t="s">
        <v>64</v>
      </c>
      <c r="C25" s="87" t="s">
        <v>574</v>
      </c>
      <c r="D25" s="87"/>
      <c r="E25" s="87" t="s">
        <v>1534</v>
      </c>
      <c r="F25" s="79"/>
      <c r="G25" s="87"/>
      <c r="H25" s="87" t="s">
        <v>1535</v>
      </c>
      <c r="I25" s="87" t="s">
        <v>1536</v>
      </c>
      <c r="J25" s="87" t="s">
        <v>1538</v>
      </c>
      <c r="K25" s="89">
        <v>42107.0</v>
      </c>
      <c r="L25" s="87" t="s">
        <v>1541</v>
      </c>
      <c r="M25" s="90" t="str">
        <f>HYPERLINK("http://m.fastcompany.com/3044728/what-americans-think-about-climate-change-its-complicated","http://m.fastcompany.com/3044728/what-americans-think-about-climate-change-its-complicated")</f>
        <v>http://m.fastcompany.com/3044728/what-americans-think-about-climate-change-its-complicated</v>
      </c>
      <c r="N25" s="87"/>
      <c r="O25" s="87" t="s">
        <v>462</v>
      </c>
      <c r="P25" s="87" t="s">
        <v>462</v>
      </c>
      <c r="Q25" s="87" t="s">
        <v>1099</v>
      </c>
      <c r="R25" s="87" t="s">
        <v>769</v>
      </c>
      <c r="S25" s="87" t="s">
        <v>1543</v>
      </c>
      <c r="T25" s="91">
        <v>42180.0</v>
      </c>
      <c r="U25" s="91">
        <v>42556.0</v>
      </c>
      <c r="V25" s="87" t="s">
        <v>769</v>
      </c>
      <c r="W25" s="87"/>
      <c r="X25" s="91">
        <v>42195.0</v>
      </c>
      <c r="Y25" s="87"/>
      <c r="Z25" s="87"/>
      <c r="AA25" s="87"/>
      <c r="AB25" s="87"/>
      <c r="AC25" s="87"/>
      <c r="AD25" s="87"/>
      <c r="AE25" s="87"/>
      <c r="AF25" s="87"/>
      <c r="AG25" s="87"/>
      <c r="AH25" s="87"/>
      <c r="AI25" s="87"/>
      <c r="AJ25" s="87"/>
      <c r="AK25" s="87"/>
      <c r="AL25" s="87"/>
      <c r="AM25" s="87"/>
      <c r="AN25" s="87"/>
    </row>
    <row r="26" ht="16.5" customHeight="1">
      <c r="A26" s="87" t="s">
        <v>462</v>
      </c>
      <c r="B26" s="87" t="s">
        <v>64</v>
      </c>
      <c r="C26" s="87" t="s">
        <v>574</v>
      </c>
      <c r="D26" s="87"/>
      <c r="E26" s="87" t="s">
        <v>623</v>
      </c>
      <c r="F26" s="79"/>
      <c r="G26" s="87" t="s">
        <v>289</v>
      </c>
      <c r="H26" s="87" t="s">
        <v>1546</v>
      </c>
      <c r="I26" s="87" t="s">
        <v>1548</v>
      </c>
      <c r="J26" s="87" t="s">
        <v>1550</v>
      </c>
      <c r="K26" s="89">
        <v>42075.0</v>
      </c>
      <c r="L26" s="87" t="s">
        <v>1553</v>
      </c>
      <c r="M26" s="90" t="str">
        <f>HYPERLINK("http://ecoaffect.org/2015/03/12/want-people-to-save-energy-choose-the-right-imagery/","http://ecoaffect.org/2015/03/12/want-people-to-save-energy-choose-the-right-imagery/")</f>
        <v>http://ecoaffect.org/2015/03/12/want-people-to-save-energy-choose-the-right-imagery/</v>
      </c>
      <c r="N26" s="87"/>
      <c r="O26" s="87" t="s">
        <v>462</v>
      </c>
      <c r="P26" s="87" t="s">
        <v>462</v>
      </c>
      <c r="Q26" s="87" t="s">
        <v>1099</v>
      </c>
      <c r="R26" s="87" t="s">
        <v>600</v>
      </c>
      <c r="S26" s="87" t="s">
        <v>1555</v>
      </c>
      <c r="T26" s="91">
        <v>42123.0</v>
      </c>
      <c r="U26" s="91">
        <v>42548.0</v>
      </c>
      <c r="V26" s="87"/>
      <c r="W26" s="87"/>
      <c r="X26" s="87"/>
      <c r="Y26" s="87" t="s">
        <v>1488</v>
      </c>
      <c r="Z26" s="87"/>
      <c r="AA26" s="87"/>
      <c r="AB26" s="87"/>
      <c r="AC26" s="87" t="s">
        <v>428</v>
      </c>
      <c r="AD26" s="87"/>
      <c r="AE26" s="87"/>
      <c r="AF26" s="87"/>
      <c r="AG26" s="87"/>
      <c r="AH26" s="87"/>
      <c r="AI26" s="87"/>
      <c r="AJ26" s="87"/>
      <c r="AK26" s="87"/>
      <c r="AL26" s="87"/>
      <c r="AM26" s="87"/>
      <c r="AN26" s="87"/>
    </row>
    <row r="27" ht="16.5" customHeight="1">
      <c r="A27" s="87" t="s">
        <v>462</v>
      </c>
      <c r="B27" s="87" t="s">
        <v>64</v>
      </c>
      <c r="C27" s="87" t="s">
        <v>574</v>
      </c>
      <c r="D27" s="87"/>
      <c r="E27" s="87"/>
      <c r="F27" s="79"/>
      <c r="G27" s="87"/>
      <c r="H27" s="87" t="s">
        <v>1556</v>
      </c>
      <c r="I27" s="87" t="s">
        <v>1557</v>
      </c>
      <c r="J27" s="87"/>
      <c r="K27" s="89"/>
      <c r="L27" s="87"/>
      <c r="M27" s="90" t="str">
        <f>HYPERLINK("http://www.amazon.com/Metaphors-Environmental-Sustainability-Redefining-Relationship/dp/0300151535","http://www.amazon.com/Metaphors-Environmental-Sustainability-Redefining-Relationship/dp/0300151535")</f>
        <v>http://www.amazon.com/Metaphors-Environmental-Sustainability-Redefining-Relationship/dp/0300151535</v>
      </c>
      <c r="N27" s="87"/>
      <c r="O27" s="87" t="s">
        <v>462</v>
      </c>
      <c r="P27" s="87" t="s">
        <v>462</v>
      </c>
      <c r="Q27" s="87"/>
      <c r="R27" s="87" t="s">
        <v>769</v>
      </c>
      <c r="S27" s="87" t="s">
        <v>1558</v>
      </c>
      <c r="T27" s="91">
        <v>42205.0</v>
      </c>
      <c r="U27" s="91">
        <v>42579.0</v>
      </c>
      <c r="V27" s="87"/>
      <c r="W27" s="87"/>
      <c r="X27" s="91"/>
      <c r="Y27" s="87"/>
      <c r="Z27" s="87"/>
      <c r="AA27" s="87"/>
      <c r="AB27" s="87"/>
      <c r="AC27" s="87"/>
      <c r="AD27" s="87"/>
      <c r="AE27" s="87"/>
      <c r="AF27" s="87"/>
      <c r="AG27" s="87"/>
      <c r="AH27" s="87"/>
      <c r="AI27" s="87"/>
      <c r="AJ27" s="87"/>
      <c r="AK27" s="87"/>
      <c r="AL27" s="87"/>
      <c r="AM27" s="87"/>
      <c r="AN27" s="87"/>
    </row>
    <row r="28" ht="16.5" customHeight="1">
      <c r="A28" s="87" t="s">
        <v>462</v>
      </c>
      <c r="B28" s="87" t="s">
        <v>64</v>
      </c>
      <c r="C28" s="87" t="s">
        <v>574</v>
      </c>
      <c r="D28" s="87"/>
      <c r="E28" s="87"/>
      <c r="F28" s="79"/>
      <c r="G28" s="87"/>
      <c r="H28" s="87" t="s">
        <v>1561</v>
      </c>
      <c r="I28" s="87" t="s">
        <v>1563</v>
      </c>
      <c r="J28" s="87" t="s">
        <v>1564</v>
      </c>
      <c r="K28" s="89">
        <v>2011.0</v>
      </c>
      <c r="L28" s="87" t="s">
        <v>1566</v>
      </c>
      <c r="M28" s="90" t="str">
        <f>HYPERLINK("http://www.decisionsciencenews.com/2011/12/06/misleading-comparisons-of-probability/","http://www.decisionsciencenews.com/2011/12/06/misleading-comparisons-of-probability/")</f>
        <v>http://www.decisionsciencenews.com/2011/12/06/misleading-comparisons-of-probability/</v>
      </c>
      <c r="N28" s="87"/>
      <c r="O28" s="87" t="s">
        <v>462</v>
      </c>
      <c r="P28" s="87" t="s">
        <v>462</v>
      </c>
      <c r="Q28" s="87" t="s">
        <v>676</v>
      </c>
      <c r="R28" s="87" t="s">
        <v>677</v>
      </c>
      <c r="S28" s="87"/>
      <c r="T28" s="91"/>
      <c r="U28" s="87"/>
      <c r="V28" s="87"/>
      <c r="W28" s="87"/>
      <c r="X28" s="91"/>
      <c r="Y28" s="87"/>
      <c r="Z28" s="87"/>
      <c r="AA28" s="87"/>
      <c r="AB28" s="87"/>
      <c r="AC28" s="87"/>
      <c r="AD28" s="87"/>
      <c r="AE28" s="87"/>
      <c r="AF28" s="87"/>
      <c r="AG28" s="87"/>
      <c r="AH28" s="87"/>
      <c r="AI28" s="87"/>
      <c r="AJ28" s="87"/>
      <c r="AK28" s="87"/>
      <c r="AL28" s="87"/>
      <c r="AM28" s="87"/>
      <c r="AN28" s="87"/>
    </row>
    <row r="29" ht="16.5" customHeight="1">
      <c r="A29" s="87" t="s">
        <v>462</v>
      </c>
      <c r="B29" s="87" t="s">
        <v>64</v>
      </c>
      <c r="C29" s="87" t="s">
        <v>574</v>
      </c>
      <c r="D29" s="87"/>
      <c r="E29" s="87"/>
      <c r="F29" s="79"/>
      <c r="G29" s="87"/>
      <c r="H29" s="87" t="s">
        <v>1572</v>
      </c>
      <c r="I29" s="87"/>
      <c r="J29" s="87" t="s">
        <v>1526</v>
      </c>
      <c r="K29" s="89">
        <v>41897.0</v>
      </c>
      <c r="L29" s="87"/>
      <c r="M29" s="90" t="str">
        <f>HYPERLINK("http://frameblog.org/2014/09/15/the-power-of-finding-a-story/","http://frameblog.org/2014/09/15/the-power-of-finding-a-story/")</f>
        <v>http://frameblog.org/2014/09/15/the-power-of-finding-a-story/</v>
      </c>
      <c r="N29" s="87"/>
      <c r="O29" s="87" t="s">
        <v>462</v>
      </c>
      <c r="P29" s="87" t="s">
        <v>462</v>
      </c>
      <c r="Q29" s="87" t="s">
        <v>676</v>
      </c>
      <c r="R29" s="87" t="s">
        <v>677</v>
      </c>
      <c r="S29" s="87"/>
      <c r="T29" s="87"/>
      <c r="U29" s="87"/>
      <c r="V29" s="87"/>
      <c r="W29" s="87"/>
      <c r="X29" s="87"/>
      <c r="Y29" s="87"/>
      <c r="Z29" s="87"/>
      <c r="AA29" s="87"/>
      <c r="AB29" s="87"/>
      <c r="AC29" s="87"/>
      <c r="AD29" s="87"/>
      <c r="AE29" s="87"/>
      <c r="AF29" s="87"/>
      <c r="AG29" s="87"/>
      <c r="AH29" s="87"/>
      <c r="AI29" s="87"/>
      <c r="AJ29" s="87"/>
      <c r="AK29" s="87"/>
      <c r="AL29" s="87"/>
      <c r="AM29" s="87"/>
      <c r="AN29" s="87"/>
    </row>
    <row r="30" ht="16.5" customHeight="1">
      <c r="A30" s="87" t="s">
        <v>462</v>
      </c>
      <c r="B30" s="87" t="s">
        <v>64</v>
      </c>
      <c r="C30" s="87" t="s">
        <v>574</v>
      </c>
      <c r="D30" s="87"/>
      <c r="E30" s="87"/>
      <c r="F30" s="79"/>
      <c r="G30" s="87" t="s">
        <v>289</v>
      </c>
      <c r="H30" s="87" t="s">
        <v>1578</v>
      </c>
      <c r="I30" s="87" t="s">
        <v>1579</v>
      </c>
      <c r="J30" s="87" t="s">
        <v>1325</v>
      </c>
      <c r="K30" s="89">
        <v>42098.0</v>
      </c>
      <c r="L30" s="87"/>
      <c r="M30" s="87" t="s">
        <v>1580</v>
      </c>
      <c r="N30" s="87"/>
      <c r="O30" s="87" t="s">
        <v>462</v>
      </c>
      <c r="P30" s="87" t="s">
        <v>462</v>
      </c>
      <c r="Q30" s="87" t="s">
        <v>676</v>
      </c>
      <c r="R30" s="87" t="s">
        <v>769</v>
      </c>
      <c r="S30" s="87" t="s">
        <v>1582</v>
      </c>
      <c r="T30" s="91">
        <v>42191.0</v>
      </c>
      <c r="U30" s="87"/>
      <c r="V30" s="87"/>
      <c r="W30" s="87"/>
      <c r="X30" s="91"/>
      <c r="Y30" s="87"/>
      <c r="Z30" s="87"/>
      <c r="AA30" s="87"/>
      <c r="AB30" s="87"/>
      <c r="AC30" s="87"/>
      <c r="AD30" s="87"/>
      <c r="AE30" s="87"/>
      <c r="AF30" s="87"/>
      <c r="AG30" s="87"/>
      <c r="AH30" s="87"/>
      <c r="AI30" s="87"/>
      <c r="AJ30" s="87"/>
      <c r="AK30" s="87"/>
      <c r="AL30" s="87"/>
      <c r="AM30" s="87"/>
      <c r="AN30" s="87"/>
    </row>
    <row r="31" ht="16.5" customHeight="1">
      <c r="A31" s="87" t="s">
        <v>462</v>
      </c>
      <c r="B31" s="87" t="s">
        <v>64</v>
      </c>
      <c r="C31" s="87" t="s">
        <v>574</v>
      </c>
      <c r="D31" s="87"/>
      <c r="E31" s="87" t="s">
        <v>323</v>
      </c>
      <c r="F31" s="79"/>
      <c r="G31" s="87"/>
      <c r="H31" s="87" t="s">
        <v>1586</v>
      </c>
      <c r="I31" s="87"/>
      <c r="J31" s="87" t="s">
        <v>1587</v>
      </c>
      <c r="K31" s="89"/>
      <c r="L31" s="87" t="s">
        <v>1588</v>
      </c>
      <c r="M31" s="90" t="str">
        <f>HYPERLINK("http://www.intractableconflict.org/environmentalAssociations/introduction2.shtml","http://www.intractableconflict.org/environmentalAssociations/introduction2.shtml")</f>
        <v>http://www.intractableconflict.org/environmentalAssociations/introduction2.shtml</v>
      </c>
      <c r="N31" s="87"/>
      <c r="O31" s="87" t="s">
        <v>462</v>
      </c>
      <c r="P31" s="87" t="s">
        <v>428</v>
      </c>
      <c r="Q31" s="87"/>
      <c r="R31" s="87" t="s">
        <v>600</v>
      </c>
      <c r="S31" s="91"/>
      <c r="T31" s="91"/>
      <c r="U31" s="91"/>
      <c r="V31" s="87"/>
      <c r="W31" s="87"/>
      <c r="X31" s="87"/>
      <c r="Y31" s="87"/>
      <c r="Z31" s="87"/>
      <c r="AA31" s="87"/>
      <c r="AB31" s="87"/>
      <c r="AC31" s="87"/>
      <c r="AD31" s="87"/>
      <c r="AE31" s="87"/>
      <c r="AF31" s="87"/>
      <c r="AG31" s="87"/>
      <c r="AH31" s="87"/>
      <c r="AI31" s="87"/>
      <c r="AJ31" s="87"/>
      <c r="AK31" s="87"/>
      <c r="AL31" s="87"/>
      <c r="AM31" s="87"/>
      <c r="AN31" s="87"/>
    </row>
    <row r="32" ht="16.5" customHeight="1">
      <c r="A32" s="87" t="s">
        <v>462</v>
      </c>
      <c r="B32" s="87" t="s">
        <v>64</v>
      </c>
      <c r="C32" s="87" t="s">
        <v>1595</v>
      </c>
      <c r="D32" s="87"/>
      <c r="E32" s="87" t="s">
        <v>1596</v>
      </c>
      <c r="F32" s="79"/>
      <c r="G32" s="87"/>
      <c r="H32" s="87" t="s">
        <v>1597</v>
      </c>
      <c r="I32" s="87" t="s">
        <v>1599</v>
      </c>
      <c r="J32" s="87" t="s">
        <v>1600</v>
      </c>
      <c r="K32" s="89">
        <v>2013.0</v>
      </c>
      <c r="L32" s="87" t="s">
        <v>1602</v>
      </c>
      <c r="M32" s="90" t="str">
        <f>HYPERLINK("http://www.huffingtonpost.com/george-lakoff/systemic-causation-and-sy_b_3916092.html","http://www.huffingtonpost.com/george-lakoff/systemic-causation-and-sy_b_3916092.html")</f>
        <v>http://www.huffingtonpost.com/george-lakoff/systemic-causation-and-sy_b_3916092.html</v>
      </c>
      <c r="N32" s="87"/>
      <c r="O32" s="87" t="s">
        <v>462</v>
      </c>
      <c r="P32" s="87" t="s">
        <v>462</v>
      </c>
      <c r="Q32" s="87"/>
      <c r="R32" s="87" t="s">
        <v>677</v>
      </c>
      <c r="S32" s="87"/>
      <c r="T32" s="91"/>
      <c r="U32" s="87"/>
      <c r="V32" s="87"/>
      <c r="W32" s="87"/>
      <c r="X32" s="91"/>
      <c r="Y32" s="87"/>
      <c r="Z32" s="87"/>
      <c r="AA32" s="87"/>
      <c r="AB32" s="87"/>
      <c r="AC32" s="87"/>
      <c r="AD32" s="87"/>
      <c r="AE32" s="87"/>
      <c r="AF32" s="87"/>
      <c r="AG32" s="87"/>
      <c r="AH32" s="87"/>
      <c r="AI32" s="87"/>
      <c r="AJ32" s="87"/>
      <c r="AK32" s="87"/>
      <c r="AL32" s="87"/>
      <c r="AM32" s="87"/>
      <c r="AN32" s="87"/>
    </row>
    <row r="33" ht="16.5" customHeight="1">
      <c r="A33" s="87" t="s">
        <v>462</v>
      </c>
      <c r="B33" s="87" t="s">
        <v>64</v>
      </c>
      <c r="C33" s="87" t="s">
        <v>1311</v>
      </c>
      <c r="D33" s="87"/>
      <c r="E33" s="87"/>
      <c r="F33" s="79"/>
      <c r="G33" s="87"/>
      <c r="H33" s="87" t="s">
        <v>1609</v>
      </c>
      <c r="I33" s="87" t="s">
        <v>1610</v>
      </c>
      <c r="J33" s="87" t="s">
        <v>1611</v>
      </c>
      <c r="K33" s="89">
        <v>41883.0</v>
      </c>
      <c r="L33" s="87" t="s">
        <v>1612</v>
      </c>
      <c r="M33" s="90" t="str">
        <f>HYPERLINK("http://www.theatlantic.com/magazine/archive/2014/09/how-to-talk-about-climate-change-so-people-will-listen/375067/","http://www.theatlantic.com/magazine/archive/2014/09/how-to-talk-about-climate-change-so-people-will-listen/375067/")</f>
        <v>http://www.theatlantic.com/magazine/archive/2014/09/how-to-talk-about-climate-change-so-people-will-listen/375067/</v>
      </c>
      <c r="N33" s="87"/>
      <c r="O33" s="87" t="s">
        <v>462</v>
      </c>
      <c r="P33" s="87" t="s">
        <v>462</v>
      </c>
      <c r="Q33" s="87" t="s">
        <v>676</v>
      </c>
      <c r="R33" s="87" t="s">
        <v>769</v>
      </c>
      <c r="S33" s="87" t="s">
        <v>1615</v>
      </c>
      <c r="T33" s="91">
        <v>42184.0</v>
      </c>
      <c r="U33" s="91">
        <v>42565.0</v>
      </c>
      <c r="V33" s="87" t="s">
        <v>769</v>
      </c>
      <c r="W33" s="87"/>
      <c r="X33" s="91">
        <v>42515.0</v>
      </c>
      <c r="Y33" s="87"/>
      <c r="Z33" s="87"/>
      <c r="AA33" s="87"/>
      <c r="AB33" s="87"/>
      <c r="AC33" s="87"/>
      <c r="AD33" s="87"/>
      <c r="AE33" s="87"/>
      <c r="AF33" s="87"/>
      <c r="AG33" s="87"/>
      <c r="AH33" s="87"/>
      <c r="AI33" s="87"/>
      <c r="AJ33" s="87"/>
      <c r="AK33" s="87"/>
      <c r="AL33" s="87"/>
      <c r="AM33" s="87"/>
      <c r="AN33" s="87"/>
    </row>
    <row r="34" ht="16.5" customHeight="1">
      <c r="A34" s="87" t="s">
        <v>462</v>
      </c>
      <c r="B34" s="87" t="s">
        <v>64</v>
      </c>
      <c r="C34" s="87" t="s">
        <v>1616</v>
      </c>
      <c r="D34" s="87"/>
      <c r="E34" s="87"/>
      <c r="F34" s="79"/>
      <c r="G34" s="87"/>
      <c r="H34" s="87" t="s">
        <v>1617</v>
      </c>
      <c r="I34" s="87" t="s">
        <v>1618</v>
      </c>
      <c r="J34" s="87" t="s">
        <v>1619</v>
      </c>
      <c r="K34" s="89">
        <v>42159.0</v>
      </c>
      <c r="L34" s="87" t="s">
        <v>1620</v>
      </c>
      <c r="M34" s="90" t="str">
        <f>HYPERLINK("http://www.theguardian.com/environment/2015/jun/04/global-warming-hasnt-paused-study-finds?CMP=share_btn_tw","http://www.theguardian.com/environment/2015/jun/04/global-warming-hasnt-paused-study-finds?CMP=share_btn_tw")</f>
        <v>http://www.theguardian.com/environment/2015/jun/04/global-warming-hasnt-paused-study-finds?CMP=share_btn_tw</v>
      </c>
      <c r="N34" s="87"/>
      <c r="O34" s="87" t="s">
        <v>462</v>
      </c>
      <c r="P34" s="87" t="s">
        <v>462</v>
      </c>
      <c r="Q34" s="87" t="s">
        <v>676</v>
      </c>
      <c r="R34" s="87" t="s">
        <v>769</v>
      </c>
      <c r="S34" s="87" t="s">
        <v>1625</v>
      </c>
      <c r="T34" s="91">
        <v>42200.0</v>
      </c>
      <c r="U34" s="87"/>
      <c r="V34" s="87"/>
      <c r="W34" s="87"/>
      <c r="X34" s="91"/>
      <c r="Y34" s="87"/>
      <c r="Z34" s="87"/>
      <c r="AA34" s="87"/>
      <c r="AB34" s="87"/>
      <c r="AC34" s="87"/>
      <c r="AD34" s="87"/>
      <c r="AE34" s="87"/>
      <c r="AF34" s="87"/>
      <c r="AG34" s="87"/>
      <c r="AH34" s="87"/>
      <c r="AI34" s="87"/>
      <c r="AJ34" s="87"/>
      <c r="AK34" s="87"/>
      <c r="AL34" s="87"/>
      <c r="AM34" s="87"/>
      <c r="AN34" s="87"/>
    </row>
    <row r="35" ht="16.5" customHeight="1">
      <c r="A35" s="87" t="s">
        <v>462</v>
      </c>
      <c r="B35" s="87" t="s">
        <v>64</v>
      </c>
      <c r="C35" s="87" t="s">
        <v>1455</v>
      </c>
      <c r="D35" s="87"/>
      <c r="E35" s="87"/>
      <c r="F35" s="79"/>
      <c r="G35" s="87"/>
      <c r="H35" s="92" t="s">
        <v>1626</v>
      </c>
      <c r="I35" s="87" t="s">
        <v>1495</v>
      </c>
      <c r="J35" s="87" t="s">
        <v>1627</v>
      </c>
      <c r="K35" s="89">
        <v>42339.0</v>
      </c>
      <c r="L35" s="87" t="s">
        <v>1628</v>
      </c>
      <c r="M35" s="90" t="str">
        <f>HYPERLINK("http://www.climateaccess.org/blog/social-change-not-linear","http://www.climateaccess.org/blog/social-change-not-linear")</f>
        <v>http://www.climateaccess.org/blog/social-change-not-linear</v>
      </c>
      <c r="N35" s="87"/>
      <c r="O35" s="87"/>
      <c r="P35" s="87"/>
      <c r="Q35" s="87"/>
      <c r="R35" s="87" t="s">
        <v>769</v>
      </c>
      <c r="S35" s="87" t="s">
        <v>1634</v>
      </c>
      <c r="T35" s="91">
        <v>42641.0</v>
      </c>
      <c r="U35" s="87"/>
      <c r="V35" s="87"/>
      <c r="W35" s="87"/>
      <c r="X35" s="87"/>
      <c r="Y35" s="87"/>
      <c r="Z35" s="87"/>
      <c r="AA35" s="87"/>
      <c r="AB35" s="87"/>
      <c r="AC35" s="87"/>
      <c r="AD35" s="87" t="s">
        <v>428</v>
      </c>
      <c r="AE35" s="87"/>
      <c r="AF35" s="87"/>
      <c r="AG35" s="87"/>
      <c r="AH35" s="87"/>
      <c r="AI35" s="87"/>
      <c r="AJ35" s="87"/>
      <c r="AK35" s="87"/>
      <c r="AL35" s="87"/>
      <c r="AM35" s="87"/>
      <c r="AN35" s="87"/>
    </row>
    <row r="36" ht="16.5" customHeight="1">
      <c r="A36" s="87" t="s">
        <v>462</v>
      </c>
      <c r="B36" s="87" t="s">
        <v>64</v>
      </c>
      <c r="C36" s="87" t="s">
        <v>1635</v>
      </c>
      <c r="D36" s="87"/>
      <c r="E36" s="87" t="s">
        <v>1636</v>
      </c>
      <c r="F36" s="79"/>
      <c r="G36" s="87"/>
      <c r="H36" s="87" t="s">
        <v>1637</v>
      </c>
      <c r="I36" s="87" t="s">
        <v>1638</v>
      </c>
      <c r="J36" s="87" t="s">
        <v>1639</v>
      </c>
      <c r="K36" s="89">
        <v>2013.0</v>
      </c>
      <c r="L36" s="87" t="s">
        <v>1640</v>
      </c>
      <c r="M36" s="90" t="str">
        <f>HYPERLINK("http://www.nature.com/news/psychologists-strike-a-blow-for-reproducibility-1.14232","http://www.nature.com/news/psychologists-strike-a-blow-for-reproducibility-1.14232")</f>
        <v>http://www.nature.com/news/psychologists-strike-a-blow-for-reproducibility-1.14232</v>
      </c>
      <c r="N36" s="87" t="s">
        <v>1647</v>
      </c>
      <c r="O36" s="87" t="s">
        <v>462</v>
      </c>
      <c r="P36" s="87" t="s">
        <v>1648</v>
      </c>
      <c r="Q36" s="87"/>
      <c r="R36" s="87" t="s">
        <v>677</v>
      </c>
      <c r="S36" s="87"/>
      <c r="T36" s="91"/>
      <c r="U36" s="87"/>
      <c r="V36" s="87"/>
      <c r="W36" s="87"/>
      <c r="X36" s="91"/>
      <c r="Y36" s="87"/>
      <c r="Z36" s="87"/>
      <c r="AA36" s="87"/>
      <c r="AB36" s="87"/>
      <c r="AC36" s="87"/>
      <c r="AD36" s="87"/>
      <c r="AE36" s="87"/>
      <c r="AF36" s="87"/>
      <c r="AG36" s="87"/>
      <c r="AH36" s="87"/>
      <c r="AI36" s="87"/>
      <c r="AJ36" s="87"/>
      <c r="AK36" s="87"/>
      <c r="AL36" s="87"/>
      <c r="AM36" s="87"/>
      <c r="AN36" s="87"/>
    </row>
    <row r="37" ht="16.5" customHeight="1">
      <c r="A37" s="87" t="s">
        <v>462</v>
      </c>
      <c r="B37" s="87" t="s">
        <v>64</v>
      </c>
      <c r="C37" s="87" t="s">
        <v>1331</v>
      </c>
      <c r="D37" s="87"/>
      <c r="E37" s="87" t="s">
        <v>644</v>
      </c>
      <c r="F37" s="79"/>
      <c r="G37" s="87"/>
      <c r="H37" s="87" t="s">
        <v>1653</v>
      </c>
      <c r="I37" s="87" t="s">
        <v>1654</v>
      </c>
      <c r="J37" s="87" t="s">
        <v>1655</v>
      </c>
      <c r="K37" s="89">
        <v>41816.0</v>
      </c>
      <c r="L37" s="87" t="s">
        <v>1656</v>
      </c>
      <c r="M37" s="90" t="str">
        <f>HYPERLINK("http://www.climateoutreach.org.uk/how-to-build-climate-narratives-around-national-identity-and-cultural-pride/","http://www.climateoutreach.org.uk/how-to-build-climate-narratives-around-national-identity-and-cultural-pride/")</f>
        <v>http://www.climateoutreach.org.uk/how-to-build-climate-narratives-around-national-identity-and-cultural-pride/</v>
      </c>
      <c r="N37" s="87" t="s">
        <v>1658</v>
      </c>
      <c r="O37" s="87" t="s">
        <v>462</v>
      </c>
      <c r="P37" s="87" t="s">
        <v>1316</v>
      </c>
      <c r="Q37" s="87"/>
      <c r="R37" s="87" t="s">
        <v>1659</v>
      </c>
      <c r="S37" s="87" t="s">
        <v>1661</v>
      </c>
      <c r="T37" s="91">
        <v>42345.0</v>
      </c>
      <c r="U37" s="91">
        <v>42530.0</v>
      </c>
      <c r="V37" s="87"/>
      <c r="W37" s="87"/>
      <c r="X37" s="87"/>
      <c r="Y37" s="87"/>
      <c r="Z37" s="87"/>
      <c r="AA37" s="87"/>
      <c r="AB37" s="87"/>
      <c r="AC37" s="87"/>
      <c r="AD37" s="87"/>
      <c r="AE37" s="87"/>
      <c r="AF37" s="87"/>
      <c r="AG37" s="87"/>
      <c r="AH37" s="87"/>
      <c r="AI37" s="87"/>
      <c r="AJ37" s="87"/>
      <c r="AK37" s="87"/>
      <c r="AL37" s="87"/>
      <c r="AM37" s="87"/>
      <c r="AN37" s="87"/>
    </row>
    <row r="38" ht="16.5" customHeight="1">
      <c r="A38" s="87" t="s">
        <v>462</v>
      </c>
      <c r="B38" s="87" t="s">
        <v>64</v>
      </c>
      <c r="C38" s="87" t="s">
        <v>1331</v>
      </c>
      <c r="D38" s="87"/>
      <c r="E38" s="87"/>
      <c r="F38" s="79"/>
      <c r="G38" s="87"/>
      <c r="H38" s="87" t="s">
        <v>1668</v>
      </c>
      <c r="I38" s="90" t="str">
        <f>HYPERLINK("http://valuesandframes.org/author/tom/","Tom Crompton")</f>
        <v>Tom Crompton</v>
      </c>
      <c r="J38" s="87" t="s">
        <v>1674</v>
      </c>
      <c r="K38" s="97" t="str">
        <f>HYPERLINK("http://valuesandframes.org/framing_farming/","12-May-15")</f>
        <v>12-May-15</v>
      </c>
      <c r="L38" s="87" t="s">
        <v>1282</v>
      </c>
      <c r="M38" s="90" t="str">
        <f>HYPERLINK("http://valuesandframes.org/Associations_farming/","http://valuesandframes.org/Associations_farming/")</f>
        <v>http://valuesandframes.org/Associations_farming/</v>
      </c>
      <c r="N38" s="87"/>
      <c r="O38" s="87" t="s">
        <v>462</v>
      </c>
      <c r="P38" s="87" t="s">
        <v>462</v>
      </c>
      <c r="Q38" s="87"/>
      <c r="R38" s="87" t="s">
        <v>600</v>
      </c>
      <c r="S38" s="87"/>
      <c r="T38" s="91"/>
      <c r="U38" s="87"/>
      <c r="V38" s="87"/>
      <c r="W38" s="87"/>
      <c r="X38" s="91"/>
      <c r="Y38" s="87"/>
      <c r="Z38" s="87"/>
      <c r="AA38" s="87"/>
      <c r="AB38" s="87"/>
      <c r="AC38" s="87"/>
      <c r="AD38" s="87"/>
      <c r="AE38" s="87"/>
      <c r="AF38" s="87"/>
      <c r="AG38" s="87"/>
      <c r="AH38" s="87"/>
      <c r="AI38" s="87"/>
      <c r="AJ38" s="87"/>
      <c r="AK38" s="87"/>
      <c r="AL38" s="87"/>
      <c r="AM38" s="87"/>
      <c r="AN38" s="87"/>
    </row>
    <row r="39" ht="16.5" customHeight="1">
      <c r="A39" s="87" t="s">
        <v>462</v>
      </c>
      <c r="B39" s="87" t="s">
        <v>64</v>
      </c>
      <c r="C39" s="87" t="s">
        <v>1361</v>
      </c>
      <c r="D39" s="87"/>
      <c r="E39" s="87" t="s">
        <v>644</v>
      </c>
      <c r="F39" s="79"/>
      <c r="G39" s="87"/>
      <c r="H39" s="92" t="s">
        <v>1688</v>
      </c>
      <c r="I39" s="87" t="s">
        <v>1689</v>
      </c>
      <c r="J39" s="87" t="s">
        <v>1441</v>
      </c>
      <c r="K39" s="89">
        <v>42198.0</v>
      </c>
      <c r="L39" s="87" t="s">
        <v>1690</v>
      </c>
      <c r="M39" s="90" t="str">
        <f>HYPERLINK("http://www.climateaccess.org/blog/Associations-uncertainty-assertively","http://www.climateaccess.org/blog/Associations-uncertainty-assertively")</f>
        <v>http://www.climateaccess.org/blog/Associations-uncertainty-assertively</v>
      </c>
      <c r="N39" s="87"/>
      <c r="O39" s="87"/>
      <c r="P39" s="87"/>
      <c r="Q39" s="87"/>
      <c r="R39" s="87" t="s">
        <v>769</v>
      </c>
      <c r="S39" s="87" t="s">
        <v>1694</v>
      </c>
      <c r="T39" s="91">
        <v>42660.0</v>
      </c>
      <c r="U39" s="87"/>
      <c r="V39" s="87"/>
      <c r="W39" s="87"/>
      <c r="X39" s="87"/>
      <c r="Y39" s="87"/>
      <c r="Z39" s="87"/>
      <c r="AA39" s="87"/>
      <c r="AB39" s="87"/>
      <c r="AC39" s="87"/>
      <c r="AD39" s="87" t="s">
        <v>428</v>
      </c>
      <c r="AE39" s="87"/>
      <c r="AF39" s="87"/>
      <c r="AG39" s="87"/>
      <c r="AH39" s="87"/>
      <c r="AI39" s="87"/>
      <c r="AJ39" s="87"/>
      <c r="AK39" s="87"/>
      <c r="AL39" s="87"/>
      <c r="AM39" s="87"/>
      <c r="AN39" s="87"/>
    </row>
    <row r="40" ht="16.5" customHeight="1">
      <c r="A40" s="87" t="s">
        <v>462</v>
      </c>
      <c r="B40" s="87" t="s">
        <v>64</v>
      </c>
      <c r="C40" s="87" t="s">
        <v>887</v>
      </c>
      <c r="D40" s="87"/>
      <c r="E40" s="87" t="s">
        <v>1105</v>
      </c>
      <c r="F40" s="79"/>
      <c r="G40" s="87"/>
      <c r="H40" s="87" t="s">
        <v>1695</v>
      </c>
      <c r="I40" s="87" t="s">
        <v>1696</v>
      </c>
      <c r="J40" s="87" t="s">
        <v>1697</v>
      </c>
      <c r="K40" s="89">
        <v>42110.0</v>
      </c>
      <c r="L40" s="87" t="s">
        <v>1699</v>
      </c>
      <c r="M40" s="90" t="str">
        <f>HYPERLINK("https://hbr.org/2015/04/3-ways-to-make-less-biased-decisions?utm_source=Socialflow&amp;utm_medium=Tweet&amp;utm_campaign=Socialflow","https://hbr.org/2015/04/3-ways-to-make-less-biased-decisions?utm_source=Socialflow&amp;utm_medium=Tweet&amp;utm_campaign=Socialflow")</f>
        <v>https://hbr.org/2015/04/3-ways-to-make-less-biased-decisions?utm_source=Socialflow&amp;utm_medium=Tweet&amp;utm_campaign=Socialflow</v>
      </c>
      <c r="N40" s="87"/>
      <c r="O40" s="87" t="s">
        <v>462</v>
      </c>
      <c r="P40" s="87" t="s">
        <v>462</v>
      </c>
      <c r="Q40" s="87"/>
      <c r="R40" s="87" t="s">
        <v>769</v>
      </c>
      <c r="S40" s="87"/>
      <c r="T40" s="91">
        <v>42117.0</v>
      </c>
      <c r="U40" s="87"/>
      <c r="V40" s="87" t="s">
        <v>769</v>
      </c>
      <c r="W40" s="87"/>
      <c r="X40" s="91">
        <v>42158.0</v>
      </c>
      <c r="Y40" s="87"/>
      <c r="Z40" s="87"/>
      <c r="AA40" s="87"/>
      <c r="AB40" s="87"/>
      <c r="AC40" s="87"/>
      <c r="AD40" s="87"/>
      <c r="AE40" s="87"/>
      <c r="AF40" s="87"/>
      <c r="AG40" s="87"/>
      <c r="AH40" s="87"/>
      <c r="AI40" s="87"/>
      <c r="AJ40" s="87"/>
      <c r="AK40" s="87"/>
      <c r="AL40" s="87"/>
      <c r="AM40" s="87"/>
      <c r="AN40" s="87"/>
    </row>
    <row r="41" ht="16.5" customHeight="1">
      <c r="A41" s="87" t="s">
        <v>462</v>
      </c>
      <c r="B41" s="87" t="s">
        <v>64</v>
      </c>
      <c r="C41" s="87" t="s">
        <v>887</v>
      </c>
      <c r="D41" s="87"/>
      <c r="E41" s="87" t="s">
        <v>1105</v>
      </c>
      <c r="F41" s="79"/>
      <c r="G41" s="87"/>
      <c r="H41" s="87" t="s">
        <v>1707</v>
      </c>
      <c r="I41" s="87"/>
      <c r="J41" s="87"/>
      <c r="K41" s="89">
        <v>42019.0</v>
      </c>
      <c r="L41" s="87" t="s">
        <v>1708</v>
      </c>
      <c r="M41" s="90" t="str">
        <f>HYPERLINK("https://thedailycogito.wordpress.com/2015/01/15/a-new-reality-the-power-of-perception/","https://thedailycogito.wordpress.com/2015/01/15/a-new-reality-the-power-of-perception/")</f>
        <v>https://thedailycogito.wordpress.com/2015/01/15/a-new-reality-the-power-of-perception/</v>
      </c>
      <c r="N41" s="87"/>
      <c r="O41" s="87" t="s">
        <v>462</v>
      </c>
      <c r="P41" s="87" t="s">
        <v>462</v>
      </c>
      <c r="Q41" s="87"/>
      <c r="R41" s="87" t="s">
        <v>677</v>
      </c>
      <c r="S41" s="87"/>
      <c r="T41" s="87"/>
      <c r="U41" s="87"/>
      <c r="V41" s="87"/>
      <c r="W41" s="87"/>
      <c r="X41" s="87"/>
      <c r="Y41" s="87"/>
      <c r="Z41" s="87"/>
      <c r="AA41" s="87"/>
      <c r="AB41" s="87"/>
      <c r="AC41" s="87"/>
      <c r="AD41" s="87"/>
      <c r="AE41" s="98"/>
      <c r="AF41" s="98"/>
      <c r="AG41" s="98"/>
      <c r="AH41" s="98"/>
      <c r="AI41" s="98"/>
      <c r="AJ41" s="98"/>
      <c r="AK41" s="98"/>
      <c r="AL41" s="98"/>
      <c r="AM41" s="98"/>
      <c r="AN41" s="98"/>
    </row>
    <row r="42" ht="16.5" customHeight="1">
      <c r="A42" s="87" t="s">
        <v>462</v>
      </c>
      <c r="B42" s="87" t="s">
        <v>64</v>
      </c>
      <c r="C42" s="87" t="s">
        <v>887</v>
      </c>
      <c r="D42" s="87"/>
      <c r="E42" s="87" t="s">
        <v>1718</v>
      </c>
      <c r="F42" s="79"/>
      <c r="G42" s="87"/>
      <c r="H42" s="92" t="s">
        <v>1720</v>
      </c>
      <c r="I42" s="87" t="s">
        <v>1721</v>
      </c>
      <c r="J42" s="87" t="s">
        <v>1722</v>
      </c>
      <c r="K42" s="89">
        <v>42151.0</v>
      </c>
      <c r="L42" s="87" t="s">
        <v>1723</v>
      </c>
      <c r="M42" s="90" t="str">
        <f>HYPERLINK("http://www.sustainablebrands.com/news_and_views/brand_innovation/hannah_ritchie/true_cost%E2%80%99_brings_fashion%E2%80%99s_dark_secrets_big_screen?platform=hootsuite","http://www.sustainablebrands.com/news_and_views/brand_innovation/hannah_ritchie/true_cost%E2%80%99_brings_fashion%E2%80%99s_dark_secrets_big_screen?platform=hootsuite")</f>
        <v>http://www.sustainablebrands.com/news_and_views/brand_innovation/hannah_ritchie/true_cost%E2%80%99_brings_fashion%E2%80%99s_dark_secrets_big_screen?platform=hootsuite</v>
      </c>
      <c r="N42" s="87"/>
      <c r="O42" s="87"/>
      <c r="P42" s="87"/>
      <c r="Q42" s="87"/>
      <c r="R42" s="87" t="s">
        <v>428</v>
      </c>
      <c r="S42" s="87" t="s">
        <v>1725</v>
      </c>
      <c r="T42" s="91">
        <v>42681.0</v>
      </c>
      <c r="U42" s="87"/>
      <c r="V42" s="87"/>
      <c r="W42" s="87"/>
      <c r="X42" s="87"/>
      <c r="Y42" s="87"/>
      <c r="Z42" s="87"/>
      <c r="AA42" s="87"/>
      <c r="AB42" s="87"/>
      <c r="AC42" s="87"/>
      <c r="AD42" s="87" t="s">
        <v>428</v>
      </c>
      <c r="AE42" s="87"/>
      <c r="AF42" s="87"/>
      <c r="AG42" s="87"/>
      <c r="AH42" s="87"/>
      <c r="AI42" s="87"/>
      <c r="AJ42" s="87"/>
      <c r="AK42" s="87"/>
      <c r="AL42" s="87"/>
      <c r="AM42" s="87"/>
      <c r="AN42" s="87"/>
    </row>
    <row r="43" ht="16.5" customHeight="1">
      <c r="A43" s="87" t="s">
        <v>462</v>
      </c>
      <c r="B43" s="87" t="s">
        <v>64</v>
      </c>
      <c r="C43" s="87" t="s">
        <v>887</v>
      </c>
      <c r="D43" s="87"/>
      <c r="E43" s="87" t="s">
        <v>1732</v>
      </c>
      <c r="F43" s="79"/>
      <c r="G43" s="87"/>
      <c r="H43" s="87" t="s">
        <v>1733</v>
      </c>
      <c r="I43" s="87" t="s">
        <v>585</v>
      </c>
      <c r="J43" s="87" t="s">
        <v>1734</v>
      </c>
      <c r="K43" s="89">
        <v>2014.0</v>
      </c>
      <c r="L43" s="87" t="s">
        <v>1735</v>
      </c>
      <c r="M43" s="90" t="str">
        <f>HYPERLINK("http://www.salon.com/2014/11/29/why_are_these_clowns_winning_secrets_of_the_right_wing_brain/","http://www.salon.com/2014/11/29/why_are_these_clowns_winning_secrets_of_the_right_wing_brain/")</f>
        <v>http://www.salon.com/2014/11/29/why_are_these_clowns_winning_secrets_of_the_right_wing_brain/</v>
      </c>
      <c r="N43" s="87"/>
      <c r="O43" s="87" t="s">
        <v>462</v>
      </c>
      <c r="P43" s="87" t="s">
        <v>462</v>
      </c>
      <c r="Q43" s="87" t="s">
        <v>676</v>
      </c>
      <c r="R43" s="87" t="s">
        <v>677</v>
      </c>
      <c r="S43" s="87"/>
      <c r="T43" s="91"/>
      <c r="U43" s="87"/>
      <c r="V43" s="87"/>
      <c r="W43" s="87"/>
      <c r="X43" s="91"/>
      <c r="Y43" s="87"/>
      <c r="Z43" s="87"/>
      <c r="AA43" s="87"/>
      <c r="AB43" s="87"/>
      <c r="AC43" s="87"/>
      <c r="AD43" s="87"/>
      <c r="AE43" s="87"/>
      <c r="AF43" s="87"/>
      <c r="AG43" s="87"/>
      <c r="AH43" s="87"/>
      <c r="AI43" s="87"/>
      <c r="AJ43" s="87"/>
      <c r="AK43" s="87"/>
      <c r="AL43" s="87"/>
      <c r="AM43" s="87"/>
      <c r="AN43" s="87"/>
    </row>
    <row r="44" ht="16.5" customHeight="1">
      <c r="A44" s="87" t="s">
        <v>462</v>
      </c>
      <c r="B44" s="87" t="s">
        <v>64</v>
      </c>
      <c r="C44" s="87" t="s">
        <v>887</v>
      </c>
      <c r="D44" s="87"/>
      <c r="E44" s="87"/>
      <c r="F44" s="79"/>
      <c r="G44" s="87"/>
      <c r="H44" s="87" t="s">
        <v>1737</v>
      </c>
      <c r="I44" s="87" t="s">
        <v>1739</v>
      </c>
      <c r="J44" s="87" t="s">
        <v>1741</v>
      </c>
      <c r="K44" s="89">
        <v>41843.0</v>
      </c>
      <c r="L44" s="87"/>
      <c r="M44" s="90" t="str">
        <f>HYPERLINK("http://www.farnamstreetblog.com/2014/07/daniel-kahneman-the-two-systems/","http://www.farnamstreetblog.com/2014/07/daniel-kahneman-the-two-systems/")</f>
        <v>http://www.farnamstreetblog.com/2014/07/daniel-kahneman-the-two-systems/</v>
      </c>
      <c r="N44" s="87"/>
      <c r="O44" s="87" t="s">
        <v>462</v>
      </c>
      <c r="P44" s="87" t="s">
        <v>462</v>
      </c>
      <c r="Q44" s="87"/>
      <c r="R44" s="87" t="s">
        <v>677</v>
      </c>
      <c r="S44" s="87"/>
      <c r="T44" s="87"/>
      <c r="U44" s="87"/>
      <c r="V44" s="87"/>
      <c r="W44" s="87"/>
      <c r="X44" s="87"/>
      <c r="Y44" s="87"/>
      <c r="Z44" s="87"/>
      <c r="AA44" s="87"/>
      <c r="AB44" s="87"/>
      <c r="AC44" s="87"/>
      <c r="AD44" s="87"/>
      <c r="AE44" s="87"/>
      <c r="AF44" s="87"/>
      <c r="AG44" s="87"/>
      <c r="AH44" s="87"/>
      <c r="AI44" s="87"/>
      <c r="AJ44" s="87"/>
      <c r="AK44" s="87"/>
      <c r="AL44" s="87"/>
      <c r="AM44" s="87"/>
      <c r="AN44" s="87"/>
    </row>
    <row r="45" ht="16.5" customHeight="1">
      <c r="A45" s="87" t="s">
        <v>462</v>
      </c>
      <c r="B45" s="87" t="s">
        <v>64</v>
      </c>
      <c r="C45" s="87" t="s">
        <v>887</v>
      </c>
      <c r="D45" s="87"/>
      <c r="E45" s="87"/>
      <c r="F45" s="79"/>
      <c r="G45" s="87"/>
      <c r="H45" s="87" t="s">
        <v>1746</v>
      </c>
      <c r="I45" s="87" t="s">
        <v>1739</v>
      </c>
      <c r="J45" s="87" t="s">
        <v>1747</v>
      </c>
      <c r="K45" s="89">
        <v>42130.0</v>
      </c>
      <c r="L45" s="87" t="s">
        <v>1678</v>
      </c>
      <c r="M45" s="90" t="str">
        <f>HYPERLINK("http://time.com/3773931/developing-mental-framework/","http://time.com/3773931/developing-mental-framework/")</f>
        <v>http://time.com/3773931/developing-mental-framework/</v>
      </c>
      <c r="N45" s="87"/>
      <c r="O45" s="87" t="s">
        <v>462</v>
      </c>
      <c r="P45" s="87" t="s">
        <v>462</v>
      </c>
      <c r="Q45" s="87"/>
      <c r="R45" s="87" t="s">
        <v>769</v>
      </c>
      <c r="S45" s="87" t="s">
        <v>1751</v>
      </c>
      <c r="T45" s="91">
        <v>42311.0</v>
      </c>
      <c r="U45" s="87"/>
      <c r="V45" s="87"/>
      <c r="W45" s="87"/>
      <c r="X45" s="91"/>
      <c r="Y45" s="87"/>
      <c r="Z45" s="87"/>
      <c r="AA45" s="87"/>
      <c r="AB45" s="87"/>
      <c r="AC45" s="87"/>
      <c r="AD45" s="87"/>
      <c r="AE45" s="87"/>
      <c r="AF45" s="87"/>
      <c r="AG45" s="87"/>
      <c r="AH45" s="87"/>
      <c r="AI45" s="87"/>
      <c r="AJ45" s="87"/>
      <c r="AK45" s="87"/>
      <c r="AL45" s="87"/>
      <c r="AM45" s="87"/>
      <c r="AN45" s="87"/>
    </row>
    <row r="46" ht="16.5" customHeight="1">
      <c r="A46" s="87" t="s">
        <v>462</v>
      </c>
      <c r="B46" s="87" t="s">
        <v>64</v>
      </c>
      <c r="C46" s="87" t="s">
        <v>887</v>
      </c>
      <c r="D46" s="87"/>
      <c r="E46" s="87"/>
      <c r="F46" s="79"/>
      <c r="G46" s="87"/>
      <c r="H46" s="87" t="s">
        <v>1756</v>
      </c>
      <c r="I46" s="87" t="s">
        <v>1757</v>
      </c>
      <c r="J46" s="87" t="s">
        <v>1758</v>
      </c>
      <c r="K46" s="89">
        <v>2013.0</v>
      </c>
      <c r="L46" s="87" t="s">
        <v>1759</v>
      </c>
      <c r="M46" s="90" t="str">
        <f>HYPERLINK("http://www.brainfacts.org/diseases-disorders/psychiatric-disorders/articles/2013/does-depression-change-the-way-people-perceive-the-world/","http://www.brainfacts.org/diseases-disorders/psychiatric-disorders/articles/2013/does-depression-change-the-way-people-perceive-the-world/")</f>
        <v>http://www.brainfacts.org/diseases-disorders/psychiatric-disorders/articles/2013/does-depression-change-the-way-people-perceive-the-world/</v>
      </c>
      <c r="N46" s="87" t="s">
        <v>1761</v>
      </c>
      <c r="O46" s="87" t="s">
        <v>462</v>
      </c>
      <c r="P46" s="87" t="s">
        <v>462</v>
      </c>
      <c r="Q46" s="87"/>
      <c r="R46" s="87" t="s">
        <v>677</v>
      </c>
      <c r="S46" s="87"/>
      <c r="T46" s="91"/>
      <c r="U46" s="87"/>
      <c r="V46" s="87"/>
      <c r="W46" s="87"/>
      <c r="X46" s="91"/>
      <c r="Y46" s="87"/>
      <c r="Z46" s="87"/>
      <c r="AA46" s="87"/>
      <c r="AB46" s="87"/>
      <c r="AC46" s="87"/>
      <c r="AD46" s="87"/>
      <c r="AE46" s="87"/>
      <c r="AF46" s="87"/>
      <c r="AG46" s="87"/>
      <c r="AH46" s="87"/>
      <c r="AI46" s="87"/>
      <c r="AJ46" s="87"/>
      <c r="AK46" s="87"/>
      <c r="AL46" s="87"/>
      <c r="AM46" s="87"/>
      <c r="AN46" s="87"/>
    </row>
    <row r="47" ht="16.5" customHeight="1">
      <c r="A47" s="87" t="s">
        <v>462</v>
      </c>
      <c r="B47" s="87" t="s">
        <v>64</v>
      </c>
      <c r="C47" s="87" t="s">
        <v>887</v>
      </c>
      <c r="D47" s="87"/>
      <c r="E47" s="87"/>
      <c r="F47" s="79"/>
      <c r="G47" s="87"/>
      <c r="H47" s="87" t="s">
        <v>1765</v>
      </c>
      <c r="I47" s="87" t="s">
        <v>1105</v>
      </c>
      <c r="J47" s="87" t="s">
        <v>1514</v>
      </c>
      <c r="K47" s="89">
        <v>41895.0</v>
      </c>
      <c r="L47" s="87" t="s">
        <v>1766</v>
      </c>
      <c r="M47" s="90" t="str">
        <f>HYPERLINK("http://www.therootsolutions.org/#!Moral-licensing-and-the-environment---following-good-behavior-with-bad/c13v2/FCAFCC20-7015-409E-A5FA-65D1694562C9","http://www.therootsolutions.org/#!Moral-licensing-and-the-environment---following-good-behavior-with-bad/c13v2/FCAFCC20-7015-409E-A5FA-65D1694562C9")</f>
        <v>http://www.therootsolutions.org/#!Moral-licensing-and-the-environment---following-good-behavior-with-bad/c13v2/FCAFCC20-7015-409E-A5FA-65D1694562C9</v>
      </c>
      <c r="N47" s="87" t="s">
        <v>1519</v>
      </c>
      <c r="O47" s="87" t="s">
        <v>462</v>
      </c>
      <c r="P47" s="87" t="s">
        <v>462</v>
      </c>
      <c r="Q47" s="87" t="s">
        <v>676</v>
      </c>
      <c r="R47" s="87" t="s">
        <v>769</v>
      </c>
      <c r="S47" s="87" t="s">
        <v>1772</v>
      </c>
      <c r="T47" s="91">
        <v>41869.0</v>
      </c>
      <c r="U47" s="91">
        <v>42584.0</v>
      </c>
      <c r="V47" s="87" t="s">
        <v>769</v>
      </c>
      <c r="W47" s="87"/>
      <c r="X47" s="91">
        <v>41869.0</v>
      </c>
      <c r="Y47" s="87"/>
      <c r="Z47" s="87"/>
      <c r="AA47" s="87"/>
      <c r="AB47" s="87"/>
      <c r="AC47" s="87"/>
      <c r="AD47" s="87"/>
      <c r="AE47" s="87"/>
      <c r="AF47" s="87"/>
      <c r="AG47" s="87"/>
      <c r="AH47" s="87"/>
      <c r="AI47" s="87"/>
      <c r="AJ47" s="87"/>
      <c r="AK47" s="87"/>
      <c r="AL47" s="87"/>
      <c r="AM47" s="87"/>
      <c r="AN47" s="87"/>
    </row>
    <row r="48" ht="16.5" customHeight="1">
      <c r="A48" s="87" t="s">
        <v>462</v>
      </c>
      <c r="B48" s="87" t="s">
        <v>64</v>
      </c>
      <c r="C48" s="87" t="s">
        <v>265</v>
      </c>
      <c r="D48" s="87"/>
      <c r="E48" s="87"/>
      <c r="F48" s="79"/>
      <c r="G48" s="87"/>
      <c r="H48" s="87" t="s">
        <v>1773</v>
      </c>
      <c r="I48" s="87" t="s">
        <v>1774</v>
      </c>
      <c r="J48" s="87" t="s">
        <v>1775</v>
      </c>
      <c r="K48" s="89">
        <v>42186.0</v>
      </c>
      <c r="L48" s="87" t="s">
        <v>1776</v>
      </c>
      <c r="M48" s="90" t="str">
        <f>HYPERLINK("http://www.huffingtonpost.com/lara-fielding/4-core-mind-habits-helped_b_7021686.html","http://www.huffingtonpost.com/lara-fielding/4-core-mind-habits-helped_b_7021686.html")</f>
        <v>http://www.huffingtonpost.com/lara-fielding/4-core-mind-habits-helped_b_7021686.html</v>
      </c>
      <c r="N48" s="87"/>
      <c r="O48" s="87" t="s">
        <v>462</v>
      </c>
      <c r="P48" s="87" t="s">
        <v>462</v>
      </c>
      <c r="Q48" s="87"/>
      <c r="R48" s="87" t="s">
        <v>677</v>
      </c>
      <c r="S48" s="87"/>
      <c r="T48" s="87"/>
      <c r="U48" s="87"/>
      <c r="V48" s="87"/>
      <c r="W48" s="87"/>
      <c r="X48" s="87"/>
      <c r="Y48" s="87"/>
      <c r="Z48" s="87"/>
      <c r="AA48" s="87"/>
      <c r="AB48" s="87"/>
      <c r="AC48" s="87"/>
      <c r="AD48" s="87"/>
      <c r="AE48" s="87"/>
      <c r="AF48" s="87"/>
      <c r="AG48" s="87"/>
      <c r="AH48" s="87"/>
      <c r="AI48" s="87"/>
      <c r="AJ48" s="87"/>
      <c r="AK48" s="87"/>
      <c r="AL48" s="87"/>
      <c r="AM48" s="87"/>
      <c r="AN48" s="87"/>
    </row>
    <row r="49" ht="16.5" customHeight="1">
      <c r="A49" s="87" t="s">
        <v>462</v>
      </c>
      <c r="B49" s="87" t="s">
        <v>64</v>
      </c>
      <c r="C49" s="87" t="s">
        <v>265</v>
      </c>
      <c r="D49" s="87"/>
      <c r="E49" s="87"/>
      <c r="F49" s="79"/>
      <c r="G49" s="87"/>
      <c r="H49" s="87" t="s">
        <v>1777</v>
      </c>
      <c r="I49" s="87" t="s">
        <v>1778</v>
      </c>
      <c r="J49" s="87" t="s">
        <v>1571</v>
      </c>
      <c r="K49" s="89">
        <v>41167.0</v>
      </c>
      <c r="L49" s="87"/>
      <c r="M49" s="90" t="str">
        <f>HYPERLINK("http://www.psychologytoday.com/blog/sold/201209/avoiding-the-willpower-depleting-effects-self-control","http://www.psychologytoday.com/blog/sold/201209/avoiding-the-willpower-depleting-effects-self-control")</f>
        <v>http://www.psychologytoday.com/blog/sold/201209/avoiding-the-willpower-depleting-effects-self-control</v>
      </c>
      <c r="N49" s="87"/>
      <c r="O49" s="87" t="s">
        <v>462</v>
      </c>
      <c r="P49" s="87" t="s">
        <v>462</v>
      </c>
      <c r="Q49" s="87"/>
      <c r="R49" s="87" t="s">
        <v>769</v>
      </c>
      <c r="S49" s="87" t="s">
        <v>1791</v>
      </c>
      <c r="T49" s="91">
        <v>41968.0</v>
      </c>
      <c r="U49" s="87" t="s">
        <v>1792</v>
      </c>
      <c r="V49" s="87" t="s">
        <v>530</v>
      </c>
      <c r="W49" s="87"/>
      <c r="X49" s="87"/>
      <c r="Y49" s="87"/>
      <c r="Z49" s="87"/>
      <c r="AA49" s="87"/>
      <c r="AB49" s="87"/>
      <c r="AC49" s="87"/>
      <c r="AD49" s="87"/>
      <c r="AE49" s="87"/>
      <c r="AF49" s="87"/>
      <c r="AG49" s="87"/>
      <c r="AH49" s="87"/>
      <c r="AI49" s="87"/>
      <c r="AJ49" s="87"/>
      <c r="AK49" s="87"/>
      <c r="AL49" s="87"/>
      <c r="AM49" s="87"/>
      <c r="AN49" s="87"/>
    </row>
    <row r="50" ht="16.5" customHeight="1">
      <c r="A50" s="87" t="s">
        <v>462</v>
      </c>
      <c r="B50" s="87" t="s">
        <v>64</v>
      </c>
      <c r="C50" s="87" t="s">
        <v>265</v>
      </c>
      <c r="D50" s="87"/>
      <c r="E50" s="87"/>
      <c r="F50" s="79"/>
      <c r="G50" s="87"/>
      <c r="H50" s="87" t="s">
        <v>1793</v>
      </c>
      <c r="I50" s="87" t="s">
        <v>1794</v>
      </c>
      <c r="J50" s="87" t="s">
        <v>1795</v>
      </c>
      <c r="K50" s="89">
        <v>42186.0</v>
      </c>
      <c r="L50" s="87" t="s">
        <v>1796</v>
      </c>
      <c r="M50" s="90" t="str">
        <f>HYPERLINK("http://www.costaricantimes.com/sentience-self-awareness-and-self-knowing/35962","http://www.costaricantimes.com/sentience-self-awareness-and-self-knowing/35962")</f>
        <v>http://www.costaricantimes.com/sentience-self-awareness-and-self-knowing/35962</v>
      </c>
      <c r="N50" s="87"/>
      <c r="O50" s="87" t="s">
        <v>462</v>
      </c>
      <c r="P50" s="87" t="s">
        <v>462</v>
      </c>
      <c r="Q50" s="87"/>
      <c r="R50" s="87" t="s">
        <v>677</v>
      </c>
      <c r="S50" s="87"/>
      <c r="T50" s="87"/>
      <c r="U50" s="87"/>
      <c r="V50" s="87"/>
      <c r="W50" s="87"/>
      <c r="X50" s="87"/>
      <c r="Y50" s="87"/>
      <c r="Z50" s="87"/>
      <c r="AA50" s="87"/>
      <c r="AB50" s="87"/>
      <c r="AC50" s="87"/>
      <c r="AD50" s="87"/>
      <c r="AE50" s="87"/>
      <c r="AF50" s="87"/>
      <c r="AG50" s="87"/>
      <c r="AH50" s="87"/>
      <c r="AI50" s="87"/>
      <c r="AJ50" s="87"/>
      <c r="AK50" s="87"/>
      <c r="AL50" s="87"/>
      <c r="AM50" s="87"/>
      <c r="AN50" s="87"/>
    </row>
    <row r="51" ht="16.5" customHeight="1">
      <c r="A51" s="87" t="s">
        <v>462</v>
      </c>
      <c r="B51" s="87" t="s">
        <v>64</v>
      </c>
      <c r="C51" s="87" t="s">
        <v>265</v>
      </c>
      <c r="D51" s="87"/>
      <c r="E51" s="87"/>
      <c r="F51" s="79"/>
      <c r="G51" s="87"/>
      <c r="H51" s="87" t="s">
        <v>1804</v>
      </c>
      <c r="I51" s="87" t="s">
        <v>1805</v>
      </c>
      <c r="J51" s="87" t="s">
        <v>1325</v>
      </c>
      <c r="K51" s="89">
        <v>42132.0</v>
      </c>
      <c r="L51" s="87" t="s">
        <v>1806</v>
      </c>
      <c r="M51" s="90" t="str">
        <f>HYPERLINK("http://www.nytimes.com/2015/05/10/upshot/unless-you-are-spock-irrelevant-things-matter-in-economic-behavior.html?_r=0&amp;abt=0002&amp;abg=1","http://www.nytimes.com/2015/05/10/upshot/unless-you-are-spock-irrelevant-things-matter-in-economic-behavior.html?_r=0&amp;abt=0002&amp;abg=1")</f>
        <v>http://www.nytimes.com/2015/05/10/upshot/unless-you-are-spock-irrelevant-things-matter-in-economic-behavior.html?_r=0&amp;abt=0002&amp;abg=1</v>
      </c>
      <c r="N51" s="87"/>
      <c r="O51" s="87" t="s">
        <v>462</v>
      </c>
      <c r="P51" s="87" t="s">
        <v>462</v>
      </c>
      <c r="Q51" s="87"/>
      <c r="R51" s="87" t="s">
        <v>769</v>
      </c>
      <c r="S51" s="87"/>
      <c r="T51" s="91">
        <v>42135.0</v>
      </c>
      <c r="U51" s="87"/>
      <c r="V51" s="87"/>
      <c r="W51" s="87"/>
      <c r="X51" s="91"/>
      <c r="Y51" s="87"/>
      <c r="Z51" s="87"/>
      <c r="AA51" s="87"/>
      <c r="AB51" s="87"/>
      <c r="AC51" s="87"/>
      <c r="AD51" s="87"/>
      <c r="AE51" s="87"/>
      <c r="AF51" s="87"/>
      <c r="AG51" s="87"/>
      <c r="AH51" s="87"/>
      <c r="AI51" s="87"/>
      <c r="AJ51" s="87"/>
      <c r="AK51" s="87"/>
      <c r="AL51" s="87"/>
      <c r="AM51" s="87"/>
      <c r="AN51" s="87"/>
    </row>
    <row r="52" ht="16.5" customHeight="1">
      <c r="A52" s="87" t="s">
        <v>462</v>
      </c>
      <c r="B52" s="87" t="s">
        <v>64</v>
      </c>
      <c r="C52" s="87" t="s">
        <v>1816</v>
      </c>
      <c r="D52" s="87"/>
      <c r="E52" s="87" t="s">
        <v>1817</v>
      </c>
      <c r="F52" s="79"/>
      <c r="G52" s="87"/>
      <c r="H52" s="92" t="s">
        <v>1818</v>
      </c>
      <c r="I52" s="87" t="s">
        <v>1819</v>
      </c>
      <c r="J52" s="87" t="s">
        <v>1820</v>
      </c>
      <c r="K52" s="89">
        <v>42371.0</v>
      </c>
      <c r="L52" s="87" t="s">
        <v>1821</v>
      </c>
      <c r="M52" s="90" t="str">
        <f>HYPERLINK("http://lifehacker.com/forest-keeps-your-phone-from-being-distracted-by-growin-1750696513?utm_campaign=socialflow_lifehacker_facebook&amp;utm_source=lifehacker_facebook&amp;utm_medium=socialflow","http://lifehacker.com/forest-keeps-your-phone-from-being-distracted-by-growin-1750696513?utm_campaign=socialflow_lifehacker_facebook&amp;utm_source=lifehacker_facebook&amp;utm_medium=socialflow")</f>
        <v>http://lifehacker.com/forest-keeps-your-phone-from-being-distracted-by-growin-1750696513?utm_campaign=socialflow_lifehacker_facebook&amp;utm_source=lifehacker_facebook&amp;utm_medium=socialflow</v>
      </c>
      <c r="N52" s="87"/>
      <c r="O52" s="87" t="s">
        <v>462</v>
      </c>
      <c r="P52" s="87" t="s">
        <v>1824</v>
      </c>
      <c r="Q52" s="87"/>
      <c r="R52" s="87" t="s">
        <v>677</v>
      </c>
      <c r="S52" s="87"/>
      <c r="T52" s="87"/>
      <c r="U52" s="87"/>
      <c r="V52" s="87"/>
      <c r="W52" s="87"/>
      <c r="X52" s="87"/>
      <c r="Y52" s="87"/>
      <c r="Z52" s="87"/>
      <c r="AA52" s="87"/>
      <c r="AB52" s="87"/>
      <c r="AC52" s="87"/>
      <c r="AD52" s="87"/>
      <c r="AE52" s="87"/>
      <c r="AF52" s="87"/>
      <c r="AG52" s="87"/>
      <c r="AH52" s="87"/>
      <c r="AI52" s="87"/>
      <c r="AJ52" s="87"/>
      <c r="AK52" s="87"/>
      <c r="AL52" s="87"/>
      <c r="AM52" s="87"/>
      <c r="AN52" s="87"/>
    </row>
    <row r="53" ht="16.5" customHeight="1">
      <c r="A53" s="87" t="s">
        <v>462</v>
      </c>
      <c r="B53" s="87" t="s">
        <v>64</v>
      </c>
      <c r="C53" s="87" t="s">
        <v>1826</v>
      </c>
      <c r="D53" s="87"/>
      <c r="E53" s="87"/>
      <c r="F53" s="79"/>
      <c r="G53" s="87"/>
      <c r="H53" s="87" t="s">
        <v>1827</v>
      </c>
      <c r="I53" s="87" t="s">
        <v>1828</v>
      </c>
      <c r="J53" s="87" t="s">
        <v>1325</v>
      </c>
      <c r="K53" s="89">
        <v>42187.0</v>
      </c>
      <c r="L53" s="87" t="s">
        <v>1829</v>
      </c>
      <c r="M53" s="90" t="str">
        <f>HYPERLINK("http://www.nytimes.com/interactive/2015/07/03/upshot/a-quick-puzzle-to-test-your-problem-solving.html?smid=tw-share&amp;abt=0002&amp;abg=0","http://www.nytimes.com/interactive/2015/07/03/upshot/a-quick-puzzle-to-test-your-problem-solving.html?smid=tw-share&amp;abt=0002&amp;abg=0")</f>
        <v>http://www.nytimes.com/interactive/2015/07/03/upshot/a-quick-puzzle-to-test-your-problem-solving.html?smid=tw-share&amp;abt=0002&amp;abg=0</v>
      </c>
      <c r="N53" s="87"/>
      <c r="O53" s="87" t="s">
        <v>462</v>
      </c>
      <c r="P53" s="87" t="s">
        <v>462</v>
      </c>
      <c r="Q53" s="87" t="s">
        <v>1836</v>
      </c>
      <c r="R53" s="87" t="s">
        <v>677</v>
      </c>
      <c r="S53" s="87"/>
      <c r="T53" s="91"/>
      <c r="U53" s="100"/>
      <c r="V53" s="87"/>
      <c r="W53" s="87"/>
      <c r="X53" s="91"/>
      <c r="Y53" s="87" t="s">
        <v>1842</v>
      </c>
      <c r="Z53" s="87"/>
      <c r="AA53" s="87"/>
      <c r="AB53" s="87"/>
      <c r="AC53" s="87"/>
      <c r="AD53" s="87"/>
      <c r="AE53" s="87"/>
      <c r="AF53" s="87"/>
      <c r="AG53" s="87"/>
      <c r="AH53" s="87"/>
      <c r="AI53" s="87"/>
      <c r="AJ53" s="87"/>
      <c r="AK53" s="87"/>
      <c r="AL53" s="87"/>
      <c r="AM53" s="87"/>
      <c r="AN53" s="87"/>
    </row>
    <row r="54" ht="16.5" customHeight="1">
      <c r="A54" s="87" t="s">
        <v>462</v>
      </c>
      <c r="B54" s="87" t="s">
        <v>64</v>
      </c>
      <c r="C54" s="87" t="s">
        <v>1826</v>
      </c>
      <c r="D54" s="87"/>
      <c r="E54" s="87"/>
      <c r="F54" s="79"/>
      <c r="G54" s="87"/>
      <c r="H54" s="87" t="s">
        <v>1846</v>
      </c>
      <c r="I54" s="87" t="s">
        <v>1847</v>
      </c>
      <c r="J54" s="87" t="s">
        <v>1848</v>
      </c>
      <c r="K54" s="89">
        <v>2014.0</v>
      </c>
      <c r="L54" s="87" t="s">
        <v>1850</v>
      </c>
      <c r="M54" s="90" t="str">
        <f>HYPERLINK("http://www.economist.com/news/science-and-technology/21598944-sloppy-researchers-beware-new-institute-has-you-its-sights-metaphysicians","http://www.economist.com/news/science-and-technology/21598944-sloppy-researchers-beware-new-institute-has-you-its-sights-metaphysicians")</f>
        <v>http://www.economist.com/news/science-and-technology/21598944-sloppy-researchers-beware-new-institute-has-you-its-sights-metaphysicians</v>
      </c>
      <c r="N54" s="87" t="s">
        <v>1855</v>
      </c>
      <c r="O54" s="87" t="s">
        <v>462</v>
      </c>
      <c r="P54" s="87" t="s">
        <v>462</v>
      </c>
      <c r="Q54" s="87" t="s">
        <v>676</v>
      </c>
      <c r="R54" s="87" t="s">
        <v>677</v>
      </c>
      <c r="S54" s="87"/>
      <c r="T54" s="91"/>
      <c r="U54" s="87"/>
      <c r="V54" s="87"/>
      <c r="W54" s="87"/>
      <c r="X54" s="91"/>
      <c r="Y54" s="87"/>
      <c r="Z54" s="87"/>
      <c r="AA54" s="87"/>
      <c r="AB54" s="87"/>
      <c r="AC54" s="87"/>
      <c r="AD54" s="87"/>
      <c r="AE54" s="87"/>
      <c r="AF54" s="87"/>
      <c r="AG54" s="87"/>
      <c r="AH54" s="87"/>
      <c r="AI54" s="87"/>
      <c r="AJ54" s="87"/>
      <c r="AK54" s="87"/>
      <c r="AL54" s="87"/>
      <c r="AM54" s="87"/>
      <c r="AN54" s="87"/>
    </row>
    <row r="55" ht="16.5" customHeight="1">
      <c r="A55" s="87" t="s">
        <v>462</v>
      </c>
      <c r="B55" s="87" t="s">
        <v>64</v>
      </c>
      <c r="C55" s="87" t="s">
        <v>1857</v>
      </c>
      <c r="D55" s="87"/>
      <c r="E55" s="87"/>
      <c r="F55" s="79"/>
      <c r="G55" s="87"/>
      <c r="H55" s="87" t="s">
        <v>1858</v>
      </c>
      <c r="I55" s="87" t="s">
        <v>1860</v>
      </c>
      <c r="J55" s="87"/>
      <c r="K55" s="89">
        <v>41829.0</v>
      </c>
      <c r="L55" s="87"/>
      <c r="M55" s="90" t="str">
        <f>HYPERLINK("http://www.joelwood.ca/hopefully-coherent-thoughts/agreatbookbutisapigouviantaxanudge","http://www.joelwood.ca/hopefully-coherent-thoughts/agreatbookbutisapigouviantaxanudge")</f>
        <v>http://www.joelwood.ca/hopefully-coherent-thoughts/agreatbookbutisapigouviantaxanudge</v>
      </c>
      <c r="N55" s="87"/>
      <c r="O55" s="87" t="s">
        <v>462</v>
      </c>
      <c r="P55" s="87" t="s">
        <v>462</v>
      </c>
      <c r="Q55" s="87" t="s">
        <v>676</v>
      </c>
      <c r="R55" s="87" t="s">
        <v>1867</v>
      </c>
      <c r="S55" s="87"/>
      <c r="T55" s="91"/>
      <c r="U55" s="87"/>
      <c r="V55" s="87"/>
      <c r="W55" s="87"/>
      <c r="X55" s="91"/>
      <c r="Y55" s="87"/>
      <c r="Z55" s="87"/>
      <c r="AA55" s="87"/>
      <c r="AB55" s="87"/>
      <c r="AC55" s="87"/>
      <c r="AD55" s="87"/>
      <c r="AE55" s="87"/>
      <c r="AF55" s="87"/>
      <c r="AG55" s="87"/>
      <c r="AH55" s="87"/>
      <c r="AI55" s="87"/>
      <c r="AJ55" s="87"/>
      <c r="AK55" s="87"/>
      <c r="AL55" s="87"/>
      <c r="AM55" s="87"/>
      <c r="AN55" s="87"/>
    </row>
    <row r="56" ht="16.5" customHeight="1">
      <c r="A56" s="87" t="s">
        <v>462</v>
      </c>
      <c r="B56" s="87" t="s">
        <v>64</v>
      </c>
      <c r="C56" s="87" t="s">
        <v>429</v>
      </c>
      <c r="D56" s="87"/>
      <c r="E56" s="87" t="s">
        <v>1869</v>
      </c>
      <c r="F56" s="79"/>
      <c r="G56" s="87"/>
      <c r="H56" s="87" t="s">
        <v>1871</v>
      </c>
      <c r="I56" s="87" t="s">
        <v>1872</v>
      </c>
      <c r="J56" s="87" t="s">
        <v>1873</v>
      </c>
      <c r="K56" s="89">
        <v>2013.0</v>
      </c>
      <c r="L56" s="87" t="s">
        <v>1874</v>
      </c>
      <c r="M56" s="90" t="str">
        <f>HYPERLINK("http://www.automotive-fleet.com/blog/market-trends/story/2013/04/maximize-fuel-efficiency-as-a-sustainability-goal.aspx","http://www.automotive-fleet.com/blog/market-trends/story/2013/04/maximize-fuel-efficiency-as-a-sustainability-goal.aspx")</f>
        <v>http://www.automotive-fleet.com/blog/market-trends/story/2013/04/maximize-fuel-efficiency-as-a-sustainability-goal.aspx</v>
      </c>
      <c r="N56" s="87"/>
      <c r="O56" s="87" t="s">
        <v>462</v>
      </c>
      <c r="P56" s="87" t="s">
        <v>462</v>
      </c>
      <c r="Q56" s="87"/>
      <c r="R56" s="87" t="s">
        <v>600</v>
      </c>
      <c r="S56" s="87"/>
      <c r="T56" s="87"/>
      <c r="U56" s="87"/>
      <c r="V56" s="87"/>
      <c r="W56" s="87"/>
      <c r="X56" s="87"/>
      <c r="Y56" s="87"/>
      <c r="Z56" s="87"/>
      <c r="AA56" s="87"/>
      <c r="AB56" s="87"/>
      <c r="AC56" s="87"/>
      <c r="AD56" s="87"/>
      <c r="AE56" s="87"/>
      <c r="AF56" s="87"/>
      <c r="AG56" s="87"/>
      <c r="AH56" s="87"/>
      <c r="AI56" s="87"/>
      <c r="AJ56" s="87"/>
      <c r="AK56" s="87"/>
      <c r="AL56" s="87"/>
      <c r="AM56" s="87"/>
      <c r="AN56" s="87"/>
    </row>
    <row r="57" ht="16.5" customHeight="1">
      <c r="A57" s="87" t="s">
        <v>462</v>
      </c>
      <c r="B57" s="87" t="s">
        <v>64</v>
      </c>
      <c r="C57" s="87" t="s">
        <v>429</v>
      </c>
      <c r="D57" s="87"/>
      <c r="E57" s="87" t="s">
        <v>1883</v>
      </c>
      <c r="F57" s="79"/>
      <c r="G57" s="87"/>
      <c r="H57" s="87" t="s">
        <v>1884</v>
      </c>
      <c r="I57" s="87"/>
      <c r="J57" s="87" t="s">
        <v>1886</v>
      </c>
      <c r="K57" s="89">
        <v>42069.0</v>
      </c>
      <c r="L57" s="87" t="s">
        <v>1887</v>
      </c>
      <c r="M57" s="90" t="str">
        <f>HYPERLINK("http://ceed.edu.au/images/media_releases/SMART_targets_Maxwell_6Mar2015.pdf","http://ceed.edu.au/images/media_releases/SMART_targets_Maxwell_6Mar2015.pdf")</f>
        <v>http://ceed.edu.au/images/media_releases/SMART_targets_Maxwell_6Mar2015.pdf</v>
      </c>
      <c r="N57" s="87"/>
      <c r="O57" s="87" t="s">
        <v>462</v>
      </c>
      <c r="P57" s="87" t="s">
        <v>462</v>
      </c>
      <c r="Q57" s="87" t="s">
        <v>676</v>
      </c>
      <c r="R57" s="87" t="s">
        <v>769</v>
      </c>
      <c r="S57" s="87" t="s">
        <v>1891</v>
      </c>
      <c r="T57" s="91">
        <v>42111.0</v>
      </c>
      <c r="U57" s="101" t="str">
        <f>HYPERLINK("http://bit.ly/1H1k5vI","5/19/2016")</f>
        <v>5/19/2016</v>
      </c>
      <c r="V57" s="87"/>
      <c r="W57" s="87"/>
      <c r="X57" s="91"/>
      <c r="Y57" s="87"/>
      <c r="Z57" s="87"/>
      <c r="AA57" s="87"/>
      <c r="AB57" s="87"/>
      <c r="AC57" s="87"/>
      <c r="AD57" s="87"/>
      <c r="AE57" s="87"/>
      <c r="AF57" s="87"/>
      <c r="AG57" s="87"/>
      <c r="AH57" s="87"/>
      <c r="AI57" s="87"/>
      <c r="AJ57" s="87"/>
      <c r="AK57" s="87"/>
      <c r="AL57" s="87"/>
      <c r="AM57" s="87"/>
      <c r="AN57" s="87"/>
    </row>
    <row r="58" ht="16.5" customHeight="1">
      <c r="A58" s="87" t="s">
        <v>462</v>
      </c>
      <c r="B58" s="87" t="s">
        <v>64</v>
      </c>
      <c r="C58" s="87" t="s">
        <v>429</v>
      </c>
      <c r="D58" s="87"/>
      <c r="E58" s="87" t="s">
        <v>1105</v>
      </c>
      <c r="F58" s="79"/>
      <c r="G58" s="87"/>
      <c r="H58" s="87" t="s">
        <v>1903</v>
      </c>
      <c r="I58" s="87" t="s">
        <v>1105</v>
      </c>
      <c r="J58" s="87" t="s">
        <v>1904</v>
      </c>
      <c r="K58" s="89"/>
      <c r="L58" s="87" t="s">
        <v>1905</v>
      </c>
      <c r="M58" s="90" t="str">
        <f>HYPERLINK("https://www.edx.org/course/behavioural-economics-action-university-torontox-be101x#.U-0fuUhRGnN","https://www.edx.org/course/behavioural-economics-action-university-torontox-be101x#.U-0fuUhRGnN")</f>
        <v>https://www.edx.org/course/behavioural-economics-action-university-torontox-be101x#.U-0fuUhRGnN</v>
      </c>
      <c r="N58" s="87" t="s">
        <v>1913</v>
      </c>
      <c r="O58" s="87" t="s">
        <v>462</v>
      </c>
      <c r="P58" s="87" t="s">
        <v>462</v>
      </c>
      <c r="Q58" s="87" t="s">
        <v>676</v>
      </c>
      <c r="R58" s="87" t="s">
        <v>769</v>
      </c>
      <c r="S58" s="87" t="s">
        <v>1914</v>
      </c>
      <c r="T58" s="91">
        <v>41865.0</v>
      </c>
      <c r="U58" s="87" t="s">
        <v>1915</v>
      </c>
      <c r="V58" s="87" t="s">
        <v>530</v>
      </c>
      <c r="W58" s="87"/>
      <c r="X58" s="91"/>
      <c r="Y58" s="87"/>
      <c r="Z58" s="87"/>
      <c r="AA58" s="87"/>
      <c r="AB58" s="87"/>
      <c r="AC58" s="87"/>
      <c r="AD58" s="87"/>
      <c r="AE58" s="87"/>
      <c r="AF58" s="87"/>
      <c r="AG58" s="87"/>
      <c r="AH58" s="87"/>
      <c r="AI58" s="87"/>
      <c r="AJ58" s="87"/>
      <c r="AK58" s="87"/>
      <c r="AL58" s="87"/>
      <c r="AM58" s="87"/>
      <c r="AN58" s="87"/>
    </row>
    <row r="59" ht="16.5" customHeight="1">
      <c r="A59" s="87" t="s">
        <v>462</v>
      </c>
      <c r="B59" s="87" t="s">
        <v>64</v>
      </c>
      <c r="C59" s="87" t="s">
        <v>429</v>
      </c>
      <c r="D59" s="87"/>
      <c r="E59" s="87" t="s">
        <v>1105</v>
      </c>
      <c r="F59" s="79"/>
      <c r="G59" s="87"/>
      <c r="H59" s="87" t="s">
        <v>1921</v>
      </c>
      <c r="I59" s="87" t="s">
        <v>1923</v>
      </c>
      <c r="J59" s="87" t="s">
        <v>1926</v>
      </c>
      <c r="K59" s="89">
        <v>42044.0</v>
      </c>
      <c r="L59" s="87" t="s">
        <v>1928</v>
      </c>
      <c r="M59" s="90" t="str">
        <f>HYPERLINK("https://www.whitehouse.gov/blog/2015/02/09/using-behavioral-science-insights-make-government-more-effective-simpler-and-more-us","https://www.whitehouse.gov/blog/2015/02/09/using-behavioral-science-insights-make-government-more-effective-simpler-and-more-us")</f>
        <v>https://www.whitehouse.gov/blog/2015/02/09/using-behavioral-science-insights-make-government-more-effective-simpler-and-more-us</v>
      </c>
      <c r="N59" s="87"/>
      <c r="O59" s="87" t="s">
        <v>462</v>
      </c>
      <c r="P59" s="87" t="s">
        <v>462</v>
      </c>
      <c r="Q59" s="87"/>
      <c r="R59" s="87" t="s">
        <v>677</v>
      </c>
      <c r="S59" s="87"/>
      <c r="T59" s="91"/>
      <c r="U59" s="87"/>
      <c r="V59" s="87"/>
      <c r="W59" s="87"/>
      <c r="X59" s="91"/>
      <c r="Y59" s="87"/>
      <c r="Z59" s="91"/>
      <c r="AA59" s="87"/>
      <c r="AB59" s="87"/>
      <c r="AC59" s="87"/>
      <c r="AD59" s="87"/>
      <c r="AE59" s="87"/>
      <c r="AF59" s="87"/>
      <c r="AG59" s="87"/>
      <c r="AH59" s="87"/>
      <c r="AI59" s="87"/>
      <c r="AJ59" s="87"/>
      <c r="AK59" s="87"/>
      <c r="AL59" s="87"/>
      <c r="AM59" s="87"/>
      <c r="AN59" s="87"/>
    </row>
    <row r="60" ht="16.5" customHeight="1">
      <c r="A60" s="87" t="s">
        <v>462</v>
      </c>
      <c r="B60" s="87" t="s">
        <v>64</v>
      </c>
      <c r="C60" s="87" t="s">
        <v>429</v>
      </c>
      <c r="D60" s="87" t="s">
        <v>1101</v>
      </c>
      <c r="E60" s="87" t="s">
        <v>388</v>
      </c>
      <c r="F60" s="79"/>
      <c r="G60" s="87"/>
      <c r="H60" s="87" t="s">
        <v>1935</v>
      </c>
      <c r="I60" s="87" t="s">
        <v>1936</v>
      </c>
      <c r="J60" s="87" t="s">
        <v>1937</v>
      </c>
      <c r="K60" s="89">
        <v>39191.0</v>
      </c>
      <c r="L60" s="87" t="s">
        <v>1938</v>
      </c>
      <c r="M60" s="90" t="str">
        <f>HYPERLINK("http://thefinancebuff.com/opt-in-or-opt-out-power-of-default.html","http://thefinancebuff.com/opt-in-or-opt-out-power-of-default.html")</f>
        <v>http://thefinancebuff.com/opt-in-or-opt-out-power-of-default.html</v>
      </c>
      <c r="N60" s="87"/>
      <c r="O60" s="87" t="s">
        <v>462</v>
      </c>
      <c r="P60" s="87" t="s">
        <v>462</v>
      </c>
      <c r="Q60" s="87" t="s">
        <v>1099</v>
      </c>
      <c r="R60" s="87" t="s">
        <v>769</v>
      </c>
      <c r="S60" s="87" t="s">
        <v>1948</v>
      </c>
      <c r="T60" s="91">
        <v>42471.0</v>
      </c>
      <c r="U60" s="87"/>
      <c r="V60" s="87" t="s">
        <v>769</v>
      </c>
      <c r="W60" s="87"/>
      <c r="X60" s="91">
        <v>42440.0</v>
      </c>
      <c r="Y60" s="87"/>
      <c r="Z60" s="87"/>
      <c r="AA60" s="87"/>
      <c r="AB60" s="87"/>
      <c r="AC60" s="87"/>
      <c r="AD60" s="87"/>
      <c r="AE60" s="87"/>
      <c r="AF60" s="87"/>
      <c r="AG60" s="87"/>
      <c r="AH60" s="87"/>
      <c r="AI60" s="87"/>
      <c r="AJ60" s="87"/>
      <c r="AK60" s="87"/>
      <c r="AL60" s="87"/>
      <c r="AM60" s="87"/>
      <c r="AN60" s="87"/>
    </row>
    <row r="61" ht="16.5" customHeight="1">
      <c r="A61" s="87" t="s">
        <v>462</v>
      </c>
      <c r="B61" s="87" t="s">
        <v>64</v>
      </c>
      <c r="C61" s="87" t="s">
        <v>743</v>
      </c>
      <c r="D61" s="87" t="s">
        <v>678</v>
      </c>
      <c r="E61" s="87" t="s">
        <v>578</v>
      </c>
      <c r="F61" s="79"/>
      <c r="G61" s="87"/>
      <c r="H61" s="87" t="s">
        <v>1952</v>
      </c>
      <c r="I61" s="87" t="s">
        <v>1954</v>
      </c>
      <c r="J61" s="87" t="s">
        <v>1775</v>
      </c>
      <c r="K61" s="89">
        <v>42032.0</v>
      </c>
      <c r="L61" s="87" t="s">
        <v>1955</v>
      </c>
      <c r="M61" s="90" t="str">
        <f>HYPERLINK("http://www.huffingtonpost.com/2015/01/28/fight-climate-change_n_6562264.html?ncid=tweetlnkushpmg00000048","http://www.huffingtonpost.com/2015/01/28/fight-climate-change_n_6562264.html?ncid=tweetlnkushpmg00000048")</f>
        <v>http://www.huffingtonpost.com/2015/01/28/fight-climate-change_n_6562264.html?ncid=tweetlnkushpmg00000048</v>
      </c>
      <c r="N61" s="87"/>
      <c r="O61" s="87" t="s">
        <v>462</v>
      </c>
      <c r="P61" s="87" t="s">
        <v>462</v>
      </c>
      <c r="Q61" s="87" t="s">
        <v>676</v>
      </c>
      <c r="R61" s="87" t="s">
        <v>600</v>
      </c>
      <c r="S61" s="87"/>
      <c r="T61" s="91"/>
      <c r="U61" s="87"/>
      <c r="V61" s="87"/>
      <c r="W61" s="87"/>
      <c r="X61" s="91"/>
      <c r="Y61" s="87"/>
      <c r="Z61" s="87"/>
      <c r="AA61" s="87"/>
      <c r="AB61" s="87"/>
      <c r="AC61" s="87"/>
      <c r="AD61" s="87"/>
      <c r="AE61" s="87"/>
      <c r="AF61" s="87"/>
      <c r="AG61" s="87"/>
      <c r="AH61" s="87"/>
      <c r="AI61" s="87"/>
      <c r="AJ61" s="87"/>
      <c r="AK61" s="87"/>
      <c r="AL61" s="87"/>
      <c r="AM61" s="87"/>
      <c r="AN61" s="87"/>
    </row>
    <row r="62" ht="16.5" customHeight="1">
      <c r="A62" s="87" t="s">
        <v>462</v>
      </c>
      <c r="B62" s="87"/>
      <c r="C62" s="87" t="s">
        <v>323</v>
      </c>
      <c r="D62" s="87"/>
      <c r="E62" s="87"/>
      <c r="F62" s="79"/>
      <c r="G62" s="87"/>
      <c r="H62" s="87" t="s">
        <v>1965</v>
      </c>
      <c r="I62" s="87" t="s">
        <v>1945</v>
      </c>
      <c r="J62" s="87" t="s">
        <v>1966</v>
      </c>
      <c r="K62" s="89">
        <v>2014.0</v>
      </c>
      <c r="L62" s="87" t="s">
        <v>1968</v>
      </c>
      <c r="M62" s="90" t="str">
        <f>HYPERLINK("http://grist.org/climate-energy/with-one-more-nail-in-its-coffin-is-keystone-xl-history/","http://grist.org/climate-energy/with-one-more-nail-in-its-coffin-is-keystone-xl-history/")</f>
        <v>http://grist.org/climate-energy/with-one-more-nail-in-its-coffin-is-keystone-xl-history/</v>
      </c>
      <c r="N62" s="87" t="s">
        <v>1972</v>
      </c>
      <c r="O62" s="87" t="s">
        <v>462</v>
      </c>
      <c r="P62" s="87" t="s">
        <v>462</v>
      </c>
      <c r="Q62" s="87" t="s">
        <v>676</v>
      </c>
      <c r="R62" s="87" t="s">
        <v>600</v>
      </c>
      <c r="S62" s="87"/>
      <c r="T62" s="91"/>
      <c r="U62" s="87"/>
      <c r="V62" s="87"/>
      <c r="W62" s="87"/>
      <c r="X62" s="91"/>
      <c r="Y62" s="87"/>
      <c r="Z62" s="87"/>
      <c r="AA62" s="87"/>
      <c r="AB62" s="87"/>
      <c r="AC62" s="87"/>
      <c r="AD62" s="87"/>
      <c r="AE62" s="87"/>
      <c r="AF62" s="87"/>
      <c r="AG62" s="87"/>
      <c r="AH62" s="87"/>
      <c r="AI62" s="87"/>
      <c r="AJ62" s="87"/>
      <c r="AK62" s="87"/>
      <c r="AL62" s="87"/>
      <c r="AM62" s="87"/>
      <c r="AN62" s="87"/>
    </row>
    <row r="63" ht="16.5" customHeight="1">
      <c r="A63" s="87" t="s">
        <v>462</v>
      </c>
      <c r="B63" s="87"/>
      <c r="C63" s="87" t="s">
        <v>323</v>
      </c>
      <c r="D63" s="87"/>
      <c r="E63" s="87" t="s">
        <v>1105</v>
      </c>
      <c r="F63" s="79"/>
      <c r="G63" s="87"/>
      <c r="H63" s="87" t="s">
        <v>1974</v>
      </c>
      <c r="I63" s="87"/>
      <c r="J63" s="87" t="s">
        <v>1975</v>
      </c>
      <c r="K63" s="89">
        <v>40756.0</v>
      </c>
      <c r="L63" s="87" t="s">
        <v>1435</v>
      </c>
      <c r="M63" s="90" t="str">
        <f>HYPERLINK("http://www.brainfacts.org/sensing-thinking-behaving/awareness-and-attention/articles/2011/the-neuroscience-of-decision-making/","http://www.brainfacts.org/sensing-thinking-behaving/awareness-and-attention/articles/2011/the-neuroscience-of-decision-making/")</f>
        <v>http://www.brainfacts.org/sensing-thinking-behaving/awareness-and-attention/articles/2011/the-neuroscience-of-decision-making/</v>
      </c>
      <c r="N63" s="87"/>
      <c r="O63" s="87" t="s">
        <v>462</v>
      </c>
      <c r="P63" s="87" t="s">
        <v>462</v>
      </c>
      <c r="Q63" s="87" t="s">
        <v>676</v>
      </c>
      <c r="R63" s="87" t="s">
        <v>677</v>
      </c>
      <c r="S63" s="87"/>
      <c r="T63" s="91"/>
      <c r="U63" s="87"/>
      <c r="V63" s="87"/>
      <c r="W63" s="87"/>
      <c r="X63" s="91"/>
      <c r="Y63" s="87"/>
      <c r="Z63" s="87"/>
      <c r="AA63" s="87"/>
      <c r="AB63" s="87"/>
      <c r="AC63" s="87"/>
      <c r="AD63" s="87"/>
      <c r="AE63" s="87"/>
      <c r="AF63" s="87"/>
      <c r="AG63" s="87"/>
      <c r="AH63" s="87"/>
      <c r="AI63" s="87"/>
      <c r="AJ63" s="87"/>
      <c r="AK63" s="87"/>
      <c r="AL63" s="87"/>
      <c r="AM63" s="87"/>
      <c r="AN63" s="87"/>
    </row>
    <row r="64" ht="16.5" customHeight="1">
      <c r="A64" s="87" t="s">
        <v>462</v>
      </c>
      <c r="B64" s="87"/>
      <c r="C64" s="87" t="s">
        <v>323</v>
      </c>
      <c r="D64" s="87"/>
      <c r="E64" s="87"/>
      <c r="F64" s="79"/>
      <c r="G64" s="87"/>
      <c r="H64" s="87" t="s">
        <v>1994</v>
      </c>
      <c r="I64" s="87"/>
      <c r="J64" s="87" t="s">
        <v>1996</v>
      </c>
      <c r="K64" s="89">
        <v>42075.0</v>
      </c>
      <c r="L64" s="87"/>
      <c r="M64" s="90" t="str">
        <f>HYPERLINK("http://www.latimes.com/opinion/op-ed/la-oe-famiglietti-drought-california-20150313-story.html","http://www.latimes.com/opinion/op-ed/la-oe-famiglietti-drought-california-20150313-story.html")</f>
        <v>http://www.latimes.com/opinion/op-ed/la-oe-famiglietti-drought-california-20150313-story.html</v>
      </c>
      <c r="N64" s="87"/>
      <c r="O64" s="87" t="s">
        <v>462</v>
      </c>
      <c r="P64" s="87" t="s">
        <v>462</v>
      </c>
      <c r="Q64" s="87" t="s">
        <v>676</v>
      </c>
      <c r="R64" s="87" t="s">
        <v>769</v>
      </c>
      <c r="S64" s="87" t="s">
        <v>2004</v>
      </c>
      <c r="T64" s="91">
        <v>42174.0</v>
      </c>
      <c r="U64" s="87"/>
      <c r="V64" s="87"/>
      <c r="W64" s="87"/>
      <c r="X64" s="91"/>
      <c r="Y64" s="87"/>
      <c r="Z64" s="87"/>
      <c r="AA64" s="87"/>
      <c r="AB64" s="87"/>
      <c r="AC64" s="87"/>
      <c r="AD64" s="87"/>
      <c r="AE64" s="87"/>
      <c r="AF64" s="87"/>
      <c r="AG64" s="87"/>
      <c r="AH64" s="87"/>
      <c r="AI64" s="87"/>
      <c r="AJ64" s="87"/>
      <c r="AK64" s="87"/>
      <c r="AL64" s="87"/>
      <c r="AM64" s="87"/>
      <c r="AN64" s="87"/>
    </row>
    <row r="65" ht="16.5" customHeight="1">
      <c r="A65" s="87" t="s">
        <v>462</v>
      </c>
      <c r="B65" s="87"/>
      <c r="C65" s="87" t="s">
        <v>323</v>
      </c>
      <c r="D65" s="87"/>
      <c r="E65" s="87"/>
      <c r="F65" s="79"/>
      <c r="G65" s="87"/>
      <c r="H65" s="87" t="s">
        <v>2005</v>
      </c>
      <c r="I65" s="87"/>
      <c r="J65" s="87" t="s">
        <v>2007</v>
      </c>
      <c r="K65" s="89">
        <v>42180.0</v>
      </c>
      <c r="L65" s="87" t="s">
        <v>2009</v>
      </c>
      <c r="M65" s="90" t="str">
        <f>HYPERLINK("http://www.timeslive.co.za/thetimes/2015/06/25/Global-warming-catastrophe-for-health","http://www.timeslive.co.za/thetimes/2015/06/25/Global-warming-catastrophe-for-health")</f>
        <v>http://www.timeslive.co.za/thetimes/2015/06/25/Global-warming-catastrophe-for-health</v>
      </c>
      <c r="N65" s="87"/>
      <c r="O65" s="87" t="s">
        <v>462</v>
      </c>
      <c r="P65" s="87" t="s">
        <v>462</v>
      </c>
      <c r="Q65" s="87" t="s">
        <v>676</v>
      </c>
      <c r="R65" s="87" t="s">
        <v>677</v>
      </c>
      <c r="S65" s="87"/>
      <c r="T65" s="91"/>
      <c r="U65" s="87"/>
      <c r="V65" s="87" t="s">
        <v>769</v>
      </c>
      <c r="W65" s="87"/>
      <c r="X65" s="91">
        <v>42207.0</v>
      </c>
      <c r="Y65" s="87"/>
      <c r="Z65" s="87"/>
      <c r="AA65" s="87"/>
      <c r="AB65" s="87"/>
      <c r="AC65" s="87"/>
      <c r="AD65" s="87"/>
      <c r="AE65" s="87"/>
      <c r="AF65" s="87"/>
      <c r="AG65" s="87"/>
      <c r="AH65" s="87"/>
      <c r="AI65" s="87"/>
      <c r="AJ65" s="87"/>
      <c r="AK65" s="87"/>
      <c r="AL65" s="87"/>
      <c r="AM65" s="87"/>
      <c r="AN65" s="87"/>
    </row>
    <row r="66" ht="16.5" customHeight="1">
      <c r="A66" s="87" t="s">
        <v>462</v>
      </c>
      <c r="B66" s="87"/>
      <c r="C66" s="87" t="s">
        <v>323</v>
      </c>
      <c r="D66" s="87"/>
      <c r="E66" s="87"/>
      <c r="F66" s="79"/>
      <c r="G66" s="87"/>
      <c r="H66" s="87" t="s">
        <v>2018</v>
      </c>
      <c r="I66" s="87" t="s">
        <v>2019</v>
      </c>
      <c r="J66" s="87" t="s">
        <v>2020</v>
      </c>
      <c r="K66" s="89">
        <v>42152.0</v>
      </c>
      <c r="L66" s="87" t="s">
        <v>2022</v>
      </c>
      <c r="M66" s="90" t="str">
        <f>HYPERLINK("http://naumof.blogspot.nl/2015/05/nudging-rich-and-nudging-poor.html","http://naumof.blogspot.nl/2015/05/nudging-rich-and-nudging-poor.html")</f>
        <v>http://naumof.blogspot.nl/2015/05/nudging-rich-and-nudging-poor.html</v>
      </c>
      <c r="N66" s="87"/>
      <c r="O66" s="87" t="s">
        <v>462</v>
      </c>
      <c r="P66" s="87" t="s">
        <v>462</v>
      </c>
      <c r="Q66" s="87" t="s">
        <v>676</v>
      </c>
      <c r="R66" s="87" t="s">
        <v>769</v>
      </c>
      <c r="S66" s="87"/>
      <c r="T66" s="91">
        <v>42152.0</v>
      </c>
      <c r="U66" s="87"/>
      <c r="V66" s="87" t="s">
        <v>769</v>
      </c>
      <c r="W66" s="87"/>
      <c r="X66" s="91">
        <v>42185.0</v>
      </c>
      <c r="Y66" s="87"/>
      <c r="Z66" s="87"/>
      <c r="AA66" s="87"/>
      <c r="AB66" s="87"/>
      <c r="AC66" s="87"/>
      <c r="AD66" s="87"/>
      <c r="AE66" s="87"/>
      <c r="AF66" s="87"/>
      <c r="AG66" s="87"/>
      <c r="AH66" s="87"/>
      <c r="AI66" s="87"/>
      <c r="AJ66" s="87"/>
      <c r="AK66" s="87"/>
      <c r="AL66" s="87"/>
      <c r="AM66" s="87"/>
      <c r="AN66" s="87"/>
    </row>
    <row r="67" ht="16.5" customHeight="1">
      <c r="A67" s="87" t="s">
        <v>462</v>
      </c>
      <c r="B67" s="87"/>
      <c r="C67" s="87" t="s">
        <v>323</v>
      </c>
      <c r="D67" s="87"/>
      <c r="E67" s="87"/>
      <c r="F67" s="79"/>
      <c r="G67" s="87"/>
      <c r="H67" s="87" t="s">
        <v>2027</v>
      </c>
      <c r="I67" s="87" t="s">
        <v>2028</v>
      </c>
      <c r="J67" s="87" t="s">
        <v>2029</v>
      </c>
      <c r="K67" s="89">
        <v>41478.0</v>
      </c>
      <c r="L67" s="87" t="s">
        <v>2030</v>
      </c>
      <c r="M67" s="90" t="str">
        <f>HYPERLINK("https://www2.gmu.edu/news/3534","https://www2.gmu.edu/news/3534")</f>
        <v>https://www2.gmu.edu/news/3534</v>
      </c>
      <c r="N67" s="87"/>
      <c r="O67" s="87" t="s">
        <v>462</v>
      </c>
      <c r="P67" s="87" t="s">
        <v>462</v>
      </c>
      <c r="Q67" s="87" t="s">
        <v>676</v>
      </c>
      <c r="R67" s="87" t="s">
        <v>600</v>
      </c>
      <c r="S67" s="87"/>
      <c r="T67" s="91"/>
      <c r="U67" s="87"/>
      <c r="V67" s="87"/>
      <c r="W67" s="87"/>
      <c r="X67" s="91"/>
      <c r="Y67" s="87"/>
      <c r="Z67" s="87"/>
      <c r="AA67" s="87"/>
      <c r="AB67" s="87"/>
      <c r="AC67" s="87"/>
      <c r="AD67" s="87"/>
      <c r="AE67" s="87"/>
      <c r="AF67" s="87"/>
      <c r="AG67" s="87"/>
      <c r="AH67" s="87"/>
      <c r="AI67" s="87"/>
      <c r="AJ67" s="87"/>
      <c r="AK67" s="87"/>
      <c r="AL67" s="87"/>
      <c r="AM67" s="87"/>
      <c r="AN67" s="87"/>
    </row>
    <row r="68" ht="16.5" customHeight="1">
      <c r="A68" s="87" t="s">
        <v>462</v>
      </c>
      <c r="B68" s="87"/>
      <c r="C68" s="87" t="s">
        <v>323</v>
      </c>
      <c r="D68" s="87"/>
      <c r="E68" s="87"/>
      <c r="F68" s="79"/>
      <c r="G68" s="87"/>
      <c r="H68" s="87" t="s">
        <v>2037</v>
      </c>
      <c r="I68" s="87"/>
      <c r="J68" s="87" t="s">
        <v>2038</v>
      </c>
      <c r="K68" s="89">
        <v>2014.0</v>
      </c>
      <c r="L68" s="87" t="s">
        <v>2039</v>
      </c>
      <c r="M68" s="90" t="str">
        <f>HYPERLINK("http://www.economist.com/news/finance-and-economics/21635477-behavioural-economics-meets-development-policy-poor-behaviour?fsrc=scn/tw_ec/poor_behaviour","http://www.economist.com/news/finance-and-economics/21635477-behavioural-economics-meets-development-policy-poor-behaviour?fsrc=scn/tw_ec/poor_behaviour")</f>
        <v>http://www.economist.com/news/finance-and-economics/21635477-behavioural-economics-meets-development-policy-poor-behaviour?fsrc=scn/tw_ec/poor_behaviour</v>
      </c>
      <c r="N68" s="87"/>
      <c r="O68" s="87" t="s">
        <v>462</v>
      </c>
      <c r="P68" s="87" t="s">
        <v>462</v>
      </c>
      <c r="Q68" s="87" t="s">
        <v>1474</v>
      </c>
      <c r="R68" s="87" t="s">
        <v>677</v>
      </c>
      <c r="S68" s="87"/>
      <c r="T68" s="91"/>
      <c r="U68" s="87"/>
      <c r="V68" s="87" t="s">
        <v>769</v>
      </c>
      <c r="W68" s="87"/>
      <c r="X68" s="91"/>
      <c r="Y68" s="87"/>
      <c r="Z68" s="87"/>
      <c r="AA68" s="87"/>
      <c r="AB68" s="87"/>
      <c r="AC68" s="87"/>
      <c r="AD68" s="87"/>
      <c r="AE68" s="87"/>
      <c r="AF68" s="87"/>
      <c r="AG68" s="87"/>
      <c r="AH68" s="87"/>
      <c r="AI68" s="87"/>
      <c r="AJ68" s="87"/>
      <c r="AK68" s="87"/>
      <c r="AL68" s="87"/>
      <c r="AM68" s="87"/>
      <c r="AN68" s="87"/>
    </row>
    <row r="69" ht="16.5" customHeight="1">
      <c r="A69" s="87" t="s">
        <v>462</v>
      </c>
      <c r="B69" s="87"/>
      <c r="C69" s="87" t="s">
        <v>323</v>
      </c>
      <c r="D69" s="87"/>
      <c r="E69" s="87"/>
      <c r="F69" s="79"/>
      <c r="G69" s="87"/>
      <c r="H69" s="87" t="s">
        <v>2040</v>
      </c>
      <c r="I69" s="90" t="str">
        <f>HYPERLINK("http://bigthink.com/users/robertmontenegro","ROBERT MONTENEGRO")</f>
        <v>ROBERT MONTENEGRO</v>
      </c>
      <c r="J69" s="87" t="s">
        <v>2043</v>
      </c>
      <c r="K69" s="89">
        <v>42125.0</v>
      </c>
      <c r="L69" s="87" t="s">
        <v>2044</v>
      </c>
      <c r="M69" s="90" t="str">
        <f>HYPERLINK("http://bigthink.com/ideafeed/science-communication-needs-to-be-about-more-than-fundraising","http://bigthink.com/ideafeed/science-communication-needs-to-be-about-more-than-fundraising")</f>
        <v>http://bigthink.com/ideafeed/science-communication-needs-to-be-about-more-than-fundraising</v>
      </c>
      <c r="N69" s="87"/>
      <c r="O69" s="87" t="s">
        <v>462</v>
      </c>
      <c r="P69" s="87" t="s">
        <v>462</v>
      </c>
      <c r="Q69" s="87"/>
      <c r="R69" s="87" t="s">
        <v>769</v>
      </c>
      <c r="S69" s="87" t="s">
        <v>2046</v>
      </c>
      <c r="T69" s="91">
        <v>42172.0</v>
      </c>
      <c r="U69" s="91">
        <v>42523.0</v>
      </c>
      <c r="V69" s="87" t="s">
        <v>769</v>
      </c>
      <c r="W69" s="87"/>
      <c r="X69" s="91">
        <v>42181.0</v>
      </c>
      <c r="Y69" s="87"/>
      <c r="Z69" s="87"/>
      <c r="AA69" s="87"/>
      <c r="AB69" s="87"/>
      <c r="AC69" s="87"/>
      <c r="AD69" s="87"/>
      <c r="AE69" s="87"/>
      <c r="AF69" s="87"/>
      <c r="AG69" s="87"/>
      <c r="AH69" s="87"/>
      <c r="AI69" s="87"/>
      <c r="AJ69" s="87"/>
      <c r="AK69" s="87"/>
      <c r="AL69" s="87"/>
      <c r="AM69" s="87"/>
      <c r="AN69" s="87"/>
    </row>
    <row r="70" ht="16.5" customHeight="1">
      <c r="A70" s="87" t="s">
        <v>462</v>
      </c>
      <c r="B70" s="87"/>
      <c r="C70" s="87" t="s">
        <v>323</v>
      </c>
      <c r="D70" s="87"/>
      <c r="E70" s="87"/>
      <c r="F70" s="79"/>
      <c r="G70" s="87"/>
      <c r="H70" s="87" t="s">
        <v>2049</v>
      </c>
      <c r="I70" s="87" t="s">
        <v>1105</v>
      </c>
      <c r="J70" s="87" t="s">
        <v>2051</v>
      </c>
      <c r="K70" s="89" t="s">
        <v>1255</v>
      </c>
      <c r="L70" s="87"/>
      <c r="M70" s="90" t="str">
        <f>HYPERLINK("https://www.iser.essex.ac.uk/projects/the-distribution-and-dynamics-of-uk-citizens-environmental-attitudes-behaviours-and-actions","https://www.iser.essex.ac.uk/projects/the-distribution-and-dynamics-of-uk-citizens-environmental-attitudes-behaviours-and-actions")</f>
        <v>https://www.iser.essex.ac.uk/projects/the-distribution-and-dynamics-of-uk-citizens-environmental-attitudes-behaviours-and-actions</v>
      </c>
      <c r="N70" s="87" t="s">
        <v>2054</v>
      </c>
      <c r="O70" s="87" t="s">
        <v>462</v>
      </c>
      <c r="P70" s="87" t="s">
        <v>462</v>
      </c>
      <c r="Q70" s="87" t="s">
        <v>676</v>
      </c>
      <c r="R70" s="87" t="s">
        <v>769</v>
      </c>
      <c r="S70" s="87" t="s">
        <v>2055</v>
      </c>
      <c r="T70" s="91">
        <v>41933.0</v>
      </c>
      <c r="U70" s="87" t="s">
        <v>2056</v>
      </c>
      <c r="V70" s="87"/>
      <c r="W70" s="87"/>
      <c r="X70" s="91"/>
      <c r="Y70" s="87"/>
      <c r="Z70" s="87"/>
      <c r="AA70" s="87"/>
      <c r="AB70" s="87"/>
      <c r="AC70" s="87"/>
      <c r="AD70" s="87"/>
      <c r="AE70" s="87"/>
      <c r="AF70" s="87"/>
      <c r="AG70" s="87"/>
      <c r="AH70" s="87"/>
      <c r="AI70" s="87"/>
      <c r="AJ70" s="87"/>
      <c r="AK70" s="87"/>
      <c r="AL70" s="87"/>
      <c r="AM70" s="87"/>
      <c r="AN70" s="87"/>
    </row>
    <row r="71" ht="16.5" customHeight="1">
      <c r="A71" s="87" t="s">
        <v>462</v>
      </c>
      <c r="B71" s="87"/>
      <c r="C71" s="87" t="s">
        <v>323</v>
      </c>
      <c r="D71" s="87"/>
      <c r="E71" s="87" t="s">
        <v>116</v>
      </c>
      <c r="F71" s="79"/>
      <c r="G71" s="87"/>
      <c r="H71" s="87" t="s">
        <v>2060</v>
      </c>
      <c r="I71" s="87" t="s">
        <v>2061</v>
      </c>
      <c r="J71" s="87" t="s">
        <v>2063</v>
      </c>
      <c r="K71" s="89">
        <v>42123.0</v>
      </c>
      <c r="L71" s="87" t="s">
        <v>2065</v>
      </c>
      <c r="M71" s="90" t="str">
        <f>HYPERLINK("http://restaurant-hospitality.com/sustainability/how-one-california-restaurant-dealing-drought","http://restaurant-hospitality.com/sustainability/how-one-california-restaurant-dealing-drought")</f>
        <v>http://restaurant-hospitality.com/sustainability/how-one-california-restaurant-dealing-drought</v>
      </c>
      <c r="N71" s="87"/>
      <c r="O71" s="87" t="s">
        <v>462</v>
      </c>
      <c r="P71" s="87" t="s">
        <v>462</v>
      </c>
      <c r="Q71" s="87" t="s">
        <v>676</v>
      </c>
      <c r="R71" s="87" t="s">
        <v>769</v>
      </c>
      <c r="S71" s="87" t="s">
        <v>2071</v>
      </c>
      <c r="T71" s="91">
        <v>42167.0</v>
      </c>
      <c r="U71" s="91">
        <v>42558.0</v>
      </c>
      <c r="V71" s="87" t="s">
        <v>769</v>
      </c>
      <c r="W71" s="87"/>
      <c r="X71" s="91">
        <v>42173.0</v>
      </c>
      <c r="Y71" s="87"/>
      <c r="Z71" s="87"/>
      <c r="AA71" s="87"/>
      <c r="AB71" s="87"/>
      <c r="AC71" s="87"/>
      <c r="AD71" s="87" t="s">
        <v>428</v>
      </c>
      <c r="AE71" s="87"/>
      <c r="AF71" s="87"/>
      <c r="AG71" s="87"/>
      <c r="AH71" s="87"/>
      <c r="AI71" s="87"/>
      <c r="AJ71" s="87"/>
      <c r="AK71" s="87"/>
      <c r="AL71" s="87"/>
      <c r="AM71" s="87"/>
      <c r="AN71" s="87"/>
    </row>
    <row r="72" ht="16.5" customHeight="1">
      <c r="A72" s="87" t="s">
        <v>462</v>
      </c>
      <c r="B72" s="87"/>
      <c r="C72" s="87" t="s">
        <v>421</v>
      </c>
      <c r="D72" s="87"/>
      <c r="E72" s="87"/>
      <c r="F72" s="79"/>
      <c r="G72" s="87"/>
      <c r="H72" s="87" t="s">
        <v>2073</v>
      </c>
      <c r="I72" s="87" t="s">
        <v>2074</v>
      </c>
      <c r="J72" s="87" t="s">
        <v>2076</v>
      </c>
      <c r="K72" s="89">
        <v>42114.0</v>
      </c>
      <c r="L72" s="87" t="s">
        <v>1510</v>
      </c>
      <c r="M72" s="90" t="str">
        <f>HYPERLINK("http://www.nationaljournal.com/energy/americans-don-t-talk-about-global-warming-very-often-20150420","http://www.nationaljournal.com/energy/americans-don-t-talk-about-global-warming-very-often-20150420")</f>
        <v>http://www.nationaljournal.com/energy/americans-don-t-talk-about-global-warming-very-often-20150420</v>
      </c>
      <c r="N72" s="87"/>
      <c r="O72" s="87" t="s">
        <v>462</v>
      </c>
      <c r="P72" s="87" t="s">
        <v>462</v>
      </c>
      <c r="Q72" s="87" t="s">
        <v>676</v>
      </c>
      <c r="R72" s="87" t="s">
        <v>769</v>
      </c>
      <c r="S72" s="87" t="s">
        <v>2083</v>
      </c>
      <c r="T72" s="91">
        <v>42205.0</v>
      </c>
      <c r="U72" s="87"/>
      <c r="V72" s="87"/>
      <c r="W72" s="87"/>
      <c r="X72" s="91"/>
      <c r="Y72" s="87"/>
      <c r="Z72" s="87"/>
      <c r="AA72" s="87"/>
      <c r="AB72" s="87"/>
      <c r="AC72" s="87"/>
      <c r="AD72" s="87"/>
      <c r="AE72" s="87"/>
      <c r="AF72" s="87"/>
      <c r="AG72" s="87"/>
      <c r="AH72" s="87"/>
      <c r="AI72" s="87"/>
      <c r="AJ72" s="87"/>
      <c r="AK72" s="87"/>
      <c r="AL72" s="87"/>
      <c r="AM72" s="87"/>
      <c r="AN72" s="87"/>
    </row>
    <row r="73" ht="16.5" customHeight="1">
      <c r="A73" s="87" t="s">
        <v>462</v>
      </c>
      <c r="B73" s="87"/>
      <c r="C73" s="87" t="s">
        <v>421</v>
      </c>
      <c r="D73" s="87"/>
      <c r="E73" s="87" t="s">
        <v>2085</v>
      </c>
      <c r="F73" s="79"/>
      <c r="G73" s="87"/>
      <c r="H73" s="87" t="s">
        <v>2086</v>
      </c>
      <c r="I73" s="87" t="s">
        <v>2087</v>
      </c>
      <c r="J73" s="87" t="s">
        <v>1966</v>
      </c>
      <c r="K73" s="89">
        <v>2014.0</v>
      </c>
      <c r="L73" s="87" t="s">
        <v>2088</v>
      </c>
      <c r="M73" s="90" t="str">
        <f>HYPERLINK("http://grist.org/climate-energy/cool-roofs-offer-a-salve-for-hot-cities-and-the-climate-too/","http://grist.org/climate-energy/cool-roofs-offer-a-salve-for-hot-cities-and-the-climate-too/")</f>
        <v>http://grist.org/climate-energy/cool-roofs-offer-a-salve-for-hot-cities-and-the-climate-too/</v>
      </c>
      <c r="N73" s="87" t="s">
        <v>2092</v>
      </c>
      <c r="O73" s="87" t="s">
        <v>462</v>
      </c>
      <c r="P73" s="87" t="s">
        <v>462</v>
      </c>
      <c r="Q73" s="87" t="s">
        <v>676</v>
      </c>
      <c r="R73" s="87" t="s">
        <v>600</v>
      </c>
      <c r="S73" s="87"/>
      <c r="T73" s="91"/>
      <c r="U73" s="87"/>
      <c r="V73" s="87"/>
      <c r="W73" s="87"/>
      <c r="X73" s="91"/>
      <c r="Y73" s="87"/>
      <c r="Z73" s="87"/>
      <c r="AA73" s="87"/>
      <c r="AB73" s="87"/>
      <c r="AC73" s="87"/>
      <c r="AD73" s="87"/>
      <c r="AE73" s="104"/>
      <c r="AF73" s="104"/>
      <c r="AG73" s="104"/>
      <c r="AH73" s="104"/>
      <c r="AI73" s="104"/>
      <c r="AJ73" s="104"/>
      <c r="AK73" s="104"/>
      <c r="AL73" s="104"/>
      <c r="AM73" s="104"/>
      <c r="AN73" s="104"/>
    </row>
    <row r="74" ht="16.5" customHeight="1">
      <c r="A74" s="87" t="s">
        <v>462</v>
      </c>
      <c r="B74" s="87"/>
      <c r="C74" s="87" t="s">
        <v>421</v>
      </c>
      <c r="D74" s="87"/>
      <c r="E74" s="87" t="s">
        <v>1105</v>
      </c>
      <c r="F74" s="79"/>
      <c r="G74" s="87"/>
      <c r="H74" s="87" t="s">
        <v>2097</v>
      </c>
      <c r="I74" s="87" t="s">
        <v>2098</v>
      </c>
      <c r="J74" s="87" t="s">
        <v>2100</v>
      </c>
      <c r="K74" s="89">
        <v>42046.0</v>
      </c>
      <c r="L74" s="87"/>
      <c r="M74" s="90" t="str">
        <f>HYPERLINK("http://www.smithsonianmag.com/science-nature/brains-make-decisions-way-alan-turing-cracked-codes-180954212/?no-ist","http://www.smithsonianmag.com/science-nature/brains-make-decisions-way-alan-turing-cracked-codes-180954212/?no-ist")</f>
        <v>http://www.smithsonianmag.com/science-nature/brains-make-decisions-way-alan-turing-cracked-codes-180954212/?no-ist</v>
      </c>
      <c r="N74" s="87"/>
      <c r="O74" s="87" t="s">
        <v>462</v>
      </c>
      <c r="P74" s="87" t="s">
        <v>462</v>
      </c>
      <c r="Q74" s="87" t="s">
        <v>676</v>
      </c>
      <c r="R74" s="87" t="s">
        <v>769</v>
      </c>
      <c r="S74" s="87" t="s">
        <v>2112</v>
      </c>
      <c r="T74" s="91">
        <v>42306.0</v>
      </c>
      <c r="U74" s="87"/>
      <c r="V74" s="87"/>
      <c r="W74" s="87"/>
      <c r="X74" s="91"/>
      <c r="Y74" s="87"/>
      <c r="Z74" s="87"/>
      <c r="AA74" s="87"/>
      <c r="AB74" s="87"/>
      <c r="AC74" s="87"/>
      <c r="AD74" s="98"/>
      <c r="AE74" s="87"/>
      <c r="AF74" s="87"/>
      <c r="AG74" s="87"/>
      <c r="AH74" s="87"/>
      <c r="AI74" s="87"/>
      <c r="AJ74" s="87"/>
      <c r="AK74" s="87"/>
      <c r="AL74" s="87"/>
      <c r="AM74" s="87"/>
      <c r="AN74" s="87"/>
    </row>
    <row r="75" ht="16.5" customHeight="1">
      <c r="A75" s="87" t="s">
        <v>462</v>
      </c>
      <c r="B75" s="87"/>
      <c r="C75" s="87" t="s">
        <v>421</v>
      </c>
      <c r="D75" s="87"/>
      <c r="E75" s="87"/>
      <c r="F75" s="79"/>
      <c r="G75" s="87"/>
      <c r="H75" s="87" t="s">
        <v>2113</v>
      </c>
      <c r="I75" s="87" t="s">
        <v>2115</v>
      </c>
      <c r="J75" s="87" t="s">
        <v>2116</v>
      </c>
      <c r="K75" s="89">
        <v>41948.0</v>
      </c>
      <c r="L75" s="87"/>
      <c r="M75" s="90" t="str">
        <f>HYPERLINK("http://ideas.ted.com/4-critical-mistakes-that-inventors-make/","http://ideas.ted.com/4-critical-mistakes-that-inventors-make/")</f>
        <v>http://ideas.ted.com/4-critical-mistakes-that-inventors-make/</v>
      </c>
      <c r="N75" s="87"/>
      <c r="O75" s="87" t="s">
        <v>462</v>
      </c>
      <c r="P75" s="87" t="s">
        <v>462</v>
      </c>
      <c r="Q75" s="87" t="s">
        <v>676</v>
      </c>
      <c r="R75" s="87" t="s">
        <v>677</v>
      </c>
      <c r="S75" s="87"/>
      <c r="T75" s="91"/>
      <c r="U75" s="87"/>
      <c r="V75" s="87"/>
      <c r="W75" s="87"/>
      <c r="X75" s="91"/>
      <c r="Y75" s="87"/>
      <c r="Z75" s="87"/>
      <c r="AA75" s="87"/>
      <c r="AB75" s="87"/>
      <c r="AC75" s="87"/>
      <c r="AD75" s="87"/>
      <c r="AE75" s="87"/>
      <c r="AF75" s="87"/>
      <c r="AG75" s="87"/>
      <c r="AH75" s="87"/>
      <c r="AI75" s="87"/>
      <c r="AJ75" s="87"/>
      <c r="AK75" s="87"/>
      <c r="AL75" s="87"/>
      <c r="AM75" s="87"/>
      <c r="AN75" s="87"/>
    </row>
    <row r="76" ht="16.5" customHeight="1">
      <c r="A76" s="87" t="s">
        <v>462</v>
      </c>
      <c r="B76" s="87"/>
      <c r="C76" s="87" t="s">
        <v>421</v>
      </c>
      <c r="D76" s="87"/>
      <c r="E76" s="87"/>
      <c r="F76" s="79"/>
      <c r="G76" s="87"/>
      <c r="H76" s="87" t="s">
        <v>2128</v>
      </c>
      <c r="I76" s="87" t="s">
        <v>2129</v>
      </c>
      <c r="J76" s="87" t="s">
        <v>2131</v>
      </c>
      <c r="K76" s="89"/>
      <c r="L76" s="87" t="s">
        <v>1955</v>
      </c>
      <c r="M76" s="90" t="str">
        <f>HYPERLINK("http://upriser.com/posts/california-will-run-out-of-water-in-a-year-nasa-scientist-says","http://upriser.com/posts/california-will-run-out-of-water-in-a-year-nasa-scientist-says")</f>
        <v>http://upriser.com/posts/california-will-run-out-of-water-in-a-year-nasa-scientist-says</v>
      </c>
      <c r="N76" s="87" t="s">
        <v>2135</v>
      </c>
      <c r="O76" s="87" t="s">
        <v>462</v>
      </c>
      <c r="P76" s="87" t="s">
        <v>462</v>
      </c>
      <c r="Q76" s="87" t="s">
        <v>676</v>
      </c>
      <c r="R76" s="87" t="s">
        <v>677</v>
      </c>
      <c r="S76" s="87"/>
      <c r="T76" s="91"/>
      <c r="U76" s="87"/>
      <c r="V76" s="87"/>
      <c r="W76" s="87"/>
      <c r="X76" s="91"/>
      <c r="Y76" s="87"/>
      <c r="Z76" s="87"/>
      <c r="AA76" s="87"/>
      <c r="AB76" s="87"/>
      <c r="AC76" s="87"/>
      <c r="AD76" s="87"/>
      <c r="AE76" s="87"/>
      <c r="AF76" s="87"/>
      <c r="AG76" s="87"/>
      <c r="AH76" s="87"/>
      <c r="AI76" s="87"/>
      <c r="AJ76" s="87"/>
      <c r="AK76" s="87"/>
      <c r="AL76" s="87"/>
      <c r="AM76" s="87"/>
      <c r="AN76" s="87"/>
    </row>
    <row r="77" ht="16.5" customHeight="1">
      <c r="A77" s="87" t="s">
        <v>462</v>
      </c>
      <c r="B77" s="87"/>
      <c r="C77" s="87" t="s">
        <v>421</v>
      </c>
      <c r="D77" s="87"/>
      <c r="E77" s="87"/>
      <c r="F77" s="79"/>
      <c r="G77" s="87"/>
      <c r="H77" s="87" t="s">
        <v>2138</v>
      </c>
      <c r="I77" s="87" t="s">
        <v>2139</v>
      </c>
      <c r="J77" s="87" t="s">
        <v>2140</v>
      </c>
      <c r="K77" s="89">
        <v>42178.0</v>
      </c>
      <c r="L77" s="87"/>
      <c r="M77" s="90" t="str">
        <f>HYPERLINK("https://jpratt27.wordpress.com/2015/06/23/climate-mitigation-the-greatest-public-health-opportunity-of-our-time-auspol/","https://jpratt27.wordpress.com/2015/06/23/climate-mitigation-the-greatest-public-health-opportunity-of-our-time-auspol/")</f>
        <v>https://jpratt27.wordpress.com/2015/06/23/climate-mitigation-the-greatest-public-health-opportunity-of-our-time-auspol/</v>
      </c>
      <c r="N77" s="87"/>
      <c r="O77" s="87" t="s">
        <v>462</v>
      </c>
      <c r="P77" s="87" t="s">
        <v>462</v>
      </c>
      <c r="Q77" s="87" t="s">
        <v>676</v>
      </c>
      <c r="R77" s="87" t="s">
        <v>769</v>
      </c>
      <c r="S77" s="87"/>
      <c r="T77" s="91"/>
      <c r="U77" s="87"/>
      <c r="V77" s="87"/>
      <c r="W77" s="87"/>
      <c r="X77" s="91"/>
      <c r="Y77" s="87"/>
      <c r="Z77" s="87"/>
      <c r="AA77" s="87"/>
      <c r="AB77" s="87"/>
      <c r="AC77" s="87"/>
      <c r="AD77" s="87"/>
      <c r="AE77" s="87"/>
      <c r="AF77" s="87"/>
      <c r="AG77" s="87"/>
      <c r="AH77" s="87"/>
      <c r="AI77" s="87"/>
      <c r="AJ77" s="87"/>
      <c r="AK77" s="87"/>
      <c r="AL77" s="87"/>
      <c r="AM77" s="87"/>
      <c r="AN77" s="87"/>
    </row>
    <row r="78" ht="16.5" customHeight="1">
      <c r="A78" s="87" t="s">
        <v>462</v>
      </c>
      <c r="B78" s="87"/>
      <c r="C78" s="87" t="s">
        <v>421</v>
      </c>
      <c r="D78" s="87"/>
      <c r="E78" s="87"/>
      <c r="F78" s="79"/>
      <c r="G78" s="87"/>
      <c r="H78" s="87" t="s">
        <v>2147</v>
      </c>
      <c r="I78" s="87"/>
      <c r="J78" s="87" t="s">
        <v>2148</v>
      </c>
      <c r="K78" s="89"/>
      <c r="L78" s="87" t="s">
        <v>2149</v>
      </c>
      <c r="M78" s="90" t="str">
        <f>HYPERLINK("http://climateconviction.org/","http://climateconviction.org/")</f>
        <v>http://climateconviction.org/</v>
      </c>
      <c r="N78" s="87" t="s">
        <v>2154</v>
      </c>
      <c r="O78" s="87" t="s">
        <v>462</v>
      </c>
      <c r="P78" s="87" t="s">
        <v>462</v>
      </c>
      <c r="Q78" s="87" t="s">
        <v>676</v>
      </c>
      <c r="R78" s="87" t="s">
        <v>2155</v>
      </c>
      <c r="S78" s="87" t="s">
        <v>1105</v>
      </c>
      <c r="T78" s="91" t="s">
        <v>1105</v>
      </c>
      <c r="U78" s="87"/>
      <c r="V78" s="87" t="s">
        <v>769</v>
      </c>
      <c r="W78" s="87"/>
      <c r="X78" s="91">
        <v>41963.0</v>
      </c>
      <c r="Y78" s="87"/>
      <c r="Z78" s="87"/>
      <c r="AA78" s="87"/>
      <c r="AB78" s="87"/>
      <c r="AC78" s="87"/>
      <c r="AD78" s="87"/>
      <c r="AE78" s="87"/>
      <c r="AF78" s="87"/>
      <c r="AG78" s="87"/>
      <c r="AH78" s="87"/>
      <c r="AI78" s="87"/>
      <c r="AJ78" s="87"/>
      <c r="AK78" s="87"/>
      <c r="AL78" s="87"/>
      <c r="AM78" s="87"/>
      <c r="AN78" s="87"/>
    </row>
    <row r="79" ht="16.5" customHeight="1">
      <c r="A79" s="87" t="s">
        <v>462</v>
      </c>
      <c r="B79" s="87"/>
      <c r="C79" s="87" t="s">
        <v>421</v>
      </c>
      <c r="D79" s="87"/>
      <c r="E79" s="87"/>
      <c r="F79" s="79"/>
      <c r="G79" s="87"/>
      <c r="H79" s="87" t="s">
        <v>2157</v>
      </c>
      <c r="I79" s="87" t="s">
        <v>2158</v>
      </c>
      <c r="J79" s="87" t="s">
        <v>1966</v>
      </c>
      <c r="K79" s="89">
        <v>2014.0</v>
      </c>
      <c r="L79" s="87" t="s">
        <v>2159</v>
      </c>
      <c r="M79" s="90" t="str">
        <f>HYPERLINK("http://grist.org/politics/from-veteran-organizer-marshall-ganz-how-tos-for-activists/","http://grist.org/politics/from-veteran-organizer-marshall-ganz-how-tos-for-activists/")</f>
        <v>http://grist.org/politics/from-veteran-organizer-marshall-ganz-how-tos-for-activists/</v>
      </c>
      <c r="N79" s="87" t="s">
        <v>2166</v>
      </c>
      <c r="O79" s="87" t="s">
        <v>462</v>
      </c>
      <c r="P79" s="87" t="s">
        <v>462</v>
      </c>
      <c r="Q79" s="87" t="s">
        <v>676</v>
      </c>
      <c r="R79" s="87" t="s">
        <v>677</v>
      </c>
      <c r="S79" s="87"/>
      <c r="T79" s="91"/>
      <c r="U79" s="87"/>
      <c r="V79" s="87"/>
      <c r="W79" s="87"/>
      <c r="X79" s="91"/>
      <c r="Y79" s="87"/>
      <c r="Z79" s="87"/>
      <c r="AA79" s="87"/>
      <c r="AB79" s="87"/>
      <c r="AC79" s="87"/>
      <c r="AD79" s="87"/>
      <c r="AE79" s="87"/>
      <c r="AF79" s="87"/>
      <c r="AG79" s="87"/>
      <c r="AH79" s="87"/>
      <c r="AI79" s="87"/>
      <c r="AJ79" s="87"/>
      <c r="AK79" s="87"/>
      <c r="AL79" s="87"/>
      <c r="AM79" s="87"/>
      <c r="AN79" s="87"/>
    </row>
    <row r="80" ht="16.5" customHeight="1">
      <c r="A80" s="87" t="s">
        <v>462</v>
      </c>
      <c r="B80" s="87"/>
      <c r="C80" s="87" t="s">
        <v>421</v>
      </c>
      <c r="D80" s="87"/>
      <c r="E80" s="87"/>
      <c r="F80" s="79"/>
      <c r="G80" s="87"/>
      <c r="H80" s="87" t="s">
        <v>2168</v>
      </c>
      <c r="I80" s="87" t="s">
        <v>1105</v>
      </c>
      <c r="J80" s="87" t="s">
        <v>1514</v>
      </c>
      <c r="K80" s="89">
        <v>41902.0</v>
      </c>
      <c r="L80" s="87" t="s">
        <v>2170</v>
      </c>
      <c r="M80" s="90" t="str">
        <f>HYPERLINK("http://www.therootsolutions.org/#!Getting-to-the-Root-of-Environmental-Problems/c13v2/DDACB3AD-2652-41DC-8B63-A10668CBFF9B","http://www.therootsolutions.org/#!Getting-to-the-Root-of-Environmental-Problems/c13v2/DDACB3AD-2652-41DC-8B63-A10668CBFF9B")</f>
        <v>http://www.therootsolutions.org/#!Getting-to-the-Root-of-Environmental-Problems/c13v2/DDACB3AD-2652-41DC-8B63-A10668CBFF9B</v>
      </c>
      <c r="N80" s="87" t="s">
        <v>1519</v>
      </c>
      <c r="O80" s="87" t="s">
        <v>462</v>
      </c>
      <c r="P80" s="87" t="s">
        <v>462</v>
      </c>
      <c r="Q80" s="87" t="s">
        <v>676</v>
      </c>
      <c r="R80" s="87" t="s">
        <v>769</v>
      </c>
      <c r="S80" s="87" t="s">
        <v>2172</v>
      </c>
      <c r="T80" s="91">
        <v>41871.0</v>
      </c>
      <c r="U80" s="91">
        <v>42544.0</v>
      </c>
      <c r="V80" s="87" t="s">
        <v>769</v>
      </c>
      <c r="W80" s="87"/>
      <c r="X80" s="91">
        <v>41871.0</v>
      </c>
      <c r="Y80" s="87"/>
      <c r="Z80" s="87"/>
      <c r="AA80" s="87"/>
      <c r="AB80" s="87"/>
      <c r="AC80" s="87"/>
      <c r="AD80" s="87"/>
      <c r="AE80" s="87"/>
      <c r="AF80" s="87"/>
      <c r="AG80" s="87"/>
      <c r="AH80" s="87"/>
      <c r="AI80" s="87"/>
      <c r="AJ80" s="87"/>
      <c r="AK80" s="87"/>
      <c r="AL80" s="87"/>
      <c r="AM80" s="87"/>
      <c r="AN80" s="87"/>
    </row>
    <row r="81" ht="16.5" customHeight="1">
      <c r="A81" s="87" t="s">
        <v>462</v>
      </c>
      <c r="B81" s="87"/>
      <c r="C81" s="87" t="s">
        <v>421</v>
      </c>
      <c r="D81" s="87"/>
      <c r="E81" s="87"/>
      <c r="F81" s="79"/>
      <c r="G81" s="87"/>
      <c r="H81" s="92" t="s">
        <v>2173</v>
      </c>
      <c r="I81" s="87" t="s">
        <v>2174</v>
      </c>
      <c r="J81" s="87" t="s">
        <v>258</v>
      </c>
      <c r="K81" s="89">
        <v>40969.0</v>
      </c>
      <c r="L81" s="87" t="s">
        <v>2175</v>
      </c>
      <c r="M81" s="90" t="str">
        <f>HYPERLINK("https://www.theguardian.com/science/2012/mar/15/precognition-studies-curse-failed-replications","https://www.theguardian.com/science/2012/mar/15/precognition-studies-curse-failed-replications")</f>
        <v>https://www.theguardian.com/science/2012/mar/15/precognition-studies-curse-failed-replications</v>
      </c>
      <c r="N81" s="87"/>
      <c r="O81" s="87" t="s">
        <v>462</v>
      </c>
      <c r="P81" s="87" t="s">
        <v>462</v>
      </c>
      <c r="Q81" s="87"/>
      <c r="R81" s="87" t="s">
        <v>677</v>
      </c>
      <c r="S81" s="87"/>
      <c r="T81" s="87"/>
      <c r="U81" s="87"/>
      <c r="V81" s="87"/>
      <c r="W81" s="87"/>
      <c r="X81" s="87"/>
      <c r="Y81" s="87"/>
      <c r="Z81" s="87"/>
      <c r="AA81" s="87"/>
      <c r="AB81" s="87"/>
      <c r="AC81" s="87"/>
      <c r="AD81" s="87"/>
      <c r="AE81" s="87"/>
      <c r="AF81" s="87"/>
      <c r="AG81" s="87"/>
      <c r="AH81" s="87"/>
      <c r="AI81" s="87"/>
      <c r="AJ81" s="87"/>
      <c r="AK81" s="87"/>
      <c r="AL81" s="87"/>
      <c r="AM81" s="87"/>
      <c r="AN81" s="87"/>
    </row>
    <row r="82" ht="16.5" customHeight="1">
      <c r="A82" s="87" t="s">
        <v>462</v>
      </c>
      <c r="B82" s="87"/>
      <c r="C82" s="87" t="s">
        <v>421</v>
      </c>
      <c r="D82" s="87"/>
      <c r="E82" s="87"/>
      <c r="F82" s="79"/>
      <c r="G82" s="87"/>
      <c r="H82" s="87" t="s">
        <v>2178</v>
      </c>
      <c r="I82" s="87" t="s">
        <v>2179</v>
      </c>
      <c r="J82" s="87" t="s">
        <v>1550</v>
      </c>
      <c r="K82" s="89">
        <v>41631.0</v>
      </c>
      <c r="L82" s="87" t="s">
        <v>2180</v>
      </c>
      <c r="M82" s="87" t="s">
        <v>2181</v>
      </c>
      <c r="N82" s="87"/>
      <c r="O82" s="87" t="s">
        <v>462</v>
      </c>
      <c r="P82" s="87" t="s">
        <v>462</v>
      </c>
      <c r="Q82" s="87"/>
      <c r="R82" s="87" t="s">
        <v>600</v>
      </c>
      <c r="S82" s="87"/>
      <c r="T82" s="91"/>
      <c r="U82" s="87"/>
      <c r="V82" s="87"/>
      <c r="W82" s="87"/>
      <c r="X82" s="91"/>
      <c r="Y82" s="87"/>
      <c r="Z82" s="87"/>
      <c r="AA82" s="87"/>
      <c r="AB82" s="87"/>
      <c r="AC82" s="87"/>
      <c r="AD82" s="87" t="s">
        <v>428</v>
      </c>
      <c r="AE82" s="87"/>
      <c r="AF82" s="87"/>
      <c r="AG82" s="87"/>
      <c r="AH82" s="87"/>
      <c r="AI82" s="87"/>
      <c r="AJ82" s="87"/>
      <c r="AK82" s="87"/>
      <c r="AL82" s="87"/>
      <c r="AM82" s="87"/>
      <c r="AN82" s="87"/>
    </row>
    <row r="83" ht="16.5" customHeight="1">
      <c r="A83" s="87" t="s">
        <v>462</v>
      </c>
      <c r="B83" s="87"/>
      <c r="C83" s="87" t="s">
        <v>421</v>
      </c>
      <c r="D83" s="87"/>
      <c r="E83" s="87"/>
      <c r="F83" s="79"/>
      <c r="G83" s="87"/>
      <c r="H83" s="87" t="s">
        <v>2182</v>
      </c>
      <c r="I83" s="87"/>
      <c r="J83" s="87" t="s">
        <v>2183</v>
      </c>
      <c r="K83" s="89" t="s">
        <v>1255</v>
      </c>
      <c r="L83" s="87" t="s">
        <v>2185</v>
      </c>
      <c r="M83" s="90" t="str">
        <f>HYPERLINK("https://psyborgs.github.io/projects/replication-in-psychology/","https://psyborgs.github.io/projects/replication-in-psychology/")</f>
        <v>https://psyborgs.github.io/projects/replication-in-psychology/</v>
      </c>
      <c r="N83" s="87"/>
      <c r="O83" s="87" t="s">
        <v>462</v>
      </c>
      <c r="P83" s="87" t="s">
        <v>462</v>
      </c>
      <c r="Q83" s="87"/>
      <c r="R83" s="87" t="s">
        <v>677</v>
      </c>
      <c r="S83" s="87"/>
      <c r="T83" s="87"/>
      <c r="U83" s="87"/>
      <c r="V83" s="87"/>
      <c r="W83" s="87"/>
      <c r="X83" s="87"/>
      <c r="Y83" s="87"/>
      <c r="Z83" s="87"/>
      <c r="AA83" s="87"/>
      <c r="AB83" s="87"/>
      <c r="AC83" s="87"/>
      <c r="AD83" s="87"/>
      <c r="AE83" s="87"/>
      <c r="AF83" s="87"/>
      <c r="AG83" s="87"/>
      <c r="AH83" s="87"/>
      <c r="AI83" s="87"/>
      <c r="AJ83" s="87"/>
      <c r="AK83" s="87"/>
      <c r="AL83" s="87"/>
      <c r="AM83" s="87"/>
      <c r="AN83" s="87"/>
    </row>
    <row r="84" ht="16.5" customHeight="1">
      <c r="A84" s="87" t="s">
        <v>462</v>
      </c>
      <c r="B84" s="87"/>
      <c r="C84" s="87" t="s">
        <v>421</v>
      </c>
      <c r="D84" s="87"/>
      <c r="E84" s="87"/>
      <c r="F84" s="79"/>
      <c r="G84" s="87"/>
      <c r="H84" s="87" t="s">
        <v>2193</v>
      </c>
      <c r="I84" s="87" t="s">
        <v>1468</v>
      </c>
      <c r="J84" s="87" t="s">
        <v>1966</v>
      </c>
      <c r="K84" s="89">
        <v>42096.0</v>
      </c>
      <c r="L84" s="87" t="s">
        <v>2194</v>
      </c>
      <c r="M84" s="90" t="str">
        <f>HYPERLINK("http://grist.org/politics/what-do-conservative-policy-intellectuals-think-about-climate-change/","http://grist.org/politics/what-do-conservative-policy-intellectuals-think-about-climate-change/")</f>
        <v>http://grist.org/politics/what-do-conservative-policy-intellectuals-think-about-climate-change/</v>
      </c>
      <c r="N84" s="87"/>
      <c r="O84" s="87" t="s">
        <v>462</v>
      </c>
      <c r="P84" s="87" t="s">
        <v>462</v>
      </c>
      <c r="Q84" s="87"/>
      <c r="R84" s="87" t="s">
        <v>769</v>
      </c>
      <c r="S84" s="87" t="s">
        <v>2199</v>
      </c>
      <c r="T84" s="91">
        <v>42187.0</v>
      </c>
      <c r="U84" s="91">
        <v>42422.0</v>
      </c>
      <c r="V84" s="87" t="s">
        <v>769</v>
      </c>
      <c r="W84" s="87"/>
      <c r="X84" s="91">
        <v>42218.0</v>
      </c>
      <c r="Y84" s="87"/>
      <c r="Z84" s="87"/>
      <c r="AA84" s="87"/>
      <c r="AB84" s="87"/>
      <c r="AC84" s="87"/>
      <c r="AD84" s="87"/>
      <c r="AE84" s="87"/>
      <c r="AF84" s="87"/>
      <c r="AG84" s="87"/>
      <c r="AH84" s="87"/>
      <c r="AI84" s="87"/>
      <c r="AJ84" s="87"/>
      <c r="AK84" s="87"/>
      <c r="AL84" s="87"/>
      <c r="AM84" s="87"/>
      <c r="AN84" s="87"/>
    </row>
    <row r="85" ht="16.5" customHeight="1">
      <c r="A85" s="87" t="s">
        <v>462</v>
      </c>
      <c r="B85" s="87" t="s">
        <v>64</v>
      </c>
      <c r="C85" s="87" t="s">
        <v>536</v>
      </c>
      <c r="D85" s="87" t="s">
        <v>678</v>
      </c>
      <c r="E85" s="87" t="s">
        <v>239</v>
      </c>
      <c r="F85" s="79"/>
      <c r="G85" s="87"/>
      <c r="H85" s="87" t="s">
        <v>2205</v>
      </c>
      <c r="I85" s="87"/>
      <c r="J85" s="87" t="s">
        <v>2207</v>
      </c>
      <c r="K85" s="89"/>
      <c r="L85" s="87" t="s">
        <v>2208</v>
      </c>
      <c r="M85" s="90" t="str">
        <f>HYPERLINK("http://www.class5energy.com/schools-for-energy-efficiency-see-program/","http://www.class5energy.com/schools-for-energy-efficiency-see-program/")</f>
        <v>http://www.class5energy.com/schools-for-energy-efficiency-see-program/</v>
      </c>
      <c r="N85" s="87"/>
      <c r="O85" s="87" t="s">
        <v>462</v>
      </c>
      <c r="P85" s="87" t="s">
        <v>428</v>
      </c>
      <c r="Q85" s="87"/>
      <c r="R85" s="87" t="s">
        <v>677</v>
      </c>
      <c r="S85" s="87"/>
      <c r="T85" s="87"/>
      <c r="U85" s="87"/>
      <c r="V85" s="87"/>
      <c r="W85" s="87"/>
      <c r="X85" s="87"/>
      <c r="Y85" s="87"/>
      <c r="Z85" s="87"/>
      <c r="AA85" s="87"/>
      <c r="AB85" s="87"/>
      <c r="AC85" s="87"/>
      <c r="AD85" s="87"/>
      <c r="AE85" s="87"/>
      <c r="AF85" s="87"/>
      <c r="AG85" s="87"/>
      <c r="AH85" s="87"/>
      <c r="AI85" s="87"/>
      <c r="AJ85" s="87"/>
      <c r="AK85" s="87"/>
      <c r="AL85" s="87"/>
      <c r="AM85" s="87"/>
      <c r="AN85" s="87"/>
    </row>
    <row r="86" ht="16.5" customHeight="1">
      <c r="A86" s="87" t="s">
        <v>462</v>
      </c>
      <c r="B86" s="87" t="s">
        <v>64</v>
      </c>
      <c r="C86" s="87" t="s">
        <v>536</v>
      </c>
      <c r="D86" s="87" t="s">
        <v>678</v>
      </c>
      <c r="E86" s="87" t="s">
        <v>239</v>
      </c>
      <c r="F86" s="79"/>
      <c r="G86" s="87"/>
      <c r="H86" s="87" t="s">
        <v>2212</v>
      </c>
      <c r="I86" s="87"/>
      <c r="J86" s="87" t="s">
        <v>2213</v>
      </c>
      <c r="K86" s="89"/>
      <c r="L86" s="87" t="s">
        <v>2214</v>
      </c>
      <c r="M86" s="90" t="str">
        <f>HYPERLINK("https://www.energystar.gov/sites/default/files/buildings/tools/SEE_CambridgeIsanti_SPP_Success_Story.pdf","https://www.energystar.gov/sites/default/files/buildings/tools/SEE_CambridgeIsanti_SPP_Success_Story.pdf")</f>
        <v>https://www.energystar.gov/sites/default/files/buildings/tools/SEE_CambridgeIsanti_SPP_Success_Story.pdf</v>
      </c>
      <c r="N86" s="87"/>
      <c r="O86" s="87" t="s">
        <v>462</v>
      </c>
      <c r="P86" s="87" t="s">
        <v>428</v>
      </c>
      <c r="Q86" s="87"/>
      <c r="R86" s="87" t="s">
        <v>677</v>
      </c>
      <c r="S86" s="87"/>
      <c r="T86" s="87"/>
      <c r="U86" s="87"/>
      <c r="V86" s="87"/>
      <c r="W86" s="87"/>
      <c r="X86" s="87"/>
      <c r="Y86" s="87"/>
      <c r="Z86" s="87"/>
      <c r="AA86" s="87"/>
      <c r="AB86" s="87"/>
      <c r="AC86" s="87"/>
      <c r="AD86" s="87"/>
      <c r="AE86" s="87"/>
      <c r="AF86" s="87"/>
      <c r="AG86" s="87"/>
      <c r="AH86" s="87"/>
      <c r="AI86" s="87"/>
      <c r="AJ86" s="87"/>
      <c r="AK86" s="87"/>
      <c r="AL86" s="87"/>
      <c r="AM86" s="87"/>
      <c r="AN86" s="87"/>
    </row>
    <row r="87" ht="16.5" customHeight="1">
      <c r="A87" s="87" t="s">
        <v>462</v>
      </c>
      <c r="B87" s="87" t="s">
        <v>64</v>
      </c>
      <c r="C87" s="87" t="s">
        <v>536</v>
      </c>
      <c r="D87" s="87" t="s">
        <v>678</v>
      </c>
      <c r="E87" s="87"/>
      <c r="F87" s="79"/>
      <c r="G87" s="87"/>
      <c r="H87" s="87" t="s">
        <v>2225</v>
      </c>
      <c r="I87" s="87"/>
      <c r="J87" s="87" t="s">
        <v>2226</v>
      </c>
      <c r="K87" s="89"/>
      <c r="L87" s="87"/>
      <c r="M87" s="87"/>
      <c r="N87" s="87"/>
      <c r="O87" s="87" t="s">
        <v>462</v>
      </c>
      <c r="P87" s="87" t="s">
        <v>428</v>
      </c>
      <c r="Q87" s="87"/>
      <c r="R87" s="87" t="s">
        <v>2227</v>
      </c>
      <c r="S87" s="87"/>
      <c r="T87" s="87"/>
      <c r="U87" s="87"/>
      <c r="V87" s="87"/>
      <c r="W87" s="87"/>
      <c r="X87" s="87"/>
      <c r="Y87" s="87"/>
      <c r="Z87" s="87"/>
      <c r="AA87" s="87"/>
      <c r="AB87" s="87"/>
      <c r="AC87" s="87"/>
      <c r="AD87" s="87"/>
      <c r="AE87" s="87"/>
      <c r="AF87" s="87"/>
      <c r="AG87" s="87"/>
      <c r="AH87" s="87"/>
      <c r="AI87" s="87"/>
      <c r="AJ87" s="87"/>
      <c r="AK87" s="87"/>
      <c r="AL87" s="87"/>
      <c r="AM87" s="87"/>
      <c r="AN87" s="87"/>
    </row>
    <row r="88" ht="16.5" customHeight="1">
      <c r="A88" s="87" t="s">
        <v>462</v>
      </c>
      <c r="B88" s="87" t="s">
        <v>64</v>
      </c>
      <c r="C88" s="87" t="s">
        <v>2228</v>
      </c>
      <c r="D88" s="87"/>
      <c r="E88" s="87"/>
      <c r="F88" s="79"/>
      <c r="G88" s="87"/>
      <c r="H88" s="92" t="s">
        <v>2229</v>
      </c>
      <c r="I88" s="87" t="s">
        <v>1462</v>
      </c>
      <c r="J88" s="87" t="s">
        <v>1441</v>
      </c>
      <c r="K88" s="89">
        <v>42513.0</v>
      </c>
      <c r="L88" s="87" t="s">
        <v>2231</v>
      </c>
      <c r="M88" s="90" t="str">
        <f>HYPERLINK("http://www.climateaccess.org/blog/placing-equity-heart-resilience","http://www.climateaccess.org/blog/placing-equity-heart-resilience")</f>
        <v>http://www.climateaccess.org/blog/placing-equity-heart-resilience</v>
      </c>
      <c r="N88" s="87"/>
      <c r="O88" s="87"/>
      <c r="P88" s="87"/>
      <c r="Q88" s="87"/>
      <c r="R88" s="87" t="s">
        <v>428</v>
      </c>
      <c r="S88" s="87" t="s">
        <v>2240</v>
      </c>
      <c r="T88" s="91">
        <v>42636.0</v>
      </c>
      <c r="U88" s="87"/>
      <c r="V88" s="87"/>
      <c r="W88" s="87"/>
      <c r="X88" s="87"/>
      <c r="Y88" s="87"/>
      <c r="Z88" s="87"/>
      <c r="AA88" s="87"/>
      <c r="AB88" s="87"/>
      <c r="AC88" s="87"/>
      <c r="AD88" s="87" t="s">
        <v>428</v>
      </c>
      <c r="AE88" s="87"/>
      <c r="AF88" s="87"/>
      <c r="AG88" s="87"/>
      <c r="AH88" s="87"/>
      <c r="AI88" s="87"/>
      <c r="AJ88" s="87"/>
      <c r="AK88" s="87"/>
      <c r="AL88" s="87"/>
      <c r="AM88" s="87"/>
      <c r="AN88" s="87"/>
    </row>
    <row r="89" ht="16.5" customHeight="1">
      <c r="A89" s="87" t="s">
        <v>462</v>
      </c>
      <c r="B89" s="87" t="s">
        <v>64</v>
      </c>
      <c r="C89" s="87" t="s">
        <v>490</v>
      </c>
      <c r="D89" s="87"/>
      <c r="E89" s="87" t="s">
        <v>2241</v>
      </c>
      <c r="F89" s="79"/>
      <c r="G89" s="87"/>
      <c r="H89" s="87" t="s">
        <v>2242</v>
      </c>
      <c r="I89" s="87" t="s">
        <v>2243</v>
      </c>
      <c r="J89" s="87" t="s">
        <v>2245</v>
      </c>
      <c r="K89" s="89">
        <v>40554.0</v>
      </c>
      <c r="L89" s="87" t="s">
        <v>2248</v>
      </c>
      <c r="M89" s="90" t="str">
        <f>HYPERLINK("http://www.wired.com/2011/01/cognitive-dissonance/","http://www.wired.com/2011/01/cognitive-dissonance/")</f>
        <v>http://www.wired.com/2011/01/cognitive-dissonance/</v>
      </c>
      <c r="N89" s="87"/>
      <c r="O89" s="87" t="s">
        <v>462</v>
      </c>
      <c r="P89" s="87" t="s">
        <v>462</v>
      </c>
      <c r="Q89" s="87"/>
      <c r="R89" s="87" t="s">
        <v>677</v>
      </c>
      <c r="S89" s="87"/>
      <c r="T89" s="91"/>
      <c r="U89" s="87"/>
      <c r="V89" s="87"/>
      <c r="W89" s="87"/>
      <c r="X89" s="91"/>
      <c r="Y89" s="87"/>
      <c r="Z89" s="87"/>
      <c r="AA89" s="87"/>
      <c r="AB89" s="87"/>
      <c r="AC89" s="87"/>
      <c r="AD89" s="87"/>
      <c r="AE89" s="87"/>
      <c r="AF89" s="87"/>
      <c r="AG89" s="87"/>
      <c r="AH89" s="87"/>
      <c r="AI89" s="87"/>
      <c r="AJ89" s="87"/>
      <c r="AK89" s="87"/>
      <c r="AL89" s="87"/>
      <c r="AM89" s="87"/>
      <c r="AN89" s="87"/>
    </row>
    <row r="90" ht="16.5" customHeight="1">
      <c r="A90" s="87" t="s">
        <v>462</v>
      </c>
      <c r="B90" s="87" t="s">
        <v>64</v>
      </c>
      <c r="C90" s="87" t="s">
        <v>490</v>
      </c>
      <c r="D90" s="87"/>
      <c r="E90" s="87" t="s">
        <v>2252</v>
      </c>
      <c r="F90" s="79"/>
      <c r="G90" s="87"/>
      <c r="H90" s="87" t="s">
        <v>2255</v>
      </c>
      <c r="I90" s="87" t="s">
        <v>2256</v>
      </c>
      <c r="J90" s="87" t="s">
        <v>2257</v>
      </c>
      <c r="K90" s="89">
        <v>42017.0</v>
      </c>
      <c r="L90" s="87" t="s">
        <v>2259</v>
      </c>
      <c r="M90" s="90" t="str">
        <f>HYPERLINK("http://aceee.org/blog/2015/01/expanding-energy-efficiency-pie-throu","http://aceee.org/blog/2015/01/expanding-energy-efficiency-pie-throu")</f>
        <v>http://aceee.org/blog/2015/01/expanding-energy-efficiency-pie-throu</v>
      </c>
      <c r="N90" s="87"/>
      <c r="O90" s="87" t="s">
        <v>462</v>
      </c>
      <c r="P90" s="87" t="s">
        <v>462</v>
      </c>
      <c r="Q90" s="87" t="s">
        <v>676</v>
      </c>
      <c r="R90" s="87" t="s">
        <v>600</v>
      </c>
      <c r="S90" s="87"/>
      <c r="T90" s="91"/>
      <c r="U90" s="87"/>
      <c r="V90" s="87"/>
      <c r="W90" s="87"/>
      <c r="X90" s="91"/>
      <c r="Y90" s="87"/>
      <c r="Z90" s="87"/>
      <c r="AA90" s="87"/>
      <c r="AB90" s="87"/>
      <c r="AC90" s="87"/>
      <c r="AD90" s="87"/>
      <c r="AE90" s="87"/>
      <c r="AF90" s="87"/>
      <c r="AG90" s="87"/>
      <c r="AH90" s="87"/>
      <c r="AI90" s="87"/>
      <c r="AJ90" s="87"/>
      <c r="AK90" s="87"/>
      <c r="AL90" s="87"/>
      <c r="AM90" s="87"/>
      <c r="AN90" s="87"/>
    </row>
    <row r="91" ht="16.5" customHeight="1">
      <c r="A91" s="87" t="s">
        <v>462</v>
      </c>
      <c r="B91" s="87" t="s">
        <v>64</v>
      </c>
      <c r="C91" s="87" t="s">
        <v>490</v>
      </c>
      <c r="D91" s="87"/>
      <c r="E91" s="87" t="s">
        <v>388</v>
      </c>
      <c r="F91" s="79"/>
      <c r="G91" s="87" t="s">
        <v>289</v>
      </c>
      <c r="H91" s="87" t="s">
        <v>2263</v>
      </c>
      <c r="I91" s="87" t="s">
        <v>2264</v>
      </c>
      <c r="J91" s="87" t="s">
        <v>2265</v>
      </c>
      <c r="K91" s="89">
        <v>42412.0</v>
      </c>
      <c r="L91" s="87" t="s">
        <v>2266</v>
      </c>
      <c r="M91" s="90" t="str">
        <f>HYPERLINK("http://wonderforgood.com/category/information-aversion/","http://wonderforgood.com/category/information-aversion/")</f>
        <v>http://wonderforgood.com/category/information-aversion/</v>
      </c>
      <c r="N91" s="87"/>
      <c r="O91" s="87" t="s">
        <v>428</v>
      </c>
      <c r="P91" s="87" t="s">
        <v>462</v>
      </c>
      <c r="Q91" s="87"/>
      <c r="R91" s="87" t="s">
        <v>677</v>
      </c>
      <c r="S91" s="87"/>
      <c r="T91" s="91"/>
      <c r="U91" s="87"/>
      <c r="V91" s="87"/>
      <c r="W91" s="87"/>
      <c r="X91" s="91"/>
      <c r="Y91" s="87"/>
      <c r="Z91" s="87"/>
      <c r="AA91" s="87"/>
      <c r="AB91" s="87"/>
      <c r="AC91" s="87"/>
      <c r="AD91" s="87"/>
      <c r="AE91" s="87"/>
      <c r="AF91" s="87"/>
      <c r="AG91" s="87"/>
      <c r="AH91" s="87"/>
      <c r="AI91" s="87"/>
      <c r="AJ91" s="87"/>
      <c r="AK91" s="87"/>
      <c r="AL91" s="87"/>
      <c r="AM91" s="87"/>
      <c r="AN91" s="87"/>
    </row>
    <row r="92" ht="16.5" customHeight="1">
      <c r="A92" s="87" t="s">
        <v>462</v>
      </c>
      <c r="B92" s="87" t="s">
        <v>64</v>
      </c>
      <c r="C92" s="87" t="s">
        <v>490</v>
      </c>
      <c r="D92" s="87"/>
      <c r="E92" s="87" t="s">
        <v>2273</v>
      </c>
      <c r="F92" s="79"/>
      <c r="G92" s="87"/>
      <c r="H92" s="87" t="s">
        <v>2274</v>
      </c>
      <c r="I92" s="87" t="s">
        <v>2275</v>
      </c>
      <c r="J92" s="87" t="s">
        <v>1325</v>
      </c>
      <c r="K92" s="89">
        <v>41777.0</v>
      </c>
      <c r="L92" s="87" t="s">
        <v>2276</v>
      </c>
      <c r="M92" s="90" t="str">
        <f>HYPERLINK("http://mobile.nytimes.com/2014/05/18/magazine/who-gets-to-graduate.html?referrer=&amp;_r=0","http://mobile.nytimes.com/2014/05/18/magazine/who-gets-to-graduate.html?referrer=&amp;_r=0")</f>
        <v>http://mobile.nytimes.com/2014/05/18/magazine/who-gets-to-graduate.html?referrer=&amp;_r=0</v>
      </c>
      <c r="N92" s="87" t="s">
        <v>2281</v>
      </c>
      <c r="O92" s="87"/>
      <c r="P92" s="87"/>
      <c r="Q92" s="87"/>
      <c r="R92" s="87" t="s">
        <v>677</v>
      </c>
      <c r="S92" s="87"/>
      <c r="T92" s="87"/>
      <c r="U92" s="87"/>
      <c r="V92" s="87"/>
      <c r="W92" s="87"/>
      <c r="X92" s="87"/>
      <c r="Y92" s="87"/>
      <c r="Z92" s="87"/>
      <c r="AA92" s="87"/>
      <c r="AB92" s="87"/>
      <c r="AC92" s="87"/>
      <c r="AD92" s="87"/>
      <c r="AE92" s="87"/>
      <c r="AF92" s="87"/>
      <c r="AG92" s="87"/>
      <c r="AH92" s="87"/>
      <c r="AI92" s="87"/>
      <c r="AJ92" s="87"/>
      <c r="AK92" s="87"/>
      <c r="AL92" s="87"/>
      <c r="AM92" s="87"/>
      <c r="AN92" s="87"/>
    </row>
    <row r="93" ht="16.5" customHeight="1">
      <c r="A93" s="87" t="s">
        <v>462</v>
      </c>
      <c r="B93" s="87" t="s">
        <v>64</v>
      </c>
      <c r="C93" s="87" t="s">
        <v>490</v>
      </c>
      <c r="D93" s="87"/>
      <c r="E93" s="87"/>
      <c r="F93" s="79"/>
      <c r="G93" s="87" t="s">
        <v>289</v>
      </c>
      <c r="H93" s="87" t="s">
        <v>2285</v>
      </c>
      <c r="I93" s="87" t="s">
        <v>2287</v>
      </c>
      <c r="J93" s="87" t="s">
        <v>1697</v>
      </c>
      <c r="K93" s="89">
        <v>42284.0</v>
      </c>
      <c r="L93" s="87" t="s">
        <v>2289</v>
      </c>
      <c r="M93" s="90" t="str">
        <f>HYPERLINK("https://hbr.org/2015/10/a-tool-to-help-you-reach-your-goals-in-4-steps","https://hbr.org/2015/10/a-tool-to-help-you-reach-your-goals-in-4-steps")</f>
        <v>https://hbr.org/2015/10/a-tool-to-help-you-reach-your-goals-in-4-steps</v>
      </c>
      <c r="N93" s="87"/>
      <c r="O93" s="87" t="s">
        <v>462</v>
      </c>
      <c r="P93" s="87" t="s">
        <v>462</v>
      </c>
      <c r="Q93" s="87" t="s">
        <v>676</v>
      </c>
      <c r="R93" s="87" t="s">
        <v>677</v>
      </c>
      <c r="S93" s="87"/>
      <c r="T93" s="91"/>
      <c r="U93" s="87"/>
      <c r="V93" s="87"/>
      <c r="W93" s="87"/>
      <c r="X93" s="91"/>
      <c r="Y93" s="87"/>
      <c r="Z93" s="87"/>
      <c r="AA93" s="87"/>
      <c r="AB93" s="87"/>
      <c r="AC93" s="87"/>
      <c r="AD93" s="87"/>
      <c r="AE93" s="87"/>
      <c r="AF93" s="87"/>
      <c r="AG93" s="87"/>
      <c r="AH93" s="87"/>
      <c r="AI93" s="87"/>
      <c r="AJ93" s="87"/>
      <c r="AK93" s="87"/>
      <c r="AL93" s="87"/>
      <c r="AM93" s="87"/>
      <c r="AN93" s="87"/>
    </row>
    <row r="94" ht="16.5" customHeight="1">
      <c r="A94" s="87" t="s">
        <v>462</v>
      </c>
      <c r="B94" s="87" t="s">
        <v>64</v>
      </c>
      <c r="C94" s="87" t="s">
        <v>490</v>
      </c>
      <c r="D94" s="87"/>
      <c r="E94" s="87"/>
      <c r="F94" s="79"/>
      <c r="G94" s="87"/>
      <c r="H94" s="87" t="s">
        <v>2295</v>
      </c>
      <c r="I94" s="87" t="s">
        <v>1105</v>
      </c>
      <c r="J94" s="87" t="s">
        <v>1514</v>
      </c>
      <c r="K94" s="89">
        <v>41886.0</v>
      </c>
      <c r="L94" s="87" t="s">
        <v>2298</v>
      </c>
      <c r="M94" s="90" t="str">
        <f>HYPERLINK("http://www.therootsolutions.org/#!Cognitive-Dissonance-in-Conservation/c13v2/CCC081DB-5A89-4D29-B0AD-E82FA284D2AC","http://www.therootsolutions.org/#!Cognitive-Dissonance-in-Conservation/c13v2/CCC081DB-5A89-4D29-B0AD-E82FA284D2AC")</f>
        <v>http://www.therootsolutions.org/#!Cognitive-Dissonance-in-Conservation/c13v2/CCC081DB-5A89-4D29-B0AD-E82FA284D2AC</v>
      </c>
      <c r="N94" s="87" t="s">
        <v>1519</v>
      </c>
      <c r="O94" s="87" t="s">
        <v>462</v>
      </c>
      <c r="P94" s="87" t="s">
        <v>462</v>
      </c>
      <c r="Q94" s="87" t="s">
        <v>676</v>
      </c>
      <c r="R94" s="87" t="s">
        <v>769</v>
      </c>
      <c r="S94" s="87" t="s">
        <v>2305</v>
      </c>
      <c r="T94" s="91">
        <v>41890.0</v>
      </c>
      <c r="U94" s="91">
        <v>42521.0</v>
      </c>
      <c r="V94" s="87" t="s">
        <v>769</v>
      </c>
      <c r="W94" s="87"/>
      <c r="X94" s="91">
        <v>41890.0</v>
      </c>
      <c r="Y94" s="87"/>
      <c r="Z94" s="87"/>
      <c r="AA94" s="87"/>
      <c r="AB94" s="87"/>
      <c r="AC94" s="87"/>
      <c r="AD94" s="87"/>
      <c r="AE94" s="87"/>
      <c r="AF94" s="87"/>
      <c r="AG94" s="87"/>
      <c r="AH94" s="87"/>
      <c r="AI94" s="87"/>
      <c r="AJ94" s="87"/>
      <c r="AK94" s="87"/>
      <c r="AL94" s="87"/>
      <c r="AM94" s="87"/>
      <c r="AN94" s="87"/>
    </row>
    <row r="95" ht="16.5" customHeight="1">
      <c r="A95" s="87" t="s">
        <v>462</v>
      </c>
      <c r="B95" s="87" t="s">
        <v>173</v>
      </c>
      <c r="C95" s="87" t="s">
        <v>280</v>
      </c>
      <c r="D95" s="87"/>
      <c r="E95" s="87" t="s">
        <v>388</v>
      </c>
      <c r="F95" s="79"/>
      <c r="G95" s="87" t="s">
        <v>289</v>
      </c>
      <c r="H95" s="87" t="s">
        <v>2308</v>
      </c>
      <c r="I95" s="87" t="s">
        <v>2309</v>
      </c>
      <c r="J95" s="87" t="s">
        <v>2310</v>
      </c>
      <c r="K95" s="89">
        <v>41647.0</v>
      </c>
      <c r="L95" s="87" t="s">
        <v>2311</v>
      </c>
      <c r="M95" s="90" t="str">
        <f>HYPERLINK("http://blog.ted.com/the-science-of-willpower-kelly-mcgonigal-on-why-its-so-dang-hard-to-stick-to-a-resolution/","http://blog.ted.com/the-science-of-willpower-kelly-mcgonigal-on-why-its-so-dang-hard-to-stick-to-a-resolution/")</f>
        <v>http://blog.ted.com/the-science-of-willpower-kelly-mcgonigal-on-why-its-so-dang-hard-to-stick-to-a-resolution/</v>
      </c>
      <c r="N95" s="87"/>
      <c r="O95" s="87" t="s">
        <v>462</v>
      </c>
      <c r="P95" s="87" t="s">
        <v>462</v>
      </c>
      <c r="Q95" s="87" t="s">
        <v>978</v>
      </c>
      <c r="R95" s="87" t="s">
        <v>677</v>
      </c>
      <c r="S95" s="87"/>
      <c r="T95" s="91"/>
      <c r="U95" s="87"/>
      <c r="V95" s="87"/>
      <c r="W95" s="87"/>
      <c r="X95" s="91"/>
      <c r="Y95" s="87"/>
      <c r="Z95" s="87"/>
      <c r="AA95" s="87"/>
      <c r="AB95" s="87"/>
      <c r="AC95" s="87"/>
      <c r="AD95" s="87"/>
      <c r="AE95" s="87"/>
      <c r="AF95" s="87"/>
      <c r="AG95" s="87"/>
      <c r="AH95" s="87"/>
      <c r="AI95" s="87"/>
      <c r="AJ95" s="87"/>
      <c r="AK95" s="87"/>
      <c r="AL95" s="87"/>
      <c r="AM95" s="87"/>
      <c r="AN95" s="87"/>
    </row>
    <row r="96" ht="16.5" customHeight="1">
      <c r="A96" s="87" t="s">
        <v>462</v>
      </c>
      <c r="B96" s="87" t="s">
        <v>64</v>
      </c>
      <c r="C96" s="87" t="s">
        <v>280</v>
      </c>
      <c r="D96" s="87" t="s">
        <v>314</v>
      </c>
      <c r="E96" s="87" t="s">
        <v>470</v>
      </c>
      <c r="F96" s="79"/>
      <c r="G96" s="87" t="s">
        <v>289</v>
      </c>
      <c r="H96" s="87" t="s">
        <v>2319</v>
      </c>
      <c r="I96" s="87" t="s">
        <v>1105</v>
      </c>
      <c r="J96" s="87" t="s">
        <v>2320</v>
      </c>
      <c r="K96" s="87"/>
      <c r="L96" s="87" t="s">
        <v>2321</v>
      </c>
      <c r="M96" s="87" t="s">
        <v>190</v>
      </c>
      <c r="N96" s="87"/>
      <c r="O96" s="87" t="s">
        <v>428</v>
      </c>
      <c r="P96" s="87" t="s">
        <v>462</v>
      </c>
      <c r="Q96" s="87" t="s">
        <v>2322</v>
      </c>
      <c r="R96" s="87"/>
      <c r="S96" s="87"/>
      <c r="T96" s="87"/>
      <c r="U96" s="87"/>
      <c r="V96" s="87"/>
      <c r="W96" s="87"/>
      <c r="X96" s="87"/>
      <c r="Y96" s="87"/>
      <c r="Z96" s="87"/>
      <c r="AA96" s="87"/>
      <c r="AB96" s="87"/>
      <c r="AC96" s="87"/>
      <c r="AD96" s="87"/>
      <c r="AE96" s="87"/>
      <c r="AF96" s="87"/>
      <c r="AG96" s="87"/>
      <c r="AH96" s="87"/>
      <c r="AI96" s="87"/>
      <c r="AJ96" s="87"/>
      <c r="AK96" s="87"/>
      <c r="AL96" s="87"/>
      <c r="AM96" s="87"/>
      <c r="AN96" s="87"/>
    </row>
    <row r="97" ht="16.5" customHeight="1">
      <c r="A97" s="87" t="s">
        <v>462</v>
      </c>
      <c r="B97" s="87" t="s">
        <v>64</v>
      </c>
      <c r="C97" s="87" t="s">
        <v>280</v>
      </c>
      <c r="D97" s="87" t="s">
        <v>314</v>
      </c>
      <c r="E97" s="87" t="s">
        <v>470</v>
      </c>
      <c r="F97" s="79"/>
      <c r="G97" s="87" t="s">
        <v>289</v>
      </c>
      <c r="H97" s="87" t="s">
        <v>2326</v>
      </c>
      <c r="I97" s="87" t="s">
        <v>1105</v>
      </c>
      <c r="J97" s="87" t="s">
        <v>2320</v>
      </c>
      <c r="K97" s="87"/>
      <c r="L97" s="87" t="s">
        <v>2321</v>
      </c>
      <c r="M97" s="87" t="s">
        <v>192</v>
      </c>
      <c r="N97" s="87" t="s">
        <v>2329</v>
      </c>
      <c r="O97" s="87" t="s">
        <v>428</v>
      </c>
      <c r="P97" s="87" t="s">
        <v>462</v>
      </c>
      <c r="Q97" s="87" t="s">
        <v>2322</v>
      </c>
      <c r="R97" s="87"/>
      <c r="S97" s="87"/>
      <c r="T97" s="87"/>
      <c r="U97" s="87"/>
      <c r="V97" s="87"/>
      <c r="W97" s="87"/>
      <c r="X97" s="87"/>
      <c r="Y97" s="87"/>
      <c r="Z97" s="87"/>
      <c r="AA97" s="87"/>
      <c r="AB97" s="87"/>
      <c r="AC97" s="87"/>
      <c r="AD97" s="87"/>
      <c r="AE97" s="87"/>
      <c r="AF97" s="87"/>
      <c r="AG97" s="87"/>
      <c r="AH97" s="87"/>
      <c r="AI97" s="87"/>
      <c r="AJ97" s="87"/>
      <c r="AK97" s="87"/>
      <c r="AL97" s="87"/>
      <c r="AM97" s="87"/>
      <c r="AN97" s="87"/>
    </row>
    <row r="98" ht="16.5" customHeight="1">
      <c r="A98" s="87" t="s">
        <v>462</v>
      </c>
      <c r="B98" s="87" t="s">
        <v>64</v>
      </c>
      <c r="C98" s="87" t="s">
        <v>280</v>
      </c>
      <c r="D98" s="87"/>
      <c r="E98" s="87" t="s">
        <v>1312</v>
      </c>
      <c r="F98" s="79"/>
      <c r="G98" s="87" t="s">
        <v>289</v>
      </c>
      <c r="H98" s="87" t="s">
        <v>2331</v>
      </c>
      <c r="I98" s="87" t="s">
        <v>2332</v>
      </c>
      <c r="J98" s="87" t="s">
        <v>2333</v>
      </c>
      <c r="K98" s="89">
        <v>42192.0</v>
      </c>
      <c r="L98" s="87" t="s">
        <v>2334</v>
      </c>
      <c r="M98" s="87" t="s">
        <v>2335</v>
      </c>
      <c r="N98" s="87"/>
      <c r="O98" s="87"/>
      <c r="P98" s="87"/>
      <c r="Q98" s="87"/>
      <c r="R98" s="87"/>
      <c r="S98" s="87"/>
      <c r="T98" s="87"/>
      <c r="U98" s="87"/>
      <c r="V98" s="87"/>
      <c r="W98" s="87"/>
      <c r="X98" s="87"/>
      <c r="Y98" s="87"/>
      <c r="Z98" s="87"/>
      <c r="AA98" s="87"/>
      <c r="AB98" s="87"/>
      <c r="AC98" s="87"/>
      <c r="AD98" s="87"/>
      <c r="AE98" s="87"/>
      <c r="AF98" s="87"/>
      <c r="AG98" s="87"/>
      <c r="AH98" s="87"/>
      <c r="AI98" s="87"/>
      <c r="AJ98" s="87"/>
      <c r="AK98" s="87"/>
      <c r="AL98" s="87"/>
      <c r="AM98" s="87"/>
      <c r="AN98" s="87"/>
    </row>
    <row r="99" ht="16.5" customHeight="1">
      <c r="A99" s="87" t="s">
        <v>462</v>
      </c>
      <c r="B99" s="87" t="s">
        <v>64</v>
      </c>
      <c r="C99" s="87" t="s">
        <v>280</v>
      </c>
      <c r="D99" s="87" t="s">
        <v>678</v>
      </c>
      <c r="E99" s="87" t="s">
        <v>239</v>
      </c>
      <c r="F99" s="79"/>
      <c r="G99" s="87"/>
      <c r="H99" s="87" t="s">
        <v>2336</v>
      </c>
      <c r="I99" s="87" t="s">
        <v>2337</v>
      </c>
      <c r="J99" s="87" t="s">
        <v>2338</v>
      </c>
      <c r="K99" s="89">
        <v>40978.0</v>
      </c>
      <c r="L99" s="87"/>
      <c r="M99" s="90" t="str">
        <f>HYPERLINK("http://news.nationalgeographic.com/news/energy/2012/03/120309-japan-fukushima-anniversary-energy-shortage/","http://news.nationalgeographic.com/news/energy/2012/03/120309-japan-fukushima-anniversary-energy-shortage/")</f>
        <v>http://news.nationalgeographic.com/news/energy/2012/03/120309-japan-fukushima-anniversary-energy-shortage/</v>
      </c>
      <c r="N99" s="87"/>
      <c r="O99" s="87" t="s">
        <v>462</v>
      </c>
      <c r="P99" s="87" t="s">
        <v>428</v>
      </c>
      <c r="Q99" s="87"/>
      <c r="R99" s="87" t="s">
        <v>677</v>
      </c>
      <c r="S99" s="87"/>
      <c r="T99" s="91"/>
      <c r="U99" s="91"/>
      <c r="V99" s="87"/>
      <c r="W99" s="87"/>
      <c r="X99" s="91"/>
      <c r="Y99" s="87"/>
      <c r="Z99" s="87"/>
      <c r="AA99" s="87"/>
      <c r="AB99" s="87"/>
      <c r="AC99" s="87"/>
      <c r="AD99" s="87"/>
      <c r="AE99" s="87"/>
      <c r="AF99" s="87"/>
      <c r="AG99" s="87"/>
      <c r="AH99" s="87"/>
      <c r="AI99" s="87"/>
      <c r="AJ99" s="87"/>
      <c r="AK99" s="87"/>
      <c r="AL99" s="87"/>
      <c r="AM99" s="87"/>
      <c r="AN99" s="87"/>
    </row>
    <row r="100" ht="16.5" customHeight="1">
      <c r="A100" s="87" t="s">
        <v>462</v>
      </c>
      <c r="B100" s="87" t="s">
        <v>64</v>
      </c>
      <c r="C100" s="87" t="s">
        <v>280</v>
      </c>
      <c r="D100" s="87" t="s">
        <v>678</v>
      </c>
      <c r="E100" s="87" t="s">
        <v>388</v>
      </c>
      <c r="F100" s="79"/>
      <c r="G100" s="87" t="s">
        <v>289</v>
      </c>
      <c r="H100" s="87" t="s">
        <v>2349</v>
      </c>
      <c r="I100" s="87"/>
      <c r="J100" s="87" t="s">
        <v>2350</v>
      </c>
      <c r="K100" s="89">
        <v>41843.0</v>
      </c>
      <c r="L100" s="87"/>
      <c r="M100" s="90" t="str">
        <f>HYPERLINK("http://www.noaanews.noaa.gov/stories2014/20140723_jacksonvilleports.html","http://www.noaanews.noaa.gov/stories2014/20140723_jacksonvilleports.html")</f>
        <v>http://www.noaanews.noaa.gov/stories2014/20140723_jacksonvilleports.html</v>
      </c>
      <c r="N100" s="87"/>
      <c r="O100" s="87" t="s">
        <v>428</v>
      </c>
      <c r="P100" s="87" t="s">
        <v>462</v>
      </c>
      <c r="Q100" s="87"/>
      <c r="R100" s="87" t="s">
        <v>677</v>
      </c>
      <c r="S100" s="87"/>
      <c r="T100" s="87"/>
      <c r="U100" s="87"/>
      <c r="V100" s="87"/>
      <c r="W100" s="87"/>
      <c r="X100" s="87"/>
      <c r="Y100" s="87"/>
      <c r="Z100" s="87"/>
      <c r="AA100" s="87"/>
      <c r="AB100" s="87"/>
      <c r="AC100" s="87"/>
      <c r="AD100" s="87"/>
      <c r="AE100" s="87"/>
      <c r="AF100" s="87"/>
      <c r="AG100" s="87"/>
      <c r="AH100" s="87"/>
      <c r="AI100" s="87"/>
      <c r="AJ100" s="87"/>
      <c r="AK100" s="87"/>
      <c r="AL100" s="87"/>
      <c r="AM100" s="87"/>
      <c r="AN100" s="87"/>
    </row>
    <row r="101" ht="16.5" customHeight="1">
      <c r="A101" s="87" t="s">
        <v>462</v>
      </c>
      <c r="B101" s="87" t="s">
        <v>64</v>
      </c>
      <c r="C101" s="87" t="s">
        <v>280</v>
      </c>
      <c r="D101" s="87"/>
      <c r="E101" s="87" t="s">
        <v>388</v>
      </c>
      <c r="F101" s="79"/>
      <c r="G101" s="87" t="s">
        <v>289</v>
      </c>
      <c r="H101" s="87" t="s">
        <v>2356</v>
      </c>
      <c r="I101" s="87" t="s">
        <v>2357</v>
      </c>
      <c r="J101" s="87" t="s">
        <v>2358</v>
      </c>
      <c r="K101" s="89" t="s">
        <v>1255</v>
      </c>
      <c r="L101" s="87" t="s">
        <v>2362</v>
      </c>
      <c r="M101" s="90" t="str">
        <f>HYPERLINK("http://technori.com/2012/10/2612-behavior-design-bootcamp/","http://technori.com/2012/10/2612-behavior-design-bootcamp/")</f>
        <v>http://technori.com/2012/10/2612-behavior-design-bootcamp/</v>
      </c>
      <c r="N101" s="87"/>
      <c r="O101" s="87" t="s">
        <v>462</v>
      </c>
      <c r="P101" s="87" t="s">
        <v>462</v>
      </c>
      <c r="Q101" s="87" t="s">
        <v>1099</v>
      </c>
      <c r="R101" s="87" t="s">
        <v>677</v>
      </c>
      <c r="S101" s="87"/>
      <c r="T101" s="87"/>
      <c r="U101" s="87"/>
      <c r="V101" s="87"/>
      <c r="W101" s="87"/>
      <c r="X101" s="87"/>
      <c r="Y101" s="87"/>
      <c r="Z101" s="87"/>
      <c r="AA101" s="87"/>
      <c r="AB101" s="87"/>
      <c r="AC101" s="87"/>
      <c r="AD101" s="87"/>
      <c r="AE101" s="87"/>
      <c r="AF101" s="87"/>
      <c r="AG101" s="87"/>
      <c r="AH101" s="87"/>
      <c r="AI101" s="87"/>
      <c r="AJ101" s="87"/>
      <c r="AK101" s="87"/>
      <c r="AL101" s="87"/>
      <c r="AM101" s="87"/>
      <c r="AN101" s="87"/>
    </row>
    <row r="102" ht="16.5" customHeight="1">
      <c r="A102" s="87" t="s">
        <v>462</v>
      </c>
      <c r="B102" s="87" t="s">
        <v>64</v>
      </c>
      <c r="C102" s="87" t="s">
        <v>280</v>
      </c>
      <c r="D102" s="87"/>
      <c r="E102" s="87" t="s">
        <v>388</v>
      </c>
      <c r="F102" s="79"/>
      <c r="G102" s="87"/>
      <c r="H102" s="87" t="s">
        <v>2368</v>
      </c>
      <c r="I102" s="87" t="s">
        <v>2369</v>
      </c>
      <c r="J102" s="87"/>
      <c r="K102" s="87"/>
      <c r="L102" s="87" t="s">
        <v>2370</v>
      </c>
      <c r="M102" s="87" t="s">
        <v>2372</v>
      </c>
      <c r="N102" s="87"/>
      <c r="O102" s="87"/>
      <c r="P102" s="87"/>
      <c r="Q102" s="87"/>
      <c r="R102" s="87"/>
      <c r="S102" s="87"/>
      <c r="T102" s="87"/>
      <c r="U102" s="87"/>
      <c r="V102" s="87"/>
      <c r="W102" s="87"/>
      <c r="X102" s="87"/>
      <c r="Y102" s="87"/>
      <c r="Z102" s="87"/>
      <c r="AA102" s="87"/>
      <c r="AB102" s="87"/>
      <c r="AC102" s="87"/>
      <c r="AD102" s="87"/>
      <c r="AE102" s="87"/>
      <c r="AF102" s="87"/>
      <c r="AG102" s="87"/>
      <c r="AH102" s="87"/>
      <c r="AI102" s="87"/>
      <c r="AJ102" s="87"/>
      <c r="AK102" s="87"/>
      <c r="AL102" s="87"/>
      <c r="AM102" s="87"/>
      <c r="AN102" s="87"/>
    </row>
    <row r="103" ht="16.5" customHeight="1">
      <c r="A103" s="87" t="s">
        <v>462</v>
      </c>
      <c r="B103" s="87" t="s">
        <v>64</v>
      </c>
      <c r="C103" s="87" t="s">
        <v>280</v>
      </c>
      <c r="D103" s="87"/>
      <c r="E103" s="87" t="s">
        <v>388</v>
      </c>
      <c r="F103" s="79"/>
      <c r="G103" s="87" t="s">
        <v>324</v>
      </c>
      <c r="H103" s="87" t="s">
        <v>2377</v>
      </c>
      <c r="I103" s="87" t="s">
        <v>2378</v>
      </c>
      <c r="J103" s="87" t="s">
        <v>2379</v>
      </c>
      <c r="K103" s="89" t="s">
        <v>1255</v>
      </c>
      <c r="L103" s="87" t="s">
        <v>2381</v>
      </c>
      <c r="M103" s="90" t="str">
        <f>HYPERLINK("http://jamesclear.com/new-habit","http://jamesclear.com/new-habit")</f>
        <v>http://jamesclear.com/new-habit</v>
      </c>
      <c r="N103" s="87"/>
      <c r="O103" s="87" t="s">
        <v>428</v>
      </c>
      <c r="P103" s="87" t="s">
        <v>462</v>
      </c>
      <c r="Q103" s="87"/>
      <c r="R103" s="87" t="s">
        <v>677</v>
      </c>
      <c r="S103" s="87"/>
      <c r="T103" s="87"/>
      <c r="U103" s="87"/>
      <c r="V103" s="87"/>
      <c r="W103" s="87"/>
      <c r="X103" s="87"/>
      <c r="Y103" s="87"/>
      <c r="Z103" s="87"/>
      <c r="AA103" s="87"/>
      <c r="AB103" s="87"/>
      <c r="AC103" s="87"/>
      <c r="AD103" s="87"/>
      <c r="AE103" s="87"/>
      <c r="AF103" s="87"/>
      <c r="AG103" s="87"/>
      <c r="AH103" s="87"/>
      <c r="AI103" s="87"/>
      <c r="AJ103" s="87"/>
      <c r="AK103" s="87"/>
      <c r="AL103" s="87"/>
      <c r="AM103" s="87"/>
      <c r="AN103" s="87"/>
    </row>
    <row r="104" ht="16.5" customHeight="1">
      <c r="A104" s="87" t="s">
        <v>462</v>
      </c>
      <c r="B104" s="87" t="s">
        <v>64</v>
      </c>
      <c r="C104" s="87" t="s">
        <v>280</v>
      </c>
      <c r="D104" s="87"/>
      <c r="E104" s="87" t="s">
        <v>388</v>
      </c>
      <c r="F104" s="79"/>
      <c r="G104" s="87"/>
      <c r="H104" s="87" t="s">
        <v>2388</v>
      </c>
      <c r="I104" s="87" t="s">
        <v>2389</v>
      </c>
      <c r="J104" s="87" t="s">
        <v>2390</v>
      </c>
      <c r="K104" s="87"/>
      <c r="L104" s="87" t="s">
        <v>2395</v>
      </c>
      <c r="M104" s="87" t="s">
        <v>2396</v>
      </c>
      <c r="N104" s="87" t="s">
        <v>2397</v>
      </c>
      <c r="O104" s="87"/>
      <c r="P104" s="87"/>
      <c r="Q104" s="87" t="s">
        <v>2398</v>
      </c>
      <c r="R104" s="87"/>
      <c r="S104" s="87"/>
      <c r="T104" s="87"/>
      <c r="U104" s="87"/>
      <c r="V104" s="87"/>
      <c r="W104" s="87"/>
      <c r="X104" s="87"/>
      <c r="Y104" s="87"/>
      <c r="Z104" s="87"/>
      <c r="AA104" s="87"/>
      <c r="AB104" s="87"/>
      <c r="AC104" s="87"/>
      <c r="AD104" s="87"/>
      <c r="AE104" s="87"/>
      <c r="AF104" s="87"/>
      <c r="AG104" s="87"/>
      <c r="AH104" s="87"/>
      <c r="AI104" s="87"/>
      <c r="AJ104" s="87"/>
      <c r="AK104" s="87"/>
      <c r="AL104" s="87"/>
      <c r="AM104" s="87"/>
      <c r="AN104" s="87"/>
    </row>
    <row r="105" ht="16.5" customHeight="1">
      <c r="A105" s="87" t="s">
        <v>462</v>
      </c>
      <c r="B105" s="87" t="s">
        <v>64</v>
      </c>
      <c r="C105" s="87" t="s">
        <v>280</v>
      </c>
      <c r="D105" s="87"/>
      <c r="E105" s="87" t="s">
        <v>388</v>
      </c>
      <c r="F105" s="79"/>
      <c r="G105" s="87"/>
      <c r="H105" s="87" t="s">
        <v>2399</v>
      </c>
      <c r="I105" s="87" t="s">
        <v>2400</v>
      </c>
      <c r="J105" s="87" t="s">
        <v>2401</v>
      </c>
      <c r="K105" s="107">
        <v>42360.0</v>
      </c>
      <c r="L105" s="87" t="s">
        <v>2410</v>
      </c>
      <c r="M105" s="87" t="s">
        <v>2411</v>
      </c>
      <c r="N105" s="87"/>
      <c r="O105" s="87"/>
      <c r="P105" s="87"/>
      <c r="Q105" s="87"/>
      <c r="R105" s="87"/>
      <c r="S105" s="87"/>
      <c r="T105" s="87"/>
      <c r="U105" s="87"/>
      <c r="V105" s="87"/>
      <c r="W105" s="87"/>
      <c r="X105" s="87"/>
      <c r="Y105" s="87"/>
      <c r="Z105" s="87"/>
      <c r="AA105" s="87"/>
      <c r="AB105" s="87"/>
      <c r="AC105" s="87"/>
      <c r="AD105" s="87"/>
      <c r="AE105" s="87"/>
      <c r="AF105" s="87"/>
      <c r="AG105" s="87"/>
      <c r="AH105" s="87"/>
      <c r="AI105" s="87"/>
      <c r="AJ105" s="87"/>
      <c r="AK105" s="87"/>
      <c r="AL105" s="87"/>
      <c r="AM105" s="87"/>
      <c r="AN105" s="87"/>
    </row>
    <row r="106" ht="16.5" customHeight="1">
      <c r="A106" s="87" t="s">
        <v>462</v>
      </c>
      <c r="B106" s="87" t="s">
        <v>64</v>
      </c>
      <c r="C106" s="87" t="s">
        <v>280</v>
      </c>
      <c r="D106" s="87"/>
      <c r="E106" s="87" t="s">
        <v>388</v>
      </c>
      <c r="F106" s="79"/>
      <c r="G106" s="87" t="s">
        <v>289</v>
      </c>
      <c r="H106" s="87" t="s">
        <v>2413</v>
      </c>
      <c r="I106" s="87" t="s">
        <v>2414</v>
      </c>
      <c r="J106" s="87" t="s">
        <v>2414</v>
      </c>
      <c r="K106" s="89">
        <v>2015.0</v>
      </c>
      <c r="L106" s="87" t="s">
        <v>2415</v>
      </c>
      <c r="M106" s="90" t="str">
        <f>HYPERLINK("http://www.behaviormodel.org/index.html","http://www.behaviormodel.org/index.html")</f>
        <v>http://www.behaviormodel.org/index.html</v>
      </c>
      <c r="N106" s="87" t="s">
        <v>2419</v>
      </c>
      <c r="O106" s="87" t="s">
        <v>428</v>
      </c>
      <c r="P106" s="87" t="s">
        <v>462</v>
      </c>
      <c r="Q106" s="87" t="s">
        <v>663</v>
      </c>
      <c r="R106" s="87" t="s">
        <v>677</v>
      </c>
      <c r="S106" s="87"/>
      <c r="T106" s="87"/>
      <c r="U106" s="87"/>
      <c r="V106" s="87"/>
      <c r="W106" s="87"/>
      <c r="X106" s="87"/>
      <c r="Y106" s="87"/>
      <c r="Z106" s="87"/>
      <c r="AA106" s="87"/>
      <c r="AB106" s="87"/>
      <c r="AC106" s="87"/>
      <c r="AD106" s="87"/>
      <c r="AE106" s="87"/>
      <c r="AF106" s="87"/>
      <c r="AG106" s="87"/>
      <c r="AH106" s="87"/>
      <c r="AI106" s="87"/>
      <c r="AJ106" s="87"/>
      <c r="AK106" s="87"/>
      <c r="AL106" s="87"/>
      <c r="AM106" s="87"/>
      <c r="AN106" s="87"/>
    </row>
    <row r="107" ht="16.5" customHeight="1">
      <c r="A107" s="87" t="s">
        <v>462</v>
      </c>
      <c r="B107" s="87" t="s">
        <v>64</v>
      </c>
      <c r="C107" s="87" t="s">
        <v>280</v>
      </c>
      <c r="D107" s="87"/>
      <c r="E107" s="87" t="s">
        <v>2421</v>
      </c>
      <c r="F107" s="79"/>
      <c r="G107" s="87"/>
      <c r="H107" s="87" t="s">
        <v>2422</v>
      </c>
      <c r="I107" s="87" t="s">
        <v>2414</v>
      </c>
      <c r="J107" s="87" t="s">
        <v>2423</v>
      </c>
      <c r="K107" s="89">
        <v>2010.0</v>
      </c>
      <c r="L107" s="87" t="s">
        <v>2424</v>
      </c>
      <c r="M107" s="90" t="str">
        <f>HYPERLINK("http://www.slideshare.net/captology/3-steps-to-new-habits","http://www.slideshare.net/captology/3-steps-to-new-habits")</f>
        <v>http://www.slideshare.net/captology/3-steps-to-new-habits</v>
      </c>
      <c r="N107" s="87" t="s">
        <v>2430</v>
      </c>
      <c r="O107" s="87" t="s">
        <v>462</v>
      </c>
      <c r="P107" s="87" t="s">
        <v>462</v>
      </c>
      <c r="Q107" s="87"/>
      <c r="R107" s="87" t="s">
        <v>677</v>
      </c>
      <c r="S107" s="87"/>
      <c r="T107" s="87"/>
      <c r="U107" s="87"/>
      <c r="V107" s="87"/>
      <c r="W107" s="87"/>
      <c r="X107" s="87"/>
      <c r="Y107" s="87"/>
      <c r="Z107" s="87"/>
      <c r="AA107" s="87"/>
      <c r="AB107" s="87"/>
      <c r="AC107" s="87"/>
      <c r="AD107" s="87"/>
      <c r="AE107" s="87"/>
      <c r="AF107" s="87"/>
      <c r="AG107" s="87"/>
      <c r="AH107" s="87"/>
      <c r="AI107" s="87"/>
      <c r="AJ107" s="87"/>
      <c r="AK107" s="87"/>
      <c r="AL107" s="87"/>
      <c r="AM107" s="87"/>
      <c r="AN107" s="87"/>
    </row>
    <row r="108" ht="16.5" customHeight="1">
      <c r="A108" s="87" t="s">
        <v>462</v>
      </c>
      <c r="B108" s="87" t="s">
        <v>64</v>
      </c>
      <c r="C108" s="87" t="s">
        <v>280</v>
      </c>
      <c r="D108" s="87"/>
      <c r="E108" s="87" t="s">
        <v>2421</v>
      </c>
      <c r="F108" s="79"/>
      <c r="G108" s="87"/>
      <c r="H108" s="87" t="s">
        <v>2434</v>
      </c>
      <c r="I108" s="87" t="s">
        <v>2435</v>
      </c>
      <c r="J108" s="87" t="s">
        <v>2423</v>
      </c>
      <c r="K108" s="89">
        <v>42339.0</v>
      </c>
      <c r="L108" s="87" t="s">
        <v>2436</v>
      </c>
      <c r="M108" s="90" t="str">
        <f>HYPERLINK("http://www.slideshare.net/captology/stanford-6401325","http://www.slideshare.net/captology/stanford-6401325")</f>
        <v>http://www.slideshare.net/captology/stanford-6401325</v>
      </c>
      <c r="N108" s="87" t="s">
        <v>2430</v>
      </c>
      <c r="O108" s="87" t="s">
        <v>462</v>
      </c>
      <c r="P108" s="87" t="s">
        <v>462</v>
      </c>
      <c r="Q108" s="87"/>
      <c r="R108" s="87" t="s">
        <v>677</v>
      </c>
      <c r="S108" s="87"/>
      <c r="T108" s="87"/>
      <c r="U108" s="87"/>
      <c r="V108" s="87"/>
      <c r="W108" s="87"/>
      <c r="X108" s="87"/>
      <c r="Y108" s="87"/>
      <c r="Z108" s="87"/>
      <c r="AA108" s="87"/>
      <c r="AB108" s="87"/>
      <c r="AC108" s="87"/>
      <c r="AD108" s="87"/>
      <c r="AE108" s="87"/>
      <c r="AF108" s="87"/>
      <c r="AG108" s="87"/>
      <c r="AH108" s="87"/>
      <c r="AI108" s="87"/>
      <c r="AJ108" s="87"/>
      <c r="AK108" s="87"/>
      <c r="AL108" s="87"/>
      <c r="AM108" s="87"/>
      <c r="AN108" s="87"/>
    </row>
    <row r="109" ht="16.5" customHeight="1">
      <c r="A109" s="87" t="s">
        <v>462</v>
      </c>
      <c r="B109" s="87" t="s">
        <v>64</v>
      </c>
      <c r="C109" s="87" t="s">
        <v>280</v>
      </c>
      <c r="D109" s="87"/>
      <c r="E109" s="87" t="s">
        <v>2441</v>
      </c>
      <c r="F109" s="79"/>
      <c r="G109" s="104"/>
      <c r="H109" s="87" t="s">
        <v>2444</v>
      </c>
      <c r="I109" s="87" t="s">
        <v>2445</v>
      </c>
      <c r="J109" s="87" t="s">
        <v>2447</v>
      </c>
      <c r="K109" s="89">
        <v>38658.0</v>
      </c>
      <c r="L109" s="87" t="s">
        <v>2448</v>
      </c>
      <c r="M109" s="90" t="str">
        <f>HYPERLINK("http://usatoday30.usatoday.com/news/health/2005-11-02-babyfood_x.htm","http://usatoday30.usatoday.com/news/health/2005-11-02-babyfood_x.htm")</f>
        <v>http://usatoday30.usatoday.com/news/health/2005-11-02-babyfood_x.htm</v>
      </c>
      <c r="N109" s="87"/>
      <c r="O109" s="87"/>
      <c r="P109" s="87"/>
      <c r="Q109" s="87"/>
      <c r="R109" s="87"/>
      <c r="S109" s="87"/>
      <c r="T109" s="87"/>
      <c r="U109" s="87"/>
      <c r="V109" s="87"/>
      <c r="W109" s="87"/>
      <c r="X109" s="87"/>
      <c r="Y109" s="87"/>
      <c r="Z109" s="104"/>
      <c r="AA109" s="104"/>
      <c r="AB109" s="104"/>
      <c r="AC109" s="104"/>
      <c r="AD109" s="104"/>
      <c r="AE109" s="87"/>
      <c r="AF109" s="87"/>
      <c r="AG109" s="87"/>
      <c r="AH109" s="87"/>
      <c r="AI109" s="87"/>
      <c r="AJ109" s="87"/>
      <c r="AK109" s="87"/>
      <c r="AL109" s="87"/>
      <c r="AM109" s="87"/>
      <c r="AN109" s="87"/>
    </row>
    <row r="110" ht="16.5" customHeight="1">
      <c r="A110" s="87" t="s">
        <v>462</v>
      </c>
      <c r="B110" s="87" t="s">
        <v>64</v>
      </c>
      <c r="C110" s="87" t="s">
        <v>280</v>
      </c>
      <c r="D110" s="87" t="s">
        <v>2456</v>
      </c>
      <c r="E110" s="87" t="s">
        <v>2458</v>
      </c>
      <c r="F110" s="79"/>
      <c r="G110" s="87" t="s">
        <v>111</v>
      </c>
      <c r="H110" s="87" t="s">
        <v>2459</v>
      </c>
      <c r="I110" s="87" t="s">
        <v>1105</v>
      </c>
      <c r="J110" s="87" t="s">
        <v>2460</v>
      </c>
      <c r="K110" s="107">
        <v>42395.0</v>
      </c>
      <c r="L110" s="87" t="s">
        <v>2461</v>
      </c>
      <c r="M110" s="87" t="s">
        <v>2462</v>
      </c>
      <c r="N110" s="87"/>
      <c r="O110" s="87"/>
      <c r="P110" s="87"/>
      <c r="Q110" s="87"/>
      <c r="R110" s="87"/>
      <c r="S110" s="87"/>
      <c r="T110" s="87"/>
      <c r="U110" s="87"/>
      <c r="V110" s="87"/>
      <c r="W110" s="87"/>
      <c r="X110" s="87"/>
      <c r="Y110" s="87"/>
      <c r="Z110" s="87"/>
      <c r="AA110" s="87"/>
      <c r="AB110" s="87"/>
      <c r="AC110" s="87"/>
      <c r="AD110" s="87"/>
      <c r="AE110" s="87"/>
      <c r="AF110" s="87"/>
      <c r="AG110" s="87"/>
      <c r="AH110" s="87"/>
      <c r="AI110" s="87"/>
      <c r="AJ110" s="87"/>
      <c r="AK110" s="87"/>
      <c r="AL110" s="87"/>
      <c r="AM110" s="87"/>
      <c r="AN110" s="87"/>
    </row>
    <row r="111" ht="16.5" customHeight="1">
      <c r="A111" s="87" t="s">
        <v>462</v>
      </c>
      <c r="B111" s="87" t="s">
        <v>64</v>
      </c>
      <c r="C111" s="87" t="s">
        <v>280</v>
      </c>
      <c r="D111" s="87" t="s">
        <v>678</v>
      </c>
      <c r="E111" s="87"/>
      <c r="F111" s="79"/>
      <c r="G111" s="87"/>
      <c r="H111" s="87" t="s">
        <v>2463</v>
      </c>
      <c r="I111" s="87"/>
      <c r="J111" s="87" t="s">
        <v>2464</v>
      </c>
      <c r="K111" s="89">
        <v>41445.0</v>
      </c>
      <c r="L111" s="87"/>
      <c r="M111" s="90" t="str">
        <f>HYPERLINK("http://www.cambridge.k12.mn.us/~doffice/Archive%20Minutes/BOARD%20MIN%2006-20-13.pdf","http://www.cambridge.k12.mn.us/~doffice/Archive%20Minutes/BOARD%20MIN%2006-20-13.pdf")</f>
        <v>http://www.cambridge.k12.mn.us/~doffice/Archive%20Minutes/BOARD%20MIN%2006-20-13.pdf</v>
      </c>
      <c r="N111" s="87"/>
      <c r="O111" s="87" t="s">
        <v>462</v>
      </c>
      <c r="P111" s="87" t="s">
        <v>428</v>
      </c>
      <c r="Q111" s="87"/>
      <c r="R111" s="87" t="s">
        <v>677</v>
      </c>
      <c r="S111" s="87"/>
      <c r="T111" s="87"/>
      <c r="U111" s="87"/>
      <c r="V111" s="87"/>
      <c r="W111" s="87"/>
      <c r="X111" s="87"/>
      <c r="Y111" s="87"/>
      <c r="Z111" s="87"/>
      <c r="AA111" s="87"/>
      <c r="AB111" s="87"/>
      <c r="AC111" s="87"/>
      <c r="AD111" s="87"/>
      <c r="AE111" s="87"/>
      <c r="AF111" s="87"/>
      <c r="AG111" s="87"/>
      <c r="AH111" s="87"/>
      <c r="AI111" s="87"/>
      <c r="AJ111" s="87"/>
      <c r="AK111" s="87"/>
      <c r="AL111" s="87"/>
      <c r="AM111" s="87"/>
      <c r="AN111" s="87"/>
    </row>
    <row r="112" ht="16.5" customHeight="1">
      <c r="A112" s="87" t="s">
        <v>462</v>
      </c>
      <c r="B112" s="87" t="s">
        <v>64</v>
      </c>
      <c r="C112" s="87" t="s">
        <v>280</v>
      </c>
      <c r="D112" s="104"/>
      <c r="E112" s="104"/>
      <c r="F112" s="79"/>
      <c r="G112" s="104"/>
      <c r="H112" s="87" t="s">
        <v>2468</v>
      </c>
      <c r="I112" s="87" t="s">
        <v>2469</v>
      </c>
      <c r="J112" s="87" t="s">
        <v>2470</v>
      </c>
      <c r="K112" s="89">
        <v>41507.0</v>
      </c>
      <c r="L112" s="87" t="s">
        <v>2473</v>
      </c>
      <c r="M112" s="90" t="str">
        <f>HYPERLINK("http://www.examiner.com/list/dorm-life-green-habits-to-take-back-to-campus","http://www.examiner.com/list/dorm-life-green-habits-to-take-back-to-campus")</f>
        <v>http://www.examiner.com/list/dorm-life-green-habits-to-take-back-to-campus</v>
      </c>
      <c r="N112" s="87"/>
      <c r="O112" s="87"/>
      <c r="P112" s="87"/>
      <c r="Q112" s="87"/>
      <c r="R112" s="87"/>
      <c r="S112" s="87"/>
      <c r="T112" s="87"/>
      <c r="U112" s="87"/>
      <c r="V112" s="87"/>
      <c r="W112" s="87"/>
      <c r="X112" s="87"/>
      <c r="Y112" s="87"/>
      <c r="Z112" s="104"/>
      <c r="AA112" s="104"/>
      <c r="AB112" s="104"/>
      <c r="AC112" s="104"/>
      <c r="AD112" s="104"/>
      <c r="AE112" s="87"/>
      <c r="AF112" s="87"/>
      <c r="AG112" s="87"/>
      <c r="AH112" s="87"/>
      <c r="AI112" s="87"/>
      <c r="AJ112" s="87"/>
      <c r="AK112" s="87"/>
      <c r="AL112" s="87"/>
      <c r="AM112" s="87"/>
      <c r="AN112" s="87"/>
    </row>
    <row r="113" ht="16.5" customHeight="1">
      <c r="A113" s="87" t="s">
        <v>462</v>
      </c>
      <c r="B113" s="87" t="s">
        <v>64</v>
      </c>
      <c r="C113" s="87" t="s">
        <v>280</v>
      </c>
      <c r="D113" s="87"/>
      <c r="E113" s="87"/>
      <c r="F113" s="79"/>
      <c r="G113" s="87"/>
      <c r="H113" s="87" t="s">
        <v>2479</v>
      </c>
      <c r="I113" s="87" t="s">
        <v>2480</v>
      </c>
      <c r="J113" s="87" t="s">
        <v>1571</v>
      </c>
      <c r="K113" s="89">
        <v>41488.0</v>
      </c>
      <c r="L113" s="87"/>
      <c r="M113" s="87" t="s">
        <v>2482</v>
      </c>
      <c r="N113" s="87" t="s">
        <v>2483</v>
      </c>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row>
    <row r="114" ht="16.5" customHeight="1">
      <c r="A114" s="87" t="s">
        <v>462</v>
      </c>
      <c r="B114" s="87" t="s">
        <v>64</v>
      </c>
      <c r="C114" s="87" t="s">
        <v>280</v>
      </c>
      <c r="D114" s="87"/>
      <c r="E114" s="87"/>
      <c r="F114" s="79"/>
      <c r="G114" s="87" t="s">
        <v>289</v>
      </c>
      <c r="H114" s="92" t="s">
        <v>2486</v>
      </c>
      <c r="I114" s="87" t="s">
        <v>2488</v>
      </c>
      <c r="J114" s="87" t="s">
        <v>2490</v>
      </c>
      <c r="K114" s="89">
        <v>42211.0</v>
      </c>
      <c r="L114" s="87" t="s">
        <v>2492</v>
      </c>
      <c r="M114" s="90" t="str">
        <f>HYPERLINK("http://www.bostonglobe.com/magazine/2015/07/25/what-religion-can-teach-climate-scientists/LAZYZ6DBVHr1THqvWFXffO/story.html?event=event12","http://www.bostonglobe.com/magazine/2015/07/25/what-religion-can-teach-climate-scientists/LAZYZ6DBVHr1THqvWFXffO/story.html?event=event12")</f>
        <v>http://www.bostonglobe.com/magazine/2015/07/25/what-religion-can-teach-climate-scientists/LAZYZ6DBVHr1THqvWFXffO/story.html?event=event12</v>
      </c>
      <c r="N114" s="87"/>
      <c r="O114" s="87"/>
      <c r="P114" s="87"/>
      <c r="Q114" s="87"/>
      <c r="R114" s="87" t="s">
        <v>428</v>
      </c>
      <c r="S114" s="87" t="s">
        <v>2496</v>
      </c>
      <c r="T114" s="91">
        <v>42709.0</v>
      </c>
      <c r="U114" s="87"/>
      <c r="V114" s="87" t="s">
        <v>462</v>
      </c>
      <c r="W114" s="87"/>
      <c r="X114" s="87"/>
      <c r="Y114" s="87"/>
      <c r="Z114" s="87"/>
      <c r="AA114" s="87"/>
      <c r="AB114" s="87"/>
      <c r="AC114" s="87"/>
      <c r="AD114" s="87" t="s">
        <v>428</v>
      </c>
      <c r="AE114" s="87"/>
      <c r="AF114" s="87"/>
      <c r="AG114" s="87"/>
      <c r="AH114" s="87"/>
      <c r="AI114" s="87"/>
      <c r="AJ114" s="87"/>
      <c r="AK114" s="87"/>
      <c r="AL114" s="87"/>
      <c r="AM114" s="87"/>
      <c r="AN114" s="87"/>
    </row>
    <row r="115" ht="16.5" customHeight="1">
      <c r="A115" s="87" t="s">
        <v>462</v>
      </c>
      <c r="B115" s="87" t="s">
        <v>1255</v>
      </c>
      <c r="C115" s="87" t="s">
        <v>1255</v>
      </c>
      <c r="D115" s="87"/>
      <c r="E115" s="87" t="s">
        <v>837</v>
      </c>
      <c r="F115" s="79"/>
      <c r="G115" s="87" t="s">
        <v>289</v>
      </c>
      <c r="H115" s="92" t="s">
        <v>2503</v>
      </c>
      <c r="I115" s="87" t="s">
        <v>2504</v>
      </c>
      <c r="J115" s="87" t="s">
        <v>2506</v>
      </c>
      <c r="K115" s="89">
        <v>42166.0</v>
      </c>
      <c r="L115" s="87" t="s">
        <v>2509</v>
      </c>
      <c r="M115" s="90" t="str">
        <f>HYPERLINK("http://ecoaffect.org/2015/06/11/at-momentus-summit-faith-leaders-urge-seizing-kairos-moment/","http://ecoaffect.org/2015/06/11/at-momentus-summit-faith-leaders-urge-seizing-kairos-moment/")</f>
        <v>http://ecoaffect.org/2015/06/11/at-momentus-summit-faith-leaders-urge-seizing-kairos-moment/</v>
      </c>
      <c r="N115" s="87"/>
      <c r="O115" s="87"/>
      <c r="P115" s="87"/>
      <c r="Q115" s="87"/>
      <c r="R115" s="87" t="s">
        <v>530</v>
      </c>
      <c r="S115" s="87"/>
      <c r="T115" s="87"/>
      <c r="U115" s="87"/>
      <c r="V115" s="87"/>
      <c r="W115" s="87"/>
      <c r="X115" s="87"/>
      <c r="Y115" s="87"/>
      <c r="Z115" s="87"/>
      <c r="AA115" s="87"/>
      <c r="AB115" s="87"/>
      <c r="AC115" s="87"/>
      <c r="AD115" s="87" t="s">
        <v>428</v>
      </c>
      <c r="AE115" s="87"/>
      <c r="AF115" s="87"/>
      <c r="AG115" s="87"/>
      <c r="AH115" s="87"/>
      <c r="AI115" s="87"/>
      <c r="AJ115" s="87"/>
      <c r="AK115" s="87"/>
      <c r="AL115" s="87"/>
      <c r="AM115" s="87"/>
      <c r="AN115" s="87"/>
    </row>
    <row r="116" ht="16.5" customHeight="1">
      <c r="A116" s="87" t="s">
        <v>462</v>
      </c>
      <c r="B116" s="87" t="s">
        <v>64</v>
      </c>
      <c r="C116" s="87" t="s">
        <v>712</v>
      </c>
      <c r="D116" s="87"/>
      <c r="E116" s="87"/>
      <c r="F116" s="79"/>
      <c r="G116" s="87"/>
      <c r="H116" s="87" t="s">
        <v>2520</v>
      </c>
      <c r="I116" s="87" t="s">
        <v>2521</v>
      </c>
      <c r="J116" s="87" t="s">
        <v>1514</v>
      </c>
      <c r="K116" s="89">
        <v>42094.0</v>
      </c>
      <c r="L116" s="87" t="s">
        <v>2524</v>
      </c>
      <c r="M116" s="90" t="str">
        <f>HYPERLINK("http://www.therootsolutions.org/#!Social-Norms-Nudging-Towards-Green-Behavior/c13v2/551aff3f0cf215f35a2e0bc5","http://www.therootsolutions.org/#!Social-Norms-Nudging-Towards-Green-Behavior/c13v2/551aff3f0cf215f35a2e0bc5")</f>
        <v>http://www.therootsolutions.org/#!Social-Norms-Nudging-Towards-Green-Behavior/c13v2/551aff3f0cf215f35a2e0bc5</v>
      </c>
      <c r="N116" s="87" t="s">
        <v>1519</v>
      </c>
      <c r="O116" s="87" t="s">
        <v>462</v>
      </c>
      <c r="P116" s="87" t="s">
        <v>462</v>
      </c>
      <c r="Q116" s="87"/>
      <c r="R116" s="87" t="s">
        <v>769</v>
      </c>
      <c r="S116" s="87" t="s">
        <v>2532</v>
      </c>
      <c r="T116" s="91">
        <v>42095.0</v>
      </c>
      <c r="U116" s="87" t="s">
        <v>2533</v>
      </c>
      <c r="V116" s="87" t="s">
        <v>769</v>
      </c>
      <c r="W116" s="87"/>
      <c r="X116" s="91">
        <v>42095.0</v>
      </c>
      <c r="Y116" s="87"/>
      <c r="Z116" s="87"/>
      <c r="AA116" s="87"/>
      <c r="AB116" s="87"/>
      <c r="AC116" s="87"/>
      <c r="AD116" s="87"/>
      <c r="AE116" s="87"/>
      <c r="AF116" s="87"/>
      <c r="AG116" s="87"/>
      <c r="AH116" s="87"/>
      <c r="AI116" s="87"/>
      <c r="AJ116" s="87"/>
      <c r="AK116" s="87"/>
      <c r="AL116" s="87"/>
      <c r="AM116" s="87"/>
      <c r="AN116" s="87"/>
    </row>
    <row r="117" ht="16.5" customHeight="1">
      <c r="A117" s="87" t="s">
        <v>462</v>
      </c>
      <c r="B117" s="87" t="s">
        <v>64</v>
      </c>
      <c r="C117" s="87" t="s">
        <v>2539</v>
      </c>
      <c r="D117" s="87"/>
      <c r="E117" s="87"/>
      <c r="F117" s="79"/>
      <c r="G117" s="87"/>
      <c r="H117" s="87" t="s">
        <v>2543</v>
      </c>
      <c r="I117" s="87" t="s">
        <v>1105</v>
      </c>
      <c r="J117" s="87" t="s">
        <v>1514</v>
      </c>
      <c r="K117" s="89">
        <v>41873.0</v>
      </c>
      <c r="L117" s="87" t="s">
        <v>2545</v>
      </c>
      <c r="M117" s="90" t="str">
        <f>HYPERLINK("http://www.therootsolutions.org/#!Dose-of-Decision-Science-Social-Norms/c13v2/DBCA25FF-67A9-483B-8437-BB819212F918","http://www.therootsolutions.org/#!Dose-of-Decision-Science-Social-Norms/c13v2/DBCA25FF-67A9-483B-8437-BB819212F918")</f>
        <v>http://www.therootsolutions.org/#!Dose-of-Decision-Science-Social-Norms/c13v2/DBCA25FF-67A9-483B-8437-BB819212F918</v>
      </c>
      <c r="N117" s="87" t="s">
        <v>1519</v>
      </c>
      <c r="O117" s="87" t="s">
        <v>462</v>
      </c>
      <c r="P117" s="87" t="s">
        <v>462</v>
      </c>
      <c r="Q117" s="87"/>
      <c r="R117" s="87" t="s">
        <v>769</v>
      </c>
      <c r="S117" s="87" t="s">
        <v>2550</v>
      </c>
      <c r="T117" s="91">
        <v>41873.0</v>
      </c>
      <c r="U117" s="91">
        <v>42535.0</v>
      </c>
      <c r="V117" s="87" t="s">
        <v>769</v>
      </c>
      <c r="W117" s="87"/>
      <c r="X117" s="91">
        <v>41873.0</v>
      </c>
      <c r="Y117" s="87"/>
      <c r="Z117" s="87"/>
      <c r="AA117" s="87"/>
      <c r="AB117" s="87"/>
      <c r="AC117" s="87"/>
      <c r="AD117" s="87"/>
      <c r="AE117" s="87"/>
      <c r="AF117" s="87"/>
      <c r="AG117" s="87"/>
      <c r="AH117" s="87"/>
      <c r="AI117" s="87"/>
      <c r="AJ117" s="87"/>
      <c r="AK117" s="87"/>
      <c r="AL117" s="87"/>
      <c r="AM117" s="87"/>
      <c r="AN117" s="87"/>
    </row>
    <row r="118" ht="16.5" customHeight="1">
      <c r="A118" s="87" t="s">
        <v>462</v>
      </c>
      <c r="B118" s="87" t="s">
        <v>64</v>
      </c>
      <c r="C118" s="87" t="s">
        <v>387</v>
      </c>
      <c r="D118" s="87"/>
      <c r="E118" s="87" t="s">
        <v>837</v>
      </c>
      <c r="F118" s="79"/>
      <c r="G118" s="87" t="s">
        <v>289</v>
      </c>
      <c r="H118" s="92" t="s">
        <v>2555</v>
      </c>
      <c r="I118" s="87" t="s">
        <v>2556</v>
      </c>
      <c r="J118" s="87" t="s">
        <v>2557</v>
      </c>
      <c r="K118" s="89">
        <v>40997.0</v>
      </c>
      <c r="L118" s="87" t="s">
        <v>2558</v>
      </c>
      <c r="M118" s="90" t="str">
        <f>HYPERLINK("http://www.climatecentral.org/news/for-katharine-hayhoe-climate-change-not-a-leap-of-faith","http://www.climatecentral.org/news/for-katharine-hayhoe-climate-change-not-a-leap-of-faith")</f>
        <v>http://www.climatecentral.org/news/for-katharine-hayhoe-climate-change-not-a-leap-of-faith</v>
      </c>
      <c r="N118" s="87"/>
      <c r="O118" s="87" t="s">
        <v>428</v>
      </c>
      <c r="P118" s="87"/>
      <c r="Q118" s="87"/>
      <c r="R118" s="87" t="s">
        <v>769</v>
      </c>
      <c r="S118" s="87" t="s">
        <v>2560</v>
      </c>
      <c r="T118" s="91">
        <v>42699.0</v>
      </c>
      <c r="U118" s="87"/>
      <c r="V118" s="87"/>
      <c r="W118" s="87"/>
      <c r="X118" s="87"/>
      <c r="Y118" s="87"/>
      <c r="Z118" s="87"/>
      <c r="AA118" s="87"/>
      <c r="AB118" s="87"/>
      <c r="AC118" s="87"/>
      <c r="AD118" s="87"/>
      <c r="AE118" s="87"/>
      <c r="AF118" s="87"/>
      <c r="AG118" s="87"/>
      <c r="AH118" s="87"/>
      <c r="AI118" s="87"/>
      <c r="AJ118" s="87"/>
      <c r="AK118" s="87"/>
      <c r="AL118" s="87"/>
      <c r="AM118" s="87"/>
      <c r="AN118" s="87"/>
    </row>
    <row r="119" ht="16.5" customHeight="1">
      <c r="A119" s="87" t="s">
        <v>462</v>
      </c>
      <c r="B119" s="87" t="s">
        <v>64</v>
      </c>
      <c r="C119" s="87" t="s">
        <v>387</v>
      </c>
      <c r="D119" s="87"/>
      <c r="E119" s="87" t="s">
        <v>1376</v>
      </c>
      <c r="F119" s="79"/>
      <c r="G119" s="87" t="s">
        <v>111</v>
      </c>
      <c r="H119" s="87" t="s">
        <v>2562</v>
      </c>
      <c r="I119" s="87"/>
      <c r="J119" s="87" t="s">
        <v>2564</v>
      </c>
      <c r="K119" s="89">
        <v>42172.0</v>
      </c>
      <c r="L119" s="87"/>
      <c r="M119" s="90" t="str">
        <f>HYPERLINK("http://www.christianaid.org.uk/pressoffice/pressreleases/june_2015/more-than-10000-people-urge-their-mps-to-tackle-climate-change.aspx","http://www.christianaid.org.uk/pressoffice/pressreleases/june_2015/more-than-10000-people-urge-their-mps-to-tackle-climate-change.aspx")</f>
        <v>http://www.christianaid.org.uk/pressoffice/pressreleases/june_2015/more-than-10000-people-urge-their-mps-to-tackle-climate-change.aspx</v>
      </c>
      <c r="N119" s="87"/>
      <c r="O119" s="87" t="s">
        <v>428</v>
      </c>
      <c r="P119" s="87" t="s">
        <v>462</v>
      </c>
      <c r="Q119" s="87"/>
      <c r="R119" s="87" t="s">
        <v>600</v>
      </c>
      <c r="S119" s="87"/>
      <c r="T119" s="87"/>
      <c r="U119" s="87"/>
      <c r="V119" s="87"/>
      <c r="W119" s="87"/>
      <c r="X119" s="87"/>
      <c r="Y119" s="87"/>
      <c r="Z119" s="87"/>
      <c r="AA119" s="87"/>
      <c r="AB119" s="87"/>
      <c r="AC119" s="87"/>
      <c r="AD119" s="87"/>
      <c r="AE119" s="87"/>
      <c r="AF119" s="87"/>
      <c r="AG119" s="87"/>
      <c r="AH119" s="87"/>
      <c r="AI119" s="87"/>
      <c r="AJ119" s="87"/>
      <c r="AK119" s="87"/>
      <c r="AL119" s="87"/>
      <c r="AM119" s="87"/>
      <c r="AN119" s="87"/>
    </row>
    <row r="120" ht="16.5" customHeight="1">
      <c r="A120" s="87" t="s">
        <v>462</v>
      </c>
      <c r="B120" s="87" t="s">
        <v>64</v>
      </c>
      <c r="C120" s="87" t="s">
        <v>387</v>
      </c>
      <c r="D120" s="87"/>
      <c r="E120" s="87" t="s">
        <v>1105</v>
      </c>
      <c r="F120" s="79"/>
      <c r="G120" s="87"/>
      <c r="H120" s="87" t="s">
        <v>2571</v>
      </c>
      <c r="I120" s="87" t="s">
        <v>2572</v>
      </c>
      <c r="J120" s="87" t="s">
        <v>1538</v>
      </c>
      <c r="K120" s="89"/>
      <c r="L120" s="87" t="s">
        <v>2573</v>
      </c>
      <c r="M120" s="90" t="str">
        <f>HYPERLINK("http://www.fastcodesign.com/3042467/infographic-of-the-day/could-graphic-design-help-people-better-relate-to-each-other","http://www.fastcodesign.com/3042467/infographic-of-the-day/could-graphic-design-help-people-better-relate-to-each-other")</f>
        <v>http://www.fastcodesign.com/3042467/infographic-of-the-day/could-graphic-design-help-people-better-relate-to-each-other</v>
      </c>
      <c r="N120" s="87"/>
      <c r="O120" s="87" t="s">
        <v>462</v>
      </c>
      <c r="P120" s="87" t="s">
        <v>462</v>
      </c>
      <c r="Q120" s="87" t="s">
        <v>676</v>
      </c>
      <c r="R120" s="87" t="s">
        <v>677</v>
      </c>
      <c r="S120" s="87"/>
      <c r="T120" s="91"/>
      <c r="U120" s="87"/>
      <c r="V120" s="87"/>
      <c r="W120" s="87"/>
      <c r="X120" s="91"/>
      <c r="Y120" s="87"/>
      <c r="Z120" s="87"/>
      <c r="AA120" s="87"/>
      <c r="AB120" s="87"/>
      <c r="AC120" s="87"/>
      <c r="AD120" s="87"/>
      <c r="AE120" s="87"/>
      <c r="AF120" s="87"/>
      <c r="AG120" s="87"/>
      <c r="AH120" s="87"/>
      <c r="AI120" s="87"/>
      <c r="AJ120" s="87"/>
      <c r="AK120" s="87"/>
      <c r="AL120" s="87"/>
      <c r="AM120" s="87"/>
      <c r="AN120" s="87"/>
    </row>
    <row r="121" ht="16.5" customHeight="1">
      <c r="A121" s="87" t="s">
        <v>462</v>
      </c>
      <c r="B121" s="87" t="s">
        <v>64</v>
      </c>
      <c r="C121" s="87" t="s">
        <v>387</v>
      </c>
      <c r="D121" s="87"/>
      <c r="E121" s="87"/>
      <c r="F121" s="79"/>
      <c r="G121" s="87"/>
      <c r="H121" s="87" t="s">
        <v>2575</v>
      </c>
      <c r="I121" s="87" t="s">
        <v>2576</v>
      </c>
      <c r="J121" s="87" t="s">
        <v>1775</v>
      </c>
      <c r="K121" s="89">
        <v>41915.0</v>
      </c>
      <c r="L121" s="87" t="s">
        <v>1510</v>
      </c>
      <c r="M121" s="90" t="str">
        <f>HYPERLINK("http://www.huffingtonpost.com/david-kaiser/evolving-culture-of-scien_b_5929332.html","http://www.huffingtonpost.com/david-kaiser/evolving-culture-of-scien_b_5929332.html")</f>
        <v>http://www.huffingtonpost.com/david-kaiser/evolving-culture-of-scien_b_5929332.html</v>
      </c>
      <c r="N121" s="87"/>
      <c r="O121" s="87" t="s">
        <v>462</v>
      </c>
      <c r="P121" s="87" t="s">
        <v>462</v>
      </c>
      <c r="Q121" s="87" t="s">
        <v>676</v>
      </c>
      <c r="R121" s="87" t="s">
        <v>677</v>
      </c>
      <c r="S121" s="87"/>
      <c r="T121" s="91"/>
      <c r="U121" s="87"/>
      <c r="V121" s="87"/>
      <c r="W121" s="87"/>
      <c r="X121" s="91"/>
      <c r="Y121" s="87"/>
      <c r="Z121" s="87"/>
      <c r="AA121" s="87"/>
      <c r="AB121" s="87"/>
      <c r="AC121" s="87"/>
      <c r="AD121" s="87"/>
      <c r="AE121" s="87"/>
      <c r="AF121" s="87"/>
      <c r="AG121" s="87"/>
      <c r="AH121" s="87"/>
      <c r="AI121" s="87"/>
      <c r="AJ121" s="87"/>
      <c r="AK121" s="87"/>
      <c r="AL121" s="87"/>
      <c r="AM121" s="87"/>
      <c r="AN121" s="87"/>
    </row>
    <row r="122" ht="16.5" customHeight="1">
      <c r="A122" s="87" t="s">
        <v>462</v>
      </c>
      <c r="B122" s="87" t="s">
        <v>64</v>
      </c>
      <c r="C122" s="87" t="s">
        <v>387</v>
      </c>
      <c r="D122" s="87"/>
      <c r="E122" s="87"/>
      <c r="F122" s="79"/>
      <c r="G122" s="87"/>
      <c r="H122" s="92" t="s">
        <v>2582</v>
      </c>
      <c r="I122" s="87" t="s">
        <v>2583</v>
      </c>
      <c r="J122" s="87" t="s">
        <v>2584</v>
      </c>
      <c r="K122" s="89">
        <v>42325.0</v>
      </c>
      <c r="L122" s="87" t="s">
        <v>2585</v>
      </c>
      <c r="M122" s="90" t="str">
        <f>HYPERLINK("http://thinkprogress.org/climate/2015/11/17/3721693/build-a-better-environmental-movement/","http://thinkprogress.org/climate/2015/11/17/3721693/build-a-better-environmental-movement/")</f>
        <v>http://thinkprogress.org/climate/2015/11/17/3721693/build-a-better-environmental-movement/</v>
      </c>
      <c r="N122" s="87"/>
      <c r="O122" s="87"/>
      <c r="P122" s="87"/>
      <c r="Q122" s="87"/>
      <c r="R122" s="87" t="s">
        <v>428</v>
      </c>
      <c r="S122" s="87" t="s">
        <v>2588</v>
      </c>
      <c r="T122" s="91">
        <v>42656.0</v>
      </c>
      <c r="U122" s="87"/>
      <c r="V122" s="87"/>
      <c r="W122" s="87"/>
      <c r="X122" s="87"/>
      <c r="Y122" s="87"/>
      <c r="Z122" s="87"/>
      <c r="AA122" s="87"/>
      <c r="AB122" s="87"/>
      <c r="AC122" s="87"/>
      <c r="AD122" s="87" t="s">
        <v>428</v>
      </c>
      <c r="AE122" s="87"/>
      <c r="AF122" s="87"/>
      <c r="AG122" s="87"/>
      <c r="AH122" s="87"/>
      <c r="AI122" s="87"/>
      <c r="AJ122" s="87"/>
      <c r="AK122" s="87"/>
      <c r="AL122" s="87"/>
      <c r="AM122" s="87"/>
      <c r="AN122" s="87"/>
    </row>
    <row r="123" ht="16.5" customHeight="1">
      <c r="A123" s="87" t="s">
        <v>462</v>
      </c>
      <c r="B123" s="87" t="s">
        <v>64</v>
      </c>
      <c r="C123" s="87" t="s">
        <v>387</v>
      </c>
      <c r="D123" s="87"/>
      <c r="E123" s="87"/>
      <c r="F123" s="79"/>
      <c r="G123" s="87"/>
      <c r="H123" s="87" t="s">
        <v>2591</v>
      </c>
      <c r="I123" s="87" t="s">
        <v>1105</v>
      </c>
      <c r="J123" s="87" t="s">
        <v>1514</v>
      </c>
      <c r="K123" s="89">
        <v>41901.0</v>
      </c>
      <c r="L123" s="87" t="s">
        <v>2592</v>
      </c>
      <c r="M123" s="90" t="str">
        <f>HYPERLINK("http://www.therootsolutions.org/#!Dose-of-Decision-Science-Hyperbolic-Discounting/c13v2/859B6E0A-5AE8-495D-B67B-D1DAB609037C","http://www.therootsolutions.org/#!Dose-of-Decision-Science-Hyperbolic-Discounting/c13v2/859B6E0A-5AE8-495D-B67B-D1DAB609037C")</f>
        <v>http://www.therootsolutions.org/#!Dose-of-Decision-Science-Hyperbolic-Discounting/c13v2/859B6E0A-5AE8-495D-B67B-D1DAB609037C</v>
      </c>
      <c r="N123" s="87" t="s">
        <v>1519</v>
      </c>
      <c r="O123" s="87" t="s">
        <v>462</v>
      </c>
      <c r="P123" s="87" t="s">
        <v>462</v>
      </c>
      <c r="Q123" s="87" t="s">
        <v>676</v>
      </c>
      <c r="R123" s="87" t="s">
        <v>1867</v>
      </c>
      <c r="S123" s="87" t="s">
        <v>1105</v>
      </c>
      <c r="T123" s="91" t="s">
        <v>1105</v>
      </c>
      <c r="U123" s="87"/>
      <c r="V123" s="87" t="s">
        <v>769</v>
      </c>
      <c r="W123" s="87"/>
      <c r="X123" s="91">
        <v>41901.0</v>
      </c>
      <c r="Y123" s="87"/>
      <c r="Z123" s="87"/>
      <c r="AA123" s="87"/>
      <c r="AB123" s="87"/>
      <c r="AC123" s="87"/>
      <c r="AD123" s="87"/>
      <c r="AE123" s="87"/>
      <c r="AF123" s="87"/>
      <c r="AG123" s="87"/>
      <c r="AH123" s="87"/>
      <c r="AI123" s="87"/>
      <c r="AJ123" s="87"/>
      <c r="AK123" s="87"/>
      <c r="AL123" s="87"/>
      <c r="AM123" s="87"/>
      <c r="AN123" s="87"/>
    </row>
    <row r="124" ht="16.5" customHeight="1">
      <c r="A124" s="87" t="s">
        <v>462</v>
      </c>
      <c r="B124" s="87" t="s">
        <v>64</v>
      </c>
      <c r="C124" s="87" t="s">
        <v>1480</v>
      </c>
      <c r="D124" s="87"/>
      <c r="E124" s="87" t="s">
        <v>388</v>
      </c>
      <c r="F124" s="79"/>
      <c r="G124" s="87" t="s">
        <v>289</v>
      </c>
      <c r="H124" s="87" t="s">
        <v>2600</v>
      </c>
      <c r="I124" s="87" t="s">
        <v>2601</v>
      </c>
      <c r="J124" s="87" t="s">
        <v>2602</v>
      </c>
      <c r="K124" s="89">
        <v>41163.0</v>
      </c>
      <c r="L124" s="87"/>
      <c r="M124" s="90" t="str">
        <f>HYPERLINK("http://www.cbsnews.com/news/bullied-bus-monitor-receives-700k-check/","http://www.cbsnews.com/news/bullied-bus-monitor-receives-700k-check/")</f>
        <v>http://www.cbsnews.com/news/bullied-bus-monitor-receives-700k-check/</v>
      </c>
      <c r="N124" s="87"/>
      <c r="O124" s="87" t="s">
        <v>842</v>
      </c>
      <c r="P124" s="87" t="s">
        <v>462</v>
      </c>
      <c r="Q124" s="87"/>
      <c r="R124" s="87" t="s">
        <v>677</v>
      </c>
      <c r="S124" s="87"/>
      <c r="T124" s="87"/>
      <c r="U124" s="87"/>
      <c r="V124" s="87"/>
      <c r="W124" s="87"/>
      <c r="X124" s="87"/>
      <c r="Y124" s="87"/>
      <c r="Z124" s="87"/>
      <c r="AA124" s="87"/>
      <c r="AB124" s="87"/>
      <c r="AC124" s="87"/>
      <c r="AD124" s="87"/>
      <c r="AE124" s="87"/>
      <c r="AF124" s="87"/>
      <c r="AG124" s="87"/>
      <c r="AH124" s="87"/>
      <c r="AI124" s="87"/>
      <c r="AJ124" s="87"/>
      <c r="AK124" s="87"/>
      <c r="AL124" s="87"/>
      <c r="AM124" s="87"/>
      <c r="AN124" s="87"/>
    </row>
    <row r="125" ht="16.5" customHeight="1">
      <c r="A125" s="87" t="s">
        <v>462</v>
      </c>
      <c r="B125" s="87" t="s">
        <v>64</v>
      </c>
      <c r="C125" s="87" t="s">
        <v>1480</v>
      </c>
      <c r="D125" s="87"/>
      <c r="E125" s="87" t="s">
        <v>388</v>
      </c>
      <c r="F125" s="79"/>
      <c r="G125" s="87" t="s">
        <v>289</v>
      </c>
      <c r="H125" s="87" t="s">
        <v>2609</v>
      </c>
      <c r="I125" s="87" t="s">
        <v>2610</v>
      </c>
      <c r="J125" s="87" t="s">
        <v>2611</v>
      </c>
      <c r="K125" s="89">
        <v>40590.0</v>
      </c>
      <c r="L125" s="87"/>
      <c r="M125" s="90" t="str">
        <f>HYPERLINK("http://www.prnewswire.com/news-releases/new-study-only-two-percent-of-american-teens-willing-to-go-without-food-for-a-day-116302339.html","http://www.prnewswire.com/news-releases/new-study-only-two-percent-of-american-teens-willing-to-go-without-food-for-a-day-116302339.html")</f>
        <v>http://www.prnewswire.com/news-releases/new-study-only-two-percent-of-american-teens-willing-to-go-without-food-for-a-day-116302339.html</v>
      </c>
      <c r="N125" s="87"/>
      <c r="O125" s="87" t="s">
        <v>428</v>
      </c>
      <c r="P125" s="87" t="s">
        <v>462</v>
      </c>
      <c r="Q125" s="87"/>
      <c r="R125" s="87" t="s">
        <v>677</v>
      </c>
      <c r="S125" s="87"/>
      <c r="T125" s="87"/>
      <c r="U125" s="87"/>
      <c r="V125" s="87"/>
      <c r="W125" s="87"/>
      <c r="X125" s="87"/>
      <c r="Y125" s="87"/>
      <c r="Z125" s="87"/>
      <c r="AA125" s="87"/>
      <c r="AB125" s="87"/>
      <c r="AC125" s="87"/>
      <c r="AD125" s="87"/>
      <c r="AE125" s="87"/>
      <c r="AF125" s="87"/>
      <c r="AG125" s="87"/>
      <c r="AH125" s="87"/>
      <c r="AI125" s="87"/>
      <c r="AJ125" s="87"/>
      <c r="AK125" s="87"/>
      <c r="AL125" s="87"/>
      <c r="AM125" s="87"/>
      <c r="AN125" s="87"/>
    </row>
    <row r="126" ht="16.5" customHeight="1">
      <c r="A126" s="87" t="s">
        <v>462</v>
      </c>
      <c r="B126" s="87" t="s">
        <v>64</v>
      </c>
      <c r="C126" s="87" t="s">
        <v>1480</v>
      </c>
      <c r="D126" s="87"/>
      <c r="E126" s="87"/>
      <c r="F126" s="79"/>
      <c r="G126" s="87"/>
      <c r="H126" s="87" t="s">
        <v>2620</v>
      </c>
      <c r="I126" s="87" t="s">
        <v>2621</v>
      </c>
      <c r="J126" s="87" t="s">
        <v>2622</v>
      </c>
      <c r="K126" s="89">
        <v>41199.0</v>
      </c>
      <c r="L126" s="87" t="s">
        <v>2623</v>
      </c>
      <c r="M126" s="90" t="str">
        <f>HYPERLINK("http://www.dailymail.co.uk/news/article-2218731/Jessica-Morales-Famous-toddler-rescued-1987-married-children.html","http://www.dailymail.co.uk/news/article-2218731/Jessica-Morales-Famous-toddler-rescued-1987-married-children.html")</f>
        <v>http://www.dailymail.co.uk/news/article-2218731/Jessica-Morales-Famous-toddler-rescued-1987-married-children.html</v>
      </c>
      <c r="N126" s="87"/>
      <c r="O126" s="87" t="s">
        <v>462</v>
      </c>
      <c r="P126" s="87" t="s">
        <v>428</v>
      </c>
      <c r="Q126" s="87"/>
      <c r="R126" s="87" t="s">
        <v>677</v>
      </c>
      <c r="S126" s="87"/>
      <c r="T126" s="87"/>
      <c r="U126" s="87"/>
      <c r="V126" s="87"/>
      <c r="W126" s="87"/>
      <c r="X126" s="87"/>
      <c r="Y126" s="87"/>
      <c r="Z126" s="87"/>
      <c r="AA126" s="87"/>
      <c r="AB126" s="87"/>
      <c r="AC126" s="87"/>
      <c r="AD126" s="87"/>
      <c r="AE126" s="87"/>
      <c r="AF126" s="87"/>
      <c r="AG126" s="87"/>
      <c r="AH126" s="87"/>
      <c r="AI126" s="87"/>
      <c r="AJ126" s="87"/>
      <c r="AK126" s="87"/>
      <c r="AL126" s="87"/>
      <c r="AM126" s="87"/>
      <c r="AN126" s="87"/>
    </row>
    <row r="127" ht="16.5" customHeight="1">
      <c r="A127" s="87" t="s">
        <v>462</v>
      </c>
      <c r="B127" s="87" t="s">
        <v>64</v>
      </c>
      <c r="C127" s="87" t="s">
        <v>1480</v>
      </c>
      <c r="D127" s="87"/>
      <c r="E127" s="87"/>
      <c r="F127" s="79"/>
      <c r="G127" s="87"/>
      <c r="H127" s="87" t="s">
        <v>2627</v>
      </c>
      <c r="I127" s="87" t="s">
        <v>2628</v>
      </c>
      <c r="J127" s="87" t="s">
        <v>2629</v>
      </c>
      <c r="K127" s="89">
        <v>40627.0</v>
      </c>
      <c r="L127" s="87" t="s">
        <v>2623</v>
      </c>
      <c r="M127" s="90" t="str">
        <f>HYPERLINK("http://web.archive.org/web/20110326215656/http:/www.comcast.net/articles/news-national/20110325/US.Baby.Jessica","http://web.archive.org/web/20110326215656/http:/www.comcast.net/articles/news-national/20110325/US.Baby.Jessica")</f>
        <v>http://web.archive.org/web/20110326215656/http:/www.comcast.net/articles/news-national/20110325/US.Baby.Jessica</v>
      </c>
      <c r="N127" s="87"/>
      <c r="O127" s="87" t="s">
        <v>462</v>
      </c>
      <c r="P127" s="87" t="s">
        <v>428</v>
      </c>
      <c r="Q127" s="87"/>
      <c r="R127" s="87" t="s">
        <v>677</v>
      </c>
      <c r="S127" s="87"/>
      <c r="T127" s="87"/>
      <c r="U127" s="87"/>
      <c r="V127" s="87"/>
      <c r="W127" s="87"/>
      <c r="X127" s="87"/>
      <c r="Y127" s="87"/>
      <c r="Z127" s="87"/>
      <c r="AA127" s="87"/>
      <c r="AB127" s="87"/>
      <c r="AC127" s="87"/>
      <c r="AD127" s="87"/>
      <c r="AE127" s="87"/>
      <c r="AF127" s="87"/>
      <c r="AG127" s="87"/>
      <c r="AH127" s="87"/>
      <c r="AI127" s="87"/>
      <c r="AJ127" s="87"/>
      <c r="AK127" s="87"/>
      <c r="AL127" s="87"/>
      <c r="AM127" s="87"/>
      <c r="AN127" s="87"/>
    </row>
    <row r="128" ht="16.5" customHeight="1">
      <c r="A128" s="87" t="s">
        <v>462</v>
      </c>
      <c r="B128" s="87" t="s">
        <v>64</v>
      </c>
      <c r="C128" s="87" t="s">
        <v>1480</v>
      </c>
      <c r="D128" s="87"/>
      <c r="E128" s="87"/>
      <c r="F128" s="79"/>
      <c r="G128" s="87"/>
      <c r="H128" s="87" t="s">
        <v>2636</v>
      </c>
      <c r="I128" s="87" t="s">
        <v>2637</v>
      </c>
      <c r="J128" s="87" t="s">
        <v>2638</v>
      </c>
      <c r="K128" s="89">
        <v>41912.0</v>
      </c>
      <c r="L128" s="87"/>
      <c r="M128" s="90" t="str">
        <f>HYPERLINK("http://www.mobilisationlab.org/beyond-clicks-what-type-of-changemaker-are-you/","http://www.mobilisationlab.org/beyond-clicks-what-type-of-changemaker-are-you/")</f>
        <v>http://www.mobilisationlab.org/beyond-clicks-what-type-of-changemaker-are-you/</v>
      </c>
      <c r="N128" s="87"/>
      <c r="O128" s="87" t="s">
        <v>462</v>
      </c>
      <c r="P128" s="87" t="s">
        <v>462</v>
      </c>
      <c r="Q128" s="87"/>
      <c r="R128" s="87" t="s">
        <v>677</v>
      </c>
      <c r="S128" s="87" t="s">
        <v>1105</v>
      </c>
      <c r="T128" s="87" t="s">
        <v>1105</v>
      </c>
      <c r="U128" s="87"/>
      <c r="V128" s="87" t="s">
        <v>769</v>
      </c>
      <c r="W128" s="87"/>
      <c r="X128" s="91">
        <v>41914.0</v>
      </c>
      <c r="Y128" s="87"/>
      <c r="Z128" s="87"/>
      <c r="AA128" s="87"/>
      <c r="AB128" s="87"/>
      <c r="AC128" s="87"/>
      <c r="AD128" s="87"/>
      <c r="AE128" s="87"/>
      <c r="AF128" s="87"/>
      <c r="AG128" s="87"/>
      <c r="AH128" s="87"/>
      <c r="AI128" s="87"/>
      <c r="AJ128" s="87"/>
      <c r="AK128" s="87"/>
      <c r="AL128" s="87"/>
      <c r="AM128" s="87"/>
      <c r="AN128" s="87"/>
    </row>
    <row r="129" ht="16.5" customHeight="1">
      <c r="A129" s="87" t="s">
        <v>462</v>
      </c>
      <c r="B129" s="87" t="s">
        <v>64</v>
      </c>
      <c r="C129" s="87" t="s">
        <v>1480</v>
      </c>
      <c r="D129" s="87"/>
      <c r="E129" s="87"/>
      <c r="F129" s="79"/>
      <c r="G129" s="87"/>
      <c r="H129" s="87" t="s">
        <v>2644</v>
      </c>
      <c r="I129" s="87" t="s">
        <v>2645</v>
      </c>
      <c r="J129" s="87" t="s">
        <v>1775</v>
      </c>
      <c r="K129" s="89">
        <v>41904.0</v>
      </c>
      <c r="L129" s="87"/>
      <c r="M129" s="90" t="str">
        <f>HYPERLINK("http://www.huffingtonpost.com/carly-ledbetter/climate-change-march-peoples-climate_b_5861738.html?&amp;ncid=tweetlnkushpmg00000048","http://www.huffingtonpost.com/carly-ledbetter/climate-change-march-peoples-climate_b_5861738.html?&amp;ncid=tweetlnkushpmg00000048")</f>
        <v>http://www.huffingtonpost.com/carly-ledbetter/climate-change-march-peoples-climate_b_5861738.html?&amp;ncid=tweetlnkushpmg00000048</v>
      </c>
      <c r="N129" s="87"/>
      <c r="O129" s="87" t="s">
        <v>462</v>
      </c>
      <c r="P129" s="87" t="s">
        <v>462</v>
      </c>
      <c r="Q129" s="87" t="s">
        <v>676</v>
      </c>
      <c r="R129" s="87" t="s">
        <v>769</v>
      </c>
      <c r="S129" s="87" t="s">
        <v>2649</v>
      </c>
      <c r="T129" s="91">
        <v>42187.0</v>
      </c>
      <c r="U129" s="91">
        <v>42516.0</v>
      </c>
      <c r="V129" s="87" t="s">
        <v>769</v>
      </c>
      <c r="W129" s="87"/>
      <c r="X129" s="91">
        <v>42466.0</v>
      </c>
      <c r="Y129" s="87"/>
      <c r="Z129" s="87"/>
      <c r="AA129" s="87"/>
      <c r="AB129" s="87"/>
      <c r="AC129" s="87"/>
      <c r="AD129" s="87"/>
      <c r="AE129" s="87"/>
      <c r="AF129" s="87"/>
      <c r="AG129" s="87"/>
      <c r="AH129" s="87"/>
      <c r="AI129" s="87"/>
      <c r="AJ129" s="87"/>
      <c r="AK129" s="87"/>
      <c r="AL129" s="87"/>
      <c r="AM129" s="87"/>
      <c r="AN129" s="87"/>
    </row>
    <row r="130" ht="16.5" customHeight="1">
      <c r="A130" s="87" t="s">
        <v>462</v>
      </c>
      <c r="B130" s="87" t="s">
        <v>64</v>
      </c>
      <c r="C130" s="87" t="s">
        <v>1480</v>
      </c>
      <c r="D130" s="87"/>
      <c r="E130" s="87"/>
      <c r="F130" s="79"/>
      <c r="G130" s="87"/>
      <c r="H130" s="87" t="s">
        <v>2651</v>
      </c>
      <c r="I130" s="87" t="s">
        <v>2652</v>
      </c>
      <c r="J130" s="87" t="s">
        <v>2653</v>
      </c>
      <c r="K130" s="89">
        <v>32067.0</v>
      </c>
      <c r="L130" s="87" t="s">
        <v>2655</v>
      </c>
      <c r="M130" s="90" t="str">
        <f>HYPERLINK("http://articles.latimes.com/1987-10-17/news/mn-3702_1_jessica-mcclure","http://articles.latimes.com/1987-10-17/news/mn-3702_1_jessica-mcclure")</f>
        <v>http://articles.latimes.com/1987-10-17/news/mn-3702_1_jessica-mcclure</v>
      </c>
      <c r="N130" s="87"/>
      <c r="O130" s="87" t="s">
        <v>462</v>
      </c>
      <c r="P130" s="87" t="s">
        <v>428</v>
      </c>
      <c r="Q130" s="87"/>
      <c r="R130" s="87" t="s">
        <v>677</v>
      </c>
      <c r="S130" s="87"/>
      <c r="T130" s="87"/>
      <c r="U130" s="87"/>
      <c r="V130" s="87"/>
      <c r="W130" s="87"/>
      <c r="X130" s="87"/>
      <c r="Y130" s="87"/>
      <c r="Z130" s="87"/>
      <c r="AA130" s="87"/>
      <c r="AB130" s="87"/>
      <c r="AC130" s="87"/>
      <c r="AD130" s="87"/>
      <c r="AE130" s="87"/>
      <c r="AF130" s="87"/>
      <c r="AG130" s="87"/>
      <c r="AH130" s="87"/>
      <c r="AI130" s="87"/>
      <c r="AJ130" s="87"/>
      <c r="AK130" s="87"/>
      <c r="AL130" s="87"/>
      <c r="AM130" s="87"/>
      <c r="AN130" s="87"/>
    </row>
    <row r="131" ht="16.5" customHeight="1">
      <c r="A131" s="87" t="s">
        <v>462</v>
      </c>
      <c r="B131" s="87" t="s">
        <v>64</v>
      </c>
      <c r="C131" s="87" t="s">
        <v>772</v>
      </c>
      <c r="D131" s="87"/>
      <c r="E131" s="87"/>
      <c r="F131" s="79"/>
      <c r="G131" s="87"/>
      <c r="H131" s="92" t="s">
        <v>2662</v>
      </c>
      <c r="I131" s="87" t="s">
        <v>2663</v>
      </c>
      <c r="J131" s="87" t="s">
        <v>2665</v>
      </c>
      <c r="K131" s="89">
        <v>42392.0</v>
      </c>
      <c r="L131" s="87" t="s">
        <v>2667</v>
      </c>
      <c r="M131" s="90" t="str">
        <f>HYPERLINK("http://economicspsychologypolicy.blogspot.com/2016/01/david-hume-on-present-bias.html?utm_medium=twitter","http://economicspsychologypolicy.blogspot.com/2016/01/david-hume-on-present-bias.html?utm_medium=twitter")</f>
        <v>http://economicspsychologypolicy.blogspot.com/2016/01/david-hume-on-present-bias.html?utm_medium=twitter</v>
      </c>
      <c r="N131" s="87"/>
      <c r="O131" s="87"/>
      <c r="P131" s="87"/>
      <c r="Q131" s="87"/>
      <c r="R131" s="87" t="s">
        <v>677</v>
      </c>
      <c r="S131" s="87"/>
      <c r="T131" s="87"/>
      <c r="U131" s="87"/>
      <c r="V131" s="87"/>
      <c r="W131" s="87"/>
      <c r="X131" s="87"/>
      <c r="Y131" s="87"/>
      <c r="Z131" s="87"/>
      <c r="AA131" s="87"/>
      <c r="AB131" s="87"/>
      <c r="AC131" s="87"/>
      <c r="AD131" s="87" t="s">
        <v>428</v>
      </c>
      <c r="AE131" s="87"/>
      <c r="AF131" s="87"/>
      <c r="AG131" s="87"/>
      <c r="AH131" s="87"/>
      <c r="AI131" s="87"/>
      <c r="AJ131" s="87"/>
      <c r="AK131" s="87"/>
      <c r="AL131" s="87"/>
      <c r="AM131" s="87"/>
      <c r="AN131" s="87"/>
    </row>
    <row r="132" ht="16.5" customHeight="1">
      <c r="A132" s="87" t="s">
        <v>462</v>
      </c>
      <c r="B132" s="87" t="s">
        <v>64</v>
      </c>
      <c r="C132" s="87" t="s">
        <v>772</v>
      </c>
      <c r="D132" s="87"/>
      <c r="E132" s="87"/>
      <c r="F132" s="79"/>
      <c r="G132" s="87"/>
      <c r="H132" s="92" t="s">
        <v>2676</v>
      </c>
      <c r="I132" s="87" t="s">
        <v>2677</v>
      </c>
      <c r="J132" s="87" t="s">
        <v>1336</v>
      </c>
      <c r="K132" s="89">
        <v>42277.0</v>
      </c>
      <c r="L132" s="87" t="s">
        <v>2679</v>
      </c>
      <c r="M132" s="90" t="str">
        <f>HYPERLINK("http://climatecommunication.yale.edu/publications/do-americans-understand-that-global-warming-is-harmful-to-human-health/","http://climatecommunication.yale.edu/publications/do-americans-understand-that-global-warming-is-harmful-to-human-health/")</f>
        <v>http://climatecommunication.yale.edu/publications/do-americans-understand-that-global-warming-is-harmful-to-human-health/</v>
      </c>
      <c r="N132" s="87"/>
      <c r="O132" s="87"/>
      <c r="P132" s="87"/>
      <c r="Q132" s="87"/>
      <c r="R132" s="87" t="s">
        <v>769</v>
      </c>
      <c r="S132" s="87" t="s">
        <v>2688</v>
      </c>
      <c r="T132" s="91">
        <v>42646.0</v>
      </c>
      <c r="U132" s="87"/>
      <c r="V132" s="87"/>
      <c r="W132" s="87"/>
      <c r="X132" s="87"/>
      <c r="Y132" s="87"/>
      <c r="Z132" s="87"/>
      <c r="AA132" s="87"/>
      <c r="AB132" s="87"/>
      <c r="AC132" s="87"/>
      <c r="AD132" s="87" t="s">
        <v>428</v>
      </c>
      <c r="AE132" s="87"/>
      <c r="AF132" s="87"/>
      <c r="AG132" s="87"/>
      <c r="AH132" s="87"/>
      <c r="AI132" s="87"/>
      <c r="AJ132" s="87"/>
      <c r="AK132" s="87"/>
      <c r="AL132" s="87"/>
      <c r="AM132" s="87"/>
      <c r="AN132" s="87"/>
    </row>
    <row r="133" ht="16.5" customHeight="1">
      <c r="A133" s="87" t="s">
        <v>462</v>
      </c>
      <c r="B133" s="87" t="s">
        <v>64</v>
      </c>
      <c r="C133" s="87" t="s">
        <v>772</v>
      </c>
      <c r="D133" s="87"/>
      <c r="E133" s="87"/>
      <c r="F133" s="79"/>
      <c r="G133" s="87"/>
      <c r="H133" s="87" t="s">
        <v>2689</v>
      </c>
      <c r="I133" s="87" t="s">
        <v>2690</v>
      </c>
      <c r="J133" s="87" t="s">
        <v>1281</v>
      </c>
      <c r="K133" s="89">
        <v>2015.0</v>
      </c>
      <c r="L133" s="87" t="s">
        <v>2691</v>
      </c>
      <c r="M133" s="90" t="str">
        <f>HYPERLINK("http://www.theguardian.com/sustainable-business/2015/feb/09/corporate-ngo-campaign-environment-climate-change","http://www.theguardian.com/sustainable-business/2015/feb/09/corporate-ngo-campaign-environment-climate-change")</f>
        <v>http://www.theguardian.com/sustainable-business/2015/feb/09/corporate-ngo-campaign-environment-climate-change</v>
      </c>
      <c r="N133" s="87" t="s">
        <v>2700</v>
      </c>
      <c r="O133" s="87" t="s">
        <v>462</v>
      </c>
      <c r="P133" s="87" t="s">
        <v>462</v>
      </c>
      <c r="Q133" s="87" t="s">
        <v>676</v>
      </c>
      <c r="R133" s="87" t="s">
        <v>769</v>
      </c>
      <c r="S133" s="87"/>
      <c r="T133" s="91"/>
      <c r="U133" s="87"/>
      <c r="V133" s="87"/>
      <c r="W133" s="87"/>
      <c r="X133" s="91"/>
      <c r="Y133" s="87"/>
      <c r="Z133" s="91"/>
      <c r="AA133" s="87"/>
      <c r="AB133" s="87"/>
      <c r="AC133" s="87"/>
      <c r="AD133" s="87" t="s">
        <v>428</v>
      </c>
      <c r="AE133" s="87"/>
      <c r="AF133" s="87"/>
      <c r="AG133" s="87"/>
      <c r="AH133" s="87"/>
      <c r="AI133" s="87"/>
      <c r="AJ133" s="87"/>
      <c r="AK133" s="87"/>
      <c r="AL133" s="87"/>
      <c r="AM133" s="87"/>
      <c r="AN133" s="87"/>
    </row>
    <row r="134" ht="16.5" customHeight="1">
      <c r="A134" s="87" t="s">
        <v>462</v>
      </c>
      <c r="B134" s="87"/>
      <c r="C134" s="87"/>
      <c r="D134" s="87"/>
      <c r="E134" s="87" t="s">
        <v>267</v>
      </c>
      <c r="F134" s="79"/>
      <c r="G134" s="87"/>
      <c r="H134" s="87" t="s">
        <v>2704</v>
      </c>
      <c r="I134" s="87" t="s">
        <v>2705</v>
      </c>
      <c r="J134" s="87" t="s">
        <v>1430</v>
      </c>
      <c r="K134" s="89">
        <v>42019.0</v>
      </c>
      <c r="L134" s="87" t="s">
        <v>2706</v>
      </c>
      <c r="M134" s="90" t="str">
        <f>HYPERLINK("http://www.npr.org/blogs/ed/2015/01/15/376966406/a-new-study-reveals-much-about-how-parents-really-choose-schools?utm_source=facebook.com&amp;utm_medium=social&amp;utm_campaign=npr&amp;utm_term=nprnews&amp;utm_content=20150115","http://www.npr.org/blogs/ed/2015/01/15/376966406/a-new-study-reveals-much-about-how-parents-really-choose-schools?utm_source=facebook.com&amp;utm_medium=social&amp;utm_campaign=npr&amp;utm_term=nprnews&amp;utm_content=20150115")</f>
        <v>http://www.npr.org/blogs/ed/2015/01/15/376966406/a-new-study-reveals-much-about-how-parents-really-choose-schools?utm_source=facebook.com&amp;utm_medium=social&amp;utm_campaign=npr&amp;utm_term=nprnews&amp;utm_content=20150115</v>
      </c>
      <c r="N134" s="87"/>
      <c r="O134" s="87" t="s">
        <v>462</v>
      </c>
      <c r="P134" s="87" t="s">
        <v>462</v>
      </c>
      <c r="Q134" s="87" t="s">
        <v>676</v>
      </c>
      <c r="R134" s="87" t="s">
        <v>677</v>
      </c>
      <c r="S134" s="87"/>
      <c r="T134" s="91"/>
      <c r="U134" s="87"/>
      <c r="V134" s="87"/>
      <c r="W134" s="87"/>
      <c r="X134" s="91"/>
      <c r="Y134" s="87"/>
      <c r="Z134" s="87"/>
      <c r="AA134" s="87"/>
      <c r="AB134" s="87"/>
      <c r="AC134" s="87"/>
      <c r="AD134" s="87"/>
      <c r="AE134" s="87"/>
      <c r="AF134" s="87"/>
      <c r="AG134" s="87"/>
      <c r="AH134" s="87"/>
      <c r="AI134" s="87"/>
      <c r="AJ134" s="87"/>
      <c r="AK134" s="87"/>
      <c r="AL134" s="87"/>
      <c r="AM134" s="87"/>
      <c r="AN134" s="87"/>
    </row>
    <row r="135" ht="16.5" customHeight="1">
      <c r="A135" s="87" t="s">
        <v>462</v>
      </c>
      <c r="B135" s="87"/>
      <c r="C135" s="87"/>
      <c r="D135" s="87"/>
      <c r="E135" s="87"/>
      <c r="F135" s="79"/>
      <c r="G135" s="87"/>
      <c r="H135" s="87" t="s">
        <v>2711</v>
      </c>
      <c r="I135" s="87" t="s">
        <v>2712</v>
      </c>
      <c r="J135" s="87" t="s">
        <v>2713</v>
      </c>
      <c r="K135" s="89">
        <v>42185.0</v>
      </c>
      <c r="L135" s="87"/>
      <c r="M135" s="90" t="str">
        <f>HYPERLINK("http://www.salon.com/2015/06/30/those_4th_of_july_fireworks_spectaculars_are_causing_huge_spikes_in_dangerous_air_pollution/","http://www.salon.com/2015/06/30/those_4th_of_july_fireworks_spectaculars_are_causing_huge_spikes_in_dangerous_air_pollution/")</f>
        <v>http://www.salon.com/2015/06/30/those_4th_of_july_fireworks_spectaculars_are_causing_huge_spikes_in_dangerous_air_pollution/</v>
      </c>
      <c r="N135" s="87" t="s">
        <v>2717</v>
      </c>
      <c r="O135" s="87" t="s">
        <v>462</v>
      </c>
      <c r="P135" s="87" t="s">
        <v>462</v>
      </c>
      <c r="Q135" s="87"/>
      <c r="R135" s="87" t="s">
        <v>677</v>
      </c>
      <c r="S135" s="87"/>
      <c r="T135" s="91"/>
      <c r="U135" s="87"/>
      <c r="V135" s="87" t="s">
        <v>769</v>
      </c>
      <c r="W135" s="87"/>
      <c r="X135" s="91">
        <v>42189.0</v>
      </c>
      <c r="Y135" s="87"/>
      <c r="Z135" s="87"/>
      <c r="AA135" s="87"/>
      <c r="AB135" s="87"/>
      <c r="AC135" s="87"/>
      <c r="AD135" s="87"/>
      <c r="AE135" s="87"/>
      <c r="AF135" s="87"/>
      <c r="AG135" s="87"/>
      <c r="AH135" s="87"/>
      <c r="AI135" s="87"/>
      <c r="AJ135" s="87"/>
      <c r="AK135" s="87"/>
      <c r="AL135" s="87"/>
      <c r="AM135" s="87"/>
      <c r="AN135" s="87"/>
    </row>
    <row r="136" ht="16.5" customHeight="1">
      <c r="A136" s="87" t="s">
        <v>462</v>
      </c>
      <c r="B136" s="87"/>
      <c r="C136" s="87"/>
      <c r="D136" s="87"/>
      <c r="E136" s="87"/>
      <c r="F136" s="79"/>
      <c r="G136" s="87"/>
      <c r="H136" s="87" t="s">
        <v>2718</v>
      </c>
      <c r="I136" s="87" t="s">
        <v>2719</v>
      </c>
      <c r="J136" s="87" t="s">
        <v>2720</v>
      </c>
      <c r="K136" s="89">
        <v>42179.0</v>
      </c>
      <c r="L136" s="87"/>
      <c r="M136" s="90" t="str">
        <f>HYPERLINK("http://thinkprogress.org/climate/2015/06/23/3672836/lancet-report-health-air-pollution/","http://thinkprogress.org/climate/2015/06/23/3672836/lancet-report-health-air-pollution/")</f>
        <v>http://thinkprogress.org/climate/2015/06/23/3672836/lancet-report-health-air-pollution/</v>
      </c>
      <c r="N136" s="87"/>
      <c r="O136" s="87" t="s">
        <v>462</v>
      </c>
      <c r="P136" s="87" t="s">
        <v>462</v>
      </c>
      <c r="Q136" s="87"/>
      <c r="R136" s="87" t="s">
        <v>769</v>
      </c>
      <c r="S136" s="87" t="s">
        <v>2728</v>
      </c>
      <c r="T136" s="91">
        <v>42485.0</v>
      </c>
      <c r="U136" s="87"/>
      <c r="V136" s="87" t="s">
        <v>769</v>
      </c>
      <c r="W136" s="87"/>
      <c r="X136" s="91">
        <v>42214.0</v>
      </c>
      <c r="Y136" s="87"/>
      <c r="Z136" s="87"/>
      <c r="AA136" s="87"/>
      <c r="AB136" s="87"/>
      <c r="AC136" s="87"/>
      <c r="AD136" s="87"/>
      <c r="AE136" s="87"/>
      <c r="AF136" s="87"/>
      <c r="AG136" s="87"/>
      <c r="AH136" s="87"/>
      <c r="AI136" s="87"/>
      <c r="AJ136" s="87"/>
      <c r="AK136" s="87"/>
      <c r="AL136" s="87"/>
      <c r="AM136" s="87"/>
      <c r="AN136" s="87"/>
    </row>
    <row r="137" ht="16.5" customHeight="1">
      <c r="A137" s="87" t="s">
        <v>462</v>
      </c>
      <c r="B137" s="87"/>
      <c r="C137" s="87"/>
      <c r="D137" s="87"/>
      <c r="E137" s="87"/>
      <c r="F137" s="79"/>
      <c r="G137" s="87"/>
      <c r="H137" s="92"/>
      <c r="I137" s="87" t="s">
        <v>2731</v>
      </c>
      <c r="J137" s="87" t="s">
        <v>2732</v>
      </c>
      <c r="K137" s="89"/>
      <c r="L137" s="87"/>
      <c r="M137" s="90" t="str">
        <f>HYPERLINK("https://www.theguardian.com/world/2016/jun/20/chinas-meat-consumption-climate-change?CMP=share_btn_fb","https://www.theguardian.com/world/2016/jun/20/chinas-meat-consumption-climate-change?CMP=share_btn_fb")</f>
        <v>https://www.theguardian.com/world/2016/jun/20/chinas-meat-consumption-climate-change?CMP=share_btn_fb</v>
      </c>
      <c r="N137" s="87"/>
      <c r="O137" s="87"/>
      <c r="P137" s="87"/>
      <c r="Q137" s="87"/>
      <c r="R137" s="87"/>
      <c r="S137" s="87"/>
      <c r="T137" s="87"/>
      <c r="U137" s="87"/>
      <c r="V137" s="87"/>
      <c r="W137" s="87"/>
      <c r="X137" s="87"/>
      <c r="Y137" s="87"/>
      <c r="Z137" s="87"/>
      <c r="AA137" s="87"/>
      <c r="AB137" s="87"/>
      <c r="AC137" s="87"/>
      <c r="AD137" s="87"/>
      <c r="AE137" s="87"/>
      <c r="AF137" s="87"/>
      <c r="AG137" s="87"/>
      <c r="AH137" s="87"/>
      <c r="AI137" s="87"/>
      <c r="AJ137" s="87"/>
      <c r="AK137" s="87"/>
      <c r="AL137" s="87"/>
      <c r="AM137" s="87"/>
      <c r="AN137" s="87"/>
    </row>
    <row r="138" ht="27.75" customHeight="1">
      <c r="A138" s="109" t="s">
        <v>462</v>
      </c>
      <c r="B138" s="109" t="s">
        <v>1255</v>
      </c>
      <c r="C138" s="109" t="s">
        <v>574</v>
      </c>
      <c r="D138" s="109"/>
      <c r="E138" s="109" t="s">
        <v>644</v>
      </c>
      <c r="F138" s="109"/>
      <c r="G138" s="109" t="s">
        <v>111</v>
      </c>
      <c r="H138" s="109" t="s">
        <v>2745</v>
      </c>
      <c r="I138" s="109" t="s">
        <v>2746</v>
      </c>
      <c r="J138" s="109" t="s">
        <v>2724</v>
      </c>
      <c r="K138" s="110">
        <v>42184.0</v>
      </c>
      <c r="L138" s="109" t="s">
        <v>2750</v>
      </c>
      <c r="M138" s="111" t="str">
        <f>HYPERLINK("http://talkingclimate.org/i-say-climate-change/","http://talkingclimate.org/i-say-climate-change/")</f>
        <v>http://talkingclimate.org/i-say-climate-change/</v>
      </c>
      <c r="N138" s="109"/>
      <c r="O138" s="109" t="s">
        <v>462</v>
      </c>
      <c r="P138" s="109" t="s">
        <v>462</v>
      </c>
      <c r="Q138" s="109"/>
      <c r="R138" s="109" t="s">
        <v>769</v>
      </c>
      <c r="S138" s="109" t="s">
        <v>2757</v>
      </c>
      <c r="T138" s="112">
        <v>42212.0</v>
      </c>
      <c r="U138" s="112">
        <v>42578.0</v>
      </c>
      <c r="V138" s="109" t="s">
        <v>769</v>
      </c>
      <c r="W138" s="109"/>
      <c r="X138" s="112">
        <v>42230.0</v>
      </c>
      <c r="Y138" s="109"/>
      <c r="Z138" s="112"/>
      <c r="AA138" s="109"/>
      <c r="AB138" s="109"/>
      <c r="AC138" s="109"/>
      <c r="AD138" s="109"/>
      <c r="AE138" s="109"/>
      <c r="AF138" s="109"/>
      <c r="AG138" s="109"/>
      <c r="AH138" s="109"/>
      <c r="AI138" s="109"/>
      <c r="AJ138" s="109"/>
      <c r="AK138" s="109"/>
      <c r="AL138" s="109"/>
      <c r="AM138" s="109"/>
      <c r="AN138" s="109"/>
    </row>
    <row r="139" ht="27.75" customHeight="1">
      <c r="A139" s="87" t="s">
        <v>462</v>
      </c>
      <c r="B139" s="87" t="s">
        <v>173</v>
      </c>
      <c r="C139" s="87" t="s">
        <v>421</v>
      </c>
      <c r="D139" s="87"/>
      <c r="E139" s="87" t="s">
        <v>837</v>
      </c>
      <c r="F139" s="79"/>
      <c r="G139" s="87" t="s">
        <v>289</v>
      </c>
      <c r="H139" s="87" t="s">
        <v>2763</v>
      </c>
      <c r="I139" s="87" t="s">
        <v>2764</v>
      </c>
      <c r="J139" s="87" t="s">
        <v>2765</v>
      </c>
      <c r="K139" s="89">
        <v>42009.0</v>
      </c>
      <c r="L139" s="87"/>
      <c r="M139" s="90" t="str">
        <f>HYPERLINK("http://www.resilience.org/stories/2015-01-05/review-don-t-even-think-about-it-by-george-marshall","http://www.resilience.org/stories/2015-01-05/review-don-t-even-think-about-it-by-george-marshall")</f>
        <v>http://www.resilience.org/stories/2015-01-05/review-don-t-even-think-about-it-by-george-marshall</v>
      </c>
      <c r="N139" s="87"/>
      <c r="O139" s="87" t="s">
        <v>462</v>
      </c>
      <c r="P139" s="87" t="s">
        <v>462</v>
      </c>
      <c r="Q139" s="87" t="s">
        <v>676</v>
      </c>
      <c r="R139" s="87" t="s">
        <v>600</v>
      </c>
      <c r="S139" s="87"/>
      <c r="T139" s="91"/>
      <c r="U139" s="87"/>
      <c r="V139" s="87"/>
      <c r="W139" s="87"/>
      <c r="X139" s="91"/>
      <c r="Y139" s="87"/>
      <c r="Z139" s="87"/>
      <c r="AA139" s="87"/>
      <c r="AB139" s="87"/>
      <c r="AC139" s="87"/>
      <c r="AD139" s="87"/>
      <c r="AE139" s="87"/>
      <c r="AF139" s="87"/>
      <c r="AG139" s="87"/>
      <c r="AH139" s="87"/>
      <c r="AI139" s="87"/>
      <c r="AJ139" s="87"/>
      <c r="AK139" s="87"/>
      <c r="AL139" s="87"/>
      <c r="AM139" s="87"/>
      <c r="AN139" s="87"/>
    </row>
    <row r="140" ht="24.75" customHeight="1">
      <c r="A140" s="113" t="s">
        <v>462</v>
      </c>
      <c r="B140" s="113" t="s">
        <v>64</v>
      </c>
      <c r="C140" s="113" t="s">
        <v>429</v>
      </c>
      <c r="D140" s="113" t="s">
        <v>378</v>
      </c>
      <c r="E140" s="113" t="s">
        <v>1138</v>
      </c>
      <c r="F140" s="113"/>
      <c r="G140" s="113" t="s">
        <v>431</v>
      </c>
      <c r="H140" s="113" t="s">
        <v>2777</v>
      </c>
      <c r="I140" s="113" t="s">
        <v>1140</v>
      </c>
      <c r="J140" s="113" t="s">
        <v>2779</v>
      </c>
      <c r="K140" s="114"/>
      <c r="L140" s="113"/>
      <c r="M140" s="115" t="str">
        <f>HYPERLINK("http://www.dailycamera.com/news/boulder/ci_28320818/right-sizing-debate-hits-boulder-council","http://www.dailycamera.com/news/boulder/ci_28320818/right-sizing-debate-hits-boulder-council.")</f>
        <v>http://www.dailycamera.com/news/boulder/ci_28320818/right-sizing-debate-hits-boulder-council.</v>
      </c>
      <c r="N140" s="113"/>
      <c r="O140" s="113"/>
      <c r="P140" s="113"/>
      <c r="Q140" s="113"/>
      <c r="R140" s="113"/>
      <c r="S140" s="116"/>
      <c r="T140" s="113"/>
      <c r="U140" s="113"/>
      <c r="V140" s="113"/>
      <c r="W140" s="113"/>
      <c r="X140" s="113"/>
      <c r="Y140" s="113"/>
      <c r="Z140" s="113"/>
      <c r="AA140" s="113"/>
      <c r="AB140" s="113"/>
      <c r="AC140" s="113"/>
      <c r="AD140" s="113"/>
      <c r="AE140" s="113"/>
      <c r="AF140" s="113"/>
      <c r="AG140" s="113"/>
      <c r="AH140" s="113"/>
      <c r="AI140" s="113"/>
      <c r="AJ140" s="113"/>
      <c r="AK140" s="113"/>
      <c r="AL140" s="113"/>
      <c r="AM140" s="113"/>
      <c r="AN140" s="113"/>
    </row>
    <row r="141" ht="24.75" customHeight="1">
      <c r="A141" s="113" t="s">
        <v>462</v>
      </c>
      <c r="B141" s="113" t="s">
        <v>173</v>
      </c>
      <c r="C141" s="113" t="s">
        <v>490</v>
      </c>
      <c r="D141" s="113" t="s">
        <v>491</v>
      </c>
      <c r="E141" s="113" t="s">
        <v>388</v>
      </c>
      <c r="F141" s="113"/>
      <c r="G141" s="113" t="s">
        <v>431</v>
      </c>
      <c r="H141" s="113"/>
      <c r="I141" s="113" t="s">
        <v>1429</v>
      </c>
      <c r="J141" s="113" t="s">
        <v>1430</v>
      </c>
      <c r="K141" s="114"/>
      <c r="L141" s="113"/>
      <c r="M141" s="115" t="str">
        <f>HYPERLINK("http://www.npr.org/2014/08/13/340005026/how-a-co-worker-s-breast-cancer-diagnosis-affects-colleagues","http://www.npr.org/2014/08/13/340005026/how-a-co-worker-s-breast-cancer-diagnosis-affects-colleagues")</f>
        <v>http://www.npr.org/2014/08/13/340005026/how-a-co-worker-s-breast-cancer-diagnosis-affects-colleagues</v>
      </c>
      <c r="N141" s="113"/>
      <c r="O141" s="113"/>
      <c r="P141" s="113"/>
      <c r="Q141" s="115"/>
      <c r="R141" s="113"/>
      <c r="S141" s="116"/>
      <c r="T141" s="113"/>
      <c r="U141" s="113"/>
      <c r="V141" s="113"/>
      <c r="W141" s="113"/>
      <c r="X141" s="113"/>
      <c r="Y141" s="113"/>
      <c r="Z141" s="113"/>
      <c r="AA141" s="113"/>
      <c r="AB141" s="113"/>
      <c r="AC141" s="113"/>
      <c r="AD141" s="113"/>
      <c r="AE141" s="113"/>
      <c r="AF141" s="113"/>
      <c r="AG141" s="113"/>
      <c r="AH141" s="113"/>
      <c r="AI141" s="113"/>
      <c r="AJ141" s="113"/>
      <c r="AK141" s="113"/>
      <c r="AL141" s="113"/>
      <c r="AM141" s="113"/>
      <c r="AN141" s="113"/>
    </row>
    <row r="142" ht="24.75" customHeight="1">
      <c r="A142" s="113" t="s">
        <v>462</v>
      </c>
      <c r="B142" s="113" t="s">
        <v>64</v>
      </c>
      <c r="C142" s="113" t="s">
        <v>429</v>
      </c>
      <c r="D142" s="113" t="s">
        <v>378</v>
      </c>
      <c r="E142" s="113" t="s">
        <v>1138</v>
      </c>
      <c r="F142" s="113"/>
      <c r="G142" s="113" t="s">
        <v>431</v>
      </c>
      <c r="H142" s="113"/>
      <c r="I142" s="113" t="s">
        <v>2814</v>
      </c>
      <c r="J142" s="113" t="s">
        <v>2815</v>
      </c>
      <c r="K142" s="114"/>
      <c r="L142" s="113"/>
      <c r="M142" s="113" t="s">
        <v>2816</v>
      </c>
      <c r="N142" s="115"/>
      <c r="O142" s="113"/>
      <c r="P142" s="113"/>
      <c r="Q142" s="113"/>
      <c r="R142" s="113"/>
      <c r="S142" s="113"/>
      <c r="T142" s="116"/>
      <c r="U142" s="113"/>
      <c r="V142" s="113"/>
      <c r="W142" s="113"/>
      <c r="X142" s="113"/>
      <c r="Y142" s="113"/>
      <c r="Z142" s="113"/>
      <c r="AA142" s="113"/>
      <c r="AB142" s="113"/>
      <c r="AC142" s="113"/>
      <c r="AD142" s="113"/>
      <c r="AE142" s="113"/>
      <c r="AF142" s="113"/>
      <c r="AG142" s="113"/>
      <c r="AH142" s="113"/>
      <c r="AI142" s="113"/>
      <c r="AJ142" s="113"/>
      <c r="AK142" s="113"/>
      <c r="AL142" s="113"/>
      <c r="AM142" s="113"/>
      <c r="AN142" s="113"/>
    </row>
    <row r="143" ht="24.75" customHeight="1">
      <c r="A143" s="113" t="s">
        <v>462</v>
      </c>
      <c r="B143" s="113" t="s">
        <v>173</v>
      </c>
      <c r="C143" s="113" t="s">
        <v>490</v>
      </c>
      <c r="D143" s="113" t="s">
        <v>491</v>
      </c>
      <c r="E143" s="113" t="s">
        <v>388</v>
      </c>
      <c r="F143" s="113"/>
      <c r="G143" s="113" t="s">
        <v>431</v>
      </c>
      <c r="H143" s="113"/>
      <c r="I143" s="113" t="s">
        <v>2817</v>
      </c>
      <c r="J143" s="113" t="s">
        <v>2817</v>
      </c>
      <c r="K143" s="114"/>
      <c r="L143" s="113"/>
      <c r="M143" s="115" t="str">
        <f>HYPERLINK("http://wonderforgood.com/category/information-aversion/","http://wonderforgood.com/category/information-aversion/")</f>
        <v>http://wonderforgood.com/category/information-aversion/</v>
      </c>
      <c r="N143" s="115"/>
      <c r="O143" s="113"/>
      <c r="P143" s="113"/>
      <c r="Q143" s="113"/>
      <c r="R143" s="113"/>
      <c r="S143" s="113"/>
      <c r="T143" s="116"/>
      <c r="U143" s="113"/>
      <c r="V143" s="113"/>
      <c r="W143" s="113"/>
      <c r="X143" s="113"/>
      <c r="Y143" s="113"/>
      <c r="Z143" s="113"/>
      <c r="AA143" s="113"/>
      <c r="AB143" s="113"/>
      <c r="AC143" s="113"/>
      <c r="AD143" s="113"/>
      <c r="AE143" s="113"/>
      <c r="AF143" s="113"/>
      <c r="AG143" s="113"/>
      <c r="AH143" s="113"/>
      <c r="AI143" s="113"/>
      <c r="AJ143" s="113"/>
      <c r="AK143" s="113"/>
      <c r="AL143" s="113"/>
      <c r="AM143" s="113"/>
      <c r="AN143" s="113"/>
    </row>
    <row r="144" ht="27.75" customHeight="1">
      <c r="A144" s="87" t="s">
        <v>462</v>
      </c>
      <c r="B144" s="87" t="s">
        <v>64</v>
      </c>
      <c r="C144" s="87" t="s">
        <v>2819</v>
      </c>
      <c r="D144" s="87" t="s">
        <v>2820</v>
      </c>
      <c r="E144" s="87" t="s">
        <v>470</v>
      </c>
      <c r="F144" s="79"/>
      <c r="G144" s="87" t="s">
        <v>289</v>
      </c>
      <c r="H144" s="87" t="s">
        <v>2821</v>
      </c>
      <c r="I144" s="87"/>
      <c r="J144" s="87" t="s">
        <v>2207</v>
      </c>
      <c r="K144" s="89"/>
      <c r="L144" s="87" t="s">
        <v>2824</v>
      </c>
      <c r="M144" s="90" t="str">
        <f>HYPERLINK("http://www.class5energy.com/cambridge-isanti-public-schools-2/","http://www.class5energy.com/cambridge-isanti-public-schools-2/")</f>
        <v>http://www.class5energy.com/cambridge-isanti-public-schools-2/</v>
      </c>
      <c r="N144" s="87"/>
      <c r="O144" s="87" t="s">
        <v>462</v>
      </c>
      <c r="P144" s="87" t="s">
        <v>428</v>
      </c>
      <c r="Q144" s="87"/>
      <c r="R144" s="87" t="s">
        <v>677</v>
      </c>
      <c r="S144" s="87"/>
      <c r="T144" s="87"/>
      <c r="U144" s="87"/>
      <c r="V144" s="87"/>
      <c r="W144" s="87"/>
      <c r="X144" s="87"/>
      <c r="Y144" s="87"/>
      <c r="Z144" s="87"/>
      <c r="AA144" s="87"/>
      <c r="AB144" s="87"/>
      <c r="AC144" s="87"/>
      <c r="AD144" s="87"/>
      <c r="AE144" s="87"/>
      <c r="AF144" s="87"/>
      <c r="AG144" s="87"/>
      <c r="AH144" s="87"/>
      <c r="AI144" s="87"/>
      <c r="AJ144" s="87"/>
      <c r="AK144" s="87"/>
      <c r="AL144" s="87"/>
      <c r="AM144" s="87"/>
      <c r="AN144" s="87"/>
    </row>
    <row r="145" ht="27.75" customHeight="1">
      <c r="A145" s="87" t="s">
        <v>462</v>
      </c>
      <c r="B145" s="87" t="s">
        <v>173</v>
      </c>
      <c r="C145" s="87"/>
      <c r="D145" s="87"/>
      <c r="E145" s="87" t="s">
        <v>2829</v>
      </c>
      <c r="F145" s="79"/>
      <c r="G145" s="87" t="s">
        <v>289</v>
      </c>
      <c r="H145" s="87" t="s">
        <v>2830</v>
      </c>
      <c r="I145" s="87" t="s">
        <v>2831</v>
      </c>
      <c r="J145" s="87" t="s">
        <v>1172</v>
      </c>
      <c r="K145" s="89">
        <v>42172.0</v>
      </c>
      <c r="L145" s="87" t="s">
        <v>1435</v>
      </c>
      <c r="M145" s="90" t="str">
        <f>HYPERLINK("http://www.businessinsider.com/shopping-subconscious-factors-2015-6?r=UK","http://www.businessinsider.com/shopping-subconscious-factors-2015-6?r=UK")</f>
        <v>http://www.businessinsider.com/shopping-subconscious-factors-2015-6?r=UK</v>
      </c>
      <c r="N145" s="87"/>
      <c r="O145" s="87" t="s">
        <v>462</v>
      </c>
      <c r="P145" s="87" t="s">
        <v>462</v>
      </c>
      <c r="Q145" s="87"/>
      <c r="R145" s="87" t="s">
        <v>769</v>
      </c>
      <c r="S145" s="87" t="s">
        <v>2837</v>
      </c>
      <c r="T145" s="91">
        <v>42198.0</v>
      </c>
      <c r="U145" s="87"/>
      <c r="V145" s="87" t="s">
        <v>769</v>
      </c>
      <c r="W145" s="87"/>
      <c r="X145" s="91">
        <v>42221.0</v>
      </c>
      <c r="Y145" s="87"/>
      <c r="Z145" s="87"/>
      <c r="AA145" s="87"/>
      <c r="AB145" s="87"/>
      <c r="AC145" s="87"/>
      <c r="AD145" s="87"/>
      <c r="AE145" s="87"/>
      <c r="AF145" s="87"/>
      <c r="AG145" s="87"/>
      <c r="AH145" s="87"/>
      <c r="AI145" s="87"/>
      <c r="AJ145" s="87"/>
      <c r="AK145" s="87"/>
      <c r="AL145" s="87"/>
      <c r="AM145" s="87"/>
      <c r="AN145" s="87"/>
    </row>
    <row r="146" ht="27.75" customHeight="1">
      <c r="A146" s="87" t="s">
        <v>462</v>
      </c>
      <c r="B146" s="87" t="s">
        <v>173</v>
      </c>
      <c r="C146" s="87" t="s">
        <v>2838</v>
      </c>
      <c r="D146" s="87"/>
      <c r="E146" s="87" t="s">
        <v>2829</v>
      </c>
      <c r="F146" s="79"/>
      <c r="G146" s="87" t="s">
        <v>1106</v>
      </c>
      <c r="H146" s="87" t="s">
        <v>2839</v>
      </c>
      <c r="I146" s="87" t="s">
        <v>2840</v>
      </c>
      <c r="J146" s="87" t="s">
        <v>2841</v>
      </c>
      <c r="K146" s="89">
        <v>42176.0</v>
      </c>
      <c r="L146" s="87"/>
      <c r="M146" s="90" t="str">
        <f>HYPERLINK("http://www.behavioraleconomics.com/rationality-and-emotional-biases-do-you-know-what-they-are/","http://www.behavioraleconomics.com/rationality-and-emotional-biases-do-you-know-what-they-are/")</f>
        <v>http://www.behavioraleconomics.com/rationality-and-emotional-biases-do-you-know-what-they-are/</v>
      </c>
      <c r="N146" s="87"/>
      <c r="O146" s="87" t="s">
        <v>462</v>
      </c>
      <c r="P146" s="87" t="s">
        <v>462</v>
      </c>
      <c r="Q146" s="87"/>
      <c r="R146" s="87" t="s">
        <v>769</v>
      </c>
      <c r="S146" s="87" t="s">
        <v>2847</v>
      </c>
      <c r="T146" s="91">
        <v>42193.0</v>
      </c>
      <c r="U146" s="87"/>
      <c r="V146" s="87"/>
      <c r="W146" s="87"/>
      <c r="X146" s="91"/>
      <c r="Y146" s="87"/>
      <c r="Z146" s="87"/>
      <c r="AA146" s="87"/>
      <c r="AB146" s="87"/>
      <c r="AC146" s="87"/>
      <c r="AD146" s="87"/>
      <c r="AE146" s="87"/>
      <c r="AF146" s="87"/>
      <c r="AG146" s="87"/>
      <c r="AH146" s="87"/>
      <c r="AI146" s="87"/>
      <c r="AJ146" s="87"/>
      <c r="AK146" s="87"/>
      <c r="AL146" s="87"/>
      <c r="AM146" s="87"/>
      <c r="AN146" s="87"/>
    </row>
    <row r="147" ht="27.75" customHeight="1">
      <c r="A147" s="87" t="s">
        <v>462</v>
      </c>
      <c r="B147" s="87" t="s">
        <v>173</v>
      </c>
      <c r="C147" s="87"/>
      <c r="D147" s="87"/>
      <c r="E147" s="87" t="s">
        <v>2829</v>
      </c>
      <c r="F147" s="79"/>
      <c r="G147" s="87" t="s">
        <v>289</v>
      </c>
      <c r="H147" s="87" t="s">
        <v>2850</v>
      </c>
      <c r="I147" s="87" t="s">
        <v>2851</v>
      </c>
      <c r="J147" s="87" t="s">
        <v>592</v>
      </c>
      <c r="K147" s="89">
        <v>41618.0</v>
      </c>
      <c r="L147" s="87"/>
      <c r="M147" s="90" t="str">
        <f>HYPERLINK("http://www.scientificamerican.com/article.cfm?id=the-discrimination-tax&amp;WT.mc_id=SA_sharetool_Twitter%C2%A0%E2%80%A6","http://www.scientificamerican.com/article.cfm?id=the-discrimination-tax&amp;WT.mc_id=SA_sharetool_Twitter … ")</f>
        <v>http://www.scientificamerican.com/article.cfm?id=the-discrimination-tax&amp;WT.mc_id=SA_sharetool_Twitter … </v>
      </c>
      <c r="N147" s="87"/>
      <c r="O147" s="87" t="s">
        <v>462</v>
      </c>
      <c r="P147" s="87" t="s">
        <v>462</v>
      </c>
      <c r="Q147" s="87" t="s">
        <v>676</v>
      </c>
      <c r="R147" s="87" t="s">
        <v>769</v>
      </c>
      <c r="S147" s="87" t="s">
        <v>2856</v>
      </c>
      <c r="T147" s="91">
        <v>41985.0</v>
      </c>
      <c r="U147" s="87"/>
      <c r="V147" s="87" t="s">
        <v>530</v>
      </c>
      <c r="W147" s="87"/>
      <c r="X147" s="91"/>
      <c r="Y147" s="87"/>
      <c r="Z147" s="87"/>
      <c r="AA147" s="87"/>
      <c r="AB147" s="87"/>
      <c r="AC147" s="87"/>
      <c r="AD147" s="87"/>
      <c r="AE147" s="87"/>
      <c r="AF147" s="87"/>
      <c r="AG147" s="87"/>
      <c r="AH147" s="87"/>
      <c r="AI147" s="87"/>
      <c r="AJ147" s="87"/>
      <c r="AK147" s="87"/>
      <c r="AL147" s="87"/>
      <c r="AM147" s="87"/>
      <c r="AN147" s="87"/>
    </row>
    <row r="148" ht="27.75" customHeight="1">
      <c r="A148" s="87" t="s">
        <v>462</v>
      </c>
      <c r="B148" s="87" t="s">
        <v>64</v>
      </c>
      <c r="C148" s="87" t="s">
        <v>2857</v>
      </c>
      <c r="D148" s="87"/>
      <c r="E148" s="87" t="s">
        <v>2829</v>
      </c>
      <c r="F148" s="79"/>
      <c r="G148" s="87" t="s">
        <v>111</v>
      </c>
      <c r="H148" s="87" t="s">
        <v>2858</v>
      </c>
      <c r="I148" s="87" t="s">
        <v>2859</v>
      </c>
      <c r="J148" s="87" t="s">
        <v>1281</v>
      </c>
      <c r="K148" s="89">
        <v>41886.0</v>
      </c>
      <c r="L148" s="87" t="s">
        <v>2860</v>
      </c>
      <c r="M148" s="90" t="str">
        <f>HYPERLINK("http://www.theguardian.com/sustainable-business/behavioural-insights/2014/sep/04/watching-apes-humans-behave-sustainably-social-biomimicry","http://www.theguardian.com/sustainable-business/behavioural-insights/2014/sep/04/watching-apes-humans-behave-sustainably-social-biomimicry")</f>
        <v>http://www.theguardian.com/sustainable-business/behavioural-insights/2014/sep/04/watching-apes-humans-behave-sustainably-social-biomimicry</v>
      </c>
      <c r="N148" s="87"/>
      <c r="O148" s="87" t="s">
        <v>462</v>
      </c>
      <c r="P148" s="87" t="s">
        <v>462</v>
      </c>
      <c r="Q148" s="87"/>
      <c r="R148" s="87" t="s">
        <v>769</v>
      </c>
      <c r="S148" s="87" t="s">
        <v>2861</v>
      </c>
      <c r="T148" s="91">
        <v>42487.0</v>
      </c>
      <c r="U148" s="87"/>
      <c r="V148" s="87"/>
      <c r="W148" s="87"/>
      <c r="X148" s="91"/>
      <c r="Y148" s="87"/>
      <c r="Z148" s="87"/>
      <c r="AA148" s="87"/>
      <c r="AB148" s="87"/>
      <c r="AC148" s="87"/>
      <c r="AD148" s="87"/>
      <c r="AE148" s="87"/>
      <c r="AF148" s="87"/>
      <c r="AG148" s="87"/>
      <c r="AH148" s="87"/>
      <c r="AI148" s="87"/>
      <c r="AJ148" s="87"/>
      <c r="AK148" s="87"/>
      <c r="AL148" s="87"/>
      <c r="AM148" s="87"/>
      <c r="AN148" s="87"/>
    </row>
    <row r="149" ht="27.75" customHeight="1">
      <c r="A149" s="87" t="s">
        <v>1358</v>
      </c>
      <c r="B149" s="87" t="s">
        <v>64</v>
      </c>
      <c r="C149" s="87" t="s">
        <v>280</v>
      </c>
      <c r="D149" s="104"/>
      <c r="E149" s="87"/>
      <c r="F149" s="79"/>
      <c r="G149" s="87"/>
      <c r="H149" s="79" t="s">
        <v>2862</v>
      </c>
      <c r="I149" s="87" t="s">
        <v>2863</v>
      </c>
      <c r="J149" s="87" t="s">
        <v>2864</v>
      </c>
      <c r="K149" s="104"/>
      <c r="L149" s="87"/>
      <c r="M149" s="90" t="str">
        <f>HYPERLINK("http://130.91.81.228/documents/publications/expedition/PDFs/48-1/Chrzan.pdf","http://130.91.81.228/documents/publications/expedition/PDFs/48-1/Chrzan.pdf")</f>
        <v>http://130.91.81.228/documents/publications/expedition/PDFs/48-1/Chrzan.pdf</v>
      </c>
      <c r="N149" s="117" t="s">
        <v>2868</v>
      </c>
      <c r="O149" s="87"/>
      <c r="P149" s="87"/>
      <c r="Q149" s="87"/>
      <c r="R149" s="87"/>
      <c r="S149" s="87"/>
      <c r="T149" s="87"/>
      <c r="U149" s="87"/>
      <c r="V149" s="87"/>
      <c r="W149" s="87"/>
      <c r="X149" s="87"/>
      <c r="Y149" s="87"/>
      <c r="Z149" s="87"/>
      <c r="AA149" s="87"/>
      <c r="AB149" s="87"/>
      <c r="AC149" s="87"/>
      <c r="AD149" s="87"/>
      <c r="AE149" s="87"/>
      <c r="AF149" s="87"/>
      <c r="AG149" s="87"/>
      <c r="AH149" s="87"/>
      <c r="AI149" s="87"/>
      <c r="AJ149" s="87"/>
      <c r="AK149" s="87"/>
      <c r="AL149" s="87"/>
      <c r="AM149" s="87"/>
      <c r="AN149" s="87"/>
    </row>
    <row r="150" ht="22.5" customHeight="1">
      <c r="A150" s="87" t="s">
        <v>462</v>
      </c>
      <c r="B150" s="87" t="s">
        <v>173</v>
      </c>
      <c r="C150" s="118" t="s">
        <v>2875</v>
      </c>
      <c r="D150" s="87"/>
      <c r="E150" s="87" t="s">
        <v>2829</v>
      </c>
      <c r="F150" s="79"/>
      <c r="G150" s="87" t="s">
        <v>289</v>
      </c>
      <c r="H150" s="87" t="s">
        <v>2878</v>
      </c>
      <c r="I150" s="87" t="s">
        <v>2879</v>
      </c>
      <c r="J150" s="87" t="s">
        <v>2880</v>
      </c>
      <c r="K150" s="89">
        <v>38749.0</v>
      </c>
      <c r="L150" s="87" t="s">
        <v>1714</v>
      </c>
      <c r="M150" s="90" t="str">
        <f>HYPERLINK("http://staugustine.com/stories/020106/nat_3611786.shtml","http://staugustine.com/stories/020106/nat_3611786.shtml")</f>
        <v>http://staugustine.com/stories/020106/nat_3611786.shtml</v>
      </c>
      <c r="N150" s="87" t="s">
        <v>1710</v>
      </c>
      <c r="O150" s="87" t="s">
        <v>462</v>
      </c>
      <c r="P150" s="87" t="s">
        <v>462</v>
      </c>
      <c r="Q150" s="87" t="s">
        <v>676</v>
      </c>
      <c r="R150" s="87" t="s">
        <v>769</v>
      </c>
      <c r="S150" s="87" t="s">
        <v>2881</v>
      </c>
      <c r="T150" s="91">
        <v>42188.0</v>
      </c>
      <c r="U150" s="91">
        <v>42612.0</v>
      </c>
      <c r="V150" s="87"/>
      <c r="W150" s="87"/>
      <c r="X150" s="91"/>
      <c r="Y150" s="87"/>
      <c r="Z150" s="87"/>
      <c r="AA150" s="87"/>
      <c r="AB150" s="87"/>
      <c r="AC150" s="87"/>
      <c r="AD150" s="87"/>
      <c r="AE150" s="87"/>
      <c r="AF150" s="87"/>
      <c r="AG150" s="87"/>
      <c r="AH150" s="87"/>
      <c r="AI150" s="87"/>
      <c r="AJ150" s="87"/>
      <c r="AK150" s="87"/>
      <c r="AL150" s="87"/>
      <c r="AM150" s="87"/>
      <c r="AN150" s="87"/>
    </row>
    <row r="151" ht="16.5" customHeight="1">
      <c r="A151" s="87"/>
      <c r="B151" s="87"/>
      <c r="C151" s="87"/>
      <c r="D151" s="87"/>
      <c r="E151" s="87"/>
      <c r="F151" s="79"/>
      <c r="G151" s="87"/>
      <c r="H151" s="92"/>
      <c r="I151" s="87"/>
      <c r="J151" s="87"/>
      <c r="K151" s="89"/>
      <c r="L151" s="87"/>
      <c r="M151" s="87"/>
      <c r="N151" s="87"/>
      <c r="O151" s="87"/>
      <c r="P151" s="87"/>
      <c r="Q151" s="87"/>
      <c r="R151" s="87"/>
      <c r="S151" s="87"/>
      <c r="T151" s="87"/>
      <c r="U151" s="87"/>
      <c r="V151" s="87"/>
      <c r="W151" s="87"/>
      <c r="X151" s="87"/>
      <c r="Y151" s="87"/>
      <c r="Z151" s="87"/>
      <c r="AA151" s="87"/>
      <c r="AB151" s="87"/>
      <c r="AC151" s="87"/>
      <c r="AD151" s="87"/>
      <c r="AE151" s="87"/>
      <c r="AF151" s="87"/>
      <c r="AG151" s="87"/>
      <c r="AH151" s="87"/>
      <c r="AI151" s="87"/>
      <c r="AJ151" s="87"/>
      <c r="AK151" s="87"/>
      <c r="AL151" s="87"/>
      <c r="AM151" s="87"/>
      <c r="AN151" s="87"/>
    </row>
    <row r="152" ht="16.5" customHeight="1">
      <c r="A152" s="87"/>
      <c r="B152" s="87"/>
      <c r="C152" s="87"/>
      <c r="D152" s="87"/>
      <c r="E152" s="87"/>
      <c r="F152" s="79"/>
      <c r="G152" s="87"/>
      <c r="H152" s="92"/>
      <c r="I152" s="87"/>
      <c r="J152" s="87"/>
      <c r="K152" s="89"/>
      <c r="L152" s="87"/>
      <c r="M152" s="87"/>
      <c r="N152" s="87"/>
      <c r="O152" s="87"/>
      <c r="P152" s="87"/>
      <c r="Q152" s="87"/>
      <c r="R152" s="87"/>
      <c r="S152" s="87"/>
      <c r="T152" s="87"/>
      <c r="U152" s="87"/>
      <c r="V152" s="87"/>
      <c r="W152" s="87"/>
      <c r="X152" s="87"/>
      <c r="Y152" s="87"/>
      <c r="Z152" s="87"/>
      <c r="AA152" s="87"/>
      <c r="AB152" s="87"/>
      <c r="AC152" s="87"/>
      <c r="AD152" s="87"/>
      <c r="AE152" s="87"/>
      <c r="AF152" s="87"/>
      <c r="AG152" s="87"/>
      <c r="AH152" s="87"/>
      <c r="AI152" s="87"/>
      <c r="AJ152" s="87"/>
      <c r="AK152" s="87"/>
      <c r="AL152" s="87"/>
      <c r="AM152" s="87"/>
      <c r="AN152" s="87"/>
    </row>
    <row r="153" ht="16.5" customHeight="1">
      <c r="A153" s="87"/>
      <c r="B153" s="87"/>
      <c r="C153" s="87"/>
      <c r="D153" s="87"/>
      <c r="E153" s="87"/>
      <c r="F153" s="79"/>
      <c r="G153" s="87"/>
      <c r="H153" s="92"/>
      <c r="I153" s="87"/>
      <c r="J153" s="87"/>
      <c r="K153" s="89"/>
      <c r="L153" s="87"/>
      <c r="M153" s="87"/>
      <c r="N153" s="87"/>
      <c r="O153" s="87"/>
      <c r="P153" s="87"/>
      <c r="Q153" s="87"/>
      <c r="R153" s="87"/>
      <c r="S153" s="87"/>
      <c r="T153" s="87"/>
      <c r="U153" s="87"/>
      <c r="V153" s="87"/>
      <c r="W153" s="87"/>
      <c r="X153" s="87"/>
      <c r="Y153" s="87"/>
      <c r="Z153" s="87"/>
      <c r="AA153" s="87"/>
      <c r="AB153" s="87"/>
      <c r="AC153" s="87"/>
      <c r="AD153" s="87"/>
      <c r="AE153" s="87"/>
      <c r="AF153" s="87"/>
      <c r="AG153" s="87"/>
      <c r="AH153" s="87"/>
      <c r="AI153" s="87"/>
      <c r="AJ153" s="87"/>
      <c r="AK153" s="87"/>
      <c r="AL153" s="87"/>
      <c r="AM153" s="87"/>
      <c r="AN153" s="87"/>
    </row>
    <row r="154" ht="16.5" customHeight="1">
      <c r="A154" s="87"/>
      <c r="B154" s="87"/>
      <c r="C154" s="87"/>
      <c r="D154" s="87"/>
      <c r="E154" s="87"/>
      <c r="F154" s="79"/>
      <c r="G154" s="87"/>
      <c r="H154" s="92"/>
      <c r="I154" s="87"/>
      <c r="J154" s="87"/>
      <c r="K154" s="89"/>
      <c r="L154" s="87"/>
      <c r="M154" s="87"/>
      <c r="N154" s="87"/>
      <c r="O154" s="87"/>
      <c r="P154" s="87"/>
      <c r="Q154" s="87"/>
      <c r="R154" s="87"/>
      <c r="S154" s="87"/>
      <c r="T154" s="87"/>
      <c r="U154" s="87"/>
      <c r="V154" s="87"/>
      <c r="W154" s="87"/>
      <c r="X154" s="87"/>
      <c r="Y154" s="87"/>
      <c r="Z154" s="87"/>
      <c r="AA154" s="87"/>
      <c r="AB154" s="87"/>
      <c r="AC154" s="87"/>
      <c r="AD154" s="87"/>
      <c r="AE154" s="87"/>
      <c r="AF154" s="87"/>
      <c r="AG154" s="87"/>
      <c r="AH154" s="87"/>
      <c r="AI154" s="87"/>
      <c r="AJ154" s="87"/>
      <c r="AK154" s="87"/>
      <c r="AL154" s="87"/>
      <c r="AM154" s="87"/>
      <c r="AN154" s="87"/>
    </row>
    <row r="155" ht="16.5" customHeight="1">
      <c r="A155" s="87"/>
      <c r="B155" s="87"/>
      <c r="C155" s="87"/>
      <c r="D155" s="87"/>
      <c r="E155" s="87"/>
      <c r="F155" s="79"/>
      <c r="G155" s="87"/>
      <c r="H155" s="92"/>
      <c r="I155" s="87"/>
      <c r="J155" s="87"/>
      <c r="K155" s="89"/>
      <c r="L155" s="87"/>
      <c r="M155" s="87"/>
      <c r="N155" s="87"/>
      <c r="O155" s="87"/>
      <c r="P155" s="87"/>
      <c r="Q155" s="87"/>
      <c r="R155" s="87"/>
      <c r="S155" s="87"/>
      <c r="T155" s="87"/>
      <c r="U155" s="87"/>
      <c r="V155" s="87"/>
      <c r="W155" s="87"/>
      <c r="X155" s="87"/>
      <c r="Y155" s="87"/>
      <c r="Z155" s="87"/>
      <c r="AA155" s="87"/>
      <c r="AB155" s="87"/>
      <c r="AC155" s="87"/>
      <c r="AD155" s="87"/>
      <c r="AE155" s="87"/>
      <c r="AF155" s="87"/>
      <c r="AG155" s="87"/>
      <c r="AH155" s="87"/>
      <c r="AI155" s="87"/>
      <c r="AJ155" s="87"/>
      <c r="AK155" s="87"/>
      <c r="AL155" s="87"/>
      <c r="AM155" s="87"/>
      <c r="AN155" s="87"/>
    </row>
    <row r="156" ht="16.5" customHeight="1">
      <c r="A156" s="87"/>
      <c r="B156" s="87"/>
      <c r="C156" s="87"/>
      <c r="D156" s="87"/>
      <c r="E156" s="87"/>
      <c r="F156" s="79"/>
      <c r="G156" s="87"/>
      <c r="H156" s="92"/>
      <c r="I156" s="87"/>
      <c r="J156" s="87"/>
      <c r="K156" s="89"/>
      <c r="L156" s="87"/>
      <c r="M156" s="87"/>
      <c r="N156" s="87"/>
      <c r="O156" s="87"/>
      <c r="P156" s="87"/>
      <c r="Q156" s="87"/>
      <c r="R156" s="87"/>
      <c r="S156" s="87"/>
      <c r="T156" s="87"/>
      <c r="U156" s="87"/>
      <c r="V156" s="87"/>
      <c r="W156" s="87"/>
      <c r="X156" s="87"/>
      <c r="Y156" s="87"/>
      <c r="Z156" s="87"/>
      <c r="AA156" s="87"/>
      <c r="AB156" s="87"/>
      <c r="AC156" s="87"/>
      <c r="AD156" s="87"/>
      <c r="AE156" s="87"/>
      <c r="AF156" s="87"/>
      <c r="AG156" s="87"/>
      <c r="AH156" s="87"/>
      <c r="AI156" s="87"/>
      <c r="AJ156" s="87"/>
      <c r="AK156" s="87"/>
      <c r="AL156" s="87"/>
      <c r="AM156" s="87"/>
      <c r="AN156" s="87"/>
    </row>
    <row r="157" ht="16.5" customHeight="1">
      <c r="A157" s="87"/>
      <c r="B157" s="87"/>
      <c r="C157" s="87"/>
      <c r="D157" s="87"/>
      <c r="E157" s="87"/>
      <c r="F157" s="79"/>
      <c r="G157" s="87"/>
      <c r="H157" s="92"/>
      <c r="I157" s="87"/>
      <c r="J157" s="87"/>
      <c r="K157" s="89"/>
      <c r="L157" s="87"/>
      <c r="M157" s="87"/>
      <c r="N157" s="87"/>
      <c r="O157" s="87"/>
      <c r="P157" s="87"/>
      <c r="Q157" s="87"/>
      <c r="R157" s="87"/>
      <c r="S157" s="87"/>
      <c r="T157" s="87"/>
      <c r="U157" s="87"/>
      <c r="V157" s="87"/>
      <c r="W157" s="87"/>
      <c r="X157" s="87"/>
      <c r="Y157" s="87"/>
      <c r="Z157" s="87"/>
      <c r="AA157" s="87"/>
      <c r="AB157" s="87"/>
      <c r="AC157" s="87"/>
      <c r="AD157" s="87"/>
      <c r="AE157" s="87"/>
      <c r="AF157" s="87"/>
      <c r="AG157" s="87"/>
      <c r="AH157" s="87"/>
      <c r="AI157" s="87"/>
      <c r="AJ157" s="87"/>
      <c r="AK157" s="87"/>
      <c r="AL157" s="87"/>
      <c r="AM157" s="87"/>
      <c r="AN157" s="87"/>
    </row>
    <row r="158" ht="16.5" customHeight="1">
      <c r="A158" s="87"/>
      <c r="B158" s="87"/>
      <c r="C158" s="87"/>
      <c r="D158" s="87"/>
      <c r="E158" s="87"/>
      <c r="F158" s="79"/>
      <c r="G158" s="87"/>
      <c r="H158" s="92"/>
      <c r="I158" s="87"/>
      <c r="J158" s="87"/>
      <c r="K158" s="89"/>
      <c r="L158" s="87"/>
      <c r="M158" s="87"/>
      <c r="N158" s="87"/>
      <c r="O158" s="87"/>
      <c r="P158" s="87"/>
      <c r="Q158" s="87"/>
      <c r="R158" s="87"/>
      <c r="S158" s="87"/>
      <c r="T158" s="87"/>
      <c r="U158" s="87"/>
      <c r="V158" s="87"/>
      <c r="W158" s="87"/>
      <c r="X158" s="87"/>
      <c r="Y158" s="87"/>
      <c r="Z158" s="87"/>
      <c r="AA158" s="87"/>
      <c r="AB158" s="87"/>
      <c r="AC158" s="87"/>
      <c r="AD158" s="87"/>
      <c r="AE158" s="87"/>
      <c r="AF158" s="87"/>
      <c r="AG158" s="87"/>
      <c r="AH158" s="87"/>
      <c r="AI158" s="87"/>
      <c r="AJ158" s="87"/>
      <c r="AK158" s="87"/>
      <c r="AL158" s="87"/>
      <c r="AM158" s="87"/>
      <c r="AN158" s="87"/>
    </row>
    <row r="159" ht="16.5" customHeight="1">
      <c r="A159" s="87"/>
      <c r="B159" s="87"/>
      <c r="C159" s="87"/>
      <c r="D159" s="87"/>
      <c r="E159" s="87"/>
      <c r="F159" s="79"/>
      <c r="G159" s="87"/>
      <c r="H159" s="92"/>
      <c r="I159" s="87"/>
      <c r="J159" s="87"/>
      <c r="K159" s="89"/>
      <c r="L159" s="87"/>
      <c r="M159" s="87"/>
      <c r="N159" s="87"/>
      <c r="O159" s="87"/>
      <c r="P159" s="87"/>
      <c r="Q159" s="87"/>
      <c r="R159" s="87"/>
      <c r="S159" s="87"/>
      <c r="T159" s="87"/>
      <c r="U159" s="87"/>
      <c r="V159" s="87"/>
      <c r="W159" s="87"/>
      <c r="X159" s="87"/>
      <c r="Y159" s="87"/>
      <c r="Z159" s="87"/>
      <c r="AA159" s="87"/>
      <c r="AB159" s="87"/>
      <c r="AC159" s="87"/>
      <c r="AD159" s="87"/>
      <c r="AE159" s="87"/>
      <c r="AF159" s="87"/>
      <c r="AG159" s="87"/>
      <c r="AH159" s="87"/>
      <c r="AI159" s="87"/>
      <c r="AJ159" s="87"/>
      <c r="AK159" s="87"/>
      <c r="AL159" s="87"/>
      <c r="AM159" s="87"/>
      <c r="AN159" s="87"/>
    </row>
    <row r="160" ht="16.5" customHeight="1">
      <c r="A160" s="87"/>
      <c r="B160" s="87"/>
      <c r="C160" s="87"/>
      <c r="D160" s="87"/>
      <c r="E160" s="87"/>
      <c r="F160" s="79"/>
      <c r="G160" s="87"/>
      <c r="H160" s="92"/>
      <c r="I160" s="87"/>
      <c r="J160" s="87"/>
      <c r="K160" s="89"/>
      <c r="L160" s="87"/>
      <c r="M160" s="87"/>
      <c r="N160" s="87"/>
      <c r="O160" s="87"/>
      <c r="P160" s="87"/>
      <c r="Q160" s="87"/>
      <c r="R160" s="87"/>
      <c r="S160" s="87"/>
      <c r="T160" s="87"/>
      <c r="U160" s="87"/>
      <c r="V160" s="87"/>
      <c r="W160" s="87"/>
      <c r="X160" s="87"/>
      <c r="Y160" s="87"/>
      <c r="Z160" s="87"/>
      <c r="AA160" s="87"/>
      <c r="AB160" s="87"/>
      <c r="AC160" s="87"/>
      <c r="AD160" s="87"/>
      <c r="AE160" s="87"/>
      <c r="AF160" s="87"/>
      <c r="AG160" s="87"/>
      <c r="AH160" s="87"/>
      <c r="AI160" s="87"/>
      <c r="AJ160" s="87"/>
      <c r="AK160" s="87"/>
      <c r="AL160" s="87"/>
      <c r="AM160" s="87"/>
      <c r="AN160" s="87"/>
    </row>
    <row r="161" ht="16.5" customHeight="1">
      <c r="A161" s="87"/>
      <c r="B161" s="87"/>
      <c r="C161" s="87"/>
      <c r="D161" s="87"/>
      <c r="E161" s="87"/>
      <c r="F161" s="79"/>
      <c r="G161" s="87"/>
      <c r="H161" s="92"/>
      <c r="I161" s="87"/>
      <c r="J161" s="87"/>
      <c r="K161" s="89"/>
      <c r="L161" s="87"/>
      <c r="M161" s="87"/>
      <c r="N161" s="87"/>
      <c r="O161" s="87"/>
      <c r="P161" s="87"/>
      <c r="Q161" s="87"/>
      <c r="R161" s="87"/>
      <c r="S161" s="87"/>
      <c r="T161" s="87"/>
      <c r="U161" s="87"/>
      <c r="V161" s="87"/>
      <c r="W161" s="87"/>
      <c r="X161" s="87"/>
      <c r="Y161" s="87"/>
      <c r="Z161" s="87"/>
      <c r="AA161" s="87"/>
      <c r="AB161" s="87"/>
      <c r="AC161" s="87"/>
      <c r="AD161" s="87"/>
      <c r="AE161" s="87"/>
      <c r="AF161" s="87"/>
      <c r="AG161" s="87"/>
      <c r="AH161" s="87"/>
      <c r="AI161" s="87"/>
      <c r="AJ161" s="87"/>
      <c r="AK161" s="87"/>
      <c r="AL161" s="87"/>
      <c r="AM161" s="87"/>
      <c r="AN161" s="87"/>
    </row>
    <row r="162" ht="16.5" customHeight="1">
      <c r="A162" s="87"/>
      <c r="B162" s="87"/>
      <c r="C162" s="87"/>
      <c r="D162" s="87"/>
      <c r="E162" s="87"/>
      <c r="F162" s="79"/>
      <c r="G162" s="87"/>
      <c r="H162" s="92"/>
      <c r="I162" s="87"/>
      <c r="J162" s="87"/>
      <c r="K162" s="89"/>
      <c r="L162" s="87"/>
      <c r="M162" s="87"/>
      <c r="N162" s="87"/>
      <c r="O162" s="87"/>
      <c r="P162" s="87"/>
      <c r="Q162" s="87"/>
      <c r="R162" s="87"/>
      <c r="S162" s="87"/>
      <c r="T162" s="87"/>
      <c r="U162" s="87"/>
      <c r="V162" s="87"/>
      <c r="W162" s="87"/>
      <c r="X162" s="87"/>
      <c r="Y162" s="87"/>
      <c r="Z162" s="87"/>
      <c r="AA162" s="87"/>
      <c r="AB162" s="87"/>
      <c r="AC162" s="87"/>
      <c r="AD162" s="87"/>
      <c r="AE162" s="87"/>
      <c r="AF162" s="87"/>
      <c r="AG162" s="87"/>
      <c r="AH162" s="87"/>
      <c r="AI162" s="87"/>
      <c r="AJ162" s="87"/>
      <c r="AK162" s="87"/>
      <c r="AL162" s="87"/>
      <c r="AM162" s="87"/>
      <c r="AN162" s="87"/>
    </row>
    <row r="163" ht="16.5" customHeight="1">
      <c r="A163" s="87"/>
      <c r="B163" s="87"/>
      <c r="C163" s="87"/>
      <c r="D163" s="87"/>
      <c r="E163" s="87"/>
      <c r="F163" s="79"/>
      <c r="G163" s="87"/>
      <c r="H163" s="92"/>
      <c r="I163" s="87"/>
      <c r="J163" s="87"/>
      <c r="K163" s="89"/>
      <c r="L163" s="87"/>
      <c r="M163" s="87"/>
      <c r="N163" s="87"/>
      <c r="O163" s="87"/>
      <c r="P163" s="87"/>
      <c r="Q163" s="87"/>
      <c r="R163" s="87"/>
      <c r="S163" s="87"/>
      <c r="T163" s="87"/>
      <c r="U163" s="87"/>
      <c r="V163" s="87"/>
      <c r="W163" s="87"/>
      <c r="X163" s="87"/>
      <c r="Y163" s="87"/>
      <c r="Z163" s="87"/>
      <c r="AA163" s="87"/>
      <c r="AB163" s="87"/>
      <c r="AC163" s="87"/>
      <c r="AD163" s="87"/>
      <c r="AE163" s="87"/>
      <c r="AF163" s="87"/>
      <c r="AG163" s="87"/>
      <c r="AH163" s="87"/>
      <c r="AI163" s="87"/>
      <c r="AJ163" s="87"/>
      <c r="AK163" s="87"/>
      <c r="AL163" s="87"/>
      <c r="AM163" s="87"/>
      <c r="AN163" s="87"/>
    </row>
    <row r="164" ht="16.5" customHeight="1">
      <c r="A164" s="87"/>
      <c r="B164" s="87"/>
      <c r="C164" s="87"/>
      <c r="D164" s="87"/>
      <c r="E164" s="87"/>
      <c r="F164" s="79"/>
      <c r="G164" s="87"/>
      <c r="H164" s="92"/>
      <c r="I164" s="87"/>
      <c r="J164" s="87"/>
      <c r="K164" s="89"/>
      <c r="L164" s="87"/>
      <c r="M164" s="87"/>
      <c r="N164" s="87"/>
      <c r="O164" s="87"/>
      <c r="P164" s="87"/>
      <c r="Q164" s="87"/>
      <c r="R164" s="87"/>
      <c r="S164" s="87"/>
      <c r="T164" s="87"/>
      <c r="U164" s="87"/>
      <c r="V164" s="87"/>
      <c r="W164" s="87"/>
      <c r="X164" s="87"/>
      <c r="Y164" s="87"/>
      <c r="Z164" s="87"/>
      <c r="AA164" s="87"/>
      <c r="AB164" s="87"/>
      <c r="AC164" s="87"/>
      <c r="AD164" s="87"/>
      <c r="AE164" s="87"/>
      <c r="AF164" s="87"/>
      <c r="AG164" s="87"/>
      <c r="AH164" s="87"/>
      <c r="AI164" s="87"/>
      <c r="AJ164" s="87"/>
      <c r="AK164" s="87"/>
      <c r="AL164" s="87"/>
      <c r="AM164" s="87"/>
      <c r="AN164" s="87"/>
    </row>
    <row r="165" ht="16.5" customHeight="1">
      <c r="A165" s="87"/>
      <c r="B165" s="87"/>
      <c r="C165" s="87"/>
      <c r="D165" s="87"/>
      <c r="E165" s="87"/>
      <c r="F165" s="79"/>
      <c r="G165" s="87"/>
      <c r="H165" s="92"/>
      <c r="I165" s="87"/>
      <c r="J165" s="87"/>
      <c r="K165" s="89"/>
      <c r="L165" s="87"/>
      <c r="M165" s="87"/>
      <c r="N165" s="87"/>
      <c r="O165" s="87"/>
      <c r="P165" s="87"/>
      <c r="Q165" s="87"/>
      <c r="R165" s="87"/>
      <c r="S165" s="87"/>
      <c r="T165" s="87"/>
      <c r="U165" s="87"/>
      <c r="V165" s="87"/>
      <c r="W165" s="87"/>
      <c r="X165" s="87"/>
      <c r="Y165" s="87"/>
      <c r="Z165" s="87"/>
      <c r="AA165" s="87"/>
      <c r="AB165" s="87"/>
      <c r="AC165" s="87"/>
      <c r="AD165" s="87"/>
      <c r="AE165" s="87"/>
      <c r="AF165" s="87"/>
      <c r="AG165" s="87"/>
      <c r="AH165" s="87"/>
      <c r="AI165" s="87"/>
      <c r="AJ165" s="87"/>
      <c r="AK165" s="87"/>
      <c r="AL165" s="87"/>
      <c r="AM165" s="87"/>
      <c r="AN165" s="87"/>
    </row>
    <row r="166" ht="16.5" customHeight="1">
      <c r="A166" s="87"/>
      <c r="B166" s="87"/>
      <c r="C166" s="87"/>
      <c r="D166" s="87"/>
      <c r="E166" s="87"/>
      <c r="F166" s="79"/>
      <c r="G166" s="87"/>
      <c r="H166" s="92"/>
      <c r="I166" s="87"/>
      <c r="J166" s="87"/>
      <c r="K166" s="89"/>
      <c r="L166" s="87"/>
      <c r="M166" s="87"/>
      <c r="N166" s="87"/>
      <c r="O166" s="87"/>
      <c r="P166" s="87"/>
      <c r="Q166" s="87"/>
      <c r="R166" s="87"/>
      <c r="S166" s="87"/>
      <c r="T166" s="87"/>
      <c r="U166" s="87"/>
      <c r="V166" s="87"/>
      <c r="W166" s="87"/>
      <c r="X166" s="87"/>
      <c r="Y166" s="87"/>
      <c r="Z166" s="87"/>
      <c r="AA166" s="87"/>
      <c r="AB166" s="87"/>
      <c r="AC166" s="87"/>
      <c r="AD166" s="87"/>
      <c r="AE166" s="87"/>
      <c r="AF166" s="87"/>
      <c r="AG166" s="87"/>
      <c r="AH166" s="87"/>
      <c r="AI166" s="87"/>
      <c r="AJ166" s="87"/>
      <c r="AK166" s="87"/>
      <c r="AL166" s="87"/>
      <c r="AM166" s="87"/>
      <c r="AN166" s="87"/>
    </row>
    <row r="167" ht="16.5" customHeight="1">
      <c r="A167" s="87"/>
      <c r="B167" s="87"/>
      <c r="C167" s="87"/>
      <c r="D167" s="87"/>
      <c r="E167" s="87"/>
      <c r="F167" s="79"/>
      <c r="G167" s="87"/>
      <c r="H167" s="92"/>
      <c r="I167" s="87"/>
      <c r="J167" s="87"/>
      <c r="K167" s="89"/>
      <c r="L167" s="87"/>
      <c r="M167" s="87"/>
      <c r="N167" s="87"/>
      <c r="O167" s="87"/>
      <c r="P167" s="87"/>
      <c r="Q167" s="87"/>
      <c r="R167" s="87"/>
      <c r="S167" s="87"/>
      <c r="T167" s="87"/>
      <c r="U167" s="87"/>
      <c r="V167" s="87"/>
      <c r="W167" s="87"/>
      <c r="X167" s="87"/>
      <c r="Y167" s="87"/>
      <c r="Z167" s="87"/>
      <c r="AA167" s="87"/>
      <c r="AB167" s="87"/>
      <c r="AC167" s="87"/>
      <c r="AD167" s="87"/>
      <c r="AE167" s="87"/>
      <c r="AF167" s="87"/>
      <c r="AG167" s="87"/>
      <c r="AH167" s="87"/>
      <c r="AI167" s="87"/>
      <c r="AJ167" s="87"/>
      <c r="AK167" s="87"/>
      <c r="AL167" s="87"/>
      <c r="AM167" s="87"/>
      <c r="AN167" s="87"/>
    </row>
    <row r="168" ht="16.5" customHeight="1">
      <c r="A168" s="87"/>
      <c r="B168" s="87"/>
      <c r="C168" s="87"/>
      <c r="D168" s="87"/>
      <c r="E168" s="87"/>
      <c r="F168" s="79"/>
      <c r="G168" s="87"/>
      <c r="H168" s="92"/>
      <c r="I168" s="87"/>
      <c r="J168" s="87"/>
      <c r="K168" s="89"/>
      <c r="L168" s="87"/>
      <c r="M168" s="87"/>
      <c r="N168" s="87"/>
      <c r="O168" s="87"/>
      <c r="P168" s="87"/>
      <c r="Q168" s="87"/>
      <c r="R168" s="87"/>
      <c r="S168" s="87"/>
      <c r="T168" s="87"/>
      <c r="U168" s="87"/>
      <c r="V168" s="87"/>
      <c r="W168" s="87"/>
      <c r="X168" s="87"/>
      <c r="Y168" s="87"/>
      <c r="Z168" s="87"/>
      <c r="AA168" s="87"/>
      <c r="AB168" s="87"/>
      <c r="AC168" s="87"/>
      <c r="AD168" s="87"/>
      <c r="AE168" s="87"/>
      <c r="AF168" s="87"/>
      <c r="AG168" s="87"/>
      <c r="AH168" s="87"/>
      <c r="AI168" s="87"/>
      <c r="AJ168" s="87"/>
      <c r="AK168" s="87"/>
      <c r="AL168" s="87"/>
      <c r="AM168" s="87"/>
      <c r="AN168" s="87"/>
    </row>
    <row r="169" ht="16.5" customHeight="1">
      <c r="A169" s="87"/>
      <c r="B169" s="87"/>
      <c r="C169" s="87"/>
      <c r="D169" s="87"/>
      <c r="E169" s="87"/>
      <c r="F169" s="79"/>
      <c r="G169" s="87"/>
      <c r="H169" s="92"/>
      <c r="I169" s="87"/>
      <c r="J169" s="87"/>
      <c r="K169" s="89"/>
      <c r="L169" s="87"/>
      <c r="M169" s="87"/>
      <c r="N169" s="87"/>
      <c r="O169" s="87"/>
      <c r="P169" s="87"/>
      <c r="Q169" s="87"/>
      <c r="R169" s="87"/>
      <c r="S169" s="87"/>
      <c r="T169" s="87"/>
      <c r="U169" s="87"/>
      <c r="V169" s="87"/>
      <c r="W169" s="87"/>
      <c r="X169" s="87"/>
      <c r="Y169" s="87"/>
      <c r="Z169" s="87"/>
      <c r="AA169" s="87"/>
      <c r="AB169" s="87"/>
      <c r="AC169" s="87"/>
      <c r="AD169" s="87"/>
      <c r="AE169" s="87"/>
      <c r="AF169" s="87"/>
      <c r="AG169" s="87"/>
      <c r="AH169" s="87"/>
      <c r="AI169" s="87"/>
      <c r="AJ169" s="87"/>
      <c r="AK169" s="87"/>
      <c r="AL169" s="87"/>
      <c r="AM169" s="87"/>
      <c r="AN169" s="87"/>
    </row>
    <row r="170" ht="16.5" customHeight="1">
      <c r="A170" s="87"/>
      <c r="B170" s="87"/>
      <c r="C170" s="87"/>
      <c r="D170" s="87"/>
      <c r="E170" s="87"/>
      <c r="F170" s="79"/>
      <c r="G170" s="87"/>
      <c r="H170" s="92"/>
      <c r="I170" s="87"/>
      <c r="J170" s="87"/>
      <c r="K170" s="89"/>
      <c r="L170" s="87"/>
      <c r="M170" s="87"/>
      <c r="N170" s="87"/>
      <c r="O170" s="87"/>
      <c r="P170" s="87"/>
      <c r="Q170" s="87"/>
      <c r="R170" s="87"/>
      <c r="S170" s="87"/>
      <c r="T170" s="87"/>
      <c r="U170" s="87"/>
      <c r="V170" s="87"/>
      <c r="W170" s="87"/>
      <c r="X170" s="87"/>
      <c r="Y170" s="87"/>
      <c r="Z170" s="87"/>
      <c r="AA170" s="87"/>
      <c r="AB170" s="87"/>
      <c r="AC170" s="87"/>
      <c r="AD170" s="87"/>
      <c r="AE170" s="87"/>
      <c r="AF170" s="87"/>
      <c r="AG170" s="87"/>
      <c r="AH170" s="87"/>
      <c r="AI170" s="87"/>
      <c r="AJ170" s="87"/>
      <c r="AK170" s="87"/>
      <c r="AL170" s="87"/>
      <c r="AM170" s="87"/>
      <c r="AN170" s="87"/>
    </row>
    <row r="171" ht="16.5" customHeight="1">
      <c r="A171" s="87"/>
      <c r="B171" s="87"/>
      <c r="C171" s="87"/>
      <c r="D171" s="87"/>
      <c r="E171" s="87"/>
      <c r="F171" s="79"/>
      <c r="G171" s="87"/>
      <c r="H171" s="92"/>
      <c r="I171" s="87"/>
      <c r="J171" s="87"/>
      <c r="K171" s="89"/>
      <c r="L171" s="87"/>
      <c r="M171" s="87"/>
      <c r="N171" s="87"/>
      <c r="O171" s="87"/>
      <c r="P171" s="87"/>
      <c r="Q171" s="87"/>
      <c r="R171" s="87"/>
      <c r="S171" s="87"/>
      <c r="T171" s="87"/>
      <c r="U171" s="87"/>
      <c r="V171" s="87"/>
      <c r="W171" s="87"/>
      <c r="X171" s="87"/>
      <c r="Y171" s="87"/>
      <c r="Z171" s="87"/>
      <c r="AA171" s="87"/>
      <c r="AB171" s="87"/>
      <c r="AC171" s="87"/>
      <c r="AD171" s="87"/>
      <c r="AE171" s="87"/>
      <c r="AF171" s="87"/>
      <c r="AG171" s="87"/>
      <c r="AH171" s="87"/>
      <c r="AI171" s="87"/>
      <c r="AJ171" s="87"/>
      <c r="AK171" s="87"/>
      <c r="AL171" s="87"/>
      <c r="AM171" s="87"/>
      <c r="AN171" s="87"/>
    </row>
    <row r="172" ht="16.5" customHeight="1">
      <c r="A172" s="87"/>
      <c r="B172" s="87"/>
      <c r="C172" s="87"/>
      <c r="D172" s="87"/>
      <c r="E172" s="87"/>
      <c r="F172" s="79"/>
      <c r="G172" s="87"/>
      <c r="H172" s="92"/>
      <c r="I172" s="87"/>
      <c r="J172" s="87"/>
      <c r="K172" s="89"/>
      <c r="L172" s="87"/>
      <c r="M172" s="87"/>
      <c r="N172" s="87"/>
      <c r="O172" s="87"/>
      <c r="P172" s="87"/>
      <c r="Q172" s="87"/>
      <c r="R172" s="87"/>
      <c r="S172" s="87"/>
      <c r="T172" s="87"/>
      <c r="U172" s="87"/>
      <c r="V172" s="87"/>
      <c r="W172" s="87"/>
      <c r="X172" s="87"/>
      <c r="Y172" s="87"/>
      <c r="Z172" s="87"/>
      <c r="AA172" s="87"/>
      <c r="AB172" s="87"/>
      <c r="AC172" s="87"/>
      <c r="AD172" s="87"/>
      <c r="AE172" s="87"/>
      <c r="AF172" s="87"/>
      <c r="AG172" s="87"/>
      <c r="AH172" s="87"/>
      <c r="AI172" s="87"/>
      <c r="AJ172" s="87"/>
      <c r="AK172" s="87"/>
      <c r="AL172" s="87"/>
      <c r="AM172" s="87"/>
      <c r="AN172" s="87"/>
    </row>
    <row r="173" ht="16.5" customHeight="1">
      <c r="A173" s="87"/>
      <c r="B173" s="87"/>
      <c r="C173" s="87"/>
      <c r="D173" s="87"/>
      <c r="E173" s="87"/>
      <c r="F173" s="79"/>
      <c r="G173" s="87"/>
      <c r="H173" s="92"/>
      <c r="I173" s="87"/>
      <c r="J173" s="87"/>
      <c r="K173" s="89"/>
      <c r="L173" s="87"/>
      <c r="M173" s="87"/>
      <c r="N173" s="87"/>
      <c r="O173" s="87"/>
      <c r="P173" s="87"/>
      <c r="Q173" s="87"/>
      <c r="R173" s="87"/>
      <c r="S173" s="87"/>
      <c r="T173" s="87"/>
      <c r="U173" s="87"/>
      <c r="V173" s="87"/>
      <c r="W173" s="87"/>
      <c r="X173" s="87"/>
      <c r="Y173" s="87"/>
      <c r="Z173" s="87"/>
      <c r="AA173" s="87"/>
      <c r="AB173" s="87"/>
      <c r="AC173" s="87"/>
      <c r="AD173" s="87"/>
      <c r="AE173" s="87"/>
      <c r="AF173" s="87"/>
      <c r="AG173" s="87"/>
      <c r="AH173" s="87"/>
      <c r="AI173" s="87"/>
      <c r="AJ173" s="87"/>
      <c r="AK173" s="87"/>
      <c r="AL173" s="87"/>
      <c r="AM173" s="87"/>
      <c r="AN173" s="87"/>
    </row>
    <row r="174" ht="16.5" customHeight="1">
      <c r="A174" s="87"/>
      <c r="B174" s="87"/>
      <c r="C174" s="87"/>
      <c r="D174" s="87"/>
      <c r="E174" s="87"/>
      <c r="F174" s="79"/>
      <c r="G174" s="87"/>
      <c r="H174" s="92"/>
      <c r="I174" s="87"/>
      <c r="J174" s="87"/>
      <c r="K174" s="89"/>
      <c r="L174" s="87"/>
      <c r="M174" s="87"/>
      <c r="N174" s="87"/>
      <c r="O174" s="87"/>
      <c r="P174" s="87"/>
      <c r="Q174" s="87"/>
      <c r="R174" s="87"/>
      <c r="S174" s="87"/>
      <c r="T174" s="87"/>
      <c r="U174" s="87"/>
      <c r="V174" s="87"/>
      <c r="W174" s="87"/>
      <c r="X174" s="87"/>
      <c r="Y174" s="87"/>
      <c r="Z174" s="87"/>
      <c r="AA174" s="87"/>
      <c r="AB174" s="87"/>
      <c r="AC174" s="87"/>
      <c r="AD174" s="87"/>
      <c r="AE174" s="87"/>
      <c r="AF174" s="87"/>
      <c r="AG174" s="87"/>
      <c r="AH174" s="87"/>
      <c r="AI174" s="87"/>
      <c r="AJ174" s="87"/>
      <c r="AK174" s="87"/>
      <c r="AL174" s="87"/>
      <c r="AM174" s="87"/>
      <c r="AN174" s="87"/>
    </row>
    <row r="175" ht="16.5" customHeight="1">
      <c r="A175" s="87"/>
      <c r="B175" s="87"/>
      <c r="C175" s="87"/>
      <c r="D175" s="87"/>
      <c r="E175" s="87"/>
      <c r="F175" s="79"/>
      <c r="G175" s="87"/>
      <c r="H175" s="92"/>
      <c r="I175" s="87"/>
      <c r="J175" s="87"/>
      <c r="K175" s="89"/>
      <c r="L175" s="87"/>
      <c r="M175" s="87"/>
      <c r="N175" s="87"/>
      <c r="O175" s="87"/>
      <c r="P175" s="87"/>
      <c r="Q175" s="87"/>
      <c r="R175" s="87"/>
      <c r="S175" s="87"/>
      <c r="T175" s="87"/>
      <c r="U175" s="87"/>
      <c r="V175" s="87"/>
      <c r="W175" s="87"/>
      <c r="X175" s="87"/>
      <c r="Y175" s="87"/>
      <c r="Z175" s="87"/>
      <c r="AA175" s="87"/>
      <c r="AB175" s="87"/>
      <c r="AC175" s="87"/>
      <c r="AD175" s="87"/>
      <c r="AE175" s="87"/>
      <c r="AF175" s="87"/>
      <c r="AG175" s="87"/>
      <c r="AH175" s="87"/>
      <c r="AI175" s="87"/>
      <c r="AJ175" s="87"/>
      <c r="AK175" s="87"/>
      <c r="AL175" s="87"/>
      <c r="AM175" s="87"/>
      <c r="AN175" s="87"/>
    </row>
    <row r="176" ht="16.5" customHeight="1">
      <c r="A176" s="87"/>
      <c r="B176" s="87"/>
      <c r="C176" s="87"/>
      <c r="D176" s="87"/>
      <c r="E176" s="87"/>
      <c r="F176" s="79"/>
      <c r="G176" s="87"/>
      <c r="H176" s="92"/>
      <c r="I176" s="87"/>
      <c r="J176" s="87"/>
      <c r="K176" s="89"/>
      <c r="L176" s="87"/>
      <c r="M176" s="87"/>
      <c r="N176" s="87"/>
      <c r="O176" s="87"/>
      <c r="P176" s="87"/>
      <c r="Q176" s="87"/>
      <c r="R176" s="87"/>
      <c r="S176" s="87"/>
      <c r="T176" s="87"/>
      <c r="U176" s="87"/>
      <c r="V176" s="87"/>
      <c r="W176" s="87"/>
      <c r="X176" s="87"/>
      <c r="Y176" s="87"/>
      <c r="Z176" s="87"/>
      <c r="AA176" s="87"/>
      <c r="AB176" s="87"/>
      <c r="AC176" s="87"/>
      <c r="AD176" s="87"/>
      <c r="AE176" s="87"/>
      <c r="AF176" s="87"/>
      <c r="AG176" s="87"/>
      <c r="AH176" s="87"/>
      <c r="AI176" s="87"/>
      <c r="AJ176" s="87"/>
      <c r="AK176" s="87"/>
      <c r="AL176" s="87"/>
      <c r="AM176" s="87"/>
      <c r="AN176" s="87"/>
    </row>
    <row r="177" ht="16.5" customHeight="1">
      <c r="A177" s="87"/>
      <c r="B177" s="87"/>
      <c r="C177" s="87"/>
      <c r="D177" s="87"/>
      <c r="E177" s="87"/>
      <c r="F177" s="79"/>
      <c r="G177" s="87"/>
      <c r="H177" s="92"/>
      <c r="I177" s="87"/>
      <c r="J177" s="87"/>
      <c r="K177" s="89"/>
      <c r="L177" s="87"/>
      <c r="M177" s="87"/>
      <c r="N177" s="87"/>
      <c r="O177" s="87"/>
      <c r="P177" s="87"/>
      <c r="Q177" s="87"/>
      <c r="R177" s="87"/>
      <c r="S177" s="87"/>
      <c r="T177" s="87"/>
      <c r="U177" s="87"/>
      <c r="V177" s="87"/>
      <c r="W177" s="87"/>
      <c r="X177" s="87"/>
      <c r="Y177" s="87"/>
      <c r="Z177" s="87"/>
      <c r="AA177" s="87"/>
      <c r="AB177" s="87"/>
      <c r="AC177" s="87"/>
      <c r="AD177" s="87"/>
      <c r="AE177" s="87"/>
      <c r="AF177" s="87"/>
      <c r="AG177" s="87"/>
      <c r="AH177" s="87"/>
      <c r="AI177" s="87"/>
      <c r="AJ177" s="87"/>
      <c r="AK177" s="87"/>
      <c r="AL177" s="87"/>
      <c r="AM177" s="87"/>
      <c r="AN177" s="87"/>
    </row>
    <row r="178" ht="16.5" customHeight="1">
      <c r="A178" s="87"/>
      <c r="B178" s="87"/>
      <c r="C178" s="87"/>
      <c r="D178" s="87"/>
      <c r="E178" s="87"/>
      <c r="F178" s="79"/>
      <c r="G178" s="87"/>
      <c r="H178" s="92"/>
      <c r="I178" s="87"/>
      <c r="J178" s="87"/>
      <c r="K178" s="89"/>
      <c r="L178" s="87"/>
      <c r="M178" s="87"/>
      <c r="N178" s="87"/>
      <c r="O178" s="87"/>
      <c r="P178" s="87"/>
      <c r="Q178" s="87"/>
      <c r="R178" s="87"/>
      <c r="S178" s="87"/>
      <c r="T178" s="87"/>
      <c r="U178" s="87"/>
      <c r="V178" s="87"/>
      <c r="W178" s="87"/>
      <c r="X178" s="87"/>
      <c r="Y178" s="87"/>
      <c r="Z178" s="87"/>
      <c r="AA178" s="87"/>
      <c r="AB178" s="87"/>
      <c r="AC178" s="87"/>
      <c r="AD178" s="87"/>
      <c r="AE178" s="87"/>
      <c r="AF178" s="87"/>
      <c r="AG178" s="87"/>
      <c r="AH178" s="87"/>
      <c r="AI178" s="87"/>
      <c r="AJ178" s="87"/>
      <c r="AK178" s="87"/>
      <c r="AL178" s="87"/>
      <c r="AM178" s="87"/>
      <c r="AN178" s="87"/>
    </row>
    <row r="179" ht="16.5" customHeight="1">
      <c r="A179" s="87"/>
      <c r="B179" s="87"/>
      <c r="C179" s="87"/>
      <c r="D179" s="87"/>
      <c r="E179" s="87"/>
      <c r="F179" s="79"/>
      <c r="G179" s="87"/>
      <c r="H179" s="92"/>
      <c r="I179" s="87"/>
      <c r="J179" s="87"/>
      <c r="K179" s="89"/>
      <c r="L179" s="87"/>
      <c r="M179" s="87"/>
      <c r="N179" s="87"/>
      <c r="O179" s="87"/>
      <c r="P179" s="87"/>
      <c r="Q179" s="87"/>
      <c r="R179" s="87"/>
      <c r="S179" s="87"/>
      <c r="T179" s="87"/>
      <c r="U179" s="87"/>
      <c r="V179" s="87"/>
      <c r="W179" s="87"/>
      <c r="X179" s="87"/>
      <c r="Y179" s="87"/>
      <c r="Z179" s="87"/>
      <c r="AA179" s="87"/>
      <c r="AB179" s="87"/>
      <c r="AC179" s="87"/>
      <c r="AD179" s="87"/>
      <c r="AE179" s="87"/>
      <c r="AF179" s="87"/>
      <c r="AG179" s="87"/>
      <c r="AH179" s="87"/>
      <c r="AI179" s="87"/>
      <c r="AJ179" s="87"/>
      <c r="AK179" s="87"/>
      <c r="AL179" s="87"/>
      <c r="AM179" s="87"/>
      <c r="AN179" s="87"/>
    </row>
    <row r="180" ht="16.5" customHeight="1">
      <c r="A180" s="87"/>
      <c r="B180" s="87"/>
      <c r="C180" s="87"/>
      <c r="D180" s="87"/>
      <c r="E180" s="87"/>
      <c r="F180" s="79"/>
      <c r="G180" s="87"/>
      <c r="H180" s="92"/>
      <c r="I180" s="87"/>
      <c r="J180" s="87"/>
      <c r="K180" s="89"/>
      <c r="L180" s="87"/>
      <c r="M180" s="87"/>
      <c r="N180" s="87"/>
      <c r="O180" s="87"/>
      <c r="P180" s="87"/>
      <c r="Q180" s="87"/>
      <c r="R180" s="87"/>
      <c r="S180" s="87"/>
      <c r="T180" s="87"/>
      <c r="U180" s="87"/>
      <c r="V180" s="87"/>
      <c r="W180" s="87"/>
      <c r="X180" s="87"/>
      <c r="Y180" s="87"/>
      <c r="Z180" s="87"/>
      <c r="AA180" s="87"/>
      <c r="AB180" s="87"/>
      <c r="AC180" s="87"/>
      <c r="AD180" s="87"/>
      <c r="AE180" s="87"/>
      <c r="AF180" s="87"/>
      <c r="AG180" s="87"/>
      <c r="AH180" s="87"/>
      <c r="AI180" s="87"/>
      <c r="AJ180" s="87"/>
      <c r="AK180" s="87"/>
      <c r="AL180" s="87"/>
      <c r="AM180" s="87"/>
      <c r="AN180" s="87"/>
    </row>
    <row r="181" ht="16.5" customHeight="1">
      <c r="A181" s="87"/>
      <c r="B181" s="87"/>
      <c r="C181" s="87"/>
      <c r="D181" s="87"/>
      <c r="E181" s="87"/>
      <c r="F181" s="79"/>
      <c r="G181" s="87"/>
      <c r="H181" s="92"/>
      <c r="I181" s="87"/>
      <c r="J181" s="87"/>
      <c r="K181" s="89"/>
      <c r="L181" s="87"/>
      <c r="M181" s="87"/>
      <c r="N181" s="87"/>
      <c r="O181" s="87"/>
      <c r="P181" s="87"/>
      <c r="Q181" s="87"/>
      <c r="R181" s="87"/>
      <c r="S181" s="87"/>
      <c r="T181" s="87"/>
      <c r="U181" s="87"/>
      <c r="V181" s="87"/>
      <c r="W181" s="87"/>
      <c r="X181" s="87"/>
      <c r="Y181" s="87"/>
      <c r="Z181" s="87"/>
      <c r="AA181" s="87"/>
      <c r="AB181" s="87"/>
      <c r="AC181" s="87"/>
      <c r="AD181" s="87"/>
      <c r="AE181" s="87"/>
      <c r="AF181" s="87"/>
      <c r="AG181" s="87"/>
      <c r="AH181" s="87"/>
      <c r="AI181" s="87"/>
      <c r="AJ181" s="87"/>
      <c r="AK181" s="87"/>
      <c r="AL181" s="87"/>
      <c r="AM181" s="87"/>
      <c r="AN181" s="87"/>
    </row>
    <row r="182" ht="16.5" customHeight="1">
      <c r="A182" s="87"/>
      <c r="B182" s="87"/>
      <c r="C182" s="87"/>
      <c r="D182" s="87"/>
      <c r="E182" s="87"/>
      <c r="F182" s="79"/>
      <c r="G182" s="87"/>
      <c r="H182" s="92"/>
      <c r="I182" s="87"/>
      <c r="J182" s="87"/>
      <c r="K182" s="89"/>
      <c r="L182" s="87"/>
      <c r="M182" s="87"/>
      <c r="N182" s="87"/>
      <c r="O182" s="87"/>
      <c r="P182" s="87"/>
      <c r="Q182" s="87"/>
      <c r="R182" s="87"/>
      <c r="S182" s="87"/>
      <c r="T182" s="87"/>
      <c r="U182" s="87"/>
      <c r="V182" s="87"/>
      <c r="W182" s="87"/>
      <c r="X182" s="87"/>
      <c r="Y182" s="87"/>
      <c r="Z182" s="87"/>
      <c r="AA182" s="87"/>
      <c r="AB182" s="87"/>
      <c r="AC182" s="87"/>
      <c r="AD182" s="87"/>
      <c r="AE182" s="87"/>
      <c r="AF182" s="87"/>
      <c r="AG182" s="87"/>
      <c r="AH182" s="87"/>
      <c r="AI182" s="87"/>
      <c r="AJ182" s="87"/>
      <c r="AK182" s="87"/>
      <c r="AL182" s="87"/>
      <c r="AM182" s="87"/>
      <c r="AN182" s="87"/>
    </row>
    <row r="183" ht="16.5" customHeight="1">
      <c r="A183" s="87"/>
      <c r="B183" s="87"/>
      <c r="C183" s="87"/>
      <c r="D183" s="87"/>
      <c r="E183" s="87"/>
      <c r="F183" s="79"/>
      <c r="G183" s="87"/>
      <c r="H183" s="92"/>
      <c r="I183" s="87"/>
      <c r="J183" s="87"/>
      <c r="K183" s="89"/>
      <c r="L183" s="87"/>
      <c r="M183" s="87"/>
      <c r="N183" s="87"/>
      <c r="O183" s="87"/>
      <c r="P183" s="87"/>
      <c r="Q183" s="87"/>
      <c r="R183" s="87"/>
      <c r="S183" s="87"/>
      <c r="T183" s="87"/>
      <c r="U183" s="87"/>
      <c r="V183" s="87"/>
      <c r="W183" s="87"/>
      <c r="X183" s="87"/>
      <c r="Y183" s="87"/>
      <c r="Z183" s="87"/>
      <c r="AA183" s="87"/>
      <c r="AB183" s="87"/>
      <c r="AC183" s="87"/>
      <c r="AD183" s="87"/>
      <c r="AE183" s="87"/>
      <c r="AF183" s="87"/>
      <c r="AG183" s="87"/>
      <c r="AH183" s="87"/>
      <c r="AI183" s="87"/>
      <c r="AJ183" s="87"/>
      <c r="AK183" s="87"/>
      <c r="AL183" s="87"/>
      <c r="AM183" s="87"/>
      <c r="AN183" s="87"/>
    </row>
    <row r="184" ht="16.5" customHeight="1">
      <c r="A184" s="87"/>
      <c r="B184" s="87"/>
      <c r="C184" s="87"/>
      <c r="D184" s="87"/>
      <c r="E184" s="87"/>
      <c r="F184" s="79"/>
      <c r="G184" s="87"/>
      <c r="H184" s="92"/>
      <c r="I184" s="87"/>
      <c r="J184" s="87"/>
      <c r="K184" s="89"/>
      <c r="L184" s="87"/>
      <c r="M184" s="87"/>
      <c r="N184" s="87"/>
      <c r="O184" s="87"/>
      <c r="P184" s="87"/>
      <c r="Q184" s="87"/>
      <c r="R184" s="87"/>
      <c r="S184" s="87"/>
      <c r="T184" s="87"/>
      <c r="U184" s="87"/>
      <c r="V184" s="87"/>
      <c r="W184" s="87"/>
      <c r="X184" s="87"/>
      <c r="Y184" s="87"/>
      <c r="Z184" s="87"/>
      <c r="AA184" s="87"/>
      <c r="AB184" s="87"/>
      <c r="AC184" s="87"/>
      <c r="AD184" s="87"/>
      <c r="AE184" s="87"/>
      <c r="AF184" s="87"/>
      <c r="AG184" s="87"/>
      <c r="AH184" s="87"/>
      <c r="AI184" s="87"/>
      <c r="AJ184" s="87"/>
      <c r="AK184" s="87"/>
      <c r="AL184" s="87"/>
      <c r="AM184" s="87"/>
      <c r="AN184" s="87"/>
    </row>
    <row r="185" ht="16.5" customHeight="1">
      <c r="A185" s="87"/>
      <c r="B185" s="87"/>
      <c r="C185" s="87"/>
      <c r="D185" s="87"/>
      <c r="E185" s="87"/>
      <c r="F185" s="79"/>
      <c r="G185" s="87"/>
      <c r="H185" s="92"/>
      <c r="I185" s="87"/>
      <c r="J185" s="87"/>
      <c r="K185" s="89"/>
      <c r="L185" s="87"/>
      <c r="M185" s="87"/>
      <c r="N185" s="87"/>
      <c r="O185" s="87"/>
      <c r="P185" s="87"/>
      <c r="Q185" s="87"/>
      <c r="R185" s="87"/>
      <c r="S185" s="87"/>
      <c r="T185" s="87"/>
      <c r="U185" s="87"/>
      <c r="V185" s="87"/>
      <c r="W185" s="87"/>
      <c r="X185" s="87"/>
      <c r="Y185" s="87"/>
      <c r="Z185" s="87"/>
      <c r="AA185" s="87"/>
      <c r="AB185" s="87"/>
      <c r="AC185" s="87"/>
      <c r="AD185" s="87"/>
      <c r="AE185" s="87"/>
      <c r="AF185" s="87"/>
      <c r="AG185" s="87"/>
      <c r="AH185" s="87"/>
      <c r="AI185" s="87"/>
      <c r="AJ185" s="87"/>
      <c r="AK185" s="87"/>
      <c r="AL185" s="87"/>
      <c r="AM185" s="87"/>
      <c r="AN185" s="87"/>
    </row>
    <row r="186" ht="16.5" customHeight="1">
      <c r="A186" s="87"/>
      <c r="B186" s="87"/>
      <c r="C186" s="87"/>
      <c r="D186" s="87"/>
      <c r="E186" s="87"/>
      <c r="F186" s="79"/>
      <c r="G186" s="87"/>
      <c r="H186" s="92"/>
      <c r="I186" s="87"/>
      <c r="J186" s="87"/>
      <c r="K186" s="89"/>
      <c r="L186" s="87"/>
      <c r="M186" s="87"/>
      <c r="N186" s="87"/>
      <c r="O186" s="87"/>
      <c r="P186" s="87"/>
      <c r="Q186" s="87"/>
      <c r="R186" s="87"/>
      <c r="S186" s="87"/>
      <c r="T186" s="87"/>
      <c r="U186" s="87"/>
      <c r="V186" s="87"/>
      <c r="W186" s="87"/>
      <c r="X186" s="87"/>
      <c r="Y186" s="87"/>
      <c r="Z186" s="87"/>
      <c r="AA186" s="87"/>
      <c r="AB186" s="87"/>
      <c r="AC186" s="87"/>
      <c r="AD186" s="87"/>
      <c r="AE186" s="87"/>
      <c r="AF186" s="87"/>
      <c r="AG186" s="87"/>
      <c r="AH186" s="87"/>
      <c r="AI186" s="87"/>
      <c r="AJ186" s="87"/>
      <c r="AK186" s="87"/>
      <c r="AL186" s="87"/>
      <c r="AM186" s="87"/>
      <c r="AN186" s="87"/>
    </row>
    <row r="187" ht="16.5" customHeight="1">
      <c r="A187" s="87"/>
      <c r="B187" s="87"/>
      <c r="C187" s="87"/>
      <c r="D187" s="87"/>
      <c r="E187" s="87"/>
      <c r="F187" s="79"/>
      <c r="G187" s="87"/>
      <c r="H187" s="92"/>
      <c r="I187" s="87"/>
      <c r="J187" s="87"/>
      <c r="K187" s="89"/>
      <c r="L187" s="87"/>
      <c r="M187" s="87"/>
      <c r="N187" s="87"/>
      <c r="O187" s="87"/>
      <c r="P187" s="87"/>
      <c r="Q187" s="87"/>
      <c r="R187" s="87"/>
      <c r="S187" s="87"/>
      <c r="T187" s="87"/>
      <c r="U187" s="87"/>
      <c r="V187" s="87"/>
      <c r="W187" s="87"/>
      <c r="X187" s="87"/>
      <c r="Y187" s="87"/>
      <c r="Z187" s="87"/>
      <c r="AA187" s="87"/>
      <c r="AB187" s="87"/>
      <c r="AC187" s="87"/>
      <c r="AD187" s="87"/>
      <c r="AE187" s="87"/>
      <c r="AF187" s="87"/>
      <c r="AG187" s="87"/>
      <c r="AH187" s="87"/>
      <c r="AI187" s="87"/>
      <c r="AJ187" s="87"/>
      <c r="AK187" s="87"/>
      <c r="AL187" s="87"/>
      <c r="AM187" s="87"/>
      <c r="AN187" s="87"/>
    </row>
    <row r="188" ht="16.5" customHeight="1">
      <c r="A188" s="87"/>
      <c r="B188" s="87"/>
      <c r="C188" s="87"/>
      <c r="D188" s="87"/>
      <c r="E188" s="87"/>
      <c r="F188" s="79"/>
      <c r="G188" s="87"/>
      <c r="H188" s="92"/>
      <c r="I188" s="87"/>
      <c r="J188" s="87"/>
      <c r="K188" s="89"/>
      <c r="L188" s="87"/>
      <c r="M188" s="87"/>
      <c r="N188" s="87"/>
      <c r="O188" s="87"/>
      <c r="P188" s="87"/>
      <c r="Q188" s="87"/>
      <c r="R188" s="87"/>
      <c r="S188" s="87"/>
      <c r="T188" s="87"/>
      <c r="U188" s="87"/>
      <c r="V188" s="87"/>
      <c r="W188" s="87"/>
      <c r="X188" s="87"/>
      <c r="Y188" s="87"/>
      <c r="Z188" s="87"/>
      <c r="AA188" s="87"/>
      <c r="AB188" s="87"/>
      <c r="AC188" s="87"/>
      <c r="AD188" s="87"/>
      <c r="AE188" s="87"/>
      <c r="AF188" s="87"/>
      <c r="AG188" s="87"/>
      <c r="AH188" s="87"/>
      <c r="AI188" s="87"/>
      <c r="AJ188" s="87"/>
      <c r="AK188" s="87"/>
      <c r="AL188" s="87"/>
      <c r="AM188" s="87"/>
      <c r="AN188" s="87"/>
    </row>
    <row r="189" ht="16.5" customHeight="1">
      <c r="A189" s="87"/>
      <c r="B189" s="87"/>
      <c r="C189" s="87"/>
      <c r="D189" s="87"/>
      <c r="E189" s="87"/>
      <c r="F189" s="79"/>
      <c r="G189" s="87"/>
      <c r="H189" s="92"/>
      <c r="I189" s="87"/>
      <c r="J189" s="87"/>
      <c r="K189" s="89"/>
      <c r="L189" s="87"/>
      <c r="M189" s="87"/>
      <c r="N189" s="87"/>
      <c r="O189" s="87"/>
      <c r="P189" s="87"/>
      <c r="Q189" s="87"/>
      <c r="R189" s="87"/>
      <c r="S189" s="87"/>
      <c r="T189" s="87"/>
      <c r="U189" s="87"/>
      <c r="V189" s="87"/>
      <c r="W189" s="87"/>
      <c r="X189" s="87"/>
      <c r="Y189" s="87"/>
      <c r="Z189" s="87"/>
      <c r="AA189" s="87"/>
      <c r="AB189" s="87"/>
      <c r="AC189" s="87"/>
      <c r="AD189" s="87"/>
      <c r="AE189" s="87"/>
      <c r="AF189" s="87"/>
      <c r="AG189" s="87"/>
      <c r="AH189" s="87"/>
      <c r="AI189" s="87"/>
      <c r="AJ189" s="87"/>
      <c r="AK189" s="87"/>
      <c r="AL189" s="87"/>
      <c r="AM189" s="87"/>
      <c r="AN189" s="87"/>
    </row>
    <row r="190" ht="16.5" customHeight="1">
      <c r="A190" s="87"/>
      <c r="B190" s="87"/>
      <c r="C190" s="87"/>
      <c r="D190" s="87"/>
      <c r="E190" s="87"/>
      <c r="F190" s="79"/>
      <c r="G190" s="87"/>
      <c r="H190" s="92"/>
      <c r="I190" s="87"/>
      <c r="J190" s="87"/>
      <c r="K190" s="89"/>
      <c r="L190" s="87"/>
      <c r="M190" s="87"/>
      <c r="N190" s="87"/>
      <c r="O190" s="87"/>
      <c r="P190" s="87"/>
      <c r="Q190" s="87"/>
      <c r="R190" s="87"/>
      <c r="S190" s="87"/>
      <c r="T190" s="87"/>
      <c r="U190" s="87"/>
      <c r="V190" s="87"/>
      <c r="W190" s="87"/>
      <c r="X190" s="87"/>
      <c r="Y190" s="87"/>
      <c r="Z190" s="87"/>
      <c r="AA190" s="87"/>
      <c r="AB190" s="87"/>
      <c r="AC190" s="87"/>
      <c r="AD190" s="87"/>
      <c r="AE190" s="87"/>
      <c r="AF190" s="87"/>
      <c r="AG190" s="87"/>
      <c r="AH190" s="87"/>
      <c r="AI190" s="87"/>
      <c r="AJ190" s="87"/>
      <c r="AK190" s="87"/>
      <c r="AL190" s="87"/>
      <c r="AM190" s="87"/>
      <c r="AN190" s="87"/>
    </row>
    <row r="191" ht="16.5" customHeight="1">
      <c r="A191" s="87"/>
      <c r="B191" s="87"/>
      <c r="C191" s="87"/>
      <c r="D191" s="87"/>
      <c r="E191" s="87"/>
      <c r="F191" s="79"/>
      <c r="G191" s="87"/>
      <c r="H191" s="92"/>
      <c r="I191" s="87"/>
      <c r="J191" s="87"/>
      <c r="K191" s="89"/>
      <c r="L191" s="87"/>
      <c r="M191" s="87"/>
      <c r="N191" s="87"/>
      <c r="O191" s="87"/>
      <c r="P191" s="87"/>
      <c r="Q191" s="87"/>
      <c r="R191" s="87"/>
      <c r="S191" s="87"/>
      <c r="T191" s="87"/>
      <c r="U191" s="87"/>
      <c r="V191" s="87"/>
      <c r="W191" s="87"/>
      <c r="X191" s="87"/>
      <c r="Y191" s="87"/>
      <c r="Z191" s="87"/>
      <c r="AA191" s="87"/>
      <c r="AB191" s="87"/>
      <c r="AC191" s="87"/>
      <c r="AD191" s="87"/>
      <c r="AE191" s="87"/>
      <c r="AF191" s="87"/>
      <c r="AG191" s="87"/>
      <c r="AH191" s="87"/>
      <c r="AI191" s="87"/>
      <c r="AJ191" s="87"/>
      <c r="AK191" s="87"/>
      <c r="AL191" s="87"/>
      <c r="AM191" s="87"/>
      <c r="AN191" s="87"/>
    </row>
    <row r="192" ht="16.5" customHeight="1">
      <c r="A192" s="87"/>
      <c r="B192" s="87"/>
      <c r="C192" s="87"/>
      <c r="D192" s="87"/>
      <c r="E192" s="87"/>
      <c r="F192" s="79"/>
      <c r="G192" s="87"/>
      <c r="H192" s="92"/>
      <c r="I192" s="87"/>
      <c r="J192" s="87"/>
      <c r="K192" s="89"/>
      <c r="L192" s="87"/>
      <c r="M192" s="87"/>
      <c r="N192" s="87"/>
      <c r="O192" s="87"/>
      <c r="P192" s="87"/>
      <c r="Q192" s="87"/>
      <c r="R192" s="87"/>
      <c r="S192" s="87"/>
      <c r="T192" s="87"/>
      <c r="U192" s="87"/>
      <c r="V192" s="87"/>
      <c r="W192" s="87"/>
      <c r="X192" s="87"/>
      <c r="Y192" s="87"/>
      <c r="Z192" s="87"/>
      <c r="AA192" s="87"/>
      <c r="AB192" s="87"/>
      <c r="AC192" s="87"/>
      <c r="AD192" s="87"/>
      <c r="AE192" s="87"/>
      <c r="AF192" s="87"/>
      <c r="AG192" s="87"/>
      <c r="AH192" s="87"/>
      <c r="AI192" s="87"/>
      <c r="AJ192" s="87"/>
      <c r="AK192" s="87"/>
      <c r="AL192" s="87"/>
      <c r="AM192" s="87"/>
      <c r="AN192" s="87"/>
    </row>
    <row r="193" ht="16.5" customHeight="1">
      <c r="A193" s="87"/>
      <c r="B193" s="87"/>
      <c r="C193" s="87"/>
      <c r="D193" s="87"/>
      <c r="E193" s="87"/>
      <c r="F193" s="79"/>
      <c r="G193" s="87"/>
      <c r="H193" s="92"/>
      <c r="I193" s="87"/>
      <c r="J193" s="87"/>
      <c r="K193" s="89"/>
      <c r="L193" s="87"/>
      <c r="M193" s="87"/>
      <c r="N193" s="87"/>
      <c r="O193" s="87"/>
      <c r="P193" s="87"/>
      <c r="Q193" s="87"/>
      <c r="R193" s="87"/>
      <c r="S193" s="87"/>
      <c r="T193" s="87"/>
      <c r="U193" s="87"/>
      <c r="V193" s="87"/>
      <c r="W193" s="87"/>
      <c r="X193" s="87"/>
      <c r="Y193" s="87"/>
      <c r="Z193" s="87"/>
      <c r="AA193" s="87"/>
      <c r="AB193" s="87"/>
      <c r="AC193" s="87"/>
      <c r="AD193" s="87"/>
      <c r="AE193" s="87"/>
      <c r="AF193" s="87"/>
      <c r="AG193" s="87"/>
      <c r="AH193" s="87"/>
      <c r="AI193" s="87"/>
      <c r="AJ193" s="87"/>
      <c r="AK193" s="87"/>
      <c r="AL193" s="87"/>
      <c r="AM193" s="87"/>
      <c r="AN193" s="87"/>
    </row>
    <row r="194" ht="16.5" customHeight="1">
      <c r="A194" s="87"/>
      <c r="B194" s="87"/>
      <c r="C194" s="87"/>
      <c r="D194" s="87"/>
      <c r="E194" s="87"/>
      <c r="F194" s="79"/>
      <c r="G194" s="87"/>
      <c r="H194" s="92"/>
      <c r="I194" s="87"/>
      <c r="J194" s="87"/>
      <c r="K194" s="89"/>
      <c r="L194" s="87"/>
      <c r="M194" s="87"/>
      <c r="N194" s="87"/>
      <c r="O194" s="87"/>
      <c r="P194" s="87"/>
      <c r="Q194" s="87"/>
      <c r="R194" s="87"/>
      <c r="S194" s="87"/>
      <c r="T194" s="87"/>
      <c r="U194" s="87"/>
      <c r="V194" s="87"/>
      <c r="W194" s="87"/>
      <c r="X194" s="87"/>
      <c r="Y194" s="87"/>
      <c r="Z194" s="87"/>
      <c r="AA194" s="87"/>
      <c r="AB194" s="87"/>
      <c r="AC194" s="87"/>
      <c r="AD194" s="87"/>
      <c r="AE194" s="87"/>
      <c r="AF194" s="87"/>
      <c r="AG194" s="87"/>
      <c r="AH194" s="87"/>
      <c r="AI194" s="87"/>
      <c r="AJ194" s="87"/>
      <c r="AK194" s="87"/>
      <c r="AL194" s="87"/>
      <c r="AM194" s="87"/>
      <c r="AN194" s="87"/>
    </row>
    <row r="195" ht="16.5" customHeight="1">
      <c r="A195" s="87"/>
      <c r="B195" s="87"/>
      <c r="C195" s="87"/>
      <c r="D195" s="87"/>
      <c r="E195" s="87"/>
      <c r="F195" s="79"/>
      <c r="G195" s="87"/>
      <c r="H195" s="92"/>
      <c r="I195" s="87"/>
      <c r="J195" s="87"/>
      <c r="K195" s="89"/>
      <c r="L195" s="87"/>
      <c r="M195" s="87"/>
      <c r="N195" s="87"/>
      <c r="O195" s="87"/>
      <c r="P195" s="87"/>
      <c r="Q195" s="87"/>
      <c r="R195" s="87"/>
      <c r="S195" s="87"/>
      <c r="T195" s="87"/>
      <c r="U195" s="87"/>
      <c r="V195" s="87"/>
      <c r="W195" s="87"/>
      <c r="X195" s="87"/>
      <c r="Y195" s="87"/>
      <c r="Z195" s="87"/>
      <c r="AA195" s="87"/>
      <c r="AB195" s="87"/>
      <c r="AC195" s="87"/>
      <c r="AD195" s="87"/>
      <c r="AE195" s="87"/>
      <c r="AF195" s="87"/>
      <c r="AG195" s="87"/>
      <c r="AH195" s="87"/>
      <c r="AI195" s="87"/>
      <c r="AJ195" s="87"/>
      <c r="AK195" s="87"/>
      <c r="AL195" s="87"/>
      <c r="AM195" s="87"/>
      <c r="AN195" s="87"/>
    </row>
    <row r="196" ht="16.5" customHeight="1">
      <c r="A196" s="87"/>
      <c r="B196" s="87"/>
      <c r="C196" s="87"/>
      <c r="D196" s="87"/>
      <c r="E196" s="87"/>
      <c r="F196" s="79"/>
      <c r="G196" s="87"/>
      <c r="H196" s="92"/>
      <c r="I196" s="87"/>
      <c r="J196" s="87"/>
      <c r="K196" s="89"/>
      <c r="L196" s="87"/>
      <c r="M196" s="87"/>
      <c r="N196" s="87"/>
      <c r="O196" s="87"/>
      <c r="P196" s="87"/>
      <c r="Q196" s="87"/>
      <c r="R196" s="87"/>
      <c r="S196" s="87"/>
      <c r="T196" s="87"/>
      <c r="U196" s="87"/>
      <c r="V196" s="87"/>
      <c r="W196" s="87"/>
      <c r="X196" s="87"/>
      <c r="Y196" s="87"/>
      <c r="Z196" s="87"/>
      <c r="AA196" s="87"/>
      <c r="AB196" s="87"/>
      <c r="AC196" s="87"/>
      <c r="AD196" s="87"/>
      <c r="AE196" s="87"/>
      <c r="AF196" s="87"/>
      <c r="AG196" s="87"/>
      <c r="AH196" s="87"/>
      <c r="AI196" s="87"/>
      <c r="AJ196" s="87"/>
      <c r="AK196" s="87"/>
      <c r="AL196" s="87"/>
      <c r="AM196" s="87"/>
      <c r="AN196" s="87"/>
    </row>
    <row r="197" ht="16.5" customHeight="1">
      <c r="A197" s="87"/>
      <c r="B197" s="87"/>
      <c r="C197" s="87"/>
      <c r="D197" s="87"/>
      <c r="E197" s="87"/>
      <c r="F197" s="79"/>
      <c r="G197" s="87"/>
      <c r="H197" s="92"/>
      <c r="I197" s="87"/>
      <c r="J197" s="87"/>
      <c r="K197" s="89"/>
      <c r="L197" s="87"/>
      <c r="M197" s="87"/>
      <c r="N197" s="87"/>
      <c r="O197" s="87"/>
      <c r="P197" s="87"/>
      <c r="Q197" s="87"/>
      <c r="R197" s="87"/>
      <c r="S197" s="87"/>
      <c r="T197" s="87"/>
      <c r="U197" s="87"/>
      <c r="V197" s="87"/>
      <c r="W197" s="87"/>
      <c r="X197" s="87"/>
      <c r="Y197" s="87"/>
      <c r="Z197" s="87"/>
      <c r="AA197" s="87"/>
      <c r="AB197" s="87"/>
      <c r="AC197" s="87"/>
      <c r="AD197" s="87"/>
      <c r="AE197" s="87"/>
      <c r="AF197" s="87"/>
      <c r="AG197" s="87"/>
      <c r="AH197" s="87"/>
      <c r="AI197" s="87"/>
      <c r="AJ197" s="87"/>
      <c r="AK197" s="87"/>
      <c r="AL197" s="87"/>
      <c r="AM197" s="87"/>
      <c r="AN197" s="87"/>
    </row>
    <row r="198" ht="16.5" customHeight="1">
      <c r="A198" s="87"/>
      <c r="B198" s="87"/>
      <c r="C198" s="87"/>
      <c r="D198" s="87"/>
      <c r="E198" s="87"/>
      <c r="F198" s="79"/>
      <c r="G198" s="87"/>
      <c r="H198" s="92"/>
      <c r="I198" s="87"/>
      <c r="J198" s="87"/>
      <c r="K198" s="89"/>
      <c r="L198" s="87"/>
      <c r="M198" s="87"/>
      <c r="N198" s="87"/>
      <c r="O198" s="87"/>
      <c r="P198" s="87"/>
      <c r="Q198" s="87"/>
      <c r="R198" s="87"/>
      <c r="S198" s="87"/>
      <c r="T198" s="87"/>
      <c r="U198" s="87"/>
      <c r="V198" s="87"/>
      <c r="W198" s="87"/>
      <c r="X198" s="87"/>
      <c r="Y198" s="87"/>
      <c r="Z198" s="87"/>
      <c r="AA198" s="87"/>
      <c r="AB198" s="87"/>
      <c r="AC198" s="87"/>
      <c r="AD198" s="87"/>
      <c r="AE198" s="87"/>
      <c r="AF198" s="87"/>
      <c r="AG198" s="87"/>
      <c r="AH198" s="87"/>
      <c r="AI198" s="87"/>
      <c r="AJ198" s="87"/>
      <c r="AK198" s="87"/>
      <c r="AL198" s="87"/>
      <c r="AM198" s="87"/>
      <c r="AN198" s="87"/>
    </row>
    <row r="199" ht="16.5" customHeight="1">
      <c r="A199" s="87"/>
      <c r="B199" s="87"/>
      <c r="C199" s="87"/>
      <c r="D199" s="87"/>
      <c r="E199" s="87"/>
      <c r="F199" s="79"/>
      <c r="G199" s="87"/>
      <c r="H199" s="92"/>
      <c r="I199" s="87"/>
      <c r="J199" s="87"/>
      <c r="K199" s="89"/>
      <c r="L199" s="87"/>
      <c r="M199" s="87"/>
      <c r="N199" s="87"/>
      <c r="O199" s="87"/>
      <c r="P199" s="87"/>
      <c r="Q199" s="87"/>
      <c r="R199" s="87"/>
      <c r="S199" s="87"/>
      <c r="T199" s="87"/>
      <c r="U199" s="87"/>
      <c r="V199" s="87"/>
      <c r="W199" s="87"/>
      <c r="X199" s="87"/>
      <c r="Y199" s="87"/>
      <c r="Z199" s="87"/>
      <c r="AA199" s="87"/>
      <c r="AB199" s="87"/>
      <c r="AC199" s="87"/>
      <c r="AD199" s="87"/>
      <c r="AE199" s="87"/>
      <c r="AF199" s="87"/>
      <c r="AG199" s="87"/>
      <c r="AH199" s="87"/>
      <c r="AI199" s="87"/>
      <c r="AJ199" s="87"/>
      <c r="AK199" s="87"/>
      <c r="AL199" s="87"/>
      <c r="AM199" s="87"/>
      <c r="AN199" s="87"/>
    </row>
    <row r="200" ht="16.5" customHeight="1">
      <c r="A200" s="87"/>
      <c r="B200" s="87"/>
      <c r="C200" s="87"/>
      <c r="D200" s="87"/>
      <c r="E200" s="87"/>
      <c r="F200" s="79"/>
      <c r="G200" s="87"/>
      <c r="H200" s="92"/>
      <c r="I200" s="87"/>
      <c r="J200" s="87"/>
      <c r="K200" s="89"/>
      <c r="L200" s="87"/>
      <c r="M200" s="87"/>
      <c r="N200" s="87"/>
      <c r="O200" s="87"/>
      <c r="P200" s="87"/>
      <c r="Q200" s="87"/>
      <c r="R200" s="87"/>
      <c r="S200" s="87"/>
      <c r="T200" s="87"/>
      <c r="U200" s="87"/>
      <c r="V200" s="87"/>
      <c r="W200" s="87"/>
      <c r="X200" s="87"/>
      <c r="Y200" s="87"/>
      <c r="Z200" s="87"/>
      <c r="AA200" s="87"/>
      <c r="AB200" s="87"/>
      <c r="AC200" s="87"/>
      <c r="AD200" s="87"/>
      <c r="AE200" s="87"/>
      <c r="AF200" s="87"/>
      <c r="AG200" s="87"/>
      <c r="AH200" s="87"/>
      <c r="AI200" s="87"/>
      <c r="AJ200" s="87"/>
      <c r="AK200" s="87"/>
      <c r="AL200" s="87"/>
      <c r="AM200" s="87"/>
      <c r="AN200" s="87"/>
    </row>
    <row r="201" ht="16.5" customHeight="1">
      <c r="A201" s="87"/>
      <c r="B201" s="87"/>
      <c r="C201" s="87"/>
      <c r="D201" s="87"/>
      <c r="E201" s="87"/>
      <c r="F201" s="79"/>
      <c r="G201" s="87"/>
      <c r="H201" s="92"/>
      <c r="I201" s="87"/>
      <c r="J201" s="87"/>
      <c r="K201" s="89"/>
      <c r="L201" s="87"/>
      <c r="M201" s="87"/>
      <c r="N201" s="87"/>
      <c r="O201" s="87"/>
      <c r="P201" s="87"/>
      <c r="Q201" s="87"/>
      <c r="R201" s="87"/>
      <c r="S201" s="87"/>
      <c r="T201" s="87"/>
      <c r="U201" s="87"/>
      <c r="V201" s="87"/>
      <c r="W201" s="87"/>
      <c r="X201" s="87"/>
      <c r="Y201" s="87"/>
      <c r="Z201" s="87"/>
      <c r="AA201" s="87"/>
      <c r="AB201" s="87"/>
      <c r="AC201" s="87"/>
      <c r="AD201" s="87"/>
      <c r="AE201" s="87"/>
      <c r="AF201" s="87"/>
      <c r="AG201" s="87"/>
      <c r="AH201" s="87"/>
      <c r="AI201" s="87"/>
      <c r="AJ201" s="87"/>
      <c r="AK201" s="87"/>
      <c r="AL201" s="87"/>
      <c r="AM201" s="87"/>
      <c r="AN201" s="87"/>
    </row>
    <row r="202" ht="16.5" customHeight="1">
      <c r="A202" s="87"/>
      <c r="B202" s="87"/>
      <c r="C202" s="87"/>
      <c r="D202" s="87"/>
      <c r="E202" s="87"/>
      <c r="F202" s="79"/>
      <c r="G202" s="87"/>
      <c r="H202" s="92"/>
      <c r="I202" s="87"/>
      <c r="J202" s="87"/>
      <c r="K202" s="89"/>
      <c r="L202" s="87"/>
      <c r="M202" s="87"/>
      <c r="N202" s="87"/>
      <c r="O202" s="87"/>
      <c r="P202" s="87"/>
      <c r="Q202" s="87"/>
      <c r="R202" s="87"/>
      <c r="S202" s="87"/>
      <c r="T202" s="87"/>
      <c r="U202" s="87"/>
      <c r="V202" s="87"/>
      <c r="W202" s="87"/>
      <c r="X202" s="87"/>
      <c r="Y202" s="87"/>
      <c r="Z202" s="87"/>
      <c r="AA202" s="87"/>
      <c r="AB202" s="87"/>
      <c r="AC202" s="87"/>
      <c r="AD202" s="87"/>
      <c r="AE202" s="87"/>
      <c r="AF202" s="87"/>
      <c r="AG202" s="87"/>
      <c r="AH202" s="87"/>
      <c r="AI202" s="87"/>
      <c r="AJ202" s="87"/>
      <c r="AK202" s="87"/>
      <c r="AL202" s="87"/>
      <c r="AM202" s="87"/>
      <c r="AN202" s="87"/>
    </row>
    <row r="203" ht="16.5" customHeight="1">
      <c r="A203" s="87"/>
      <c r="B203" s="87"/>
      <c r="C203" s="87"/>
      <c r="D203" s="87"/>
      <c r="E203" s="87"/>
      <c r="F203" s="79"/>
      <c r="G203" s="87"/>
      <c r="H203" s="92"/>
      <c r="I203" s="87"/>
      <c r="J203" s="87"/>
      <c r="K203" s="89"/>
      <c r="L203" s="87"/>
      <c r="M203" s="87"/>
      <c r="N203" s="87"/>
      <c r="O203" s="87"/>
      <c r="P203" s="87"/>
      <c r="Q203" s="87"/>
      <c r="R203" s="87"/>
      <c r="S203" s="87"/>
      <c r="T203" s="87"/>
      <c r="U203" s="87"/>
      <c r="V203" s="87"/>
      <c r="W203" s="87"/>
      <c r="X203" s="87"/>
      <c r="Y203" s="87"/>
      <c r="Z203" s="87"/>
      <c r="AA203" s="87"/>
      <c r="AB203" s="87"/>
      <c r="AC203" s="87"/>
      <c r="AD203" s="87"/>
      <c r="AE203" s="87"/>
      <c r="AF203" s="87"/>
      <c r="AG203" s="87"/>
      <c r="AH203" s="87"/>
      <c r="AI203" s="87"/>
      <c r="AJ203" s="87"/>
      <c r="AK203" s="87"/>
      <c r="AL203" s="87"/>
      <c r="AM203" s="87"/>
      <c r="AN203" s="87"/>
    </row>
    <row r="204" ht="16.5" customHeight="1">
      <c r="A204" s="87"/>
      <c r="B204" s="87"/>
      <c r="C204" s="87"/>
      <c r="D204" s="87"/>
      <c r="E204" s="87"/>
      <c r="F204" s="79"/>
      <c r="G204" s="87"/>
      <c r="H204" s="92"/>
      <c r="I204" s="87"/>
      <c r="J204" s="87"/>
      <c r="K204" s="89"/>
      <c r="L204" s="87"/>
      <c r="M204" s="87"/>
      <c r="N204" s="87"/>
      <c r="O204" s="87"/>
      <c r="P204" s="87"/>
      <c r="Q204" s="87"/>
      <c r="R204" s="87"/>
      <c r="S204" s="87"/>
      <c r="T204" s="87"/>
      <c r="U204" s="87"/>
      <c r="V204" s="87"/>
      <c r="W204" s="87"/>
      <c r="X204" s="87"/>
      <c r="Y204" s="87"/>
      <c r="Z204" s="87"/>
      <c r="AA204" s="87"/>
      <c r="AB204" s="87"/>
      <c r="AC204" s="87"/>
      <c r="AD204" s="87"/>
      <c r="AE204" s="87"/>
      <c r="AF204" s="87"/>
      <c r="AG204" s="87"/>
      <c r="AH204" s="87"/>
      <c r="AI204" s="87"/>
      <c r="AJ204" s="87"/>
      <c r="AK204" s="87"/>
      <c r="AL204" s="87"/>
      <c r="AM204" s="87"/>
      <c r="AN204" s="87"/>
    </row>
    <row r="205" ht="16.5" customHeight="1">
      <c r="A205" s="87"/>
      <c r="B205" s="87"/>
      <c r="C205" s="87"/>
      <c r="D205" s="87"/>
      <c r="E205" s="87"/>
      <c r="F205" s="79"/>
      <c r="G205" s="87"/>
      <c r="H205" s="92"/>
      <c r="I205" s="87"/>
      <c r="J205" s="87"/>
      <c r="K205" s="89"/>
      <c r="L205" s="87"/>
      <c r="M205" s="87"/>
      <c r="N205" s="87"/>
      <c r="O205" s="87"/>
      <c r="P205" s="87"/>
      <c r="Q205" s="87"/>
      <c r="R205" s="87"/>
      <c r="S205" s="87"/>
      <c r="T205" s="87"/>
      <c r="U205" s="87"/>
      <c r="V205" s="87"/>
      <c r="W205" s="87"/>
      <c r="X205" s="87"/>
      <c r="Y205" s="87"/>
      <c r="Z205" s="87"/>
      <c r="AA205" s="87"/>
      <c r="AB205" s="87"/>
      <c r="AC205" s="87"/>
      <c r="AD205" s="87"/>
      <c r="AE205" s="87"/>
      <c r="AF205" s="87"/>
      <c r="AG205" s="87"/>
      <c r="AH205" s="87"/>
      <c r="AI205" s="87"/>
      <c r="AJ205" s="87"/>
      <c r="AK205" s="87"/>
      <c r="AL205" s="87"/>
      <c r="AM205" s="87"/>
      <c r="AN205" s="87"/>
    </row>
    <row r="206" ht="16.5" customHeight="1">
      <c r="A206" s="87"/>
      <c r="B206" s="87"/>
      <c r="C206" s="87"/>
      <c r="D206" s="87"/>
      <c r="E206" s="87"/>
      <c r="F206" s="79"/>
      <c r="G206" s="87"/>
      <c r="H206" s="92"/>
      <c r="I206" s="87"/>
      <c r="J206" s="87"/>
      <c r="K206" s="89"/>
      <c r="L206" s="87"/>
      <c r="M206" s="87"/>
      <c r="N206" s="87"/>
      <c r="O206" s="87"/>
      <c r="P206" s="87"/>
      <c r="Q206" s="87"/>
      <c r="R206" s="87"/>
      <c r="S206" s="87"/>
      <c r="T206" s="87"/>
      <c r="U206" s="87"/>
      <c r="V206" s="87"/>
      <c r="W206" s="87"/>
      <c r="X206" s="87"/>
      <c r="Y206" s="87"/>
      <c r="Z206" s="87"/>
      <c r="AA206" s="87"/>
      <c r="AB206" s="87"/>
      <c r="AC206" s="87"/>
      <c r="AD206" s="87"/>
      <c r="AE206" s="87"/>
      <c r="AF206" s="87"/>
      <c r="AG206" s="87"/>
      <c r="AH206" s="87"/>
      <c r="AI206" s="87"/>
      <c r="AJ206" s="87"/>
      <c r="AK206" s="87"/>
      <c r="AL206" s="87"/>
      <c r="AM206" s="87"/>
      <c r="AN206" s="87"/>
    </row>
    <row r="207" ht="16.5" customHeight="1">
      <c r="A207" s="87"/>
      <c r="B207" s="87"/>
      <c r="C207" s="87"/>
      <c r="D207" s="87"/>
      <c r="E207" s="87"/>
      <c r="F207" s="79"/>
      <c r="G207" s="87"/>
      <c r="H207" s="92"/>
      <c r="I207" s="87"/>
      <c r="J207" s="87"/>
      <c r="K207" s="89"/>
      <c r="L207" s="87"/>
      <c r="M207" s="87"/>
      <c r="N207" s="87"/>
      <c r="O207" s="87"/>
      <c r="P207" s="87"/>
      <c r="Q207" s="87"/>
      <c r="R207" s="87"/>
      <c r="S207" s="87"/>
      <c r="T207" s="87"/>
      <c r="U207" s="87"/>
      <c r="V207" s="87"/>
      <c r="W207" s="87"/>
      <c r="X207" s="87"/>
      <c r="Y207" s="87"/>
      <c r="Z207" s="87"/>
      <c r="AA207" s="87"/>
      <c r="AB207" s="87"/>
      <c r="AC207" s="87"/>
      <c r="AD207" s="87"/>
      <c r="AE207" s="87"/>
      <c r="AF207" s="87"/>
      <c r="AG207" s="87"/>
      <c r="AH207" s="87"/>
      <c r="AI207" s="87"/>
      <c r="AJ207" s="87"/>
      <c r="AK207" s="87"/>
      <c r="AL207" s="87"/>
      <c r="AM207" s="87"/>
      <c r="AN207" s="87"/>
    </row>
    <row r="208" ht="16.5" customHeight="1">
      <c r="A208" s="87"/>
      <c r="B208" s="87"/>
      <c r="C208" s="87"/>
      <c r="D208" s="87"/>
      <c r="E208" s="87"/>
      <c r="F208" s="79"/>
      <c r="G208" s="87"/>
      <c r="H208" s="92"/>
      <c r="I208" s="87"/>
      <c r="J208" s="87"/>
      <c r="K208" s="89"/>
      <c r="L208" s="87"/>
      <c r="M208" s="87"/>
      <c r="N208" s="87"/>
      <c r="O208" s="87"/>
      <c r="P208" s="87"/>
      <c r="Q208" s="87"/>
      <c r="R208" s="87"/>
      <c r="S208" s="87"/>
      <c r="T208" s="87"/>
      <c r="U208" s="87"/>
      <c r="V208" s="87"/>
      <c r="W208" s="87"/>
      <c r="X208" s="87"/>
      <c r="Y208" s="87"/>
      <c r="Z208" s="87"/>
      <c r="AA208" s="87"/>
      <c r="AB208" s="87"/>
      <c r="AC208" s="87"/>
      <c r="AD208" s="87"/>
      <c r="AE208" s="87"/>
      <c r="AF208" s="87"/>
      <c r="AG208" s="87"/>
      <c r="AH208" s="87"/>
      <c r="AI208" s="87"/>
      <c r="AJ208" s="87"/>
      <c r="AK208" s="87"/>
      <c r="AL208" s="87"/>
      <c r="AM208" s="87"/>
      <c r="AN208" s="87"/>
    </row>
    <row r="209" ht="16.5" customHeight="1">
      <c r="A209" s="87"/>
      <c r="B209" s="87"/>
      <c r="C209" s="87"/>
      <c r="D209" s="87"/>
      <c r="E209" s="87"/>
      <c r="F209" s="79"/>
      <c r="G209" s="87"/>
      <c r="H209" s="92"/>
      <c r="I209" s="87"/>
      <c r="J209" s="87"/>
      <c r="K209" s="89"/>
      <c r="L209" s="87"/>
      <c r="M209" s="87"/>
      <c r="N209" s="87"/>
      <c r="O209" s="87"/>
      <c r="P209" s="87"/>
      <c r="Q209" s="87"/>
      <c r="R209" s="87"/>
      <c r="S209" s="87"/>
      <c r="T209" s="87"/>
      <c r="U209" s="87"/>
      <c r="V209" s="87"/>
      <c r="W209" s="87"/>
      <c r="X209" s="87"/>
      <c r="Y209" s="87"/>
      <c r="Z209" s="87"/>
      <c r="AA209" s="87"/>
      <c r="AB209" s="87"/>
      <c r="AC209" s="87"/>
      <c r="AD209" s="87"/>
      <c r="AE209" s="87"/>
      <c r="AF209" s="87"/>
      <c r="AG209" s="87"/>
      <c r="AH209" s="87"/>
      <c r="AI209" s="87"/>
      <c r="AJ209" s="87"/>
      <c r="AK209" s="87"/>
      <c r="AL209" s="87"/>
      <c r="AM209" s="87"/>
      <c r="AN209" s="87"/>
    </row>
    <row r="210" ht="16.5" customHeight="1">
      <c r="A210" s="87"/>
      <c r="B210" s="87"/>
      <c r="C210" s="87"/>
      <c r="D210" s="87"/>
      <c r="E210" s="87"/>
      <c r="F210" s="79"/>
      <c r="G210" s="87"/>
      <c r="H210" s="92"/>
      <c r="I210" s="87"/>
      <c r="J210" s="87"/>
      <c r="K210" s="89"/>
      <c r="L210" s="87"/>
      <c r="M210" s="87"/>
      <c r="N210" s="87"/>
      <c r="O210" s="87"/>
      <c r="P210" s="87"/>
      <c r="Q210" s="87"/>
      <c r="R210" s="87"/>
      <c r="S210" s="87"/>
      <c r="T210" s="87"/>
      <c r="U210" s="87"/>
      <c r="V210" s="87"/>
      <c r="W210" s="87"/>
      <c r="X210" s="87"/>
      <c r="Y210" s="87"/>
      <c r="Z210" s="87"/>
      <c r="AA210" s="87"/>
      <c r="AB210" s="87"/>
      <c r="AC210" s="87"/>
      <c r="AD210" s="87"/>
      <c r="AE210" s="87"/>
      <c r="AF210" s="87"/>
      <c r="AG210" s="87"/>
      <c r="AH210" s="87"/>
      <c r="AI210" s="87"/>
      <c r="AJ210" s="87"/>
      <c r="AK210" s="87"/>
      <c r="AL210" s="87"/>
      <c r="AM210" s="87"/>
      <c r="AN210" s="87"/>
    </row>
    <row r="211" ht="16.5" customHeight="1">
      <c r="A211" s="87"/>
      <c r="B211" s="87"/>
      <c r="C211" s="87"/>
      <c r="D211" s="87"/>
      <c r="E211" s="87"/>
      <c r="F211" s="79"/>
      <c r="G211" s="87"/>
      <c r="H211" s="92"/>
      <c r="I211" s="87"/>
      <c r="J211" s="87"/>
      <c r="K211" s="89"/>
      <c r="L211" s="87"/>
      <c r="M211" s="87"/>
      <c r="N211" s="87"/>
      <c r="O211" s="87"/>
      <c r="P211" s="87"/>
      <c r="Q211" s="87"/>
      <c r="R211" s="87"/>
      <c r="S211" s="87"/>
      <c r="T211" s="87"/>
      <c r="U211" s="87"/>
      <c r="V211" s="87"/>
      <c r="W211" s="87"/>
      <c r="X211" s="87"/>
      <c r="Y211" s="87"/>
      <c r="Z211" s="87"/>
      <c r="AA211" s="87"/>
      <c r="AB211" s="87"/>
      <c r="AC211" s="87"/>
      <c r="AD211" s="87"/>
      <c r="AE211" s="87"/>
      <c r="AF211" s="87"/>
      <c r="AG211" s="87"/>
      <c r="AH211" s="87"/>
      <c r="AI211" s="87"/>
      <c r="AJ211" s="87"/>
      <c r="AK211" s="87"/>
      <c r="AL211" s="87"/>
      <c r="AM211" s="87"/>
      <c r="AN211" s="87"/>
    </row>
    <row r="212" ht="16.5" customHeight="1">
      <c r="A212" s="87"/>
      <c r="B212" s="87"/>
      <c r="C212" s="87"/>
      <c r="D212" s="87"/>
      <c r="E212" s="87"/>
      <c r="F212" s="79"/>
      <c r="G212" s="87"/>
      <c r="H212" s="92"/>
      <c r="I212" s="87"/>
      <c r="J212" s="87"/>
      <c r="K212" s="89"/>
      <c r="L212" s="87"/>
      <c r="M212" s="87"/>
      <c r="N212" s="87"/>
      <c r="O212" s="87"/>
      <c r="P212" s="87"/>
      <c r="Q212" s="87"/>
      <c r="R212" s="87"/>
      <c r="S212" s="87"/>
      <c r="T212" s="87"/>
      <c r="U212" s="87"/>
      <c r="V212" s="87"/>
      <c r="W212" s="87"/>
      <c r="X212" s="87"/>
      <c r="Y212" s="87"/>
      <c r="Z212" s="87"/>
      <c r="AA212" s="87"/>
      <c r="AB212" s="87"/>
      <c r="AC212" s="87"/>
      <c r="AD212" s="87"/>
      <c r="AE212" s="87"/>
      <c r="AF212" s="87"/>
      <c r="AG212" s="87"/>
      <c r="AH212" s="87"/>
      <c r="AI212" s="87"/>
      <c r="AJ212" s="87"/>
      <c r="AK212" s="87"/>
      <c r="AL212" s="87"/>
      <c r="AM212" s="87"/>
      <c r="AN212" s="87"/>
    </row>
    <row r="213" ht="16.5" customHeight="1">
      <c r="A213" s="87"/>
      <c r="B213" s="87"/>
      <c r="C213" s="87"/>
      <c r="D213" s="87"/>
      <c r="E213" s="87"/>
      <c r="F213" s="79"/>
      <c r="G213" s="87"/>
      <c r="H213" s="92"/>
      <c r="I213" s="87"/>
      <c r="J213" s="87"/>
      <c r="K213" s="89"/>
      <c r="L213" s="87"/>
      <c r="M213" s="87"/>
      <c r="N213" s="87"/>
      <c r="O213" s="87"/>
      <c r="P213" s="87"/>
      <c r="Q213" s="87"/>
      <c r="R213" s="87"/>
      <c r="S213" s="87"/>
      <c r="T213" s="87"/>
      <c r="U213" s="87"/>
      <c r="V213" s="87"/>
      <c r="W213" s="87"/>
      <c r="X213" s="87"/>
      <c r="Y213" s="87"/>
      <c r="Z213" s="87"/>
      <c r="AA213" s="87"/>
      <c r="AB213" s="87"/>
      <c r="AC213" s="87"/>
      <c r="AD213" s="87"/>
      <c r="AE213" s="87"/>
      <c r="AF213" s="87"/>
      <c r="AG213" s="87"/>
      <c r="AH213" s="87"/>
      <c r="AI213" s="87"/>
      <c r="AJ213" s="87"/>
      <c r="AK213" s="87"/>
      <c r="AL213" s="87"/>
      <c r="AM213" s="87"/>
      <c r="AN213" s="87"/>
    </row>
    <row r="214" ht="16.5" customHeight="1">
      <c r="A214" s="87"/>
      <c r="B214" s="87"/>
      <c r="C214" s="87"/>
      <c r="D214" s="87"/>
      <c r="E214" s="87"/>
      <c r="F214" s="79"/>
      <c r="G214" s="87"/>
      <c r="H214" s="92"/>
      <c r="I214" s="87"/>
      <c r="J214" s="87"/>
      <c r="K214" s="89"/>
      <c r="L214" s="87"/>
      <c r="M214" s="87"/>
      <c r="N214" s="87"/>
      <c r="O214" s="87"/>
      <c r="P214" s="87"/>
      <c r="Q214" s="87"/>
      <c r="R214" s="87"/>
      <c r="S214" s="87"/>
      <c r="T214" s="87"/>
      <c r="U214" s="87"/>
      <c r="V214" s="87"/>
      <c r="W214" s="87"/>
      <c r="X214" s="87"/>
      <c r="Y214" s="87"/>
      <c r="Z214" s="87"/>
      <c r="AA214" s="87"/>
      <c r="AB214" s="87"/>
      <c r="AC214" s="87"/>
      <c r="AD214" s="87"/>
      <c r="AE214" s="87"/>
      <c r="AF214" s="87"/>
      <c r="AG214" s="87"/>
      <c r="AH214" s="87"/>
      <c r="AI214" s="87"/>
      <c r="AJ214" s="87"/>
      <c r="AK214" s="87"/>
      <c r="AL214" s="87"/>
      <c r="AM214" s="87"/>
      <c r="AN214" s="87"/>
    </row>
    <row r="215" ht="16.5" customHeight="1">
      <c r="A215" s="87"/>
      <c r="B215" s="87"/>
      <c r="C215" s="87"/>
      <c r="D215" s="87"/>
      <c r="E215" s="87"/>
      <c r="F215" s="79"/>
      <c r="G215" s="87"/>
      <c r="H215" s="92"/>
      <c r="I215" s="87"/>
      <c r="J215" s="87"/>
      <c r="K215" s="89"/>
      <c r="L215" s="87"/>
      <c r="M215" s="87"/>
      <c r="N215" s="87"/>
      <c r="O215" s="87"/>
      <c r="P215" s="87"/>
      <c r="Q215" s="87"/>
      <c r="R215" s="87"/>
      <c r="S215" s="87"/>
      <c r="T215" s="87"/>
      <c r="U215" s="87"/>
      <c r="V215" s="87"/>
      <c r="W215" s="87"/>
      <c r="X215" s="87"/>
      <c r="Y215" s="87"/>
      <c r="Z215" s="87"/>
      <c r="AA215" s="87"/>
      <c r="AB215" s="87"/>
      <c r="AC215" s="87"/>
      <c r="AD215" s="87"/>
      <c r="AE215" s="87"/>
      <c r="AF215" s="87"/>
      <c r="AG215" s="87"/>
      <c r="AH215" s="87"/>
      <c r="AI215" s="87"/>
      <c r="AJ215" s="87"/>
      <c r="AK215" s="87"/>
      <c r="AL215" s="87"/>
      <c r="AM215" s="87"/>
      <c r="AN215" s="87"/>
    </row>
    <row r="216" ht="16.5" customHeight="1">
      <c r="A216" s="87"/>
      <c r="B216" s="87"/>
      <c r="C216" s="87"/>
      <c r="D216" s="87"/>
      <c r="E216" s="87"/>
      <c r="F216" s="79"/>
      <c r="G216" s="87"/>
      <c r="H216" s="92"/>
      <c r="I216" s="87"/>
      <c r="J216" s="87"/>
      <c r="K216" s="89"/>
      <c r="L216" s="87"/>
      <c r="M216" s="87"/>
      <c r="N216" s="87"/>
      <c r="O216" s="87"/>
      <c r="P216" s="87"/>
      <c r="Q216" s="87"/>
      <c r="R216" s="87"/>
      <c r="S216" s="87"/>
      <c r="T216" s="87"/>
      <c r="U216" s="87"/>
      <c r="V216" s="87"/>
      <c r="W216" s="87"/>
      <c r="X216" s="87"/>
      <c r="Y216" s="87"/>
      <c r="Z216" s="87"/>
      <c r="AA216" s="87"/>
      <c r="AB216" s="87"/>
      <c r="AC216" s="87"/>
      <c r="AD216" s="87"/>
      <c r="AE216" s="87"/>
      <c r="AF216" s="87"/>
      <c r="AG216" s="87"/>
      <c r="AH216" s="87"/>
      <c r="AI216" s="87"/>
      <c r="AJ216" s="87"/>
      <c r="AK216" s="87"/>
      <c r="AL216" s="87"/>
      <c r="AM216" s="87"/>
      <c r="AN216" s="87"/>
    </row>
    <row r="217" ht="16.5" customHeight="1">
      <c r="A217" s="87"/>
      <c r="B217" s="87"/>
      <c r="C217" s="87"/>
      <c r="D217" s="87"/>
      <c r="E217" s="87"/>
      <c r="F217" s="79"/>
      <c r="G217" s="87"/>
      <c r="H217" s="92"/>
      <c r="I217" s="87"/>
      <c r="J217" s="87"/>
      <c r="K217" s="89"/>
      <c r="L217" s="87"/>
      <c r="M217" s="87"/>
      <c r="N217" s="87"/>
      <c r="O217" s="87"/>
      <c r="P217" s="87"/>
      <c r="Q217" s="87"/>
      <c r="R217" s="87"/>
      <c r="S217" s="87"/>
      <c r="T217" s="87"/>
      <c r="U217" s="87"/>
      <c r="V217" s="87"/>
      <c r="W217" s="87"/>
      <c r="X217" s="87"/>
      <c r="Y217" s="87"/>
      <c r="Z217" s="87"/>
      <c r="AA217" s="87"/>
      <c r="AB217" s="87"/>
      <c r="AC217" s="87"/>
      <c r="AD217" s="87"/>
      <c r="AE217" s="87"/>
      <c r="AF217" s="87"/>
      <c r="AG217" s="87"/>
      <c r="AH217" s="87"/>
      <c r="AI217" s="87"/>
      <c r="AJ217" s="87"/>
      <c r="AK217" s="87"/>
      <c r="AL217" s="87"/>
      <c r="AM217" s="87"/>
      <c r="AN217" s="87"/>
    </row>
    <row r="218" ht="16.5" customHeight="1">
      <c r="A218" s="87"/>
      <c r="B218" s="87"/>
      <c r="C218" s="87"/>
      <c r="D218" s="87"/>
      <c r="E218" s="87"/>
      <c r="F218" s="79"/>
      <c r="G218" s="87"/>
      <c r="H218" s="92"/>
      <c r="I218" s="87"/>
      <c r="J218" s="87"/>
      <c r="K218" s="89"/>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row>
    <row r="219" ht="16.5" customHeight="1">
      <c r="A219" s="87"/>
      <c r="B219" s="87"/>
      <c r="C219" s="87"/>
      <c r="D219" s="87"/>
      <c r="E219" s="87"/>
      <c r="F219" s="79"/>
      <c r="G219" s="87"/>
      <c r="H219" s="92"/>
      <c r="I219" s="87"/>
      <c r="J219" s="87"/>
      <c r="K219" s="89"/>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row>
    <row r="220" ht="16.5" customHeight="1">
      <c r="A220" s="87"/>
      <c r="B220" s="87"/>
      <c r="C220" s="87"/>
      <c r="D220" s="87"/>
      <c r="E220" s="87"/>
      <c r="F220" s="79"/>
      <c r="G220" s="87"/>
      <c r="H220" s="92"/>
      <c r="I220" s="87"/>
      <c r="J220" s="87"/>
      <c r="K220" s="89"/>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row>
    <row r="221" ht="16.5" customHeight="1">
      <c r="A221" s="87"/>
      <c r="B221" s="87"/>
      <c r="C221" s="87"/>
      <c r="D221" s="87"/>
      <c r="E221" s="87"/>
      <c r="F221" s="79"/>
      <c r="G221" s="87"/>
      <c r="H221" s="92"/>
      <c r="I221" s="87"/>
      <c r="J221" s="87"/>
      <c r="K221" s="89"/>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row>
    <row r="222" ht="16.5" customHeight="1">
      <c r="A222" s="87"/>
      <c r="B222" s="87"/>
      <c r="C222" s="87"/>
      <c r="D222" s="87"/>
      <c r="E222" s="87"/>
      <c r="F222" s="79"/>
      <c r="G222" s="87"/>
      <c r="H222" s="92"/>
      <c r="I222" s="87"/>
      <c r="J222" s="87"/>
      <c r="K222" s="89"/>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row>
    <row r="223" ht="16.5" customHeight="1">
      <c r="A223" s="87"/>
      <c r="B223" s="87"/>
      <c r="C223" s="87"/>
      <c r="D223" s="87"/>
      <c r="E223" s="87"/>
      <c r="F223" s="79"/>
      <c r="G223" s="87"/>
      <c r="H223" s="92"/>
      <c r="I223" s="87"/>
      <c r="J223" s="87"/>
      <c r="K223" s="89"/>
      <c r="L223" s="87"/>
      <c r="M223" s="87"/>
      <c r="N223" s="87"/>
      <c r="O223" s="87"/>
      <c r="P223" s="87"/>
      <c r="Q223" s="87"/>
      <c r="R223" s="87"/>
      <c r="S223" s="87"/>
      <c r="T223" s="87"/>
      <c r="U223" s="87"/>
      <c r="V223" s="87"/>
      <c r="W223" s="87"/>
      <c r="X223" s="87"/>
      <c r="Y223" s="87"/>
      <c r="Z223" s="87"/>
      <c r="AA223" s="87"/>
      <c r="AB223" s="87"/>
      <c r="AC223" s="87"/>
      <c r="AD223" s="87"/>
      <c r="AE223" s="87"/>
      <c r="AF223" s="87"/>
      <c r="AG223" s="87"/>
      <c r="AH223" s="87"/>
      <c r="AI223" s="87"/>
      <c r="AJ223" s="87"/>
      <c r="AK223" s="87"/>
      <c r="AL223" s="87"/>
      <c r="AM223" s="87"/>
      <c r="AN223" s="87"/>
    </row>
    <row r="224" ht="16.5" customHeight="1">
      <c r="A224" s="87"/>
      <c r="B224" s="87"/>
      <c r="C224" s="87"/>
      <c r="D224" s="87"/>
      <c r="E224" s="87"/>
      <c r="F224" s="79"/>
      <c r="G224" s="87"/>
      <c r="H224" s="92"/>
      <c r="I224" s="87"/>
      <c r="J224" s="87"/>
      <c r="K224" s="89"/>
      <c r="L224" s="87"/>
      <c r="M224" s="87"/>
      <c r="N224" s="87"/>
      <c r="O224" s="87"/>
      <c r="P224" s="87"/>
      <c r="Q224" s="87"/>
      <c r="R224" s="87"/>
      <c r="S224" s="87"/>
      <c r="T224" s="87"/>
      <c r="U224" s="87"/>
      <c r="V224" s="87"/>
      <c r="W224" s="87"/>
      <c r="X224" s="87"/>
      <c r="Y224" s="87"/>
      <c r="Z224" s="87"/>
      <c r="AA224" s="87"/>
      <c r="AB224" s="87"/>
      <c r="AC224" s="87"/>
      <c r="AD224" s="87"/>
      <c r="AE224" s="87"/>
      <c r="AF224" s="87"/>
      <c r="AG224" s="87"/>
      <c r="AH224" s="87"/>
      <c r="AI224" s="87"/>
      <c r="AJ224" s="87"/>
      <c r="AK224" s="87"/>
      <c r="AL224" s="87"/>
      <c r="AM224" s="87"/>
      <c r="AN224" s="87"/>
    </row>
    <row r="225" ht="16.5" customHeight="1">
      <c r="A225" s="87"/>
      <c r="B225" s="87"/>
      <c r="C225" s="87"/>
      <c r="D225" s="87"/>
      <c r="E225" s="87"/>
      <c r="F225" s="79"/>
      <c r="G225" s="87"/>
      <c r="H225" s="92"/>
      <c r="I225" s="87"/>
      <c r="J225" s="87"/>
      <c r="K225" s="89"/>
      <c r="L225" s="87"/>
      <c r="M225" s="87"/>
      <c r="N225" s="87"/>
      <c r="O225" s="87"/>
      <c r="P225" s="87"/>
      <c r="Q225" s="87"/>
      <c r="R225" s="87"/>
      <c r="S225" s="87"/>
      <c r="T225" s="87"/>
      <c r="U225" s="87"/>
      <c r="V225" s="87"/>
      <c r="W225" s="87"/>
      <c r="X225" s="87"/>
      <c r="Y225" s="87"/>
      <c r="Z225" s="87"/>
      <c r="AA225" s="87"/>
      <c r="AB225" s="87"/>
      <c r="AC225" s="87"/>
      <c r="AD225" s="87"/>
      <c r="AE225" s="87"/>
      <c r="AF225" s="87"/>
      <c r="AG225" s="87"/>
      <c r="AH225" s="87"/>
      <c r="AI225" s="87"/>
      <c r="AJ225" s="87"/>
      <c r="AK225" s="87"/>
      <c r="AL225" s="87"/>
      <c r="AM225" s="87"/>
      <c r="AN225" s="87"/>
    </row>
    <row r="226" ht="16.5" customHeight="1">
      <c r="A226" s="87"/>
      <c r="B226" s="87"/>
      <c r="C226" s="87"/>
      <c r="D226" s="87"/>
      <c r="E226" s="87"/>
      <c r="F226" s="79"/>
      <c r="G226" s="87"/>
      <c r="H226" s="92"/>
      <c r="I226" s="87"/>
      <c r="J226" s="87"/>
      <c r="K226" s="89"/>
      <c r="L226" s="87"/>
      <c r="M226" s="87"/>
      <c r="N226" s="87"/>
      <c r="O226" s="87"/>
      <c r="P226" s="87"/>
      <c r="Q226" s="87"/>
      <c r="R226" s="87"/>
      <c r="S226" s="87"/>
      <c r="T226" s="87"/>
      <c r="U226" s="87"/>
      <c r="V226" s="87"/>
      <c r="W226" s="87"/>
      <c r="X226" s="87"/>
      <c r="Y226" s="87"/>
      <c r="Z226" s="87"/>
      <c r="AA226" s="87"/>
      <c r="AB226" s="87"/>
      <c r="AC226" s="87"/>
      <c r="AD226" s="87"/>
      <c r="AE226" s="87"/>
      <c r="AF226" s="87"/>
      <c r="AG226" s="87"/>
      <c r="AH226" s="87"/>
      <c r="AI226" s="87"/>
      <c r="AJ226" s="87"/>
      <c r="AK226" s="87"/>
      <c r="AL226" s="87"/>
      <c r="AM226" s="87"/>
      <c r="AN226" s="87"/>
    </row>
    <row r="227" ht="16.5" customHeight="1">
      <c r="A227" s="87"/>
      <c r="B227" s="87"/>
      <c r="C227" s="87"/>
      <c r="D227" s="87"/>
      <c r="E227" s="87"/>
      <c r="F227" s="79"/>
      <c r="G227" s="87"/>
      <c r="H227" s="92"/>
      <c r="I227" s="87"/>
      <c r="J227" s="87"/>
      <c r="K227" s="89"/>
      <c r="L227" s="87"/>
      <c r="M227" s="87"/>
      <c r="N227" s="87"/>
      <c r="O227" s="87"/>
      <c r="P227" s="87"/>
      <c r="Q227" s="87"/>
      <c r="R227" s="87"/>
      <c r="S227" s="87"/>
      <c r="T227" s="87"/>
      <c r="U227" s="87"/>
      <c r="V227" s="87"/>
      <c r="W227" s="87"/>
      <c r="X227" s="87"/>
      <c r="Y227" s="87"/>
      <c r="Z227" s="87"/>
      <c r="AA227" s="87"/>
      <c r="AB227" s="87"/>
      <c r="AC227" s="87"/>
      <c r="AD227" s="87"/>
      <c r="AE227" s="87"/>
      <c r="AF227" s="87"/>
      <c r="AG227" s="87"/>
      <c r="AH227" s="87"/>
      <c r="AI227" s="87"/>
      <c r="AJ227" s="87"/>
      <c r="AK227" s="87"/>
      <c r="AL227" s="87"/>
      <c r="AM227" s="87"/>
      <c r="AN227" s="87"/>
    </row>
    <row r="228" ht="16.5" customHeight="1">
      <c r="A228" s="87"/>
      <c r="B228" s="87"/>
      <c r="C228" s="87"/>
      <c r="D228" s="87"/>
      <c r="E228" s="87"/>
      <c r="F228" s="79"/>
      <c r="G228" s="87"/>
      <c r="H228" s="92"/>
      <c r="I228" s="87"/>
      <c r="J228" s="87"/>
      <c r="K228" s="89"/>
      <c r="L228" s="87"/>
      <c r="M228" s="87"/>
      <c r="N228" s="87"/>
      <c r="O228" s="87"/>
      <c r="P228" s="87"/>
      <c r="Q228" s="87"/>
      <c r="R228" s="87"/>
      <c r="S228" s="87"/>
      <c r="T228" s="87"/>
      <c r="U228" s="87"/>
      <c r="V228" s="87"/>
      <c r="W228" s="87"/>
      <c r="X228" s="87"/>
      <c r="Y228" s="87"/>
      <c r="Z228" s="87"/>
      <c r="AA228" s="87"/>
      <c r="AB228" s="87"/>
      <c r="AC228" s="87"/>
      <c r="AD228" s="87"/>
      <c r="AE228" s="87"/>
      <c r="AF228" s="87"/>
      <c r="AG228" s="87"/>
      <c r="AH228" s="87"/>
      <c r="AI228" s="87"/>
      <c r="AJ228" s="87"/>
      <c r="AK228" s="87"/>
      <c r="AL228" s="87"/>
      <c r="AM228" s="87"/>
      <c r="AN228" s="87"/>
    </row>
    <row r="229" ht="16.5" customHeight="1">
      <c r="A229" s="87"/>
      <c r="B229" s="87"/>
      <c r="C229" s="87"/>
      <c r="D229" s="87"/>
      <c r="E229" s="87"/>
      <c r="F229" s="79"/>
      <c r="G229" s="87"/>
      <c r="H229" s="92"/>
      <c r="I229" s="87"/>
      <c r="J229" s="87"/>
      <c r="K229" s="89"/>
      <c r="L229" s="87"/>
      <c r="M229" s="87"/>
      <c r="N229" s="87"/>
      <c r="O229" s="87"/>
      <c r="P229" s="87"/>
      <c r="Q229" s="87"/>
      <c r="R229" s="87"/>
      <c r="S229" s="87"/>
      <c r="T229" s="87"/>
      <c r="U229" s="87"/>
      <c r="V229" s="87"/>
      <c r="W229" s="87"/>
      <c r="X229" s="87"/>
      <c r="Y229" s="87"/>
      <c r="Z229" s="87"/>
      <c r="AA229" s="87"/>
      <c r="AB229" s="87"/>
      <c r="AC229" s="87"/>
      <c r="AD229" s="87"/>
      <c r="AE229" s="87"/>
      <c r="AF229" s="87"/>
      <c r="AG229" s="87"/>
      <c r="AH229" s="87"/>
      <c r="AI229" s="87"/>
      <c r="AJ229" s="87"/>
      <c r="AK229" s="87"/>
      <c r="AL229" s="87"/>
      <c r="AM229" s="87"/>
      <c r="AN229" s="87"/>
    </row>
    <row r="230" ht="16.5" customHeight="1">
      <c r="A230" s="87"/>
      <c r="B230" s="87"/>
      <c r="C230" s="87"/>
      <c r="D230" s="87"/>
      <c r="E230" s="87"/>
      <c r="F230" s="79"/>
      <c r="G230" s="87"/>
      <c r="H230" s="92"/>
      <c r="I230" s="87"/>
      <c r="J230" s="87"/>
      <c r="K230" s="89"/>
      <c r="L230" s="87"/>
      <c r="M230" s="87"/>
      <c r="N230" s="87"/>
      <c r="O230" s="87"/>
      <c r="P230" s="87"/>
      <c r="Q230" s="87"/>
      <c r="R230" s="87"/>
      <c r="S230" s="87"/>
      <c r="T230" s="87"/>
      <c r="U230" s="87"/>
      <c r="V230" s="87"/>
      <c r="W230" s="87"/>
      <c r="X230" s="87"/>
      <c r="Y230" s="87"/>
      <c r="Z230" s="87"/>
      <c r="AA230" s="87"/>
      <c r="AB230" s="87"/>
      <c r="AC230" s="87"/>
      <c r="AD230" s="87"/>
      <c r="AE230" s="87"/>
      <c r="AF230" s="87"/>
      <c r="AG230" s="87"/>
      <c r="AH230" s="87"/>
      <c r="AI230" s="87"/>
      <c r="AJ230" s="87"/>
      <c r="AK230" s="87"/>
      <c r="AL230" s="87"/>
      <c r="AM230" s="87"/>
      <c r="AN230" s="87"/>
    </row>
    <row r="231" ht="16.5" customHeight="1">
      <c r="A231" s="87"/>
      <c r="B231" s="87"/>
      <c r="C231" s="87"/>
      <c r="D231" s="87"/>
      <c r="E231" s="87"/>
      <c r="F231" s="79"/>
      <c r="G231" s="87"/>
      <c r="H231" s="92"/>
      <c r="I231" s="87"/>
      <c r="J231" s="87"/>
      <c r="K231" s="89"/>
      <c r="L231" s="87"/>
      <c r="M231" s="87"/>
      <c r="N231" s="87"/>
      <c r="O231" s="87"/>
      <c r="P231" s="87"/>
      <c r="Q231" s="87"/>
      <c r="R231" s="87"/>
      <c r="S231" s="87"/>
      <c r="T231" s="87"/>
      <c r="U231" s="87"/>
      <c r="V231" s="87"/>
      <c r="W231" s="87"/>
      <c r="X231" s="87"/>
      <c r="Y231" s="87"/>
      <c r="Z231" s="87"/>
      <c r="AA231" s="87"/>
      <c r="AB231" s="87"/>
      <c r="AC231" s="87"/>
      <c r="AD231" s="87"/>
      <c r="AE231" s="87"/>
      <c r="AF231" s="87"/>
      <c r="AG231" s="87"/>
      <c r="AH231" s="87"/>
      <c r="AI231" s="87"/>
      <c r="AJ231" s="87"/>
      <c r="AK231" s="87"/>
      <c r="AL231" s="87"/>
      <c r="AM231" s="87"/>
      <c r="AN231" s="87"/>
    </row>
    <row r="232" ht="16.5" customHeight="1">
      <c r="A232" s="87"/>
      <c r="B232" s="87"/>
      <c r="C232" s="87"/>
      <c r="D232" s="87"/>
      <c r="E232" s="87"/>
      <c r="F232" s="79"/>
      <c r="G232" s="87"/>
      <c r="H232" s="92"/>
      <c r="I232" s="87"/>
      <c r="J232" s="87"/>
      <c r="K232" s="89"/>
      <c r="L232" s="87"/>
      <c r="M232" s="87"/>
      <c r="N232" s="87"/>
      <c r="O232" s="87"/>
      <c r="P232" s="87"/>
      <c r="Q232" s="87"/>
      <c r="R232" s="87"/>
      <c r="S232" s="87"/>
      <c r="T232" s="87"/>
      <c r="U232" s="87"/>
      <c r="V232" s="87"/>
      <c r="W232" s="87"/>
      <c r="X232" s="87"/>
      <c r="Y232" s="87"/>
      <c r="Z232" s="87"/>
      <c r="AA232" s="87"/>
      <c r="AB232" s="87"/>
      <c r="AC232" s="87"/>
      <c r="AD232" s="87"/>
      <c r="AE232" s="87"/>
      <c r="AF232" s="87"/>
      <c r="AG232" s="87"/>
      <c r="AH232" s="87"/>
      <c r="AI232" s="87"/>
      <c r="AJ232" s="87"/>
      <c r="AK232" s="87"/>
      <c r="AL232" s="87"/>
      <c r="AM232" s="87"/>
      <c r="AN232" s="87"/>
    </row>
    <row r="233" ht="16.5" customHeight="1">
      <c r="A233" s="87"/>
      <c r="B233" s="87"/>
      <c r="C233" s="87"/>
      <c r="D233" s="87"/>
      <c r="E233" s="87"/>
      <c r="F233" s="79"/>
      <c r="G233" s="87"/>
      <c r="H233" s="92"/>
      <c r="I233" s="87"/>
      <c r="J233" s="87"/>
      <c r="K233" s="89"/>
      <c r="L233" s="87"/>
      <c r="M233" s="87"/>
      <c r="N233" s="87"/>
      <c r="O233" s="87"/>
      <c r="P233" s="87"/>
      <c r="Q233" s="87"/>
      <c r="R233" s="87"/>
      <c r="S233" s="87"/>
      <c r="T233" s="87"/>
      <c r="U233" s="87"/>
      <c r="V233" s="87"/>
      <c r="W233" s="87"/>
      <c r="X233" s="87"/>
      <c r="Y233" s="87"/>
      <c r="Z233" s="87"/>
      <c r="AA233" s="87"/>
      <c r="AB233" s="87"/>
      <c r="AC233" s="87"/>
      <c r="AD233" s="87"/>
      <c r="AE233" s="87"/>
      <c r="AF233" s="87"/>
      <c r="AG233" s="87"/>
      <c r="AH233" s="87"/>
      <c r="AI233" s="87"/>
      <c r="AJ233" s="87"/>
      <c r="AK233" s="87"/>
      <c r="AL233" s="87"/>
      <c r="AM233" s="87"/>
      <c r="AN233" s="87"/>
    </row>
    <row r="234" ht="16.5" customHeight="1">
      <c r="A234" s="87"/>
      <c r="B234" s="87"/>
      <c r="C234" s="87"/>
      <c r="D234" s="87"/>
      <c r="E234" s="87"/>
      <c r="F234" s="79"/>
      <c r="G234" s="87"/>
      <c r="H234" s="92"/>
      <c r="I234" s="87"/>
      <c r="J234" s="87"/>
      <c r="K234" s="89"/>
      <c r="L234" s="87"/>
      <c r="M234" s="87"/>
      <c r="N234" s="87"/>
      <c r="O234" s="87"/>
      <c r="P234" s="87"/>
      <c r="Q234" s="87"/>
      <c r="R234" s="87"/>
      <c r="S234" s="87"/>
      <c r="T234" s="87"/>
      <c r="U234" s="87"/>
      <c r="V234" s="87"/>
      <c r="W234" s="87"/>
      <c r="X234" s="87"/>
      <c r="Y234" s="87"/>
      <c r="Z234" s="87"/>
      <c r="AA234" s="87"/>
      <c r="AB234" s="87"/>
      <c r="AC234" s="87"/>
      <c r="AD234" s="87"/>
      <c r="AE234" s="87"/>
      <c r="AF234" s="87"/>
      <c r="AG234" s="87"/>
      <c r="AH234" s="87"/>
      <c r="AI234" s="87"/>
      <c r="AJ234" s="87"/>
      <c r="AK234" s="87"/>
      <c r="AL234" s="87"/>
      <c r="AM234" s="87"/>
      <c r="AN234" s="87"/>
    </row>
    <row r="235" ht="16.5" customHeight="1">
      <c r="A235" s="87"/>
      <c r="B235" s="87"/>
      <c r="C235" s="87"/>
      <c r="D235" s="87"/>
      <c r="E235" s="87"/>
      <c r="F235" s="79"/>
      <c r="G235" s="87"/>
      <c r="H235" s="92"/>
      <c r="I235" s="87"/>
      <c r="J235" s="87"/>
      <c r="K235" s="89"/>
      <c r="L235" s="87"/>
      <c r="M235" s="87"/>
      <c r="N235" s="87"/>
      <c r="O235" s="87"/>
      <c r="P235" s="87"/>
      <c r="Q235" s="87"/>
      <c r="R235" s="87"/>
      <c r="S235" s="87"/>
      <c r="T235" s="87"/>
      <c r="U235" s="87"/>
      <c r="V235" s="87"/>
      <c r="W235" s="87"/>
      <c r="X235" s="87"/>
      <c r="Y235" s="87"/>
      <c r="Z235" s="87"/>
      <c r="AA235" s="87"/>
      <c r="AB235" s="87"/>
      <c r="AC235" s="87"/>
      <c r="AD235" s="87"/>
      <c r="AE235" s="87"/>
      <c r="AF235" s="87"/>
      <c r="AG235" s="87"/>
      <c r="AH235" s="87"/>
      <c r="AI235" s="87"/>
      <c r="AJ235" s="87"/>
      <c r="AK235" s="87"/>
      <c r="AL235" s="87"/>
      <c r="AM235" s="87"/>
      <c r="AN235" s="87"/>
    </row>
    <row r="236" ht="16.5" customHeight="1">
      <c r="A236" s="87"/>
      <c r="B236" s="87"/>
      <c r="C236" s="87"/>
      <c r="D236" s="87"/>
      <c r="E236" s="87"/>
      <c r="F236" s="79"/>
      <c r="G236" s="87"/>
      <c r="H236" s="92"/>
      <c r="I236" s="87"/>
      <c r="J236" s="87"/>
      <c r="K236" s="89"/>
      <c r="L236" s="87"/>
      <c r="M236" s="87"/>
      <c r="N236" s="87"/>
      <c r="O236" s="87"/>
      <c r="P236" s="87"/>
      <c r="Q236" s="87"/>
      <c r="R236" s="87"/>
      <c r="S236" s="87"/>
      <c r="T236" s="87"/>
      <c r="U236" s="87"/>
      <c r="V236" s="87"/>
      <c r="W236" s="87"/>
      <c r="X236" s="87"/>
      <c r="Y236" s="87"/>
      <c r="Z236" s="87"/>
      <c r="AA236" s="87"/>
      <c r="AB236" s="87"/>
      <c r="AC236" s="87"/>
      <c r="AD236" s="87"/>
      <c r="AE236" s="87"/>
      <c r="AF236" s="87"/>
      <c r="AG236" s="87"/>
      <c r="AH236" s="87"/>
      <c r="AI236" s="87"/>
      <c r="AJ236" s="87"/>
      <c r="AK236" s="87"/>
      <c r="AL236" s="87"/>
      <c r="AM236" s="87"/>
      <c r="AN236" s="87"/>
    </row>
    <row r="237" ht="16.5" customHeight="1">
      <c r="A237" s="87"/>
      <c r="B237" s="87"/>
      <c r="C237" s="87"/>
      <c r="D237" s="87"/>
      <c r="E237" s="87"/>
      <c r="F237" s="79"/>
      <c r="G237" s="87"/>
      <c r="H237" s="92"/>
      <c r="I237" s="87"/>
      <c r="J237" s="87"/>
      <c r="K237" s="89"/>
      <c r="L237" s="87"/>
      <c r="M237" s="87"/>
      <c r="N237" s="87"/>
      <c r="O237" s="87"/>
      <c r="P237" s="87"/>
      <c r="Q237" s="87"/>
      <c r="R237" s="87"/>
      <c r="S237" s="87"/>
      <c r="T237" s="87"/>
      <c r="U237" s="87"/>
      <c r="V237" s="87"/>
      <c r="W237" s="87"/>
      <c r="X237" s="87"/>
      <c r="Y237" s="87"/>
      <c r="Z237" s="87"/>
      <c r="AA237" s="87"/>
      <c r="AB237" s="87"/>
      <c r="AC237" s="87"/>
      <c r="AD237" s="87"/>
      <c r="AE237" s="87"/>
      <c r="AF237" s="87"/>
      <c r="AG237" s="87"/>
      <c r="AH237" s="87"/>
      <c r="AI237" s="87"/>
      <c r="AJ237" s="87"/>
      <c r="AK237" s="87"/>
      <c r="AL237" s="87"/>
      <c r="AM237" s="87"/>
      <c r="AN237" s="87"/>
    </row>
    <row r="238" ht="16.5" customHeight="1">
      <c r="A238" s="87"/>
      <c r="B238" s="87"/>
      <c r="C238" s="87"/>
      <c r="D238" s="87"/>
      <c r="E238" s="87"/>
      <c r="F238" s="79"/>
      <c r="G238" s="87"/>
      <c r="H238" s="92"/>
      <c r="I238" s="87"/>
      <c r="J238" s="87"/>
      <c r="K238" s="89"/>
      <c r="L238" s="87"/>
      <c r="M238" s="87"/>
      <c r="N238" s="87"/>
      <c r="O238" s="87"/>
      <c r="P238" s="87"/>
      <c r="Q238" s="87"/>
      <c r="R238" s="87"/>
      <c r="S238" s="87"/>
      <c r="T238" s="87"/>
      <c r="U238" s="87"/>
      <c r="V238" s="87"/>
      <c r="W238" s="87"/>
      <c r="X238" s="87"/>
      <c r="Y238" s="87"/>
      <c r="Z238" s="87"/>
      <c r="AA238" s="87"/>
      <c r="AB238" s="87"/>
      <c r="AC238" s="87"/>
      <c r="AD238" s="87"/>
      <c r="AE238" s="87"/>
      <c r="AF238" s="87"/>
      <c r="AG238" s="87"/>
      <c r="AH238" s="87"/>
      <c r="AI238" s="87"/>
      <c r="AJ238" s="87"/>
      <c r="AK238" s="87"/>
      <c r="AL238" s="87"/>
      <c r="AM238" s="87"/>
      <c r="AN238" s="87"/>
    </row>
    <row r="239" ht="16.5" customHeight="1">
      <c r="A239" s="87"/>
      <c r="B239" s="87"/>
      <c r="C239" s="87"/>
      <c r="D239" s="87"/>
      <c r="E239" s="87"/>
      <c r="F239" s="79"/>
      <c r="G239" s="87"/>
      <c r="H239" s="92"/>
      <c r="I239" s="87"/>
      <c r="J239" s="87"/>
      <c r="K239" s="89"/>
      <c r="L239" s="87"/>
      <c r="M239" s="87"/>
      <c r="N239" s="87"/>
      <c r="O239" s="87"/>
      <c r="P239" s="87"/>
      <c r="Q239" s="87"/>
      <c r="R239" s="87"/>
      <c r="S239" s="87"/>
      <c r="T239" s="87"/>
      <c r="U239" s="87"/>
      <c r="V239" s="87"/>
      <c r="W239" s="87"/>
      <c r="X239" s="87"/>
      <c r="Y239" s="87"/>
      <c r="Z239" s="87"/>
      <c r="AA239" s="87"/>
      <c r="AB239" s="87"/>
      <c r="AC239" s="87"/>
      <c r="AD239" s="87"/>
      <c r="AE239" s="87"/>
      <c r="AF239" s="87"/>
      <c r="AG239" s="87"/>
      <c r="AH239" s="87"/>
      <c r="AI239" s="87"/>
      <c r="AJ239" s="87"/>
      <c r="AK239" s="87"/>
      <c r="AL239" s="87"/>
      <c r="AM239" s="87"/>
      <c r="AN239" s="87"/>
    </row>
    <row r="240" ht="16.5" customHeight="1">
      <c r="A240" s="87"/>
      <c r="B240" s="87"/>
      <c r="C240" s="87"/>
      <c r="D240" s="87"/>
      <c r="E240" s="87"/>
      <c r="F240" s="79"/>
      <c r="G240" s="87"/>
      <c r="H240" s="92"/>
      <c r="I240" s="87"/>
      <c r="J240" s="87"/>
      <c r="K240" s="89"/>
      <c r="L240" s="87"/>
      <c r="M240" s="87"/>
      <c r="N240" s="87"/>
      <c r="O240" s="87"/>
      <c r="P240" s="87"/>
      <c r="Q240" s="87"/>
      <c r="R240" s="87"/>
      <c r="S240" s="87"/>
      <c r="T240" s="87"/>
      <c r="U240" s="87"/>
      <c r="V240" s="87"/>
      <c r="W240" s="87"/>
      <c r="X240" s="87"/>
      <c r="Y240" s="87"/>
      <c r="Z240" s="87"/>
      <c r="AA240" s="87"/>
      <c r="AB240" s="87"/>
      <c r="AC240" s="87"/>
      <c r="AD240" s="87"/>
      <c r="AE240" s="87"/>
      <c r="AF240" s="87"/>
      <c r="AG240" s="87"/>
      <c r="AH240" s="87"/>
      <c r="AI240" s="87"/>
      <c r="AJ240" s="87"/>
      <c r="AK240" s="87"/>
      <c r="AL240" s="87"/>
      <c r="AM240" s="87"/>
      <c r="AN240" s="87"/>
    </row>
    <row r="241" ht="16.5" customHeight="1">
      <c r="A241" s="87"/>
      <c r="B241" s="87"/>
      <c r="C241" s="87"/>
      <c r="D241" s="87"/>
      <c r="E241" s="87"/>
      <c r="F241" s="79"/>
      <c r="G241" s="87"/>
      <c r="H241" s="92"/>
      <c r="I241" s="87"/>
      <c r="J241" s="87"/>
      <c r="K241" s="89"/>
      <c r="L241" s="87"/>
      <c r="M241" s="87"/>
      <c r="N241" s="87"/>
      <c r="O241" s="87"/>
      <c r="P241" s="87"/>
      <c r="Q241" s="87"/>
      <c r="R241" s="87"/>
      <c r="S241" s="87"/>
      <c r="T241" s="87"/>
      <c r="U241" s="87"/>
      <c r="V241" s="87"/>
      <c r="W241" s="87"/>
      <c r="X241" s="87"/>
      <c r="Y241" s="87"/>
      <c r="Z241" s="87"/>
      <c r="AA241" s="87"/>
      <c r="AB241" s="87"/>
      <c r="AC241" s="87"/>
      <c r="AD241" s="87"/>
      <c r="AE241" s="87"/>
      <c r="AF241" s="87"/>
      <c r="AG241" s="87"/>
      <c r="AH241" s="87"/>
      <c r="AI241" s="87"/>
      <c r="AJ241" s="87"/>
      <c r="AK241" s="87"/>
      <c r="AL241" s="87"/>
      <c r="AM241" s="87"/>
      <c r="AN241" s="87"/>
    </row>
    <row r="242" ht="16.5" customHeight="1">
      <c r="A242" s="87"/>
      <c r="B242" s="87"/>
      <c r="C242" s="87"/>
      <c r="D242" s="87"/>
      <c r="E242" s="87"/>
      <c r="F242" s="79"/>
      <c r="G242" s="87"/>
      <c r="H242" s="92"/>
      <c r="I242" s="87"/>
      <c r="J242" s="87"/>
      <c r="K242" s="89"/>
      <c r="L242" s="87"/>
      <c r="M242" s="87"/>
      <c r="N242" s="87"/>
      <c r="O242" s="87"/>
      <c r="P242" s="87"/>
      <c r="Q242" s="87"/>
      <c r="R242" s="87"/>
      <c r="S242" s="87"/>
      <c r="T242" s="87"/>
      <c r="U242" s="87"/>
      <c r="V242" s="87"/>
      <c r="W242" s="87"/>
      <c r="X242" s="87"/>
      <c r="Y242" s="87"/>
      <c r="Z242" s="87"/>
      <c r="AA242" s="87"/>
      <c r="AB242" s="87"/>
      <c r="AC242" s="87"/>
      <c r="AD242" s="87"/>
      <c r="AE242" s="87"/>
      <c r="AF242" s="87"/>
      <c r="AG242" s="87"/>
      <c r="AH242" s="87"/>
      <c r="AI242" s="87"/>
      <c r="AJ242" s="87"/>
      <c r="AK242" s="87"/>
      <c r="AL242" s="87"/>
      <c r="AM242" s="87"/>
      <c r="AN242" s="87"/>
    </row>
    <row r="243" ht="16.5" customHeight="1">
      <c r="A243" s="87"/>
      <c r="B243" s="87"/>
      <c r="C243" s="87"/>
      <c r="D243" s="87"/>
      <c r="E243" s="87"/>
      <c r="F243" s="79"/>
      <c r="G243" s="87"/>
      <c r="H243" s="92"/>
      <c r="I243" s="87"/>
      <c r="J243" s="87"/>
      <c r="K243" s="89"/>
      <c r="L243" s="87"/>
      <c r="M243" s="87"/>
      <c r="N243" s="87"/>
      <c r="O243" s="87"/>
      <c r="P243" s="87"/>
      <c r="Q243" s="87"/>
      <c r="R243" s="87"/>
      <c r="S243" s="87"/>
      <c r="T243" s="87"/>
      <c r="U243" s="87"/>
      <c r="V243" s="87"/>
      <c r="W243" s="87"/>
      <c r="X243" s="87"/>
      <c r="Y243" s="87"/>
      <c r="Z243" s="87"/>
      <c r="AA243" s="87"/>
      <c r="AB243" s="87"/>
      <c r="AC243" s="87"/>
      <c r="AD243" s="87"/>
      <c r="AE243" s="87"/>
      <c r="AF243" s="87"/>
      <c r="AG243" s="87"/>
      <c r="AH243" s="87"/>
      <c r="AI243" s="87"/>
      <c r="AJ243" s="87"/>
      <c r="AK243" s="87"/>
      <c r="AL243" s="87"/>
      <c r="AM243" s="87"/>
      <c r="AN243" s="87"/>
    </row>
    <row r="244" ht="16.5" customHeight="1">
      <c r="A244" s="87"/>
      <c r="B244" s="87"/>
      <c r="C244" s="87"/>
      <c r="D244" s="87"/>
      <c r="E244" s="87"/>
      <c r="F244" s="79"/>
      <c r="G244" s="87"/>
      <c r="H244" s="92"/>
      <c r="I244" s="87"/>
      <c r="J244" s="87"/>
      <c r="K244" s="89"/>
      <c r="L244" s="87"/>
      <c r="M244" s="87"/>
      <c r="N244" s="87"/>
      <c r="O244" s="87"/>
      <c r="P244" s="87"/>
      <c r="Q244" s="87"/>
      <c r="R244" s="87"/>
      <c r="S244" s="87"/>
      <c r="T244" s="87"/>
      <c r="U244" s="87"/>
      <c r="V244" s="87"/>
      <c r="W244" s="87"/>
      <c r="X244" s="87"/>
      <c r="Y244" s="87"/>
      <c r="Z244" s="87"/>
      <c r="AA244" s="87"/>
      <c r="AB244" s="87"/>
      <c r="AC244" s="87"/>
      <c r="AD244" s="87"/>
      <c r="AE244" s="87"/>
      <c r="AF244" s="87"/>
      <c r="AG244" s="87"/>
      <c r="AH244" s="87"/>
      <c r="AI244" s="87"/>
      <c r="AJ244" s="87"/>
      <c r="AK244" s="87"/>
      <c r="AL244" s="87"/>
      <c r="AM244" s="87"/>
      <c r="AN244" s="87"/>
    </row>
    <row r="245" ht="16.5" customHeight="1">
      <c r="A245" s="87"/>
      <c r="B245" s="87"/>
      <c r="C245" s="87"/>
      <c r="D245" s="87"/>
      <c r="E245" s="87"/>
      <c r="F245" s="79"/>
      <c r="G245" s="87"/>
      <c r="H245" s="92"/>
      <c r="I245" s="87"/>
      <c r="J245" s="87"/>
      <c r="K245" s="89"/>
      <c r="L245" s="87"/>
      <c r="M245" s="87"/>
      <c r="N245" s="87"/>
      <c r="O245" s="87"/>
      <c r="P245" s="87"/>
      <c r="Q245" s="87"/>
      <c r="R245" s="87"/>
      <c r="S245" s="87"/>
      <c r="T245" s="87"/>
      <c r="U245" s="87"/>
      <c r="V245" s="87"/>
      <c r="W245" s="87"/>
      <c r="X245" s="87"/>
      <c r="Y245" s="87"/>
      <c r="Z245" s="87"/>
      <c r="AA245" s="87"/>
      <c r="AB245" s="87"/>
      <c r="AC245" s="87"/>
      <c r="AD245" s="87"/>
      <c r="AE245" s="87"/>
      <c r="AF245" s="87"/>
      <c r="AG245" s="87"/>
      <c r="AH245" s="87"/>
      <c r="AI245" s="87"/>
      <c r="AJ245" s="87"/>
      <c r="AK245" s="87"/>
      <c r="AL245" s="87"/>
      <c r="AM245" s="87"/>
      <c r="AN245" s="87"/>
    </row>
    <row r="246" ht="16.5" customHeight="1">
      <c r="A246" s="87"/>
      <c r="B246" s="87"/>
      <c r="C246" s="87"/>
      <c r="D246" s="87"/>
      <c r="E246" s="87"/>
      <c r="F246" s="79"/>
      <c r="G246" s="87"/>
      <c r="H246" s="92"/>
      <c r="I246" s="87"/>
      <c r="J246" s="87"/>
      <c r="K246" s="89"/>
      <c r="L246" s="87"/>
      <c r="M246" s="87"/>
      <c r="N246" s="87"/>
      <c r="O246" s="87"/>
      <c r="P246" s="87"/>
      <c r="Q246" s="87"/>
      <c r="R246" s="87"/>
      <c r="S246" s="87"/>
      <c r="T246" s="87"/>
      <c r="U246" s="87"/>
      <c r="V246" s="87"/>
      <c r="W246" s="87"/>
      <c r="X246" s="87"/>
      <c r="Y246" s="87"/>
      <c r="Z246" s="87"/>
      <c r="AA246" s="87"/>
      <c r="AB246" s="87"/>
      <c r="AC246" s="87"/>
      <c r="AD246" s="87"/>
      <c r="AE246" s="87"/>
      <c r="AF246" s="87"/>
      <c r="AG246" s="87"/>
      <c r="AH246" s="87"/>
      <c r="AI246" s="87"/>
      <c r="AJ246" s="87"/>
      <c r="AK246" s="87"/>
      <c r="AL246" s="87"/>
      <c r="AM246" s="87"/>
      <c r="AN246" s="87"/>
    </row>
    <row r="247" ht="16.5" customHeight="1">
      <c r="A247" s="87"/>
      <c r="B247" s="87"/>
      <c r="C247" s="87"/>
      <c r="D247" s="87"/>
      <c r="E247" s="87"/>
      <c r="F247" s="79"/>
      <c r="G247" s="87"/>
      <c r="H247" s="92"/>
      <c r="I247" s="87"/>
      <c r="J247" s="87"/>
      <c r="K247" s="89"/>
      <c r="L247" s="87"/>
      <c r="M247" s="87"/>
      <c r="N247" s="87"/>
      <c r="O247" s="87"/>
      <c r="P247" s="87"/>
      <c r="Q247" s="87"/>
      <c r="R247" s="87"/>
      <c r="S247" s="87"/>
      <c r="T247" s="87"/>
      <c r="U247" s="87"/>
      <c r="V247" s="87"/>
      <c r="W247" s="87"/>
      <c r="X247" s="87"/>
      <c r="Y247" s="87"/>
      <c r="Z247" s="87"/>
      <c r="AA247" s="87"/>
      <c r="AB247" s="87"/>
      <c r="AC247" s="87"/>
      <c r="AD247" s="87"/>
      <c r="AE247" s="87"/>
      <c r="AF247" s="87"/>
      <c r="AG247" s="87"/>
      <c r="AH247" s="87"/>
      <c r="AI247" s="87"/>
      <c r="AJ247" s="87"/>
      <c r="AK247" s="87"/>
      <c r="AL247" s="87"/>
      <c r="AM247" s="87"/>
      <c r="AN247" s="87"/>
    </row>
    <row r="248" ht="16.5" customHeight="1">
      <c r="A248" s="87"/>
      <c r="B248" s="87"/>
      <c r="C248" s="87"/>
      <c r="D248" s="87"/>
      <c r="E248" s="87"/>
      <c r="F248" s="79"/>
      <c r="G248" s="87"/>
      <c r="H248" s="92"/>
      <c r="I248" s="87"/>
      <c r="J248" s="87"/>
      <c r="K248" s="89"/>
      <c r="L248" s="87"/>
      <c r="M248" s="87"/>
      <c r="N248" s="87"/>
      <c r="O248" s="87"/>
      <c r="P248" s="87"/>
      <c r="Q248" s="87"/>
      <c r="R248" s="87"/>
      <c r="S248" s="87"/>
      <c r="T248" s="87"/>
      <c r="U248" s="87"/>
      <c r="V248" s="87"/>
      <c r="W248" s="87"/>
      <c r="X248" s="87"/>
      <c r="Y248" s="87"/>
      <c r="Z248" s="87"/>
      <c r="AA248" s="87"/>
      <c r="AB248" s="87"/>
      <c r="AC248" s="87"/>
      <c r="AD248" s="87"/>
      <c r="AE248" s="87"/>
      <c r="AF248" s="87"/>
      <c r="AG248" s="87"/>
      <c r="AH248" s="87"/>
      <c r="AI248" s="87"/>
      <c r="AJ248" s="87"/>
      <c r="AK248" s="87"/>
      <c r="AL248" s="87"/>
      <c r="AM248" s="87"/>
      <c r="AN248" s="87"/>
    </row>
    <row r="249" ht="16.5" customHeight="1">
      <c r="A249" s="87"/>
      <c r="B249" s="87"/>
      <c r="C249" s="87"/>
      <c r="D249" s="87"/>
      <c r="E249" s="87"/>
      <c r="F249" s="79"/>
      <c r="G249" s="87"/>
      <c r="H249" s="92"/>
      <c r="I249" s="87"/>
      <c r="J249" s="87"/>
      <c r="K249" s="89"/>
      <c r="L249" s="87"/>
      <c r="M249" s="87"/>
      <c r="N249" s="87"/>
      <c r="O249" s="87"/>
      <c r="P249" s="87"/>
      <c r="Q249" s="87"/>
      <c r="R249" s="87"/>
      <c r="S249" s="87"/>
      <c r="T249" s="87"/>
      <c r="U249" s="87"/>
      <c r="V249" s="87"/>
      <c r="W249" s="87"/>
      <c r="X249" s="87"/>
      <c r="Y249" s="87"/>
      <c r="Z249" s="87"/>
      <c r="AA249" s="87"/>
      <c r="AB249" s="87"/>
      <c r="AC249" s="87"/>
      <c r="AD249" s="87"/>
      <c r="AE249" s="87"/>
      <c r="AF249" s="87"/>
      <c r="AG249" s="87"/>
      <c r="AH249" s="87"/>
      <c r="AI249" s="87"/>
      <c r="AJ249" s="87"/>
      <c r="AK249" s="87"/>
      <c r="AL249" s="87"/>
      <c r="AM249" s="87"/>
      <c r="AN249" s="87"/>
    </row>
    <row r="250" ht="16.5" customHeight="1">
      <c r="A250" s="87"/>
      <c r="B250" s="87"/>
      <c r="C250" s="87"/>
      <c r="D250" s="87"/>
      <c r="E250" s="87"/>
      <c r="F250" s="79"/>
      <c r="G250" s="87"/>
      <c r="H250" s="92"/>
      <c r="I250" s="87"/>
      <c r="J250" s="87"/>
      <c r="K250" s="89"/>
      <c r="L250" s="87"/>
      <c r="M250" s="87"/>
      <c r="N250" s="87"/>
      <c r="O250" s="87"/>
      <c r="P250" s="87"/>
      <c r="Q250" s="87"/>
      <c r="R250" s="87"/>
      <c r="S250" s="87"/>
      <c r="T250" s="87"/>
      <c r="U250" s="87"/>
      <c r="V250" s="87"/>
      <c r="W250" s="87"/>
      <c r="X250" s="87"/>
      <c r="Y250" s="87"/>
      <c r="Z250" s="87"/>
      <c r="AA250" s="87"/>
      <c r="AB250" s="87"/>
      <c r="AC250" s="87"/>
      <c r="AD250" s="87"/>
      <c r="AE250" s="87"/>
      <c r="AF250" s="87"/>
      <c r="AG250" s="87"/>
      <c r="AH250" s="87"/>
      <c r="AI250" s="87"/>
      <c r="AJ250" s="87"/>
      <c r="AK250" s="87"/>
      <c r="AL250" s="87"/>
      <c r="AM250" s="87"/>
      <c r="AN250" s="87"/>
    </row>
    <row r="251" ht="16.5" customHeight="1">
      <c r="A251" s="87"/>
      <c r="B251" s="87"/>
      <c r="C251" s="87"/>
      <c r="D251" s="87"/>
      <c r="E251" s="87"/>
      <c r="F251" s="79"/>
      <c r="G251" s="87"/>
      <c r="H251" s="92"/>
      <c r="I251" s="87"/>
      <c r="J251" s="87"/>
      <c r="K251" s="89"/>
      <c r="L251" s="87"/>
      <c r="M251" s="87"/>
      <c r="N251" s="87"/>
      <c r="O251" s="87"/>
      <c r="P251" s="87"/>
      <c r="Q251" s="87"/>
      <c r="R251" s="87"/>
      <c r="S251" s="87"/>
      <c r="T251" s="87"/>
      <c r="U251" s="87"/>
      <c r="V251" s="87"/>
      <c r="W251" s="87"/>
      <c r="X251" s="87"/>
      <c r="Y251" s="87"/>
      <c r="Z251" s="87"/>
      <c r="AA251" s="87"/>
      <c r="AB251" s="87"/>
      <c r="AC251" s="87"/>
      <c r="AD251" s="87"/>
      <c r="AE251" s="87"/>
      <c r="AF251" s="87"/>
      <c r="AG251" s="87"/>
      <c r="AH251" s="87"/>
      <c r="AI251" s="87"/>
      <c r="AJ251" s="87"/>
      <c r="AK251" s="87"/>
      <c r="AL251" s="87"/>
      <c r="AM251" s="87"/>
      <c r="AN251" s="87"/>
    </row>
    <row r="252" ht="16.5" customHeight="1">
      <c r="A252" s="87"/>
      <c r="B252" s="87"/>
      <c r="C252" s="87"/>
      <c r="D252" s="87"/>
      <c r="E252" s="87"/>
      <c r="F252" s="79"/>
      <c r="G252" s="87"/>
      <c r="H252" s="92"/>
      <c r="I252" s="87"/>
      <c r="J252" s="87"/>
      <c r="K252" s="89"/>
      <c r="L252" s="87"/>
      <c r="M252" s="87"/>
      <c r="N252" s="87"/>
      <c r="O252" s="87"/>
      <c r="P252" s="87"/>
      <c r="Q252" s="87"/>
      <c r="R252" s="87"/>
      <c r="S252" s="87"/>
      <c r="T252" s="87"/>
      <c r="U252" s="87"/>
      <c r="V252" s="87"/>
      <c r="W252" s="87"/>
      <c r="X252" s="87"/>
      <c r="Y252" s="87"/>
      <c r="Z252" s="87"/>
      <c r="AA252" s="87"/>
      <c r="AB252" s="87"/>
      <c r="AC252" s="87"/>
      <c r="AD252" s="87"/>
      <c r="AE252" s="87"/>
      <c r="AF252" s="87"/>
      <c r="AG252" s="87"/>
      <c r="AH252" s="87"/>
      <c r="AI252" s="87"/>
      <c r="AJ252" s="87"/>
      <c r="AK252" s="87"/>
      <c r="AL252" s="87"/>
      <c r="AM252" s="87"/>
      <c r="AN252" s="87"/>
    </row>
    <row r="253" ht="16.5" customHeight="1">
      <c r="A253" s="87"/>
      <c r="B253" s="87"/>
      <c r="C253" s="87"/>
      <c r="D253" s="87"/>
      <c r="E253" s="87"/>
      <c r="F253" s="79"/>
      <c r="G253" s="87"/>
      <c r="H253" s="92"/>
      <c r="I253" s="87"/>
      <c r="J253" s="87"/>
      <c r="K253" s="89"/>
      <c r="L253" s="87"/>
      <c r="M253" s="87"/>
      <c r="N253" s="87"/>
      <c r="O253" s="87"/>
      <c r="P253" s="87"/>
      <c r="Q253" s="87"/>
      <c r="R253" s="87"/>
      <c r="S253" s="87"/>
      <c r="T253" s="87"/>
      <c r="U253" s="87"/>
      <c r="V253" s="87"/>
      <c r="W253" s="87"/>
      <c r="X253" s="87"/>
      <c r="Y253" s="87"/>
      <c r="Z253" s="87"/>
      <c r="AA253" s="87"/>
      <c r="AB253" s="87"/>
      <c r="AC253" s="87"/>
      <c r="AD253" s="87"/>
      <c r="AE253" s="87"/>
      <c r="AF253" s="87"/>
      <c r="AG253" s="87"/>
      <c r="AH253" s="87"/>
      <c r="AI253" s="87"/>
      <c r="AJ253" s="87"/>
      <c r="AK253" s="87"/>
      <c r="AL253" s="87"/>
      <c r="AM253" s="87"/>
      <c r="AN253" s="87"/>
    </row>
    <row r="254" ht="16.5" customHeight="1">
      <c r="A254" s="87"/>
      <c r="B254" s="87"/>
      <c r="C254" s="87"/>
      <c r="D254" s="87"/>
      <c r="E254" s="87"/>
      <c r="F254" s="79"/>
      <c r="G254" s="87"/>
      <c r="H254" s="92"/>
      <c r="I254" s="87"/>
      <c r="J254" s="87"/>
      <c r="K254" s="89"/>
      <c r="L254" s="87"/>
      <c r="M254" s="87"/>
      <c r="N254" s="87"/>
      <c r="O254" s="87"/>
      <c r="P254" s="87"/>
      <c r="Q254" s="87"/>
      <c r="R254" s="87"/>
      <c r="S254" s="87"/>
      <c r="T254" s="87"/>
      <c r="U254" s="87"/>
      <c r="V254" s="87"/>
      <c r="W254" s="87"/>
      <c r="X254" s="87"/>
      <c r="Y254" s="87"/>
      <c r="Z254" s="87"/>
      <c r="AA254" s="87"/>
      <c r="AB254" s="87"/>
      <c r="AC254" s="87"/>
      <c r="AD254" s="87"/>
      <c r="AE254" s="87"/>
      <c r="AF254" s="87"/>
      <c r="AG254" s="87"/>
      <c r="AH254" s="87"/>
      <c r="AI254" s="87"/>
      <c r="AJ254" s="87"/>
      <c r="AK254" s="87"/>
      <c r="AL254" s="87"/>
      <c r="AM254" s="87"/>
      <c r="AN254" s="87"/>
    </row>
    <row r="255" ht="16.5" customHeight="1">
      <c r="A255" s="87"/>
      <c r="B255" s="87"/>
      <c r="C255" s="87"/>
      <c r="D255" s="87"/>
      <c r="E255" s="87"/>
      <c r="F255" s="79"/>
      <c r="G255" s="87"/>
      <c r="H255" s="92"/>
      <c r="I255" s="87"/>
      <c r="J255" s="87"/>
      <c r="K255" s="89"/>
      <c r="L255" s="87"/>
      <c r="M255" s="87"/>
      <c r="N255" s="87"/>
      <c r="O255" s="87"/>
      <c r="P255" s="87"/>
      <c r="Q255" s="87"/>
      <c r="R255" s="87"/>
      <c r="S255" s="87"/>
      <c r="T255" s="87"/>
      <c r="U255" s="87"/>
      <c r="V255" s="87"/>
      <c r="W255" s="87"/>
      <c r="X255" s="87"/>
      <c r="Y255" s="87"/>
      <c r="Z255" s="87"/>
      <c r="AA255" s="87"/>
      <c r="AB255" s="87"/>
      <c r="AC255" s="87"/>
      <c r="AD255" s="87"/>
      <c r="AE255" s="87"/>
      <c r="AF255" s="87"/>
      <c r="AG255" s="87"/>
      <c r="AH255" s="87"/>
      <c r="AI255" s="87"/>
      <c r="AJ255" s="87"/>
      <c r="AK255" s="87"/>
      <c r="AL255" s="87"/>
      <c r="AM255" s="87"/>
      <c r="AN255" s="87"/>
    </row>
    <row r="256" ht="16.5" customHeight="1">
      <c r="A256" s="87"/>
      <c r="B256" s="87"/>
      <c r="C256" s="87"/>
      <c r="D256" s="87"/>
      <c r="E256" s="87"/>
      <c r="F256" s="79"/>
      <c r="G256" s="87"/>
      <c r="H256" s="92"/>
      <c r="I256" s="87"/>
      <c r="J256" s="87"/>
      <c r="K256" s="89"/>
      <c r="L256" s="87"/>
      <c r="M256" s="87"/>
      <c r="N256" s="87"/>
      <c r="O256" s="87"/>
      <c r="P256" s="87"/>
      <c r="Q256" s="87"/>
      <c r="R256" s="87"/>
      <c r="S256" s="87"/>
      <c r="T256" s="87"/>
      <c r="U256" s="87"/>
      <c r="V256" s="87"/>
      <c r="W256" s="87"/>
      <c r="X256" s="87"/>
      <c r="Y256" s="87"/>
      <c r="Z256" s="87"/>
      <c r="AA256" s="87"/>
      <c r="AB256" s="87"/>
      <c r="AC256" s="87"/>
      <c r="AD256" s="87"/>
      <c r="AE256" s="87"/>
      <c r="AF256" s="87"/>
      <c r="AG256" s="87"/>
      <c r="AH256" s="87"/>
      <c r="AI256" s="87"/>
      <c r="AJ256" s="87"/>
      <c r="AK256" s="87"/>
      <c r="AL256" s="87"/>
      <c r="AM256" s="87"/>
      <c r="AN256" s="87"/>
    </row>
    <row r="257" ht="16.5" customHeight="1">
      <c r="A257" s="87"/>
      <c r="B257" s="87"/>
      <c r="C257" s="87"/>
      <c r="D257" s="87"/>
      <c r="E257" s="87"/>
      <c r="F257" s="79"/>
      <c r="G257" s="87"/>
      <c r="H257" s="92"/>
      <c r="I257" s="87"/>
      <c r="J257" s="87"/>
      <c r="K257" s="89"/>
      <c r="L257" s="87"/>
      <c r="M257" s="87"/>
      <c r="N257" s="87"/>
      <c r="O257" s="87"/>
      <c r="P257" s="87"/>
      <c r="Q257" s="87"/>
      <c r="R257" s="87"/>
      <c r="S257" s="87"/>
      <c r="T257" s="87"/>
      <c r="U257" s="87"/>
      <c r="V257" s="87"/>
      <c r="W257" s="87"/>
      <c r="X257" s="87"/>
      <c r="Y257" s="87"/>
      <c r="Z257" s="87"/>
      <c r="AA257" s="87"/>
      <c r="AB257" s="87"/>
      <c r="AC257" s="87"/>
      <c r="AD257" s="87"/>
      <c r="AE257" s="87"/>
      <c r="AF257" s="87"/>
      <c r="AG257" s="87"/>
      <c r="AH257" s="87"/>
      <c r="AI257" s="87"/>
      <c r="AJ257" s="87"/>
      <c r="AK257" s="87"/>
      <c r="AL257" s="87"/>
      <c r="AM257" s="87"/>
      <c r="AN257" s="87"/>
    </row>
    <row r="258" ht="16.5" customHeight="1">
      <c r="A258" s="87"/>
      <c r="B258" s="87"/>
      <c r="C258" s="87"/>
      <c r="D258" s="87"/>
      <c r="E258" s="87"/>
      <c r="F258" s="79"/>
      <c r="G258" s="87"/>
      <c r="H258" s="92"/>
      <c r="I258" s="87"/>
      <c r="J258" s="87"/>
      <c r="K258" s="89"/>
      <c r="L258" s="87"/>
      <c r="M258" s="87"/>
      <c r="N258" s="87"/>
      <c r="O258" s="87"/>
      <c r="P258" s="87"/>
      <c r="Q258" s="87"/>
      <c r="R258" s="87"/>
      <c r="S258" s="87"/>
      <c r="T258" s="87"/>
      <c r="U258" s="87"/>
      <c r="V258" s="87"/>
      <c r="W258" s="87"/>
      <c r="X258" s="87"/>
      <c r="Y258" s="87"/>
      <c r="Z258" s="87"/>
      <c r="AA258" s="87"/>
      <c r="AB258" s="87"/>
      <c r="AC258" s="87"/>
      <c r="AD258" s="87"/>
      <c r="AE258" s="87"/>
      <c r="AF258" s="87"/>
      <c r="AG258" s="87"/>
      <c r="AH258" s="87"/>
      <c r="AI258" s="87"/>
      <c r="AJ258" s="87"/>
      <c r="AK258" s="87"/>
      <c r="AL258" s="87"/>
      <c r="AM258" s="87"/>
      <c r="AN258" s="87"/>
    </row>
    <row r="259" ht="16.5" customHeight="1">
      <c r="A259" s="87"/>
      <c r="B259" s="87"/>
      <c r="C259" s="87"/>
      <c r="D259" s="87"/>
      <c r="E259" s="87"/>
      <c r="F259" s="79"/>
      <c r="G259" s="87"/>
      <c r="H259" s="92"/>
      <c r="I259" s="87"/>
      <c r="J259" s="87"/>
      <c r="K259" s="89"/>
      <c r="L259" s="87"/>
      <c r="M259" s="87"/>
      <c r="N259" s="87"/>
      <c r="O259" s="87"/>
      <c r="P259" s="87"/>
      <c r="Q259" s="87"/>
      <c r="R259" s="87"/>
      <c r="S259" s="87"/>
      <c r="T259" s="87"/>
      <c r="U259" s="87"/>
      <c r="V259" s="87"/>
      <c r="W259" s="87"/>
      <c r="X259" s="87"/>
      <c r="Y259" s="87"/>
      <c r="Z259" s="87"/>
      <c r="AA259" s="87"/>
      <c r="AB259" s="87"/>
      <c r="AC259" s="87"/>
      <c r="AD259" s="87"/>
      <c r="AE259" s="87"/>
      <c r="AF259" s="87"/>
      <c r="AG259" s="87"/>
      <c r="AH259" s="87"/>
      <c r="AI259" s="87"/>
      <c r="AJ259" s="87"/>
      <c r="AK259" s="87"/>
      <c r="AL259" s="87"/>
      <c r="AM259" s="87"/>
      <c r="AN259" s="87"/>
    </row>
    <row r="260" ht="16.5" customHeight="1">
      <c r="A260" s="87"/>
      <c r="B260" s="87"/>
      <c r="C260" s="87"/>
      <c r="D260" s="87"/>
      <c r="E260" s="87"/>
      <c r="F260" s="79"/>
      <c r="G260" s="87"/>
      <c r="H260" s="92"/>
      <c r="I260" s="87"/>
      <c r="J260" s="87"/>
      <c r="K260" s="89"/>
      <c r="L260" s="87"/>
      <c r="M260" s="87"/>
      <c r="N260" s="87"/>
      <c r="O260" s="87"/>
      <c r="P260" s="87"/>
      <c r="Q260" s="87"/>
      <c r="R260" s="87"/>
      <c r="S260" s="87"/>
      <c r="T260" s="87"/>
      <c r="U260" s="87"/>
      <c r="V260" s="87"/>
      <c r="W260" s="87"/>
      <c r="X260" s="87"/>
      <c r="Y260" s="87"/>
      <c r="Z260" s="87"/>
      <c r="AA260" s="87"/>
      <c r="AB260" s="87"/>
      <c r="AC260" s="87"/>
      <c r="AD260" s="87"/>
      <c r="AE260" s="87"/>
      <c r="AF260" s="87"/>
      <c r="AG260" s="87"/>
      <c r="AH260" s="87"/>
      <c r="AI260" s="87"/>
      <c r="AJ260" s="87"/>
      <c r="AK260" s="87"/>
      <c r="AL260" s="87"/>
      <c r="AM260" s="87"/>
      <c r="AN260" s="87"/>
    </row>
    <row r="261" ht="16.5" customHeight="1">
      <c r="A261" s="87"/>
      <c r="B261" s="87"/>
      <c r="C261" s="87"/>
      <c r="D261" s="87"/>
      <c r="E261" s="87"/>
      <c r="F261" s="79"/>
      <c r="G261" s="87"/>
      <c r="H261" s="92"/>
      <c r="I261" s="87"/>
      <c r="J261" s="87"/>
      <c r="K261" s="89"/>
      <c r="L261" s="87"/>
      <c r="M261" s="87"/>
      <c r="N261" s="87"/>
      <c r="O261" s="87"/>
      <c r="P261" s="87"/>
      <c r="Q261" s="87"/>
      <c r="R261" s="87"/>
      <c r="S261" s="87"/>
      <c r="T261" s="87"/>
      <c r="U261" s="87"/>
      <c r="V261" s="87"/>
      <c r="W261" s="87"/>
      <c r="X261" s="87"/>
      <c r="Y261" s="87"/>
      <c r="Z261" s="87"/>
      <c r="AA261" s="87"/>
      <c r="AB261" s="87"/>
      <c r="AC261" s="87"/>
      <c r="AD261" s="87"/>
      <c r="AE261" s="87"/>
      <c r="AF261" s="87"/>
      <c r="AG261" s="87"/>
      <c r="AH261" s="87"/>
      <c r="AI261" s="87"/>
      <c r="AJ261" s="87"/>
      <c r="AK261" s="87"/>
      <c r="AL261" s="87"/>
      <c r="AM261" s="87"/>
      <c r="AN261" s="87"/>
    </row>
    <row r="262" ht="16.5" customHeight="1">
      <c r="A262" s="87"/>
      <c r="B262" s="87"/>
      <c r="C262" s="87"/>
      <c r="D262" s="87"/>
      <c r="E262" s="87"/>
      <c r="F262" s="79"/>
      <c r="G262" s="87"/>
      <c r="H262" s="92"/>
      <c r="I262" s="87"/>
      <c r="J262" s="87"/>
      <c r="K262" s="89"/>
      <c r="L262" s="87"/>
      <c r="M262" s="87"/>
      <c r="N262" s="87"/>
      <c r="O262" s="87"/>
      <c r="P262" s="87"/>
      <c r="Q262" s="87"/>
      <c r="R262" s="87"/>
      <c r="S262" s="87"/>
      <c r="T262" s="87"/>
      <c r="U262" s="87"/>
      <c r="V262" s="87"/>
      <c r="W262" s="87"/>
      <c r="X262" s="87"/>
      <c r="Y262" s="87"/>
      <c r="Z262" s="87"/>
      <c r="AA262" s="87"/>
      <c r="AB262" s="87"/>
      <c r="AC262" s="87"/>
      <c r="AD262" s="87"/>
      <c r="AE262" s="87"/>
      <c r="AF262" s="87"/>
      <c r="AG262" s="87"/>
      <c r="AH262" s="87"/>
      <c r="AI262" s="87"/>
      <c r="AJ262" s="87"/>
      <c r="AK262" s="87"/>
      <c r="AL262" s="87"/>
      <c r="AM262" s="87"/>
      <c r="AN262" s="87"/>
    </row>
    <row r="263" ht="16.5" customHeight="1">
      <c r="A263" s="87"/>
      <c r="B263" s="87"/>
      <c r="C263" s="87"/>
      <c r="D263" s="87"/>
      <c r="E263" s="87"/>
      <c r="F263" s="79"/>
      <c r="G263" s="87"/>
      <c r="H263" s="92"/>
      <c r="I263" s="87"/>
      <c r="J263" s="87"/>
      <c r="K263" s="89"/>
      <c r="L263" s="87"/>
      <c r="M263" s="87"/>
      <c r="N263" s="87"/>
      <c r="O263" s="87"/>
      <c r="P263" s="87"/>
      <c r="Q263" s="87"/>
      <c r="R263" s="87"/>
      <c r="S263" s="87"/>
      <c r="T263" s="87"/>
      <c r="U263" s="87"/>
      <c r="V263" s="87"/>
      <c r="W263" s="87"/>
      <c r="X263" s="87"/>
      <c r="Y263" s="87"/>
      <c r="Z263" s="87"/>
      <c r="AA263" s="87"/>
      <c r="AB263" s="87"/>
      <c r="AC263" s="87"/>
      <c r="AD263" s="87"/>
      <c r="AE263" s="87"/>
      <c r="AF263" s="87"/>
      <c r="AG263" s="87"/>
      <c r="AH263" s="87"/>
      <c r="AI263" s="87"/>
      <c r="AJ263" s="87"/>
      <c r="AK263" s="87"/>
      <c r="AL263" s="87"/>
      <c r="AM263" s="87"/>
      <c r="AN263" s="87"/>
    </row>
    <row r="264" ht="16.5" customHeight="1">
      <c r="A264" s="87"/>
      <c r="B264" s="87"/>
      <c r="C264" s="87"/>
      <c r="D264" s="87"/>
      <c r="E264" s="87"/>
      <c r="F264" s="79"/>
      <c r="G264" s="87"/>
      <c r="H264" s="92"/>
      <c r="I264" s="87"/>
      <c r="J264" s="87"/>
      <c r="K264" s="89"/>
      <c r="L264" s="87"/>
      <c r="M264" s="87"/>
      <c r="N264" s="87"/>
      <c r="O264" s="87"/>
      <c r="P264" s="87"/>
      <c r="Q264" s="87"/>
      <c r="R264" s="87"/>
      <c r="S264" s="87"/>
      <c r="T264" s="87"/>
      <c r="U264" s="87"/>
      <c r="V264" s="87"/>
      <c r="W264" s="87"/>
      <c r="X264" s="87"/>
      <c r="Y264" s="87"/>
      <c r="Z264" s="87"/>
      <c r="AA264" s="87"/>
      <c r="AB264" s="87"/>
      <c r="AC264" s="87"/>
      <c r="AD264" s="87"/>
      <c r="AE264" s="87"/>
      <c r="AF264" s="87"/>
      <c r="AG264" s="87"/>
      <c r="AH264" s="87"/>
      <c r="AI264" s="87"/>
      <c r="AJ264" s="87"/>
      <c r="AK264" s="87"/>
      <c r="AL264" s="87"/>
      <c r="AM264" s="87"/>
      <c r="AN264" s="87"/>
    </row>
    <row r="265" ht="16.5" customHeight="1">
      <c r="A265" s="87"/>
      <c r="B265" s="87"/>
      <c r="C265" s="87"/>
      <c r="D265" s="87"/>
      <c r="E265" s="87"/>
      <c r="F265" s="79"/>
      <c r="G265" s="87"/>
      <c r="H265" s="92"/>
      <c r="I265" s="87"/>
      <c r="J265" s="87"/>
      <c r="K265" s="89"/>
      <c r="L265" s="87"/>
      <c r="M265" s="87"/>
      <c r="N265" s="87"/>
      <c r="O265" s="87"/>
      <c r="P265" s="87"/>
      <c r="Q265" s="87"/>
      <c r="R265" s="87"/>
      <c r="S265" s="87"/>
      <c r="T265" s="87"/>
      <c r="U265" s="87"/>
      <c r="V265" s="87"/>
      <c r="W265" s="87"/>
      <c r="X265" s="87"/>
      <c r="Y265" s="87"/>
      <c r="Z265" s="87"/>
      <c r="AA265" s="87"/>
      <c r="AB265" s="87"/>
      <c r="AC265" s="87"/>
      <c r="AD265" s="87"/>
      <c r="AE265" s="87"/>
      <c r="AF265" s="87"/>
      <c r="AG265" s="87"/>
      <c r="AH265" s="87"/>
      <c r="AI265" s="87"/>
      <c r="AJ265" s="87"/>
      <c r="AK265" s="87"/>
      <c r="AL265" s="87"/>
      <c r="AM265" s="87"/>
      <c r="AN265" s="87"/>
    </row>
    <row r="266" ht="16.5" customHeight="1">
      <c r="A266" s="87"/>
      <c r="B266" s="87"/>
      <c r="C266" s="87"/>
      <c r="D266" s="87"/>
      <c r="E266" s="87"/>
      <c r="F266" s="79"/>
      <c r="G266" s="87"/>
      <c r="H266" s="92"/>
      <c r="I266" s="87"/>
      <c r="J266" s="87"/>
      <c r="K266" s="89"/>
      <c r="L266" s="87"/>
      <c r="M266" s="87"/>
      <c r="N266" s="87"/>
      <c r="O266" s="87"/>
      <c r="P266" s="87"/>
      <c r="Q266" s="87"/>
      <c r="R266" s="87"/>
      <c r="S266" s="87"/>
      <c r="T266" s="87"/>
      <c r="U266" s="87"/>
      <c r="V266" s="87"/>
      <c r="W266" s="87"/>
      <c r="X266" s="87"/>
      <c r="Y266" s="87"/>
      <c r="Z266" s="87"/>
      <c r="AA266" s="87"/>
      <c r="AB266" s="87"/>
      <c r="AC266" s="87"/>
      <c r="AD266" s="87"/>
      <c r="AE266" s="87"/>
      <c r="AF266" s="87"/>
      <c r="AG266" s="87"/>
      <c r="AH266" s="87"/>
      <c r="AI266" s="87"/>
      <c r="AJ266" s="87"/>
      <c r="AK266" s="87"/>
      <c r="AL266" s="87"/>
      <c r="AM266" s="87"/>
      <c r="AN266" s="87"/>
    </row>
    <row r="267" ht="16.5" customHeight="1">
      <c r="A267" s="87"/>
      <c r="B267" s="87"/>
      <c r="C267" s="87"/>
      <c r="D267" s="87"/>
      <c r="E267" s="87"/>
      <c r="F267" s="79"/>
      <c r="G267" s="87"/>
      <c r="H267" s="92"/>
      <c r="I267" s="87"/>
      <c r="J267" s="87"/>
      <c r="K267" s="89"/>
      <c r="L267" s="87"/>
      <c r="M267" s="87"/>
      <c r="N267" s="87"/>
      <c r="O267" s="87"/>
      <c r="P267" s="87"/>
      <c r="Q267" s="87"/>
      <c r="R267" s="87"/>
      <c r="S267" s="87"/>
      <c r="T267" s="87"/>
      <c r="U267" s="87"/>
      <c r="V267" s="87"/>
      <c r="W267" s="87"/>
      <c r="X267" s="87"/>
      <c r="Y267" s="87"/>
      <c r="Z267" s="87"/>
      <c r="AA267" s="87"/>
      <c r="AB267" s="87"/>
      <c r="AC267" s="87"/>
      <c r="AD267" s="87"/>
      <c r="AE267" s="87"/>
      <c r="AF267" s="87"/>
      <c r="AG267" s="87"/>
      <c r="AH267" s="87"/>
      <c r="AI267" s="87"/>
      <c r="AJ267" s="87"/>
      <c r="AK267" s="87"/>
      <c r="AL267" s="87"/>
      <c r="AM267" s="87"/>
      <c r="AN267" s="87"/>
    </row>
    <row r="268" ht="16.5" customHeight="1">
      <c r="A268" s="87"/>
      <c r="B268" s="87"/>
      <c r="C268" s="87"/>
      <c r="D268" s="87"/>
      <c r="E268" s="87"/>
      <c r="F268" s="79"/>
      <c r="G268" s="87"/>
      <c r="H268" s="92"/>
      <c r="I268" s="87"/>
      <c r="J268" s="87"/>
      <c r="K268" s="89"/>
      <c r="L268" s="87"/>
      <c r="M268" s="87"/>
      <c r="N268" s="87"/>
      <c r="O268" s="87"/>
      <c r="P268" s="87"/>
      <c r="Q268" s="87"/>
      <c r="R268" s="87"/>
      <c r="S268" s="87"/>
      <c r="T268" s="87"/>
      <c r="U268" s="87"/>
      <c r="V268" s="87"/>
      <c r="W268" s="87"/>
      <c r="X268" s="87"/>
      <c r="Y268" s="87"/>
      <c r="Z268" s="87"/>
      <c r="AA268" s="87"/>
      <c r="AB268" s="87"/>
      <c r="AC268" s="87"/>
      <c r="AD268" s="87"/>
      <c r="AE268" s="87"/>
      <c r="AF268" s="87"/>
      <c r="AG268" s="87"/>
      <c r="AH268" s="87"/>
      <c r="AI268" s="87"/>
      <c r="AJ268" s="87"/>
      <c r="AK268" s="87"/>
      <c r="AL268" s="87"/>
      <c r="AM268" s="87"/>
      <c r="AN268" s="87"/>
    </row>
    <row r="269" ht="16.5" customHeight="1">
      <c r="A269" s="87"/>
      <c r="B269" s="87"/>
      <c r="C269" s="87"/>
      <c r="D269" s="87"/>
      <c r="E269" s="87"/>
      <c r="F269" s="79"/>
      <c r="G269" s="87"/>
      <c r="H269" s="92"/>
      <c r="I269" s="87"/>
      <c r="J269" s="87"/>
      <c r="K269" s="89"/>
      <c r="L269" s="87"/>
      <c r="M269" s="87"/>
      <c r="N269" s="87"/>
      <c r="O269" s="87"/>
      <c r="P269" s="87"/>
      <c r="Q269" s="87"/>
      <c r="R269" s="87"/>
      <c r="S269" s="87"/>
      <c r="T269" s="87"/>
      <c r="U269" s="87"/>
      <c r="V269" s="87"/>
      <c r="W269" s="87"/>
      <c r="X269" s="87"/>
      <c r="Y269" s="87"/>
      <c r="Z269" s="87"/>
      <c r="AA269" s="87"/>
      <c r="AB269" s="87"/>
      <c r="AC269" s="87"/>
      <c r="AD269" s="87"/>
      <c r="AE269" s="87"/>
      <c r="AF269" s="87"/>
      <c r="AG269" s="87"/>
      <c r="AH269" s="87"/>
      <c r="AI269" s="87"/>
      <c r="AJ269" s="87"/>
      <c r="AK269" s="87"/>
      <c r="AL269" s="87"/>
      <c r="AM269" s="87"/>
      <c r="AN269" s="87"/>
    </row>
    <row r="270" ht="16.5" customHeight="1">
      <c r="A270" s="87"/>
      <c r="B270" s="87"/>
      <c r="C270" s="87"/>
      <c r="D270" s="87"/>
      <c r="E270" s="87"/>
      <c r="F270" s="79"/>
      <c r="G270" s="87"/>
      <c r="H270" s="92"/>
      <c r="I270" s="87"/>
      <c r="J270" s="87"/>
      <c r="K270" s="89"/>
      <c r="L270" s="87"/>
      <c r="M270" s="87"/>
      <c r="N270" s="87"/>
      <c r="O270" s="87"/>
      <c r="P270" s="87"/>
      <c r="Q270" s="87"/>
      <c r="R270" s="87"/>
      <c r="S270" s="87"/>
      <c r="T270" s="87"/>
      <c r="U270" s="87"/>
      <c r="V270" s="87"/>
      <c r="W270" s="87"/>
      <c r="X270" s="87"/>
      <c r="Y270" s="87"/>
      <c r="Z270" s="87"/>
      <c r="AA270" s="87"/>
      <c r="AB270" s="87"/>
      <c r="AC270" s="87"/>
      <c r="AD270" s="87"/>
      <c r="AE270" s="87"/>
      <c r="AF270" s="87"/>
      <c r="AG270" s="87"/>
      <c r="AH270" s="87"/>
      <c r="AI270" s="87"/>
      <c r="AJ270" s="87"/>
      <c r="AK270" s="87"/>
      <c r="AL270" s="87"/>
      <c r="AM270" s="87"/>
      <c r="AN270" s="87"/>
    </row>
    <row r="271" ht="16.5" customHeight="1">
      <c r="A271" s="87"/>
      <c r="B271" s="87"/>
      <c r="C271" s="87"/>
      <c r="D271" s="87"/>
      <c r="E271" s="87"/>
      <c r="F271" s="79"/>
      <c r="G271" s="87"/>
      <c r="H271" s="92"/>
      <c r="I271" s="87"/>
      <c r="J271" s="87"/>
      <c r="K271" s="89"/>
      <c r="L271" s="87"/>
      <c r="M271" s="87"/>
      <c r="N271" s="87"/>
      <c r="O271" s="87"/>
      <c r="P271" s="87"/>
      <c r="Q271" s="87"/>
      <c r="R271" s="87"/>
      <c r="S271" s="87"/>
      <c r="T271" s="87"/>
      <c r="U271" s="87"/>
      <c r="V271" s="87"/>
      <c r="W271" s="87"/>
      <c r="X271" s="87"/>
      <c r="Y271" s="87"/>
      <c r="Z271" s="87"/>
      <c r="AA271" s="87"/>
      <c r="AB271" s="87"/>
      <c r="AC271" s="87"/>
      <c r="AD271" s="87"/>
      <c r="AE271" s="87"/>
      <c r="AF271" s="87"/>
      <c r="AG271" s="87"/>
      <c r="AH271" s="87"/>
      <c r="AI271" s="87"/>
      <c r="AJ271" s="87"/>
      <c r="AK271" s="87"/>
      <c r="AL271" s="87"/>
      <c r="AM271" s="87"/>
      <c r="AN271" s="87"/>
    </row>
    <row r="272" ht="16.5" customHeight="1">
      <c r="A272" s="87"/>
      <c r="B272" s="87"/>
      <c r="C272" s="87"/>
      <c r="D272" s="87"/>
      <c r="E272" s="87"/>
      <c r="F272" s="79"/>
      <c r="G272" s="87"/>
      <c r="H272" s="92"/>
      <c r="I272" s="87"/>
      <c r="J272" s="87"/>
      <c r="K272" s="89"/>
      <c r="L272" s="87"/>
      <c r="M272" s="87"/>
      <c r="N272" s="87"/>
      <c r="O272" s="87"/>
      <c r="P272" s="87"/>
      <c r="Q272" s="87"/>
      <c r="R272" s="87"/>
      <c r="S272" s="87"/>
      <c r="T272" s="87"/>
      <c r="U272" s="87"/>
      <c r="V272" s="87"/>
      <c r="W272" s="87"/>
      <c r="X272" s="87"/>
      <c r="Y272" s="87"/>
      <c r="Z272" s="87"/>
      <c r="AA272" s="87"/>
      <c r="AB272" s="87"/>
      <c r="AC272" s="87"/>
      <c r="AD272" s="87"/>
      <c r="AE272" s="87"/>
      <c r="AF272" s="87"/>
      <c r="AG272" s="87"/>
      <c r="AH272" s="87"/>
      <c r="AI272" s="87"/>
      <c r="AJ272" s="87"/>
      <c r="AK272" s="87"/>
      <c r="AL272" s="87"/>
      <c r="AM272" s="87"/>
      <c r="AN272" s="87"/>
    </row>
    <row r="273" ht="16.5" customHeight="1">
      <c r="A273" s="87"/>
      <c r="B273" s="87"/>
      <c r="C273" s="87"/>
      <c r="D273" s="87"/>
      <c r="E273" s="87"/>
      <c r="F273" s="79"/>
      <c r="G273" s="87"/>
      <c r="H273" s="92"/>
      <c r="I273" s="87"/>
      <c r="J273" s="87"/>
      <c r="K273" s="89"/>
      <c r="L273" s="87"/>
      <c r="M273" s="87"/>
      <c r="N273" s="87"/>
      <c r="O273" s="87"/>
      <c r="P273" s="87"/>
      <c r="Q273" s="87"/>
      <c r="R273" s="87"/>
      <c r="S273" s="87"/>
      <c r="T273" s="87"/>
      <c r="U273" s="87"/>
      <c r="V273" s="87"/>
      <c r="W273" s="87"/>
      <c r="X273" s="87"/>
      <c r="Y273" s="87"/>
      <c r="Z273" s="87"/>
      <c r="AA273" s="87"/>
      <c r="AB273" s="87"/>
      <c r="AC273" s="87"/>
      <c r="AD273" s="87"/>
      <c r="AE273" s="87"/>
      <c r="AF273" s="87"/>
      <c r="AG273" s="87"/>
      <c r="AH273" s="87"/>
      <c r="AI273" s="87"/>
      <c r="AJ273" s="87"/>
      <c r="AK273" s="87"/>
      <c r="AL273" s="87"/>
      <c r="AM273" s="87"/>
      <c r="AN273" s="87"/>
    </row>
    <row r="274" ht="16.5" customHeight="1">
      <c r="A274" s="87"/>
      <c r="B274" s="87"/>
      <c r="C274" s="87"/>
      <c r="D274" s="87"/>
      <c r="E274" s="87"/>
      <c r="F274" s="79"/>
      <c r="G274" s="87"/>
      <c r="H274" s="92"/>
      <c r="I274" s="87"/>
      <c r="J274" s="87"/>
      <c r="K274" s="89"/>
      <c r="L274" s="87"/>
      <c r="M274" s="87"/>
      <c r="N274" s="87"/>
      <c r="O274" s="87"/>
      <c r="P274" s="87"/>
      <c r="Q274" s="87"/>
      <c r="R274" s="87"/>
      <c r="S274" s="87"/>
      <c r="T274" s="87"/>
      <c r="U274" s="87"/>
      <c r="V274" s="87"/>
      <c r="W274" s="87"/>
      <c r="X274" s="87"/>
      <c r="Y274" s="87"/>
      <c r="Z274" s="87"/>
      <c r="AA274" s="87"/>
      <c r="AB274" s="87"/>
      <c r="AC274" s="87"/>
      <c r="AD274" s="87"/>
      <c r="AE274" s="87"/>
      <c r="AF274" s="87"/>
      <c r="AG274" s="87"/>
      <c r="AH274" s="87"/>
      <c r="AI274" s="87"/>
      <c r="AJ274" s="87"/>
      <c r="AK274" s="87"/>
      <c r="AL274" s="87"/>
      <c r="AM274" s="87"/>
      <c r="AN274" s="87"/>
    </row>
    <row r="275" ht="16.5" customHeight="1">
      <c r="A275" s="87"/>
      <c r="B275" s="87"/>
      <c r="C275" s="87"/>
      <c r="D275" s="87"/>
      <c r="E275" s="87"/>
      <c r="F275" s="79"/>
      <c r="G275" s="87"/>
      <c r="H275" s="92"/>
      <c r="I275" s="87"/>
      <c r="J275" s="87"/>
      <c r="K275" s="89"/>
      <c r="L275" s="87"/>
      <c r="M275" s="87"/>
      <c r="N275" s="87"/>
      <c r="O275" s="87"/>
      <c r="P275" s="87"/>
      <c r="Q275" s="87"/>
      <c r="R275" s="87"/>
      <c r="S275" s="87"/>
      <c r="T275" s="87"/>
      <c r="U275" s="87"/>
      <c r="V275" s="87"/>
      <c r="W275" s="87"/>
      <c r="X275" s="87"/>
      <c r="Y275" s="87"/>
      <c r="Z275" s="87"/>
      <c r="AA275" s="87"/>
      <c r="AB275" s="87"/>
      <c r="AC275" s="87"/>
      <c r="AD275" s="87"/>
      <c r="AE275" s="87"/>
      <c r="AF275" s="87"/>
      <c r="AG275" s="87"/>
      <c r="AH275" s="87"/>
      <c r="AI275" s="87"/>
      <c r="AJ275" s="87"/>
      <c r="AK275" s="87"/>
      <c r="AL275" s="87"/>
      <c r="AM275" s="87"/>
      <c r="AN275" s="87"/>
    </row>
    <row r="276" ht="16.5" customHeight="1">
      <c r="A276" s="87"/>
      <c r="B276" s="87"/>
      <c r="C276" s="87"/>
      <c r="D276" s="87"/>
      <c r="E276" s="87"/>
      <c r="F276" s="79"/>
      <c r="G276" s="87"/>
      <c r="H276" s="92"/>
      <c r="I276" s="87"/>
      <c r="J276" s="87"/>
      <c r="K276" s="89"/>
      <c r="L276" s="87"/>
      <c r="M276" s="87"/>
      <c r="N276" s="87"/>
      <c r="O276" s="87"/>
      <c r="P276" s="87"/>
      <c r="Q276" s="87"/>
      <c r="R276" s="87"/>
      <c r="S276" s="87"/>
      <c r="T276" s="87"/>
      <c r="U276" s="87"/>
      <c r="V276" s="87"/>
      <c r="W276" s="87"/>
      <c r="X276" s="87"/>
      <c r="Y276" s="87"/>
      <c r="Z276" s="87"/>
      <c r="AA276" s="87"/>
      <c r="AB276" s="87"/>
      <c r="AC276" s="87"/>
      <c r="AD276" s="87"/>
      <c r="AE276" s="87"/>
      <c r="AF276" s="87"/>
      <c r="AG276" s="87"/>
      <c r="AH276" s="87"/>
      <c r="AI276" s="87"/>
      <c r="AJ276" s="87"/>
      <c r="AK276" s="87"/>
      <c r="AL276" s="87"/>
      <c r="AM276" s="87"/>
      <c r="AN276" s="87"/>
    </row>
    <row r="277" ht="16.5" customHeight="1">
      <c r="A277" s="87"/>
      <c r="B277" s="87"/>
      <c r="C277" s="87"/>
      <c r="D277" s="87"/>
      <c r="E277" s="87"/>
      <c r="F277" s="79"/>
      <c r="G277" s="87"/>
      <c r="H277" s="92"/>
      <c r="I277" s="87"/>
      <c r="J277" s="87"/>
      <c r="K277" s="89"/>
      <c r="L277" s="87"/>
      <c r="M277" s="87"/>
      <c r="N277" s="87"/>
      <c r="O277" s="87"/>
      <c r="P277" s="87"/>
      <c r="Q277" s="87"/>
      <c r="R277" s="87"/>
      <c r="S277" s="87"/>
      <c r="T277" s="87"/>
      <c r="U277" s="87"/>
      <c r="V277" s="87"/>
      <c r="W277" s="87"/>
      <c r="X277" s="87"/>
      <c r="Y277" s="87"/>
      <c r="Z277" s="87"/>
      <c r="AA277" s="87"/>
      <c r="AB277" s="87"/>
      <c r="AC277" s="87"/>
      <c r="AD277" s="87"/>
      <c r="AE277" s="87"/>
      <c r="AF277" s="87"/>
      <c r="AG277" s="87"/>
      <c r="AH277" s="87"/>
      <c r="AI277" s="87"/>
      <c r="AJ277" s="87"/>
      <c r="AK277" s="87"/>
      <c r="AL277" s="87"/>
      <c r="AM277" s="87"/>
      <c r="AN277" s="87"/>
    </row>
    <row r="278" ht="16.5" customHeight="1">
      <c r="A278" s="87"/>
      <c r="B278" s="87"/>
      <c r="C278" s="87"/>
      <c r="D278" s="87"/>
      <c r="E278" s="87"/>
      <c r="F278" s="79"/>
      <c r="G278" s="87"/>
      <c r="H278" s="92"/>
      <c r="I278" s="87"/>
      <c r="J278" s="87"/>
      <c r="K278" s="89"/>
      <c r="L278" s="87"/>
      <c r="M278" s="87"/>
      <c r="N278" s="87"/>
      <c r="O278" s="87"/>
      <c r="P278" s="87"/>
      <c r="Q278" s="87"/>
      <c r="R278" s="87"/>
      <c r="S278" s="87"/>
      <c r="T278" s="87"/>
      <c r="U278" s="87"/>
      <c r="V278" s="87"/>
      <c r="W278" s="87"/>
      <c r="X278" s="87"/>
      <c r="Y278" s="87"/>
      <c r="Z278" s="87"/>
      <c r="AA278" s="87"/>
      <c r="AB278" s="87"/>
      <c r="AC278" s="87"/>
      <c r="AD278" s="87"/>
      <c r="AE278" s="87"/>
      <c r="AF278" s="87"/>
      <c r="AG278" s="87"/>
      <c r="AH278" s="87"/>
      <c r="AI278" s="87"/>
      <c r="AJ278" s="87"/>
      <c r="AK278" s="87"/>
      <c r="AL278" s="87"/>
      <c r="AM278" s="87"/>
      <c r="AN278" s="87"/>
    </row>
    <row r="279" ht="16.5" customHeight="1">
      <c r="A279" s="87"/>
      <c r="B279" s="87"/>
      <c r="C279" s="87"/>
      <c r="D279" s="87"/>
      <c r="E279" s="87"/>
      <c r="F279" s="79"/>
      <c r="G279" s="87"/>
      <c r="H279" s="92"/>
      <c r="I279" s="87"/>
      <c r="J279" s="87"/>
      <c r="K279" s="89"/>
      <c r="L279" s="87"/>
      <c r="M279" s="87"/>
      <c r="N279" s="87"/>
      <c r="O279" s="87"/>
      <c r="P279" s="87"/>
      <c r="Q279" s="87"/>
      <c r="R279" s="87"/>
      <c r="S279" s="87"/>
      <c r="T279" s="87"/>
      <c r="U279" s="87"/>
      <c r="V279" s="87"/>
      <c r="W279" s="87"/>
      <c r="X279" s="87"/>
      <c r="Y279" s="87"/>
      <c r="Z279" s="87"/>
      <c r="AA279" s="87"/>
      <c r="AB279" s="87"/>
      <c r="AC279" s="87"/>
      <c r="AD279" s="87"/>
      <c r="AE279" s="87"/>
      <c r="AF279" s="87"/>
      <c r="AG279" s="87"/>
      <c r="AH279" s="87"/>
      <c r="AI279" s="87"/>
      <c r="AJ279" s="87"/>
      <c r="AK279" s="87"/>
      <c r="AL279" s="87"/>
      <c r="AM279" s="87"/>
      <c r="AN279" s="87"/>
    </row>
    <row r="280" ht="16.5" customHeight="1">
      <c r="A280" s="87"/>
      <c r="B280" s="87"/>
      <c r="C280" s="87"/>
      <c r="D280" s="87"/>
      <c r="E280" s="87"/>
      <c r="F280" s="79"/>
      <c r="G280" s="87"/>
      <c r="H280" s="92"/>
      <c r="I280" s="87"/>
      <c r="J280" s="87"/>
      <c r="K280" s="89"/>
      <c r="L280" s="87"/>
      <c r="M280" s="87"/>
      <c r="N280" s="87"/>
      <c r="O280" s="87"/>
      <c r="P280" s="87"/>
      <c r="Q280" s="87"/>
      <c r="R280" s="87"/>
      <c r="S280" s="87"/>
      <c r="T280" s="87"/>
      <c r="U280" s="87"/>
      <c r="V280" s="87"/>
      <c r="W280" s="87"/>
      <c r="X280" s="87"/>
      <c r="Y280" s="87"/>
      <c r="Z280" s="87"/>
      <c r="AA280" s="87"/>
      <c r="AB280" s="87"/>
      <c r="AC280" s="87"/>
      <c r="AD280" s="87"/>
      <c r="AE280" s="87"/>
      <c r="AF280" s="87"/>
      <c r="AG280" s="87"/>
      <c r="AH280" s="87"/>
      <c r="AI280" s="87"/>
      <c r="AJ280" s="87"/>
      <c r="AK280" s="87"/>
      <c r="AL280" s="87"/>
      <c r="AM280" s="87"/>
      <c r="AN280" s="87"/>
    </row>
    <row r="281" ht="16.5" customHeight="1">
      <c r="A281" s="87"/>
      <c r="B281" s="87"/>
      <c r="C281" s="87"/>
      <c r="D281" s="87"/>
      <c r="E281" s="87"/>
      <c r="F281" s="79"/>
      <c r="G281" s="87"/>
      <c r="H281" s="92"/>
      <c r="I281" s="87"/>
      <c r="J281" s="87"/>
      <c r="K281" s="89"/>
      <c r="L281" s="87"/>
      <c r="M281" s="87"/>
      <c r="N281" s="87"/>
      <c r="O281" s="87"/>
      <c r="P281" s="87"/>
      <c r="Q281" s="87"/>
      <c r="R281" s="87"/>
      <c r="S281" s="87"/>
      <c r="T281" s="87"/>
      <c r="U281" s="87"/>
      <c r="V281" s="87"/>
      <c r="W281" s="87"/>
      <c r="X281" s="87"/>
      <c r="Y281" s="87"/>
      <c r="Z281" s="87"/>
      <c r="AA281" s="87"/>
      <c r="AB281" s="87"/>
      <c r="AC281" s="87"/>
      <c r="AD281" s="87"/>
      <c r="AE281" s="87"/>
      <c r="AF281" s="87"/>
      <c r="AG281" s="87"/>
      <c r="AH281" s="87"/>
      <c r="AI281" s="87"/>
      <c r="AJ281" s="87"/>
      <c r="AK281" s="87"/>
      <c r="AL281" s="87"/>
      <c r="AM281" s="87"/>
      <c r="AN281" s="87"/>
    </row>
    <row r="282" ht="16.5" customHeight="1">
      <c r="A282" s="87"/>
      <c r="B282" s="87"/>
      <c r="C282" s="87"/>
      <c r="D282" s="87"/>
      <c r="E282" s="87"/>
      <c r="F282" s="79"/>
      <c r="G282" s="87"/>
      <c r="H282" s="92"/>
      <c r="I282" s="87"/>
      <c r="J282" s="87"/>
      <c r="K282" s="89"/>
      <c r="L282" s="87"/>
      <c r="M282" s="87"/>
      <c r="N282" s="87"/>
      <c r="O282" s="87"/>
      <c r="P282" s="87"/>
      <c r="Q282" s="87"/>
      <c r="R282" s="87"/>
      <c r="S282" s="87"/>
      <c r="T282" s="87"/>
      <c r="U282" s="87"/>
      <c r="V282" s="87"/>
      <c r="W282" s="87"/>
      <c r="X282" s="87"/>
      <c r="Y282" s="87"/>
      <c r="Z282" s="87"/>
      <c r="AA282" s="87"/>
      <c r="AB282" s="87"/>
      <c r="AC282" s="87"/>
      <c r="AD282" s="87"/>
      <c r="AE282" s="87"/>
      <c r="AF282" s="87"/>
      <c r="AG282" s="87"/>
      <c r="AH282" s="87"/>
      <c r="AI282" s="87"/>
      <c r="AJ282" s="87"/>
      <c r="AK282" s="87"/>
      <c r="AL282" s="87"/>
      <c r="AM282" s="87"/>
      <c r="AN282" s="87"/>
    </row>
    <row r="283" ht="16.5" customHeight="1">
      <c r="A283" s="87"/>
      <c r="B283" s="87"/>
      <c r="C283" s="87"/>
      <c r="D283" s="87"/>
      <c r="E283" s="87"/>
      <c r="F283" s="79"/>
      <c r="G283" s="87"/>
      <c r="H283" s="92"/>
      <c r="I283" s="87"/>
      <c r="J283" s="87"/>
      <c r="K283" s="89"/>
      <c r="L283" s="87"/>
      <c r="M283" s="87"/>
      <c r="N283" s="87"/>
      <c r="O283" s="87"/>
      <c r="P283" s="87"/>
      <c r="Q283" s="87"/>
      <c r="R283" s="87"/>
      <c r="S283" s="87"/>
      <c r="T283" s="87"/>
      <c r="U283" s="87"/>
      <c r="V283" s="87"/>
      <c r="W283" s="87"/>
      <c r="X283" s="87"/>
      <c r="Y283" s="87"/>
      <c r="Z283" s="87"/>
      <c r="AA283" s="87"/>
      <c r="AB283" s="87"/>
      <c r="AC283" s="87"/>
      <c r="AD283" s="87"/>
      <c r="AE283" s="87"/>
      <c r="AF283" s="87"/>
      <c r="AG283" s="87"/>
      <c r="AH283" s="87"/>
      <c r="AI283" s="87"/>
      <c r="AJ283" s="87"/>
      <c r="AK283" s="87"/>
      <c r="AL283" s="87"/>
      <c r="AM283" s="87"/>
      <c r="AN283" s="87"/>
    </row>
    <row r="284" ht="16.5" customHeight="1">
      <c r="A284" s="87"/>
      <c r="B284" s="87"/>
      <c r="C284" s="87"/>
      <c r="D284" s="87"/>
      <c r="E284" s="87"/>
      <c r="F284" s="79"/>
      <c r="G284" s="87"/>
      <c r="H284" s="92"/>
      <c r="I284" s="87"/>
      <c r="J284" s="87"/>
      <c r="K284" s="89"/>
      <c r="L284" s="87"/>
      <c r="M284" s="87"/>
      <c r="N284" s="87"/>
      <c r="O284" s="87"/>
      <c r="P284" s="87"/>
      <c r="Q284" s="87"/>
      <c r="R284" s="87"/>
      <c r="S284" s="87"/>
      <c r="T284" s="87"/>
      <c r="U284" s="87"/>
      <c r="V284" s="87"/>
      <c r="W284" s="87"/>
      <c r="X284" s="87"/>
      <c r="Y284" s="87"/>
      <c r="Z284" s="87"/>
      <c r="AA284" s="87"/>
      <c r="AB284" s="87"/>
      <c r="AC284" s="87"/>
      <c r="AD284" s="87"/>
      <c r="AE284" s="87"/>
      <c r="AF284" s="87"/>
      <c r="AG284" s="87"/>
      <c r="AH284" s="87"/>
      <c r="AI284" s="87"/>
      <c r="AJ284" s="87"/>
      <c r="AK284" s="87"/>
      <c r="AL284" s="87"/>
      <c r="AM284" s="87"/>
      <c r="AN284" s="87"/>
    </row>
    <row r="285" ht="16.5" customHeight="1">
      <c r="A285" s="87"/>
      <c r="B285" s="87"/>
      <c r="C285" s="87"/>
      <c r="D285" s="87"/>
      <c r="E285" s="87"/>
      <c r="F285" s="79"/>
      <c r="G285" s="87"/>
      <c r="H285" s="92"/>
      <c r="I285" s="87"/>
      <c r="J285" s="87"/>
      <c r="K285" s="89"/>
      <c r="L285" s="87"/>
      <c r="M285" s="87"/>
      <c r="N285" s="87"/>
      <c r="O285" s="87"/>
      <c r="P285" s="87"/>
      <c r="Q285" s="87"/>
      <c r="R285" s="87"/>
      <c r="S285" s="87"/>
      <c r="T285" s="87"/>
      <c r="U285" s="87"/>
      <c r="V285" s="87"/>
      <c r="W285" s="87"/>
      <c r="X285" s="87"/>
      <c r="Y285" s="87"/>
      <c r="Z285" s="87"/>
      <c r="AA285" s="87"/>
      <c r="AB285" s="87"/>
      <c r="AC285" s="87"/>
      <c r="AD285" s="87"/>
      <c r="AE285" s="87"/>
      <c r="AF285" s="87"/>
      <c r="AG285" s="87"/>
      <c r="AH285" s="87"/>
      <c r="AI285" s="87"/>
      <c r="AJ285" s="87"/>
      <c r="AK285" s="87"/>
      <c r="AL285" s="87"/>
      <c r="AM285" s="87"/>
      <c r="AN285" s="87"/>
    </row>
    <row r="286" ht="16.5" customHeight="1">
      <c r="A286" s="87"/>
      <c r="B286" s="87"/>
      <c r="C286" s="87"/>
      <c r="D286" s="87"/>
      <c r="E286" s="87"/>
      <c r="F286" s="79"/>
      <c r="G286" s="87"/>
      <c r="H286" s="92"/>
      <c r="I286" s="87"/>
      <c r="J286" s="87"/>
      <c r="K286" s="89"/>
      <c r="L286" s="87"/>
      <c r="M286" s="87"/>
      <c r="N286" s="87"/>
      <c r="O286" s="87"/>
      <c r="P286" s="87"/>
      <c r="Q286" s="87"/>
      <c r="R286" s="87"/>
      <c r="S286" s="87"/>
      <c r="T286" s="87"/>
      <c r="U286" s="87"/>
      <c r="V286" s="87"/>
      <c r="W286" s="87"/>
      <c r="X286" s="87"/>
      <c r="Y286" s="87"/>
      <c r="Z286" s="87"/>
      <c r="AA286" s="87"/>
      <c r="AB286" s="87"/>
      <c r="AC286" s="87"/>
      <c r="AD286" s="87"/>
      <c r="AE286" s="87"/>
      <c r="AF286" s="87"/>
      <c r="AG286" s="87"/>
      <c r="AH286" s="87"/>
      <c r="AI286" s="87"/>
      <c r="AJ286" s="87"/>
      <c r="AK286" s="87"/>
      <c r="AL286" s="87"/>
      <c r="AM286" s="87"/>
      <c r="AN286" s="87"/>
    </row>
    <row r="287" ht="16.5" customHeight="1">
      <c r="A287" s="87"/>
      <c r="B287" s="87"/>
      <c r="C287" s="87"/>
      <c r="D287" s="87"/>
      <c r="E287" s="87"/>
      <c r="F287" s="79"/>
      <c r="G287" s="87"/>
      <c r="H287" s="92"/>
      <c r="I287" s="87"/>
      <c r="J287" s="87"/>
      <c r="K287" s="89"/>
      <c r="L287" s="87"/>
      <c r="M287" s="87"/>
      <c r="N287" s="87"/>
      <c r="O287" s="87"/>
      <c r="P287" s="87"/>
      <c r="Q287" s="87"/>
      <c r="R287" s="87"/>
      <c r="S287" s="87"/>
      <c r="T287" s="87"/>
      <c r="U287" s="87"/>
      <c r="V287" s="87"/>
      <c r="W287" s="87"/>
      <c r="X287" s="87"/>
      <c r="Y287" s="87"/>
      <c r="Z287" s="87"/>
      <c r="AA287" s="87"/>
      <c r="AB287" s="87"/>
      <c r="AC287" s="87"/>
      <c r="AD287" s="87"/>
      <c r="AE287" s="87"/>
      <c r="AF287" s="87"/>
      <c r="AG287" s="87"/>
      <c r="AH287" s="87"/>
      <c r="AI287" s="87"/>
      <c r="AJ287" s="87"/>
      <c r="AK287" s="87"/>
      <c r="AL287" s="87"/>
      <c r="AM287" s="87"/>
      <c r="AN287" s="87"/>
    </row>
    <row r="288" ht="16.5" customHeight="1">
      <c r="A288" s="87"/>
      <c r="B288" s="87"/>
      <c r="C288" s="87"/>
      <c r="D288" s="87"/>
      <c r="E288" s="87"/>
      <c r="F288" s="79"/>
      <c r="G288" s="87"/>
      <c r="H288" s="92"/>
      <c r="I288" s="87"/>
      <c r="J288" s="87"/>
      <c r="K288" s="89"/>
      <c r="L288" s="87"/>
      <c r="M288" s="87"/>
      <c r="N288" s="87"/>
      <c r="O288" s="87"/>
      <c r="P288" s="87"/>
      <c r="Q288" s="87"/>
      <c r="R288" s="87"/>
      <c r="S288" s="87"/>
      <c r="T288" s="87"/>
      <c r="U288" s="87"/>
      <c r="V288" s="87"/>
      <c r="W288" s="87"/>
      <c r="X288" s="87"/>
      <c r="Y288" s="87"/>
      <c r="Z288" s="87"/>
      <c r="AA288" s="87"/>
      <c r="AB288" s="87"/>
      <c r="AC288" s="87"/>
      <c r="AD288" s="87"/>
      <c r="AE288" s="87"/>
      <c r="AF288" s="87"/>
      <c r="AG288" s="87"/>
      <c r="AH288" s="87"/>
      <c r="AI288" s="87"/>
      <c r="AJ288" s="87"/>
      <c r="AK288" s="87"/>
      <c r="AL288" s="87"/>
      <c r="AM288" s="87"/>
      <c r="AN288" s="87"/>
    </row>
    <row r="289" ht="16.5" customHeight="1">
      <c r="A289" s="87"/>
      <c r="B289" s="87"/>
      <c r="C289" s="87"/>
      <c r="D289" s="87"/>
      <c r="E289" s="87"/>
      <c r="F289" s="79"/>
      <c r="G289" s="87"/>
      <c r="H289" s="92"/>
      <c r="I289" s="87"/>
      <c r="J289" s="87"/>
      <c r="K289" s="89"/>
      <c r="L289" s="87"/>
      <c r="M289" s="87"/>
      <c r="N289" s="87"/>
      <c r="O289" s="87"/>
      <c r="P289" s="87"/>
      <c r="Q289" s="87"/>
      <c r="R289" s="87"/>
      <c r="S289" s="87"/>
      <c r="T289" s="87"/>
      <c r="U289" s="87"/>
      <c r="V289" s="87"/>
      <c r="W289" s="87"/>
      <c r="X289" s="87"/>
      <c r="Y289" s="87"/>
      <c r="Z289" s="87"/>
      <c r="AA289" s="87"/>
      <c r="AB289" s="87"/>
      <c r="AC289" s="87"/>
      <c r="AD289" s="87"/>
      <c r="AE289" s="87"/>
      <c r="AF289" s="87"/>
      <c r="AG289" s="87"/>
      <c r="AH289" s="87"/>
      <c r="AI289" s="87"/>
      <c r="AJ289" s="87"/>
      <c r="AK289" s="87"/>
      <c r="AL289" s="87"/>
      <c r="AM289" s="87"/>
      <c r="AN289" s="87"/>
    </row>
    <row r="290" ht="16.5" customHeight="1">
      <c r="A290" s="87"/>
      <c r="B290" s="87"/>
      <c r="C290" s="87"/>
      <c r="D290" s="87"/>
      <c r="E290" s="87"/>
      <c r="F290" s="79"/>
      <c r="G290" s="87"/>
      <c r="H290" s="92"/>
      <c r="I290" s="87"/>
      <c r="J290" s="87"/>
      <c r="K290" s="89"/>
      <c r="L290" s="87"/>
      <c r="M290" s="87"/>
      <c r="N290" s="87"/>
      <c r="O290" s="87"/>
      <c r="P290" s="87"/>
      <c r="Q290" s="87"/>
      <c r="R290" s="87"/>
      <c r="S290" s="87"/>
      <c r="T290" s="87"/>
      <c r="U290" s="87"/>
      <c r="V290" s="87"/>
      <c r="W290" s="87"/>
      <c r="X290" s="87"/>
      <c r="Y290" s="87"/>
      <c r="Z290" s="87"/>
      <c r="AA290" s="87"/>
      <c r="AB290" s="87"/>
      <c r="AC290" s="87"/>
      <c r="AD290" s="87"/>
      <c r="AE290" s="87"/>
      <c r="AF290" s="87"/>
      <c r="AG290" s="87"/>
      <c r="AH290" s="87"/>
      <c r="AI290" s="87"/>
      <c r="AJ290" s="87"/>
      <c r="AK290" s="87"/>
      <c r="AL290" s="87"/>
      <c r="AM290" s="87"/>
      <c r="AN290" s="87"/>
    </row>
    <row r="291" ht="16.5" customHeight="1">
      <c r="A291" s="87"/>
      <c r="B291" s="87"/>
      <c r="C291" s="87"/>
      <c r="D291" s="87"/>
      <c r="E291" s="87"/>
      <c r="F291" s="79"/>
      <c r="G291" s="87"/>
      <c r="H291" s="92"/>
      <c r="I291" s="87"/>
      <c r="J291" s="87"/>
      <c r="K291" s="89"/>
      <c r="L291" s="87"/>
      <c r="M291" s="87"/>
      <c r="N291" s="87"/>
      <c r="O291" s="87"/>
      <c r="P291" s="87"/>
      <c r="Q291" s="87"/>
      <c r="R291" s="87"/>
      <c r="S291" s="87"/>
      <c r="T291" s="87"/>
      <c r="U291" s="87"/>
      <c r="V291" s="87"/>
      <c r="W291" s="87"/>
      <c r="X291" s="87"/>
      <c r="Y291" s="87"/>
      <c r="Z291" s="87"/>
      <c r="AA291" s="87"/>
      <c r="AB291" s="87"/>
      <c r="AC291" s="87"/>
      <c r="AD291" s="87"/>
      <c r="AE291" s="87"/>
      <c r="AF291" s="87"/>
      <c r="AG291" s="87"/>
      <c r="AH291" s="87"/>
      <c r="AI291" s="87"/>
      <c r="AJ291" s="87"/>
      <c r="AK291" s="87"/>
      <c r="AL291" s="87"/>
      <c r="AM291" s="87"/>
      <c r="AN291" s="87"/>
    </row>
    <row r="292" ht="16.5" customHeight="1">
      <c r="A292" s="87"/>
      <c r="B292" s="87"/>
      <c r="C292" s="87"/>
      <c r="D292" s="87"/>
      <c r="E292" s="87"/>
      <c r="F292" s="79"/>
      <c r="G292" s="87"/>
      <c r="H292" s="92"/>
      <c r="I292" s="87"/>
      <c r="J292" s="87"/>
      <c r="K292" s="89"/>
      <c r="L292" s="87"/>
      <c r="M292" s="87"/>
      <c r="N292" s="87"/>
      <c r="O292" s="87"/>
      <c r="P292" s="87"/>
      <c r="Q292" s="87"/>
      <c r="R292" s="87"/>
      <c r="S292" s="87"/>
      <c r="T292" s="87"/>
      <c r="U292" s="87"/>
      <c r="V292" s="87"/>
      <c r="W292" s="87"/>
      <c r="X292" s="87"/>
      <c r="Y292" s="87"/>
      <c r="Z292" s="87"/>
      <c r="AA292" s="87"/>
      <c r="AB292" s="87"/>
      <c r="AC292" s="87"/>
      <c r="AD292" s="87"/>
      <c r="AE292" s="87"/>
      <c r="AF292" s="87"/>
      <c r="AG292" s="87"/>
      <c r="AH292" s="87"/>
      <c r="AI292" s="87"/>
      <c r="AJ292" s="87"/>
      <c r="AK292" s="87"/>
      <c r="AL292" s="87"/>
      <c r="AM292" s="87"/>
      <c r="AN292" s="87"/>
    </row>
    <row r="293" ht="16.5" customHeight="1">
      <c r="A293" s="87"/>
      <c r="B293" s="87"/>
      <c r="C293" s="87"/>
      <c r="D293" s="87"/>
      <c r="E293" s="87"/>
      <c r="F293" s="79"/>
      <c r="G293" s="87"/>
      <c r="H293" s="92"/>
      <c r="I293" s="87"/>
      <c r="J293" s="87"/>
      <c r="K293" s="89"/>
      <c r="L293" s="87"/>
      <c r="M293" s="87"/>
      <c r="N293" s="87"/>
      <c r="O293" s="87"/>
      <c r="P293" s="87"/>
      <c r="Q293" s="87"/>
      <c r="R293" s="87"/>
      <c r="S293" s="87"/>
      <c r="T293" s="87"/>
      <c r="U293" s="87"/>
      <c r="V293" s="87"/>
      <c r="W293" s="87"/>
      <c r="X293" s="87"/>
      <c r="Y293" s="87"/>
      <c r="Z293" s="87"/>
      <c r="AA293" s="87"/>
      <c r="AB293" s="87"/>
      <c r="AC293" s="87"/>
      <c r="AD293" s="87"/>
      <c r="AE293" s="87"/>
      <c r="AF293" s="87"/>
      <c r="AG293" s="87"/>
      <c r="AH293" s="87"/>
      <c r="AI293" s="87"/>
      <c r="AJ293" s="87"/>
      <c r="AK293" s="87"/>
      <c r="AL293" s="87"/>
      <c r="AM293" s="87"/>
      <c r="AN293" s="87"/>
    </row>
    <row r="294" ht="16.5" customHeight="1">
      <c r="A294" s="87"/>
      <c r="B294" s="87"/>
      <c r="C294" s="87"/>
      <c r="D294" s="87"/>
      <c r="E294" s="87"/>
      <c r="F294" s="79"/>
      <c r="G294" s="87"/>
      <c r="H294" s="92"/>
      <c r="I294" s="87"/>
      <c r="J294" s="87"/>
      <c r="K294" s="89"/>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row>
    <row r="295" ht="16.5" customHeight="1">
      <c r="A295" s="87"/>
      <c r="B295" s="87"/>
      <c r="C295" s="87"/>
      <c r="D295" s="87"/>
      <c r="E295" s="87"/>
      <c r="F295" s="79"/>
      <c r="G295" s="87"/>
      <c r="H295" s="92"/>
      <c r="I295" s="87"/>
      <c r="J295" s="87"/>
      <c r="K295" s="89"/>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row>
    <row r="296" ht="16.5" customHeight="1">
      <c r="A296" s="87"/>
      <c r="B296" s="87"/>
      <c r="C296" s="87"/>
      <c r="D296" s="87"/>
      <c r="E296" s="87"/>
      <c r="F296" s="79"/>
      <c r="G296" s="87"/>
      <c r="H296" s="92"/>
      <c r="I296" s="87"/>
      <c r="J296" s="87"/>
      <c r="K296" s="89"/>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row>
    <row r="297" ht="16.5" customHeight="1">
      <c r="A297" s="87"/>
      <c r="B297" s="87"/>
      <c r="C297" s="87"/>
      <c r="D297" s="87"/>
      <c r="E297" s="87"/>
      <c r="F297" s="79"/>
      <c r="G297" s="87"/>
      <c r="H297" s="92"/>
      <c r="I297" s="87"/>
      <c r="J297" s="87"/>
      <c r="K297" s="89"/>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row>
    <row r="298" ht="16.5" customHeight="1">
      <c r="A298" s="87"/>
      <c r="B298" s="87"/>
      <c r="C298" s="87"/>
      <c r="D298" s="87"/>
      <c r="E298" s="87"/>
      <c r="F298" s="79"/>
      <c r="G298" s="87"/>
      <c r="H298" s="92"/>
      <c r="I298" s="87"/>
      <c r="J298" s="87"/>
      <c r="K298" s="89"/>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row>
    <row r="299" ht="16.5" customHeight="1">
      <c r="A299" s="87"/>
      <c r="B299" s="87"/>
      <c r="C299" s="87"/>
      <c r="D299" s="87"/>
      <c r="E299" s="87"/>
      <c r="F299" s="79"/>
      <c r="G299" s="87"/>
      <c r="H299" s="92"/>
      <c r="I299" s="87"/>
      <c r="J299" s="87"/>
      <c r="K299" s="89"/>
      <c r="L299" s="87"/>
      <c r="M299" s="87"/>
      <c r="N299" s="87"/>
      <c r="O299" s="87"/>
      <c r="P299" s="87"/>
      <c r="Q299" s="87"/>
      <c r="R299" s="87"/>
      <c r="S299" s="87"/>
      <c r="T299" s="87"/>
      <c r="U299" s="87"/>
      <c r="V299" s="87"/>
      <c r="W299" s="87"/>
      <c r="X299" s="87"/>
      <c r="Y299" s="87"/>
      <c r="Z299" s="87"/>
      <c r="AA299" s="87"/>
      <c r="AB299" s="87"/>
      <c r="AC299" s="87"/>
      <c r="AD299" s="87"/>
      <c r="AE299" s="87"/>
      <c r="AF299" s="87"/>
      <c r="AG299" s="87"/>
      <c r="AH299" s="87"/>
      <c r="AI299" s="87"/>
      <c r="AJ299" s="87"/>
      <c r="AK299" s="87"/>
      <c r="AL299" s="87"/>
      <c r="AM299" s="87"/>
      <c r="AN299" s="87"/>
    </row>
    <row r="300" ht="16.5" customHeight="1">
      <c r="A300" s="87"/>
      <c r="B300" s="87"/>
      <c r="C300" s="87"/>
      <c r="D300" s="87"/>
      <c r="E300" s="87"/>
      <c r="F300" s="79"/>
      <c r="G300" s="87"/>
      <c r="H300" s="92"/>
      <c r="I300" s="87"/>
      <c r="J300" s="87"/>
      <c r="K300" s="89"/>
      <c r="L300" s="87"/>
      <c r="M300" s="87"/>
      <c r="N300" s="87"/>
      <c r="O300" s="87"/>
      <c r="P300" s="87"/>
      <c r="Q300" s="87"/>
      <c r="R300" s="87"/>
      <c r="S300" s="87"/>
      <c r="T300" s="87"/>
      <c r="U300" s="87"/>
      <c r="V300" s="87"/>
      <c r="W300" s="87"/>
      <c r="X300" s="87"/>
      <c r="Y300" s="87"/>
      <c r="Z300" s="87"/>
      <c r="AA300" s="87"/>
      <c r="AB300" s="87"/>
      <c r="AC300" s="87"/>
      <c r="AD300" s="87"/>
      <c r="AE300" s="87"/>
      <c r="AF300" s="87"/>
      <c r="AG300" s="87"/>
      <c r="AH300" s="87"/>
      <c r="AI300" s="87"/>
      <c r="AJ300" s="87"/>
      <c r="AK300" s="87"/>
      <c r="AL300" s="87"/>
      <c r="AM300" s="87"/>
      <c r="AN300" s="87"/>
    </row>
    <row r="301" ht="16.5" customHeight="1">
      <c r="A301" s="87"/>
      <c r="B301" s="87"/>
      <c r="C301" s="87"/>
      <c r="D301" s="87"/>
      <c r="E301" s="87"/>
      <c r="F301" s="79"/>
      <c r="G301" s="87"/>
      <c r="H301" s="92"/>
      <c r="I301" s="87"/>
      <c r="J301" s="87"/>
      <c r="K301" s="89"/>
      <c r="L301" s="87"/>
      <c r="M301" s="87"/>
      <c r="N301" s="87"/>
      <c r="O301" s="87"/>
      <c r="P301" s="87"/>
      <c r="Q301" s="87"/>
      <c r="R301" s="87"/>
      <c r="S301" s="87"/>
      <c r="T301" s="87"/>
      <c r="U301" s="87"/>
      <c r="V301" s="87"/>
      <c r="W301" s="87"/>
      <c r="X301" s="87"/>
      <c r="Y301" s="87"/>
      <c r="Z301" s="87"/>
      <c r="AA301" s="87"/>
      <c r="AB301" s="87"/>
      <c r="AC301" s="87"/>
      <c r="AD301" s="87"/>
      <c r="AE301" s="87"/>
      <c r="AF301" s="87"/>
      <c r="AG301" s="87"/>
      <c r="AH301" s="87"/>
      <c r="AI301" s="87"/>
      <c r="AJ301" s="87"/>
      <c r="AK301" s="87"/>
      <c r="AL301" s="87"/>
      <c r="AM301" s="87"/>
      <c r="AN301" s="87"/>
    </row>
    <row r="302" ht="16.5" customHeight="1">
      <c r="A302" s="87"/>
      <c r="B302" s="87"/>
      <c r="C302" s="87"/>
      <c r="D302" s="87"/>
      <c r="E302" s="87"/>
      <c r="F302" s="79"/>
      <c r="G302" s="87"/>
      <c r="H302" s="92"/>
      <c r="I302" s="87"/>
      <c r="J302" s="87"/>
      <c r="K302" s="89"/>
      <c r="L302" s="87"/>
      <c r="M302" s="87"/>
      <c r="N302" s="87"/>
      <c r="O302" s="87"/>
      <c r="P302" s="87"/>
      <c r="Q302" s="87"/>
      <c r="R302" s="87"/>
      <c r="S302" s="87"/>
      <c r="T302" s="87"/>
      <c r="U302" s="87"/>
      <c r="V302" s="87"/>
      <c r="W302" s="87"/>
      <c r="X302" s="87"/>
      <c r="Y302" s="87"/>
      <c r="Z302" s="87"/>
      <c r="AA302" s="87"/>
      <c r="AB302" s="87"/>
      <c r="AC302" s="87"/>
      <c r="AD302" s="87"/>
      <c r="AE302" s="87"/>
      <c r="AF302" s="87"/>
      <c r="AG302" s="87"/>
      <c r="AH302" s="87"/>
      <c r="AI302" s="87"/>
      <c r="AJ302" s="87"/>
      <c r="AK302" s="87"/>
      <c r="AL302" s="87"/>
      <c r="AM302" s="87"/>
      <c r="AN302" s="87"/>
    </row>
    <row r="303" ht="16.5" customHeight="1">
      <c r="A303" s="87"/>
      <c r="B303" s="87"/>
      <c r="C303" s="87"/>
      <c r="D303" s="87"/>
      <c r="E303" s="87"/>
      <c r="F303" s="79"/>
      <c r="G303" s="87"/>
      <c r="H303" s="92"/>
      <c r="I303" s="87"/>
      <c r="J303" s="87"/>
      <c r="K303" s="89"/>
      <c r="L303" s="87"/>
      <c r="M303" s="87"/>
      <c r="N303" s="87"/>
      <c r="O303" s="87"/>
      <c r="P303" s="87"/>
      <c r="Q303" s="87"/>
      <c r="R303" s="87"/>
      <c r="S303" s="87"/>
      <c r="T303" s="87"/>
      <c r="U303" s="87"/>
      <c r="V303" s="87"/>
      <c r="W303" s="87"/>
      <c r="X303" s="87"/>
      <c r="Y303" s="87"/>
      <c r="Z303" s="87"/>
      <c r="AA303" s="87"/>
      <c r="AB303" s="87"/>
      <c r="AC303" s="87"/>
      <c r="AD303" s="87"/>
      <c r="AE303" s="87"/>
      <c r="AF303" s="87"/>
      <c r="AG303" s="87"/>
      <c r="AH303" s="87"/>
      <c r="AI303" s="87"/>
      <c r="AJ303" s="87"/>
      <c r="AK303" s="87"/>
      <c r="AL303" s="87"/>
      <c r="AM303" s="87"/>
      <c r="AN303" s="87"/>
    </row>
    <row r="304" ht="16.5" customHeight="1">
      <c r="A304" s="87"/>
      <c r="B304" s="87"/>
      <c r="C304" s="87"/>
      <c r="D304" s="87"/>
      <c r="E304" s="87"/>
      <c r="F304" s="79"/>
      <c r="G304" s="87"/>
      <c r="H304" s="92"/>
      <c r="I304" s="87"/>
      <c r="J304" s="87"/>
      <c r="K304" s="89"/>
      <c r="L304" s="87"/>
      <c r="M304" s="87"/>
      <c r="N304" s="87"/>
      <c r="O304" s="87"/>
      <c r="P304" s="87"/>
      <c r="Q304" s="87"/>
      <c r="R304" s="87"/>
      <c r="S304" s="87"/>
      <c r="T304" s="87"/>
      <c r="U304" s="87"/>
      <c r="V304" s="87"/>
      <c r="W304" s="87"/>
      <c r="X304" s="87"/>
      <c r="Y304" s="87"/>
      <c r="Z304" s="87"/>
      <c r="AA304" s="87"/>
      <c r="AB304" s="87"/>
      <c r="AC304" s="87"/>
      <c r="AD304" s="87"/>
      <c r="AE304" s="87"/>
      <c r="AF304" s="87"/>
      <c r="AG304" s="87"/>
      <c r="AH304" s="87"/>
      <c r="AI304" s="87"/>
      <c r="AJ304" s="87"/>
      <c r="AK304" s="87"/>
      <c r="AL304" s="87"/>
      <c r="AM304" s="87"/>
      <c r="AN304" s="87"/>
    </row>
    <row r="305" ht="16.5" customHeight="1">
      <c r="A305" s="87"/>
      <c r="B305" s="87"/>
      <c r="C305" s="87"/>
      <c r="D305" s="87"/>
      <c r="E305" s="87"/>
      <c r="F305" s="79"/>
      <c r="G305" s="87"/>
      <c r="H305" s="92"/>
      <c r="I305" s="87"/>
      <c r="J305" s="87"/>
      <c r="K305" s="89"/>
      <c r="L305" s="87"/>
      <c r="M305" s="87"/>
      <c r="N305" s="87"/>
      <c r="O305" s="87"/>
      <c r="P305" s="87"/>
      <c r="Q305" s="87"/>
      <c r="R305" s="87"/>
      <c r="S305" s="87"/>
      <c r="T305" s="87"/>
      <c r="U305" s="87"/>
      <c r="V305" s="87"/>
      <c r="W305" s="87"/>
      <c r="X305" s="87"/>
      <c r="Y305" s="87"/>
      <c r="Z305" s="87"/>
      <c r="AA305" s="87"/>
      <c r="AB305" s="87"/>
      <c r="AC305" s="87"/>
      <c r="AD305" s="87"/>
      <c r="AE305" s="87"/>
      <c r="AF305" s="87"/>
      <c r="AG305" s="87"/>
      <c r="AH305" s="87"/>
      <c r="AI305" s="87"/>
      <c r="AJ305" s="87"/>
      <c r="AK305" s="87"/>
      <c r="AL305" s="87"/>
      <c r="AM305" s="87"/>
      <c r="AN305" s="87"/>
    </row>
    <row r="306" ht="16.5" customHeight="1">
      <c r="A306" s="87"/>
      <c r="B306" s="87"/>
      <c r="C306" s="87"/>
      <c r="D306" s="87"/>
      <c r="E306" s="87"/>
      <c r="F306" s="79"/>
      <c r="G306" s="87"/>
      <c r="H306" s="92"/>
      <c r="I306" s="87"/>
      <c r="J306" s="87"/>
      <c r="K306" s="89"/>
      <c r="L306" s="87"/>
      <c r="M306" s="87"/>
      <c r="N306" s="87"/>
      <c r="O306" s="87"/>
      <c r="P306" s="87"/>
      <c r="Q306" s="87"/>
      <c r="R306" s="87"/>
      <c r="S306" s="87"/>
      <c r="T306" s="87"/>
      <c r="U306" s="87"/>
      <c r="V306" s="87"/>
      <c r="W306" s="87"/>
      <c r="X306" s="87"/>
      <c r="Y306" s="87"/>
      <c r="Z306" s="87"/>
      <c r="AA306" s="87"/>
      <c r="AB306" s="87"/>
      <c r="AC306" s="87"/>
      <c r="AD306" s="87"/>
      <c r="AE306" s="87"/>
      <c r="AF306" s="87"/>
      <c r="AG306" s="87"/>
      <c r="AH306" s="87"/>
      <c r="AI306" s="87"/>
      <c r="AJ306" s="87"/>
      <c r="AK306" s="87"/>
      <c r="AL306" s="87"/>
      <c r="AM306" s="87"/>
      <c r="AN306" s="87"/>
    </row>
    <row r="307" ht="16.5" customHeight="1">
      <c r="A307" s="87"/>
      <c r="B307" s="87"/>
      <c r="C307" s="87"/>
      <c r="D307" s="87"/>
      <c r="E307" s="87"/>
      <c r="F307" s="79"/>
      <c r="G307" s="87"/>
      <c r="H307" s="92"/>
      <c r="I307" s="87"/>
      <c r="J307" s="87"/>
      <c r="K307" s="89"/>
      <c r="L307" s="87"/>
      <c r="M307" s="87"/>
      <c r="N307" s="87"/>
      <c r="O307" s="87"/>
      <c r="P307" s="87"/>
      <c r="Q307" s="87"/>
      <c r="R307" s="87"/>
      <c r="S307" s="87"/>
      <c r="T307" s="87"/>
      <c r="U307" s="87"/>
      <c r="V307" s="87"/>
      <c r="W307" s="87"/>
      <c r="X307" s="87"/>
      <c r="Y307" s="87"/>
      <c r="Z307" s="87"/>
      <c r="AA307" s="87"/>
      <c r="AB307" s="87"/>
      <c r="AC307" s="87"/>
      <c r="AD307" s="87"/>
      <c r="AE307" s="87"/>
      <c r="AF307" s="87"/>
      <c r="AG307" s="87"/>
      <c r="AH307" s="87"/>
      <c r="AI307" s="87"/>
      <c r="AJ307" s="87"/>
      <c r="AK307" s="87"/>
      <c r="AL307" s="87"/>
      <c r="AM307" s="87"/>
      <c r="AN307" s="87"/>
    </row>
    <row r="308" ht="16.5" customHeight="1">
      <c r="A308" s="87"/>
      <c r="B308" s="87"/>
      <c r="C308" s="87"/>
      <c r="D308" s="87"/>
      <c r="E308" s="87"/>
      <c r="F308" s="79"/>
      <c r="G308" s="87"/>
      <c r="H308" s="92"/>
      <c r="I308" s="87"/>
      <c r="J308" s="87"/>
      <c r="K308" s="89"/>
      <c r="L308" s="87"/>
      <c r="M308" s="87"/>
      <c r="N308" s="87"/>
      <c r="O308" s="87"/>
      <c r="P308" s="87"/>
      <c r="Q308" s="87"/>
      <c r="R308" s="87"/>
      <c r="S308" s="87"/>
      <c r="T308" s="87"/>
      <c r="U308" s="87"/>
      <c r="V308" s="87"/>
      <c r="W308" s="87"/>
      <c r="X308" s="87"/>
      <c r="Y308" s="87"/>
      <c r="Z308" s="87"/>
      <c r="AA308" s="87"/>
      <c r="AB308" s="87"/>
      <c r="AC308" s="87"/>
      <c r="AD308" s="87"/>
      <c r="AE308" s="87"/>
      <c r="AF308" s="87"/>
      <c r="AG308" s="87"/>
      <c r="AH308" s="87"/>
      <c r="AI308" s="87"/>
      <c r="AJ308" s="87"/>
      <c r="AK308" s="87"/>
      <c r="AL308" s="87"/>
      <c r="AM308" s="87"/>
      <c r="AN308" s="87"/>
    </row>
    <row r="309" ht="16.5" customHeight="1">
      <c r="A309" s="87"/>
      <c r="B309" s="87"/>
      <c r="C309" s="87"/>
      <c r="D309" s="87"/>
      <c r="E309" s="87"/>
      <c r="F309" s="79"/>
      <c r="G309" s="87"/>
      <c r="H309" s="92"/>
      <c r="I309" s="87"/>
      <c r="J309" s="87"/>
      <c r="K309" s="89"/>
      <c r="L309" s="87"/>
      <c r="M309" s="87"/>
      <c r="N309" s="87"/>
      <c r="O309" s="87"/>
      <c r="P309" s="87"/>
      <c r="Q309" s="87"/>
      <c r="R309" s="87"/>
      <c r="S309" s="87"/>
      <c r="T309" s="87"/>
      <c r="U309" s="87"/>
      <c r="V309" s="87"/>
      <c r="W309" s="87"/>
      <c r="X309" s="87"/>
      <c r="Y309" s="87"/>
      <c r="Z309" s="87"/>
      <c r="AA309" s="87"/>
      <c r="AB309" s="87"/>
      <c r="AC309" s="87"/>
      <c r="AD309" s="87"/>
      <c r="AE309" s="87"/>
      <c r="AF309" s="87"/>
      <c r="AG309" s="87"/>
      <c r="AH309" s="87"/>
      <c r="AI309" s="87"/>
      <c r="AJ309" s="87"/>
      <c r="AK309" s="87"/>
      <c r="AL309" s="87"/>
      <c r="AM309" s="87"/>
      <c r="AN309" s="87"/>
    </row>
    <row r="310" ht="16.5" customHeight="1">
      <c r="A310" s="87"/>
      <c r="B310" s="87"/>
      <c r="C310" s="87"/>
      <c r="D310" s="87"/>
      <c r="E310" s="87"/>
      <c r="F310" s="79"/>
      <c r="G310" s="87"/>
      <c r="H310" s="92"/>
      <c r="I310" s="87"/>
      <c r="J310" s="87"/>
      <c r="K310" s="89"/>
      <c r="L310" s="87"/>
      <c r="M310" s="87"/>
      <c r="N310" s="87"/>
      <c r="O310" s="87"/>
      <c r="P310" s="87"/>
      <c r="Q310" s="87"/>
      <c r="R310" s="87"/>
      <c r="S310" s="87"/>
      <c r="T310" s="87"/>
      <c r="U310" s="87"/>
      <c r="V310" s="87"/>
      <c r="W310" s="87"/>
      <c r="X310" s="87"/>
      <c r="Y310" s="87"/>
      <c r="Z310" s="87"/>
      <c r="AA310" s="87"/>
      <c r="AB310" s="87"/>
      <c r="AC310" s="87"/>
      <c r="AD310" s="87"/>
      <c r="AE310" s="87"/>
      <c r="AF310" s="87"/>
      <c r="AG310" s="87"/>
      <c r="AH310" s="87"/>
      <c r="AI310" s="87"/>
      <c r="AJ310" s="87"/>
      <c r="AK310" s="87"/>
      <c r="AL310" s="87"/>
      <c r="AM310" s="87"/>
      <c r="AN310" s="87"/>
    </row>
    <row r="311" ht="16.5" customHeight="1">
      <c r="A311" s="87"/>
      <c r="B311" s="87"/>
      <c r="C311" s="87"/>
      <c r="D311" s="87"/>
      <c r="E311" s="87"/>
      <c r="F311" s="79"/>
      <c r="G311" s="87"/>
      <c r="H311" s="92"/>
      <c r="I311" s="87"/>
      <c r="J311" s="87"/>
      <c r="K311" s="89"/>
      <c r="L311" s="87"/>
      <c r="M311" s="87"/>
      <c r="N311" s="87"/>
      <c r="O311" s="87"/>
      <c r="P311" s="87"/>
      <c r="Q311" s="87"/>
      <c r="R311" s="87"/>
      <c r="S311" s="87"/>
      <c r="T311" s="87"/>
      <c r="U311" s="87"/>
      <c r="V311" s="87"/>
      <c r="W311" s="87"/>
      <c r="X311" s="87"/>
      <c r="Y311" s="87"/>
      <c r="Z311" s="87"/>
      <c r="AA311" s="87"/>
      <c r="AB311" s="87"/>
      <c r="AC311" s="87"/>
      <c r="AD311" s="87"/>
      <c r="AE311" s="87"/>
      <c r="AF311" s="87"/>
      <c r="AG311" s="87"/>
      <c r="AH311" s="87"/>
      <c r="AI311" s="87"/>
      <c r="AJ311" s="87"/>
      <c r="AK311" s="87"/>
      <c r="AL311" s="87"/>
      <c r="AM311" s="87"/>
      <c r="AN311" s="87"/>
    </row>
    <row r="312" ht="16.5" customHeight="1">
      <c r="A312" s="87"/>
      <c r="B312" s="87"/>
      <c r="C312" s="87"/>
      <c r="D312" s="87"/>
      <c r="E312" s="87"/>
      <c r="F312" s="79"/>
      <c r="G312" s="87"/>
      <c r="H312" s="92"/>
      <c r="I312" s="87"/>
      <c r="J312" s="87"/>
      <c r="K312" s="89"/>
      <c r="L312" s="87"/>
      <c r="M312" s="87"/>
      <c r="N312" s="87"/>
      <c r="O312" s="87"/>
      <c r="P312" s="87"/>
      <c r="Q312" s="87"/>
      <c r="R312" s="87"/>
      <c r="S312" s="87"/>
      <c r="T312" s="87"/>
      <c r="U312" s="87"/>
      <c r="V312" s="87"/>
      <c r="W312" s="87"/>
      <c r="X312" s="87"/>
      <c r="Y312" s="87"/>
      <c r="Z312" s="87"/>
      <c r="AA312" s="87"/>
      <c r="AB312" s="87"/>
      <c r="AC312" s="87"/>
      <c r="AD312" s="87"/>
      <c r="AE312" s="87"/>
      <c r="AF312" s="87"/>
      <c r="AG312" s="87"/>
      <c r="AH312" s="87"/>
      <c r="AI312" s="87"/>
      <c r="AJ312" s="87"/>
      <c r="AK312" s="87"/>
      <c r="AL312" s="87"/>
      <c r="AM312" s="87"/>
      <c r="AN312" s="87"/>
    </row>
    <row r="313" ht="16.5" customHeight="1">
      <c r="A313" s="87"/>
      <c r="B313" s="87"/>
      <c r="C313" s="87"/>
      <c r="D313" s="87"/>
      <c r="E313" s="87"/>
      <c r="F313" s="79"/>
      <c r="G313" s="87"/>
      <c r="H313" s="92"/>
      <c r="I313" s="87"/>
      <c r="J313" s="87"/>
      <c r="K313" s="89"/>
      <c r="L313" s="87"/>
      <c r="M313" s="87"/>
      <c r="N313" s="87"/>
      <c r="O313" s="87"/>
      <c r="P313" s="87"/>
      <c r="Q313" s="87"/>
      <c r="R313" s="87"/>
      <c r="S313" s="87"/>
      <c r="T313" s="87"/>
      <c r="U313" s="87"/>
      <c r="V313" s="87"/>
      <c r="W313" s="87"/>
      <c r="X313" s="87"/>
      <c r="Y313" s="87"/>
      <c r="Z313" s="87"/>
      <c r="AA313" s="87"/>
      <c r="AB313" s="87"/>
      <c r="AC313" s="87"/>
      <c r="AD313" s="87"/>
      <c r="AE313" s="87"/>
      <c r="AF313" s="87"/>
      <c r="AG313" s="87"/>
      <c r="AH313" s="87"/>
      <c r="AI313" s="87"/>
      <c r="AJ313" s="87"/>
      <c r="AK313" s="87"/>
      <c r="AL313" s="87"/>
      <c r="AM313" s="87"/>
      <c r="AN313" s="87"/>
    </row>
    <row r="314" ht="16.5" customHeight="1">
      <c r="A314" s="87"/>
      <c r="B314" s="87"/>
      <c r="C314" s="87"/>
      <c r="D314" s="87"/>
      <c r="E314" s="87"/>
      <c r="F314" s="79"/>
      <c r="G314" s="87"/>
      <c r="H314" s="92"/>
      <c r="I314" s="87"/>
      <c r="J314" s="87"/>
      <c r="K314" s="89"/>
      <c r="L314" s="87"/>
      <c r="M314" s="87"/>
      <c r="N314" s="87"/>
      <c r="O314" s="87"/>
      <c r="P314" s="87"/>
      <c r="Q314" s="87"/>
      <c r="R314" s="87"/>
      <c r="S314" s="87"/>
      <c r="T314" s="87"/>
      <c r="U314" s="87"/>
      <c r="V314" s="87"/>
      <c r="W314" s="87"/>
      <c r="X314" s="87"/>
      <c r="Y314" s="87"/>
      <c r="Z314" s="87"/>
      <c r="AA314" s="87"/>
      <c r="AB314" s="87"/>
      <c r="AC314" s="87"/>
      <c r="AD314" s="87"/>
      <c r="AE314" s="87"/>
      <c r="AF314" s="87"/>
      <c r="AG314" s="87"/>
      <c r="AH314" s="87"/>
      <c r="AI314" s="87"/>
      <c r="AJ314" s="87"/>
      <c r="AK314" s="87"/>
      <c r="AL314" s="87"/>
      <c r="AM314" s="87"/>
      <c r="AN314" s="87"/>
    </row>
    <row r="315" ht="16.5" customHeight="1">
      <c r="A315" s="87"/>
      <c r="B315" s="87"/>
      <c r="C315" s="87"/>
      <c r="D315" s="87"/>
      <c r="E315" s="87"/>
      <c r="F315" s="79"/>
      <c r="G315" s="87"/>
      <c r="H315" s="92"/>
      <c r="I315" s="87"/>
      <c r="J315" s="87"/>
      <c r="K315" s="89"/>
      <c r="L315" s="87"/>
      <c r="M315" s="87"/>
      <c r="N315" s="87"/>
      <c r="O315" s="87"/>
      <c r="P315" s="87"/>
      <c r="Q315" s="87"/>
      <c r="R315" s="87"/>
      <c r="S315" s="87"/>
      <c r="T315" s="87"/>
      <c r="U315" s="87"/>
      <c r="V315" s="87"/>
      <c r="W315" s="87"/>
      <c r="X315" s="87"/>
      <c r="Y315" s="87"/>
      <c r="Z315" s="87"/>
      <c r="AA315" s="87"/>
      <c r="AB315" s="87"/>
      <c r="AC315" s="87"/>
      <c r="AD315" s="87"/>
      <c r="AE315" s="87"/>
      <c r="AF315" s="87"/>
      <c r="AG315" s="87"/>
      <c r="AH315" s="87"/>
      <c r="AI315" s="87"/>
      <c r="AJ315" s="87"/>
      <c r="AK315" s="87"/>
      <c r="AL315" s="87"/>
      <c r="AM315" s="87"/>
      <c r="AN315" s="87"/>
    </row>
    <row r="316" ht="16.5" customHeight="1">
      <c r="A316" s="87"/>
      <c r="B316" s="87"/>
      <c r="C316" s="87"/>
      <c r="D316" s="87"/>
      <c r="E316" s="87"/>
      <c r="F316" s="79"/>
      <c r="G316" s="87"/>
      <c r="H316" s="92"/>
      <c r="I316" s="87"/>
      <c r="J316" s="87"/>
      <c r="K316" s="89"/>
      <c r="L316" s="87"/>
      <c r="M316" s="87"/>
      <c r="N316" s="87"/>
      <c r="O316" s="87"/>
      <c r="P316" s="87"/>
      <c r="Q316" s="87"/>
      <c r="R316" s="87"/>
      <c r="S316" s="87"/>
      <c r="T316" s="87"/>
      <c r="U316" s="87"/>
      <c r="V316" s="87"/>
      <c r="W316" s="87"/>
      <c r="X316" s="87"/>
      <c r="Y316" s="87"/>
      <c r="Z316" s="87"/>
      <c r="AA316" s="87"/>
      <c r="AB316" s="87"/>
      <c r="AC316" s="87"/>
      <c r="AD316" s="87"/>
      <c r="AE316" s="87"/>
      <c r="AF316" s="87"/>
      <c r="AG316" s="87"/>
      <c r="AH316" s="87"/>
      <c r="AI316" s="87"/>
      <c r="AJ316" s="87"/>
      <c r="AK316" s="87"/>
      <c r="AL316" s="87"/>
      <c r="AM316" s="87"/>
      <c r="AN316" s="87"/>
    </row>
    <row r="317" ht="16.5" customHeight="1">
      <c r="A317" s="87"/>
      <c r="B317" s="87"/>
      <c r="C317" s="87"/>
      <c r="D317" s="87"/>
      <c r="E317" s="87"/>
      <c r="F317" s="79"/>
      <c r="G317" s="87"/>
      <c r="H317" s="92"/>
      <c r="I317" s="87"/>
      <c r="J317" s="87"/>
      <c r="K317" s="89"/>
      <c r="L317" s="87"/>
      <c r="M317" s="87"/>
      <c r="N317" s="87"/>
      <c r="O317" s="87"/>
      <c r="P317" s="87"/>
      <c r="Q317" s="87"/>
      <c r="R317" s="87"/>
      <c r="S317" s="87"/>
      <c r="T317" s="87"/>
      <c r="U317" s="87"/>
      <c r="V317" s="87"/>
      <c r="W317" s="87"/>
      <c r="X317" s="87"/>
      <c r="Y317" s="87"/>
      <c r="Z317" s="87"/>
      <c r="AA317" s="87"/>
      <c r="AB317" s="87"/>
      <c r="AC317" s="87"/>
      <c r="AD317" s="87"/>
      <c r="AE317" s="87"/>
      <c r="AF317" s="87"/>
      <c r="AG317" s="87"/>
      <c r="AH317" s="87"/>
      <c r="AI317" s="87"/>
      <c r="AJ317" s="87"/>
      <c r="AK317" s="87"/>
      <c r="AL317" s="87"/>
      <c r="AM317" s="87"/>
      <c r="AN317" s="87"/>
    </row>
    <row r="318" ht="16.5" customHeight="1">
      <c r="A318" s="87"/>
      <c r="B318" s="87"/>
      <c r="C318" s="87"/>
      <c r="D318" s="87"/>
      <c r="E318" s="87"/>
      <c r="F318" s="79"/>
      <c r="G318" s="87"/>
      <c r="H318" s="92"/>
      <c r="I318" s="87"/>
      <c r="J318" s="87"/>
      <c r="K318" s="89"/>
      <c r="L318" s="87"/>
      <c r="M318" s="87"/>
      <c r="N318" s="87"/>
      <c r="O318" s="87"/>
      <c r="P318" s="87"/>
      <c r="Q318" s="87"/>
      <c r="R318" s="87"/>
      <c r="S318" s="87"/>
      <c r="T318" s="87"/>
      <c r="U318" s="87"/>
      <c r="V318" s="87"/>
      <c r="W318" s="87"/>
      <c r="X318" s="87"/>
      <c r="Y318" s="87"/>
      <c r="Z318" s="87"/>
      <c r="AA318" s="87"/>
      <c r="AB318" s="87"/>
      <c r="AC318" s="87"/>
      <c r="AD318" s="87"/>
      <c r="AE318" s="87"/>
      <c r="AF318" s="87"/>
      <c r="AG318" s="87"/>
      <c r="AH318" s="87"/>
      <c r="AI318" s="87"/>
      <c r="AJ318" s="87"/>
      <c r="AK318" s="87"/>
      <c r="AL318" s="87"/>
      <c r="AM318" s="87"/>
      <c r="AN318" s="87"/>
    </row>
    <row r="319" ht="16.5" customHeight="1">
      <c r="A319" s="87"/>
      <c r="B319" s="87"/>
      <c r="C319" s="87"/>
      <c r="D319" s="87"/>
      <c r="E319" s="87"/>
      <c r="F319" s="79"/>
      <c r="G319" s="87"/>
      <c r="H319" s="92"/>
      <c r="I319" s="87"/>
      <c r="J319" s="87"/>
      <c r="K319" s="89"/>
      <c r="L319" s="87"/>
      <c r="M319" s="87"/>
      <c r="N319" s="87"/>
      <c r="O319" s="87"/>
      <c r="P319" s="87"/>
      <c r="Q319" s="87"/>
      <c r="R319" s="87"/>
      <c r="S319" s="87"/>
      <c r="T319" s="87"/>
      <c r="U319" s="87"/>
      <c r="V319" s="87"/>
      <c r="W319" s="87"/>
      <c r="X319" s="87"/>
      <c r="Y319" s="87"/>
      <c r="Z319" s="87"/>
      <c r="AA319" s="87"/>
      <c r="AB319" s="87"/>
      <c r="AC319" s="87"/>
      <c r="AD319" s="87"/>
      <c r="AE319" s="87"/>
      <c r="AF319" s="87"/>
      <c r="AG319" s="87"/>
      <c r="AH319" s="87"/>
      <c r="AI319" s="87"/>
      <c r="AJ319" s="87"/>
      <c r="AK319" s="87"/>
      <c r="AL319" s="87"/>
      <c r="AM319" s="87"/>
      <c r="AN319" s="87"/>
    </row>
    <row r="320" ht="16.5" customHeight="1">
      <c r="A320" s="87"/>
      <c r="B320" s="87"/>
      <c r="C320" s="87"/>
      <c r="D320" s="87"/>
      <c r="E320" s="87"/>
      <c r="F320" s="79"/>
      <c r="G320" s="87"/>
      <c r="H320" s="92"/>
      <c r="I320" s="87"/>
      <c r="J320" s="87"/>
      <c r="K320" s="89"/>
      <c r="L320" s="87"/>
      <c r="M320" s="87"/>
      <c r="N320" s="87"/>
      <c r="O320" s="87"/>
      <c r="P320" s="87"/>
      <c r="Q320" s="87"/>
      <c r="R320" s="87"/>
      <c r="S320" s="87"/>
      <c r="T320" s="87"/>
      <c r="U320" s="87"/>
      <c r="V320" s="87"/>
      <c r="W320" s="87"/>
      <c r="X320" s="87"/>
      <c r="Y320" s="87"/>
      <c r="Z320" s="87"/>
      <c r="AA320" s="87"/>
      <c r="AB320" s="87"/>
      <c r="AC320" s="87"/>
      <c r="AD320" s="87"/>
      <c r="AE320" s="87"/>
      <c r="AF320" s="87"/>
      <c r="AG320" s="87"/>
      <c r="AH320" s="87"/>
      <c r="AI320" s="87"/>
      <c r="AJ320" s="87"/>
      <c r="AK320" s="87"/>
      <c r="AL320" s="87"/>
      <c r="AM320" s="87"/>
      <c r="AN320" s="87"/>
    </row>
    <row r="321" ht="16.5" customHeight="1">
      <c r="A321" s="87"/>
      <c r="B321" s="87"/>
      <c r="C321" s="87"/>
      <c r="D321" s="87"/>
      <c r="E321" s="87"/>
      <c r="F321" s="79"/>
      <c r="G321" s="87"/>
      <c r="H321" s="92"/>
      <c r="I321" s="87"/>
      <c r="J321" s="87"/>
      <c r="K321" s="89"/>
      <c r="L321" s="87"/>
      <c r="M321" s="87"/>
      <c r="N321" s="87"/>
      <c r="O321" s="87"/>
      <c r="P321" s="87"/>
      <c r="Q321" s="87"/>
      <c r="R321" s="87"/>
      <c r="S321" s="87"/>
      <c r="T321" s="87"/>
      <c r="U321" s="87"/>
      <c r="V321" s="87"/>
      <c r="W321" s="87"/>
      <c r="X321" s="87"/>
      <c r="Y321" s="87"/>
      <c r="Z321" s="87"/>
      <c r="AA321" s="87"/>
      <c r="AB321" s="87"/>
      <c r="AC321" s="87"/>
      <c r="AD321" s="87"/>
      <c r="AE321" s="87"/>
      <c r="AF321" s="87"/>
      <c r="AG321" s="87"/>
      <c r="AH321" s="87"/>
      <c r="AI321" s="87"/>
      <c r="AJ321" s="87"/>
      <c r="AK321" s="87"/>
      <c r="AL321" s="87"/>
      <c r="AM321" s="87"/>
      <c r="AN321" s="87"/>
    </row>
    <row r="322" ht="16.5" customHeight="1">
      <c r="A322" s="87"/>
      <c r="B322" s="87"/>
      <c r="C322" s="87"/>
      <c r="D322" s="87"/>
      <c r="E322" s="87"/>
      <c r="F322" s="79"/>
      <c r="G322" s="87"/>
      <c r="H322" s="92"/>
      <c r="I322" s="87"/>
      <c r="J322" s="87"/>
      <c r="K322" s="89"/>
      <c r="L322" s="87"/>
      <c r="M322" s="87"/>
      <c r="N322" s="87"/>
      <c r="O322" s="87"/>
      <c r="P322" s="87"/>
      <c r="Q322" s="87"/>
      <c r="R322" s="87"/>
      <c r="S322" s="87"/>
      <c r="T322" s="87"/>
      <c r="U322" s="87"/>
      <c r="V322" s="87"/>
      <c r="W322" s="87"/>
      <c r="X322" s="87"/>
      <c r="Y322" s="87"/>
      <c r="Z322" s="87"/>
      <c r="AA322" s="87"/>
      <c r="AB322" s="87"/>
      <c r="AC322" s="87"/>
      <c r="AD322" s="87"/>
      <c r="AE322" s="87"/>
      <c r="AF322" s="87"/>
      <c r="AG322" s="87"/>
      <c r="AH322" s="87"/>
      <c r="AI322" s="87"/>
      <c r="AJ322" s="87"/>
      <c r="AK322" s="87"/>
      <c r="AL322" s="87"/>
      <c r="AM322" s="87"/>
      <c r="AN322" s="87"/>
    </row>
    <row r="323" ht="16.5" customHeight="1">
      <c r="A323" s="87"/>
      <c r="B323" s="87"/>
      <c r="C323" s="87"/>
      <c r="D323" s="87"/>
      <c r="E323" s="87"/>
      <c r="F323" s="79"/>
      <c r="G323" s="87"/>
      <c r="H323" s="92"/>
      <c r="I323" s="87"/>
      <c r="J323" s="87"/>
      <c r="K323" s="89"/>
      <c r="L323" s="87"/>
      <c r="M323" s="87"/>
      <c r="N323" s="87"/>
      <c r="O323" s="87"/>
      <c r="P323" s="87"/>
      <c r="Q323" s="87"/>
      <c r="R323" s="87"/>
      <c r="S323" s="87"/>
      <c r="T323" s="87"/>
      <c r="U323" s="87"/>
      <c r="V323" s="87"/>
      <c r="W323" s="87"/>
      <c r="X323" s="87"/>
      <c r="Y323" s="87"/>
      <c r="Z323" s="87"/>
      <c r="AA323" s="87"/>
      <c r="AB323" s="87"/>
      <c r="AC323" s="87"/>
      <c r="AD323" s="87"/>
      <c r="AE323" s="87"/>
      <c r="AF323" s="87"/>
      <c r="AG323" s="87"/>
      <c r="AH323" s="87"/>
      <c r="AI323" s="87"/>
      <c r="AJ323" s="87"/>
      <c r="AK323" s="87"/>
      <c r="AL323" s="87"/>
      <c r="AM323" s="87"/>
      <c r="AN323" s="87"/>
    </row>
    <row r="324" ht="16.5" customHeight="1">
      <c r="A324" s="87"/>
      <c r="B324" s="87"/>
      <c r="C324" s="87"/>
      <c r="D324" s="87"/>
      <c r="E324" s="87"/>
      <c r="F324" s="79"/>
      <c r="G324" s="87"/>
      <c r="H324" s="92"/>
      <c r="I324" s="87"/>
      <c r="J324" s="87"/>
      <c r="K324" s="89"/>
      <c r="L324" s="87"/>
      <c r="M324" s="87"/>
      <c r="N324" s="87"/>
      <c r="O324" s="87"/>
      <c r="P324" s="87"/>
      <c r="Q324" s="87"/>
      <c r="R324" s="87"/>
      <c r="S324" s="87"/>
      <c r="T324" s="87"/>
      <c r="U324" s="87"/>
      <c r="V324" s="87"/>
      <c r="W324" s="87"/>
      <c r="X324" s="87"/>
      <c r="Y324" s="87"/>
      <c r="Z324" s="87"/>
      <c r="AA324" s="87"/>
      <c r="AB324" s="87"/>
      <c r="AC324" s="87"/>
      <c r="AD324" s="87"/>
      <c r="AE324" s="87"/>
      <c r="AF324" s="87"/>
      <c r="AG324" s="87"/>
      <c r="AH324" s="87"/>
      <c r="AI324" s="87"/>
      <c r="AJ324" s="87"/>
      <c r="AK324" s="87"/>
      <c r="AL324" s="87"/>
      <c r="AM324" s="87"/>
      <c r="AN324" s="87"/>
    </row>
    <row r="325" ht="16.5" customHeight="1">
      <c r="A325" s="87"/>
      <c r="B325" s="87"/>
      <c r="C325" s="87"/>
      <c r="D325" s="87"/>
      <c r="E325" s="87"/>
      <c r="F325" s="79"/>
      <c r="G325" s="87"/>
      <c r="H325" s="92"/>
      <c r="I325" s="87"/>
      <c r="J325" s="87"/>
      <c r="K325" s="89"/>
      <c r="L325" s="87"/>
      <c r="M325" s="87"/>
      <c r="N325" s="87"/>
      <c r="O325" s="87"/>
      <c r="P325" s="87"/>
      <c r="Q325" s="87"/>
      <c r="R325" s="87"/>
      <c r="S325" s="87"/>
      <c r="T325" s="87"/>
      <c r="U325" s="87"/>
      <c r="V325" s="87"/>
      <c r="W325" s="87"/>
      <c r="X325" s="87"/>
      <c r="Y325" s="87"/>
      <c r="Z325" s="87"/>
      <c r="AA325" s="87"/>
      <c r="AB325" s="87"/>
      <c r="AC325" s="87"/>
      <c r="AD325" s="87"/>
      <c r="AE325" s="87"/>
      <c r="AF325" s="87"/>
      <c r="AG325" s="87"/>
      <c r="AH325" s="87"/>
      <c r="AI325" s="87"/>
      <c r="AJ325" s="87"/>
      <c r="AK325" s="87"/>
      <c r="AL325" s="87"/>
      <c r="AM325" s="87"/>
      <c r="AN325" s="87"/>
    </row>
    <row r="326" ht="16.5" customHeight="1">
      <c r="A326" s="87"/>
      <c r="B326" s="87"/>
      <c r="C326" s="87"/>
      <c r="D326" s="87"/>
      <c r="E326" s="87"/>
      <c r="F326" s="79"/>
      <c r="G326" s="87"/>
      <c r="H326" s="92"/>
      <c r="I326" s="87"/>
      <c r="J326" s="87"/>
      <c r="K326" s="89"/>
      <c r="L326" s="87"/>
      <c r="M326" s="87"/>
      <c r="N326" s="87"/>
      <c r="O326" s="87"/>
      <c r="P326" s="87"/>
      <c r="Q326" s="87"/>
      <c r="R326" s="87"/>
      <c r="S326" s="87"/>
      <c r="T326" s="87"/>
      <c r="U326" s="87"/>
      <c r="V326" s="87"/>
      <c r="W326" s="87"/>
      <c r="X326" s="87"/>
      <c r="Y326" s="87"/>
      <c r="Z326" s="87"/>
      <c r="AA326" s="87"/>
      <c r="AB326" s="87"/>
      <c r="AC326" s="87"/>
      <c r="AD326" s="87"/>
      <c r="AE326" s="87"/>
      <c r="AF326" s="87"/>
      <c r="AG326" s="87"/>
      <c r="AH326" s="87"/>
      <c r="AI326" s="87"/>
      <c r="AJ326" s="87"/>
      <c r="AK326" s="87"/>
      <c r="AL326" s="87"/>
      <c r="AM326" s="87"/>
      <c r="AN326" s="87"/>
    </row>
    <row r="327" ht="16.5" customHeight="1">
      <c r="A327" s="87"/>
      <c r="B327" s="87"/>
      <c r="C327" s="87"/>
      <c r="D327" s="87"/>
      <c r="E327" s="87"/>
      <c r="F327" s="79"/>
      <c r="G327" s="87"/>
      <c r="H327" s="92"/>
      <c r="I327" s="87"/>
      <c r="J327" s="87"/>
      <c r="K327" s="89"/>
      <c r="L327" s="87"/>
      <c r="M327" s="87"/>
      <c r="N327" s="87"/>
      <c r="O327" s="87"/>
      <c r="P327" s="87"/>
      <c r="Q327" s="87"/>
      <c r="R327" s="87"/>
      <c r="S327" s="87"/>
      <c r="T327" s="87"/>
      <c r="U327" s="87"/>
      <c r="V327" s="87"/>
      <c r="W327" s="87"/>
      <c r="X327" s="87"/>
      <c r="Y327" s="87"/>
      <c r="Z327" s="87"/>
      <c r="AA327" s="87"/>
      <c r="AB327" s="87"/>
      <c r="AC327" s="87"/>
      <c r="AD327" s="87"/>
      <c r="AE327" s="87"/>
      <c r="AF327" s="87"/>
      <c r="AG327" s="87"/>
      <c r="AH327" s="87"/>
      <c r="AI327" s="87"/>
      <c r="AJ327" s="87"/>
      <c r="AK327" s="87"/>
      <c r="AL327" s="87"/>
      <c r="AM327" s="87"/>
      <c r="AN327" s="87"/>
    </row>
    <row r="328" ht="16.5" customHeight="1">
      <c r="A328" s="87"/>
      <c r="B328" s="87"/>
      <c r="C328" s="87"/>
      <c r="D328" s="87"/>
      <c r="E328" s="87"/>
      <c r="F328" s="79"/>
      <c r="G328" s="87"/>
      <c r="H328" s="92"/>
      <c r="I328" s="87"/>
      <c r="J328" s="87"/>
      <c r="K328" s="89"/>
      <c r="L328" s="87"/>
      <c r="M328" s="87"/>
      <c r="N328" s="87"/>
      <c r="O328" s="87"/>
      <c r="P328" s="87"/>
      <c r="Q328" s="87"/>
      <c r="R328" s="87"/>
      <c r="S328" s="87"/>
      <c r="T328" s="87"/>
      <c r="U328" s="87"/>
      <c r="V328" s="87"/>
      <c r="W328" s="87"/>
      <c r="X328" s="87"/>
      <c r="Y328" s="87"/>
      <c r="Z328" s="87"/>
      <c r="AA328" s="87"/>
      <c r="AB328" s="87"/>
      <c r="AC328" s="87"/>
      <c r="AD328" s="87"/>
      <c r="AE328" s="87"/>
      <c r="AF328" s="87"/>
      <c r="AG328" s="87"/>
      <c r="AH328" s="87"/>
      <c r="AI328" s="87"/>
      <c r="AJ328" s="87"/>
      <c r="AK328" s="87"/>
      <c r="AL328" s="87"/>
      <c r="AM328" s="87"/>
      <c r="AN328" s="87"/>
    </row>
    <row r="329" ht="16.5" customHeight="1">
      <c r="A329" s="87"/>
      <c r="B329" s="87"/>
      <c r="C329" s="87"/>
      <c r="D329" s="87"/>
      <c r="E329" s="87"/>
      <c r="F329" s="79"/>
      <c r="G329" s="87"/>
      <c r="H329" s="92"/>
      <c r="I329" s="87"/>
      <c r="J329" s="87"/>
      <c r="K329" s="89"/>
      <c r="L329" s="87"/>
      <c r="M329" s="87"/>
      <c r="N329" s="87"/>
      <c r="O329" s="87"/>
      <c r="P329" s="87"/>
      <c r="Q329" s="87"/>
      <c r="R329" s="87"/>
      <c r="S329" s="87"/>
      <c r="T329" s="87"/>
      <c r="U329" s="87"/>
      <c r="V329" s="87"/>
      <c r="W329" s="87"/>
      <c r="X329" s="87"/>
      <c r="Y329" s="87"/>
      <c r="Z329" s="87"/>
      <c r="AA329" s="87"/>
      <c r="AB329" s="87"/>
      <c r="AC329" s="87"/>
      <c r="AD329" s="87"/>
      <c r="AE329" s="87"/>
      <c r="AF329" s="87"/>
      <c r="AG329" s="87"/>
      <c r="AH329" s="87"/>
      <c r="AI329" s="87"/>
      <c r="AJ329" s="87"/>
      <c r="AK329" s="87"/>
      <c r="AL329" s="87"/>
      <c r="AM329" s="87"/>
      <c r="AN329" s="87"/>
    </row>
    <row r="330" ht="16.5" customHeight="1">
      <c r="A330" s="87"/>
      <c r="B330" s="87"/>
      <c r="C330" s="87"/>
      <c r="D330" s="87"/>
      <c r="E330" s="87"/>
      <c r="F330" s="79"/>
      <c r="G330" s="87"/>
      <c r="H330" s="92"/>
      <c r="I330" s="87"/>
      <c r="J330" s="87"/>
      <c r="K330" s="89"/>
      <c r="L330" s="87"/>
      <c r="M330" s="87"/>
      <c r="N330" s="87"/>
      <c r="O330" s="87"/>
      <c r="P330" s="87"/>
      <c r="Q330" s="87"/>
      <c r="R330" s="87"/>
      <c r="S330" s="87"/>
      <c r="T330" s="87"/>
      <c r="U330" s="87"/>
      <c r="V330" s="87"/>
      <c r="W330" s="87"/>
      <c r="X330" s="87"/>
      <c r="Y330" s="87"/>
      <c r="Z330" s="87"/>
      <c r="AA330" s="87"/>
      <c r="AB330" s="87"/>
      <c r="AC330" s="87"/>
      <c r="AD330" s="87"/>
      <c r="AE330" s="87"/>
      <c r="AF330" s="87"/>
      <c r="AG330" s="87"/>
      <c r="AH330" s="87"/>
      <c r="AI330" s="87"/>
      <c r="AJ330" s="87"/>
      <c r="AK330" s="87"/>
      <c r="AL330" s="87"/>
      <c r="AM330" s="87"/>
      <c r="AN330" s="87"/>
    </row>
    <row r="331" ht="16.5" customHeight="1">
      <c r="A331" s="87"/>
      <c r="B331" s="87"/>
      <c r="C331" s="87"/>
      <c r="D331" s="87"/>
      <c r="E331" s="87"/>
      <c r="F331" s="79"/>
      <c r="G331" s="87"/>
      <c r="H331" s="92"/>
      <c r="I331" s="87"/>
      <c r="J331" s="87"/>
      <c r="K331" s="89"/>
      <c r="L331" s="87"/>
      <c r="M331" s="87"/>
      <c r="N331" s="87"/>
      <c r="O331" s="87"/>
      <c r="P331" s="87"/>
      <c r="Q331" s="87"/>
      <c r="R331" s="87"/>
      <c r="S331" s="87"/>
      <c r="T331" s="87"/>
      <c r="U331" s="87"/>
      <c r="V331" s="87"/>
      <c r="W331" s="87"/>
      <c r="X331" s="87"/>
      <c r="Y331" s="87"/>
      <c r="Z331" s="87"/>
      <c r="AA331" s="87"/>
      <c r="AB331" s="87"/>
      <c r="AC331" s="87"/>
      <c r="AD331" s="87"/>
      <c r="AE331" s="87"/>
      <c r="AF331" s="87"/>
      <c r="AG331" s="87"/>
      <c r="AH331" s="87"/>
      <c r="AI331" s="87"/>
      <c r="AJ331" s="87"/>
      <c r="AK331" s="87"/>
      <c r="AL331" s="87"/>
      <c r="AM331" s="87"/>
      <c r="AN331" s="87"/>
    </row>
    <row r="332" ht="16.5" customHeight="1">
      <c r="A332" s="87"/>
      <c r="B332" s="87"/>
      <c r="C332" s="87"/>
      <c r="D332" s="87"/>
      <c r="E332" s="87"/>
      <c r="F332" s="79"/>
      <c r="G332" s="87"/>
      <c r="H332" s="92"/>
      <c r="I332" s="87"/>
      <c r="J332" s="87"/>
      <c r="K332" s="89"/>
      <c r="L332" s="87"/>
      <c r="M332" s="87"/>
      <c r="N332" s="87"/>
      <c r="O332" s="87"/>
      <c r="P332" s="87"/>
      <c r="Q332" s="87"/>
      <c r="R332" s="87"/>
      <c r="S332" s="87"/>
      <c r="T332" s="87"/>
      <c r="U332" s="87"/>
      <c r="V332" s="87"/>
      <c r="W332" s="87"/>
      <c r="X332" s="87"/>
      <c r="Y332" s="87"/>
      <c r="Z332" s="87"/>
      <c r="AA332" s="87"/>
      <c r="AB332" s="87"/>
      <c r="AC332" s="87"/>
      <c r="AD332" s="87"/>
      <c r="AE332" s="87"/>
      <c r="AF332" s="87"/>
      <c r="AG332" s="87"/>
      <c r="AH332" s="87"/>
      <c r="AI332" s="87"/>
      <c r="AJ332" s="87"/>
      <c r="AK332" s="87"/>
      <c r="AL332" s="87"/>
      <c r="AM332" s="87"/>
      <c r="AN332" s="87"/>
    </row>
    <row r="333" ht="16.5" customHeight="1">
      <c r="A333" s="87"/>
      <c r="B333" s="87"/>
      <c r="C333" s="87"/>
      <c r="D333" s="87"/>
      <c r="E333" s="87"/>
      <c r="F333" s="79"/>
      <c r="G333" s="87"/>
      <c r="H333" s="92"/>
      <c r="I333" s="87"/>
      <c r="J333" s="87"/>
      <c r="K333" s="89"/>
      <c r="L333" s="87"/>
      <c r="M333" s="87"/>
      <c r="N333" s="87"/>
      <c r="O333" s="87"/>
      <c r="P333" s="87"/>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row>
    <row r="334" ht="16.5" customHeight="1">
      <c r="A334" s="87"/>
      <c r="B334" s="87"/>
      <c r="C334" s="87"/>
      <c r="D334" s="87"/>
      <c r="E334" s="87"/>
      <c r="F334" s="79"/>
      <c r="G334" s="87"/>
      <c r="H334" s="92"/>
      <c r="I334" s="87"/>
      <c r="J334" s="87"/>
      <c r="K334" s="89"/>
      <c r="L334" s="87"/>
      <c r="M334" s="87"/>
      <c r="N334" s="87"/>
      <c r="O334" s="87"/>
      <c r="P334" s="87"/>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row>
    <row r="335" ht="16.5" customHeight="1">
      <c r="A335" s="87"/>
      <c r="B335" s="87"/>
      <c r="C335" s="87"/>
      <c r="D335" s="87"/>
      <c r="E335" s="87"/>
      <c r="F335" s="79"/>
      <c r="G335" s="87"/>
      <c r="H335" s="92"/>
      <c r="I335" s="87"/>
      <c r="J335" s="87"/>
      <c r="K335" s="89"/>
      <c r="L335" s="87"/>
      <c r="M335" s="87"/>
      <c r="N335" s="87"/>
      <c r="O335" s="87"/>
      <c r="P335" s="87"/>
      <c r="Q335" s="87"/>
      <c r="R335" s="87"/>
      <c r="S335" s="87"/>
      <c r="T335" s="87"/>
      <c r="U335" s="87"/>
      <c r="V335" s="87"/>
      <c r="W335" s="87"/>
      <c r="X335" s="87"/>
      <c r="Y335" s="87"/>
      <c r="Z335" s="87"/>
      <c r="AA335" s="87"/>
      <c r="AB335" s="87"/>
      <c r="AC335" s="87"/>
      <c r="AD335" s="87"/>
      <c r="AE335" s="87"/>
      <c r="AF335" s="87"/>
      <c r="AG335" s="87"/>
      <c r="AH335" s="87"/>
      <c r="AI335" s="87"/>
      <c r="AJ335" s="87"/>
      <c r="AK335" s="87"/>
      <c r="AL335" s="87"/>
      <c r="AM335" s="87"/>
      <c r="AN335" s="87"/>
    </row>
    <row r="336" ht="16.5" customHeight="1">
      <c r="A336" s="87"/>
      <c r="B336" s="87"/>
      <c r="C336" s="87"/>
      <c r="D336" s="87"/>
      <c r="E336" s="87"/>
      <c r="F336" s="79"/>
      <c r="G336" s="87"/>
      <c r="H336" s="92"/>
      <c r="I336" s="87"/>
      <c r="J336" s="87"/>
      <c r="K336" s="89"/>
      <c r="L336" s="87"/>
      <c r="M336" s="87"/>
      <c r="N336" s="87"/>
      <c r="O336" s="87"/>
      <c r="P336" s="87"/>
      <c r="Q336" s="87"/>
      <c r="R336" s="87"/>
      <c r="S336" s="87"/>
      <c r="T336" s="87"/>
      <c r="U336" s="87"/>
      <c r="V336" s="87"/>
      <c r="W336" s="87"/>
      <c r="X336" s="87"/>
      <c r="Y336" s="87"/>
      <c r="Z336" s="87"/>
      <c r="AA336" s="87"/>
      <c r="AB336" s="87"/>
      <c r="AC336" s="87"/>
      <c r="AD336" s="87"/>
      <c r="AE336" s="87"/>
      <c r="AF336" s="87"/>
      <c r="AG336" s="87"/>
      <c r="AH336" s="87"/>
      <c r="AI336" s="87"/>
      <c r="AJ336" s="87"/>
      <c r="AK336" s="87"/>
      <c r="AL336" s="87"/>
      <c r="AM336" s="87"/>
      <c r="AN336" s="87"/>
    </row>
    <row r="337" ht="16.5" customHeight="1">
      <c r="A337" s="87"/>
      <c r="B337" s="87"/>
      <c r="C337" s="87"/>
      <c r="D337" s="87"/>
      <c r="E337" s="87"/>
      <c r="F337" s="79"/>
      <c r="G337" s="87"/>
      <c r="H337" s="92"/>
      <c r="I337" s="87"/>
      <c r="J337" s="87"/>
      <c r="K337" s="89"/>
      <c r="L337" s="87"/>
      <c r="M337" s="87"/>
      <c r="N337" s="87"/>
      <c r="O337" s="87"/>
      <c r="P337" s="87"/>
      <c r="Q337" s="87"/>
      <c r="R337" s="87"/>
      <c r="S337" s="87"/>
      <c r="T337" s="87"/>
      <c r="U337" s="87"/>
      <c r="V337" s="87"/>
      <c r="W337" s="87"/>
      <c r="X337" s="87"/>
      <c r="Y337" s="87"/>
      <c r="Z337" s="87"/>
      <c r="AA337" s="87"/>
      <c r="AB337" s="87"/>
      <c r="AC337" s="87"/>
      <c r="AD337" s="87"/>
      <c r="AE337" s="87"/>
      <c r="AF337" s="87"/>
      <c r="AG337" s="87"/>
      <c r="AH337" s="87"/>
      <c r="AI337" s="87"/>
      <c r="AJ337" s="87"/>
      <c r="AK337" s="87"/>
      <c r="AL337" s="87"/>
      <c r="AM337" s="87"/>
      <c r="AN337" s="87"/>
    </row>
    <row r="338" ht="16.5" customHeight="1">
      <c r="A338" s="87"/>
      <c r="B338" s="87"/>
      <c r="C338" s="87"/>
      <c r="D338" s="87"/>
      <c r="E338" s="87"/>
      <c r="F338" s="79"/>
      <c r="G338" s="87"/>
      <c r="H338" s="92"/>
      <c r="I338" s="87"/>
      <c r="J338" s="87"/>
      <c r="K338" s="89"/>
      <c r="L338" s="87"/>
      <c r="M338" s="87"/>
      <c r="N338" s="87"/>
      <c r="O338" s="87"/>
      <c r="P338" s="87"/>
      <c r="Q338" s="87"/>
      <c r="R338" s="87"/>
      <c r="S338" s="87"/>
      <c r="T338" s="87"/>
      <c r="U338" s="87"/>
      <c r="V338" s="87"/>
      <c r="W338" s="87"/>
      <c r="X338" s="87"/>
      <c r="Y338" s="87"/>
      <c r="Z338" s="87"/>
      <c r="AA338" s="87"/>
      <c r="AB338" s="87"/>
      <c r="AC338" s="87"/>
      <c r="AD338" s="87"/>
      <c r="AE338" s="87"/>
      <c r="AF338" s="87"/>
      <c r="AG338" s="87"/>
      <c r="AH338" s="87"/>
      <c r="AI338" s="87"/>
      <c r="AJ338" s="87"/>
      <c r="AK338" s="87"/>
      <c r="AL338" s="87"/>
      <c r="AM338" s="87"/>
      <c r="AN338" s="87"/>
    </row>
    <row r="339" ht="16.5" customHeight="1">
      <c r="A339" s="87"/>
      <c r="B339" s="87"/>
      <c r="C339" s="87"/>
      <c r="D339" s="87"/>
      <c r="E339" s="87"/>
      <c r="F339" s="79"/>
      <c r="G339" s="87"/>
      <c r="H339" s="92"/>
      <c r="I339" s="87"/>
      <c r="J339" s="87"/>
      <c r="K339" s="89"/>
      <c r="L339" s="87"/>
      <c r="M339" s="87"/>
      <c r="N339" s="87"/>
      <c r="O339" s="87"/>
      <c r="P339" s="87"/>
      <c r="Q339" s="87"/>
      <c r="R339" s="87"/>
      <c r="S339" s="87"/>
      <c r="T339" s="87"/>
      <c r="U339" s="87"/>
      <c r="V339" s="87"/>
      <c r="W339" s="87"/>
      <c r="X339" s="87"/>
      <c r="Y339" s="87"/>
      <c r="Z339" s="87"/>
      <c r="AA339" s="87"/>
      <c r="AB339" s="87"/>
      <c r="AC339" s="87"/>
      <c r="AD339" s="87"/>
      <c r="AE339" s="87"/>
      <c r="AF339" s="87"/>
      <c r="AG339" s="87"/>
      <c r="AH339" s="87"/>
      <c r="AI339" s="87"/>
      <c r="AJ339" s="87"/>
      <c r="AK339" s="87"/>
      <c r="AL339" s="87"/>
      <c r="AM339" s="87"/>
      <c r="AN339" s="87"/>
    </row>
    <row r="340" ht="16.5" customHeight="1">
      <c r="A340" s="87"/>
      <c r="B340" s="87"/>
      <c r="C340" s="87"/>
      <c r="D340" s="87"/>
      <c r="E340" s="87"/>
      <c r="F340" s="79"/>
      <c r="G340" s="87"/>
      <c r="H340" s="92"/>
      <c r="I340" s="87"/>
      <c r="J340" s="87"/>
      <c r="K340" s="89"/>
      <c r="L340" s="87"/>
      <c r="M340" s="87"/>
      <c r="N340" s="87"/>
      <c r="O340" s="87"/>
      <c r="P340" s="87"/>
      <c r="Q340" s="87"/>
      <c r="R340" s="87"/>
      <c r="S340" s="87"/>
      <c r="T340" s="87"/>
      <c r="U340" s="87"/>
      <c r="V340" s="87"/>
      <c r="W340" s="87"/>
      <c r="X340" s="87"/>
      <c r="Y340" s="87"/>
      <c r="Z340" s="87"/>
      <c r="AA340" s="87"/>
      <c r="AB340" s="87"/>
      <c r="AC340" s="87"/>
      <c r="AD340" s="87"/>
      <c r="AE340" s="87"/>
      <c r="AF340" s="87"/>
      <c r="AG340" s="87"/>
      <c r="AH340" s="87"/>
      <c r="AI340" s="87"/>
      <c r="AJ340" s="87"/>
      <c r="AK340" s="87"/>
      <c r="AL340" s="87"/>
      <c r="AM340" s="87"/>
      <c r="AN340" s="87"/>
    </row>
    <row r="341" ht="16.5" customHeight="1">
      <c r="A341" s="87"/>
      <c r="B341" s="87"/>
      <c r="C341" s="87"/>
      <c r="D341" s="87"/>
      <c r="E341" s="87"/>
      <c r="F341" s="79"/>
      <c r="G341" s="87"/>
      <c r="H341" s="92"/>
      <c r="I341" s="87"/>
      <c r="J341" s="87"/>
      <c r="K341" s="89"/>
      <c r="L341" s="87"/>
      <c r="M341" s="87"/>
      <c r="N341" s="87"/>
      <c r="O341" s="87"/>
      <c r="P341" s="87"/>
      <c r="Q341" s="87"/>
      <c r="R341" s="87"/>
      <c r="S341" s="87"/>
      <c r="T341" s="87"/>
      <c r="U341" s="87"/>
      <c r="V341" s="87"/>
      <c r="W341" s="87"/>
      <c r="X341" s="87"/>
      <c r="Y341" s="87"/>
      <c r="Z341" s="87"/>
      <c r="AA341" s="87"/>
      <c r="AB341" s="87"/>
      <c r="AC341" s="87"/>
      <c r="AD341" s="87"/>
      <c r="AE341" s="87"/>
      <c r="AF341" s="87"/>
      <c r="AG341" s="87"/>
      <c r="AH341" s="87"/>
      <c r="AI341" s="87"/>
      <c r="AJ341" s="87"/>
      <c r="AK341" s="87"/>
      <c r="AL341" s="87"/>
      <c r="AM341" s="87"/>
      <c r="AN341" s="87"/>
    </row>
    <row r="342" ht="16.5" customHeight="1">
      <c r="A342" s="87"/>
      <c r="B342" s="87"/>
      <c r="C342" s="87"/>
      <c r="D342" s="87"/>
      <c r="E342" s="87"/>
      <c r="F342" s="79"/>
      <c r="G342" s="87"/>
      <c r="H342" s="92"/>
      <c r="I342" s="87"/>
      <c r="J342" s="87"/>
      <c r="K342" s="89"/>
      <c r="L342" s="87"/>
      <c r="M342" s="87"/>
      <c r="N342" s="87"/>
      <c r="O342" s="87"/>
      <c r="P342" s="87"/>
      <c r="Q342" s="87"/>
      <c r="R342" s="87"/>
      <c r="S342" s="87"/>
      <c r="T342" s="87"/>
      <c r="U342" s="87"/>
      <c r="V342" s="87"/>
      <c r="W342" s="87"/>
      <c r="X342" s="87"/>
      <c r="Y342" s="87"/>
      <c r="Z342" s="87"/>
      <c r="AA342" s="87"/>
      <c r="AB342" s="87"/>
      <c r="AC342" s="87"/>
      <c r="AD342" s="87"/>
      <c r="AE342" s="87"/>
      <c r="AF342" s="87"/>
      <c r="AG342" s="87"/>
      <c r="AH342" s="87"/>
      <c r="AI342" s="87"/>
      <c r="AJ342" s="87"/>
      <c r="AK342" s="87"/>
      <c r="AL342" s="87"/>
      <c r="AM342" s="87"/>
      <c r="AN342" s="87"/>
    </row>
    <row r="343" ht="16.5" customHeight="1">
      <c r="A343" s="87"/>
      <c r="B343" s="87"/>
      <c r="C343" s="87"/>
      <c r="D343" s="87"/>
      <c r="E343" s="87"/>
      <c r="F343" s="79"/>
      <c r="G343" s="87"/>
      <c r="H343" s="92"/>
      <c r="I343" s="87"/>
      <c r="J343" s="87"/>
      <c r="K343" s="89"/>
      <c r="L343" s="87"/>
      <c r="M343" s="87"/>
      <c r="N343" s="87"/>
      <c r="O343" s="87"/>
      <c r="P343" s="87"/>
      <c r="Q343" s="87"/>
      <c r="R343" s="87"/>
      <c r="S343" s="87"/>
      <c r="T343" s="87"/>
      <c r="U343" s="87"/>
      <c r="V343" s="87"/>
      <c r="W343" s="87"/>
      <c r="X343" s="87"/>
      <c r="Y343" s="87"/>
      <c r="Z343" s="87"/>
      <c r="AA343" s="87"/>
      <c r="AB343" s="87"/>
      <c r="AC343" s="87"/>
      <c r="AD343" s="87"/>
      <c r="AE343" s="87"/>
      <c r="AF343" s="87"/>
      <c r="AG343" s="87"/>
      <c r="AH343" s="87"/>
      <c r="AI343" s="87"/>
      <c r="AJ343" s="87"/>
      <c r="AK343" s="87"/>
      <c r="AL343" s="87"/>
      <c r="AM343" s="87"/>
      <c r="AN343" s="87"/>
    </row>
    <row r="344" ht="16.5" customHeight="1">
      <c r="A344" s="87"/>
      <c r="B344" s="87"/>
      <c r="C344" s="87"/>
      <c r="D344" s="87"/>
      <c r="E344" s="87"/>
      <c r="F344" s="79"/>
      <c r="G344" s="87"/>
      <c r="H344" s="92"/>
      <c r="I344" s="87"/>
      <c r="J344" s="87"/>
      <c r="K344" s="89"/>
      <c r="L344" s="87"/>
      <c r="M344" s="87"/>
      <c r="N344" s="87"/>
      <c r="O344" s="87"/>
      <c r="P344" s="87"/>
      <c r="Q344" s="87"/>
      <c r="R344" s="87"/>
      <c r="S344" s="87"/>
      <c r="T344" s="87"/>
      <c r="U344" s="87"/>
      <c r="V344" s="87"/>
      <c r="W344" s="87"/>
      <c r="X344" s="87"/>
      <c r="Y344" s="87"/>
      <c r="Z344" s="87"/>
      <c r="AA344" s="87"/>
      <c r="AB344" s="87"/>
      <c r="AC344" s="87"/>
      <c r="AD344" s="87"/>
      <c r="AE344" s="87"/>
      <c r="AF344" s="87"/>
      <c r="AG344" s="87"/>
      <c r="AH344" s="87"/>
      <c r="AI344" s="87"/>
      <c r="AJ344" s="87"/>
      <c r="AK344" s="87"/>
      <c r="AL344" s="87"/>
      <c r="AM344" s="87"/>
      <c r="AN344" s="87"/>
    </row>
    <row r="345" ht="16.5" customHeight="1">
      <c r="A345" s="87"/>
      <c r="B345" s="87"/>
      <c r="C345" s="87"/>
      <c r="D345" s="87"/>
      <c r="E345" s="87"/>
      <c r="F345" s="79"/>
      <c r="G345" s="87"/>
      <c r="H345" s="92"/>
      <c r="I345" s="87"/>
      <c r="J345" s="87"/>
      <c r="K345" s="89"/>
      <c r="L345" s="87"/>
      <c r="M345" s="87"/>
      <c r="N345" s="87"/>
      <c r="O345" s="87"/>
      <c r="P345" s="87"/>
      <c r="Q345" s="87"/>
      <c r="R345" s="87"/>
      <c r="S345" s="87"/>
      <c r="T345" s="87"/>
      <c r="U345" s="87"/>
      <c r="V345" s="87"/>
      <c r="W345" s="87"/>
      <c r="X345" s="87"/>
      <c r="Y345" s="87"/>
      <c r="Z345" s="87"/>
      <c r="AA345" s="87"/>
      <c r="AB345" s="87"/>
      <c r="AC345" s="87"/>
      <c r="AD345" s="87"/>
      <c r="AE345" s="87"/>
      <c r="AF345" s="87"/>
      <c r="AG345" s="87"/>
      <c r="AH345" s="87"/>
      <c r="AI345" s="87"/>
      <c r="AJ345" s="87"/>
      <c r="AK345" s="87"/>
      <c r="AL345" s="87"/>
      <c r="AM345" s="87"/>
      <c r="AN345" s="87"/>
    </row>
    <row r="346" ht="16.5" customHeight="1">
      <c r="A346" s="87"/>
      <c r="B346" s="87"/>
      <c r="C346" s="87"/>
      <c r="D346" s="87"/>
      <c r="E346" s="87"/>
      <c r="F346" s="79"/>
      <c r="G346" s="87"/>
      <c r="H346" s="92"/>
      <c r="I346" s="87"/>
      <c r="J346" s="87"/>
      <c r="K346" s="89"/>
      <c r="L346" s="87"/>
      <c r="M346" s="87"/>
      <c r="N346" s="87"/>
      <c r="O346" s="87"/>
      <c r="P346" s="87"/>
      <c r="Q346" s="87"/>
      <c r="R346" s="87"/>
      <c r="S346" s="87"/>
      <c r="T346" s="87"/>
      <c r="U346" s="87"/>
      <c r="V346" s="87"/>
      <c r="W346" s="87"/>
      <c r="X346" s="87"/>
      <c r="Y346" s="87"/>
      <c r="Z346" s="87"/>
      <c r="AA346" s="87"/>
      <c r="AB346" s="87"/>
      <c r="AC346" s="87"/>
      <c r="AD346" s="87"/>
      <c r="AE346" s="87"/>
      <c r="AF346" s="87"/>
      <c r="AG346" s="87"/>
      <c r="AH346" s="87"/>
      <c r="AI346" s="87"/>
      <c r="AJ346" s="87"/>
      <c r="AK346" s="87"/>
      <c r="AL346" s="87"/>
      <c r="AM346" s="87"/>
      <c r="AN346" s="87"/>
    </row>
    <row r="347" ht="16.5" customHeight="1">
      <c r="A347" s="87"/>
      <c r="B347" s="87"/>
      <c r="C347" s="87"/>
      <c r="D347" s="87"/>
      <c r="E347" s="87"/>
      <c r="F347" s="79"/>
      <c r="G347" s="87"/>
      <c r="H347" s="92"/>
      <c r="I347" s="87"/>
      <c r="J347" s="87"/>
      <c r="K347" s="89"/>
      <c r="L347" s="87"/>
      <c r="M347" s="87"/>
      <c r="N347" s="87"/>
      <c r="O347" s="87"/>
      <c r="P347" s="87"/>
      <c r="Q347" s="87"/>
      <c r="R347" s="87"/>
      <c r="S347" s="87"/>
      <c r="T347" s="87"/>
      <c r="U347" s="87"/>
      <c r="V347" s="87"/>
      <c r="W347" s="87"/>
      <c r="X347" s="87"/>
      <c r="Y347" s="87"/>
      <c r="Z347" s="87"/>
      <c r="AA347" s="87"/>
      <c r="AB347" s="87"/>
      <c r="AC347" s="87"/>
      <c r="AD347" s="87"/>
      <c r="AE347" s="87"/>
      <c r="AF347" s="87"/>
      <c r="AG347" s="87"/>
      <c r="AH347" s="87"/>
      <c r="AI347" s="87"/>
      <c r="AJ347" s="87"/>
      <c r="AK347" s="87"/>
      <c r="AL347" s="87"/>
      <c r="AM347" s="87"/>
      <c r="AN347" s="87"/>
    </row>
    <row r="348" ht="16.5" customHeight="1">
      <c r="A348" s="87"/>
      <c r="B348" s="87"/>
      <c r="C348" s="87"/>
      <c r="D348" s="87"/>
      <c r="E348" s="87"/>
      <c r="F348" s="79"/>
      <c r="G348" s="87"/>
      <c r="H348" s="92"/>
      <c r="I348" s="87"/>
      <c r="J348" s="87"/>
      <c r="K348" s="89"/>
      <c r="L348" s="87"/>
      <c r="M348" s="87"/>
      <c r="N348" s="87"/>
      <c r="O348" s="87"/>
      <c r="P348" s="87"/>
      <c r="Q348" s="87"/>
      <c r="R348" s="87"/>
      <c r="S348" s="87"/>
      <c r="T348" s="87"/>
      <c r="U348" s="87"/>
      <c r="V348" s="87"/>
      <c r="W348" s="87"/>
      <c r="X348" s="87"/>
      <c r="Y348" s="87"/>
      <c r="Z348" s="87"/>
      <c r="AA348" s="87"/>
      <c r="AB348" s="87"/>
      <c r="AC348" s="87"/>
      <c r="AD348" s="87"/>
      <c r="AE348" s="87"/>
      <c r="AF348" s="87"/>
      <c r="AG348" s="87"/>
      <c r="AH348" s="87"/>
      <c r="AI348" s="87"/>
      <c r="AJ348" s="87"/>
      <c r="AK348" s="87"/>
      <c r="AL348" s="87"/>
      <c r="AM348" s="87"/>
      <c r="AN348" s="87"/>
    </row>
    <row r="349" ht="16.5" customHeight="1">
      <c r="A349" s="87"/>
      <c r="B349" s="87"/>
      <c r="C349" s="87"/>
      <c r="D349" s="87"/>
      <c r="E349" s="87"/>
      <c r="F349" s="79"/>
      <c r="G349" s="87"/>
      <c r="H349" s="92"/>
      <c r="I349" s="87"/>
      <c r="J349" s="87"/>
      <c r="K349" s="89"/>
      <c r="L349" s="87"/>
      <c r="M349" s="87"/>
      <c r="N349" s="87"/>
      <c r="O349" s="87"/>
      <c r="P349" s="87"/>
      <c r="Q349" s="87"/>
      <c r="R349" s="87"/>
      <c r="S349" s="87"/>
      <c r="T349" s="87"/>
      <c r="U349" s="87"/>
      <c r="V349" s="87"/>
      <c r="W349" s="87"/>
      <c r="X349" s="87"/>
      <c r="Y349" s="87"/>
      <c r="Z349" s="87"/>
      <c r="AA349" s="87"/>
      <c r="AB349" s="87"/>
      <c r="AC349" s="87"/>
      <c r="AD349" s="87"/>
      <c r="AE349" s="87"/>
      <c r="AF349" s="87"/>
      <c r="AG349" s="87"/>
      <c r="AH349" s="87"/>
      <c r="AI349" s="87"/>
      <c r="AJ349" s="87"/>
      <c r="AK349" s="87"/>
      <c r="AL349" s="87"/>
      <c r="AM349" s="87"/>
      <c r="AN349" s="87"/>
    </row>
    <row r="350" ht="16.5" customHeight="1">
      <c r="A350" s="87"/>
      <c r="B350" s="87"/>
      <c r="C350" s="87"/>
      <c r="D350" s="87"/>
      <c r="E350" s="87"/>
      <c r="F350" s="79"/>
      <c r="G350" s="87"/>
      <c r="H350" s="92"/>
      <c r="I350" s="87"/>
      <c r="J350" s="87"/>
      <c r="K350" s="89"/>
      <c r="L350" s="87"/>
      <c r="M350" s="87"/>
      <c r="N350" s="87"/>
      <c r="O350" s="87"/>
      <c r="P350" s="87"/>
      <c r="Q350" s="87"/>
      <c r="R350" s="87"/>
      <c r="S350" s="87"/>
      <c r="T350" s="87"/>
      <c r="U350" s="87"/>
      <c r="V350" s="87"/>
      <c r="W350" s="87"/>
      <c r="X350" s="87"/>
      <c r="Y350" s="87"/>
      <c r="Z350" s="87"/>
      <c r="AA350" s="87"/>
      <c r="AB350" s="87"/>
      <c r="AC350" s="87"/>
      <c r="AD350" s="87"/>
      <c r="AE350" s="87"/>
      <c r="AF350" s="87"/>
      <c r="AG350" s="87"/>
      <c r="AH350" s="87"/>
      <c r="AI350" s="87"/>
      <c r="AJ350" s="87"/>
      <c r="AK350" s="87"/>
      <c r="AL350" s="87"/>
      <c r="AM350" s="87"/>
      <c r="AN350" s="87"/>
    </row>
    <row r="351" ht="16.5" customHeight="1">
      <c r="A351" s="87"/>
      <c r="B351" s="87"/>
      <c r="C351" s="87"/>
      <c r="D351" s="87"/>
      <c r="E351" s="87"/>
      <c r="F351" s="79"/>
      <c r="G351" s="87"/>
      <c r="H351" s="92"/>
      <c r="I351" s="87"/>
      <c r="J351" s="87"/>
      <c r="K351" s="89"/>
      <c r="L351" s="87"/>
      <c r="M351" s="87"/>
      <c r="N351" s="87"/>
      <c r="O351" s="87"/>
      <c r="P351" s="87"/>
      <c r="Q351" s="87"/>
      <c r="R351" s="87"/>
      <c r="S351" s="87"/>
      <c r="T351" s="87"/>
      <c r="U351" s="87"/>
      <c r="V351" s="87"/>
      <c r="W351" s="87"/>
      <c r="X351" s="87"/>
      <c r="Y351" s="87"/>
      <c r="Z351" s="87"/>
      <c r="AA351" s="87"/>
      <c r="AB351" s="87"/>
      <c r="AC351" s="87"/>
      <c r="AD351" s="87"/>
      <c r="AE351" s="87"/>
      <c r="AF351" s="87"/>
      <c r="AG351" s="87"/>
      <c r="AH351" s="87"/>
      <c r="AI351" s="87"/>
      <c r="AJ351" s="87"/>
      <c r="AK351" s="87"/>
      <c r="AL351" s="87"/>
      <c r="AM351" s="87"/>
      <c r="AN351" s="87"/>
    </row>
    <row r="352" ht="16.5" customHeight="1">
      <c r="A352" s="87"/>
      <c r="B352" s="87"/>
      <c r="C352" s="87"/>
      <c r="D352" s="87"/>
      <c r="E352" s="87"/>
      <c r="F352" s="79"/>
      <c r="G352" s="87"/>
      <c r="H352" s="92"/>
      <c r="I352" s="87"/>
      <c r="J352" s="87"/>
      <c r="K352" s="89"/>
      <c r="L352" s="87"/>
      <c r="M352" s="87"/>
      <c r="N352" s="87"/>
      <c r="O352" s="87"/>
      <c r="P352" s="87"/>
      <c r="Q352" s="87"/>
      <c r="R352" s="87"/>
      <c r="S352" s="87"/>
      <c r="T352" s="87"/>
      <c r="U352" s="87"/>
      <c r="V352" s="87"/>
      <c r="W352" s="87"/>
      <c r="X352" s="87"/>
      <c r="Y352" s="87"/>
      <c r="Z352" s="87"/>
      <c r="AA352" s="87"/>
      <c r="AB352" s="87"/>
      <c r="AC352" s="87"/>
      <c r="AD352" s="87"/>
      <c r="AE352" s="87"/>
      <c r="AF352" s="87"/>
      <c r="AG352" s="87"/>
      <c r="AH352" s="87"/>
      <c r="AI352" s="87"/>
      <c r="AJ352" s="87"/>
      <c r="AK352" s="87"/>
      <c r="AL352" s="87"/>
      <c r="AM352" s="87"/>
      <c r="AN352" s="87"/>
    </row>
    <row r="353" ht="16.5" customHeight="1">
      <c r="A353" s="87"/>
      <c r="B353" s="87"/>
      <c r="C353" s="87"/>
      <c r="D353" s="87"/>
      <c r="E353" s="87"/>
      <c r="F353" s="79"/>
      <c r="G353" s="87"/>
      <c r="H353" s="92"/>
      <c r="I353" s="87"/>
      <c r="J353" s="87"/>
      <c r="K353" s="89"/>
      <c r="L353" s="87"/>
      <c r="M353" s="87"/>
      <c r="N353" s="87"/>
      <c r="O353" s="87"/>
      <c r="P353" s="87"/>
      <c r="Q353" s="87"/>
      <c r="R353" s="87"/>
      <c r="S353" s="87"/>
      <c r="T353" s="87"/>
      <c r="U353" s="87"/>
      <c r="V353" s="87"/>
      <c r="W353" s="87"/>
      <c r="X353" s="87"/>
      <c r="Y353" s="87"/>
      <c r="Z353" s="87"/>
      <c r="AA353" s="87"/>
      <c r="AB353" s="87"/>
      <c r="AC353" s="87"/>
      <c r="AD353" s="87"/>
      <c r="AE353" s="87"/>
      <c r="AF353" s="87"/>
      <c r="AG353" s="87"/>
      <c r="AH353" s="87"/>
      <c r="AI353" s="87"/>
      <c r="AJ353" s="87"/>
      <c r="AK353" s="87"/>
      <c r="AL353" s="87"/>
      <c r="AM353" s="87"/>
      <c r="AN353" s="87"/>
    </row>
    <row r="354" ht="16.5" customHeight="1">
      <c r="A354" s="87"/>
      <c r="B354" s="87"/>
      <c r="C354" s="87"/>
      <c r="D354" s="87"/>
      <c r="E354" s="87"/>
      <c r="F354" s="79"/>
      <c r="G354" s="87"/>
      <c r="H354" s="92"/>
      <c r="I354" s="87"/>
      <c r="J354" s="87"/>
      <c r="K354" s="89"/>
      <c r="L354" s="87"/>
      <c r="M354" s="87"/>
      <c r="N354" s="87"/>
      <c r="O354" s="87"/>
      <c r="P354" s="87"/>
      <c r="Q354" s="87"/>
      <c r="R354" s="87"/>
      <c r="S354" s="87"/>
      <c r="T354" s="87"/>
      <c r="U354" s="87"/>
      <c r="V354" s="87"/>
      <c r="W354" s="87"/>
      <c r="X354" s="87"/>
      <c r="Y354" s="87"/>
      <c r="Z354" s="87"/>
      <c r="AA354" s="87"/>
      <c r="AB354" s="87"/>
      <c r="AC354" s="87"/>
      <c r="AD354" s="87"/>
      <c r="AE354" s="87"/>
      <c r="AF354" s="87"/>
      <c r="AG354" s="87"/>
      <c r="AH354" s="87"/>
      <c r="AI354" s="87"/>
      <c r="AJ354" s="87"/>
      <c r="AK354" s="87"/>
      <c r="AL354" s="87"/>
      <c r="AM354" s="87"/>
      <c r="AN354" s="87"/>
    </row>
    <row r="355" ht="16.5" customHeight="1">
      <c r="A355" s="87"/>
      <c r="B355" s="87"/>
      <c r="C355" s="87"/>
      <c r="D355" s="87"/>
      <c r="E355" s="87"/>
      <c r="F355" s="79"/>
      <c r="G355" s="87"/>
      <c r="H355" s="92"/>
      <c r="I355" s="87"/>
      <c r="J355" s="87"/>
      <c r="K355" s="89"/>
      <c r="L355" s="87"/>
      <c r="M355" s="87"/>
      <c r="N355" s="87"/>
      <c r="O355" s="87"/>
      <c r="P355" s="87"/>
      <c r="Q355" s="87"/>
      <c r="R355" s="87"/>
      <c r="S355" s="87"/>
      <c r="T355" s="87"/>
      <c r="U355" s="87"/>
      <c r="V355" s="87"/>
      <c r="W355" s="87"/>
      <c r="X355" s="87"/>
      <c r="Y355" s="87"/>
      <c r="Z355" s="87"/>
      <c r="AA355" s="87"/>
      <c r="AB355" s="87"/>
      <c r="AC355" s="87"/>
      <c r="AD355" s="87"/>
      <c r="AE355" s="87"/>
      <c r="AF355" s="87"/>
      <c r="AG355" s="87"/>
      <c r="AH355" s="87"/>
      <c r="AI355" s="87"/>
      <c r="AJ355" s="87"/>
      <c r="AK355" s="87"/>
      <c r="AL355" s="87"/>
      <c r="AM355" s="87"/>
      <c r="AN355" s="87"/>
    </row>
    <row r="356" ht="16.5" customHeight="1">
      <c r="A356" s="87"/>
      <c r="B356" s="87"/>
      <c r="C356" s="87"/>
      <c r="D356" s="87"/>
      <c r="E356" s="87"/>
      <c r="F356" s="79"/>
      <c r="G356" s="87"/>
      <c r="H356" s="92"/>
      <c r="I356" s="87"/>
      <c r="J356" s="87"/>
      <c r="K356" s="89"/>
      <c r="L356" s="87"/>
      <c r="M356" s="87"/>
      <c r="N356" s="87"/>
      <c r="O356" s="87"/>
      <c r="P356" s="87"/>
      <c r="Q356" s="87"/>
      <c r="R356" s="87"/>
      <c r="S356" s="87"/>
      <c r="T356" s="87"/>
      <c r="U356" s="87"/>
      <c r="V356" s="87"/>
      <c r="W356" s="87"/>
      <c r="X356" s="87"/>
      <c r="Y356" s="87"/>
      <c r="Z356" s="87"/>
      <c r="AA356" s="87"/>
      <c r="AB356" s="87"/>
      <c r="AC356" s="87"/>
      <c r="AD356" s="87"/>
      <c r="AE356" s="87"/>
      <c r="AF356" s="87"/>
      <c r="AG356" s="87"/>
      <c r="AH356" s="87"/>
      <c r="AI356" s="87"/>
      <c r="AJ356" s="87"/>
      <c r="AK356" s="87"/>
      <c r="AL356" s="87"/>
      <c r="AM356" s="87"/>
      <c r="AN356" s="87"/>
    </row>
    <row r="357" ht="16.5" customHeight="1">
      <c r="A357" s="87"/>
      <c r="B357" s="87"/>
      <c r="C357" s="87"/>
      <c r="D357" s="87"/>
      <c r="E357" s="87"/>
      <c r="F357" s="79"/>
      <c r="G357" s="87"/>
      <c r="H357" s="92"/>
      <c r="I357" s="87"/>
      <c r="J357" s="87"/>
      <c r="K357" s="89"/>
      <c r="L357" s="87"/>
      <c r="M357" s="87"/>
      <c r="N357" s="87"/>
      <c r="O357" s="87"/>
      <c r="P357" s="87"/>
      <c r="Q357" s="87"/>
      <c r="R357" s="87"/>
      <c r="S357" s="87"/>
      <c r="T357" s="87"/>
      <c r="U357" s="87"/>
      <c r="V357" s="87"/>
      <c r="W357" s="87"/>
      <c r="X357" s="87"/>
      <c r="Y357" s="87"/>
      <c r="Z357" s="87"/>
      <c r="AA357" s="87"/>
      <c r="AB357" s="87"/>
      <c r="AC357" s="87"/>
      <c r="AD357" s="87"/>
      <c r="AE357" s="87"/>
      <c r="AF357" s="87"/>
      <c r="AG357" s="87"/>
      <c r="AH357" s="87"/>
      <c r="AI357" s="87"/>
      <c r="AJ357" s="87"/>
      <c r="AK357" s="87"/>
      <c r="AL357" s="87"/>
      <c r="AM357" s="87"/>
      <c r="AN357" s="87"/>
    </row>
    <row r="358" ht="16.5" customHeight="1">
      <c r="A358" s="87"/>
      <c r="B358" s="87"/>
      <c r="C358" s="87"/>
      <c r="D358" s="87"/>
      <c r="E358" s="87"/>
      <c r="F358" s="79"/>
      <c r="G358" s="87"/>
      <c r="H358" s="92"/>
      <c r="I358" s="87"/>
      <c r="J358" s="87"/>
      <c r="K358" s="89"/>
      <c r="L358" s="87"/>
      <c r="M358" s="87"/>
      <c r="N358" s="87"/>
      <c r="O358" s="87"/>
      <c r="P358" s="87"/>
      <c r="Q358" s="87"/>
      <c r="R358" s="87"/>
      <c r="S358" s="87"/>
      <c r="T358" s="87"/>
      <c r="U358" s="87"/>
      <c r="V358" s="87"/>
      <c r="W358" s="87"/>
      <c r="X358" s="87"/>
      <c r="Y358" s="87"/>
      <c r="Z358" s="87"/>
      <c r="AA358" s="87"/>
      <c r="AB358" s="87"/>
      <c r="AC358" s="87"/>
      <c r="AD358" s="87"/>
      <c r="AE358" s="87"/>
      <c r="AF358" s="87"/>
      <c r="AG358" s="87"/>
      <c r="AH358" s="87"/>
      <c r="AI358" s="87"/>
      <c r="AJ358" s="87"/>
      <c r="AK358" s="87"/>
      <c r="AL358" s="87"/>
      <c r="AM358" s="87"/>
      <c r="AN358" s="87"/>
    </row>
    <row r="359" ht="16.5" customHeight="1">
      <c r="A359" s="87"/>
      <c r="B359" s="87"/>
      <c r="C359" s="87"/>
      <c r="D359" s="87"/>
      <c r="E359" s="87"/>
      <c r="F359" s="79"/>
      <c r="G359" s="87"/>
      <c r="H359" s="92"/>
      <c r="I359" s="87"/>
      <c r="J359" s="87"/>
      <c r="K359" s="89"/>
      <c r="L359" s="87"/>
      <c r="M359" s="87"/>
      <c r="N359" s="87"/>
      <c r="O359" s="87"/>
      <c r="P359" s="87"/>
      <c r="Q359" s="87"/>
      <c r="R359" s="87"/>
      <c r="S359" s="87"/>
      <c r="T359" s="87"/>
      <c r="U359" s="87"/>
      <c r="V359" s="87"/>
      <c r="W359" s="87"/>
      <c r="X359" s="87"/>
      <c r="Y359" s="87"/>
      <c r="Z359" s="87"/>
      <c r="AA359" s="87"/>
      <c r="AB359" s="87"/>
      <c r="AC359" s="87"/>
      <c r="AD359" s="87"/>
      <c r="AE359" s="87"/>
      <c r="AF359" s="87"/>
      <c r="AG359" s="87"/>
      <c r="AH359" s="87"/>
      <c r="AI359" s="87"/>
      <c r="AJ359" s="87"/>
      <c r="AK359" s="87"/>
      <c r="AL359" s="87"/>
      <c r="AM359" s="87"/>
      <c r="AN359" s="87"/>
    </row>
    <row r="360" ht="16.5" customHeight="1">
      <c r="A360" s="87"/>
      <c r="B360" s="87"/>
      <c r="C360" s="87"/>
      <c r="D360" s="87"/>
      <c r="E360" s="87"/>
      <c r="F360" s="79"/>
      <c r="G360" s="87"/>
      <c r="H360" s="92"/>
      <c r="I360" s="87"/>
      <c r="J360" s="87"/>
      <c r="K360" s="89"/>
      <c r="L360" s="87"/>
      <c r="M360" s="87"/>
      <c r="N360" s="87"/>
      <c r="O360" s="87"/>
      <c r="P360" s="87"/>
      <c r="Q360" s="87"/>
      <c r="R360" s="87"/>
      <c r="S360" s="87"/>
      <c r="T360" s="87"/>
      <c r="U360" s="87"/>
      <c r="V360" s="87"/>
      <c r="W360" s="87"/>
      <c r="X360" s="87"/>
      <c r="Y360" s="87"/>
      <c r="Z360" s="87"/>
      <c r="AA360" s="87"/>
      <c r="AB360" s="87"/>
      <c r="AC360" s="87"/>
      <c r="AD360" s="87"/>
      <c r="AE360" s="87"/>
      <c r="AF360" s="87"/>
      <c r="AG360" s="87"/>
      <c r="AH360" s="87"/>
      <c r="AI360" s="87"/>
      <c r="AJ360" s="87"/>
      <c r="AK360" s="87"/>
      <c r="AL360" s="87"/>
      <c r="AM360" s="87"/>
      <c r="AN360" s="87"/>
    </row>
    <row r="361" ht="16.5" customHeight="1">
      <c r="A361" s="87"/>
      <c r="B361" s="87"/>
      <c r="C361" s="87"/>
      <c r="D361" s="87"/>
      <c r="E361" s="87"/>
      <c r="F361" s="79"/>
      <c r="G361" s="87"/>
      <c r="H361" s="92"/>
      <c r="I361" s="87"/>
      <c r="J361" s="87"/>
      <c r="K361" s="89"/>
      <c r="L361" s="87"/>
      <c r="M361" s="87"/>
      <c r="N361" s="87"/>
      <c r="O361" s="87"/>
      <c r="P361" s="87"/>
      <c r="Q361" s="87"/>
      <c r="R361" s="87"/>
      <c r="S361" s="87"/>
      <c r="T361" s="87"/>
      <c r="U361" s="87"/>
      <c r="V361" s="87"/>
      <c r="W361" s="87"/>
      <c r="X361" s="87"/>
      <c r="Y361" s="87"/>
      <c r="Z361" s="87"/>
      <c r="AA361" s="87"/>
      <c r="AB361" s="87"/>
      <c r="AC361" s="87"/>
      <c r="AD361" s="87"/>
      <c r="AE361" s="87"/>
      <c r="AF361" s="87"/>
      <c r="AG361" s="87"/>
      <c r="AH361" s="87"/>
      <c r="AI361" s="87"/>
      <c r="AJ361" s="87"/>
      <c r="AK361" s="87"/>
      <c r="AL361" s="87"/>
      <c r="AM361" s="87"/>
      <c r="AN361" s="87"/>
    </row>
    <row r="362" ht="16.5" customHeight="1">
      <c r="A362" s="87"/>
      <c r="B362" s="87"/>
      <c r="C362" s="87"/>
      <c r="D362" s="87"/>
      <c r="E362" s="87"/>
      <c r="F362" s="79"/>
      <c r="G362" s="87"/>
      <c r="H362" s="92"/>
      <c r="I362" s="87"/>
      <c r="J362" s="87"/>
      <c r="K362" s="89"/>
      <c r="L362" s="87"/>
      <c r="M362" s="87"/>
      <c r="N362" s="87"/>
      <c r="O362" s="87"/>
      <c r="P362" s="87"/>
      <c r="Q362" s="87"/>
      <c r="R362" s="87"/>
      <c r="S362" s="87"/>
      <c r="T362" s="87"/>
      <c r="U362" s="87"/>
      <c r="V362" s="87"/>
      <c r="W362" s="87"/>
      <c r="X362" s="87"/>
      <c r="Y362" s="87"/>
      <c r="Z362" s="87"/>
      <c r="AA362" s="87"/>
      <c r="AB362" s="87"/>
      <c r="AC362" s="87"/>
      <c r="AD362" s="87"/>
      <c r="AE362" s="87"/>
      <c r="AF362" s="87"/>
      <c r="AG362" s="87"/>
      <c r="AH362" s="87"/>
      <c r="AI362" s="87"/>
      <c r="AJ362" s="87"/>
      <c r="AK362" s="87"/>
      <c r="AL362" s="87"/>
      <c r="AM362" s="87"/>
      <c r="AN362" s="87"/>
    </row>
    <row r="363" ht="16.5" customHeight="1">
      <c r="A363" s="87"/>
      <c r="B363" s="87"/>
      <c r="C363" s="87"/>
      <c r="D363" s="87"/>
      <c r="E363" s="87"/>
      <c r="F363" s="79"/>
      <c r="G363" s="87"/>
      <c r="H363" s="92"/>
      <c r="I363" s="87"/>
      <c r="J363" s="87"/>
      <c r="K363" s="89"/>
      <c r="L363" s="87"/>
      <c r="M363" s="87"/>
      <c r="N363" s="87"/>
      <c r="O363" s="87"/>
      <c r="P363" s="87"/>
      <c r="Q363" s="87"/>
      <c r="R363" s="87"/>
      <c r="S363" s="87"/>
      <c r="T363" s="87"/>
      <c r="U363" s="87"/>
      <c r="V363" s="87"/>
      <c r="W363" s="87"/>
      <c r="X363" s="87"/>
      <c r="Y363" s="87"/>
      <c r="Z363" s="87"/>
      <c r="AA363" s="87"/>
      <c r="AB363" s="87"/>
      <c r="AC363" s="87"/>
      <c r="AD363" s="87"/>
      <c r="AE363" s="87"/>
      <c r="AF363" s="87"/>
      <c r="AG363" s="87"/>
      <c r="AH363" s="87"/>
      <c r="AI363" s="87"/>
      <c r="AJ363" s="87"/>
      <c r="AK363" s="87"/>
      <c r="AL363" s="87"/>
      <c r="AM363" s="87"/>
      <c r="AN363" s="87"/>
    </row>
    <row r="364" ht="16.5" customHeight="1">
      <c r="A364" s="87"/>
      <c r="B364" s="87"/>
      <c r="C364" s="87"/>
      <c r="D364" s="87"/>
      <c r="E364" s="87"/>
      <c r="F364" s="79"/>
      <c r="G364" s="87"/>
      <c r="H364" s="92"/>
      <c r="I364" s="87"/>
      <c r="J364" s="87"/>
      <c r="K364" s="89"/>
      <c r="L364" s="87"/>
      <c r="M364" s="87"/>
      <c r="N364" s="87"/>
      <c r="O364" s="87"/>
      <c r="P364" s="87"/>
      <c r="Q364" s="87"/>
      <c r="R364" s="87"/>
      <c r="S364" s="87"/>
      <c r="T364" s="87"/>
      <c r="U364" s="87"/>
      <c r="V364" s="87"/>
      <c r="W364" s="87"/>
      <c r="X364" s="87"/>
      <c r="Y364" s="87"/>
      <c r="Z364" s="87"/>
      <c r="AA364" s="87"/>
      <c r="AB364" s="87"/>
      <c r="AC364" s="87"/>
      <c r="AD364" s="87"/>
      <c r="AE364" s="87"/>
      <c r="AF364" s="87"/>
      <c r="AG364" s="87"/>
      <c r="AH364" s="87"/>
      <c r="AI364" s="87"/>
      <c r="AJ364" s="87"/>
      <c r="AK364" s="87"/>
      <c r="AL364" s="87"/>
      <c r="AM364" s="87"/>
      <c r="AN364" s="87"/>
    </row>
    <row r="365" ht="16.5" customHeight="1">
      <c r="A365" s="87"/>
      <c r="B365" s="87"/>
      <c r="C365" s="87"/>
      <c r="D365" s="87"/>
      <c r="E365" s="87"/>
      <c r="F365" s="79"/>
      <c r="G365" s="87"/>
      <c r="H365" s="92"/>
      <c r="I365" s="87"/>
      <c r="J365" s="87"/>
      <c r="K365" s="89"/>
      <c r="L365" s="87"/>
      <c r="M365" s="87"/>
      <c r="N365" s="87"/>
      <c r="O365" s="87"/>
      <c r="P365" s="87"/>
      <c r="Q365" s="87"/>
      <c r="R365" s="87"/>
      <c r="S365" s="87"/>
      <c r="T365" s="87"/>
      <c r="U365" s="87"/>
      <c r="V365" s="87"/>
      <c r="W365" s="87"/>
      <c r="X365" s="87"/>
      <c r="Y365" s="87"/>
      <c r="Z365" s="87"/>
      <c r="AA365" s="87"/>
      <c r="AB365" s="87"/>
      <c r="AC365" s="87"/>
      <c r="AD365" s="87"/>
      <c r="AE365" s="87"/>
      <c r="AF365" s="87"/>
      <c r="AG365" s="87"/>
      <c r="AH365" s="87"/>
      <c r="AI365" s="87"/>
      <c r="AJ365" s="87"/>
      <c r="AK365" s="87"/>
      <c r="AL365" s="87"/>
      <c r="AM365" s="87"/>
      <c r="AN365" s="87"/>
    </row>
    <row r="366" ht="16.5" customHeight="1">
      <c r="A366" s="87"/>
      <c r="B366" s="87"/>
      <c r="C366" s="87"/>
      <c r="D366" s="87"/>
      <c r="E366" s="87"/>
      <c r="F366" s="79"/>
      <c r="G366" s="87"/>
      <c r="H366" s="92"/>
      <c r="I366" s="87"/>
      <c r="J366" s="87"/>
      <c r="K366" s="89"/>
      <c r="L366" s="87"/>
      <c r="M366" s="87"/>
      <c r="N366" s="87"/>
      <c r="O366" s="87"/>
      <c r="P366" s="87"/>
      <c r="Q366" s="87"/>
      <c r="R366" s="87"/>
      <c r="S366" s="87"/>
      <c r="T366" s="87"/>
      <c r="U366" s="87"/>
      <c r="V366" s="87"/>
      <c r="W366" s="87"/>
      <c r="X366" s="87"/>
      <c r="Y366" s="87"/>
      <c r="Z366" s="87"/>
      <c r="AA366" s="87"/>
      <c r="AB366" s="87"/>
      <c r="AC366" s="87"/>
      <c r="AD366" s="87"/>
      <c r="AE366" s="87"/>
      <c r="AF366" s="87"/>
      <c r="AG366" s="87"/>
      <c r="AH366" s="87"/>
      <c r="AI366" s="87"/>
      <c r="AJ366" s="87"/>
      <c r="AK366" s="87"/>
      <c r="AL366" s="87"/>
      <c r="AM366" s="87"/>
      <c r="AN366" s="87"/>
    </row>
    <row r="367" ht="16.5" customHeight="1">
      <c r="A367" s="87"/>
      <c r="B367" s="87"/>
      <c r="C367" s="87"/>
      <c r="D367" s="87"/>
      <c r="E367" s="87"/>
      <c r="F367" s="79"/>
      <c r="G367" s="87"/>
      <c r="H367" s="92"/>
      <c r="I367" s="87"/>
      <c r="J367" s="87"/>
      <c r="K367" s="89"/>
      <c r="L367" s="87"/>
      <c r="M367" s="87"/>
      <c r="N367" s="87"/>
      <c r="O367" s="87"/>
      <c r="P367" s="87"/>
      <c r="Q367" s="87"/>
      <c r="R367" s="87"/>
      <c r="S367" s="87"/>
      <c r="T367" s="87"/>
      <c r="U367" s="87"/>
      <c r="V367" s="87"/>
      <c r="W367" s="87"/>
      <c r="X367" s="87"/>
      <c r="Y367" s="87"/>
      <c r="Z367" s="87"/>
      <c r="AA367" s="87"/>
      <c r="AB367" s="87"/>
      <c r="AC367" s="87"/>
      <c r="AD367" s="87"/>
      <c r="AE367" s="87"/>
      <c r="AF367" s="87"/>
      <c r="AG367" s="87"/>
      <c r="AH367" s="87"/>
      <c r="AI367" s="87"/>
      <c r="AJ367" s="87"/>
      <c r="AK367" s="87"/>
      <c r="AL367" s="87"/>
      <c r="AM367" s="87"/>
      <c r="AN367" s="87"/>
    </row>
    <row r="368" ht="16.5" customHeight="1">
      <c r="A368" s="87"/>
      <c r="B368" s="87"/>
      <c r="C368" s="87"/>
      <c r="D368" s="87"/>
      <c r="E368" s="87"/>
      <c r="F368" s="79"/>
      <c r="G368" s="87"/>
      <c r="H368" s="92"/>
      <c r="I368" s="87"/>
      <c r="J368" s="87"/>
      <c r="K368" s="89"/>
      <c r="L368" s="87"/>
      <c r="M368" s="87"/>
      <c r="N368" s="87"/>
      <c r="O368" s="87"/>
      <c r="P368" s="87"/>
      <c r="Q368" s="87"/>
      <c r="R368" s="87"/>
      <c r="S368" s="87"/>
      <c r="T368" s="87"/>
      <c r="U368" s="87"/>
      <c r="V368" s="87"/>
      <c r="W368" s="87"/>
      <c r="X368" s="87"/>
      <c r="Y368" s="87"/>
      <c r="Z368" s="87"/>
      <c r="AA368" s="87"/>
      <c r="AB368" s="87"/>
      <c r="AC368" s="87"/>
      <c r="AD368" s="87"/>
      <c r="AE368" s="87"/>
      <c r="AF368" s="87"/>
      <c r="AG368" s="87"/>
      <c r="AH368" s="87"/>
      <c r="AI368" s="87"/>
      <c r="AJ368" s="87"/>
      <c r="AK368" s="87"/>
      <c r="AL368" s="87"/>
      <c r="AM368" s="87"/>
      <c r="AN368" s="87"/>
    </row>
    <row r="369" ht="16.5" customHeight="1">
      <c r="A369" s="87"/>
      <c r="B369" s="87"/>
      <c r="C369" s="87"/>
      <c r="D369" s="87"/>
      <c r="E369" s="87"/>
      <c r="F369" s="79"/>
      <c r="G369" s="87"/>
      <c r="H369" s="92"/>
      <c r="I369" s="87"/>
      <c r="J369" s="87"/>
      <c r="K369" s="89"/>
      <c r="L369" s="87"/>
      <c r="M369" s="87"/>
      <c r="N369" s="87"/>
      <c r="O369" s="87"/>
      <c r="P369" s="87"/>
      <c r="Q369" s="87"/>
      <c r="R369" s="87"/>
      <c r="S369" s="87"/>
      <c r="T369" s="87"/>
      <c r="U369" s="87"/>
      <c r="V369" s="87"/>
      <c r="W369" s="87"/>
      <c r="X369" s="87"/>
      <c r="Y369" s="87"/>
      <c r="Z369" s="87"/>
      <c r="AA369" s="87"/>
      <c r="AB369" s="87"/>
      <c r="AC369" s="87"/>
      <c r="AD369" s="87"/>
      <c r="AE369" s="87"/>
      <c r="AF369" s="87"/>
      <c r="AG369" s="87"/>
      <c r="AH369" s="87"/>
      <c r="AI369" s="87"/>
      <c r="AJ369" s="87"/>
      <c r="AK369" s="87"/>
      <c r="AL369" s="87"/>
      <c r="AM369" s="87"/>
      <c r="AN369" s="87"/>
    </row>
    <row r="370" ht="16.5" customHeight="1">
      <c r="A370" s="87"/>
      <c r="B370" s="87"/>
      <c r="C370" s="87"/>
      <c r="D370" s="87"/>
      <c r="E370" s="87"/>
      <c r="F370" s="79"/>
      <c r="G370" s="87"/>
      <c r="H370" s="92"/>
      <c r="I370" s="87"/>
      <c r="J370" s="87"/>
      <c r="K370" s="89"/>
      <c r="L370" s="87"/>
      <c r="M370" s="87"/>
      <c r="N370" s="87"/>
      <c r="O370" s="87"/>
      <c r="P370" s="87"/>
      <c r="Q370" s="87"/>
      <c r="R370" s="87"/>
      <c r="S370" s="87"/>
      <c r="T370" s="87"/>
      <c r="U370" s="87"/>
      <c r="V370" s="87"/>
      <c r="W370" s="87"/>
      <c r="X370" s="87"/>
      <c r="Y370" s="87"/>
      <c r="Z370" s="87"/>
      <c r="AA370" s="87"/>
      <c r="AB370" s="87"/>
      <c r="AC370" s="87"/>
      <c r="AD370" s="87"/>
      <c r="AE370" s="87"/>
      <c r="AF370" s="87"/>
      <c r="AG370" s="87"/>
      <c r="AH370" s="87"/>
      <c r="AI370" s="87"/>
      <c r="AJ370" s="87"/>
      <c r="AK370" s="87"/>
      <c r="AL370" s="87"/>
      <c r="AM370" s="87"/>
      <c r="AN370" s="87"/>
    </row>
    <row r="371" ht="16.5" customHeight="1">
      <c r="A371" s="87"/>
      <c r="B371" s="87"/>
      <c r="C371" s="87"/>
      <c r="D371" s="87"/>
      <c r="E371" s="87"/>
      <c r="F371" s="79"/>
      <c r="G371" s="87"/>
      <c r="H371" s="92"/>
      <c r="I371" s="87"/>
      <c r="J371" s="87"/>
      <c r="K371" s="89"/>
      <c r="L371" s="87"/>
      <c r="M371" s="87"/>
      <c r="N371" s="87"/>
      <c r="O371" s="87"/>
      <c r="P371" s="87"/>
      <c r="Q371" s="87"/>
      <c r="R371" s="87"/>
      <c r="S371" s="87"/>
      <c r="T371" s="87"/>
      <c r="U371" s="87"/>
      <c r="V371" s="87"/>
      <c r="W371" s="87"/>
      <c r="X371" s="87"/>
      <c r="Y371" s="87"/>
      <c r="Z371" s="87"/>
      <c r="AA371" s="87"/>
      <c r="AB371" s="87"/>
      <c r="AC371" s="87"/>
      <c r="AD371" s="87"/>
      <c r="AE371" s="87"/>
      <c r="AF371" s="87"/>
      <c r="AG371" s="87"/>
      <c r="AH371" s="87"/>
      <c r="AI371" s="87"/>
      <c r="AJ371" s="87"/>
      <c r="AK371" s="87"/>
      <c r="AL371" s="87"/>
      <c r="AM371" s="87"/>
      <c r="AN371" s="87"/>
    </row>
    <row r="372" ht="16.5" customHeight="1">
      <c r="A372" s="87"/>
      <c r="B372" s="87"/>
      <c r="C372" s="87"/>
      <c r="D372" s="87"/>
      <c r="E372" s="87"/>
      <c r="F372" s="79"/>
      <c r="G372" s="87"/>
      <c r="H372" s="92"/>
      <c r="I372" s="87"/>
      <c r="J372" s="87"/>
      <c r="K372" s="89"/>
      <c r="L372" s="87"/>
      <c r="M372" s="87"/>
      <c r="N372" s="87"/>
      <c r="O372" s="87"/>
      <c r="P372" s="87"/>
      <c r="Q372" s="87"/>
      <c r="R372" s="87"/>
      <c r="S372" s="87"/>
      <c r="T372" s="87"/>
      <c r="U372" s="87"/>
      <c r="V372" s="87"/>
      <c r="W372" s="87"/>
      <c r="X372" s="87"/>
      <c r="Y372" s="87"/>
      <c r="Z372" s="87"/>
      <c r="AA372" s="87"/>
      <c r="AB372" s="87"/>
      <c r="AC372" s="87"/>
      <c r="AD372" s="87"/>
      <c r="AE372" s="87"/>
      <c r="AF372" s="87"/>
      <c r="AG372" s="87"/>
      <c r="AH372" s="87"/>
      <c r="AI372" s="87"/>
      <c r="AJ372" s="87"/>
      <c r="AK372" s="87"/>
      <c r="AL372" s="87"/>
      <c r="AM372" s="87"/>
      <c r="AN372" s="87"/>
    </row>
    <row r="373" ht="16.5" customHeight="1">
      <c r="A373" s="87"/>
      <c r="B373" s="87"/>
      <c r="C373" s="87"/>
      <c r="D373" s="87"/>
      <c r="E373" s="87"/>
      <c r="F373" s="79"/>
      <c r="G373" s="87"/>
      <c r="H373" s="92"/>
      <c r="I373" s="87"/>
      <c r="J373" s="87"/>
      <c r="K373" s="89"/>
      <c r="L373" s="87"/>
      <c r="M373" s="87"/>
      <c r="N373" s="87"/>
      <c r="O373" s="87"/>
      <c r="P373" s="87"/>
      <c r="Q373" s="87"/>
      <c r="R373" s="87"/>
      <c r="S373" s="87"/>
      <c r="T373" s="87"/>
      <c r="U373" s="87"/>
      <c r="V373" s="87"/>
      <c r="W373" s="87"/>
      <c r="X373" s="87"/>
      <c r="Y373" s="87"/>
      <c r="Z373" s="87"/>
      <c r="AA373" s="87"/>
      <c r="AB373" s="87"/>
      <c r="AC373" s="87"/>
      <c r="AD373" s="87"/>
      <c r="AE373" s="87"/>
      <c r="AF373" s="87"/>
      <c r="AG373" s="87"/>
      <c r="AH373" s="87"/>
      <c r="AI373" s="87"/>
      <c r="AJ373" s="87"/>
      <c r="AK373" s="87"/>
      <c r="AL373" s="87"/>
      <c r="AM373" s="87"/>
      <c r="AN373" s="87"/>
    </row>
    <row r="374" ht="16.5" customHeight="1">
      <c r="A374" s="87"/>
      <c r="B374" s="87"/>
      <c r="C374" s="87"/>
      <c r="D374" s="87"/>
      <c r="E374" s="87"/>
      <c r="F374" s="79"/>
      <c r="G374" s="87"/>
      <c r="H374" s="92"/>
      <c r="I374" s="87"/>
      <c r="J374" s="87"/>
      <c r="K374" s="89"/>
      <c r="L374" s="87"/>
      <c r="M374" s="87"/>
      <c r="N374" s="87"/>
      <c r="O374" s="87"/>
      <c r="P374" s="87"/>
      <c r="Q374" s="87"/>
      <c r="R374" s="87"/>
      <c r="S374" s="87"/>
      <c r="T374" s="87"/>
      <c r="U374" s="87"/>
      <c r="V374" s="87"/>
      <c r="W374" s="87"/>
      <c r="X374" s="87"/>
      <c r="Y374" s="87"/>
      <c r="Z374" s="87"/>
      <c r="AA374" s="87"/>
      <c r="AB374" s="87"/>
      <c r="AC374" s="87"/>
      <c r="AD374" s="87"/>
      <c r="AE374" s="87"/>
      <c r="AF374" s="87"/>
      <c r="AG374" s="87"/>
      <c r="AH374" s="87"/>
      <c r="AI374" s="87"/>
      <c r="AJ374" s="87"/>
      <c r="AK374" s="87"/>
      <c r="AL374" s="87"/>
      <c r="AM374" s="87"/>
      <c r="AN374" s="87"/>
    </row>
    <row r="375" ht="16.5" customHeight="1">
      <c r="A375" s="87"/>
      <c r="B375" s="87"/>
      <c r="C375" s="87"/>
      <c r="D375" s="87"/>
      <c r="E375" s="87"/>
      <c r="F375" s="79"/>
      <c r="G375" s="87"/>
      <c r="H375" s="92"/>
      <c r="I375" s="87"/>
      <c r="J375" s="87"/>
      <c r="K375" s="89"/>
      <c r="L375" s="87"/>
      <c r="M375" s="87"/>
      <c r="N375" s="87"/>
      <c r="O375" s="87"/>
      <c r="P375" s="87"/>
      <c r="Q375" s="87"/>
      <c r="R375" s="87"/>
      <c r="S375" s="87"/>
      <c r="T375" s="87"/>
      <c r="U375" s="87"/>
      <c r="V375" s="87"/>
      <c r="W375" s="87"/>
      <c r="X375" s="87"/>
      <c r="Y375" s="87"/>
      <c r="Z375" s="87"/>
      <c r="AA375" s="87"/>
      <c r="AB375" s="87"/>
      <c r="AC375" s="87"/>
      <c r="AD375" s="87"/>
      <c r="AE375" s="87"/>
      <c r="AF375" s="87"/>
      <c r="AG375" s="87"/>
      <c r="AH375" s="87"/>
      <c r="AI375" s="87"/>
      <c r="AJ375" s="87"/>
      <c r="AK375" s="87"/>
      <c r="AL375" s="87"/>
      <c r="AM375" s="87"/>
      <c r="AN375" s="87"/>
    </row>
    <row r="376" ht="16.5" customHeight="1">
      <c r="A376" s="87"/>
      <c r="B376" s="87"/>
      <c r="C376" s="87"/>
      <c r="D376" s="87"/>
      <c r="E376" s="87"/>
      <c r="F376" s="79"/>
      <c r="G376" s="87"/>
      <c r="H376" s="92"/>
      <c r="I376" s="87"/>
      <c r="J376" s="87"/>
      <c r="K376" s="89"/>
      <c r="L376" s="87"/>
      <c r="M376" s="87"/>
      <c r="N376" s="87"/>
      <c r="O376" s="87"/>
      <c r="P376" s="87"/>
      <c r="Q376" s="87"/>
      <c r="R376" s="87"/>
      <c r="S376" s="87"/>
      <c r="T376" s="87"/>
      <c r="U376" s="87"/>
      <c r="V376" s="87"/>
      <c r="W376" s="87"/>
      <c r="X376" s="87"/>
      <c r="Y376" s="87"/>
      <c r="Z376" s="87"/>
      <c r="AA376" s="87"/>
      <c r="AB376" s="87"/>
      <c r="AC376" s="87"/>
      <c r="AD376" s="87"/>
      <c r="AE376" s="87"/>
      <c r="AF376" s="87"/>
      <c r="AG376" s="87"/>
      <c r="AH376" s="87"/>
      <c r="AI376" s="87"/>
      <c r="AJ376" s="87"/>
      <c r="AK376" s="87"/>
      <c r="AL376" s="87"/>
      <c r="AM376" s="87"/>
      <c r="AN376" s="87"/>
    </row>
    <row r="377" ht="16.5" customHeight="1">
      <c r="A377" s="87"/>
      <c r="B377" s="87"/>
      <c r="C377" s="87"/>
      <c r="D377" s="87"/>
      <c r="E377" s="87"/>
      <c r="F377" s="79"/>
      <c r="G377" s="87"/>
      <c r="H377" s="92"/>
      <c r="I377" s="87"/>
      <c r="J377" s="87"/>
      <c r="K377" s="89"/>
      <c r="L377" s="87"/>
      <c r="M377" s="87"/>
      <c r="N377" s="87"/>
      <c r="O377" s="87"/>
      <c r="P377" s="87"/>
      <c r="Q377" s="87"/>
      <c r="R377" s="87"/>
      <c r="S377" s="87"/>
      <c r="T377" s="87"/>
      <c r="U377" s="87"/>
      <c r="V377" s="87"/>
      <c r="W377" s="87"/>
      <c r="X377" s="87"/>
      <c r="Y377" s="87"/>
      <c r="Z377" s="87"/>
      <c r="AA377" s="87"/>
      <c r="AB377" s="87"/>
      <c r="AC377" s="87"/>
      <c r="AD377" s="87"/>
      <c r="AE377" s="87"/>
      <c r="AF377" s="87"/>
      <c r="AG377" s="87"/>
      <c r="AH377" s="87"/>
      <c r="AI377" s="87"/>
      <c r="AJ377" s="87"/>
      <c r="AK377" s="87"/>
      <c r="AL377" s="87"/>
      <c r="AM377" s="87"/>
      <c r="AN377" s="87"/>
    </row>
    <row r="378" ht="16.5" customHeight="1">
      <c r="A378" s="87"/>
      <c r="B378" s="87"/>
      <c r="C378" s="87"/>
      <c r="D378" s="87"/>
      <c r="E378" s="87"/>
      <c r="F378" s="79"/>
      <c r="G378" s="87"/>
      <c r="H378" s="92"/>
      <c r="I378" s="87"/>
      <c r="J378" s="87"/>
      <c r="K378" s="89"/>
      <c r="L378" s="87"/>
      <c r="M378" s="87"/>
      <c r="N378" s="87"/>
      <c r="O378" s="87"/>
      <c r="P378" s="87"/>
      <c r="Q378" s="87"/>
      <c r="R378" s="87"/>
      <c r="S378" s="87"/>
      <c r="T378" s="87"/>
      <c r="U378" s="87"/>
      <c r="V378" s="87"/>
      <c r="W378" s="87"/>
      <c r="X378" s="87"/>
      <c r="Y378" s="87"/>
      <c r="Z378" s="87"/>
      <c r="AA378" s="87"/>
      <c r="AB378" s="87"/>
      <c r="AC378" s="87"/>
      <c r="AD378" s="87"/>
      <c r="AE378" s="87"/>
      <c r="AF378" s="87"/>
      <c r="AG378" s="87"/>
      <c r="AH378" s="87"/>
      <c r="AI378" s="87"/>
      <c r="AJ378" s="87"/>
      <c r="AK378" s="87"/>
      <c r="AL378" s="87"/>
      <c r="AM378" s="87"/>
      <c r="AN378" s="87"/>
    </row>
    <row r="379" ht="16.5" customHeight="1">
      <c r="A379" s="87"/>
      <c r="B379" s="87"/>
      <c r="C379" s="87"/>
      <c r="D379" s="87"/>
      <c r="E379" s="87"/>
      <c r="F379" s="79"/>
      <c r="G379" s="87"/>
      <c r="H379" s="92"/>
      <c r="I379" s="87"/>
      <c r="J379" s="87"/>
      <c r="K379" s="89"/>
      <c r="L379" s="87"/>
      <c r="M379" s="87"/>
      <c r="N379" s="87"/>
      <c r="O379" s="87"/>
      <c r="P379" s="87"/>
      <c r="Q379" s="87"/>
      <c r="R379" s="87"/>
      <c r="S379" s="87"/>
      <c r="T379" s="87"/>
      <c r="U379" s="87"/>
      <c r="V379" s="87"/>
      <c r="W379" s="87"/>
      <c r="X379" s="87"/>
      <c r="Y379" s="87"/>
      <c r="Z379" s="87"/>
      <c r="AA379" s="87"/>
      <c r="AB379" s="87"/>
      <c r="AC379" s="87"/>
      <c r="AD379" s="87"/>
      <c r="AE379" s="87"/>
      <c r="AF379" s="87"/>
      <c r="AG379" s="87"/>
      <c r="AH379" s="87"/>
      <c r="AI379" s="87"/>
      <c r="AJ379" s="87"/>
      <c r="AK379" s="87"/>
      <c r="AL379" s="87"/>
      <c r="AM379" s="87"/>
      <c r="AN379" s="87"/>
    </row>
    <row r="380" ht="16.5" customHeight="1">
      <c r="A380" s="87"/>
      <c r="B380" s="87"/>
      <c r="C380" s="87"/>
      <c r="D380" s="87"/>
      <c r="E380" s="87"/>
      <c r="F380" s="79"/>
      <c r="G380" s="87"/>
      <c r="H380" s="92"/>
      <c r="I380" s="87"/>
      <c r="J380" s="87"/>
      <c r="K380" s="89"/>
      <c r="L380" s="87"/>
      <c r="M380" s="87"/>
      <c r="N380" s="87"/>
      <c r="O380" s="87"/>
      <c r="P380" s="87"/>
      <c r="Q380" s="87"/>
      <c r="R380" s="87"/>
      <c r="S380" s="87"/>
      <c r="T380" s="87"/>
      <c r="U380" s="87"/>
      <c r="V380" s="87"/>
      <c r="W380" s="87"/>
      <c r="X380" s="87"/>
      <c r="Y380" s="87"/>
      <c r="Z380" s="87"/>
      <c r="AA380" s="87"/>
      <c r="AB380" s="87"/>
      <c r="AC380" s="87"/>
      <c r="AD380" s="87"/>
      <c r="AE380" s="87"/>
      <c r="AF380" s="87"/>
      <c r="AG380" s="87"/>
      <c r="AH380" s="87"/>
      <c r="AI380" s="87"/>
      <c r="AJ380" s="87"/>
      <c r="AK380" s="87"/>
      <c r="AL380" s="87"/>
      <c r="AM380" s="87"/>
      <c r="AN380" s="87"/>
    </row>
    <row r="381" ht="16.5" customHeight="1">
      <c r="A381" s="87"/>
      <c r="B381" s="87"/>
      <c r="C381" s="87"/>
      <c r="D381" s="87"/>
      <c r="E381" s="87"/>
      <c r="F381" s="79"/>
      <c r="G381" s="87"/>
      <c r="H381" s="92"/>
      <c r="I381" s="87"/>
      <c r="J381" s="87"/>
      <c r="K381" s="89"/>
      <c r="L381" s="87"/>
      <c r="M381" s="87"/>
      <c r="N381" s="87"/>
      <c r="O381" s="87"/>
      <c r="P381" s="87"/>
      <c r="Q381" s="87"/>
      <c r="R381" s="87"/>
      <c r="S381" s="87"/>
      <c r="T381" s="87"/>
      <c r="U381" s="87"/>
      <c r="V381" s="87"/>
      <c r="W381" s="87"/>
      <c r="X381" s="87"/>
      <c r="Y381" s="87"/>
      <c r="Z381" s="87"/>
      <c r="AA381" s="87"/>
      <c r="AB381" s="87"/>
      <c r="AC381" s="87"/>
      <c r="AD381" s="87"/>
      <c r="AE381" s="87"/>
      <c r="AF381" s="87"/>
      <c r="AG381" s="87"/>
      <c r="AH381" s="87"/>
      <c r="AI381" s="87"/>
      <c r="AJ381" s="87"/>
      <c r="AK381" s="87"/>
      <c r="AL381" s="87"/>
      <c r="AM381" s="87"/>
      <c r="AN381" s="87"/>
    </row>
    <row r="382" ht="16.5" customHeight="1">
      <c r="A382" s="87"/>
      <c r="B382" s="87"/>
      <c r="C382" s="87"/>
      <c r="D382" s="87"/>
      <c r="E382" s="87"/>
      <c r="F382" s="79"/>
      <c r="G382" s="87"/>
      <c r="H382" s="92"/>
      <c r="I382" s="87"/>
      <c r="J382" s="87"/>
      <c r="K382" s="89"/>
      <c r="L382" s="87"/>
      <c r="M382" s="87"/>
      <c r="N382" s="87"/>
      <c r="O382" s="87"/>
      <c r="P382" s="87"/>
      <c r="Q382" s="87"/>
      <c r="R382" s="87"/>
      <c r="S382" s="87"/>
      <c r="T382" s="87"/>
      <c r="U382" s="87"/>
      <c r="V382" s="87"/>
      <c r="W382" s="87"/>
      <c r="X382" s="87"/>
      <c r="Y382" s="87"/>
      <c r="Z382" s="87"/>
      <c r="AA382" s="87"/>
      <c r="AB382" s="87"/>
      <c r="AC382" s="87"/>
      <c r="AD382" s="87"/>
      <c r="AE382" s="87"/>
      <c r="AF382" s="87"/>
      <c r="AG382" s="87"/>
      <c r="AH382" s="87"/>
      <c r="AI382" s="87"/>
      <c r="AJ382" s="87"/>
      <c r="AK382" s="87"/>
      <c r="AL382" s="87"/>
      <c r="AM382" s="87"/>
      <c r="AN382" s="87"/>
    </row>
    <row r="383" ht="16.5" customHeight="1">
      <c r="A383" s="87"/>
      <c r="B383" s="87"/>
      <c r="C383" s="87"/>
      <c r="D383" s="87"/>
      <c r="E383" s="87"/>
      <c r="F383" s="79"/>
      <c r="G383" s="87"/>
      <c r="H383" s="92"/>
      <c r="I383" s="87"/>
      <c r="J383" s="87"/>
      <c r="K383" s="89"/>
      <c r="L383" s="87"/>
      <c r="M383" s="87"/>
      <c r="N383" s="87"/>
      <c r="O383" s="87"/>
      <c r="P383" s="87"/>
      <c r="Q383" s="87"/>
      <c r="R383" s="87"/>
      <c r="S383" s="87"/>
      <c r="T383" s="87"/>
      <c r="U383" s="87"/>
      <c r="V383" s="87"/>
      <c r="W383" s="87"/>
      <c r="X383" s="87"/>
      <c r="Y383" s="87"/>
      <c r="Z383" s="87"/>
      <c r="AA383" s="87"/>
      <c r="AB383" s="87"/>
      <c r="AC383" s="87"/>
      <c r="AD383" s="87"/>
      <c r="AE383" s="87"/>
      <c r="AF383" s="87"/>
      <c r="AG383" s="87"/>
      <c r="AH383" s="87"/>
      <c r="AI383" s="87"/>
      <c r="AJ383" s="87"/>
      <c r="AK383" s="87"/>
      <c r="AL383" s="87"/>
      <c r="AM383" s="87"/>
      <c r="AN383" s="87"/>
    </row>
    <row r="384" ht="16.5" customHeight="1">
      <c r="A384" s="87"/>
      <c r="B384" s="87"/>
      <c r="C384" s="87"/>
      <c r="D384" s="87"/>
      <c r="E384" s="87"/>
      <c r="F384" s="79"/>
      <c r="G384" s="87"/>
      <c r="H384" s="92"/>
      <c r="I384" s="87"/>
      <c r="J384" s="87"/>
      <c r="K384" s="89"/>
      <c r="L384" s="87"/>
      <c r="M384" s="87"/>
      <c r="N384" s="87"/>
      <c r="O384" s="87"/>
      <c r="P384" s="87"/>
      <c r="Q384" s="87"/>
      <c r="R384" s="87"/>
      <c r="S384" s="87"/>
      <c r="T384" s="87"/>
      <c r="U384" s="87"/>
      <c r="V384" s="87"/>
      <c r="W384" s="87"/>
      <c r="X384" s="87"/>
      <c r="Y384" s="87"/>
      <c r="Z384" s="87"/>
      <c r="AA384" s="87"/>
      <c r="AB384" s="87"/>
      <c r="AC384" s="87"/>
      <c r="AD384" s="87"/>
      <c r="AE384" s="87"/>
      <c r="AF384" s="87"/>
      <c r="AG384" s="87"/>
      <c r="AH384" s="87"/>
      <c r="AI384" s="87"/>
      <c r="AJ384" s="87"/>
      <c r="AK384" s="87"/>
      <c r="AL384" s="87"/>
      <c r="AM384" s="87"/>
      <c r="AN384" s="87"/>
    </row>
    <row r="385" ht="16.5" customHeight="1">
      <c r="A385" s="87"/>
      <c r="B385" s="87"/>
      <c r="C385" s="87"/>
      <c r="D385" s="87"/>
      <c r="E385" s="87"/>
      <c r="F385" s="79"/>
      <c r="G385" s="87"/>
      <c r="H385" s="92"/>
      <c r="I385" s="87"/>
      <c r="J385" s="87"/>
      <c r="K385" s="89"/>
      <c r="L385" s="87"/>
      <c r="M385" s="87"/>
      <c r="N385" s="87"/>
      <c r="O385" s="87"/>
      <c r="P385" s="87"/>
      <c r="Q385" s="87"/>
      <c r="R385" s="87"/>
      <c r="S385" s="87"/>
      <c r="T385" s="87"/>
      <c r="U385" s="87"/>
      <c r="V385" s="87"/>
      <c r="W385" s="87"/>
      <c r="X385" s="87"/>
      <c r="Y385" s="87"/>
      <c r="Z385" s="87"/>
      <c r="AA385" s="87"/>
      <c r="AB385" s="87"/>
      <c r="AC385" s="87"/>
      <c r="AD385" s="87"/>
      <c r="AE385" s="87"/>
      <c r="AF385" s="87"/>
      <c r="AG385" s="87"/>
      <c r="AH385" s="87"/>
      <c r="AI385" s="87"/>
      <c r="AJ385" s="87"/>
      <c r="AK385" s="87"/>
      <c r="AL385" s="87"/>
      <c r="AM385" s="87"/>
      <c r="AN385" s="87"/>
    </row>
    <row r="386" ht="16.5" customHeight="1">
      <c r="A386" s="87"/>
      <c r="B386" s="87"/>
      <c r="C386" s="87"/>
      <c r="D386" s="87"/>
      <c r="E386" s="87"/>
      <c r="F386" s="79"/>
      <c r="G386" s="87"/>
      <c r="H386" s="92"/>
      <c r="I386" s="87"/>
      <c r="J386" s="87"/>
      <c r="K386" s="89"/>
      <c r="L386" s="87"/>
      <c r="M386" s="87"/>
      <c r="N386" s="87"/>
      <c r="O386" s="87"/>
      <c r="P386" s="87"/>
      <c r="Q386" s="87"/>
      <c r="R386" s="87"/>
      <c r="S386" s="87"/>
      <c r="T386" s="87"/>
      <c r="U386" s="87"/>
      <c r="V386" s="87"/>
      <c r="W386" s="87"/>
      <c r="X386" s="87"/>
      <c r="Y386" s="87"/>
      <c r="Z386" s="87"/>
      <c r="AA386" s="87"/>
      <c r="AB386" s="87"/>
      <c r="AC386" s="87"/>
      <c r="AD386" s="87"/>
      <c r="AE386" s="87"/>
      <c r="AF386" s="87"/>
      <c r="AG386" s="87"/>
      <c r="AH386" s="87"/>
      <c r="AI386" s="87"/>
      <c r="AJ386" s="87"/>
      <c r="AK386" s="87"/>
      <c r="AL386" s="87"/>
      <c r="AM386" s="87"/>
      <c r="AN386" s="87"/>
    </row>
    <row r="387" ht="16.5" customHeight="1">
      <c r="A387" s="87"/>
      <c r="B387" s="87"/>
      <c r="C387" s="87"/>
      <c r="D387" s="87"/>
      <c r="E387" s="87"/>
      <c r="F387" s="79"/>
      <c r="G387" s="87"/>
      <c r="H387" s="92"/>
      <c r="I387" s="87"/>
      <c r="J387" s="87"/>
      <c r="K387" s="89"/>
      <c r="L387" s="87"/>
      <c r="M387" s="87"/>
      <c r="N387" s="87"/>
      <c r="O387" s="87"/>
      <c r="P387" s="87"/>
      <c r="Q387" s="87"/>
      <c r="R387" s="87"/>
      <c r="S387" s="87"/>
      <c r="T387" s="87"/>
      <c r="U387" s="87"/>
      <c r="V387" s="87"/>
      <c r="W387" s="87"/>
      <c r="X387" s="87"/>
      <c r="Y387" s="87"/>
      <c r="Z387" s="87"/>
      <c r="AA387" s="87"/>
      <c r="AB387" s="87"/>
      <c r="AC387" s="87"/>
      <c r="AD387" s="87"/>
      <c r="AE387" s="87"/>
      <c r="AF387" s="87"/>
      <c r="AG387" s="87"/>
      <c r="AH387" s="87"/>
      <c r="AI387" s="87"/>
      <c r="AJ387" s="87"/>
      <c r="AK387" s="87"/>
      <c r="AL387" s="87"/>
      <c r="AM387" s="87"/>
      <c r="AN387" s="87"/>
    </row>
    <row r="388" ht="16.5" customHeight="1">
      <c r="A388" s="87"/>
      <c r="B388" s="87"/>
      <c r="C388" s="87"/>
      <c r="D388" s="87"/>
      <c r="E388" s="87"/>
      <c r="F388" s="79"/>
      <c r="G388" s="87"/>
      <c r="H388" s="92"/>
      <c r="I388" s="87"/>
      <c r="J388" s="87"/>
      <c r="K388" s="89"/>
      <c r="L388" s="87"/>
      <c r="M388" s="87"/>
      <c r="N388" s="87"/>
      <c r="O388" s="87"/>
      <c r="P388" s="87"/>
      <c r="Q388" s="87"/>
      <c r="R388" s="87"/>
      <c r="S388" s="87"/>
      <c r="T388" s="87"/>
      <c r="U388" s="87"/>
      <c r="V388" s="87"/>
      <c r="W388" s="87"/>
      <c r="X388" s="87"/>
      <c r="Y388" s="87"/>
      <c r="Z388" s="87"/>
      <c r="AA388" s="87"/>
      <c r="AB388" s="87"/>
      <c r="AC388" s="87"/>
      <c r="AD388" s="87"/>
      <c r="AE388" s="87"/>
      <c r="AF388" s="87"/>
      <c r="AG388" s="87"/>
      <c r="AH388" s="87"/>
      <c r="AI388" s="87"/>
      <c r="AJ388" s="87"/>
      <c r="AK388" s="87"/>
      <c r="AL388" s="87"/>
      <c r="AM388" s="87"/>
      <c r="AN388" s="87"/>
    </row>
    <row r="389" ht="16.5" customHeight="1">
      <c r="A389" s="87"/>
      <c r="B389" s="87"/>
      <c r="C389" s="87"/>
      <c r="D389" s="87"/>
      <c r="E389" s="87"/>
      <c r="F389" s="79"/>
      <c r="G389" s="87"/>
      <c r="H389" s="92"/>
      <c r="I389" s="87"/>
      <c r="J389" s="87"/>
      <c r="K389" s="89"/>
      <c r="L389" s="87"/>
      <c r="M389" s="87"/>
      <c r="N389" s="87"/>
      <c r="O389" s="87"/>
      <c r="P389" s="87"/>
      <c r="Q389" s="87"/>
      <c r="R389" s="87"/>
      <c r="S389" s="87"/>
      <c r="T389" s="87"/>
      <c r="U389" s="87"/>
      <c r="V389" s="87"/>
      <c r="W389" s="87"/>
      <c r="X389" s="87"/>
      <c r="Y389" s="87"/>
      <c r="Z389" s="87"/>
      <c r="AA389" s="87"/>
      <c r="AB389" s="87"/>
      <c r="AC389" s="87"/>
      <c r="AD389" s="87"/>
      <c r="AE389" s="87"/>
      <c r="AF389" s="87"/>
      <c r="AG389" s="87"/>
      <c r="AH389" s="87"/>
      <c r="AI389" s="87"/>
      <c r="AJ389" s="87"/>
      <c r="AK389" s="87"/>
      <c r="AL389" s="87"/>
      <c r="AM389" s="87"/>
      <c r="AN389" s="87"/>
    </row>
    <row r="390" ht="16.5" customHeight="1">
      <c r="A390" s="87"/>
      <c r="B390" s="87"/>
      <c r="C390" s="87"/>
      <c r="D390" s="87"/>
      <c r="E390" s="87"/>
      <c r="F390" s="79"/>
      <c r="G390" s="87"/>
      <c r="H390" s="92"/>
      <c r="I390" s="87"/>
      <c r="J390" s="87"/>
      <c r="K390" s="89"/>
      <c r="L390" s="87"/>
      <c r="M390" s="87"/>
      <c r="N390" s="87"/>
      <c r="O390" s="87"/>
      <c r="P390" s="87"/>
      <c r="Q390" s="87"/>
      <c r="R390" s="87"/>
      <c r="S390" s="87"/>
      <c r="T390" s="87"/>
      <c r="U390" s="87"/>
      <c r="V390" s="87"/>
      <c r="W390" s="87"/>
      <c r="X390" s="87"/>
      <c r="Y390" s="87"/>
      <c r="Z390" s="87"/>
      <c r="AA390" s="87"/>
      <c r="AB390" s="87"/>
      <c r="AC390" s="87"/>
      <c r="AD390" s="87"/>
      <c r="AE390" s="87"/>
      <c r="AF390" s="87"/>
      <c r="AG390" s="87"/>
      <c r="AH390" s="87"/>
      <c r="AI390" s="87"/>
      <c r="AJ390" s="87"/>
      <c r="AK390" s="87"/>
      <c r="AL390" s="87"/>
      <c r="AM390" s="87"/>
      <c r="AN390" s="87"/>
    </row>
    <row r="391" ht="16.5" customHeight="1">
      <c r="A391" s="87"/>
      <c r="B391" s="87"/>
      <c r="C391" s="87"/>
      <c r="D391" s="87"/>
      <c r="E391" s="87"/>
      <c r="F391" s="79"/>
      <c r="G391" s="87"/>
      <c r="H391" s="92"/>
      <c r="I391" s="87"/>
      <c r="J391" s="87"/>
      <c r="K391" s="89"/>
      <c r="L391" s="87"/>
      <c r="M391" s="87"/>
      <c r="N391" s="87"/>
      <c r="O391" s="87"/>
      <c r="P391" s="87"/>
      <c r="Q391" s="87"/>
      <c r="R391" s="87"/>
      <c r="S391" s="87"/>
      <c r="T391" s="87"/>
      <c r="U391" s="87"/>
      <c r="V391" s="87"/>
      <c r="W391" s="87"/>
      <c r="X391" s="87"/>
      <c r="Y391" s="87"/>
      <c r="Z391" s="87"/>
      <c r="AA391" s="87"/>
      <c r="AB391" s="87"/>
      <c r="AC391" s="87"/>
      <c r="AD391" s="87"/>
      <c r="AE391" s="87"/>
      <c r="AF391" s="87"/>
      <c r="AG391" s="87"/>
      <c r="AH391" s="87"/>
      <c r="AI391" s="87"/>
      <c r="AJ391" s="87"/>
      <c r="AK391" s="87"/>
      <c r="AL391" s="87"/>
      <c r="AM391" s="87"/>
      <c r="AN391" s="87"/>
    </row>
    <row r="392" ht="16.5" customHeight="1">
      <c r="A392" s="87"/>
      <c r="B392" s="87"/>
      <c r="C392" s="87"/>
      <c r="D392" s="87"/>
      <c r="E392" s="87"/>
      <c r="F392" s="79"/>
      <c r="G392" s="87"/>
      <c r="H392" s="92"/>
      <c r="I392" s="87"/>
      <c r="J392" s="87"/>
      <c r="K392" s="89"/>
      <c r="L392" s="87"/>
      <c r="M392" s="87"/>
      <c r="N392" s="87"/>
      <c r="O392" s="87"/>
      <c r="P392" s="87"/>
      <c r="Q392" s="87"/>
      <c r="R392" s="87"/>
      <c r="S392" s="87"/>
      <c r="T392" s="87"/>
      <c r="U392" s="87"/>
      <c r="V392" s="87"/>
      <c r="W392" s="87"/>
      <c r="X392" s="87"/>
      <c r="Y392" s="87"/>
      <c r="Z392" s="87"/>
      <c r="AA392" s="87"/>
      <c r="AB392" s="87"/>
      <c r="AC392" s="87"/>
      <c r="AD392" s="87"/>
      <c r="AE392" s="87"/>
      <c r="AF392" s="87"/>
      <c r="AG392" s="87"/>
      <c r="AH392" s="87"/>
      <c r="AI392" s="87"/>
      <c r="AJ392" s="87"/>
      <c r="AK392" s="87"/>
      <c r="AL392" s="87"/>
      <c r="AM392" s="87"/>
      <c r="AN392" s="87"/>
    </row>
    <row r="393" ht="16.5" customHeight="1">
      <c r="A393" s="87"/>
      <c r="B393" s="87"/>
      <c r="C393" s="87"/>
      <c r="D393" s="87"/>
      <c r="E393" s="87"/>
      <c r="F393" s="79"/>
      <c r="G393" s="87"/>
      <c r="H393" s="92"/>
      <c r="I393" s="87"/>
      <c r="J393" s="87"/>
      <c r="K393" s="89"/>
      <c r="L393" s="87"/>
      <c r="M393" s="87"/>
      <c r="N393" s="87"/>
      <c r="O393" s="87"/>
      <c r="P393" s="87"/>
      <c r="Q393" s="87"/>
      <c r="R393" s="87"/>
      <c r="S393" s="87"/>
      <c r="T393" s="87"/>
      <c r="U393" s="87"/>
      <c r="V393" s="87"/>
      <c r="W393" s="87"/>
      <c r="X393" s="87"/>
      <c r="Y393" s="87"/>
      <c r="Z393" s="87"/>
      <c r="AA393" s="87"/>
      <c r="AB393" s="87"/>
      <c r="AC393" s="87"/>
      <c r="AD393" s="87"/>
      <c r="AE393" s="87"/>
      <c r="AF393" s="87"/>
      <c r="AG393" s="87"/>
      <c r="AH393" s="87"/>
      <c r="AI393" s="87"/>
      <c r="AJ393" s="87"/>
      <c r="AK393" s="87"/>
      <c r="AL393" s="87"/>
      <c r="AM393" s="87"/>
      <c r="AN393" s="87"/>
    </row>
    <row r="394" ht="16.5" customHeight="1">
      <c r="A394" s="87"/>
      <c r="B394" s="87"/>
      <c r="C394" s="87"/>
      <c r="D394" s="87"/>
      <c r="E394" s="87"/>
      <c r="F394" s="79"/>
      <c r="G394" s="87"/>
      <c r="H394" s="92"/>
      <c r="I394" s="87"/>
      <c r="J394" s="87"/>
      <c r="K394" s="89"/>
      <c r="L394" s="87"/>
      <c r="M394" s="87"/>
      <c r="N394" s="87"/>
      <c r="O394" s="87"/>
      <c r="P394" s="87"/>
      <c r="Q394" s="87"/>
      <c r="R394" s="87"/>
      <c r="S394" s="87"/>
      <c r="T394" s="87"/>
      <c r="U394" s="87"/>
      <c r="V394" s="87"/>
      <c r="W394" s="87"/>
      <c r="X394" s="87"/>
      <c r="Y394" s="87"/>
      <c r="Z394" s="87"/>
      <c r="AA394" s="87"/>
      <c r="AB394" s="87"/>
      <c r="AC394" s="87"/>
      <c r="AD394" s="87"/>
      <c r="AE394" s="87"/>
      <c r="AF394" s="87"/>
      <c r="AG394" s="87"/>
      <c r="AH394" s="87"/>
      <c r="AI394" s="87"/>
      <c r="AJ394" s="87"/>
      <c r="AK394" s="87"/>
      <c r="AL394" s="87"/>
      <c r="AM394" s="87"/>
      <c r="AN394" s="87"/>
    </row>
    <row r="395" ht="16.5" customHeight="1">
      <c r="A395" s="87"/>
      <c r="B395" s="87"/>
      <c r="C395" s="87"/>
      <c r="D395" s="87"/>
      <c r="E395" s="87"/>
      <c r="F395" s="79"/>
      <c r="G395" s="87"/>
      <c r="H395" s="92"/>
      <c r="I395" s="87"/>
      <c r="J395" s="87"/>
      <c r="K395" s="89"/>
      <c r="L395" s="87"/>
      <c r="M395" s="87"/>
      <c r="N395" s="87"/>
      <c r="O395" s="87"/>
      <c r="P395" s="87"/>
      <c r="Q395" s="87"/>
      <c r="R395" s="87"/>
      <c r="S395" s="87"/>
      <c r="T395" s="87"/>
      <c r="U395" s="87"/>
      <c r="V395" s="87"/>
      <c r="W395" s="87"/>
      <c r="X395" s="87"/>
      <c r="Y395" s="87"/>
      <c r="Z395" s="87"/>
      <c r="AA395" s="87"/>
      <c r="AB395" s="87"/>
      <c r="AC395" s="87"/>
      <c r="AD395" s="87"/>
      <c r="AE395" s="87"/>
      <c r="AF395" s="87"/>
      <c r="AG395" s="87"/>
      <c r="AH395" s="87"/>
      <c r="AI395" s="87"/>
      <c r="AJ395" s="87"/>
      <c r="AK395" s="87"/>
      <c r="AL395" s="87"/>
      <c r="AM395" s="87"/>
      <c r="AN395" s="87"/>
    </row>
    <row r="396" ht="16.5" customHeight="1">
      <c r="A396" s="87"/>
      <c r="B396" s="87"/>
      <c r="C396" s="87"/>
      <c r="D396" s="87"/>
      <c r="E396" s="87"/>
      <c r="F396" s="79"/>
      <c r="G396" s="87"/>
      <c r="H396" s="92"/>
      <c r="I396" s="87"/>
      <c r="J396" s="87"/>
      <c r="K396" s="89"/>
      <c r="L396" s="87"/>
      <c r="M396" s="87"/>
      <c r="N396" s="87"/>
      <c r="O396" s="87"/>
      <c r="P396" s="87"/>
      <c r="Q396" s="87"/>
      <c r="R396" s="87"/>
      <c r="S396" s="87"/>
      <c r="T396" s="87"/>
      <c r="U396" s="87"/>
      <c r="V396" s="87"/>
      <c r="W396" s="87"/>
      <c r="X396" s="87"/>
      <c r="Y396" s="87"/>
      <c r="Z396" s="87"/>
      <c r="AA396" s="87"/>
      <c r="AB396" s="87"/>
      <c r="AC396" s="87"/>
      <c r="AD396" s="87"/>
      <c r="AE396" s="87"/>
      <c r="AF396" s="87"/>
      <c r="AG396" s="87"/>
      <c r="AH396" s="87"/>
      <c r="AI396" s="87"/>
      <c r="AJ396" s="87"/>
      <c r="AK396" s="87"/>
      <c r="AL396" s="87"/>
      <c r="AM396" s="87"/>
      <c r="AN396" s="87"/>
    </row>
    <row r="397" ht="16.5" customHeight="1">
      <c r="A397" s="87"/>
      <c r="B397" s="87"/>
      <c r="C397" s="87"/>
      <c r="D397" s="87"/>
      <c r="E397" s="87"/>
      <c r="F397" s="79"/>
      <c r="G397" s="87"/>
      <c r="H397" s="92"/>
      <c r="I397" s="87"/>
      <c r="J397" s="87"/>
      <c r="K397" s="89"/>
      <c r="L397" s="87"/>
      <c r="M397" s="87"/>
      <c r="N397" s="87"/>
      <c r="O397" s="87"/>
      <c r="P397" s="87"/>
      <c r="Q397" s="87"/>
      <c r="R397" s="87"/>
      <c r="S397" s="87"/>
      <c r="T397" s="87"/>
      <c r="U397" s="87"/>
      <c r="V397" s="87"/>
      <c r="W397" s="87"/>
      <c r="X397" s="87"/>
      <c r="Y397" s="87"/>
      <c r="Z397" s="87"/>
      <c r="AA397" s="87"/>
      <c r="AB397" s="87"/>
      <c r="AC397" s="87"/>
      <c r="AD397" s="87"/>
      <c r="AE397" s="87"/>
      <c r="AF397" s="87"/>
      <c r="AG397" s="87"/>
      <c r="AH397" s="87"/>
      <c r="AI397" s="87"/>
      <c r="AJ397" s="87"/>
      <c r="AK397" s="87"/>
      <c r="AL397" s="87"/>
      <c r="AM397" s="87"/>
      <c r="AN397" s="87"/>
    </row>
    <row r="398" ht="16.5" customHeight="1">
      <c r="A398" s="87"/>
      <c r="B398" s="87"/>
      <c r="C398" s="87"/>
      <c r="D398" s="87"/>
      <c r="E398" s="87"/>
      <c r="F398" s="79"/>
      <c r="G398" s="87"/>
      <c r="H398" s="92"/>
      <c r="I398" s="87"/>
      <c r="J398" s="87"/>
      <c r="K398" s="89"/>
      <c r="L398" s="87"/>
      <c r="M398" s="87"/>
      <c r="N398" s="87"/>
      <c r="O398" s="87"/>
      <c r="P398" s="87"/>
      <c r="Q398" s="87"/>
      <c r="R398" s="87"/>
      <c r="S398" s="87"/>
      <c r="T398" s="87"/>
      <c r="U398" s="87"/>
      <c r="V398" s="87"/>
      <c r="W398" s="87"/>
      <c r="X398" s="87"/>
      <c r="Y398" s="87"/>
      <c r="Z398" s="87"/>
      <c r="AA398" s="87"/>
      <c r="AB398" s="87"/>
      <c r="AC398" s="87"/>
      <c r="AD398" s="87"/>
      <c r="AE398" s="87"/>
      <c r="AF398" s="87"/>
      <c r="AG398" s="87"/>
      <c r="AH398" s="87"/>
      <c r="AI398" s="87"/>
      <c r="AJ398" s="87"/>
      <c r="AK398" s="87"/>
      <c r="AL398" s="87"/>
      <c r="AM398" s="87"/>
      <c r="AN398" s="87"/>
    </row>
    <row r="399" ht="16.5" customHeight="1">
      <c r="A399" s="87"/>
      <c r="B399" s="87"/>
      <c r="C399" s="87"/>
      <c r="D399" s="87"/>
      <c r="E399" s="87"/>
      <c r="F399" s="79"/>
      <c r="G399" s="87"/>
      <c r="H399" s="92"/>
      <c r="I399" s="87"/>
      <c r="J399" s="87"/>
      <c r="K399" s="89"/>
      <c r="L399" s="87"/>
      <c r="M399" s="87"/>
      <c r="N399" s="87"/>
      <c r="O399" s="87"/>
      <c r="P399" s="87"/>
      <c r="Q399" s="87"/>
      <c r="R399" s="87"/>
      <c r="S399" s="87"/>
      <c r="T399" s="87"/>
      <c r="U399" s="87"/>
      <c r="V399" s="87"/>
      <c r="W399" s="87"/>
      <c r="X399" s="87"/>
      <c r="Y399" s="87"/>
      <c r="Z399" s="87"/>
      <c r="AA399" s="87"/>
      <c r="AB399" s="87"/>
      <c r="AC399" s="87"/>
      <c r="AD399" s="87"/>
      <c r="AE399" s="87"/>
      <c r="AF399" s="87"/>
      <c r="AG399" s="87"/>
      <c r="AH399" s="87"/>
      <c r="AI399" s="87"/>
      <c r="AJ399" s="87"/>
      <c r="AK399" s="87"/>
      <c r="AL399" s="87"/>
      <c r="AM399" s="87"/>
      <c r="AN399" s="87"/>
    </row>
    <row r="400" ht="16.5" customHeight="1">
      <c r="A400" s="87"/>
      <c r="B400" s="87"/>
      <c r="C400" s="87"/>
      <c r="D400" s="87"/>
      <c r="E400" s="87"/>
      <c r="F400" s="79"/>
      <c r="G400" s="87"/>
      <c r="H400" s="92"/>
      <c r="I400" s="87"/>
      <c r="J400" s="87"/>
      <c r="K400" s="89"/>
      <c r="L400" s="87"/>
      <c r="M400" s="87"/>
      <c r="N400" s="87"/>
      <c r="O400" s="87"/>
      <c r="P400" s="87"/>
      <c r="Q400" s="87"/>
      <c r="R400" s="87"/>
      <c r="S400" s="87"/>
      <c r="T400" s="87"/>
      <c r="U400" s="87"/>
      <c r="V400" s="87"/>
      <c r="W400" s="87"/>
      <c r="X400" s="87"/>
      <c r="Y400" s="87"/>
      <c r="Z400" s="87"/>
      <c r="AA400" s="87"/>
      <c r="AB400" s="87"/>
      <c r="AC400" s="87"/>
      <c r="AD400" s="87"/>
      <c r="AE400" s="87"/>
      <c r="AF400" s="87"/>
      <c r="AG400" s="87"/>
      <c r="AH400" s="87"/>
      <c r="AI400" s="87"/>
      <c r="AJ400" s="87"/>
      <c r="AK400" s="87"/>
      <c r="AL400" s="87"/>
      <c r="AM400" s="87"/>
      <c r="AN400" s="87"/>
    </row>
    <row r="401" ht="16.5" customHeight="1">
      <c r="A401" s="87"/>
      <c r="B401" s="87"/>
      <c r="C401" s="87"/>
      <c r="D401" s="87"/>
      <c r="E401" s="87"/>
      <c r="F401" s="79"/>
      <c r="G401" s="87"/>
      <c r="H401" s="92"/>
      <c r="I401" s="87"/>
      <c r="J401" s="87"/>
      <c r="K401" s="89"/>
      <c r="L401" s="87"/>
      <c r="M401" s="87"/>
      <c r="N401" s="87"/>
      <c r="O401" s="87"/>
      <c r="P401" s="87"/>
      <c r="Q401" s="87"/>
      <c r="R401" s="87"/>
      <c r="S401" s="87"/>
      <c r="T401" s="87"/>
      <c r="U401" s="87"/>
      <c r="V401" s="87"/>
      <c r="W401" s="87"/>
      <c r="X401" s="87"/>
      <c r="Y401" s="87"/>
      <c r="Z401" s="87"/>
      <c r="AA401" s="87"/>
      <c r="AB401" s="87"/>
      <c r="AC401" s="87"/>
      <c r="AD401" s="87"/>
      <c r="AE401" s="87"/>
      <c r="AF401" s="87"/>
      <c r="AG401" s="87"/>
      <c r="AH401" s="87"/>
      <c r="AI401" s="87"/>
      <c r="AJ401" s="87"/>
      <c r="AK401" s="87"/>
      <c r="AL401" s="87"/>
      <c r="AM401" s="87"/>
      <c r="AN401" s="87"/>
    </row>
    <row r="402" ht="16.5" customHeight="1">
      <c r="A402" s="87"/>
      <c r="B402" s="87"/>
      <c r="C402" s="87"/>
      <c r="D402" s="87"/>
      <c r="E402" s="87"/>
      <c r="F402" s="79"/>
      <c r="G402" s="87"/>
      <c r="H402" s="92"/>
      <c r="I402" s="87"/>
      <c r="J402" s="87"/>
      <c r="K402" s="89"/>
      <c r="L402" s="87"/>
      <c r="M402" s="87"/>
      <c r="N402" s="87"/>
      <c r="O402" s="87"/>
      <c r="P402" s="87"/>
      <c r="Q402" s="87"/>
      <c r="R402" s="87"/>
      <c r="S402" s="87"/>
      <c r="T402" s="87"/>
      <c r="U402" s="87"/>
      <c r="V402" s="87"/>
      <c r="W402" s="87"/>
      <c r="X402" s="87"/>
      <c r="Y402" s="87"/>
      <c r="Z402" s="87"/>
      <c r="AA402" s="87"/>
      <c r="AB402" s="87"/>
      <c r="AC402" s="87"/>
      <c r="AD402" s="87"/>
      <c r="AE402" s="87"/>
      <c r="AF402" s="87"/>
      <c r="AG402" s="87"/>
      <c r="AH402" s="87"/>
      <c r="AI402" s="87"/>
      <c r="AJ402" s="87"/>
      <c r="AK402" s="87"/>
      <c r="AL402" s="87"/>
      <c r="AM402" s="87"/>
      <c r="AN402" s="87"/>
    </row>
    <row r="403" ht="16.5" customHeight="1">
      <c r="A403" s="87"/>
      <c r="B403" s="87"/>
      <c r="C403" s="87"/>
      <c r="D403" s="87"/>
      <c r="E403" s="87"/>
      <c r="F403" s="79"/>
      <c r="G403" s="87"/>
      <c r="H403" s="92"/>
      <c r="I403" s="87"/>
      <c r="J403" s="87"/>
      <c r="K403" s="89"/>
      <c r="L403" s="87"/>
      <c r="M403" s="87"/>
      <c r="N403" s="87"/>
      <c r="O403" s="87"/>
      <c r="P403" s="87"/>
      <c r="Q403" s="87"/>
      <c r="R403" s="87"/>
      <c r="S403" s="87"/>
      <c r="T403" s="87"/>
      <c r="U403" s="87"/>
      <c r="V403" s="87"/>
      <c r="W403" s="87"/>
      <c r="X403" s="87"/>
      <c r="Y403" s="87"/>
      <c r="Z403" s="87"/>
      <c r="AA403" s="87"/>
      <c r="AB403" s="87"/>
      <c r="AC403" s="87"/>
      <c r="AD403" s="87"/>
      <c r="AE403" s="87"/>
      <c r="AF403" s="87"/>
      <c r="AG403" s="87"/>
      <c r="AH403" s="87"/>
      <c r="AI403" s="87"/>
      <c r="AJ403" s="87"/>
      <c r="AK403" s="87"/>
      <c r="AL403" s="87"/>
      <c r="AM403" s="87"/>
      <c r="AN403" s="87"/>
    </row>
    <row r="404" ht="16.5" customHeight="1">
      <c r="A404" s="87"/>
      <c r="B404" s="87"/>
      <c r="C404" s="87"/>
      <c r="D404" s="87"/>
      <c r="E404" s="87"/>
      <c r="F404" s="79"/>
      <c r="G404" s="87"/>
      <c r="H404" s="92"/>
      <c r="I404" s="87"/>
      <c r="J404" s="87"/>
      <c r="K404" s="89"/>
      <c r="L404" s="87"/>
      <c r="M404" s="87"/>
      <c r="N404" s="87"/>
      <c r="O404" s="87"/>
      <c r="P404" s="87"/>
      <c r="Q404" s="87"/>
      <c r="R404" s="87"/>
      <c r="S404" s="87"/>
      <c r="T404" s="87"/>
      <c r="U404" s="87"/>
      <c r="V404" s="87"/>
      <c r="W404" s="87"/>
      <c r="X404" s="87"/>
      <c r="Y404" s="87"/>
      <c r="Z404" s="87"/>
      <c r="AA404" s="87"/>
      <c r="AB404" s="87"/>
      <c r="AC404" s="87"/>
      <c r="AD404" s="87"/>
      <c r="AE404" s="87"/>
      <c r="AF404" s="87"/>
      <c r="AG404" s="87"/>
      <c r="AH404" s="87"/>
      <c r="AI404" s="87"/>
      <c r="AJ404" s="87"/>
      <c r="AK404" s="87"/>
      <c r="AL404" s="87"/>
      <c r="AM404" s="87"/>
      <c r="AN404" s="87"/>
    </row>
    <row r="405" ht="16.5" customHeight="1">
      <c r="A405" s="87"/>
      <c r="B405" s="87"/>
      <c r="C405" s="87"/>
      <c r="D405" s="87"/>
      <c r="E405" s="87"/>
      <c r="F405" s="79"/>
      <c r="G405" s="87"/>
      <c r="H405" s="92"/>
      <c r="I405" s="87"/>
      <c r="J405" s="87"/>
      <c r="K405" s="89"/>
      <c r="L405" s="87"/>
      <c r="M405" s="87"/>
      <c r="N405" s="87"/>
      <c r="O405" s="87"/>
      <c r="P405" s="87"/>
      <c r="Q405" s="87"/>
      <c r="R405" s="87"/>
      <c r="S405" s="87"/>
      <c r="T405" s="87"/>
      <c r="U405" s="87"/>
      <c r="V405" s="87"/>
      <c r="W405" s="87"/>
      <c r="X405" s="87"/>
      <c r="Y405" s="87"/>
      <c r="Z405" s="87"/>
      <c r="AA405" s="87"/>
      <c r="AB405" s="87"/>
      <c r="AC405" s="87"/>
      <c r="AD405" s="87"/>
      <c r="AE405" s="87"/>
      <c r="AF405" s="87"/>
      <c r="AG405" s="87"/>
      <c r="AH405" s="87"/>
      <c r="AI405" s="87"/>
      <c r="AJ405" s="87"/>
      <c r="AK405" s="87"/>
      <c r="AL405" s="87"/>
      <c r="AM405" s="87"/>
      <c r="AN405" s="87"/>
    </row>
    <row r="406" ht="16.5" customHeight="1">
      <c r="A406" s="87"/>
      <c r="B406" s="87"/>
      <c r="C406" s="87"/>
      <c r="D406" s="87"/>
      <c r="E406" s="87"/>
      <c r="F406" s="79"/>
      <c r="G406" s="87"/>
      <c r="H406" s="92"/>
      <c r="I406" s="87"/>
      <c r="J406" s="87"/>
      <c r="K406" s="89"/>
      <c r="L406" s="87"/>
      <c r="M406" s="87"/>
      <c r="N406" s="87"/>
      <c r="O406" s="87"/>
      <c r="P406" s="87"/>
      <c r="Q406" s="87"/>
      <c r="R406" s="87"/>
      <c r="S406" s="87"/>
      <c r="T406" s="87"/>
      <c r="U406" s="87"/>
      <c r="V406" s="87"/>
      <c r="W406" s="87"/>
      <c r="X406" s="87"/>
      <c r="Y406" s="87"/>
      <c r="Z406" s="87"/>
      <c r="AA406" s="87"/>
      <c r="AB406" s="87"/>
      <c r="AC406" s="87"/>
      <c r="AD406" s="87"/>
      <c r="AE406" s="87"/>
      <c r="AF406" s="87"/>
      <c r="AG406" s="87"/>
      <c r="AH406" s="87"/>
      <c r="AI406" s="87"/>
      <c r="AJ406" s="87"/>
      <c r="AK406" s="87"/>
      <c r="AL406" s="87"/>
      <c r="AM406" s="87"/>
      <c r="AN406" s="87"/>
    </row>
    <row r="407" ht="16.5" customHeight="1">
      <c r="A407" s="87"/>
      <c r="B407" s="87"/>
      <c r="C407" s="87"/>
      <c r="D407" s="87"/>
      <c r="E407" s="87"/>
      <c r="F407" s="79"/>
      <c r="G407" s="87"/>
      <c r="H407" s="92"/>
      <c r="I407" s="87"/>
      <c r="J407" s="87"/>
      <c r="K407" s="89"/>
      <c r="L407" s="87"/>
      <c r="M407" s="87"/>
      <c r="N407" s="87"/>
      <c r="O407" s="87"/>
      <c r="P407" s="87"/>
      <c r="Q407" s="87"/>
      <c r="R407" s="87"/>
      <c r="S407" s="87"/>
      <c r="T407" s="87"/>
      <c r="U407" s="87"/>
      <c r="V407" s="87"/>
      <c r="W407" s="87"/>
      <c r="X407" s="87"/>
      <c r="Y407" s="87"/>
      <c r="Z407" s="87"/>
      <c r="AA407" s="87"/>
      <c r="AB407" s="87"/>
      <c r="AC407" s="87"/>
      <c r="AD407" s="87"/>
      <c r="AE407" s="87"/>
      <c r="AF407" s="87"/>
      <c r="AG407" s="87"/>
      <c r="AH407" s="87"/>
      <c r="AI407" s="87"/>
      <c r="AJ407" s="87"/>
      <c r="AK407" s="87"/>
      <c r="AL407" s="87"/>
      <c r="AM407" s="87"/>
      <c r="AN407" s="87"/>
    </row>
    <row r="408" ht="16.5" customHeight="1">
      <c r="A408" s="87"/>
      <c r="B408" s="87"/>
      <c r="C408" s="87"/>
      <c r="D408" s="87"/>
      <c r="E408" s="87"/>
      <c r="F408" s="79"/>
      <c r="G408" s="87"/>
      <c r="H408" s="92"/>
      <c r="I408" s="87"/>
      <c r="J408" s="87"/>
      <c r="K408" s="89"/>
      <c r="L408" s="87"/>
      <c r="M408" s="87"/>
      <c r="N408" s="87"/>
      <c r="O408" s="87"/>
      <c r="P408" s="87"/>
      <c r="Q408" s="87"/>
      <c r="R408" s="87"/>
      <c r="S408" s="87"/>
      <c r="T408" s="87"/>
      <c r="U408" s="87"/>
      <c r="V408" s="87"/>
      <c r="W408" s="87"/>
      <c r="X408" s="87"/>
      <c r="Y408" s="87"/>
      <c r="Z408" s="87"/>
      <c r="AA408" s="87"/>
      <c r="AB408" s="87"/>
      <c r="AC408" s="87"/>
      <c r="AD408" s="87"/>
      <c r="AE408" s="87"/>
      <c r="AF408" s="87"/>
      <c r="AG408" s="87"/>
      <c r="AH408" s="87"/>
      <c r="AI408" s="87"/>
      <c r="AJ408" s="87"/>
      <c r="AK408" s="87"/>
      <c r="AL408" s="87"/>
      <c r="AM408" s="87"/>
      <c r="AN408" s="87"/>
    </row>
    <row r="409" ht="16.5" customHeight="1">
      <c r="A409" s="87"/>
      <c r="B409" s="87"/>
      <c r="C409" s="87"/>
      <c r="D409" s="87"/>
      <c r="E409" s="87"/>
      <c r="F409" s="79"/>
      <c r="G409" s="87"/>
      <c r="H409" s="92"/>
      <c r="I409" s="87"/>
      <c r="J409" s="87"/>
      <c r="K409" s="89"/>
      <c r="L409" s="87"/>
      <c r="M409" s="87"/>
      <c r="N409" s="87"/>
      <c r="O409" s="87"/>
      <c r="P409" s="87"/>
      <c r="Q409" s="87"/>
      <c r="R409" s="87"/>
      <c r="S409" s="87"/>
      <c r="T409" s="87"/>
      <c r="U409" s="87"/>
      <c r="V409" s="87"/>
      <c r="W409" s="87"/>
      <c r="X409" s="87"/>
      <c r="Y409" s="87"/>
      <c r="Z409" s="87"/>
      <c r="AA409" s="87"/>
      <c r="AB409" s="87"/>
      <c r="AC409" s="87"/>
      <c r="AD409" s="87"/>
      <c r="AE409" s="87"/>
      <c r="AF409" s="87"/>
      <c r="AG409" s="87"/>
      <c r="AH409" s="87"/>
      <c r="AI409" s="87"/>
      <c r="AJ409" s="87"/>
      <c r="AK409" s="87"/>
      <c r="AL409" s="87"/>
      <c r="AM409" s="87"/>
      <c r="AN409" s="87"/>
    </row>
    <row r="410" ht="16.5" customHeight="1">
      <c r="A410" s="87"/>
      <c r="B410" s="87"/>
      <c r="C410" s="87"/>
      <c r="D410" s="87"/>
      <c r="E410" s="87"/>
      <c r="F410" s="79"/>
      <c r="G410" s="87"/>
      <c r="H410" s="92"/>
      <c r="I410" s="87"/>
      <c r="J410" s="87"/>
      <c r="K410" s="89"/>
      <c r="L410" s="87"/>
      <c r="M410" s="87"/>
      <c r="N410" s="87"/>
      <c r="O410" s="87"/>
      <c r="P410" s="87"/>
      <c r="Q410" s="87"/>
      <c r="R410" s="87"/>
      <c r="S410" s="87"/>
      <c r="T410" s="87"/>
      <c r="U410" s="87"/>
      <c r="V410" s="87"/>
      <c r="W410" s="87"/>
      <c r="X410" s="87"/>
      <c r="Y410" s="87"/>
      <c r="Z410" s="87"/>
      <c r="AA410" s="87"/>
      <c r="AB410" s="87"/>
      <c r="AC410" s="87"/>
      <c r="AD410" s="87"/>
      <c r="AE410" s="87"/>
      <c r="AF410" s="87"/>
      <c r="AG410" s="87"/>
      <c r="AH410" s="87"/>
      <c r="AI410" s="87"/>
      <c r="AJ410" s="87"/>
      <c r="AK410" s="87"/>
      <c r="AL410" s="87"/>
      <c r="AM410" s="87"/>
      <c r="AN410" s="87"/>
    </row>
    <row r="411" ht="16.5" customHeight="1">
      <c r="A411" s="87"/>
      <c r="B411" s="87"/>
      <c r="C411" s="87"/>
      <c r="D411" s="87"/>
      <c r="E411" s="87"/>
      <c r="F411" s="79"/>
      <c r="G411" s="87"/>
      <c r="H411" s="92"/>
      <c r="I411" s="87"/>
      <c r="J411" s="87"/>
      <c r="K411" s="89"/>
      <c r="L411" s="87"/>
      <c r="M411" s="87"/>
      <c r="N411" s="87"/>
      <c r="O411" s="87"/>
      <c r="P411" s="87"/>
      <c r="Q411" s="87"/>
      <c r="R411" s="87"/>
      <c r="S411" s="87"/>
      <c r="T411" s="87"/>
      <c r="U411" s="87"/>
      <c r="V411" s="87"/>
      <c r="W411" s="87"/>
      <c r="X411" s="87"/>
      <c r="Y411" s="87"/>
      <c r="Z411" s="87"/>
      <c r="AA411" s="87"/>
      <c r="AB411" s="87"/>
      <c r="AC411" s="87"/>
      <c r="AD411" s="87"/>
      <c r="AE411" s="87"/>
      <c r="AF411" s="87"/>
      <c r="AG411" s="87"/>
      <c r="AH411" s="87"/>
      <c r="AI411" s="87"/>
      <c r="AJ411" s="87"/>
      <c r="AK411" s="87"/>
      <c r="AL411" s="87"/>
      <c r="AM411" s="87"/>
      <c r="AN411" s="87"/>
    </row>
    <row r="412" ht="16.5" customHeight="1">
      <c r="A412" s="87"/>
      <c r="B412" s="87"/>
      <c r="C412" s="87"/>
      <c r="D412" s="87"/>
      <c r="E412" s="87"/>
      <c r="F412" s="79"/>
      <c r="G412" s="87"/>
      <c r="H412" s="92"/>
      <c r="I412" s="87"/>
      <c r="J412" s="87"/>
      <c r="K412" s="89"/>
      <c r="L412" s="87"/>
      <c r="M412" s="87"/>
      <c r="N412" s="87"/>
      <c r="O412" s="87"/>
      <c r="P412" s="87"/>
      <c r="Q412" s="87"/>
      <c r="R412" s="87"/>
      <c r="S412" s="87"/>
      <c r="T412" s="87"/>
      <c r="U412" s="87"/>
      <c r="V412" s="87"/>
      <c r="W412" s="87"/>
      <c r="X412" s="87"/>
      <c r="Y412" s="87"/>
      <c r="Z412" s="87"/>
      <c r="AA412" s="87"/>
      <c r="AB412" s="87"/>
      <c r="AC412" s="87"/>
      <c r="AD412" s="87"/>
      <c r="AE412" s="87"/>
      <c r="AF412" s="87"/>
      <c r="AG412" s="87"/>
      <c r="AH412" s="87"/>
      <c r="AI412" s="87"/>
      <c r="AJ412" s="87"/>
      <c r="AK412" s="87"/>
      <c r="AL412" s="87"/>
      <c r="AM412" s="87"/>
      <c r="AN412" s="87"/>
    </row>
    <row r="413" ht="16.5" customHeight="1">
      <c r="A413" s="87"/>
      <c r="B413" s="87"/>
      <c r="C413" s="87"/>
      <c r="D413" s="87"/>
      <c r="E413" s="87"/>
      <c r="F413" s="79"/>
      <c r="G413" s="87"/>
      <c r="H413" s="92"/>
      <c r="I413" s="87"/>
      <c r="J413" s="87"/>
      <c r="K413" s="89"/>
      <c r="L413" s="87"/>
      <c r="M413" s="87"/>
      <c r="N413" s="87"/>
      <c r="O413" s="87"/>
      <c r="P413" s="87"/>
      <c r="Q413" s="87"/>
      <c r="R413" s="87"/>
      <c r="S413" s="87"/>
      <c r="T413" s="87"/>
      <c r="U413" s="87"/>
      <c r="V413" s="87"/>
      <c r="W413" s="87"/>
      <c r="X413" s="87"/>
      <c r="Y413" s="87"/>
      <c r="Z413" s="87"/>
      <c r="AA413" s="87"/>
      <c r="AB413" s="87"/>
      <c r="AC413" s="87"/>
      <c r="AD413" s="87"/>
      <c r="AE413" s="87"/>
      <c r="AF413" s="87"/>
      <c r="AG413" s="87"/>
      <c r="AH413" s="87"/>
      <c r="AI413" s="87"/>
      <c r="AJ413" s="87"/>
      <c r="AK413" s="87"/>
      <c r="AL413" s="87"/>
      <c r="AM413" s="87"/>
      <c r="AN413" s="87"/>
    </row>
    <row r="414" ht="16.5" customHeight="1">
      <c r="A414" s="87"/>
      <c r="B414" s="87"/>
      <c r="C414" s="87"/>
      <c r="D414" s="87"/>
      <c r="E414" s="87"/>
      <c r="F414" s="79"/>
      <c r="G414" s="87"/>
      <c r="H414" s="92"/>
      <c r="I414" s="87"/>
      <c r="J414" s="87"/>
      <c r="K414" s="89"/>
      <c r="L414" s="87"/>
      <c r="M414" s="87"/>
      <c r="N414" s="87"/>
      <c r="O414" s="87"/>
      <c r="P414" s="87"/>
      <c r="Q414" s="87"/>
      <c r="R414" s="87"/>
      <c r="S414" s="87"/>
      <c r="T414" s="87"/>
      <c r="U414" s="87"/>
      <c r="V414" s="87"/>
      <c r="W414" s="87"/>
      <c r="X414" s="87"/>
      <c r="Y414" s="87"/>
      <c r="Z414" s="87"/>
      <c r="AA414" s="87"/>
      <c r="AB414" s="87"/>
      <c r="AC414" s="87"/>
      <c r="AD414" s="87"/>
      <c r="AE414" s="87"/>
      <c r="AF414" s="87"/>
      <c r="AG414" s="87"/>
      <c r="AH414" s="87"/>
      <c r="AI414" s="87"/>
      <c r="AJ414" s="87"/>
      <c r="AK414" s="87"/>
      <c r="AL414" s="87"/>
      <c r="AM414" s="87"/>
      <c r="AN414" s="87"/>
    </row>
    <row r="415" ht="16.5" customHeight="1">
      <c r="A415" s="87"/>
      <c r="B415" s="87"/>
      <c r="C415" s="87"/>
      <c r="D415" s="87"/>
      <c r="E415" s="87"/>
      <c r="F415" s="79"/>
      <c r="G415" s="87"/>
      <c r="H415" s="92"/>
      <c r="I415" s="87"/>
      <c r="J415" s="87"/>
      <c r="K415" s="89"/>
      <c r="L415" s="87"/>
      <c r="M415" s="87"/>
      <c r="N415" s="87"/>
      <c r="O415" s="87"/>
      <c r="P415" s="87"/>
      <c r="Q415" s="87"/>
      <c r="R415" s="87"/>
      <c r="S415" s="87"/>
      <c r="T415" s="87"/>
      <c r="U415" s="87"/>
      <c r="V415" s="87"/>
      <c r="W415" s="87"/>
      <c r="X415" s="87"/>
      <c r="Y415" s="87"/>
      <c r="Z415" s="87"/>
      <c r="AA415" s="87"/>
      <c r="AB415" s="87"/>
      <c r="AC415" s="87"/>
      <c r="AD415" s="87"/>
      <c r="AE415" s="87"/>
      <c r="AF415" s="87"/>
      <c r="AG415" s="87"/>
      <c r="AH415" s="87"/>
      <c r="AI415" s="87"/>
      <c r="AJ415" s="87"/>
      <c r="AK415" s="87"/>
      <c r="AL415" s="87"/>
      <c r="AM415" s="87"/>
      <c r="AN415" s="87"/>
    </row>
    <row r="416" ht="16.5" customHeight="1">
      <c r="A416" s="87"/>
      <c r="B416" s="87"/>
      <c r="C416" s="87"/>
      <c r="D416" s="87"/>
      <c r="E416" s="87"/>
      <c r="F416" s="79"/>
      <c r="G416" s="87"/>
      <c r="H416" s="92"/>
      <c r="I416" s="87"/>
      <c r="J416" s="87"/>
      <c r="K416" s="89"/>
      <c r="L416" s="87"/>
      <c r="M416" s="87"/>
      <c r="N416" s="87"/>
      <c r="O416" s="87"/>
      <c r="P416" s="87"/>
      <c r="Q416" s="87"/>
      <c r="R416" s="87"/>
      <c r="S416" s="87"/>
      <c r="T416" s="87"/>
      <c r="U416" s="87"/>
      <c r="V416" s="87"/>
      <c r="W416" s="87"/>
      <c r="X416" s="87"/>
      <c r="Y416" s="87"/>
      <c r="Z416" s="87"/>
      <c r="AA416" s="87"/>
      <c r="AB416" s="87"/>
      <c r="AC416" s="87"/>
      <c r="AD416" s="87"/>
      <c r="AE416" s="87"/>
      <c r="AF416" s="87"/>
      <c r="AG416" s="87"/>
      <c r="AH416" s="87"/>
      <c r="AI416" s="87"/>
      <c r="AJ416" s="87"/>
      <c r="AK416" s="87"/>
      <c r="AL416" s="87"/>
      <c r="AM416" s="87"/>
      <c r="AN416" s="87"/>
    </row>
    <row r="417" ht="16.5" customHeight="1">
      <c r="A417" s="87"/>
      <c r="B417" s="87"/>
      <c r="C417" s="87"/>
      <c r="D417" s="87"/>
      <c r="E417" s="87"/>
      <c r="F417" s="79"/>
      <c r="G417" s="87"/>
      <c r="H417" s="92"/>
      <c r="I417" s="87"/>
      <c r="J417" s="87"/>
      <c r="K417" s="89"/>
      <c r="L417" s="87"/>
      <c r="M417" s="87"/>
      <c r="N417" s="87"/>
      <c r="O417" s="87"/>
      <c r="P417" s="87"/>
      <c r="Q417" s="87"/>
      <c r="R417" s="87"/>
      <c r="S417" s="87"/>
      <c r="T417" s="87"/>
      <c r="U417" s="87"/>
      <c r="V417" s="87"/>
      <c r="W417" s="87"/>
      <c r="X417" s="87"/>
      <c r="Y417" s="87"/>
      <c r="Z417" s="87"/>
      <c r="AA417" s="87"/>
      <c r="AB417" s="87"/>
      <c r="AC417" s="87"/>
      <c r="AD417" s="87"/>
      <c r="AE417" s="87"/>
      <c r="AF417" s="87"/>
      <c r="AG417" s="87"/>
      <c r="AH417" s="87"/>
      <c r="AI417" s="87"/>
      <c r="AJ417" s="87"/>
      <c r="AK417" s="87"/>
      <c r="AL417" s="87"/>
      <c r="AM417" s="87"/>
      <c r="AN417" s="87"/>
    </row>
    <row r="418" ht="16.5" customHeight="1">
      <c r="A418" s="87"/>
      <c r="B418" s="87"/>
      <c r="C418" s="87"/>
      <c r="D418" s="87"/>
      <c r="E418" s="87"/>
      <c r="F418" s="79"/>
      <c r="G418" s="87"/>
      <c r="H418" s="92"/>
      <c r="I418" s="87"/>
      <c r="J418" s="87"/>
      <c r="K418" s="89"/>
      <c r="L418" s="87"/>
      <c r="M418" s="87"/>
      <c r="N418" s="87"/>
      <c r="O418" s="87"/>
      <c r="P418" s="87"/>
      <c r="Q418" s="87"/>
      <c r="R418" s="87"/>
      <c r="S418" s="87"/>
      <c r="T418" s="87"/>
      <c r="U418" s="87"/>
      <c r="V418" s="87"/>
      <c r="W418" s="87"/>
      <c r="X418" s="87"/>
      <c r="Y418" s="87"/>
      <c r="Z418" s="87"/>
      <c r="AA418" s="87"/>
      <c r="AB418" s="87"/>
      <c r="AC418" s="87"/>
      <c r="AD418" s="87"/>
      <c r="AE418" s="87"/>
      <c r="AF418" s="87"/>
      <c r="AG418" s="87"/>
      <c r="AH418" s="87"/>
      <c r="AI418" s="87"/>
      <c r="AJ418" s="87"/>
      <c r="AK418" s="87"/>
      <c r="AL418" s="87"/>
      <c r="AM418" s="87"/>
      <c r="AN418" s="87"/>
    </row>
    <row r="419" ht="16.5" customHeight="1">
      <c r="A419" s="87"/>
      <c r="B419" s="87"/>
      <c r="C419" s="87"/>
      <c r="D419" s="87"/>
      <c r="E419" s="87"/>
      <c r="F419" s="79"/>
      <c r="G419" s="87"/>
      <c r="H419" s="92"/>
      <c r="I419" s="87"/>
      <c r="J419" s="87"/>
      <c r="K419" s="89"/>
      <c r="L419" s="87"/>
      <c r="M419" s="87"/>
      <c r="N419" s="87"/>
      <c r="O419" s="87"/>
      <c r="P419" s="87"/>
      <c r="Q419" s="87"/>
      <c r="R419" s="87"/>
      <c r="S419" s="87"/>
      <c r="T419" s="87"/>
      <c r="U419" s="87"/>
      <c r="V419" s="87"/>
      <c r="W419" s="87"/>
      <c r="X419" s="87"/>
      <c r="Y419" s="87"/>
      <c r="Z419" s="87"/>
      <c r="AA419" s="87"/>
      <c r="AB419" s="87"/>
      <c r="AC419" s="87"/>
      <c r="AD419" s="87"/>
      <c r="AE419" s="87"/>
      <c r="AF419" s="87"/>
      <c r="AG419" s="87"/>
      <c r="AH419" s="87"/>
      <c r="AI419" s="87"/>
      <c r="AJ419" s="87"/>
      <c r="AK419" s="87"/>
      <c r="AL419" s="87"/>
      <c r="AM419" s="87"/>
      <c r="AN419" s="87"/>
    </row>
    <row r="420" ht="16.5" customHeight="1">
      <c r="A420" s="87"/>
      <c r="B420" s="87"/>
      <c r="C420" s="87"/>
      <c r="D420" s="87"/>
      <c r="E420" s="87"/>
      <c r="F420" s="79"/>
      <c r="G420" s="87"/>
      <c r="H420" s="92"/>
      <c r="I420" s="87"/>
      <c r="J420" s="87"/>
      <c r="K420" s="89"/>
      <c r="L420" s="87"/>
      <c r="M420" s="87"/>
      <c r="N420" s="87"/>
      <c r="O420" s="87"/>
      <c r="P420" s="87"/>
      <c r="Q420" s="87"/>
      <c r="R420" s="87"/>
      <c r="S420" s="87"/>
      <c r="T420" s="87"/>
      <c r="U420" s="87"/>
      <c r="V420" s="87"/>
      <c r="W420" s="87"/>
      <c r="X420" s="87"/>
      <c r="Y420" s="87"/>
      <c r="Z420" s="87"/>
      <c r="AA420" s="87"/>
      <c r="AB420" s="87"/>
      <c r="AC420" s="87"/>
      <c r="AD420" s="87"/>
      <c r="AE420" s="87"/>
      <c r="AF420" s="87"/>
      <c r="AG420" s="87"/>
      <c r="AH420" s="87"/>
      <c r="AI420" s="87"/>
      <c r="AJ420" s="87"/>
      <c r="AK420" s="87"/>
      <c r="AL420" s="87"/>
      <c r="AM420" s="87"/>
      <c r="AN420" s="87"/>
    </row>
    <row r="421" ht="16.5" customHeight="1">
      <c r="A421" s="87"/>
      <c r="B421" s="87"/>
      <c r="C421" s="87"/>
      <c r="D421" s="87"/>
      <c r="E421" s="87"/>
      <c r="F421" s="79"/>
      <c r="G421" s="87"/>
      <c r="H421" s="92"/>
      <c r="I421" s="87"/>
      <c r="J421" s="87"/>
      <c r="K421" s="89"/>
      <c r="L421" s="87"/>
      <c r="M421" s="87"/>
      <c r="N421" s="87"/>
      <c r="O421" s="87"/>
      <c r="P421" s="87"/>
      <c r="Q421" s="87"/>
      <c r="R421" s="87"/>
      <c r="S421" s="87"/>
      <c r="T421" s="87"/>
      <c r="U421" s="87"/>
      <c r="V421" s="87"/>
      <c r="W421" s="87"/>
      <c r="X421" s="87"/>
      <c r="Y421" s="87"/>
      <c r="Z421" s="87"/>
      <c r="AA421" s="87"/>
      <c r="AB421" s="87"/>
      <c r="AC421" s="87"/>
      <c r="AD421" s="87"/>
      <c r="AE421" s="87"/>
      <c r="AF421" s="87"/>
      <c r="AG421" s="87"/>
      <c r="AH421" s="87"/>
      <c r="AI421" s="87"/>
      <c r="AJ421" s="87"/>
      <c r="AK421" s="87"/>
      <c r="AL421" s="87"/>
      <c r="AM421" s="87"/>
      <c r="AN421" s="87"/>
    </row>
    <row r="422" ht="16.5" customHeight="1">
      <c r="A422" s="87"/>
      <c r="B422" s="87"/>
      <c r="C422" s="87"/>
      <c r="D422" s="87"/>
      <c r="E422" s="87"/>
      <c r="F422" s="79"/>
      <c r="G422" s="87"/>
      <c r="H422" s="92"/>
      <c r="I422" s="87"/>
      <c r="J422" s="87"/>
      <c r="K422" s="89"/>
      <c r="L422" s="87"/>
      <c r="M422" s="87"/>
      <c r="N422" s="87"/>
      <c r="O422" s="87"/>
      <c r="P422" s="87"/>
      <c r="Q422" s="87"/>
      <c r="R422" s="87"/>
      <c r="S422" s="87"/>
      <c r="T422" s="87"/>
      <c r="U422" s="87"/>
      <c r="V422" s="87"/>
      <c r="W422" s="87"/>
      <c r="X422" s="87"/>
      <c r="Y422" s="87"/>
      <c r="Z422" s="87"/>
      <c r="AA422" s="87"/>
      <c r="AB422" s="87"/>
      <c r="AC422" s="87"/>
      <c r="AD422" s="87"/>
      <c r="AE422" s="87"/>
      <c r="AF422" s="87"/>
      <c r="AG422" s="87"/>
      <c r="AH422" s="87"/>
      <c r="AI422" s="87"/>
      <c r="AJ422" s="87"/>
      <c r="AK422" s="87"/>
      <c r="AL422" s="87"/>
      <c r="AM422" s="87"/>
      <c r="AN422" s="87"/>
    </row>
    <row r="423" ht="16.5" customHeight="1">
      <c r="A423" s="87"/>
      <c r="B423" s="87"/>
      <c r="C423" s="87"/>
      <c r="D423" s="87"/>
      <c r="E423" s="87"/>
      <c r="F423" s="79"/>
      <c r="G423" s="87"/>
      <c r="H423" s="92"/>
      <c r="I423" s="87"/>
      <c r="J423" s="87"/>
      <c r="K423" s="89"/>
      <c r="L423" s="87"/>
      <c r="M423" s="87"/>
      <c r="N423" s="87"/>
      <c r="O423" s="87"/>
      <c r="P423" s="87"/>
      <c r="Q423" s="87"/>
      <c r="R423" s="87"/>
      <c r="S423" s="87"/>
      <c r="T423" s="87"/>
      <c r="U423" s="87"/>
      <c r="V423" s="87"/>
      <c r="W423" s="87"/>
      <c r="X423" s="87"/>
      <c r="Y423" s="87"/>
      <c r="Z423" s="87"/>
      <c r="AA423" s="87"/>
      <c r="AB423" s="87"/>
      <c r="AC423" s="87"/>
      <c r="AD423" s="87"/>
      <c r="AE423" s="87"/>
      <c r="AF423" s="87"/>
      <c r="AG423" s="87"/>
      <c r="AH423" s="87"/>
      <c r="AI423" s="87"/>
      <c r="AJ423" s="87"/>
      <c r="AK423" s="87"/>
      <c r="AL423" s="87"/>
      <c r="AM423" s="87"/>
      <c r="AN423" s="87"/>
    </row>
    <row r="424" ht="16.5" customHeight="1">
      <c r="A424" s="87"/>
      <c r="B424" s="87"/>
      <c r="C424" s="87"/>
      <c r="D424" s="87"/>
      <c r="E424" s="87"/>
      <c r="F424" s="79"/>
      <c r="G424" s="87"/>
      <c r="H424" s="92"/>
      <c r="I424" s="87"/>
      <c r="J424" s="87"/>
      <c r="K424" s="89"/>
      <c r="L424" s="87"/>
      <c r="M424" s="87"/>
      <c r="N424" s="87"/>
      <c r="O424" s="87"/>
      <c r="P424" s="87"/>
      <c r="Q424" s="87"/>
      <c r="R424" s="87"/>
      <c r="S424" s="87"/>
      <c r="T424" s="87"/>
      <c r="U424" s="87"/>
      <c r="V424" s="87"/>
      <c r="W424" s="87"/>
      <c r="X424" s="87"/>
      <c r="Y424" s="87"/>
      <c r="Z424" s="87"/>
      <c r="AA424" s="87"/>
      <c r="AB424" s="87"/>
      <c r="AC424" s="87"/>
      <c r="AD424" s="87"/>
      <c r="AE424" s="87"/>
      <c r="AF424" s="87"/>
      <c r="AG424" s="87"/>
      <c r="AH424" s="87"/>
      <c r="AI424" s="87"/>
      <c r="AJ424" s="87"/>
      <c r="AK424" s="87"/>
      <c r="AL424" s="87"/>
      <c r="AM424" s="87"/>
      <c r="AN424" s="87"/>
    </row>
    <row r="425" ht="16.5" customHeight="1">
      <c r="A425" s="87"/>
      <c r="B425" s="87"/>
      <c r="C425" s="87"/>
      <c r="D425" s="87"/>
      <c r="E425" s="87"/>
      <c r="F425" s="79"/>
      <c r="G425" s="87"/>
      <c r="H425" s="92"/>
      <c r="I425" s="87"/>
      <c r="J425" s="87"/>
      <c r="K425" s="89"/>
      <c r="L425" s="87"/>
      <c r="M425" s="87"/>
      <c r="N425" s="87"/>
      <c r="O425" s="87"/>
      <c r="P425" s="87"/>
      <c r="Q425" s="87"/>
      <c r="R425" s="87"/>
      <c r="S425" s="87"/>
      <c r="T425" s="87"/>
      <c r="U425" s="87"/>
      <c r="V425" s="87"/>
      <c r="W425" s="87"/>
      <c r="X425" s="87"/>
      <c r="Y425" s="87"/>
      <c r="Z425" s="87"/>
      <c r="AA425" s="87"/>
      <c r="AB425" s="87"/>
      <c r="AC425" s="87"/>
      <c r="AD425" s="87"/>
      <c r="AE425" s="87"/>
      <c r="AF425" s="87"/>
      <c r="AG425" s="87"/>
      <c r="AH425" s="87"/>
      <c r="AI425" s="87"/>
      <c r="AJ425" s="87"/>
      <c r="AK425" s="87"/>
      <c r="AL425" s="87"/>
      <c r="AM425" s="87"/>
      <c r="AN425" s="87"/>
    </row>
    <row r="426" ht="16.5" customHeight="1">
      <c r="A426" s="87"/>
      <c r="B426" s="87"/>
      <c r="C426" s="87"/>
      <c r="D426" s="87"/>
      <c r="E426" s="87"/>
      <c r="F426" s="79"/>
      <c r="G426" s="87"/>
      <c r="H426" s="92"/>
      <c r="I426" s="87"/>
      <c r="J426" s="87"/>
      <c r="K426" s="89"/>
      <c r="L426" s="87"/>
      <c r="M426" s="87"/>
      <c r="N426" s="87"/>
      <c r="O426" s="87"/>
      <c r="P426" s="87"/>
      <c r="Q426" s="87"/>
      <c r="R426" s="87"/>
      <c r="S426" s="87"/>
      <c r="T426" s="87"/>
      <c r="U426" s="87"/>
      <c r="V426" s="87"/>
      <c r="W426" s="87"/>
      <c r="X426" s="87"/>
      <c r="Y426" s="87"/>
      <c r="Z426" s="87"/>
      <c r="AA426" s="87"/>
      <c r="AB426" s="87"/>
      <c r="AC426" s="87"/>
      <c r="AD426" s="87"/>
      <c r="AE426" s="87"/>
      <c r="AF426" s="87"/>
      <c r="AG426" s="87"/>
      <c r="AH426" s="87"/>
      <c r="AI426" s="87"/>
      <c r="AJ426" s="87"/>
      <c r="AK426" s="87"/>
      <c r="AL426" s="87"/>
      <c r="AM426" s="87"/>
      <c r="AN426" s="87"/>
    </row>
    <row r="427" ht="16.5" customHeight="1">
      <c r="A427" s="87"/>
      <c r="B427" s="87"/>
      <c r="C427" s="87"/>
      <c r="D427" s="87"/>
      <c r="E427" s="87"/>
      <c r="F427" s="79"/>
      <c r="G427" s="87"/>
      <c r="H427" s="92"/>
      <c r="I427" s="87"/>
      <c r="J427" s="87"/>
      <c r="K427" s="89"/>
      <c r="L427" s="87"/>
      <c r="M427" s="87"/>
      <c r="N427" s="87"/>
      <c r="O427" s="87"/>
      <c r="P427" s="87"/>
      <c r="Q427" s="87"/>
      <c r="R427" s="87"/>
      <c r="S427" s="87"/>
      <c r="T427" s="87"/>
      <c r="U427" s="87"/>
      <c r="V427" s="87"/>
      <c r="W427" s="87"/>
      <c r="X427" s="87"/>
      <c r="Y427" s="87"/>
      <c r="Z427" s="87"/>
      <c r="AA427" s="87"/>
      <c r="AB427" s="87"/>
      <c r="AC427" s="87"/>
      <c r="AD427" s="87"/>
      <c r="AE427" s="87"/>
      <c r="AF427" s="87"/>
      <c r="AG427" s="87"/>
      <c r="AH427" s="87"/>
      <c r="AI427" s="87"/>
      <c r="AJ427" s="87"/>
      <c r="AK427" s="87"/>
      <c r="AL427" s="87"/>
      <c r="AM427" s="87"/>
      <c r="AN427" s="87"/>
    </row>
    <row r="428" ht="16.5" customHeight="1">
      <c r="A428" s="87"/>
      <c r="B428" s="87"/>
      <c r="C428" s="87"/>
      <c r="D428" s="87"/>
      <c r="E428" s="87"/>
      <c r="F428" s="79"/>
      <c r="G428" s="87"/>
      <c r="H428" s="92"/>
      <c r="I428" s="87"/>
      <c r="J428" s="87"/>
      <c r="K428" s="89"/>
      <c r="L428" s="87"/>
      <c r="M428" s="87"/>
      <c r="N428" s="87"/>
      <c r="O428" s="87"/>
      <c r="P428" s="87"/>
      <c r="Q428" s="87"/>
      <c r="R428" s="87"/>
      <c r="S428" s="87"/>
      <c r="T428" s="87"/>
      <c r="U428" s="87"/>
      <c r="V428" s="87"/>
      <c r="W428" s="87"/>
      <c r="X428" s="87"/>
      <c r="Y428" s="87"/>
      <c r="Z428" s="87"/>
      <c r="AA428" s="87"/>
      <c r="AB428" s="87"/>
      <c r="AC428" s="87"/>
      <c r="AD428" s="87"/>
      <c r="AE428" s="87"/>
      <c r="AF428" s="87"/>
      <c r="AG428" s="87"/>
      <c r="AH428" s="87"/>
      <c r="AI428" s="87"/>
      <c r="AJ428" s="87"/>
      <c r="AK428" s="87"/>
      <c r="AL428" s="87"/>
      <c r="AM428" s="87"/>
      <c r="AN428" s="87"/>
    </row>
    <row r="429" ht="16.5" customHeight="1">
      <c r="A429" s="87"/>
      <c r="B429" s="87"/>
      <c r="C429" s="87"/>
      <c r="D429" s="87"/>
      <c r="E429" s="87"/>
      <c r="F429" s="79"/>
      <c r="G429" s="87"/>
      <c r="H429" s="92"/>
      <c r="I429" s="87"/>
      <c r="J429" s="87"/>
      <c r="K429" s="89"/>
      <c r="L429" s="87"/>
      <c r="M429" s="87"/>
      <c r="N429" s="87"/>
      <c r="O429" s="87"/>
      <c r="P429" s="87"/>
      <c r="Q429" s="87"/>
      <c r="R429" s="87"/>
      <c r="S429" s="87"/>
      <c r="T429" s="87"/>
      <c r="U429" s="87"/>
      <c r="V429" s="87"/>
      <c r="W429" s="87"/>
      <c r="X429" s="87"/>
      <c r="Y429" s="87"/>
      <c r="Z429" s="87"/>
      <c r="AA429" s="87"/>
      <c r="AB429" s="87"/>
      <c r="AC429" s="87"/>
      <c r="AD429" s="87"/>
      <c r="AE429" s="87"/>
      <c r="AF429" s="87"/>
      <c r="AG429" s="87"/>
      <c r="AH429" s="87"/>
      <c r="AI429" s="87"/>
      <c r="AJ429" s="87"/>
      <c r="AK429" s="87"/>
      <c r="AL429" s="87"/>
      <c r="AM429" s="87"/>
      <c r="AN429" s="87"/>
    </row>
    <row r="430" ht="16.5" customHeight="1">
      <c r="A430" s="87"/>
      <c r="B430" s="87"/>
      <c r="C430" s="87"/>
      <c r="D430" s="87"/>
      <c r="E430" s="87"/>
      <c r="F430" s="79"/>
      <c r="G430" s="87"/>
      <c r="H430" s="92"/>
      <c r="I430" s="87"/>
      <c r="J430" s="87"/>
      <c r="K430" s="89"/>
      <c r="L430" s="87"/>
      <c r="M430" s="87"/>
      <c r="N430" s="87"/>
      <c r="O430" s="87"/>
      <c r="P430" s="87"/>
      <c r="Q430" s="87"/>
      <c r="R430" s="87"/>
      <c r="S430" s="87"/>
      <c r="T430" s="87"/>
      <c r="U430" s="87"/>
      <c r="V430" s="87"/>
      <c r="W430" s="87"/>
      <c r="X430" s="87"/>
      <c r="Y430" s="87"/>
      <c r="Z430" s="87"/>
      <c r="AA430" s="87"/>
      <c r="AB430" s="87"/>
      <c r="AC430" s="87"/>
      <c r="AD430" s="87"/>
      <c r="AE430" s="87"/>
      <c r="AF430" s="87"/>
      <c r="AG430" s="87"/>
      <c r="AH430" s="87"/>
      <c r="AI430" s="87"/>
      <c r="AJ430" s="87"/>
      <c r="AK430" s="87"/>
      <c r="AL430" s="87"/>
      <c r="AM430" s="87"/>
      <c r="AN430" s="87"/>
    </row>
    <row r="431" ht="16.5" customHeight="1">
      <c r="A431" s="87"/>
      <c r="B431" s="87"/>
      <c r="C431" s="87"/>
      <c r="D431" s="87"/>
      <c r="E431" s="87"/>
      <c r="F431" s="79"/>
      <c r="G431" s="87"/>
      <c r="H431" s="92"/>
      <c r="I431" s="87"/>
      <c r="J431" s="87"/>
      <c r="K431" s="89"/>
      <c r="L431" s="87"/>
      <c r="M431" s="87"/>
      <c r="N431" s="87"/>
      <c r="O431" s="87"/>
      <c r="P431" s="87"/>
      <c r="Q431" s="87"/>
      <c r="R431" s="87"/>
      <c r="S431" s="87"/>
      <c r="T431" s="87"/>
      <c r="U431" s="87"/>
      <c r="V431" s="87"/>
      <c r="W431" s="87"/>
      <c r="X431" s="87"/>
      <c r="Y431" s="87"/>
      <c r="Z431" s="87"/>
      <c r="AA431" s="87"/>
      <c r="AB431" s="87"/>
      <c r="AC431" s="87"/>
      <c r="AD431" s="87"/>
      <c r="AE431" s="87"/>
      <c r="AF431" s="87"/>
      <c r="AG431" s="87"/>
      <c r="AH431" s="87"/>
      <c r="AI431" s="87"/>
      <c r="AJ431" s="87"/>
      <c r="AK431" s="87"/>
      <c r="AL431" s="87"/>
      <c r="AM431" s="87"/>
      <c r="AN431" s="87"/>
    </row>
    <row r="432" ht="16.5" customHeight="1">
      <c r="A432" s="87"/>
      <c r="B432" s="87"/>
      <c r="C432" s="87"/>
      <c r="D432" s="87"/>
      <c r="E432" s="87"/>
      <c r="F432" s="79"/>
      <c r="G432" s="87"/>
      <c r="H432" s="92"/>
      <c r="I432" s="87"/>
      <c r="J432" s="87"/>
      <c r="K432" s="89"/>
      <c r="L432" s="87"/>
      <c r="M432" s="87"/>
      <c r="N432" s="87"/>
      <c r="O432" s="87"/>
      <c r="P432" s="87"/>
      <c r="Q432" s="87"/>
      <c r="R432" s="87"/>
      <c r="S432" s="87"/>
      <c r="T432" s="87"/>
      <c r="U432" s="87"/>
      <c r="V432" s="87"/>
      <c r="W432" s="87"/>
      <c r="X432" s="87"/>
      <c r="Y432" s="87"/>
      <c r="Z432" s="87"/>
      <c r="AA432" s="87"/>
      <c r="AB432" s="87"/>
      <c r="AC432" s="87"/>
      <c r="AD432" s="87"/>
      <c r="AE432" s="87"/>
      <c r="AF432" s="87"/>
      <c r="AG432" s="87"/>
      <c r="AH432" s="87"/>
      <c r="AI432" s="87"/>
      <c r="AJ432" s="87"/>
      <c r="AK432" s="87"/>
      <c r="AL432" s="87"/>
      <c r="AM432" s="87"/>
      <c r="AN432" s="87"/>
    </row>
    <row r="433" ht="16.5" customHeight="1">
      <c r="A433" s="87"/>
      <c r="B433" s="87"/>
      <c r="C433" s="87"/>
      <c r="D433" s="87"/>
      <c r="E433" s="87"/>
      <c r="F433" s="79"/>
      <c r="G433" s="87"/>
      <c r="H433" s="92"/>
      <c r="I433" s="87"/>
      <c r="J433" s="87"/>
      <c r="K433" s="89"/>
      <c r="L433" s="87"/>
      <c r="M433" s="87"/>
      <c r="N433" s="87"/>
      <c r="O433" s="87"/>
      <c r="P433" s="87"/>
      <c r="Q433" s="87"/>
      <c r="R433" s="87"/>
      <c r="S433" s="87"/>
      <c r="T433" s="87"/>
      <c r="U433" s="87"/>
      <c r="V433" s="87"/>
      <c r="W433" s="87"/>
      <c r="X433" s="87"/>
      <c r="Y433" s="87"/>
      <c r="Z433" s="87"/>
      <c r="AA433" s="87"/>
      <c r="AB433" s="87"/>
      <c r="AC433" s="87"/>
      <c r="AD433" s="87"/>
      <c r="AE433" s="87"/>
      <c r="AF433" s="87"/>
      <c r="AG433" s="87"/>
      <c r="AH433" s="87"/>
      <c r="AI433" s="87"/>
      <c r="AJ433" s="87"/>
      <c r="AK433" s="87"/>
      <c r="AL433" s="87"/>
      <c r="AM433" s="87"/>
      <c r="AN433" s="87"/>
    </row>
    <row r="434" ht="16.5" customHeight="1">
      <c r="A434" s="87"/>
      <c r="B434" s="87"/>
      <c r="C434" s="87"/>
      <c r="D434" s="87"/>
      <c r="E434" s="87"/>
      <c r="F434" s="79"/>
      <c r="G434" s="87"/>
      <c r="H434" s="92"/>
      <c r="I434" s="87"/>
      <c r="J434" s="87"/>
      <c r="K434" s="89"/>
      <c r="L434" s="87"/>
      <c r="M434" s="87"/>
      <c r="N434" s="87"/>
      <c r="O434" s="87"/>
      <c r="P434" s="87"/>
      <c r="Q434" s="87"/>
      <c r="R434" s="87"/>
      <c r="S434" s="87"/>
      <c r="T434" s="87"/>
      <c r="U434" s="87"/>
      <c r="V434" s="87"/>
      <c r="W434" s="87"/>
      <c r="X434" s="87"/>
      <c r="Y434" s="87"/>
      <c r="Z434" s="87"/>
      <c r="AA434" s="87"/>
      <c r="AB434" s="87"/>
      <c r="AC434" s="87"/>
      <c r="AD434" s="87"/>
      <c r="AE434" s="87"/>
      <c r="AF434" s="87"/>
      <c r="AG434" s="87"/>
      <c r="AH434" s="87"/>
      <c r="AI434" s="87"/>
      <c r="AJ434" s="87"/>
      <c r="AK434" s="87"/>
      <c r="AL434" s="87"/>
      <c r="AM434" s="87"/>
      <c r="AN434" s="87"/>
    </row>
    <row r="435" ht="16.5" customHeight="1">
      <c r="A435" s="87"/>
      <c r="B435" s="87"/>
      <c r="C435" s="87"/>
      <c r="D435" s="87"/>
      <c r="E435" s="87"/>
      <c r="F435" s="79"/>
      <c r="G435" s="87"/>
      <c r="H435" s="92"/>
      <c r="I435" s="87"/>
      <c r="J435" s="87"/>
      <c r="K435" s="89"/>
      <c r="L435" s="87"/>
      <c r="M435" s="87"/>
      <c r="N435" s="87"/>
      <c r="O435" s="87"/>
      <c r="P435" s="87"/>
      <c r="Q435" s="87"/>
      <c r="R435" s="87"/>
      <c r="S435" s="87"/>
      <c r="T435" s="87"/>
      <c r="U435" s="87"/>
      <c r="V435" s="87"/>
      <c r="W435" s="87"/>
      <c r="X435" s="87"/>
      <c r="Y435" s="87"/>
      <c r="Z435" s="87"/>
      <c r="AA435" s="87"/>
      <c r="AB435" s="87"/>
      <c r="AC435" s="87"/>
      <c r="AD435" s="87"/>
      <c r="AE435" s="87"/>
      <c r="AF435" s="87"/>
      <c r="AG435" s="87"/>
      <c r="AH435" s="87"/>
      <c r="AI435" s="87"/>
      <c r="AJ435" s="87"/>
      <c r="AK435" s="87"/>
      <c r="AL435" s="87"/>
      <c r="AM435" s="87"/>
      <c r="AN435" s="87"/>
    </row>
    <row r="436" ht="16.5" customHeight="1">
      <c r="A436" s="87"/>
      <c r="B436" s="87"/>
      <c r="C436" s="87"/>
      <c r="D436" s="87"/>
      <c r="E436" s="87"/>
      <c r="F436" s="79"/>
      <c r="G436" s="87"/>
      <c r="H436" s="92"/>
      <c r="I436" s="87"/>
      <c r="J436" s="87"/>
      <c r="K436" s="89"/>
      <c r="L436" s="87"/>
      <c r="M436" s="87"/>
      <c r="N436" s="87"/>
      <c r="O436" s="87"/>
      <c r="P436" s="87"/>
      <c r="Q436" s="87"/>
      <c r="R436" s="87"/>
      <c r="S436" s="87"/>
      <c r="T436" s="87"/>
      <c r="U436" s="87"/>
      <c r="V436" s="87"/>
      <c r="W436" s="87"/>
      <c r="X436" s="87"/>
      <c r="Y436" s="87"/>
      <c r="Z436" s="87"/>
      <c r="AA436" s="87"/>
      <c r="AB436" s="87"/>
      <c r="AC436" s="87"/>
      <c r="AD436" s="87"/>
      <c r="AE436" s="87"/>
      <c r="AF436" s="87"/>
      <c r="AG436" s="87"/>
      <c r="AH436" s="87"/>
      <c r="AI436" s="87"/>
      <c r="AJ436" s="87"/>
      <c r="AK436" s="87"/>
      <c r="AL436" s="87"/>
      <c r="AM436" s="87"/>
      <c r="AN436" s="87"/>
    </row>
    <row r="437" ht="16.5" customHeight="1">
      <c r="A437" s="87"/>
      <c r="B437" s="87"/>
      <c r="C437" s="87"/>
      <c r="D437" s="87"/>
      <c r="E437" s="87"/>
      <c r="F437" s="79"/>
      <c r="G437" s="87"/>
      <c r="H437" s="92"/>
      <c r="I437" s="87"/>
      <c r="J437" s="87"/>
      <c r="K437" s="89"/>
      <c r="L437" s="87"/>
      <c r="M437" s="87"/>
      <c r="N437" s="87"/>
      <c r="O437" s="87"/>
      <c r="P437" s="87"/>
      <c r="Q437" s="87"/>
      <c r="R437" s="87"/>
      <c r="S437" s="87"/>
      <c r="T437" s="87"/>
      <c r="U437" s="87"/>
      <c r="V437" s="87"/>
      <c r="W437" s="87"/>
      <c r="X437" s="87"/>
      <c r="Y437" s="87"/>
      <c r="Z437" s="87"/>
      <c r="AA437" s="87"/>
      <c r="AB437" s="87"/>
      <c r="AC437" s="87"/>
      <c r="AD437" s="87"/>
      <c r="AE437" s="87"/>
      <c r="AF437" s="87"/>
      <c r="AG437" s="87"/>
      <c r="AH437" s="87"/>
      <c r="AI437" s="87"/>
      <c r="AJ437" s="87"/>
      <c r="AK437" s="87"/>
      <c r="AL437" s="87"/>
      <c r="AM437" s="87"/>
      <c r="AN437" s="87"/>
    </row>
    <row r="438" ht="16.5" customHeight="1">
      <c r="A438" s="87"/>
      <c r="B438" s="87"/>
      <c r="C438" s="87"/>
      <c r="D438" s="87"/>
      <c r="E438" s="87"/>
      <c r="F438" s="79"/>
      <c r="G438" s="87"/>
      <c r="H438" s="92"/>
      <c r="I438" s="87"/>
      <c r="J438" s="87"/>
      <c r="K438" s="89"/>
      <c r="L438" s="87"/>
      <c r="M438" s="87"/>
      <c r="N438" s="87"/>
      <c r="O438" s="87"/>
      <c r="P438" s="87"/>
      <c r="Q438" s="87"/>
      <c r="R438" s="87"/>
      <c r="S438" s="87"/>
      <c r="T438" s="87"/>
      <c r="U438" s="87"/>
      <c r="V438" s="87"/>
      <c r="W438" s="87"/>
      <c r="X438" s="87"/>
      <c r="Y438" s="87"/>
      <c r="Z438" s="87"/>
      <c r="AA438" s="87"/>
      <c r="AB438" s="87"/>
      <c r="AC438" s="87"/>
      <c r="AD438" s="87"/>
      <c r="AE438" s="87"/>
      <c r="AF438" s="87"/>
      <c r="AG438" s="87"/>
      <c r="AH438" s="87"/>
      <c r="AI438" s="87"/>
      <c r="AJ438" s="87"/>
      <c r="AK438" s="87"/>
      <c r="AL438" s="87"/>
      <c r="AM438" s="87"/>
      <c r="AN438" s="87"/>
    </row>
    <row r="439" ht="16.5" customHeight="1">
      <c r="A439" s="87"/>
      <c r="B439" s="87"/>
      <c r="C439" s="87"/>
      <c r="D439" s="87"/>
      <c r="E439" s="87"/>
      <c r="F439" s="79"/>
      <c r="G439" s="87"/>
      <c r="H439" s="92"/>
      <c r="I439" s="87"/>
      <c r="J439" s="87"/>
      <c r="K439" s="89"/>
      <c r="L439" s="87"/>
      <c r="M439" s="87"/>
      <c r="N439" s="87"/>
      <c r="O439" s="87"/>
      <c r="P439" s="87"/>
      <c r="Q439" s="87"/>
      <c r="R439" s="87"/>
      <c r="S439" s="87"/>
      <c r="T439" s="87"/>
      <c r="U439" s="87"/>
      <c r="V439" s="87"/>
      <c r="W439" s="87"/>
      <c r="X439" s="87"/>
      <c r="Y439" s="87"/>
      <c r="Z439" s="87"/>
      <c r="AA439" s="87"/>
      <c r="AB439" s="87"/>
      <c r="AC439" s="87"/>
      <c r="AD439" s="87"/>
      <c r="AE439" s="87"/>
      <c r="AF439" s="87"/>
      <c r="AG439" s="87"/>
      <c r="AH439" s="87"/>
      <c r="AI439" s="87"/>
      <c r="AJ439" s="87"/>
      <c r="AK439" s="87"/>
      <c r="AL439" s="87"/>
      <c r="AM439" s="87"/>
      <c r="AN439" s="87"/>
    </row>
    <row r="440" ht="16.5" customHeight="1">
      <c r="A440" s="87"/>
      <c r="B440" s="87"/>
      <c r="C440" s="87"/>
      <c r="D440" s="87"/>
      <c r="E440" s="87"/>
      <c r="F440" s="79"/>
      <c r="G440" s="87"/>
      <c r="H440" s="92"/>
      <c r="I440" s="87"/>
      <c r="J440" s="87"/>
      <c r="K440" s="89"/>
      <c r="L440" s="87"/>
      <c r="M440" s="87"/>
      <c r="N440" s="87"/>
      <c r="O440" s="87"/>
      <c r="P440" s="87"/>
      <c r="Q440" s="87"/>
      <c r="R440" s="87"/>
      <c r="S440" s="87"/>
      <c r="T440" s="87"/>
      <c r="U440" s="87"/>
      <c r="V440" s="87"/>
      <c r="W440" s="87"/>
      <c r="X440" s="87"/>
      <c r="Y440" s="87"/>
      <c r="Z440" s="87"/>
      <c r="AA440" s="87"/>
      <c r="AB440" s="87"/>
      <c r="AC440" s="87"/>
      <c r="AD440" s="87"/>
      <c r="AE440" s="87"/>
      <c r="AF440" s="87"/>
      <c r="AG440" s="87"/>
      <c r="AH440" s="87"/>
      <c r="AI440" s="87"/>
      <c r="AJ440" s="87"/>
      <c r="AK440" s="87"/>
      <c r="AL440" s="87"/>
      <c r="AM440" s="87"/>
      <c r="AN440" s="87"/>
    </row>
    <row r="441" ht="16.5" customHeight="1">
      <c r="A441" s="87"/>
      <c r="B441" s="87"/>
      <c r="C441" s="87"/>
      <c r="D441" s="87"/>
      <c r="E441" s="87"/>
      <c r="F441" s="79"/>
      <c r="G441" s="87"/>
      <c r="H441" s="92"/>
      <c r="I441" s="87"/>
      <c r="J441" s="87"/>
      <c r="K441" s="89"/>
      <c r="L441" s="87"/>
      <c r="M441" s="87"/>
      <c r="N441" s="87"/>
      <c r="O441" s="87"/>
      <c r="P441" s="87"/>
      <c r="Q441" s="87"/>
      <c r="R441" s="87"/>
      <c r="S441" s="87"/>
      <c r="T441" s="87"/>
      <c r="U441" s="87"/>
      <c r="V441" s="87"/>
      <c r="W441" s="87"/>
      <c r="X441" s="87"/>
      <c r="Y441" s="87"/>
      <c r="Z441" s="87"/>
      <c r="AA441" s="87"/>
      <c r="AB441" s="87"/>
      <c r="AC441" s="87"/>
      <c r="AD441" s="87"/>
      <c r="AE441" s="87"/>
      <c r="AF441" s="87"/>
      <c r="AG441" s="87"/>
      <c r="AH441" s="87"/>
      <c r="AI441" s="87"/>
      <c r="AJ441" s="87"/>
      <c r="AK441" s="87"/>
      <c r="AL441" s="87"/>
      <c r="AM441" s="87"/>
      <c r="AN441" s="87"/>
    </row>
    <row r="442" ht="16.5" customHeight="1">
      <c r="A442" s="87"/>
      <c r="B442" s="87"/>
      <c r="C442" s="87"/>
      <c r="D442" s="87"/>
      <c r="E442" s="87"/>
      <c r="F442" s="79"/>
      <c r="G442" s="87"/>
      <c r="H442" s="92"/>
      <c r="I442" s="87"/>
      <c r="J442" s="87"/>
      <c r="K442" s="89"/>
      <c r="L442" s="87"/>
      <c r="M442" s="87"/>
      <c r="N442" s="87"/>
      <c r="O442" s="87"/>
      <c r="P442" s="87"/>
      <c r="Q442" s="87"/>
      <c r="R442" s="87"/>
      <c r="S442" s="87"/>
      <c r="T442" s="87"/>
      <c r="U442" s="87"/>
      <c r="V442" s="87"/>
      <c r="W442" s="87"/>
      <c r="X442" s="87"/>
      <c r="Y442" s="87"/>
      <c r="Z442" s="87"/>
      <c r="AA442" s="87"/>
      <c r="AB442" s="87"/>
      <c r="AC442" s="87"/>
      <c r="AD442" s="87"/>
      <c r="AE442" s="87"/>
      <c r="AF442" s="87"/>
      <c r="AG442" s="87"/>
      <c r="AH442" s="87"/>
      <c r="AI442" s="87"/>
      <c r="AJ442" s="87"/>
      <c r="AK442" s="87"/>
      <c r="AL442" s="87"/>
      <c r="AM442" s="87"/>
      <c r="AN442" s="87"/>
    </row>
    <row r="443" ht="16.5" customHeight="1">
      <c r="A443" s="87"/>
      <c r="B443" s="87"/>
      <c r="C443" s="87"/>
      <c r="D443" s="87"/>
      <c r="E443" s="87"/>
      <c r="F443" s="79"/>
      <c r="G443" s="87"/>
      <c r="H443" s="92"/>
      <c r="I443" s="87"/>
      <c r="J443" s="87"/>
      <c r="K443" s="89"/>
      <c r="L443" s="87"/>
      <c r="M443" s="87"/>
      <c r="N443" s="87"/>
      <c r="O443" s="87"/>
      <c r="P443" s="87"/>
      <c r="Q443" s="87"/>
      <c r="R443" s="87"/>
      <c r="S443" s="87"/>
      <c r="T443" s="87"/>
      <c r="U443" s="87"/>
      <c r="V443" s="87"/>
      <c r="W443" s="87"/>
      <c r="X443" s="87"/>
      <c r="Y443" s="87"/>
      <c r="Z443" s="87"/>
      <c r="AA443" s="87"/>
      <c r="AB443" s="87"/>
      <c r="AC443" s="87"/>
      <c r="AD443" s="87"/>
      <c r="AE443" s="87"/>
      <c r="AF443" s="87"/>
      <c r="AG443" s="87"/>
      <c r="AH443" s="87"/>
      <c r="AI443" s="87"/>
      <c r="AJ443" s="87"/>
      <c r="AK443" s="87"/>
      <c r="AL443" s="87"/>
      <c r="AM443" s="87"/>
      <c r="AN443" s="87"/>
    </row>
    <row r="444" ht="16.5" customHeight="1">
      <c r="A444" s="87"/>
      <c r="B444" s="87"/>
      <c r="C444" s="87"/>
      <c r="D444" s="87"/>
      <c r="E444" s="87"/>
      <c r="F444" s="79"/>
      <c r="G444" s="87"/>
      <c r="H444" s="92"/>
      <c r="I444" s="87"/>
      <c r="J444" s="87"/>
      <c r="K444" s="89"/>
      <c r="L444" s="87"/>
      <c r="M444" s="87"/>
      <c r="N444" s="87"/>
      <c r="O444" s="87"/>
      <c r="P444" s="87"/>
      <c r="Q444" s="87"/>
      <c r="R444" s="87"/>
      <c r="S444" s="87"/>
      <c r="T444" s="87"/>
      <c r="U444" s="87"/>
      <c r="V444" s="87"/>
      <c r="W444" s="87"/>
      <c r="X444" s="87"/>
      <c r="Y444" s="87"/>
      <c r="Z444" s="87"/>
      <c r="AA444" s="87"/>
      <c r="AB444" s="87"/>
      <c r="AC444" s="87"/>
      <c r="AD444" s="87"/>
      <c r="AE444" s="87"/>
      <c r="AF444" s="87"/>
      <c r="AG444" s="87"/>
      <c r="AH444" s="87"/>
      <c r="AI444" s="87"/>
      <c r="AJ444" s="87"/>
      <c r="AK444" s="87"/>
      <c r="AL444" s="87"/>
      <c r="AM444" s="87"/>
      <c r="AN444" s="87"/>
    </row>
    <row r="445" ht="16.5" customHeight="1">
      <c r="A445" s="87"/>
      <c r="B445" s="87"/>
      <c r="C445" s="87"/>
      <c r="D445" s="87"/>
      <c r="E445" s="87"/>
      <c r="F445" s="79"/>
      <c r="G445" s="87"/>
      <c r="H445" s="92"/>
      <c r="I445" s="87"/>
      <c r="J445" s="87"/>
      <c r="K445" s="89"/>
      <c r="L445" s="87"/>
      <c r="M445" s="87"/>
      <c r="N445" s="87"/>
      <c r="O445" s="87"/>
      <c r="P445" s="87"/>
      <c r="Q445" s="87"/>
      <c r="R445" s="87"/>
      <c r="S445" s="87"/>
      <c r="T445" s="87"/>
      <c r="U445" s="87"/>
      <c r="V445" s="87"/>
      <c r="W445" s="87"/>
      <c r="X445" s="87"/>
      <c r="Y445" s="87"/>
      <c r="Z445" s="87"/>
      <c r="AA445" s="87"/>
      <c r="AB445" s="87"/>
      <c r="AC445" s="87"/>
      <c r="AD445" s="87"/>
      <c r="AE445" s="87"/>
      <c r="AF445" s="87"/>
      <c r="AG445" s="87"/>
      <c r="AH445" s="87"/>
      <c r="AI445" s="87"/>
      <c r="AJ445" s="87"/>
      <c r="AK445" s="87"/>
      <c r="AL445" s="87"/>
      <c r="AM445" s="87"/>
      <c r="AN445" s="87"/>
    </row>
    <row r="446" ht="16.5" customHeight="1">
      <c r="A446" s="87"/>
      <c r="B446" s="87"/>
      <c r="C446" s="87"/>
      <c r="D446" s="87"/>
      <c r="E446" s="87"/>
      <c r="F446" s="79"/>
      <c r="G446" s="87"/>
      <c r="H446" s="92"/>
      <c r="I446" s="87"/>
      <c r="J446" s="87"/>
      <c r="K446" s="89"/>
      <c r="L446" s="87"/>
      <c r="M446" s="87"/>
      <c r="N446" s="87"/>
      <c r="O446" s="87"/>
      <c r="P446" s="87"/>
      <c r="Q446" s="87"/>
      <c r="R446" s="87"/>
      <c r="S446" s="87"/>
      <c r="T446" s="87"/>
      <c r="U446" s="87"/>
      <c r="V446" s="87"/>
      <c r="W446" s="87"/>
      <c r="X446" s="87"/>
      <c r="Y446" s="87"/>
      <c r="Z446" s="87"/>
      <c r="AA446" s="87"/>
      <c r="AB446" s="87"/>
      <c r="AC446" s="87"/>
      <c r="AD446" s="87"/>
      <c r="AE446" s="87"/>
      <c r="AF446" s="87"/>
      <c r="AG446" s="87"/>
      <c r="AH446" s="87"/>
      <c r="AI446" s="87"/>
      <c r="AJ446" s="87"/>
      <c r="AK446" s="87"/>
      <c r="AL446" s="87"/>
      <c r="AM446" s="87"/>
      <c r="AN446" s="87"/>
    </row>
    <row r="447" ht="16.5" customHeight="1">
      <c r="A447" s="87"/>
      <c r="B447" s="87"/>
      <c r="C447" s="87"/>
      <c r="D447" s="87"/>
      <c r="E447" s="87"/>
      <c r="F447" s="79"/>
      <c r="G447" s="87"/>
      <c r="H447" s="92"/>
      <c r="I447" s="87"/>
      <c r="J447" s="87"/>
      <c r="K447" s="89"/>
      <c r="L447" s="87"/>
      <c r="M447" s="87"/>
      <c r="N447" s="87"/>
      <c r="O447" s="87"/>
      <c r="P447" s="87"/>
      <c r="Q447" s="87"/>
      <c r="R447" s="87"/>
      <c r="S447" s="87"/>
      <c r="T447" s="87"/>
      <c r="U447" s="87"/>
      <c r="V447" s="87"/>
      <c r="W447" s="87"/>
      <c r="X447" s="87"/>
      <c r="Y447" s="87"/>
      <c r="Z447" s="87"/>
      <c r="AA447" s="87"/>
      <c r="AB447" s="87"/>
      <c r="AC447" s="87"/>
      <c r="AD447" s="87"/>
      <c r="AE447" s="87"/>
      <c r="AF447" s="87"/>
      <c r="AG447" s="87"/>
      <c r="AH447" s="87"/>
      <c r="AI447" s="87"/>
      <c r="AJ447" s="87"/>
      <c r="AK447" s="87"/>
      <c r="AL447" s="87"/>
      <c r="AM447" s="87"/>
      <c r="AN447" s="87"/>
    </row>
    <row r="448" ht="16.5" customHeight="1">
      <c r="A448" s="87"/>
      <c r="B448" s="87"/>
      <c r="C448" s="87"/>
      <c r="D448" s="87"/>
      <c r="E448" s="87"/>
      <c r="F448" s="79"/>
      <c r="G448" s="87"/>
      <c r="H448" s="92"/>
      <c r="I448" s="87"/>
      <c r="J448" s="87"/>
      <c r="K448" s="89"/>
      <c r="L448" s="87"/>
      <c r="M448" s="87"/>
      <c r="N448" s="87"/>
      <c r="O448" s="87"/>
      <c r="P448" s="87"/>
      <c r="Q448" s="87"/>
      <c r="R448" s="87"/>
      <c r="S448" s="87"/>
      <c r="T448" s="87"/>
      <c r="U448" s="87"/>
      <c r="V448" s="87"/>
      <c r="W448" s="87"/>
      <c r="X448" s="87"/>
      <c r="Y448" s="87"/>
      <c r="Z448" s="87"/>
      <c r="AA448" s="87"/>
      <c r="AB448" s="87"/>
      <c r="AC448" s="87"/>
      <c r="AD448" s="87"/>
      <c r="AE448" s="87"/>
      <c r="AF448" s="87"/>
      <c r="AG448" s="87"/>
      <c r="AH448" s="87"/>
      <c r="AI448" s="87"/>
      <c r="AJ448" s="87"/>
      <c r="AK448" s="87"/>
      <c r="AL448" s="87"/>
      <c r="AM448" s="87"/>
      <c r="AN448" s="87"/>
    </row>
    <row r="449" ht="16.5" customHeight="1">
      <c r="A449" s="87"/>
      <c r="B449" s="87"/>
      <c r="C449" s="87"/>
      <c r="D449" s="87"/>
      <c r="E449" s="87"/>
      <c r="F449" s="79"/>
      <c r="G449" s="87"/>
      <c r="H449" s="92"/>
      <c r="I449" s="87"/>
      <c r="J449" s="87"/>
      <c r="K449" s="89"/>
      <c r="L449" s="87"/>
      <c r="M449" s="87"/>
      <c r="N449" s="87"/>
      <c r="O449" s="87"/>
      <c r="P449" s="87"/>
      <c r="Q449" s="87"/>
      <c r="R449" s="87"/>
      <c r="S449" s="87"/>
      <c r="T449" s="87"/>
      <c r="U449" s="87"/>
      <c r="V449" s="87"/>
      <c r="W449" s="87"/>
      <c r="X449" s="87"/>
      <c r="Y449" s="87"/>
      <c r="Z449" s="87"/>
      <c r="AA449" s="87"/>
      <c r="AB449" s="87"/>
      <c r="AC449" s="87"/>
      <c r="AD449" s="87"/>
      <c r="AE449" s="87"/>
      <c r="AF449" s="87"/>
      <c r="AG449" s="87"/>
      <c r="AH449" s="87"/>
      <c r="AI449" s="87"/>
      <c r="AJ449" s="87"/>
      <c r="AK449" s="87"/>
      <c r="AL449" s="87"/>
      <c r="AM449" s="87"/>
      <c r="AN449" s="87"/>
    </row>
    <row r="450" ht="16.5" customHeight="1">
      <c r="A450" s="87"/>
      <c r="B450" s="87"/>
      <c r="C450" s="87"/>
      <c r="D450" s="87"/>
      <c r="E450" s="87"/>
      <c r="F450" s="79"/>
      <c r="G450" s="87"/>
      <c r="H450" s="92"/>
      <c r="I450" s="87"/>
      <c r="J450" s="87"/>
      <c r="K450" s="89"/>
      <c r="L450" s="87"/>
      <c r="M450" s="87"/>
      <c r="N450" s="87"/>
      <c r="O450" s="87"/>
      <c r="P450" s="87"/>
      <c r="Q450" s="87"/>
      <c r="R450" s="87"/>
      <c r="S450" s="87"/>
      <c r="T450" s="87"/>
      <c r="U450" s="87"/>
      <c r="V450" s="87"/>
      <c r="W450" s="87"/>
      <c r="X450" s="87"/>
      <c r="Y450" s="87"/>
      <c r="Z450" s="87"/>
      <c r="AA450" s="87"/>
      <c r="AB450" s="87"/>
      <c r="AC450" s="87"/>
      <c r="AD450" s="87"/>
      <c r="AE450" s="87"/>
      <c r="AF450" s="87"/>
      <c r="AG450" s="87"/>
      <c r="AH450" s="87"/>
      <c r="AI450" s="87"/>
      <c r="AJ450" s="87"/>
      <c r="AK450" s="87"/>
      <c r="AL450" s="87"/>
      <c r="AM450" s="87"/>
      <c r="AN450" s="87"/>
    </row>
    <row r="451" ht="16.5" customHeight="1">
      <c r="A451" s="87"/>
      <c r="B451" s="87"/>
      <c r="C451" s="87"/>
      <c r="D451" s="87"/>
      <c r="E451" s="87"/>
      <c r="F451" s="79"/>
      <c r="G451" s="87"/>
      <c r="H451" s="92"/>
      <c r="I451" s="87"/>
      <c r="J451" s="87"/>
      <c r="K451" s="89"/>
      <c r="L451" s="87"/>
      <c r="M451" s="87"/>
      <c r="N451" s="87"/>
      <c r="O451" s="87"/>
      <c r="P451" s="87"/>
      <c r="Q451" s="87"/>
      <c r="R451" s="87"/>
      <c r="S451" s="87"/>
      <c r="T451" s="87"/>
      <c r="U451" s="87"/>
      <c r="V451" s="87"/>
      <c r="W451" s="87"/>
      <c r="X451" s="87"/>
      <c r="Y451" s="87"/>
      <c r="Z451" s="87"/>
      <c r="AA451" s="87"/>
      <c r="AB451" s="87"/>
      <c r="AC451" s="87"/>
      <c r="AD451" s="87"/>
      <c r="AE451" s="87"/>
      <c r="AF451" s="87"/>
      <c r="AG451" s="87"/>
      <c r="AH451" s="87"/>
      <c r="AI451" s="87"/>
      <c r="AJ451" s="87"/>
      <c r="AK451" s="87"/>
      <c r="AL451" s="87"/>
      <c r="AM451" s="87"/>
      <c r="AN451" s="87"/>
    </row>
    <row r="452" ht="16.5" customHeight="1">
      <c r="A452" s="87"/>
      <c r="B452" s="87"/>
      <c r="C452" s="87"/>
      <c r="D452" s="87"/>
      <c r="E452" s="87"/>
      <c r="F452" s="79"/>
      <c r="G452" s="87"/>
      <c r="H452" s="92"/>
      <c r="I452" s="87"/>
      <c r="J452" s="87"/>
      <c r="K452" s="89"/>
      <c r="L452" s="87"/>
      <c r="M452" s="87"/>
      <c r="N452" s="87"/>
      <c r="O452" s="87"/>
      <c r="P452" s="87"/>
      <c r="Q452" s="87"/>
      <c r="R452" s="87"/>
      <c r="S452" s="87"/>
      <c r="T452" s="87"/>
      <c r="U452" s="87"/>
      <c r="V452" s="87"/>
      <c r="W452" s="87"/>
      <c r="X452" s="87"/>
      <c r="Y452" s="87"/>
      <c r="Z452" s="87"/>
      <c r="AA452" s="87"/>
      <c r="AB452" s="87"/>
      <c r="AC452" s="87"/>
      <c r="AD452" s="87"/>
      <c r="AE452" s="87"/>
      <c r="AF452" s="87"/>
      <c r="AG452" s="87"/>
      <c r="AH452" s="87"/>
      <c r="AI452" s="87"/>
      <c r="AJ452" s="87"/>
      <c r="AK452" s="87"/>
      <c r="AL452" s="87"/>
      <c r="AM452" s="87"/>
      <c r="AN452" s="87"/>
    </row>
    <row r="453" ht="16.5" customHeight="1">
      <c r="A453" s="87"/>
      <c r="B453" s="87"/>
      <c r="C453" s="87"/>
      <c r="D453" s="87"/>
      <c r="E453" s="87"/>
      <c r="F453" s="79"/>
      <c r="G453" s="87"/>
      <c r="H453" s="92"/>
      <c r="I453" s="87"/>
      <c r="J453" s="87"/>
      <c r="K453" s="89"/>
      <c r="L453" s="87"/>
      <c r="M453" s="87"/>
      <c r="N453" s="87"/>
      <c r="O453" s="87"/>
      <c r="P453" s="87"/>
      <c r="Q453" s="87"/>
      <c r="R453" s="87"/>
      <c r="S453" s="87"/>
      <c r="T453" s="87"/>
      <c r="U453" s="87"/>
      <c r="V453" s="87"/>
      <c r="W453" s="87"/>
      <c r="X453" s="87"/>
      <c r="Y453" s="87"/>
      <c r="Z453" s="87"/>
      <c r="AA453" s="87"/>
      <c r="AB453" s="87"/>
      <c r="AC453" s="87"/>
      <c r="AD453" s="87"/>
      <c r="AE453" s="87"/>
      <c r="AF453" s="87"/>
      <c r="AG453" s="87"/>
      <c r="AH453" s="87"/>
      <c r="AI453" s="87"/>
      <c r="AJ453" s="87"/>
      <c r="AK453" s="87"/>
      <c r="AL453" s="87"/>
      <c r="AM453" s="87"/>
      <c r="AN453" s="87"/>
    </row>
    <row r="454" ht="16.5" customHeight="1">
      <c r="A454" s="87"/>
      <c r="B454" s="87"/>
      <c r="C454" s="87"/>
      <c r="D454" s="87"/>
      <c r="E454" s="87"/>
      <c r="F454" s="79"/>
      <c r="G454" s="87"/>
      <c r="H454" s="92"/>
      <c r="I454" s="87"/>
      <c r="J454" s="87"/>
      <c r="K454" s="89"/>
      <c r="L454" s="87"/>
      <c r="M454" s="87"/>
      <c r="N454" s="87"/>
      <c r="O454" s="87"/>
      <c r="P454" s="87"/>
      <c r="Q454" s="87"/>
      <c r="R454" s="87"/>
      <c r="S454" s="87"/>
      <c r="T454" s="87"/>
      <c r="U454" s="87"/>
      <c r="V454" s="87"/>
      <c r="W454" s="87"/>
      <c r="X454" s="87"/>
      <c r="Y454" s="87"/>
      <c r="Z454" s="87"/>
      <c r="AA454" s="87"/>
      <c r="AB454" s="87"/>
      <c r="AC454" s="87"/>
      <c r="AD454" s="87"/>
      <c r="AE454" s="87"/>
      <c r="AF454" s="87"/>
      <c r="AG454" s="87"/>
      <c r="AH454" s="87"/>
      <c r="AI454" s="87"/>
      <c r="AJ454" s="87"/>
      <c r="AK454" s="87"/>
      <c r="AL454" s="87"/>
      <c r="AM454" s="87"/>
      <c r="AN454" s="87"/>
    </row>
    <row r="455" ht="16.5" customHeight="1">
      <c r="A455" s="87"/>
      <c r="B455" s="87"/>
      <c r="C455" s="87"/>
      <c r="D455" s="87"/>
      <c r="E455" s="87"/>
      <c r="F455" s="79"/>
      <c r="G455" s="87"/>
      <c r="H455" s="92"/>
      <c r="I455" s="87"/>
      <c r="J455" s="87"/>
      <c r="K455" s="89"/>
      <c r="L455" s="87"/>
      <c r="M455" s="87"/>
      <c r="N455" s="87"/>
      <c r="O455" s="87"/>
      <c r="P455" s="87"/>
      <c r="Q455" s="87"/>
      <c r="R455" s="87"/>
      <c r="S455" s="87"/>
      <c r="T455" s="87"/>
      <c r="U455" s="87"/>
      <c r="V455" s="87"/>
      <c r="W455" s="87"/>
      <c r="X455" s="87"/>
      <c r="Y455" s="87"/>
      <c r="Z455" s="87"/>
      <c r="AA455" s="87"/>
      <c r="AB455" s="87"/>
      <c r="AC455" s="87"/>
      <c r="AD455" s="87"/>
      <c r="AE455" s="87"/>
      <c r="AF455" s="87"/>
      <c r="AG455" s="87"/>
      <c r="AH455" s="87"/>
      <c r="AI455" s="87"/>
      <c r="AJ455" s="87"/>
      <c r="AK455" s="87"/>
      <c r="AL455" s="87"/>
      <c r="AM455" s="87"/>
      <c r="AN455" s="87"/>
    </row>
    <row r="456" ht="16.5" customHeight="1">
      <c r="A456" s="87"/>
      <c r="B456" s="87"/>
      <c r="C456" s="87"/>
      <c r="D456" s="87"/>
      <c r="E456" s="87"/>
      <c r="F456" s="79"/>
      <c r="G456" s="87"/>
      <c r="H456" s="92"/>
      <c r="I456" s="87"/>
      <c r="J456" s="87"/>
      <c r="K456" s="89"/>
      <c r="L456" s="87"/>
      <c r="M456" s="87"/>
      <c r="N456" s="87"/>
      <c r="O456" s="87"/>
      <c r="P456" s="87"/>
      <c r="Q456" s="87"/>
      <c r="R456" s="87"/>
      <c r="S456" s="87"/>
      <c r="T456" s="87"/>
      <c r="U456" s="87"/>
      <c r="V456" s="87"/>
      <c r="W456" s="87"/>
      <c r="X456" s="87"/>
      <c r="Y456" s="87"/>
      <c r="Z456" s="87"/>
      <c r="AA456" s="87"/>
      <c r="AB456" s="87"/>
      <c r="AC456" s="87"/>
      <c r="AD456" s="87"/>
      <c r="AE456" s="87"/>
      <c r="AF456" s="87"/>
      <c r="AG456" s="87"/>
      <c r="AH456" s="87"/>
      <c r="AI456" s="87"/>
      <c r="AJ456" s="87"/>
      <c r="AK456" s="87"/>
      <c r="AL456" s="87"/>
      <c r="AM456" s="87"/>
      <c r="AN456" s="87"/>
    </row>
    <row r="457" ht="16.5" customHeight="1">
      <c r="A457" s="87"/>
      <c r="B457" s="87"/>
      <c r="C457" s="87"/>
      <c r="D457" s="87"/>
      <c r="E457" s="87"/>
      <c r="F457" s="79"/>
      <c r="G457" s="87"/>
      <c r="H457" s="92"/>
      <c r="I457" s="87"/>
      <c r="J457" s="87"/>
      <c r="K457" s="89"/>
      <c r="L457" s="87"/>
      <c r="M457" s="87"/>
      <c r="N457" s="87"/>
      <c r="O457" s="87"/>
      <c r="P457" s="87"/>
      <c r="Q457" s="87"/>
      <c r="R457" s="87"/>
      <c r="S457" s="87"/>
      <c r="T457" s="87"/>
      <c r="U457" s="87"/>
      <c r="V457" s="87"/>
      <c r="W457" s="87"/>
      <c r="X457" s="87"/>
      <c r="Y457" s="87"/>
      <c r="Z457" s="87"/>
      <c r="AA457" s="87"/>
      <c r="AB457" s="87"/>
      <c r="AC457" s="87"/>
      <c r="AD457" s="87"/>
      <c r="AE457" s="87"/>
      <c r="AF457" s="87"/>
      <c r="AG457" s="87"/>
      <c r="AH457" s="87"/>
      <c r="AI457" s="87"/>
      <c r="AJ457" s="87"/>
      <c r="AK457" s="87"/>
      <c r="AL457" s="87"/>
      <c r="AM457" s="87"/>
      <c r="AN457" s="87"/>
    </row>
    <row r="458" ht="16.5" customHeight="1">
      <c r="A458" s="87"/>
      <c r="B458" s="87"/>
      <c r="C458" s="87"/>
      <c r="D458" s="87"/>
      <c r="E458" s="87"/>
      <c r="F458" s="79"/>
      <c r="G458" s="87"/>
      <c r="H458" s="92"/>
      <c r="I458" s="87"/>
      <c r="J458" s="87"/>
      <c r="K458" s="89"/>
      <c r="L458" s="87"/>
      <c r="M458" s="87"/>
      <c r="N458" s="87"/>
      <c r="O458" s="87"/>
      <c r="P458" s="87"/>
      <c r="Q458" s="87"/>
      <c r="R458" s="87"/>
      <c r="S458" s="87"/>
      <c r="T458" s="87"/>
      <c r="U458" s="87"/>
      <c r="V458" s="87"/>
      <c r="W458" s="87"/>
      <c r="X458" s="87"/>
      <c r="Y458" s="87"/>
      <c r="Z458" s="87"/>
      <c r="AA458" s="87"/>
      <c r="AB458" s="87"/>
      <c r="AC458" s="87"/>
      <c r="AD458" s="87"/>
      <c r="AE458" s="87"/>
      <c r="AF458" s="87"/>
      <c r="AG458" s="87"/>
      <c r="AH458" s="87"/>
      <c r="AI458" s="87"/>
      <c r="AJ458" s="87"/>
      <c r="AK458" s="87"/>
      <c r="AL458" s="87"/>
      <c r="AM458" s="87"/>
      <c r="AN458" s="87"/>
    </row>
    <row r="459" ht="16.5" customHeight="1">
      <c r="A459" s="87"/>
      <c r="B459" s="87"/>
      <c r="C459" s="87"/>
      <c r="D459" s="87"/>
      <c r="E459" s="87"/>
      <c r="F459" s="79"/>
      <c r="G459" s="87"/>
      <c r="H459" s="92"/>
      <c r="I459" s="87"/>
      <c r="J459" s="87"/>
      <c r="K459" s="89"/>
      <c r="L459" s="87"/>
      <c r="M459" s="87"/>
      <c r="N459" s="87"/>
      <c r="O459" s="87"/>
      <c r="P459" s="87"/>
      <c r="Q459" s="87"/>
      <c r="R459" s="87"/>
      <c r="S459" s="87"/>
      <c r="T459" s="87"/>
      <c r="U459" s="87"/>
      <c r="V459" s="87"/>
      <c r="W459" s="87"/>
      <c r="X459" s="87"/>
      <c r="Y459" s="87"/>
      <c r="Z459" s="87"/>
      <c r="AA459" s="87"/>
      <c r="AB459" s="87"/>
      <c r="AC459" s="87"/>
      <c r="AD459" s="87"/>
      <c r="AE459" s="87"/>
      <c r="AF459" s="87"/>
      <c r="AG459" s="87"/>
      <c r="AH459" s="87"/>
      <c r="AI459" s="87"/>
      <c r="AJ459" s="87"/>
      <c r="AK459" s="87"/>
      <c r="AL459" s="87"/>
      <c r="AM459" s="87"/>
      <c r="AN459" s="87"/>
    </row>
    <row r="460" ht="16.5" customHeight="1">
      <c r="A460" s="87"/>
      <c r="B460" s="87"/>
      <c r="C460" s="87"/>
      <c r="D460" s="87"/>
      <c r="E460" s="87"/>
      <c r="F460" s="79"/>
      <c r="G460" s="87"/>
      <c r="H460" s="92"/>
      <c r="I460" s="87"/>
      <c r="J460" s="87"/>
      <c r="K460" s="89"/>
      <c r="L460" s="87"/>
      <c r="M460" s="87"/>
      <c r="N460" s="87"/>
      <c r="O460" s="87"/>
      <c r="P460" s="87"/>
      <c r="Q460" s="87"/>
      <c r="R460" s="87"/>
      <c r="S460" s="87"/>
      <c r="T460" s="87"/>
      <c r="U460" s="87"/>
      <c r="V460" s="87"/>
      <c r="W460" s="87"/>
      <c r="X460" s="87"/>
      <c r="Y460" s="87"/>
      <c r="Z460" s="87"/>
      <c r="AA460" s="87"/>
      <c r="AB460" s="87"/>
      <c r="AC460" s="87"/>
      <c r="AD460" s="87"/>
      <c r="AE460" s="87"/>
      <c r="AF460" s="87"/>
      <c r="AG460" s="87"/>
      <c r="AH460" s="87"/>
      <c r="AI460" s="87"/>
      <c r="AJ460" s="87"/>
      <c r="AK460" s="87"/>
      <c r="AL460" s="87"/>
      <c r="AM460" s="87"/>
      <c r="AN460" s="87"/>
    </row>
    <row r="461" ht="16.5" customHeight="1">
      <c r="A461" s="87"/>
      <c r="B461" s="87"/>
      <c r="C461" s="87"/>
      <c r="D461" s="87"/>
      <c r="E461" s="87"/>
      <c r="F461" s="79"/>
      <c r="G461" s="87"/>
      <c r="H461" s="92"/>
      <c r="I461" s="87"/>
      <c r="J461" s="87"/>
      <c r="K461" s="89"/>
      <c r="L461" s="87"/>
      <c r="M461" s="87"/>
      <c r="N461" s="87"/>
      <c r="O461" s="87"/>
      <c r="P461" s="87"/>
      <c r="Q461" s="87"/>
      <c r="R461" s="87"/>
      <c r="S461" s="87"/>
      <c r="T461" s="87"/>
      <c r="U461" s="87"/>
      <c r="V461" s="87"/>
      <c r="W461" s="87"/>
      <c r="X461" s="87"/>
      <c r="Y461" s="87"/>
      <c r="Z461" s="87"/>
      <c r="AA461" s="87"/>
      <c r="AB461" s="87"/>
      <c r="AC461" s="87"/>
      <c r="AD461" s="87"/>
      <c r="AE461" s="87"/>
      <c r="AF461" s="87"/>
      <c r="AG461" s="87"/>
      <c r="AH461" s="87"/>
      <c r="AI461" s="87"/>
      <c r="AJ461" s="87"/>
      <c r="AK461" s="87"/>
      <c r="AL461" s="87"/>
      <c r="AM461" s="87"/>
      <c r="AN461" s="87"/>
    </row>
    <row r="462" ht="16.5" customHeight="1">
      <c r="A462" s="87"/>
      <c r="B462" s="87"/>
      <c r="C462" s="87"/>
      <c r="D462" s="87"/>
      <c r="E462" s="87"/>
      <c r="F462" s="79"/>
      <c r="G462" s="87"/>
      <c r="H462" s="92"/>
      <c r="I462" s="87"/>
      <c r="J462" s="87"/>
      <c r="K462" s="89"/>
      <c r="L462" s="87"/>
      <c r="M462" s="87"/>
      <c r="N462" s="87"/>
      <c r="O462" s="87"/>
      <c r="P462" s="87"/>
      <c r="Q462" s="87"/>
      <c r="R462" s="87"/>
      <c r="S462" s="87"/>
      <c r="T462" s="87"/>
      <c r="U462" s="87"/>
      <c r="V462" s="87"/>
      <c r="W462" s="87"/>
      <c r="X462" s="87"/>
      <c r="Y462" s="87"/>
      <c r="Z462" s="87"/>
      <c r="AA462" s="87"/>
      <c r="AB462" s="87"/>
      <c r="AC462" s="87"/>
      <c r="AD462" s="87"/>
      <c r="AE462" s="87"/>
      <c r="AF462" s="87"/>
      <c r="AG462" s="87"/>
      <c r="AH462" s="87"/>
      <c r="AI462" s="87"/>
      <c r="AJ462" s="87"/>
      <c r="AK462" s="87"/>
      <c r="AL462" s="87"/>
      <c r="AM462" s="87"/>
      <c r="AN462" s="87"/>
    </row>
    <row r="463" ht="16.5" customHeight="1">
      <c r="A463" s="87"/>
      <c r="B463" s="87"/>
      <c r="C463" s="87"/>
      <c r="D463" s="87"/>
      <c r="E463" s="87"/>
      <c r="F463" s="79"/>
      <c r="G463" s="87"/>
      <c r="H463" s="92"/>
      <c r="I463" s="87"/>
      <c r="J463" s="87"/>
      <c r="K463" s="89"/>
      <c r="L463" s="87"/>
      <c r="M463" s="87"/>
      <c r="N463" s="87"/>
      <c r="O463" s="87"/>
      <c r="P463" s="87"/>
      <c r="Q463" s="87"/>
      <c r="R463" s="87"/>
      <c r="S463" s="87"/>
      <c r="T463" s="87"/>
      <c r="U463" s="87"/>
      <c r="V463" s="87"/>
      <c r="W463" s="87"/>
      <c r="X463" s="87"/>
      <c r="Y463" s="87"/>
      <c r="Z463" s="87"/>
      <c r="AA463" s="87"/>
      <c r="AB463" s="87"/>
      <c r="AC463" s="87"/>
      <c r="AD463" s="87"/>
      <c r="AE463" s="87"/>
      <c r="AF463" s="87"/>
      <c r="AG463" s="87"/>
      <c r="AH463" s="87"/>
      <c r="AI463" s="87"/>
      <c r="AJ463" s="87"/>
      <c r="AK463" s="87"/>
      <c r="AL463" s="87"/>
      <c r="AM463" s="87"/>
      <c r="AN463" s="87"/>
    </row>
    <row r="464" ht="16.5" customHeight="1">
      <c r="A464" s="87"/>
      <c r="B464" s="87"/>
      <c r="C464" s="87"/>
      <c r="D464" s="87"/>
      <c r="E464" s="87"/>
      <c r="F464" s="79"/>
      <c r="G464" s="87"/>
      <c r="H464" s="92"/>
      <c r="I464" s="87"/>
      <c r="J464" s="87"/>
      <c r="K464" s="89"/>
      <c r="L464" s="87"/>
      <c r="M464" s="87"/>
      <c r="N464" s="87"/>
      <c r="O464" s="87"/>
      <c r="P464" s="87"/>
      <c r="Q464" s="87"/>
      <c r="R464" s="87"/>
      <c r="S464" s="87"/>
      <c r="T464" s="87"/>
      <c r="U464" s="87"/>
      <c r="V464" s="87"/>
      <c r="W464" s="87"/>
      <c r="X464" s="87"/>
      <c r="Y464" s="87"/>
      <c r="Z464" s="87"/>
      <c r="AA464" s="87"/>
      <c r="AB464" s="87"/>
      <c r="AC464" s="87"/>
      <c r="AD464" s="87"/>
      <c r="AE464" s="87"/>
      <c r="AF464" s="87"/>
      <c r="AG464" s="87"/>
      <c r="AH464" s="87"/>
      <c r="AI464" s="87"/>
      <c r="AJ464" s="87"/>
      <c r="AK464" s="87"/>
      <c r="AL464" s="87"/>
      <c r="AM464" s="87"/>
      <c r="AN464" s="87"/>
    </row>
    <row r="465" ht="16.5" customHeight="1">
      <c r="A465" s="87"/>
      <c r="B465" s="87"/>
      <c r="C465" s="87"/>
      <c r="D465" s="87"/>
      <c r="E465" s="87"/>
      <c r="F465" s="79"/>
      <c r="G465" s="87"/>
      <c r="H465" s="92"/>
      <c r="I465" s="87"/>
      <c r="J465" s="87"/>
      <c r="K465" s="89"/>
      <c r="L465" s="87"/>
      <c r="M465" s="87"/>
      <c r="N465" s="87"/>
      <c r="O465" s="87"/>
      <c r="P465" s="87"/>
      <c r="Q465" s="87"/>
      <c r="R465" s="87"/>
      <c r="S465" s="87"/>
      <c r="T465" s="87"/>
      <c r="U465" s="87"/>
      <c r="V465" s="87"/>
      <c r="W465" s="87"/>
      <c r="X465" s="87"/>
      <c r="Y465" s="87"/>
      <c r="Z465" s="87"/>
      <c r="AA465" s="87"/>
      <c r="AB465" s="87"/>
      <c r="AC465" s="87"/>
      <c r="AD465" s="87"/>
      <c r="AE465" s="87"/>
      <c r="AF465" s="87"/>
      <c r="AG465" s="87"/>
      <c r="AH465" s="87"/>
      <c r="AI465" s="87"/>
      <c r="AJ465" s="87"/>
      <c r="AK465" s="87"/>
      <c r="AL465" s="87"/>
      <c r="AM465" s="87"/>
      <c r="AN465" s="87"/>
    </row>
    <row r="466" ht="16.5" customHeight="1">
      <c r="A466" s="87"/>
      <c r="B466" s="87"/>
      <c r="C466" s="87"/>
      <c r="D466" s="87"/>
      <c r="E466" s="87"/>
      <c r="F466" s="79"/>
      <c r="G466" s="87"/>
      <c r="H466" s="92"/>
      <c r="I466" s="87"/>
      <c r="J466" s="87"/>
      <c r="K466" s="89"/>
      <c r="L466" s="87"/>
      <c r="M466" s="87"/>
      <c r="N466" s="87"/>
      <c r="O466" s="87"/>
      <c r="P466" s="87"/>
      <c r="Q466" s="87"/>
      <c r="R466" s="87"/>
      <c r="S466" s="87"/>
      <c r="T466" s="87"/>
      <c r="U466" s="87"/>
      <c r="V466" s="87"/>
      <c r="W466" s="87"/>
      <c r="X466" s="87"/>
      <c r="Y466" s="87"/>
      <c r="Z466" s="87"/>
      <c r="AA466" s="87"/>
      <c r="AB466" s="87"/>
      <c r="AC466" s="87"/>
      <c r="AD466" s="87"/>
      <c r="AE466" s="87"/>
      <c r="AF466" s="87"/>
      <c r="AG466" s="87"/>
      <c r="AH466" s="87"/>
      <c r="AI466" s="87"/>
      <c r="AJ466" s="87"/>
      <c r="AK466" s="87"/>
      <c r="AL466" s="87"/>
      <c r="AM466" s="87"/>
      <c r="AN466" s="87"/>
    </row>
    <row r="467" ht="16.5" customHeight="1">
      <c r="A467" s="87"/>
      <c r="B467" s="87"/>
      <c r="C467" s="87"/>
      <c r="D467" s="87"/>
      <c r="E467" s="87"/>
      <c r="F467" s="79"/>
      <c r="G467" s="87"/>
      <c r="H467" s="92"/>
      <c r="I467" s="87"/>
      <c r="J467" s="87"/>
      <c r="K467" s="89"/>
      <c r="L467" s="87"/>
      <c r="M467" s="87"/>
      <c r="N467" s="87"/>
      <c r="O467" s="87"/>
      <c r="P467" s="87"/>
      <c r="Q467" s="87"/>
      <c r="R467" s="87"/>
      <c r="S467" s="87"/>
      <c r="T467" s="87"/>
      <c r="U467" s="87"/>
      <c r="V467" s="87"/>
      <c r="W467" s="87"/>
      <c r="X467" s="87"/>
      <c r="Y467" s="87"/>
      <c r="Z467" s="87"/>
      <c r="AA467" s="87"/>
      <c r="AB467" s="87"/>
      <c r="AC467" s="87"/>
      <c r="AD467" s="87"/>
      <c r="AE467" s="87"/>
      <c r="AF467" s="87"/>
      <c r="AG467" s="87"/>
      <c r="AH467" s="87"/>
      <c r="AI467" s="87"/>
      <c r="AJ467" s="87"/>
      <c r="AK467" s="87"/>
      <c r="AL467" s="87"/>
      <c r="AM467" s="87"/>
      <c r="AN467" s="87"/>
    </row>
    <row r="468" ht="16.5" customHeight="1">
      <c r="A468" s="87"/>
      <c r="B468" s="87"/>
      <c r="C468" s="87"/>
      <c r="D468" s="87"/>
      <c r="E468" s="87"/>
      <c r="F468" s="79"/>
      <c r="G468" s="87"/>
      <c r="H468" s="92"/>
      <c r="I468" s="87"/>
      <c r="J468" s="87"/>
      <c r="K468" s="89"/>
      <c r="L468" s="87"/>
      <c r="M468" s="87"/>
      <c r="N468" s="87"/>
      <c r="O468" s="87"/>
      <c r="P468" s="87"/>
      <c r="Q468" s="87"/>
      <c r="R468" s="87"/>
      <c r="S468" s="87"/>
      <c r="T468" s="87"/>
      <c r="U468" s="87"/>
      <c r="V468" s="87"/>
      <c r="W468" s="87"/>
      <c r="X468" s="87"/>
      <c r="Y468" s="87"/>
      <c r="Z468" s="87"/>
      <c r="AA468" s="87"/>
      <c r="AB468" s="87"/>
      <c r="AC468" s="87"/>
      <c r="AD468" s="87"/>
      <c r="AE468" s="87"/>
      <c r="AF468" s="87"/>
      <c r="AG468" s="87"/>
      <c r="AH468" s="87"/>
      <c r="AI468" s="87"/>
      <c r="AJ468" s="87"/>
      <c r="AK468" s="87"/>
      <c r="AL468" s="87"/>
      <c r="AM468" s="87"/>
      <c r="AN468" s="87"/>
    </row>
    <row r="469" ht="16.5" customHeight="1">
      <c r="A469" s="87"/>
      <c r="B469" s="87"/>
      <c r="C469" s="87"/>
      <c r="D469" s="87"/>
      <c r="E469" s="87"/>
      <c r="F469" s="79"/>
      <c r="G469" s="87"/>
      <c r="H469" s="92"/>
      <c r="I469" s="87"/>
      <c r="J469" s="87"/>
      <c r="K469" s="89"/>
      <c r="L469" s="87"/>
      <c r="M469" s="87"/>
      <c r="N469" s="87"/>
      <c r="O469" s="87"/>
      <c r="P469" s="87"/>
      <c r="Q469" s="87"/>
      <c r="R469" s="87"/>
      <c r="S469" s="87"/>
      <c r="T469" s="87"/>
      <c r="U469" s="87"/>
      <c r="V469" s="87"/>
      <c r="W469" s="87"/>
      <c r="X469" s="87"/>
      <c r="Y469" s="87"/>
      <c r="Z469" s="87"/>
      <c r="AA469" s="87"/>
      <c r="AB469" s="87"/>
      <c r="AC469" s="87"/>
      <c r="AD469" s="87"/>
      <c r="AE469" s="87"/>
      <c r="AF469" s="87"/>
      <c r="AG469" s="87"/>
      <c r="AH469" s="87"/>
      <c r="AI469" s="87"/>
      <c r="AJ469" s="87"/>
      <c r="AK469" s="87"/>
      <c r="AL469" s="87"/>
      <c r="AM469" s="87"/>
      <c r="AN469" s="87"/>
    </row>
    <row r="470" ht="16.5" customHeight="1">
      <c r="A470" s="87"/>
      <c r="B470" s="87"/>
      <c r="C470" s="87"/>
      <c r="D470" s="87"/>
      <c r="E470" s="87"/>
      <c r="F470" s="79"/>
      <c r="G470" s="87"/>
      <c r="H470" s="92"/>
      <c r="I470" s="87"/>
      <c r="J470" s="87"/>
      <c r="K470" s="89"/>
      <c r="L470" s="87"/>
      <c r="M470" s="87"/>
      <c r="N470" s="87"/>
      <c r="O470" s="87"/>
      <c r="P470" s="87"/>
      <c r="Q470" s="87"/>
      <c r="R470" s="87"/>
      <c r="S470" s="87"/>
      <c r="T470" s="87"/>
      <c r="U470" s="87"/>
      <c r="V470" s="87"/>
      <c r="W470" s="87"/>
      <c r="X470" s="87"/>
      <c r="Y470" s="87"/>
      <c r="Z470" s="87"/>
      <c r="AA470" s="87"/>
      <c r="AB470" s="87"/>
      <c r="AC470" s="87"/>
      <c r="AD470" s="87"/>
      <c r="AE470" s="87"/>
      <c r="AF470" s="87"/>
      <c r="AG470" s="87"/>
      <c r="AH470" s="87"/>
      <c r="AI470" s="87"/>
      <c r="AJ470" s="87"/>
      <c r="AK470" s="87"/>
      <c r="AL470" s="87"/>
      <c r="AM470" s="87"/>
      <c r="AN470" s="87"/>
    </row>
    <row r="471" ht="16.5" customHeight="1">
      <c r="A471" s="87"/>
      <c r="B471" s="87"/>
      <c r="C471" s="87"/>
      <c r="D471" s="87"/>
      <c r="E471" s="87"/>
      <c r="F471" s="79"/>
      <c r="G471" s="87"/>
      <c r="H471" s="92"/>
      <c r="I471" s="87"/>
      <c r="J471" s="87"/>
      <c r="K471" s="89"/>
      <c r="L471" s="87"/>
      <c r="M471" s="87"/>
      <c r="N471" s="87"/>
      <c r="O471" s="87"/>
      <c r="P471" s="87"/>
      <c r="Q471" s="87"/>
      <c r="R471" s="87"/>
      <c r="S471" s="87"/>
      <c r="T471" s="87"/>
      <c r="U471" s="87"/>
      <c r="V471" s="87"/>
      <c r="W471" s="87"/>
      <c r="X471" s="87"/>
      <c r="Y471" s="87"/>
      <c r="Z471" s="87"/>
      <c r="AA471" s="87"/>
      <c r="AB471" s="87"/>
      <c r="AC471" s="87"/>
      <c r="AD471" s="87"/>
      <c r="AE471" s="87"/>
      <c r="AF471" s="87"/>
      <c r="AG471" s="87"/>
      <c r="AH471" s="87"/>
      <c r="AI471" s="87"/>
      <c r="AJ471" s="87"/>
      <c r="AK471" s="87"/>
      <c r="AL471" s="87"/>
      <c r="AM471" s="87"/>
      <c r="AN471" s="87"/>
    </row>
    <row r="472" ht="16.5" customHeight="1">
      <c r="A472" s="87"/>
      <c r="B472" s="87"/>
      <c r="C472" s="87"/>
      <c r="D472" s="87"/>
      <c r="E472" s="87"/>
      <c r="F472" s="79"/>
      <c r="G472" s="87"/>
      <c r="H472" s="92"/>
      <c r="I472" s="87"/>
      <c r="J472" s="87"/>
      <c r="K472" s="89"/>
      <c r="L472" s="87"/>
      <c r="M472" s="87"/>
      <c r="N472" s="87"/>
      <c r="O472" s="87"/>
      <c r="P472" s="87"/>
      <c r="Q472" s="87"/>
      <c r="R472" s="87"/>
      <c r="S472" s="87"/>
      <c r="T472" s="87"/>
      <c r="U472" s="87"/>
      <c r="V472" s="87"/>
      <c r="W472" s="87"/>
      <c r="X472" s="87"/>
      <c r="Y472" s="87"/>
      <c r="Z472" s="87"/>
      <c r="AA472" s="87"/>
      <c r="AB472" s="87"/>
      <c r="AC472" s="87"/>
      <c r="AD472" s="87"/>
      <c r="AE472" s="87"/>
      <c r="AF472" s="87"/>
      <c r="AG472" s="87"/>
      <c r="AH472" s="87"/>
      <c r="AI472" s="87"/>
      <c r="AJ472" s="87"/>
      <c r="AK472" s="87"/>
      <c r="AL472" s="87"/>
      <c r="AM472" s="87"/>
      <c r="AN472" s="87"/>
    </row>
    <row r="473" ht="16.5" customHeight="1">
      <c r="A473" s="87"/>
      <c r="B473" s="87"/>
      <c r="C473" s="87"/>
      <c r="D473" s="87"/>
      <c r="E473" s="87"/>
      <c r="F473" s="79"/>
      <c r="G473" s="87"/>
      <c r="H473" s="92"/>
      <c r="I473" s="87"/>
      <c r="J473" s="87"/>
      <c r="K473" s="89"/>
      <c r="L473" s="87"/>
      <c r="M473" s="87"/>
      <c r="N473" s="87"/>
      <c r="O473" s="87"/>
      <c r="P473" s="87"/>
      <c r="Q473" s="87"/>
      <c r="R473" s="87"/>
      <c r="S473" s="87"/>
      <c r="T473" s="87"/>
      <c r="U473" s="87"/>
      <c r="V473" s="87"/>
      <c r="W473" s="87"/>
      <c r="X473" s="87"/>
      <c r="Y473" s="87"/>
      <c r="Z473" s="87"/>
      <c r="AA473" s="87"/>
      <c r="AB473" s="87"/>
      <c r="AC473" s="87"/>
      <c r="AD473" s="87"/>
      <c r="AE473" s="87"/>
      <c r="AF473" s="87"/>
      <c r="AG473" s="87"/>
      <c r="AH473" s="87"/>
      <c r="AI473" s="87"/>
      <c r="AJ473" s="87"/>
      <c r="AK473" s="87"/>
      <c r="AL473" s="87"/>
      <c r="AM473" s="87"/>
      <c r="AN473" s="87"/>
    </row>
    <row r="474" ht="16.5" customHeight="1">
      <c r="A474" s="87"/>
      <c r="B474" s="87"/>
      <c r="C474" s="87"/>
      <c r="D474" s="87"/>
      <c r="E474" s="87"/>
      <c r="F474" s="79"/>
      <c r="G474" s="87"/>
      <c r="H474" s="92"/>
      <c r="I474" s="87"/>
      <c r="J474" s="87"/>
      <c r="K474" s="89"/>
      <c r="L474" s="87"/>
      <c r="M474" s="87"/>
      <c r="N474" s="87"/>
      <c r="O474" s="87"/>
      <c r="P474" s="87"/>
      <c r="Q474" s="87"/>
      <c r="R474" s="87"/>
      <c r="S474" s="87"/>
      <c r="T474" s="87"/>
      <c r="U474" s="87"/>
      <c r="V474" s="87"/>
      <c r="W474" s="87"/>
      <c r="X474" s="87"/>
      <c r="Y474" s="87"/>
      <c r="Z474" s="87"/>
      <c r="AA474" s="87"/>
      <c r="AB474" s="87"/>
      <c r="AC474" s="87"/>
      <c r="AD474" s="87"/>
      <c r="AE474" s="87"/>
      <c r="AF474" s="87"/>
      <c r="AG474" s="87"/>
      <c r="AH474" s="87"/>
      <c r="AI474" s="87"/>
      <c r="AJ474" s="87"/>
      <c r="AK474" s="87"/>
      <c r="AL474" s="87"/>
      <c r="AM474" s="87"/>
      <c r="AN474" s="87"/>
    </row>
    <row r="475" ht="16.5" customHeight="1">
      <c r="A475" s="87"/>
      <c r="B475" s="87"/>
      <c r="C475" s="87"/>
      <c r="D475" s="87"/>
      <c r="E475" s="87"/>
      <c r="F475" s="79"/>
      <c r="G475" s="87"/>
      <c r="H475" s="92"/>
      <c r="I475" s="87"/>
      <c r="J475" s="87"/>
      <c r="K475" s="89"/>
      <c r="L475" s="87"/>
      <c r="M475" s="87"/>
      <c r="N475" s="87"/>
      <c r="O475" s="87"/>
      <c r="P475" s="87"/>
      <c r="Q475" s="87"/>
      <c r="R475" s="87"/>
      <c r="S475" s="87"/>
      <c r="T475" s="87"/>
      <c r="U475" s="87"/>
      <c r="V475" s="87"/>
      <c r="W475" s="87"/>
      <c r="X475" s="87"/>
      <c r="Y475" s="87"/>
      <c r="Z475" s="87"/>
      <c r="AA475" s="87"/>
      <c r="AB475" s="87"/>
      <c r="AC475" s="87"/>
      <c r="AD475" s="87"/>
      <c r="AE475" s="87"/>
      <c r="AF475" s="87"/>
      <c r="AG475" s="87"/>
      <c r="AH475" s="87"/>
      <c r="AI475" s="87"/>
      <c r="AJ475" s="87"/>
      <c r="AK475" s="87"/>
      <c r="AL475" s="87"/>
      <c r="AM475" s="87"/>
      <c r="AN475" s="87"/>
    </row>
    <row r="476" ht="16.5" customHeight="1">
      <c r="A476" s="87"/>
      <c r="B476" s="87"/>
      <c r="C476" s="87"/>
      <c r="D476" s="87"/>
      <c r="E476" s="87"/>
      <c r="F476" s="79"/>
      <c r="G476" s="87"/>
      <c r="H476" s="92"/>
      <c r="I476" s="87"/>
      <c r="J476" s="87"/>
      <c r="K476" s="89"/>
      <c r="L476" s="87"/>
      <c r="M476" s="87"/>
      <c r="N476" s="87"/>
      <c r="O476" s="87"/>
      <c r="P476" s="87"/>
      <c r="Q476" s="87"/>
      <c r="R476" s="87"/>
      <c r="S476" s="87"/>
      <c r="T476" s="87"/>
      <c r="U476" s="87"/>
      <c r="V476" s="87"/>
      <c r="W476" s="87"/>
      <c r="X476" s="87"/>
      <c r="Y476" s="87"/>
      <c r="Z476" s="87"/>
      <c r="AA476" s="87"/>
      <c r="AB476" s="87"/>
      <c r="AC476" s="87"/>
      <c r="AD476" s="87"/>
      <c r="AE476" s="87"/>
      <c r="AF476" s="87"/>
      <c r="AG476" s="87"/>
      <c r="AH476" s="87"/>
      <c r="AI476" s="87"/>
      <c r="AJ476" s="87"/>
      <c r="AK476" s="87"/>
      <c r="AL476" s="87"/>
      <c r="AM476" s="87"/>
      <c r="AN476" s="87"/>
    </row>
    <row r="477" ht="16.5" customHeight="1">
      <c r="A477" s="87"/>
      <c r="B477" s="87"/>
      <c r="C477" s="87"/>
      <c r="D477" s="87"/>
      <c r="E477" s="87"/>
      <c r="F477" s="79"/>
      <c r="G477" s="87"/>
      <c r="H477" s="92"/>
      <c r="I477" s="87"/>
      <c r="J477" s="87"/>
      <c r="K477" s="89"/>
      <c r="L477" s="87"/>
      <c r="M477" s="87"/>
      <c r="N477" s="87"/>
      <c r="O477" s="87"/>
      <c r="P477" s="87"/>
      <c r="Q477" s="87"/>
      <c r="R477" s="87"/>
      <c r="S477" s="87"/>
      <c r="T477" s="87"/>
      <c r="U477" s="87"/>
      <c r="V477" s="87"/>
      <c r="W477" s="87"/>
      <c r="X477" s="87"/>
      <c r="Y477" s="87"/>
      <c r="Z477" s="87"/>
      <c r="AA477" s="87"/>
      <c r="AB477" s="87"/>
      <c r="AC477" s="87"/>
      <c r="AD477" s="87"/>
      <c r="AE477" s="87"/>
      <c r="AF477" s="87"/>
      <c r="AG477" s="87"/>
      <c r="AH477" s="87"/>
      <c r="AI477" s="87"/>
      <c r="AJ477" s="87"/>
      <c r="AK477" s="87"/>
      <c r="AL477" s="87"/>
      <c r="AM477" s="87"/>
      <c r="AN477" s="87"/>
    </row>
    <row r="478" ht="16.5" customHeight="1">
      <c r="A478" s="87"/>
      <c r="B478" s="87"/>
      <c r="C478" s="87"/>
      <c r="D478" s="87"/>
      <c r="E478" s="87"/>
      <c r="F478" s="79"/>
      <c r="G478" s="87"/>
      <c r="H478" s="92"/>
      <c r="I478" s="87"/>
      <c r="J478" s="87"/>
      <c r="K478" s="89"/>
      <c r="L478" s="87"/>
      <c r="M478" s="87"/>
      <c r="N478" s="87"/>
      <c r="O478" s="87"/>
      <c r="P478" s="87"/>
      <c r="Q478" s="87"/>
      <c r="R478" s="87"/>
      <c r="S478" s="87"/>
      <c r="T478" s="87"/>
      <c r="U478" s="87"/>
      <c r="V478" s="87"/>
      <c r="W478" s="87"/>
      <c r="X478" s="87"/>
      <c r="Y478" s="87"/>
      <c r="Z478" s="87"/>
      <c r="AA478" s="87"/>
      <c r="AB478" s="87"/>
      <c r="AC478" s="87"/>
      <c r="AD478" s="87"/>
      <c r="AE478" s="87"/>
      <c r="AF478" s="87"/>
      <c r="AG478" s="87"/>
      <c r="AH478" s="87"/>
      <c r="AI478" s="87"/>
      <c r="AJ478" s="87"/>
      <c r="AK478" s="87"/>
      <c r="AL478" s="87"/>
      <c r="AM478" s="87"/>
      <c r="AN478" s="87"/>
    </row>
    <row r="479" ht="16.5" customHeight="1">
      <c r="A479" s="87"/>
      <c r="B479" s="87"/>
      <c r="C479" s="87"/>
      <c r="D479" s="87"/>
      <c r="E479" s="87"/>
      <c r="F479" s="79"/>
      <c r="G479" s="87"/>
      <c r="H479" s="92"/>
      <c r="I479" s="87"/>
      <c r="J479" s="87"/>
      <c r="K479" s="89"/>
      <c r="L479" s="87"/>
      <c r="M479" s="87"/>
      <c r="N479" s="87"/>
      <c r="O479" s="87"/>
      <c r="P479" s="87"/>
      <c r="Q479" s="87"/>
      <c r="R479" s="87"/>
      <c r="S479" s="87"/>
      <c r="T479" s="87"/>
      <c r="U479" s="87"/>
      <c r="V479" s="87"/>
      <c r="W479" s="87"/>
      <c r="X479" s="87"/>
      <c r="Y479" s="87"/>
      <c r="Z479" s="87"/>
      <c r="AA479" s="87"/>
      <c r="AB479" s="87"/>
      <c r="AC479" s="87"/>
      <c r="AD479" s="87"/>
      <c r="AE479" s="87"/>
      <c r="AF479" s="87"/>
      <c r="AG479" s="87"/>
      <c r="AH479" s="87"/>
      <c r="AI479" s="87"/>
      <c r="AJ479" s="87"/>
      <c r="AK479" s="87"/>
      <c r="AL479" s="87"/>
      <c r="AM479" s="87"/>
      <c r="AN479" s="87"/>
    </row>
    <row r="480" ht="16.5" customHeight="1">
      <c r="A480" s="87"/>
      <c r="B480" s="87"/>
      <c r="C480" s="87"/>
      <c r="D480" s="87"/>
      <c r="E480" s="87"/>
      <c r="F480" s="79"/>
      <c r="G480" s="87"/>
      <c r="H480" s="92"/>
      <c r="I480" s="87"/>
      <c r="J480" s="87"/>
      <c r="K480" s="89"/>
      <c r="L480" s="87"/>
      <c r="M480" s="87"/>
      <c r="N480" s="87"/>
      <c r="O480" s="87"/>
      <c r="P480" s="87"/>
      <c r="Q480" s="87"/>
      <c r="R480" s="87"/>
      <c r="S480" s="87"/>
      <c r="T480" s="87"/>
      <c r="U480" s="87"/>
      <c r="V480" s="87"/>
      <c r="W480" s="87"/>
      <c r="X480" s="87"/>
      <c r="Y480" s="87"/>
      <c r="Z480" s="87"/>
      <c r="AA480" s="87"/>
      <c r="AB480" s="87"/>
      <c r="AC480" s="87"/>
      <c r="AD480" s="87"/>
      <c r="AE480" s="87"/>
      <c r="AF480" s="87"/>
      <c r="AG480" s="87"/>
      <c r="AH480" s="87"/>
      <c r="AI480" s="87"/>
      <c r="AJ480" s="87"/>
      <c r="AK480" s="87"/>
      <c r="AL480" s="87"/>
      <c r="AM480" s="87"/>
      <c r="AN480" s="87"/>
    </row>
    <row r="481" ht="16.5" customHeight="1">
      <c r="A481" s="87"/>
      <c r="B481" s="87"/>
      <c r="C481" s="87"/>
      <c r="D481" s="87"/>
      <c r="E481" s="87"/>
      <c r="F481" s="79"/>
      <c r="G481" s="87"/>
      <c r="H481" s="92"/>
      <c r="I481" s="87"/>
      <c r="J481" s="87"/>
      <c r="K481" s="89"/>
      <c r="L481" s="87"/>
      <c r="M481" s="87"/>
      <c r="N481" s="87"/>
      <c r="O481" s="87"/>
      <c r="P481" s="87"/>
      <c r="Q481" s="87"/>
      <c r="R481" s="87"/>
      <c r="S481" s="87"/>
      <c r="T481" s="87"/>
      <c r="U481" s="87"/>
      <c r="V481" s="87"/>
      <c r="W481" s="87"/>
      <c r="X481" s="87"/>
      <c r="Y481" s="87"/>
      <c r="Z481" s="87"/>
      <c r="AA481" s="87"/>
      <c r="AB481" s="87"/>
      <c r="AC481" s="87"/>
      <c r="AD481" s="87"/>
      <c r="AE481" s="87"/>
      <c r="AF481" s="87"/>
      <c r="AG481" s="87"/>
      <c r="AH481" s="87"/>
      <c r="AI481" s="87"/>
      <c r="AJ481" s="87"/>
      <c r="AK481" s="87"/>
      <c r="AL481" s="87"/>
      <c r="AM481" s="87"/>
      <c r="AN481" s="87"/>
    </row>
    <row r="482" ht="16.5" customHeight="1">
      <c r="A482" s="87"/>
      <c r="B482" s="87"/>
      <c r="C482" s="87"/>
      <c r="D482" s="87"/>
      <c r="E482" s="87"/>
      <c r="F482" s="79"/>
      <c r="G482" s="87"/>
      <c r="H482" s="92"/>
      <c r="I482" s="87"/>
      <c r="J482" s="87"/>
      <c r="K482" s="89"/>
      <c r="L482" s="87"/>
      <c r="M482" s="87"/>
      <c r="N482" s="87"/>
      <c r="O482" s="87"/>
      <c r="P482" s="87"/>
      <c r="Q482" s="87"/>
      <c r="R482" s="87"/>
      <c r="S482" s="87"/>
      <c r="T482" s="87"/>
      <c r="U482" s="87"/>
      <c r="V482" s="87"/>
      <c r="W482" s="87"/>
      <c r="X482" s="87"/>
      <c r="Y482" s="87"/>
      <c r="Z482" s="87"/>
      <c r="AA482" s="87"/>
      <c r="AB482" s="87"/>
      <c r="AC482" s="87"/>
      <c r="AD482" s="87"/>
      <c r="AE482" s="87"/>
      <c r="AF482" s="87"/>
      <c r="AG482" s="87"/>
      <c r="AH482" s="87"/>
      <c r="AI482" s="87"/>
      <c r="AJ482" s="87"/>
      <c r="AK482" s="87"/>
      <c r="AL482" s="87"/>
      <c r="AM482" s="87"/>
      <c r="AN482" s="87"/>
    </row>
    <row r="483" ht="16.5" customHeight="1">
      <c r="A483" s="87"/>
      <c r="B483" s="87"/>
      <c r="C483" s="87"/>
      <c r="D483" s="87"/>
      <c r="E483" s="87"/>
      <c r="F483" s="79"/>
      <c r="G483" s="87"/>
      <c r="H483" s="92"/>
      <c r="I483" s="87"/>
      <c r="J483" s="87"/>
      <c r="K483" s="89"/>
      <c r="L483" s="87"/>
      <c r="M483" s="87"/>
      <c r="N483" s="87"/>
      <c r="O483" s="87"/>
      <c r="P483" s="87"/>
      <c r="Q483" s="87"/>
      <c r="R483" s="87"/>
      <c r="S483" s="87"/>
      <c r="T483" s="87"/>
      <c r="U483" s="87"/>
      <c r="V483" s="87"/>
      <c r="W483" s="87"/>
      <c r="X483" s="87"/>
      <c r="Y483" s="87"/>
      <c r="Z483" s="87"/>
      <c r="AA483" s="87"/>
      <c r="AB483" s="87"/>
      <c r="AC483" s="87"/>
      <c r="AD483" s="87"/>
      <c r="AE483" s="87"/>
      <c r="AF483" s="87"/>
      <c r="AG483" s="87"/>
      <c r="AH483" s="87"/>
      <c r="AI483" s="87"/>
      <c r="AJ483" s="87"/>
      <c r="AK483" s="87"/>
      <c r="AL483" s="87"/>
      <c r="AM483" s="87"/>
      <c r="AN483" s="87"/>
    </row>
    <row r="484" ht="16.5" customHeight="1">
      <c r="A484" s="87"/>
      <c r="B484" s="87"/>
      <c r="C484" s="87"/>
      <c r="D484" s="87"/>
      <c r="E484" s="87"/>
      <c r="F484" s="79"/>
      <c r="G484" s="87"/>
      <c r="H484" s="92"/>
      <c r="I484" s="87"/>
      <c r="J484" s="87"/>
      <c r="K484" s="89"/>
      <c r="L484" s="87"/>
      <c r="M484" s="87"/>
      <c r="N484" s="87"/>
      <c r="O484" s="87"/>
      <c r="P484" s="87"/>
      <c r="Q484" s="87"/>
      <c r="R484" s="87"/>
      <c r="S484" s="87"/>
      <c r="T484" s="87"/>
      <c r="U484" s="87"/>
      <c r="V484" s="87"/>
      <c r="W484" s="87"/>
      <c r="X484" s="87"/>
      <c r="Y484" s="87"/>
      <c r="Z484" s="87"/>
      <c r="AA484" s="87"/>
      <c r="AB484" s="87"/>
      <c r="AC484" s="87"/>
      <c r="AD484" s="87"/>
      <c r="AE484" s="87"/>
      <c r="AF484" s="87"/>
      <c r="AG484" s="87"/>
      <c r="AH484" s="87"/>
      <c r="AI484" s="87"/>
      <c r="AJ484" s="87"/>
      <c r="AK484" s="87"/>
      <c r="AL484" s="87"/>
      <c r="AM484" s="87"/>
      <c r="AN484" s="87"/>
    </row>
    <row r="485" ht="16.5" customHeight="1">
      <c r="A485" s="87"/>
      <c r="B485" s="87"/>
      <c r="C485" s="87"/>
      <c r="D485" s="87"/>
      <c r="E485" s="87"/>
      <c r="F485" s="79"/>
      <c r="G485" s="87"/>
      <c r="H485" s="92"/>
      <c r="I485" s="87"/>
      <c r="J485" s="87"/>
      <c r="K485" s="89"/>
      <c r="L485" s="87"/>
      <c r="M485" s="87"/>
      <c r="N485" s="87"/>
      <c r="O485" s="87"/>
      <c r="P485" s="87"/>
      <c r="Q485" s="87"/>
      <c r="R485" s="87"/>
      <c r="S485" s="87"/>
      <c r="T485" s="87"/>
      <c r="U485" s="87"/>
      <c r="V485" s="87"/>
      <c r="W485" s="87"/>
      <c r="X485" s="87"/>
      <c r="Y485" s="87"/>
      <c r="Z485" s="87"/>
      <c r="AA485" s="87"/>
      <c r="AB485" s="87"/>
      <c r="AC485" s="87"/>
      <c r="AD485" s="87"/>
      <c r="AE485" s="87"/>
      <c r="AF485" s="87"/>
      <c r="AG485" s="87"/>
      <c r="AH485" s="87"/>
      <c r="AI485" s="87"/>
      <c r="AJ485" s="87"/>
      <c r="AK485" s="87"/>
      <c r="AL485" s="87"/>
      <c r="AM485" s="87"/>
      <c r="AN485" s="87"/>
    </row>
    <row r="486" ht="16.5" customHeight="1">
      <c r="A486" s="87"/>
      <c r="B486" s="87"/>
      <c r="C486" s="87"/>
      <c r="D486" s="87"/>
      <c r="E486" s="87"/>
      <c r="F486" s="79"/>
      <c r="G486" s="87"/>
      <c r="H486" s="92"/>
      <c r="I486" s="87"/>
      <c r="J486" s="87"/>
      <c r="K486" s="89"/>
      <c r="L486" s="87"/>
      <c r="M486" s="87"/>
      <c r="N486" s="87"/>
      <c r="O486" s="87"/>
      <c r="P486" s="87"/>
      <c r="Q486" s="87"/>
      <c r="R486" s="87"/>
      <c r="S486" s="87"/>
      <c r="T486" s="87"/>
      <c r="U486" s="87"/>
      <c r="V486" s="87"/>
      <c r="W486" s="87"/>
      <c r="X486" s="87"/>
      <c r="Y486" s="87"/>
      <c r="Z486" s="87"/>
      <c r="AA486" s="87"/>
      <c r="AB486" s="87"/>
      <c r="AC486" s="87"/>
      <c r="AD486" s="87"/>
      <c r="AE486" s="87"/>
      <c r="AF486" s="87"/>
      <c r="AG486" s="87"/>
      <c r="AH486" s="87"/>
      <c r="AI486" s="87"/>
      <c r="AJ486" s="87"/>
      <c r="AK486" s="87"/>
      <c r="AL486" s="87"/>
      <c r="AM486" s="87"/>
      <c r="AN486" s="87"/>
    </row>
    <row r="487" ht="16.5" customHeight="1">
      <c r="A487" s="87"/>
      <c r="B487" s="87"/>
      <c r="C487" s="87"/>
      <c r="D487" s="87"/>
      <c r="E487" s="87"/>
      <c r="F487" s="79"/>
      <c r="G487" s="87"/>
      <c r="H487" s="92"/>
      <c r="I487" s="87"/>
      <c r="J487" s="87"/>
      <c r="K487" s="89"/>
      <c r="L487" s="87"/>
      <c r="M487" s="87"/>
      <c r="N487" s="87"/>
      <c r="O487" s="87"/>
      <c r="P487" s="87"/>
      <c r="Q487" s="87"/>
      <c r="R487" s="87"/>
      <c r="S487" s="87"/>
      <c r="T487" s="87"/>
      <c r="U487" s="87"/>
      <c r="V487" s="87"/>
      <c r="W487" s="87"/>
      <c r="X487" s="87"/>
      <c r="Y487" s="87"/>
      <c r="Z487" s="87"/>
      <c r="AA487" s="87"/>
      <c r="AB487" s="87"/>
      <c r="AC487" s="87"/>
      <c r="AD487" s="87"/>
      <c r="AE487" s="87"/>
      <c r="AF487" s="87"/>
      <c r="AG487" s="87"/>
      <c r="AH487" s="87"/>
      <c r="AI487" s="87"/>
      <c r="AJ487" s="87"/>
      <c r="AK487" s="87"/>
      <c r="AL487" s="87"/>
      <c r="AM487" s="87"/>
      <c r="AN487" s="87"/>
    </row>
    <row r="488" ht="16.5" customHeight="1">
      <c r="A488" s="87"/>
      <c r="B488" s="87"/>
      <c r="C488" s="87"/>
      <c r="D488" s="87"/>
      <c r="E488" s="87"/>
      <c r="F488" s="79"/>
      <c r="G488" s="87"/>
      <c r="H488" s="92"/>
      <c r="I488" s="87"/>
      <c r="J488" s="87"/>
      <c r="K488" s="89"/>
      <c r="L488" s="87"/>
      <c r="M488" s="87"/>
      <c r="N488" s="87"/>
      <c r="O488" s="87"/>
      <c r="P488" s="87"/>
      <c r="Q488" s="87"/>
      <c r="R488" s="87"/>
      <c r="S488" s="87"/>
      <c r="T488" s="87"/>
      <c r="U488" s="87"/>
      <c r="V488" s="87"/>
      <c r="W488" s="87"/>
      <c r="X488" s="87"/>
      <c r="Y488" s="87"/>
      <c r="Z488" s="87"/>
      <c r="AA488" s="87"/>
      <c r="AB488" s="87"/>
      <c r="AC488" s="87"/>
      <c r="AD488" s="87"/>
      <c r="AE488" s="87"/>
      <c r="AF488" s="87"/>
      <c r="AG488" s="87"/>
      <c r="AH488" s="87"/>
      <c r="AI488" s="87"/>
      <c r="AJ488" s="87"/>
      <c r="AK488" s="87"/>
      <c r="AL488" s="87"/>
      <c r="AM488" s="87"/>
      <c r="AN488" s="87"/>
    </row>
    <row r="489" ht="16.5" customHeight="1">
      <c r="A489" s="87"/>
      <c r="B489" s="87"/>
      <c r="C489" s="87"/>
      <c r="D489" s="87"/>
      <c r="E489" s="87"/>
      <c r="F489" s="79"/>
      <c r="G489" s="87"/>
      <c r="H489" s="92"/>
      <c r="I489" s="87"/>
      <c r="J489" s="87"/>
      <c r="K489" s="89"/>
      <c r="L489" s="87"/>
      <c r="M489" s="87"/>
      <c r="N489" s="87"/>
      <c r="O489" s="87"/>
      <c r="P489" s="87"/>
      <c r="Q489" s="87"/>
      <c r="R489" s="87"/>
      <c r="S489" s="87"/>
      <c r="T489" s="87"/>
      <c r="U489" s="87"/>
      <c r="V489" s="87"/>
      <c r="W489" s="87"/>
      <c r="X489" s="87"/>
      <c r="Y489" s="87"/>
      <c r="Z489" s="87"/>
      <c r="AA489" s="87"/>
      <c r="AB489" s="87"/>
      <c r="AC489" s="87"/>
      <c r="AD489" s="87"/>
      <c r="AE489" s="87"/>
      <c r="AF489" s="87"/>
      <c r="AG489" s="87"/>
      <c r="AH489" s="87"/>
      <c r="AI489" s="87"/>
      <c r="AJ489" s="87"/>
      <c r="AK489" s="87"/>
      <c r="AL489" s="87"/>
      <c r="AM489" s="87"/>
      <c r="AN489" s="87"/>
    </row>
    <row r="490" ht="16.5" customHeight="1">
      <c r="A490" s="87"/>
      <c r="B490" s="87"/>
      <c r="C490" s="87"/>
      <c r="D490" s="87"/>
      <c r="E490" s="87"/>
      <c r="F490" s="79"/>
      <c r="G490" s="87"/>
      <c r="H490" s="92"/>
      <c r="I490" s="87"/>
      <c r="J490" s="87"/>
      <c r="K490" s="89"/>
      <c r="L490" s="87"/>
      <c r="M490" s="87"/>
      <c r="N490" s="87"/>
      <c r="O490" s="87"/>
      <c r="P490" s="87"/>
      <c r="Q490" s="87"/>
      <c r="R490" s="87"/>
      <c r="S490" s="87"/>
      <c r="T490" s="87"/>
      <c r="U490" s="87"/>
      <c r="V490" s="87"/>
      <c r="W490" s="87"/>
      <c r="X490" s="87"/>
      <c r="Y490" s="87"/>
      <c r="Z490" s="87"/>
      <c r="AA490" s="87"/>
      <c r="AB490" s="87"/>
      <c r="AC490" s="87"/>
      <c r="AD490" s="87"/>
      <c r="AE490" s="87"/>
      <c r="AF490" s="87"/>
      <c r="AG490" s="87"/>
      <c r="AH490" s="87"/>
      <c r="AI490" s="87"/>
      <c r="AJ490" s="87"/>
      <c r="AK490" s="87"/>
      <c r="AL490" s="87"/>
      <c r="AM490" s="87"/>
      <c r="AN490" s="87"/>
    </row>
    <row r="491" ht="16.5" customHeight="1">
      <c r="A491" s="87"/>
      <c r="B491" s="87"/>
      <c r="C491" s="87"/>
      <c r="D491" s="87"/>
      <c r="E491" s="87"/>
      <c r="F491" s="79"/>
      <c r="G491" s="87"/>
      <c r="H491" s="92"/>
      <c r="I491" s="87"/>
      <c r="J491" s="87"/>
      <c r="K491" s="89"/>
      <c r="L491" s="87"/>
      <c r="M491" s="87"/>
      <c r="N491" s="87"/>
      <c r="O491" s="87"/>
      <c r="P491" s="87"/>
      <c r="Q491" s="87"/>
      <c r="R491" s="87"/>
      <c r="S491" s="87"/>
      <c r="T491" s="87"/>
      <c r="U491" s="87"/>
      <c r="V491" s="87"/>
      <c r="W491" s="87"/>
      <c r="X491" s="87"/>
      <c r="Y491" s="87"/>
      <c r="Z491" s="87"/>
      <c r="AA491" s="87"/>
      <c r="AB491" s="87"/>
      <c r="AC491" s="87"/>
      <c r="AD491" s="87"/>
      <c r="AE491" s="87"/>
      <c r="AF491" s="87"/>
      <c r="AG491" s="87"/>
      <c r="AH491" s="87"/>
      <c r="AI491" s="87"/>
      <c r="AJ491" s="87"/>
      <c r="AK491" s="87"/>
      <c r="AL491" s="87"/>
      <c r="AM491" s="87"/>
      <c r="AN491" s="87"/>
    </row>
    <row r="492" ht="16.5" customHeight="1">
      <c r="A492" s="87"/>
      <c r="B492" s="87"/>
      <c r="C492" s="87"/>
      <c r="D492" s="87"/>
      <c r="E492" s="87"/>
      <c r="F492" s="79"/>
      <c r="G492" s="87"/>
      <c r="H492" s="92"/>
      <c r="I492" s="87"/>
      <c r="J492" s="87"/>
      <c r="K492" s="89"/>
      <c r="L492" s="87"/>
      <c r="M492" s="87"/>
      <c r="N492" s="87"/>
      <c r="O492" s="87"/>
      <c r="P492" s="87"/>
      <c r="Q492" s="87"/>
      <c r="R492" s="87"/>
      <c r="S492" s="87"/>
      <c r="T492" s="87"/>
      <c r="U492" s="87"/>
      <c r="V492" s="87"/>
      <c r="W492" s="87"/>
      <c r="X492" s="87"/>
      <c r="Y492" s="87"/>
      <c r="Z492" s="87"/>
      <c r="AA492" s="87"/>
      <c r="AB492" s="87"/>
      <c r="AC492" s="87"/>
      <c r="AD492" s="87"/>
      <c r="AE492" s="87"/>
      <c r="AF492" s="87"/>
      <c r="AG492" s="87"/>
      <c r="AH492" s="87"/>
      <c r="AI492" s="87"/>
      <c r="AJ492" s="87"/>
      <c r="AK492" s="87"/>
      <c r="AL492" s="87"/>
      <c r="AM492" s="87"/>
      <c r="AN492" s="87"/>
    </row>
    <row r="493" ht="16.5" customHeight="1">
      <c r="A493" s="87"/>
      <c r="B493" s="87"/>
      <c r="C493" s="87"/>
      <c r="D493" s="87"/>
      <c r="E493" s="87"/>
      <c r="F493" s="79"/>
      <c r="G493" s="87"/>
      <c r="H493" s="92"/>
      <c r="I493" s="87"/>
      <c r="J493" s="87"/>
      <c r="K493" s="89"/>
      <c r="L493" s="87"/>
      <c r="M493" s="87"/>
      <c r="N493" s="87"/>
      <c r="O493" s="87"/>
      <c r="P493" s="87"/>
      <c r="Q493" s="87"/>
      <c r="R493" s="87"/>
      <c r="S493" s="87"/>
      <c r="T493" s="87"/>
      <c r="U493" s="87"/>
      <c r="V493" s="87"/>
      <c r="W493" s="87"/>
      <c r="X493" s="87"/>
      <c r="Y493" s="87"/>
      <c r="Z493" s="87"/>
      <c r="AA493" s="87"/>
      <c r="AB493" s="87"/>
      <c r="AC493" s="87"/>
      <c r="AD493" s="87"/>
      <c r="AE493" s="87"/>
      <c r="AF493" s="87"/>
      <c r="AG493" s="87"/>
      <c r="AH493" s="87"/>
      <c r="AI493" s="87"/>
      <c r="AJ493" s="87"/>
      <c r="AK493" s="87"/>
      <c r="AL493" s="87"/>
      <c r="AM493" s="87"/>
      <c r="AN493" s="87"/>
    </row>
    <row r="494" ht="16.5" customHeight="1">
      <c r="A494" s="87"/>
      <c r="B494" s="87"/>
      <c r="C494" s="87"/>
      <c r="D494" s="87"/>
      <c r="E494" s="87"/>
      <c r="F494" s="79"/>
      <c r="G494" s="87"/>
      <c r="H494" s="92"/>
      <c r="I494" s="87"/>
      <c r="J494" s="87"/>
      <c r="K494" s="89"/>
      <c r="L494" s="87"/>
      <c r="M494" s="87"/>
      <c r="N494" s="87"/>
      <c r="O494" s="87"/>
      <c r="P494" s="87"/>
      <c r="Q494" s="87"/>
      <c r="R494" s="87"/>
      <c r="S494" s="87"/>
      <c r="T494" s="87"/>
      <c r="U494" s="87"/>
      <c r="V494" s="87"/>
      <c r="W494" s="87"/>
      <c r="X494" s="87"/>
      <c r="Y494" s="87"/>
      <c r="Z494" s="87"/>
      <c r="AA494" s="87"/>
      <c r="AB494" s="87"/>
      <c r="AC494" s="87"/>
      <c r="AD494" s="87"/>
      <c r="AE494" s="87"/>
      <c r="AF494" s="87"/>
      <c r="AG494" s="87"/>
      <c r="AH494" s="87"/>
      <c r="AI494" s="87"/>
      <c r="AJ494" s="87"/>
      <c r="AK494" s="87"/>
      <c r="AL494" s="87"/>
      <c r="AM494" s="87"/>
      <c r="AN494" s="87"/>
    </row>
    <row r="495" ht="16.5" customHeight="1">
      <c r="A495" s="87"/>
      <c r="B495" s="87"/>
      <c r="C495" s="87"/>
      <c r="D495" s="87"/>
      <c r="E495" s="87"/>
      <c r="F495" s="79"/>
      <c r="G495" s="87"/>
      <c r="H495" s="92"/>
      <c r="I495" s="87"/>
      <c r="J495" s="87"/>
      <c r="K495" s="89"/>
      <c r="L495" s="87"/>
      <c r="M495" s="87"/>
      <c r="N495" s="87"/>
      <c r="O495" s="87"/>
      <c r="P495" s="87"/>
      <c r="Q495" s="87"/>
      <c r="R495" s="87"/>
      <c r="S495" s="87"/>
      <c r="T495" s="87"/>
      <c r="U495" s="87"/>
      <c r="V495" s="87"/>
      <c r="W495" s="87"/>
      <c r="X495" s="87"/>
      <c r="Y495" s="87"/>
      <c r="Z495" s="87"/>
      <c r="AA495" s="87"/>
      <c r="AB495" s="87"/>
      <c r="AC495" s="87"/>
      <c r="AD495" s="87"/>
      <c r="AE495" s="87"/>
      <c r="AF495" s="87"/>
      <c r="AG495" s="87"/>
      <c r="AH495" s="87"/>
      <c r="AI495" s="87"/>
      <c r="AJ495" s="87"/>
      <c r="AK495" s="87"/>
      <c r="AL495" s="87"/>
      <c r="AM495" s="87"/>
      <c r="AN495" s="87"/>
    </row>
    <row r="496" ht="16.5" customHeight="1">
      <c r="A496" s="87"/>
      <c r="B496" s="87"/>
      <c r="C496" s="87"/>
      <c r="D496" s="87"/>
      <c r="E496" s="87"/>
      <c r="F496" s="79"/>
      <c r="G496" s="87"/>
      <c r="H496" s="92"/>
      <c r="I496" s="87"/>
      <c r="J496" s="87"/>
      <c r="K496" s="89"/>
      <c r="L496" s="87"/>
      <c r="M496" s="87"/>
      <c r="N496" s="87"/>
      <c r="O496" s="87"/>
      <c r="P496" s="87"/>
      <c r="Q496" s="87"/>
      <c r="R496" s="87"/>
      <c r="S496" s="87"/>
      <c r="T496" s="87"/>
      <c r="U496" s="87"/>
      <c r="V496" s="87"/>
      <c r="W496" s="87"/>
      <c r="X496" s="87"/>
      <c r="Y496" s="87"/>
      <c r="Z496" s="87"/>
      <c r="AA496" s="87"/>
      <c r="AB496" s="87"/>
      <c r="AC496" s="87"/>
      <c r="AD496" s="87"/>
      <c r="AE496" s="87"/>
      <c r="AF496" s="87"/>
      <c r="AG496" s="87"/>
      <c r="AH496" s="87"/>
      <c r="AI496" s="87"/>
      <c r="AJ496" s="87"/>
      <c r="AK496" s="87"/>
      <c r="AL496" s="87"/>
      <c r="AM496" s="87"/>
      <c r="AN496" s="87"/>
    </row>
    <row r="497" ht="16.5" customHeight="1">
      <c r="A497" s="87"/>
      <c r="B497" s="87"/>
      <c r="C497" s="87"/>
      <c r="D497" s="87"/>
      <c r="E497" s="87"/>
      <c r="F497" s="79"/>
      <c r="G497" s="87"/>
      <c r="H497" s="92"/>
      <c r="I497" s="87"/>
      <c r="J497" s="87"/>
      <c r="K497" s="89"/>
      <c r="L497" s="87"/>
      <c r="M497" s="87"/>
      <c r="N497" s="87"/>
      <c r="O497" s="87"/>
      <c r="P497" s="87"/>
      <c r="Q497" s="87"/>
      <c r="R497" s="87"/>
      <c r="S497" s="87"/>
      <c r="T497" s="87"/>
      <c r="U497" s="87"/>
      <c r="V497" s="87"/>
      <c r="W497" s="87"/>
      <c r="X497" s="87"/>
      <c r="Y497" s="87"/>
      <c r="Z497" s="87"/>
      <c r="AA497" s="87"/>
      <c r="AB497" s="87"/>
      <c r="AC497" s="87"/>
      <c r="AD497" s="87"/>
      <c r="AE497" s="87"/>
      <c r="AF497" s="87"/>
      <c r="AG497" s="87"/>
      <c r="AH497" s="87"/>
      <c r="AI497" s="87"/>
      <c r="AJ497" s="87"/>
      <c r="AK497" s="87"/>
      <c r="AL497" s="87"/>
      <c r="AM497" s="87"/>
      <c r="AN497" s="87"/>
    </row>
    <row r="498" ht="16.5" customHeight="1">
      <c r="A498" s="87"/>
      <c r="B498" s="87"/>
      <c r="C498" s="87"/>
      <c r="D498" s="87"/>
      <c r="E498" s="87"/>
      <c r="F498" s="79"/>
      <c r="G498" s="87"/>
      <c r="H498" s="92"/>
      <c r="I498" s="87"/>
      <c r="J498" s="87"/>
      <c r="K498" s="89"/>
      <c r="L498" s="87"/>
      <c r="M498" s="87"/>
      <c r="N498" s="87"/>
      <c r="O498" s="87"/>
      <c r="P498" s="87"/>
      <c r="Q498" s="87"/>
      <c r="R498" s="87"/>
      <c r="S498" s="87"/>
      <c r="T498" s="87"/>
      <c r="U498" s="87"/>
      <c r="V498" s="87"/>
      <c r="W498" s="87"/>
      <c r="X498" s="87"/>
      <c r="Y498" s="87"/>
      <c r="Z498" s="87"/>
      <c r="AA498" s="87"/>
      <c r="AB498" s="87"/>
      <c r="AC498" s="87"/>
      <c r="AD498" s="87"/>
      <c r="AE498" s="87"/>
      <c r="AF498" s="87"/>
      <c r="AG498" s="87"/>
      <c r="AH498" s="87"/>
      <c r="AI498" s="87"/>
      <c r="AJ498" s="87"/>
      <c r="AK498" s="87"/>
      <c r="AL498" s="87"/>
      <c r="AM498" s="87"/>
      <c r="AN498" s="87"/>
    </row>
    <row r="499" ht="16.5" customHeight="1">
      <c r="A499" s="87"/>
      <c r="B499" s="87"/>
      <c r="C499" s="87"/>
      <c r="D499" s="87"/>
      <c r="E499" s="87"/>
      <c r="F499" s="79"/>
      <c r="G499" s="87"/>
      <c r="H499" s="92"/>
      <c r="I499" s="87"/>
      <c r="J499" s="87"/>
      <c r="K499" s="89"/>
      <c r="L499" s="87"/>
      <c r="M499" s="87"/>
      <c r="N499" s="87"/>
      <c r="O499" s="87"/>
      <c r="P499" s="87"/>
      <c r="Q499" s="87"/>
      <c r="R499" s="87"/>
      <c r="S499" s="87"/>
      <c r="T499" s="87"/>
      <c r="U499" s="87"/>
      <c r="V499" s="87"/>
      <c r="W499" s="87"/>
      <c r="X499" s="87"/>
      <c r="Y499" s="87"/>
      <c r="Z499" s="87"/>
      <c r="AA499" s="87"/>
      <c r="AB499" s="87"/>
      <c r="AC499" s="87"/>
      <c r="AD499" s="87"/>
      <c r="AE499" s="87"/>
      <c r="AF499" s="87"/>
      <c r="AG499" s="87"/>
      <c r="AH499" s="87"/>
      <c r="AI499" s="87"/>
      <c r="AJ499" s="87"/>
      <c r="AK499" s="87"/>
      <c r="AL499" s="87"/>
      <c r="AM499" s="87"/>
      <c r="AN499" s="87"/>
    </row>
    <row r="500" ht="16.5" customHeight="1">
      <c r="A500" s="87"/>
      <c r="B500" s="87"/>
      <c r="C500" s="87"/>
      <c r="D500" s="87"/>
      <c r="E500" s="87"/>
      <c r="F500" s="79"/>
      <c r="G500" s="87"/>
      <c r="H500" s="92"/>
      <c r="I500" s="87"/>
      <c r="J500" s="87"/>
      <c r="K500" s="89"/>
      <c r="L500" s="87"/>
      <c r="M500" s="87"/>
      <c r="N500" s="87"/>
      <c r="O500" s="87"/>
      <c r="P500" s="87"/>
      <c r="Q500" s="87"/>
      <c r="R500" s="87"/>
      <c r="S500" s="87"/>
      <c r="T500" s="87"/>
      <c r="U500" s="87"/>
      <c r="V500" s="87"/>
      <c r="W500" s="87"/>
      <c r="X500" s="87"/>
      <c r="Y500" s="87"/>
      <c r="Z500" s="87"/>
      <c r="AA500" s="87"/>
      <c r="AB500" s="87"/>
      <c r="AC500" s="87"/>
      <c r="AD500" s="87"/>
      <c r="AE500" s="87"/>
      <c r="AF500" s="87"/>
      <c r="AG500" s="87"/>
      <c r="AH500" s="87"/>
      <c r="AI500" s="87"/>
      <c r="AJ500" s="87"/>
      <c r="AK500" s="87"/>
      <c r="AL500" s="87"/>
      <c r="AM500" s="87"/>
      <c r="AN500" s="87"/>
    </row>
    <row r="501" ht="16.5" customHeight="1">
      <c r="A501" s="87"/>
      <c r="B501" s="87"/>
      <c r="C501" s="87"/>
      <c r="D501" s="87"/>
      <c r="E501" s="87"/>
      <c r="F501" s="79"/>
      <c r="G501" s="87"/>
      <c r="H501" s="92"/>
      <c r="I501" s="87"/>
      <c r="J501" s="87"/>
      <c r="K501" s="89"/>
      <c r="L501" s="87"/>
      <c r="M501" s="87"/>
      <c r="N501" s="87"/>
      <c r="O501" s="87"/>
      <c r="P501" s="87"/>
      <c r="Q501" s="87"/>
      <c r="R501" s="87"/>
      <c r="S501" s="87"/>
      <c r="T501" s="87"/>
      <c r="U501" s="87"/>
      <c r="V501" s="87"/>
      <c r="W501" s="87"/>
      <c r="X501" s="87"/>
      <c r="Y501" s="87"/>
      <c r="Z501" s="87"/>
      <c r="AA501" s="87"/>
      <c r="AB501" s="87"/>
      <c r="AC501" s="87"/>
      <c r="AD501" s="87"/>
      <c r="AE501" s="87"/>
      <c r="AF501" s="87"/>
      <c r="AG501" s="87"/>
      <c r="AH501" s="87"/>
      <c r="AI501" s="87"/>
      <c r="AJ501" s="87"/>
      <c r="AK501" s="87"/>
      <c r="AL501" s="87"/>
      <c r="AM501" s="87"/>
      <c r="AN501" s="87"/>
    </row>
    <row r="502" ht="16.5" customHeight="1">
      <c r="A502" s="87"/>
      <c r="B502" s="87"/>
      <c r="C502" s="87"/>
      <c r="D502" s="87"/>
      <c r="E502" s="87"/>
      <c r="F502" s="79"/>
      <c r="G502" s="87"/>
      <c r="H502" s="92"/>
      <c r="I502" s="87"/>
      <c r="J502" s="87"/>
      <c r="K502" s="89"/>
      <c r="L502" s="87"/>
      <c r="M502" s="87"/>
      <c r="N502" s="87"/>
      <c r="O502" s="87"/>
      <c r="P502" s="87"/>
      <c r="Q502" s="87"/>
      <c r="R502" s="87"/>
      <c r="S502" s="87"/>
      <c r="T502" s="87"/>
      <c r="U502" s="87"/>
      <c r="V502" s="87"/>
      <c r="W502" s="87"/>
      <c r="X502" s="87"/>
      <c r="Y502" s="87"/>
      <c r="Z502" s="87"/>
      <c r="AA502" s="87"/>
      <c r="AB502" s="87"/>
      <c r="AC502" s="87"/>
      <c r="AD502" s="87"/>
      <c r="AE502" s="87"/>
      <c r="AF502" s="87"/>
      <c r="AG502" s="87"/>
      <c r="AH502" s="87"/>
      <c r="AI502" s="87"/>
      <c r="AJ502" s="87"/>
      <c r="AK502" s="87"/>
      <c r="AL502" s="87"/>
      <c r="AM502" s="87"/>
      <c r="AN502" s="87"/>
    </row>
    <row r="503" ht="16.5" customHeight="1">
      <c r="A503" s="87"/>
      <c r="B503" s="87"/>
      <c r="C503" s="87"/>
      <c r="D503" s="87"/>
      <c r="E503" s="87"/>
      <c r="F503" s="79"/>
      <c r="G503" s="87"/>
      <c r="H503" s="92"/>
      <c r="I503" s="87"/>
      <c r="J503" s="87"/>
      <c r="K503" s="89"/>
      <c r="L503" s="87"/>
      <c r="M503" s="87"/>
      <c r="N503" s="87"/>
      <c r="O503" s="87"/>
      <c r="P503" s="87"/>
      <c r="Q503" s="87"/>
      <c r="R503" s="87"/>
      <c r="S503" s="87"/>
      <c r="T503" s="87"/>
      <c r="U503" s="87"/>
      <c r="V503" s="87"/>
      <c r="W503" s="87"/>
      <c r="X503" s="87"/>
      <c r="Y503" s="87"/>
      <c r="Z503" s="87"/>
      <c r="AA503" s="87"/>
      <c r="AB503" s="87"/>
      <c r="AC503" s="87"/>
      <c r="AD503" s="87"/>
      <c r="AE503" s="87"/>
      <c r="AF503" s="87"/>
      <c r="AG503" s="87"/>
      <c r="AH503" s="87"/>
      <c r="AI503" s="87"/>
      <c r="AJ503" s="87"/>
      <c r="AK503" s="87"/>
      <c r="AL503" s="87"/>
      <c r="AM503" s="87"/>
      <c r="AN503" s="87"/>
    </row>
    <row r="504" ht="16.5" customHeight="1">
      <c r="A504" s="87"/>
      <c r="B504" s="87"/>
      <c r="C504" s="87"/>
      <c r="D504" s="87"/>
      <c r="E504" s="87"/>
      <c r="F504" s="79"/>
      <c r="G504" s="87"/>
      <c r="H504" s="92"/>
      <c r="I504" s="87"/>
      <c r="J504" s="87"/>
      <c r="K504" s="89"/>
      <c r="L504" s="87"/>
      <c r="M504" s="87"/>
      <c r="N504" s="87"/>
      <c r="O504" s="87"/>
      <c r="P504" s="87"/>
      <c r="Q504" s="87"/>
      <c r="R504" s="87"/>
      <c r="S504" s="87"/>
      <c r="T504" s="87"/>
      <c r="U504" s="87"/>
      <c r="V504" s="87"/>
      <c r="W504" s="87"/>
      <c r="X504" s="87"/>
      <c r="Y504" s="87"/>
      <c r="Z504" s="87"/>
      <c r="AA504" s="87"/>
      <c r="AB504" s="87"/>
      <c r="AC504" s="87"/>
      <c r="AD504" s="87"/>
      <c r="AE504" s="87"/>
      <c r="AF504" s="87"/>
      <c r="AG504" s="87"/>
      <c r="AH504" s="87"/>
      <c r="AI504" s="87"/>
      <c r="AJ504" s="87"/>
      <c r="AK504" s="87"/>
      <c r="AL504" s="87"/>
      <c r="AM504" s="87"/>
      <c r="AN504" s="87"/>
    </row>
    <row r="505" ht="16.5" customHeight="1">
      <c r="A505" s="87"/>
      <c r="B505" s="87"/>
      <c r="C505" s="87"/>
      <c r="D505" s="87"/>
      <c r="E505" s="87"/>
      <c r="F505" s="79"/>
      <c r="G505" s="87"/>
      <c r="H505" s="92"/>
      <c r="I505" s="87"/>
      <c r="J505" s="87"/>
      <c r="K505" s="89"/>
      <c r="L505" s="87"/>
      <c r="M505" s="87"/>
      <c r="N505" s="87"/>
      <c r="O505" s="87"/>
      <c r="P505" s="87"/>
      <c r="Q505" s="87"/>
      <c r="R505" s="87"/>
      <c r="S505" s="87"/>
      <c r="T505" s="87"/>
      <c r="U505" s="87"/>
      <c r="V505" s="87"/>
      <c r="W505" s="87"/>
      <c r="X505" s="87"/>
      <c r="Y505" s="87"/>
      <c r="Z505" s="87"/>
      <c r="AA505" s="87"/>
      <c r="AB505" s="87"/>
      <c r="AC505" s="87"/>
      <c r="AD505" s="87"/>
      <c r="AE505" s="87"/>
      <c r="AF505" s="87"/>
      <c r="AG505" s="87"/>
      <c r="AH505" s="87"/>
      <c r="AI505" s="87"/>
      <c r="AJ505" s="87"/>
      <c r="AK505" s="87"/>
      <c r="AL505" s="87"/>
      <c r="AM505" s="87"/>
      <c r="AN505" s="87"/>
    </row>
    <row r="506" ht="16.5" customHeight="1">
      <c r="A506" s="87"/>
      <c r="B506" s="87"/>
      <c r="C506" s="87"/>
      <c r="D506" s="87"/>
      <c r="E506" s="87"/>
      <c r="F506" s="79"/>
      <c r="G506" s="87"/>
      <c r="H506" s="92"/>
      <c r="I506" s="87"/>
      <c r="J506" s="87"/>
      <c r="K506" s="89"/>
      <c r="L506" s="87"/>
      <c r="M506" s="87"/>
      <c r="N506" s="87"/>
      <c r="O506" s="87"/>
      <c r="P506" s="87"/>
      <c r="Q506" s="87"/>
      <c r="R506" s="87"/>
      <c r="S506" s="87"/>
      <c r="T506" s="87"/>
      <c r="U506" s="87"/>
      <c r="V506" s="87"/>
      <c r="W506" s="87"/>
      <c r="X506" s="87"/>
      <c r="Y506" s="87"/>
      <c r="Z506" s="87"/>
      <c r="AA506" s="87"/>
      <c r="AB506" s="87"/>
      <c r="AC506" s="87"/>
      <c r="AD506" s="87"/>
      <c r="AE506" s="87"/>
      <c r="AF506" s="87"/>
      <c r="AG506" s="87"/>
      <c r="AH506" s="87"/>
      <c r="AI506" s="87"/>
      <c r="AJ506" s="87"/>
      <c r="AK506" s="87"/>
      <c r="AL506" s="87"/>
      <c r="AM506" s="87"/>
      <c r="AN506" s="87"/>
    </row>
    <row r="507" ht="16.5" customHeight="1">
      <c r="A507" s="87"/>
      <c r="B507" s="87"/>
      <c r="C507" s="87"/>
      <c r="D507" s="87"/>
      <c r="E507" s="87"/>
      <c r="F507" s="79"/>
      <c r="G507" s="87"/>
      <c r="H507" s="92"/>
      <c r="I507" s="87"/>
      <c r="J507" s="87"/>
      <c r="K507" s="89"/>
      <c r="L507" s="87"/>
      <c r="M507" s="87"/>
      <c r="N507" s="87"/>
      <c r="O507" s="87"/>
      <c r="P507" s="87"/>
      <c r="Q507" s="87"/>
      <c r="R507" s="87"/>
      <c r="S507" s="87"/>
      <c r="T507" s="87"/>
      <c r="U507" s="87"/>
      <c r="V507" s="87"/>
      <c r="W507" s="87"/>
      <c r="X507" s="87"/>
      <c r="Y507" s="87"/>
      <c r="Z507" s="87"/>
      <c r="AA507" s="87"/>
      <c r="AB507" s="87"/>
      <c r="AC507" s="87"/>
      <c r="AD507" s="87"/>
      <c r="AE507" s="87"/>
      <c r="AF507" s="87"/>
      <c r="AG507" s="87"/>
      <c r="AH507" s="87"/>
      <c r="AI507" s="87"/>
      <c r="AJ507" s="87"/>
      <c r="AK507" s="87"/>
      <c r="AL507" s="87"/>
      <c r="AM507" s="87"/>
      <c r="AN507" s="87"/>
    </row>
    <row r="508" ht="16.5" customHeight="1">
      <c r="A508" s="87"/>
      <c r="B508" s="87"/>
      <c r="C508" s="87"/>
      <c r="D508" s="87"/>
      <c r="E508" s="87"/>
      <c r="F508" s="79"/>
      <c r="G508" s="87"/>
      <c r="H508" s="92"/>
      <c r="I508" s="87"/>
      <c r="J508" s="87"/>
      <c r="K508" s="89"/>
      <c r="L508" s="87"/>
      <c r="M508" s="87"/>
      <c r="N508" s="87"/>
      <c r="O508" s="87"/>
      <c r="P508" s="87"/>
      <c r="Q508" s="87"/>
      <c r="R508" s="87"/>
      <c r="S508" s="87"/>
      <c r="T508" s="87"/>
      <c r="U508" s="87"/>
      <c r="V508" s="87"/>
      <c r="W508" s="87"/>
      <c r="X508" s="87"/>
      <c r="Y508" s="87"/>
      <c r="Z508" s="87"/>
      <c r="AA508" s="87"/>
      <c r="AB508" s="87"/>
      <c r="AC508" s="87"/>
      <c r="AD508" s="87"/>
      <c r="AE508" s="87"/>
      <c r="AF508" s="87"/>
      <c r="AG508" s="87"/>
      <c r="AH508" s="87"/>
      <c r="AI508" s="87"/>
      <c r="AJ508" s="87"/>
      <c r="AK508" s="87"/>
      <c r="AL508" s="87"/>
      <c r="AM508" s="87"/>
      <c r="AN508" s="87"/>
    </row>
    <row r="509" ht="16.5" customHeight="1">
      <c r="A509" s="87"/>
      <c r="B509" s="87"/>
      <c r="C509" s="87"/>
      <c r="D509" s="87"/>
      <c r="E509" s="87"/>
      <c r="F509" s="79"/>
      <c r="G509" s="87"/>
      <c r="H509" s="92"/>
      <c r="I509" s="87"/>
      <c r="J509" s="87"/>
      <c r="K509" s="89"/>
      <c r="L509" s="87"/>
      <c r="M509" s="87"/>
      <c r="N509" s="87"/>
      <c r="O509" s="87"/>
      <c r="P509" s="87"/>
      <c r="Q509" s="87"/>
      <c r="R509" s="87"/>
      <c r="S509" s="87"/>
      <c r="T509" s="87"/>
      <c r="U509" s="87"/>
      <c r="V509" s="87"/>
      <c r="W509" s="87"/>
      <c r="X509" s="87"/>
      <c r="Y509" s="87"/>
      <c r="Z509" s="87"/>
      <c r="AA509" s="87"/>
      <c r="AB509" s="87"/>
      <c r="AC509" s="87"/>
      <c r="AD509" s="87"/>
      <c r="AE509" s="87"/>
      <c r="AF509" s="87"/>
      <c r="AG509" s="87"/>
      <c r="AH509" s="87"/>
      <c r="AI509" s="87"/>
      <c r="AJ509" s="87"/>
      <c r="AK509" s="87"/>
      <c r="AL509" s="87"/>
      <c r="AM509" s="87"/>
      <c r="AN509" s="87"/>
    </row>
    <row r="510" ht="16.5" customHeight="1">
      <c r="A510" s="87"/>
      <c r="B510" s="87"/>
      <c r="C510" s="87"/>
      <c r="D510" s="87"/>
      <c r="E510" s="87"/>
      <c r="F510" s="79"/>
      <c r="G510" s="87"/>
      <c r="H510" s="92"/>
      <c r="I510" s="87"/>
      <c r="J510" s="87"/>
      <c r="K510" s="89"/>
      <c r="L510" s="87"/>
      <c r="M510" s="87"/>
      <c r="N510" s="87"/>
      <c r="O510" s="87"/>
      <c r="P510" s="87"/>
      <c r="Q510" s="87"/>
      <c r="R510" s="87"/>
      <c r="S510" s="87"/>
      <c r="T510" s="87"/>
      <c r="U510" s="87"/>
      <c r="V510" s="87"/>
      <c r="W510" s="87"/>
      <c r="X510" s="87"/>
      <c r="Y510" s="87"/>
      <c r="Z510" s="87"/>
      <c r="AA510" s="87"/>
      <c r="AB510" s="87"/>
      <c r="AC510" s="87"/>
      <c r="AD510" s="87"/>
      <c r="AE510" s="87"/>
      <c r="AF510" s="87"/>
      <c r="AG510" s="87"/>
      <c r="AH510" s="87"/>
      <c r="AI510" s="87"/>
      <c r="AJ510" s="87"/>
      <c r="AK510" s="87"/>
      <c r="AL510" s="87"/>
      <c r="AM510" s="87"/>
      <c r="AN510" s="87"/>
    </row>
    <row r="511" ht="16.5" customHeight="1">
      <c r="A511" s="87"/>
      <c r="B511" s="87"/>
      <c r="C511" s="87"/>
      <c r="D511" s="87"/>
      <c r="E511" s="87"/>
      <c r="F511" s="79"/>
      <c r="G511" s="87"/>
      <c r="H511" s="92"/>
      <c r="I511" s="87"/>
      <c r="J511" s="87"/>
      <c r="K511" s="89"/>
      <c r="L511" s="87"/>
      <c r="M511" s="87"/>
      <c r="N511" s="87"/>
      <c r="O511" s="87"/>
      <c r="P511" s="87"/>
      <c r="Q511" s="87"/>
      <c r="R511" s="87"/>
      <c r="S511" s="87"/>
      <c r="T511" s="87"/>
      <c r="U511" s="87"/>
      <c r="V511" s="87"/>
      <c r="W511" s="87"/>
      <c r="X511" s="87"/>
      <c r="Y511" s="87"/>
      <c r="Z511" s="87"/>
      <c r="AA511" s="87"/>
      <c r="AB511" s="87"/>
      <c r="AC511" s="87"/>
      <c r="AD511" s="87"/>
      <c r="AE511" s="87"/>
      <c r="AF511" s="87"/>
      <c r="AG511" s="87"/>
      <c r="AH511" s="87"/>
      <c r="AI511" s="87"/>
      <c r="AJ511" s="87"/>
      <c r="AK511" s="87"/>
      <c r="AL511" s="87"/>
      <c r="AM511" s="87"/>
      <c r="AN511" s="87"/>
    </row>
    <row r="512" ht="16.5" customHeight="1">
      <c r="A512" s="87"/>
      <c r="B512" s="87"/>
      <c r="C512" s="87"/>
      <c r="D512" s="87"/>
      <c r="E512" s="87"/>
      <c r="F512" s="79"/>
      <c r="G512" s="87"/>
      <c r="H512" s="92"/>
      <c r="I512" s="87"/>
      <c r="J512" s="87"/>
      <c r="K512" s="89"/>
      <c r="L512" s="87"/>
      <c r="M512" s="87"/>
      <c r="N512" s="87"/>
      <c r="O512" s="87"/>
      <c r="P512" s="87"/>
      <c r="Q512" s="87"/>
      <c r="R512" s="87"/>
      <c r="S512" s="87"/>
      <c r="T512" s="87"/>
      <c r="U512" s="87"/>
      <c r="V512" s="87"/>
      <c r="W512" s="87"/>
      <c r="X512" s="87"/>
      <c r="Y512" s="87"/>
      <c r="Z512" s="87"/>
      <c r="AA512" s="87"/>
      <c r="AB512" s="87"/>
      <c r="AC512" s="87"/>
      <c r="AD512" s="87"/>
      <c r="AE512" s="87"/>
      <c r="AF512" s="87"/>
      <c r="AG512" s="87"/>
      <c r="AH512" s="87"/>
      <c r="AI512" s="87"/>
      <c r="AJ512" s="87"/>
      <c r="AK512" s="87"/>
      <c r="AL512" s="87"/>
      <c r="AM512" s="87"/>
      <c r="AN512" s="87"/>
    </row>
    <row r="513" ht="16.5" customHeight="1">
      <c r="A513" s="87"/>
      <c r="B513" s="87"/>
      <c r="C513" s="87"/>
      <c r="D513" s="87"/>
      <c r="E513" s="87"/>
      <c r="F513" s="79"/>
      <c r="G513" s="87"/>
      <c r="H513" s="92"/>
      <c r="I513" s="87"/>
      <c r="J513" s="87"/>
      <c r="K513" s="89"/>
      <c r="L513" s="87"/>
      <c r="M513" s="87"/>
      <c r="N513" s="87"/>
      <c r="O513" s="87"/>
      <c r="P513" s="87"/>
      <c r="Q513" s="87"/>
      <c r="R513" s="87"/>
      <c r="S513" s="87"/>
      <c r="T513" s="87"/>
      <c r="U513" s="87"/>
      <c r="V513" s="87"/>
      <c r="W513" s="87"/>
      <c r="X513" s="87"/>
      <c r="Y513" s="87"/>
      <c r="Z513" s="87"/>
      <c r="AA513" s="87"/>
      <c r="AB513" s="87"/>
      <c r="AC513" s="87"/>
      <c r="AD513" s="87"/>
      <c r="AE513" s="87"/>
      <c r="AF513" s="87"/>
      <c r="AG513" s="87"/>
      <c r="AH513" s="87"/>
      <c r="AI513" s="87"/>
      <c r="AJ513" s="87"/>
      <c r="AK513" s="87"/>
      <c r="AL513" s="87"/>
      <c r="AM513" s="87"/>
      <c r="AN513" s="87"/>
    </row>
    <row r="514" ht="16.5" customHeight="1">
      <c r="A514" s="87"/>
      <c r="B514" s="87"/>
      <c r="C514" s="87"/>
      <c r="D514" s="87"/>
      <c r="E514" s="87"/>
      <c r="F514" s="79"/>
      <c r="G514" s="87"/>
      <c r="H514" s="92"/>
      <c r="I514" s="87"/>
      <c r="J514" s="87"/>
      <c r="K514" s="89"/>
      <c r="L514" s="87"/>
      <c r="M514" s="87"/>
      <c r="N514" s="87"/>
      <c r="O514" s="87"/>
      <c r="P514" s="87"/>
      <c r="Q514" s="87"/>
      <c r="R514" s="87"/>
      <c r="S514" s="87"/>
      <c r="T514" s="87"/>
      <c r="U514" s="87"/>
      <c r="V514" s="87"/>
      <c r="W514" s="87"/>
      <c r="X514" s="87"/>
      <c r="Y514" s="87"/>
      <c r="Z514" s="87"/>
      <c r="AA514" s="87"/>
      <c r="AB514" s="87"/>
      <c r="AC514" s="87"/>
      <c r="AD514" s="87"/>
      <c r="AE514" s="87"/>
      <c r="AF514" s="87"/>
      <c r="AG514" s="87"/>
      <c r="AH514" s="87"/>
      <c r="AI514" s="87"/>
      <c r="AJ514" s="87"/>
      <c r="AK514" s="87"/>
      <c r="AL514" s="87"/>
      <c r="AM514" s="87"/>
      <c r="AN514" s="87"/>
    </row>
    <row r="515" ht="16.5" customHeight="1">
      <c r="A515" s="87"/>
      <c r="B515" s="87"/>
      <c r="C515" s="87"/>
      <c r="D515" s="87"/>
      <c r="E515" s="87"/>
      <c r="F515" s="79"/>
      <c r="G515" s="87"/>
      <c r="H515" s="92"/>
      <c r="I515" s="87"/>
      <c r="J515" s="87"/>
      <c r="K515" s="89"/>
      <c r="L515" s="87"/>
      <c r="M515" s="87"/>
      <c r="N515" s="87"/>
      <c r="O515" s="87"/>
      <c r="P515" s="87"/>
      <c r="Q515" s="87"/>
      <c r="R515" s="87"/>
      <c r="S515" s="87"/>
      <c r="T515" s="87"/>
      <c r="U515" s="87"/>
      <c r="V515" s="87"/>
      <c r="W515" s="87"/>
      <c r="X515" s="87"/>
      <c r="Y515" s="87"/>
      <c r="Z515" s="87"/>
      <c r="AA515" s="87"/>
      <c r="AB515" s="87"/>
      <c r="AC515" s="87"/>
      <c r="AD515" s="87"/>
      <c r="AE515" s="87"/>
      <c r="AF515" s="87"/>
      <c r="AG515" s="87"/>
      <c r="AH515" s="87"/>
      <c r="AI515" s="87"/>
      <c r="AJ515" s="87"/>
      <c r="AK515" s="87"/>
      <c r="AL515" s="87"/>
      <c r="AM515" s="87"/>
      <c r="AN515" s="87"/>
    </row>
    <row r="516" ht="16.5" customHeight="1">
      <c r="A516" s="87"/>
      <c r="B516" s="87"/>
      <c r="C516" s="87"/>
      <c r="D516" s="87"/>
      <c r="E516" s="87"/>
      <c r="F516" s="79"/>
      <c r="G516" s="87"/>
      <c r="H516" s="92"/>
      <c r="I516" s="87"/>
      <c r="J516" s="87"/>
      <c r="K516" s="89"/>
      <c r="L516" s="87"/>
      <c r="M516" s="87"/>
      <c r="N516" s="87"/>
      <c r="O516" s="87"/>
      <c r="P516" s="87"/>
      <c r="Q516" s="87"/>
      <c r="R516" s="87"/>
      <c r="S516" s="87"/>
      <c r="T516" s="87"/>
      <c r="U516" s="87"/>
      <c r="V516" s="87"/>
      <c r="W516" s="87"/>
      <c r="X516" s="87"/>
      <c r="Y516" s="87"/>
      <c r="Z516" s="87"/>
      <c r="AA516" s="87"/>
      <c r="AB516" s="87"/>
      <c r="AC516" s="87"/>
      <c r="AD516" s="87"/>
      <c r="AE516" s="87"/>
      <c r="AF516" s="87"/>
      <c r="AG516" s="87"/>
      <c r="AH516" s="87"/>
      <c r="AI516" s="87"/>
      <c r="AJ516" s="87"/>
      <c r="AK516" s="87"/>
      <c r="AL516" s="87"/>
      <c r="AM516" s="87"/>
      <c r="AN516" s="87"/>
    </row>
    <row r="517" ht="16.5" customHeight="1">
      <c r="A517" s="87"/>
      <c r="B517" s="87"/>
      <c r="C517" s="87"/>
      <c r="D517" s="87"/>
      <c r="E517" s="87"/>
      <c r="F517" s="79"/>
      <c r="G517" s="87"/>
      <c r="H517" s="92"/>
      <c r="I517" s="87"/>
      <c r="J517" s="87"/>
      <c r="K517" s="89"/>
      <c r="L517" s="87"/>
      <c r="M517" s="87"/>
      <c r="N517" s="87"/>
      <c r="O517" s="87"/>
      <c r="P517" s="87"/>
      <c r="Q517" s="87"/>
      <c r="R517" s="87"/>
      <c r="S517" s="87"/>
      <c r="T517" s="87"/>
      <c r="U517" s="87"/>
      <c r="V517" s="87"/>
      <c r="W517" s="87"/>
      <c r="X517" s="87"/>
      <c r="Y517" s="87"/>
      <c r="Z517" s="87"/>
      <c r="AA517" s="87"/>
      <c r="AB517" s="87"/>
      <c r="AC517" s="87"/>
      <c r="AD517" s="87"/>
      <c r="AE517" s="87"/>
      <c r="AF517" s="87"/>
      <c r="AG517" s="87"/>
      <c r="AH517" s="87"/>
      <c r="AI517" s="87"/>
      <c r="AJ517" s="87"/>
      <c r="AK517" s="87"/>
      <c r="AL517" s="87"/>
      <c r="AM517" s="87"/>
      <c r="AN517" s="87"/>
    </row>
    <row r="518" ht="16.5" customHeight="1">
      <c r="A518" s="87"/>
      <c r="B518" s="87"/>
      <c r="C518" s="87"/>
      <c r="D518" s="87"/>
      <c r="E518" s="87"/>
      <c r="F518" s="79"/>
      <c r="G518" s="87"/>
      <c r="H518" s="92"/>
      <c r="I518" s="87"/>
      <c r="J518" s="87"/>
      <c r="K518" s="89"/>
      <c r="L518" s="87"/>
      <c r="M518" s="87"/>
      <c r="N518" s="87"/>
      <c r="O518" s="87"/>
      <c r="P518" s="87"/>
      <c r="Q518" s="87"/>
      <c r="R518" s="87"/>
      <c r="S518" s="87"/>
      <c r="T518" s="87"/>
      <c r="U518" s="87"/>
      <c r="V518" s="87"/>
      <c r="W518" s="87"/>
      <c r="X518" s="87"/>
      <c r="Y518" s="87"/>
      <c r="Z518" s="87"/>
      <c r="AA518" s="87"/>
      <c r="AB518" s="87"/>
      <c r="AC518" s="87"/>
      <c r="AD518" s="87"/>
      <c r="AE518" s="87"/>
      <c r="AF518" s="87"/>
      <c r="AG518" s="87"/>
      <c r="AH518" s="87"/>
      <c r="AI518" s="87"/>
      <c r="AJ518" s="87"/>
      <c r="AK518" s="87"/>
      <c r="AL518" s="87"/>
      <c r="AM518" s="87"/>
      <c r="AN518" s="87"/>
    </row>
    <row r="519" ht="16.5" customHeight="1">
      <c r="A519" s="87"/>
      <c r="B519" s="87"/>
      <c r="C519" s="87"/>
      <c r="D519" s="87"/>
      <c r="E519" s="87"/>
      <c r="F519" s="79"/>
      <c r="G519" s="87"/>
      <c r="H519" s="92"/>
      <c r="I519" s="87"/>
      <c r="J519" s="87"/>
      <c r="K519" s="89"/>
      <c r="L519" s="87"/>
      <c r="M519" s="87"/>
      <c r="N519" s="87"/>
      <c r="O519" s="87"/>
      <c r="P519" s="87"/>
      <c r="Q519" s="87"/>
      <c r="R519" s="87"/>
      <c r="S519" s="87"/>
      <c r="T519" s="87"/>
      <c r="U519" s="87"/>
      <c r="V519" s="87"/>
      <c r="W519" s="87"/>
      <c r="X519" s="87"/>
      <c r="Y519" s="87"/>
      <c r="Z519" s="87"/>
      <c r="AA519" s="87"/>
      <c r="AB519" s="87"/>
      <c r="AC519" s="87"/>
      <c r="AD519" s="87"/>
      <c r="AE519" s="87"/>
      <c r="AF519" s="87"/>
      <c r="AG519" s="87"/>
      <c r="AH519" s="87"/>
      <c r="AI519" s="87"/>
      <c r="AJ519" s="87"/>
      <c r="AK519" s="87"/>
      <c r="AL519" s="87"/>
      <c r="AM519" s="87"/>
      <c r="AN519" s="87"/>
    </row>
    <row r="520" ht="16.5" customHeight="1">
      <c r="A520" s="87"/>
      <c r="B520" s="87"/>
      <c r="C520" s="87"/>
      <c r="D520" s="87"/>
      <c r="E520" s="87"/>
      <c r="F520" s="79"/>
      <c r="G520" s="87"/>
      <c r="H520" s="92"/>
      <c r="I520" s="87"/>
      <c r="J520" s="87"/>
      <c r="K520" s="89"/>
      <c r="L520" s="87"/>
      <c r="M520" s="87"/>
      <c r="N520" s="87"/>
      <c r="O520" s="87"/>
      <c r="P520" s="87"/>
      <c r="Q520" s="87"/>
      <c r="R520" s="87"/>
      <c r="S520" s="87"/>
      <c r="T520" s="87"/>
      <c r="U520" s="87"/>
      <c r="V520" s="87"/>
      <c r="W520" s="87"/>
      <c r="X520" s="87"/>
      <c r="Y520" s="87"/>
      <c r="Z520" s="87"/>
      <c r="AA520" s="87"/>
      <c r="AB520" s="87"/>
      <c r="AC520" s="87"/>
      <c r="AD520" s="87"/>
      <c r="AE520" s="87"/>
      <c r="AF520" s="87"/>
      <c r="AG520" s="87"/>
      <c r="AH520" s="87"/>
      <c r="AI520" s="87"/>
      <c r="AJ520" s="87"/>
      <c r="AK520" s="87"/>
      <c r="AL520" s="87"/>
      <c r="AM520" s="87"/>
      <c r="AN520" s="87"/>
    </row>
    <row r="521" ht="16.5" customHeight="1">
      <c r="A521" s="87"/>
      <c r="B521" s="87"/>
      <c r="C521" s="87"/>
      <c r="D521" s="87"/>
      <c r="E521" s="87"/>
      <c r="F521" s="79"/>
      <c r="G521" s="87"/>
      <c r="H521" s="92"/>
      <c r="I521" s="87"/>
      <c r="J521" s="87"/>
      <c r="K521" s="89"/>
      <c r="L521" s="87"/>
      <c r="M521" s="87"/>
      <c r="N521" s="87"/>
      <c r="O521" s="87"/>
      <c r="P521" s="87"/>
      <c r="Q521" s="87"/>
      <c r="R521" s="87"/>
      <c r="S521" s="87"/>
      <c r="T521" s="87"/>
      <c r="U521" s="87"/>
      <c r="V521" s="87"/>
      <c r="W521" s="87"/>
      <c r="X521" s="87"/>
      <c r="Y521" s="87"/>
      <c r="Z521" s="87"/>
      <c r="AA521" s="87"/>
      <c r="AB521" s="87"/>
      <c r="AC521" s="87"/>
      <c r="AD521" s="87"/>
      <c r="AE521" s="87"/>
      <c r="AF521" s="87"/>
      <c r="AG521" s="87"/>
      <c r="AH521" s="87"/>
      <c r="AI521" s="87"/>
      <c r="AJ521" s="87"/>
      <c r="AK521" s="87"/>
      <c r="AL521" s="87"/>
      <c r="AM521" s="87"/>
      <c r="AN521" s="87"/>
    </row>
    <row r="522" ht="16.5" customHeight="1">
      <c r="A522" s="87"/>
      <c r="B522" s="87"/>
      <c r="C522" s="87"/>
      <c r="D522" s="87"/>
      <c r="E522" s="87"/>
      <c r="F522" s="79"/>
      <c r="G522" s="87"/>
      <c r="H522" s="92"/>
      <c r="I522" s="87"/>
      <c r="J522" s="87"/>
      <c r="K522" s="89"/>
      <c r="L522" s="87"/>
      <c r="M522" s="87"/>
      <c r="N522" s="87"/>
      <c r="O522" s="87"/>
      <c r="P522" s="87"/>
      <c r="Q522" s="87"/>
      <c r="R522" s="87"/>
      <c r="S522" s="87"/>
      <c r="T522" s="87"/>
      <c r="U522" s="87"/>
      <c r="V522" s="87"/>
      <c r="W522" s="87"/>
      <c r="X522" s="87"/>
      <c r="Y522" s="87"/>
      <c r="Z522" s="87"/>
      <c r="AA522" s="87"/>
      <c r="AB522" s="87"/>
      <c r="AC522" s="87"/>
      <c r="AD522" s="87"/>
      <c r="AE522" s="87"/>
      <c r="AF522" s="87"/>
      <c r="AG522" s="87"/>
      <c r="AH522" s="87"/>
      <c r="AI522" s="87"/>
      <c r="AJ522" s="87"/>
      <c r="AK522" s="87"/>
      <c r="AL522" s="87"/>
      <c r="AM522" s="87"/>
      <c r="AN522" s="87"/>
    </row>
    <row r="523" ht="16.5" customHeight="1">
      <c r="A523" s="87"/>
      <c r="B523" s="87"/>
      <c r="C523" s="87"/>
      <c r="D523" s="87"/>
      <c r="E523" s="87"/>
      <c r="F523" s="79"/>
      <c r="G523" s="87"/>
      <c r="H523" s="92"/>
      <c r="I523" s="87"/>
      <c r="J523" s="87"/>
      <c r="K523" s="89"/>
      <c r="L523" s="87"/>
      <c r="M523" s="87"/>
      <c r="N523" s="87"/>
      <c r="O523" s="87"/>
      <c r="P523" s="87"/>
      <c r="Q523" s="87"/>
      <c r="R523" s="87"/>
      <c r="S523" s="87"/>
      <c r="T523" s="87"/>
      <c r="U523" s="87"/>
      <c r="V523" s="87"/>
      <c r="W523" s="87"/>
      <c r="X523" s="87"/>
      <c r="Y523" s="87"/>
      <c r="Z523" s="87"/>
      <c r="AA523" s="87"/>
      <c r="AB523" s="87"/>
      <c r="AC523" s="87"/>
      <c r="AD523" s="87"/>
      <c r="AE523" s="87"/>
      <c r="AF523" s="87"/>
      <c r="AG523" s="87"/>
      <c r="AH523" s="87"/>
      <c r="AI523" s="87"/>
      <c r="AJ523" s="87"/>
      <c r="AK523" s="87"/>
      <c r="AL523" s="87"/>
      <c r="AM523" s="87"/>
      <c r="AN523" s="87"/>
    </row>
    <row r="524" ht="16.5" customHeight="1">
      <c r="A524" s="87"/>
      <c r="B524" s="87"/>
      <c r="C524" s="87"/>
      <c r="D524" s="87"/>
      <c r="E524" s="87"/>
      <c r="F524" s="79"/>
      <c r="G524" s="87"/>
      <c r="H524" s="92"/>
      <c r="I524" s="87"/>
      <c r="J524" s="87"/>
      <c r="K524" s="89"/>
      <c r="L524" s="87"/>
      <c r="M524" s="87"/>
      <c r="N524" s="87"/>
      <c r="O524" s="87"/>
      <c r="P524" s="87"/>
      <c r="Q524" s="87"/>
      <c r="R524" s="87"/>
      <c r="S524" s="87"/>
      <c r="T524" s="87"/>
      <c r="U524" s="87"/>
      <c r="V524" s="87"/>
      <c r="W524" s="87"/>
      <c r="X524" s="87"/>
      <c r="Y524" s="87"/>
      <c r="Z524" s="87"/>
      <c r="AA524" s="87"/>
      <c r="AB524" s="87"/>
      <c r="AC524" s="87"/>
      <c r="AD524" s="87"/>
      <c r="AE524" s="87"/>
      <c r="AF524" s="87"/>
      <c r="AG524" s="87"/>
      <c r="AH524" s="87"/>
      <c r="AI524" s="87"/>
      <c r="AJ524" s="87"/>
      <c r="AK524" s="87"/>
      <c r="AL524" s="87"/>
      <c r="AM524" s="87"/>
      <c r="AN524" s="87"/>
    </row>
    <row r="525" ht="16.5" customHeight="1">
      <c r="A525" s="87"/>
      <c r="B525" s="87"/>
      <c r="C525" s="87"/>
      <c r="D525" s="87"/>
      <c r="E525" s="87"/>
      <c r="F525" s="79"/>
      <c r="G525" s="87"/>
      <c r="H525" s="92"/>
      <c r="I525" s="87"/>
      <c r="J525" s="87"/>
      <c r="K525" s="89"/>
      <c r="L525" s="87"/>
      <c r="M525" s="87"/>
      <c r="N525" s="87"/>
      <c r="O525" s="87"/>
      <c r="P525" s="87"/>
      <c r="Q525" s="87"/>
      <c r="R525" s="87"/>
      <c r="S525" s="87"/>
      <c r="T525" s="87"/>
      <c r="U525" s="87"/>
      <c r="V525" s="87"/>
      <c r="W525" s="87"/>
      <c r="X525" s="87"/>
      <c r="Y525" s="87"/>
      <c r="Z525" s="87"/>
      <c r="AA525" s="87"/>
      <c r="AB525" s="87"/>
      <c r="AC525" s="87"/>
      <c r="AD525" s="87"/>
      <c r="AE525" s="87"/>
      <c r="AF525" s="87"/>
      <c r="AG525" s="87"/>
      <c r="AH525" s="87"/>
      <c r="AI525" s="87"/>
      <c r="AJ525" s="87"/>
      <c r="AK525" s="87"/>
      <c r="AL525" s="87"/>
      <c r="AM525" s="87"/>
      <c r="AN525" s="87"/>
    </row>
    <row r="526" ht="16.5" customHeight="1">
      <c r="A526" s="87"/>
      <c r="B526" s="87"/>
      <c r="C526" s="87"/>
      <c r="D526" s="87"/>
      <c r="E526" s="87"/>
      <c r="F526" s="79"/>
      <c r="G526" s="87"/>
      <c r="H526" s="92"/>
      <c r="I526" s="87"/>
      <c r="J526" s="87"/>
      <c r="K526" s="89"/>
      <c r="L526" s="87"/>
      <c r="M526" s="87"/>
      <c r="N526" s="87"/>
      <c r="O526" s="87"/>
      <c r="P526" s="87"/>
      <c r="Q526" s="87"/>
      <c r="R526" s="87"/>
      <c r="S526" s="87"/>
      <c r="T526" s="87"/>
      <c r="U526" s="87"/>
      <c r="V526" s="87"/>
      <c r="W526" s="87"/>
      <c r="X526" s="87"/>
      <c r="Y526" s="87"/>
      <c r="Z526" s="87"/>
      <c r="AA526" s="87"/>
      <c r="AB526" s="87"/>
      <c r="AC526" s="87"/>
      <c r="AD526" s="87"/>
      <c r="AE526" s="87"/>
      <c r="AF526" s="87"/>
      <c r="AG526" s="87"/>
      <c r="AH526" s="87"/>
      <c r="AI526" s="87"/>
      <c r="AJ526" s="87"/>
      <c r="AK526" s="87"/>
      <c r="AL526" s="87"/>
      <c r="AM526" s="87"/>
      <c r="AN526" s="87"/>
    </row>
    <row r="527" ht="16.5" customHeight="1">
      <c r="A527" s="87"/>
      <c r="B527" s="87"/>
      <c r="C527" s="87"/>
      <c r="D527" s="87"/>
      <c r="E527" s="87"/>
      <c r="F527" s="79"/>
      <c r="G527" s="87"/>
      <c r="H527" s="92"/>
      <c r="I527" s="87"/>
      <c r="J527" s="87"/>
      <c r="K527" s="89"/>
      <c r="L527" s="87"/>
      <c r="M527" s="87"/>
      <c r="N527" s="87"/>
      <c r="O527" s="87"/>
      <c r="P527" s="87"/>
      <c r="Q527" s="87"/>
      <c r="R527" s="87"/>
      <c r="S527" s="87"/>
      <c r="T527" s="87"/>
      <c r="U527" s="87"/>
      <c r="V527" s="87"/>
      <c r="W527" s="87"/>
      <c r="X527" s="87"/>
      <c r="Y527" s="87"/>
      <c r="Z527" s="87"/>
      <c r="AA527" s="87"/>
      <c r="AB527" s="87"/>
      <c r="AC527" s="87"/>
      <c r="AD527" s="87"/>
      <c r="AE527" s="87"/>
      <c r="AF527" s="87"/>
      <c r="AG527" s="87"/>
      <c r="AH527" s="87"/>
      <c r="AI527" s="87"/>
      <c r="AJ527" s="87"/>
      <c r="AK527" s="87"/>
      <c r="AL527" s="87"/>
      <c r="AM527" s="87"/>
      <c r="AN527" s="87"/>
    </row>
    <row r="528" ht="16.5" customHeight="1">
      <c r="A528" s="87"/>
      <c r="B528" s="87"/>
      <c r="C528" s="87"/>
      <c r="D528" s="87"/>
      <c r="E528" s="87"/>
      <c r="F528" s="79"/>
      <c r="G528" s="87"/>
      <c r="H528" s="92"/>
      <c r="I528" s="87"/>
      <c r="J528" s="87"/>
      <c r="K528" s="89"/>
      <c r="L528" s="87"/>
      <c r="M528" s="87"/>
      <c r="N528" s="87"/>
      <c r="O528" s="87"/>
      <c r="P528" s="87"/>
      <c r="Q528" s="87"/>
      <c r="R528" s="87"/>
      <c r="S528" s="87"/>
      <c r="T528" s="87"/>
      <c r="U528" s="87"/>
      <c r="V528" s="87"/>
      <c r="W528" s="87"/>
      <c r="X528" s="87"/>
      <c r="Y528" s="87"/>
      <c r="Z528" s="87"/>
      <c r="AA528" s="87"/>
      <c r="AB528" s="87"/>
      <c r="AC528" s="87"/>
      <c r="AD528" s="87"/>
      <c r="AE528" s="87"/>
      <c r="AF528" s="87"/>
      <c r="AG528" s="87"/>
      <c r="AH528" s="87"/>
      <c r="AI528" s="87"/>
      <c r="AJ528" s="87"/>
      <c r="AK528" s="87"/>
      <c r="AL528" s="87"/>
      <c r="AM528" s="87"/>
      <c r="AN528" s="87"/>
    </row>
    <row r="529" ht="16.5" customHeight="1">
      <c r="A529" s="87"/>
      <c r="B529" s="87"/>
      <c r="C529" s="87"/>
      <c r="D529" s="87"/>
      <c r="E529" s="87"/>
      <c r="F529" s="79"/>
      <c r="G529" s="87"/>
      <c r="H529" s="92"/>
      <c r="I529" s="87"/>
      <c r="J529" s="87"/>
      <c r="K529" s="89"/>
      <c r="L529" s="87"/>
      <c r="M529" s="87"/>
      <c r="N529" s="87"/>
      <c r="O529" s="87"/>
      <c r="P529" s="87"/>
      <c r="Q529" s="87"/>
      <c r="R529" s="87"/>
      <c r="S529" s="87"/>
      <c r="T529" s="87"/>
      <c r="U529" s="87"/>
      <c r="V529" s="87"/>
      <c r="W529" s="87"/>
      <c r="X529" s="87"/>
      <c r="Y529" s="87"/>
      <c r="Z529" s="87"/>
      <c r="AA529" s="87"/>
      <c r="AB529" s="87"/>
      <c r="AC529" s="87"/>
      <c r="AD529" s="87"/>
      <c r="AE529" s="87"/>
      <c r="AF529" s="87"/>
      <c r="AG529" s="87"/>
      <c r="AH529" s="87"/>
      <c r="AI529" s="87"/>
      <c r="AJ529" s="87"/>
      <c r="AK529" s="87"/>
      <c r="AL529" s="87"/>
      <c r="AM529" s="87"/>
      <c r="AN529" s="87"/>
    </row>
    <row r="530" ht="16.5" customHeight="1">
      <c r="A530" s="87"/>
      <c r="B530" s="87"/>
      <c r="C530" s="87"/>
      <c r="D530" s="87"/>
      <c r="E530" s="87"/>
      <c r="F530" s="79"/>
      <c r="G530" s="87"/>
      <c r="H530" s="92"/>
      <c r="I530" s="87"/>
      <c r="J530" s="87"/>
      <c r="K530" s="89"/>
      <c r="L530" s="87"/>
      <c r="M530" s="87"/>
      <c r="N530" s="87"/>
      <c r="O530" s="87"/>
      <c r="P530" s="87"/>
      <c r="Q530" s="87"/>
      <c r="R530" s="87"/>
      <c r="S530" s="87"/>
      <c r="T530" s="87"/>
      <c r="U530" s="87"/>
      <c r="V530" s="87"/>
      <c r="W530" s="87"/>
      <c r="X530" s="87"/>
      <c r="Y530" s="87"/>
      <c r="Z530" s="87"/>
      <c r="AA530" s="87"/>
      <c r="AB530" s="87"/>
      <c r="AC530" s="87"/>
      <c r="AD530" s="87"/>
      <c r="AE530" s="87"/>
      <c r="AF530" s="87"/>
      <c r="AG530" s="87"/>
      <c r="AH530" s="87"/>
      <c r="AI530" s="87"/>
      <c r="AJ530" s="87"/>
      <c r="AK530" s="87"/>
      <c r="AL530" s="87"/>
      <c r="AM530" s="87"/>
      <c r="AN530" s="87"/>
    </row>
    <row r="531" ht="16.5" customHeight="1">
      <c r="A531" s="87"/>
      <c r="B531" s="87"/>
      <c r="C531" s="87"/>
      <c r="D531" s="87"/>
      <c r="E531" s="87"/>
      <c r="F531" s="79"/>
      <c r="G531" s="87"/>
      <c r="H531" s="92"/>
      <c r="I531" s="87"/>
      <c r="J531" s="87"/>
      <c r="K531" s="89"/>
      <c r="L531" s="87"/>
      <c r="M531" s="87"/>
      <c r="N531" s="87"/>
      <c r="O531" s="87"/>
      <c r="P531" s="87"/>
      <c r="Q531" s="87"/>
      <c r="R531" s="87"/>
      <c r="S531" s="87"/>
      <c r="T531" s="87"/>
      <c r="U531" s="87"/>
      <c r="V531" s="87"/>
      <c r="W531" s="87"/>
      <c r="X531" s="87"/>
      <c r="Y531" s="87"/>
      <c r="Z531" s="87"/>
      <c r="AA531" s="87"/>
      <c r="AB531" s="87"/>
      <c r="AC531" s="87"/>
      <c r="AD531" s="87"/>
      <c r="AE531" s="87"/>
      <c r="AF531" s="87"/>
      <c r="AG531" s="87"/>
      <c r="AH531" s="87"/>
      <c r="AI531" s="87"/>
      <c r="AJ531" s="87"/>
      <c r="AK531" s="87"/>
      <c r="AL531" s="87"/>
      <c r="AM531" s="87"/>
      <c r="AN531" s="87"/>
    </row>
    <row r="532" ht="16.5" customHeight="1">
      <c r="A532" s="87"/>
      <c r="B532" s="87"/>
      <c r="C532" s="87"/>
      <c r="D532" s="87"/>
      <c r="E532" s="87"/>
      <c r="F532" s="79"/>
      <c r="G532" s="87"/>
      <c r="H532" s="92"/>
      <c r="I532" s="87"/>
      <c r="J532" s="87"/>
      <c r="K532" s="89"/>
      <c r="L532" s="87"/>
      <c r="M532" s="87"/>
      <c r="N532" s="87"/>
      <c r="O532" s="87"/>
      <c r="P532" s="87"/>
      <c r="Q532" s="87"/>
      <c r="R532" s="87"/>
      <c r="S532" s="87"/>
      <c r="T532" s="87"/>
      <c r="U532" s="87"/>
      <c r="V532" s="87"/>
      <c r="W532" s="87"/>
      <c r="X532" s="87"/>
      <c r="Y532" s="87"/>
      <c r="Z532" s="87"/>
      <c r="AA532" s="87"/>
      <c r="AB532" s="87"/>
      <c r="AC532" s="87"/>
      <c r="AD532" s="87"/>
      <c r="AE532" s="87"/>
      <c r="AF532" s="87"/>
      <c r="AG532" s="87"/>
      <c r="AH532" s="87"/>
      <c r="AI532" s="87"/>
      <c r="AJ532" s="87"/>
      <c r="AK532" s="87"/>
      <c r="AL532" s="87"/>
      <c r="AM532" s="87"/>
      <c r="AN532" s="87"/>
    </row>
    <row r="533" ht="16.5" customHeight="1">
      <c r="A533" s="87"/>
      <c r="B533" s="87"/>
      <c r="C533" s="87"/>
      <c r="D533" s="87"/>
      <c r="E533" s="87"/>
      <c r="F533" s="79"/>
      <c r="G533" s="87"/>
      <c r="H533" s="92"/>
      <c r="I533" s="87"/>
      <c r="J533" s="87"/>
      <c r="K533" s="89"/>
      <c r="L533" s="87"/>
      <c r="M533" s="87"/>
      <c r="N533" s="87"/>
      <c r="O533" s="87"/>
      <c r="P533" s="87"/>
      <c r="Q533" s="87"/>
      <c r="R533" s="87"/>
      <c r="S533" s="87"/>
      <c r="T533" s="87"/>
      <c r="U533" s="87"/>
      <c r="V533" s="87"/>
      <c r="W533" s="87"/>
      <c r="X533" s="87"/>
      <c r="Y533" s="87"/>
      <c r="Z533" s="87"/>
      <c r="AA533" s="87"/>
      <c r="AB533" s="87"/>
      <c r="AC533" s="87"/>
      <c r="AD533" s="87"/>
      <c r="AE533" s="87"/>
      <c r="AF533" s="87"/>
      <c r="AG533" s="87"/>
      <c r="AH533" s="87"/>
      <c r="AI533" s="87"/>
      <c r="AJ533" s="87"/>
      <c r="AK533" s="87"/>
      <c r="AL533" s="87"/>
      <c r="AM533" s="87"/>
      <c r="AN533" s="87"/>
    </row>
    <row r="534" ht="16.5" customHeight="1">
      <c r="A534" s="87"/>
      <c r="B534" s="87"/>
      <c r="C534" s="87"/>
      <c r="D534" s="87"/>
      <c r="E534" s="87"/>
      <c r="F534" s="79"/>
      <c r="G534" s="87"/>
      <c r="H534" s="92"/>
      <c r="I534" s="87"/>
      <c r="J534" s="87"/>
      <c r="K534" s="89"/>
      <c r="L534" s="87"/>
      <c r="M534" s="87"/>
      <c r="N534" s="87"/>
      <c r="O534" s="87"/>
      <c r="P534" s="87"/>
      <c r="Q534" s="87"/>
      <c r="R534" s="87"/>
      <c r="S534" s="87"/>
      <c r="T534" s="87"/>
      <c r="U534" s="87"/>
      <c r="V534" s="87"/>
      <c r="W534" s="87"/>
      <c r="X534" s="87"/>
      <c r="Y534" s="87"/>
      <c r="Z534" s="87"/>
      <c r="AA534" s="87"/>
      <c r="AB534" s="87"/>
      <c r="AC534" s="87"/>
      <c r="AD534" s="87"/>
      <c r="AE534" s="87"/>
      <c r="AF534" s="87"/>
      <c r="AG534" s="87"/>
      <c r="AH534" s="87"/>
      <c r="AI534" s="87"/>
      <c r="AJ534" s="87"/>
      <c r="AK534" s="87"/>
      <c r="AL534" s="87"/>
      <c r="AM534" s="87"/>
      <c r="AN534" s="87"/>
    </row>
    <row r="535" ht="16.5" customHeight="1">
      <c r="A535" s="87"/>
      <c r="B535" s="87"/>
      <c r="C535" s="87"/>
      <c r="D535" s="87"/>
      <c r="E535" s="87"/>
      <c r="F535" s="79"/>
      <c r="G535" s="87"/>
      <c r="H535" s="92"/>
      <c r="I535" s="87"/>
      <c r="J535" s="87"/>
      <c r="K535" s="89"/>
      <c r="L535" s="87"/>
      <c r="M535" s="87"/>
      <c r="N535" s="87"/>
      <c r="O535" s="87"/>
      <c r="P535" s="87"/>
      <c r="Q535" s="87"/>
      <c r="R535" s="87"/>
      <c r="S535" s="87"/>
      <c r="T535" s="87"/>
      <c r="U535" s="87"/>
      <c r="V535" s="87"/>
      <c r="W535" s="87"/>
      <c r="X535" s="87"/>
      <c r="Y535" s="87"/>
      <c r="Z535" s="87"/>
      <c r="AA535" s="87"/>
      <c r="AB535" s="87"/>
      <c r="AC535" s="87"/>
      <c r="AD535" s="87"/>
      <c r="AE535" s="87"/>
      <c r="AF535" s="87"/>
      <c r="AG535" s="87"/>
      <c r="AH535" s="87"/>
      <c r="AI535" s="87"/>
      <c r="AJ535" s="87"/>
      <c r="AK535" s="87"/>
      <c r="AL535" s="87"/>
      <c r="AM535" s="87"/>
      <c r="AN535" s="87"/>
    </row>
    <row r="536" ht="16.5" customHeight="1">
      <c r="A536" s="87"/>
      <c r="B536" s="87"/>
      <c r="C536" s="87"/>
      <c r="D536" s="87"/>
      <c r="E536" s="87"/>
      <c r="F536" s="79"/>
      <c r="G536" s="87"/>
      <c r="H536" s="92"/>
      <c r="I536" s="87"/>
      <c r="J536" s="87"/>
      <c r="K536" s="89"/>
      <c r="L536" s="87"/>
      <c r="M536" s="87"/>
      <c r="N536" s="87"/>
      <c r="O536" s="87"/>
      <c r="P536" s="87"/>
      <c r="Q536" s="87"/>
      <c r="R536" s="87"/>
      <c r="S536" s="87"/>
      <c r="T536" s="87"/>
      <c r="U536" s="87"/>
      <c r="V536" s="87"/>
      <c r="W536" s="87"/>
      <c r="X536" s="87"/>
      <c r="Y536" s="87"/>
      <c r="Z536" s="87"/>
      <c r="AA536" s="87"/>
      <c r="AB536" s="87"/>
      <c r="AC536" s="87"/>
      <c r="AD536" s="87"/>
      <c r="AE536" s="87"/>
      <c r="AF536" s="87"/>
      <c r="AG536" s="87"/>
      <c r="AH536" s="87"/>
      <c r="AI536" s="87"/>
      <c r="AJ536" s="87"/>
      <c r="AK536" s="87"/>
      <c r="AL536" s="87"/>
      <c r="AM536" s="87"/>
      <c r="AN536" s="87"/>
    </row>
    <row r="537" ht="16.5" customHeight="1">
      <c r="A537" s="87"/>
      <c r="B537" s="87"/>
      <c r="C537" s="87"/>
      <c r="D537" s="87"/>
      <c r="E537" s="87"/>
      <c r="F537" s="79"/>
      <c r="G537" s="87"/>
      <c r="H537" s="92"/>
      <c r="I537" s="87"/>
      <c r="J537" s="87"/>
      <c r="K537" s="89"/>
      <c r="L537" s="87"/>
      <c r="M537" s="87"/>
      <c r="N537" s="87"/>
      <c r="O537" s="87"/>
      <c r="P537" s="87"/>
      <c r="Q537" s="87"/>
      <c r="R537" s="87"/>
      <c r="S537" s="87"/>
      <c r="T537" s="87"/>
      <c r="U537" s="87"/>
      <c r="V537" s="87"/>
      <c r="W537" s="87"/>
      <c r="X537" s="87"/>
      <c r="Y537" s="87"/>
      <c r="Z537" s="87"/>
      <c r="AA537" s="87"/>
      <c r="AB537" s="87"/>
      <c r="AC537" s="87"/>
      <c r="AD537" s="87"/>
      <c r="AE537" s="87"/>
      <c r="AF537" s="87"/>
      <c r="AG537" s="87"/>
      <c r="AH537" s="87"/>
      <c r="AI537" s="87"/>
      <c r="AJ537" s="87"/>
      <c r="AK537" s="87"/>
      <c r="AL537" s="87"/>
      <c r="AM537" s="87"/>
      <c r="AN537" s="87"/>
    </row>
    <row r="538" ht="16.5" customHeight="1">
      <c r="A538" s="87"/>
      <c r="B538" s="87"/>
      <c r="C538" s="87"/>
      <c r="D538" s="87"/>
      <c r="E538" s="87"/>
      <c r="F538" s="79"/>
      <c r="G538" s="87"/>
      <c r="H538" s="92"/>
      <c r="I538" s="87"/>
      <c r="J538" s="87"/>
      <c r="K538" s="89"/>
      <c r="L538" s="87"/>
      <c r="M538" s="87"/>
      <c r="N538" s="87"/>
      <c r="O538" s="87"/>
      <c r="P538" s="87"/>
      <c r="Q538" s="87"/>
      <c r="R538" s="87"/>
      <c r="S538" s="87"/>
      <c r="T538" s="87"/>
      <c r="U538" s="87"/>
      <c r="V538" s="87"/>
      <c r="W538" s="87"/>
      <c r="X538" s="87"/>
      <c r="Y538" s="87"/>
      <c r="Z538" s="87"/>
      <c r="AA538" s="87"/>
      <c r="AB538" s="87"/>
      <c r="AC538" s="87"/>
      <c r="AD538" s="87"/>
      <c r="AE538" s="87"/>
      <c r="AF538" s="87"/>
      <c r="AG538" s="87"/>
      <c r="AH538" s="87"/>
      <c r="AI538" s="87"/>
      <c r="AJ538" s="87"/>
      <c r="AK538" s="87"/>
      <c r="AL538" s="87"/>
      <c r="AM538" s="87"/>
      <c r="AN538" s="87"/>
    </row>
    <row r="539" ht="16.5" customHeight="1">
      <c r="A539" s="87"/>
      <c r="B539" s="87"/>
      <c r="C539" s="87"/>
      <c r="D539" s="87"/>
      <c r="E539" s="87"/>
      <c r="F539" s="79"/>
      <c r="G539" s="87"/>
      <c r="H539" s="92"/>
      <c r="I539" s="87"/>
      <c r="J539" s="87"/>
      <c r="K539" s="89"/>
      <c r="L539" s="87"/>
      <c r="M539" s="87"/>
      <c r="N539" s="87"/>
      <c r="O539" s="87"/>
      <c r="P539" s="87"/>
      <c r="Q539" s="87"/>
      <c r="R539" s="87"/>
      <c r="S539" s="87"/>
      <c r="T539" s="87"/>
      <c r="U539" s="87"/>
      <c r="V539" s="87"/>
      <c r="W539" s="87"/>
      <c r="X539" s="87"/>
      <c r="Y539" s="87"/>
      <c r="Z539" s="87"/>
      <c r="AA539" s="87"/>
      <c r="AB539" s="87"/>
      <c r="AC539" s="87"/>
      <c r="AD539" s="87"/>
      <c r="AE539" s="87"/>
      <c r="AF539" s="87"/>
      <c r="AG539" s="87"/>
      <c r="AH539" s="87"/>
      <c r="AI539" s="87"/>
      <c r="AJ539" s="87"/>
      <c r="AK539" s="87"/>
      <c r="AL539" s="87"/>
      <c r="AM539" s="87"/>
      <c r="AN539" s="87"/>
    </row>
    <row r="540" ht="16.5" customHeight="1">
      <c r="A540" s="87"/>
      <c r="B540" s="87"/>
      <c r="C540" s="87"/>
      <c r="D540" s="87"/>
      <c r="E540" s="87"/>
      <c r="F540" s="79"/>
      <c r="G540" s="87"/>
      <c r="H540" s="92"/>
      <c r="I540" s="87"/>
      <c r="J540" s="87"/>
      <c r="K540" s="89"/>
      <c r="L540" s="87"/>
      <c r="M540" s="87"/>
      <c r="N540" s="87"/>
      <c r="O540" s="87"/>
      <c r="P540" s="87"/>
      <c r="Q540" s="87"/>
      <c r="R540" s="87"/>
      <c r="S540" s="87"/>
      <c r="T540" s="87"/>
      <c r="U540" s="87"/>
      <c r="V540" s="87"/>
      <c r="W540" s="87"/>
      <c r="X540" s="87"/>
      <c r="Y540" s="87"/>
      <c r="Z540" s="87"/>
      <c r="AA540" s="87"/>
      <c r="AB540" s="87"/>
      <c r="AC540" s="87"/>
      <c r="AD540" s="87"/>
      <c r="AE540" s="87"/>
      <c r="AF540" s="87"/>
      <c r="AG540" s="87"/>
      <c r="AH540" s="87"/>
      <c r="AI540" s="87"/>
      <c r="AJ540" s="87"/>
      <c r="AK540" s="87"/>
      <c r="AL540" s="87"/>
      <c r="AM540" s="87"/>
      <c r="AN540" s="87"/>
    </row>
    <row r="541" ht="16.5" customHeight="1">
      <c r="A541" s="87"/>
      <c r="B541" s="87"/>
      <c r="C541" s="87"/>
      <c r="D541" s="87"/>
      <c r="E541" s="87"/>
      <c r="F541" s="79"/>
      <c r="G541" s="87"/>
      <c r="H541" s="92"/>
      <c r="I541" s="87"/>
      <c r="J541" s="87"/>
      <c r="K541" s="89"/>
      <c r="L541" s="87"/>
      <c r="M541" s="87"/>
      <c r="N541" s="87"/>
      <c r="O541" s="87"/>
      <c r="P541" s="87"/>
      <c r="Q541" s="87"/>
      <c r="R541" s="87"/>
      <c r="S541" s="87"/>
      <c r="T541" s="87"/>
      <c r="U541" s="87"/>
      <c r="V541" s="87"/>
      <c r="W541" s="87"/>
      <c r="X541" s="87"/>
      <c r="Y541" s="87"/>
      <c r="Z541" s="87"/>
      <c r="AA541" s="87"/>
      <c r="AB541" s="87"/>
      <c r="AC541" s="87"/>
      <c r="AD541" s="87"/>
      <c r="AE541" s="87"/>
      <c r="AF541" s="87"/>
      <c r="AG541" s="87"/>
      <c r="AH541" s="87"/>
      <c r="AI541" s="87"/>
      <c r="AJ541" s="87"/>
      <c r="AK541" s="87"/>
      <c r="AL541" s="87"/>
      <c r="AM541" s="87"/>
      <c r="AN541" s="87"/>
    </row>
    <row r="542" ht="16.5" customHeight="1">
      <c r="A542" s="87"/>
      <c r="B542" s="87"/>
      <c r="C542" s="87"/>
      <c r="D542" s="87"/>
      <c r="E542" s="87"/>
      <c r="F542" s="79"/>
      <c r="G542" s="87"/>
      <c r="H542" s="92"/>
      <c r="I542" s="87"/>
      <c r="J542" s="87"/>
      <c r="K542" s="89"/>
      <c r="L542" s="87"/>
      <c r="M542" s="87"/>
      <c r="N542" s="87"/>
      <c r="O542" s="87"/>
      <c r="P542" s="87"/>
      <c r="Q542" s="87"/>
      <c r="R542" s="87"/>
      <c r="S542" s="87"/>
      <c r="T542" s="87"/>
      <c r="U542" s="87"/>
      <c r="V542" s="87"/>
      <c r="W542" s="87"/>
      <c r="X542" s="87"/>
      <c r="Y542" s="87"/>
      <c r="Z542" s="87"/>
      <c r="AA542" s="87"/>
      <c r="AB542" s="87"/>
      <c r="AC542" s="87"/>
      <c r="AD542" s="87"/>
      <c r="AE542" s="87"/>
      <c r="AF542" s="87"/>
      <c r="AG542" s="87"/>
      <c r="AH542" s="87"/>
      <c r="AI542" s="87"/>
      <c r="AJ542" s="87"/>
      <c r="AK542" s="87"/>
      <c r="AL542" s="87"/>
      <c r="AM542" s="87"/>
      <c r="AN542" s="87"/>
    </row>
    <row r="543" ht="16.5" customHeight="1">
      <c r="A543" s="87"/>
      <c r="B543" s="87"/>
      <c r="C543" s="87"/>
      <c r="D543" s="87"/>
      <c r="E543" s="87"/>
      <c r="F543" s="79"/>
      <c r="G543" s="87"/>
      <c r="H543" s="92"/>
      <c r="I543" s="87"/>
      <c r="J543" s="87"/>
      <c r="K543" s="89"/>
      <c r="L543" s="87"/>
      <c r="M543" s="87"/>
      <c r="N543" s="87"/>
      <c r="O543" s="87"/>
      <c r="P543" s="87"/>
      <c r="Q543" s="87"/>
      <c r="R543" s="87"/>
      <c r="S543" s="87"/>
      <c r="T543" s="87"/>
      <c r="U543" s="87"/>
      <c r="V543" s="87"/>
      <c r="W543" s="87"/>
      <c r="X543" s="87"/>
      <c r="Y543" s="87"/>
      <c r="Z543" s="87"/>
      <c r="AA543" s="87"/>
      <c r="AB543" s="87"/>
      <c r="AC543" s="87"/>
      <c r="AD543" s="87"/>
      <c r="AE543" s="87"/>
      <c r="AF543" s="87"/>
      <c r="AG543" s="87"/>
      <c r="AH543" s="87"/>
      <c r="AI543" s="87"/>
      <c r="AJ543" s="87"/>
      <c r="AK543" s="87"/>
      <c r="AL543" s="87"/>
      <c r="AM543" s="87"/>
      <c r="AN543" s="87"/>
    </row>
    <row r="544" ht="16.5" customHeight="1">
      <c r="A544" s="87"/>
      <c r="B544" s="87"/>
      <c r="C544" s="87"/>
      <c r="D544" s="87"/>
      <c r="E544" s="87"/>
      <c r="F544" s="79"/>
      <c r="G544" s="87"/>
      <c r="H544" s="92"/>
      <c r="I544" s="87"/>
      <c r="J544" s="87"/>
      <c r="K544" s="89"/>
      <c r="L544" s="87"/>
      <c r="M544" s="87"/>
      <c r="N544" s="87"/>
      <c r="O544" s="87"/>
      <c r="P544" s="87"/>
      <c r="Q544" s="87"/>
      <c r="R544" s="87"/>
      <c r="S544" s="87"/>
      <c r="T544" s="87"/>
      <c r="U544" s="87"/>
      <c r="V544" s="87"/>
      <c r="W544" s="87"/>
      <c r="X544" s="87"/>
      <c r="Y544" s="87"/>
      <c r="Z544" s="87"/>
      <c r="AA544" s="87"/>
      <c r="AB544" s="87"/>
      <c r="AC544" s="87"/>
      <c r="AD544" s="87"/>
      <c r="AE544" s="87"/>
      <c r="AF544" s="87"/>
      <c r="AG544" s="87"/>
      <c r="AH544" s="87"/>
      <c r="AI544" s="87"/>
      <c r="AJ544" s="87"/>
      <c r="AK544" s="87"/>
      <c r="AL544" s="87"/>
      <c r="AM544" s="87"/>
      <c r="AN544" s="87"/>
    </row>
    <row r="545" ht="16.5" customHeight="1">
      <c r="A545" s="87"/>
      <c r="B545" s="87"/>
      <c r="C545" s="87"/>
      <c r="D545" s="87"/>
      <c r="E545" s="87"/>
      <c r="F545" s="79"/>
      <c r="G545" s="87"/>
      <c r="H545" s="92"/>
      <c r="I545" s="87"/>
      <c r="J545" s="87"/>
      <c r="K545" s="89"/>
      <c r="L545" s="87"/>
      <c r="M545" s="87"/>
      <c r="N545" s="87"/>
      <c r="O545" s="87"/>
      <c r="P545" s="87"/>
      <c r="Q545" s="87"/>
      <c r="R545" s="87"/>
      <c r="S545" s="87"/>
      <c r="T545" s="87"/>
      <c r="U545" s="87"/>
      <c r="V545" s="87"/>
      <c r="W545" s="87"/>
      <c r="X545" s="87"/>
      <c r="Y545" s="87"/>
      <c r="Z545" s="87"/>
      <c r="AA545" s="87"/>
      <c r="AB545" s="87"/>
      <c r="AC545" s="87"/>
      <c r="AD545" s="87"/>
      <c r="AE545" s="87"/>
      <c r="AF545" s="87"/>
      <c r="AG545" s="87"/>
      <c r="AH545" s="87"/>
      <c r="AI545" s="87"/>
      <c r="AJ545" s="87"/>
      <c r="AK545" s="87"/>
      <c r="AL545" s="87"/>
      <c r="AM545" s="87"/>
      <c r="AN545" s="87"/>
    </row>
    <row r="546" ht="16.5" customHeight="1">
      <c r="A546" s="87"/>
      <c r="B546" s="87"/>
      <c r="C546" s="87"/>
      <c r="D546" s="87"/>
      <c r="E546" s="87"/>
      <c r="F546" s="79"/>
      <c r="G546" s="87"/>
      <c r="H546" s="92"/>
      <c r="I546" s="87"/>
      <c r="J546" s="87"/>
      <c r="K546" s="89"/>
      <c r="L546" s="87"/>
      <c r="M546" s="87"/>
      <c r="N546" s="87"/>
      <c r="O546" s="87"/>
      <c r="P546" s="87"/>
      <c r="Q546" s="87"/>
      <c r="R546" s="87"/>
      <c r="S546" s="87"/>
      <c r="T546" s="87"/>
      <c r="U546" s="87"/>
      <c r="V546" s="87"/>
      <c r="W546" s="87"/>
      <c r="X546" s="87"/>
      <c r="Y546" s="87"/>
      <c r="Z546" s="87"/>
      <c r="AA546" s="87"/>
      <c r="AB546" s="87"/>
      <c r="AC546" s="87"/>
      <c r="AD546" s="87"/>
      <c r="AE546" s="87"/>
      <c r="AF546" s="87"/>
      <c r="AG546" s="87"/>
      <c r="AH546" s="87"/>
      <c r="AI546" s="87"/>
      <c r="AJ546" s="87"/>
      <c r="AK546" s="87"/>
      <c r="AL546" s="87"/>
      <c r="AM546" s="87"/>
      <c r="AN546" s="87"/>
    </row>
    <row r="547" ht="16.5" customHeight="1">
      <c r="A547" s="87"/>
      <c r="B547" s="87"/>
      <c r="C547" s="87"/>
      <c r="D547" s="87"/>
      <c r="E547" s="87"/>
      <c r="F547" s="79"/>
      <c r="G547" s="87"/>
      <c r="H547" s="92"/>
      <c r="I547" s="87"/>
      <c r="J547" s="87"/>
      <c r="K547" s="89"/>
      <c r="L547" s="87"/>
      <c r="M547" s="87"/>
      <c r="N547" s="87"/>
      <c r="O547" s="87"/>
      <c r="P547" s="87"/>
      <c r="Q547" s="87"/>
      <c r="R547" s="87"/>
      <c r="S547" s="87"/>
      <c r="T547" s="87"/>
      <c r="U547" s="87"/>
      <c r="V547" s="87"/>
      <c r="W547" s="87"/>
      <c r="X547" s="87"/>
      <c r="Y547" s="87"/>
      <c r="Z547" s="87"/>
      <c r="AA547" s="87"/>
      <c r="AB547" s="87"/>
      <c r="AC547" s="87"/>
      <c r="AD547" s="87"/>
      <c r="AE547" s="87"/>
      <c r="AF547" s="87"/>
      <c r="AG547" s="87"/>
      <c r="AH547" s="87"/>
      <c r="AI547" s="87"/>
      <c r="AJ547" s="87"/>
      <c r="AK547" s="87"/>
      <c r="AL547" s="87"/>
      <c r="AM547" s="87"/>
      <c r="AN547" s="87"/>
    </row>
    <row r="548" ht="16.5" customHeight="1">
      <c r="A548" s="87"/>
      <c r="B548" s="87"/>
      <c r="C548" s="87"/>
      <c r="D548" s="87"/>
      <c r="E548" s="87"/>
      <c r="F548" s="79"/>
      <c r="G548" s="87"/>
      <c r="H548" s="92"/>
      <c r="I548" s="87"/>
      <c r="J548" s="87"/>
      <c r="K548" s="89"/>
      <c r="L548" s="87"/>
      <c r="M548" s="87"/>
      <c r="N548" s="87"/>
      <c r="O548" s="87"/>
      <c r="P548" s="87"/>
      <c r="Q548" s="87"/>
      <c r="R548" s="87"/>
      <c r="S548" s="87"/>
      <c r="T548" s="87"/>
      <c r="U548" s="87"/>
      <c r="V548" s="87"/>
      <c r="W548" s="87"/>
      <c r="X548" s="87"/>
      <c r="Y548" s="87"/>
      <c r="Z548" s="87"/>
      <c r="AA548" s="87"/>
      <c r="AB548" s="87"/>
      <c r="AC548" s="87"/>
      <c r="AD548" s="87"/>
      <c r="AE548" s="87"/>
      <c r="AF548" s="87"/>
      <c r="AG548" s="87"/>
      <c r="AH548" s="87"/>
      <c r="AI548" s="87"/>
      <c r="AJ548" s="87"/>
      <c r="AK548" s="87"/>
      <c r="AL548" s="87"/>
      <c r="AM548" s="87"/>
      <c r="AN548" s="87"/>
    </row>
    <row r="549" ht="16.5" customHeight="1">
      <c r="A549" s="87"/>
      <c r="B549" s="87"/>
      <c r="C549" s="87"/>
      <c r="D549" s="87"/>
      <c r="E549" s="87"/>
      <c r="F549" s="79"/>
      <c r="G549" s="87"/>
      <c r="H549" s="92"/>
      <c r="I549" s="87"/>
      <c r="J549" s="87"/>
      <c r="K549" s="89"/>
      <c r="L549" s="87"/>
      <c r="M549" s="87"/>
      <c r="N549" s="87"/>
      <c r="O549" s="87"/>
      <c r="P549" s="87"/>
      <c r="Q549" s="87"/>
      <c r="R549" s="87"/>
      <c r="S549" s="87"/>
      <c r="T549" s="87"/>
      <c r="U549" s="87"/>
      <c r="V549" s="87"/>
      <c r="W549" s="87"/>
      <c r="X549" s="87"/>
      <c r="Y549" s="87"/>
      <c r="Z549" s="87"/>
      <c r="AA549" s="87"/>
      <c r="AB549" s="87"/>
      <c r="AC549" s="87"/>
      <c r="AD549" s="87"/>
      <c r="AE549" s="87"/>
      <c r="AF549" s="87"/>
      <c r="AG549" s="87"/>
      <c r="AH549" s="87"/>
      <c r="AI549" s="87"/>
      <c r="AJ549" s="87"/>
      <c r="AK549" s="87"/>
      <c r="AL549" s="87"/>
      <c r="AM549" s="87"/>
      <c r="AN549" s="87"/>
    </row>
    <row r="550" ht="16.5" customHeight="1">
      <c r="A550" s="87"/>
      <c r="B550" s="87"/>
      <c r="C550" s="87"/>
      <c r="D550" s="87"/>
      <c r="E550" s="87"/>
      <c r="F550" s="79"/>
      <c r="G550" s="87"/>
      <c r="H550" s="92"/>
      <c r="I550" s="87"/>
      <c r="J550" s="87"/>
      <c r="K550" s="89"/>
      <c r="L550" s="87"/>
      <c r="M550" s="87"/>
      <c r="N550" s="87"/>
      <c r="O550" s="87"/>
      <c r="P550" s="87"/>
      <c r="Q550" s="87"/>
      <c r="R550" s="87"/>
      <c r="S550" s="87"/>
      <c r="T550" s="87"/>
      <c r="U550" s="87"/>
      <c r="V550" s="87"/>
      <c r="W550" s="87"/>
      <c r="X550" s="87"/>
      <c r="Y550" s="87"/>
      <c r="Z550" s="87"/>
      <c r="AA550" s="87"/>
      <c r="AB550" s="87"/>
      <c r="AC550" s="87"/>
      <c r="AD550" s="87"/>
      <c r="AE550" s="87"/>
      <c r="AF550" s="87"/>
      <c r="AG550" s="87"/>
      <c r="AH550" s="87"/>
      <c r="AI550" s="87"/>
      <c r="AJ550" s="87"/>
      <c r="AK550" s="87"/>
      <c r="AL550" s="87"/>
      <c r="AM550" s="87"/>
      <c r="AN550" s="87"/>
    </row>
    <row r="551" ht="16.5" customHeight="1">
      <c r="A551" s="87"/>
      <c r="B551" s="87"/>
      <c r="C551" s="87"/>
      <c r="D551" s="87"/>
      <c r="E551" s="87"/>
      <c r="F551" s="79"/>
      <c r="G551" s="87"/>
      <c r="H551" s="92"/>
      <c r="I551" s="87"/>
      <c r="J551" s="87"/>
      <c r="K551" s="89"/>
      <c r="L551" s="87"/>
      <c r="M551" s="87"/>
      <c r="N551" s="87"/>
      <c r="O551" s="87"/>
      <c r="P551" s="87"/>
      <c r="Q551" s="87"/>
      <c r="R551" s="87"/>
      <c r="S551" s="87"/>
      <c r="T551" s="87"/>
      <c r="U551" s="87"/>
      <c r="V551" s="87"/>
      <c r="W551" s="87"/>
      <c r="X551" s="87"/>
      <c r="Y551" s="87"/>
      <c r="Z551" s="87"/>
      <c r="AA551" s="87"/>
      <c r="AB551" s="87"/>
      <c r="AC551" s="87"/>
      <c r="AD551" s="87"/>
      <c r="AE551" s="87"/>
      <c r="AF551" s="87"/>
      <c r="AG551" s="87"/>
      <c r="AH551" s="87"/>
      <c r="AI551" s="87"/>
      <c r="AJ551" s="87"/>
      <c r="AK551" s="87"/>
      <c r="AL551" s="87"/>
      <c r="AM551" s="87"/>
      <c r="AN551" s="87"/>
    </row>
    <row r="552" ht="16.5" customHeight="1">
      <c r="A552" s="87"/>
      <c r="B552" s="87"/>
      <c r="C552" s="87"/>
      <c r="D552" s="87"/>
      <c r="E552" s="87"/>
      <c r="F552" s="79"/>
      <c r="G552" s="87"/>
      <c r="H552" s="92"/>
      <c r="I552" s="87"/>
      <c r="J552" s="87"/>
      <c r="K552" s="89"/>
      <c r="L552" s="87"/>
      <c r="M552" s="87"/>
      <c r="N552" s="87"/>
      <c r="O552" s="87"/>
      <c r="P552" s="87"/>
      <c r="Q552" s="87"/>
      <c r="R552" s="87"/>
      <c r="S552" s="87"/>
      <c r="T552" s="87"/>
      <c r="U552" s="87"/>
      <c r="V552" s="87"/>
      <c r="W552" s="87"/>
      <c r="X552" s="87"/>
      <c r="Y552" s="87"/>
      <c r="Z552" s="87"/>
      <c r="AA552" s="87"/>
      <c r="AB552" s="87"/>
      <c r="AC552" s="87"/>
      <c r="AD552" s="87"/>
      <c r="AE552" s="87"/>
      <c r="AF552" s="87"/>
      <c r="AG552" s="87"/>
      <c r="AH552" s="87"/>
      <c r="AI552" s="87"/>
      <c r="AJ552" s="87"/>
      <c r="AK552" s="87"/>
      <c r="AL552" s="87"/>
      <c r="AM552" s="87"/>
      <c r="AN552" s="87"/>
    </row>
    <row r="553" ht="16.5" customHeight="1">
      <c r="A553" s="87"/>
      <c r="B553" s="87"/>
      <c r="C553" s="87"/>
      <c r="D553" s="87"/>
      <c r="E553" s="87"/>
      <c r="F553" s="79"/>
      <c r="G553" s="87"/>
      <c r="H553" s="92"/>
      <c r="I553" s="87"/>
      <c r="J553" s="87"/>
      <c r="K553" s="89"/>
      <c r="L553" s="87"/>
      <c r="M553" s="87"/>
      <c r="N553" s="87"/>
      <c r="O553" s="87"/>
      <c r="P553" s="87"/>
      <c r="Q553" s="87"/>
      <c r="R553" s="87"/>
      <c r="S553" s="87"/>
      <c r="T553" s="87"/>
      <c r="U553" s="87"/>
      <c r="V553" s="87"/>
      <c r="W553" s="87"/>
      <c r="X553" s="87"/>
      <c r="Y553" s="87"/>
      <c r="Z553" s="87"/>
      <c r="AA553" s="87"/>
      <c r="AB553" s="87"/>
      <c r="AC553" s="87"/>
      <c r="AD553" s="87"/>
      <c r="AE553" s="87"/>
      <c r="AF553" s="87"/>
      <c r="AG553" s="87"/>
      <c r="AH553" s="87"/>
      <c r="AI553" s="87"/>
      <c r="AJ553" s="87"/>
      <c r="AK553" s="87"/>
      <c r="AL553" s="87"/>
      <c r="AM553" s="87"/>
      <c r="AN553" s="87"/>
    </row>
    <row r="554" ht="16.5" customHeight="1">
      <c r="A554" s="87"/>
      <c r="B554" s="87"/>
      <c r="C554" s="87"/>
      <c r="D554" s="87"/>
      <c r="E554" s="87"/>
      <c r="F554" s="79"/>
      <c r="G554" s="87"/>
      <c r="H554" s="92"/>
      <c r="I554" s="87"/>
      <c r="J554" s="87"/>
      <c r="K554" s="89"/>
      <c r="L554" s="87"/>
      <c r="M554" s="87"/>
      <c r="N554" s="87"/>
      <c r="O554" s="87"/>
      <c r="P554" s="87"/>
      <c r="Q554" s="87"/>
      <c r="R554" s="87"/>
      <c r="S554" s="87"/>
      <c r="T554" s="87"/>
      <c r="U554" s="87"/>
      <c r="V554" s="87"/>
      <c r="W554" s="87"/>
      <c r="X554" s="87"/>
      <c r="Y554" s="87"/>
      <c r="Z554" s="87"/>
      <c r="AA554" s="87"/>
      <c r="AB554" s="87"/>
      <c r="AC554" s="87"/>
      <c r="AD554" s="87"/>
      <c r="AE554" s="87"/>
      <c r="AF554" s="87"/>
      <c r="AG554" s="87"/>
      <c r="AH554" s="87"/>
      <c r="AI554" s="87"/>
      <c r="AJ554" s="87"/>
      <c r="AK554" s="87"/>
      <c r="AL554" s="87"/>
      <c r="AM554" s="87"/>
      <c r="AN554" s="87"/>
    </row>
    <row r="555" ht="16.5" customHeight="1">
      <c r="A555" s="87"/>
      <c r="B555" s="87"/>
      <c r="C555" s="87"/>
      <c r="D555" s="87"/>
      <c r="E555" s="87"/>
      <c r="F555" s="79"/>
      <c r="G555" s="87"/>
      <c r="H555" s="92"/>
      <c r="I555" s="87"/>
      <c r="J555" s="87"/>
      <c r="K555" s="89"/>
      <c r="L555" s="87"/>
      <c r="M555" s="87"/>
      <c r="N555" s="87"/>
      <c r="O555" s="87"/>
      <c r="P555" s="87"/>
      <c r="Q555" s="87"/>
      <c r="R555" s="87"/>
      <c r="S555" s="87"/>
      <c r="T555" s="87"/>
      <c r="U555" s="87"/>
      <c r="V555" s="87"/>
      <c r="W555" s="87"/>
      <c r="X555" s="87"/>
      <c r="Y555" s="87"/>
      <c r="Z555" s="87"/>
      <c r="AA555" s="87"/>
      <c r="AB555" s="87"/>
      <c r="AC555" s="87"/>
      <c r="AD555" s="87"/>
      <c r="AE555" s="87"/>
      <c r="AF555" s="87"/>
      <c r="AG555" s="87"/>
      <c r="AH555" s="87"/>
      <c r="AI555" s="87"/>
      <c r="AJ555" s="87"/>
      <c r="AK555" s="87"/>
      <c r="AL555" s="87"/>
      <c r="AM555" s="87"/>
      <c r="AN555" s="87"/>
    </row>
    <row r="556" ht="16.5" customHeight="1">
      <c r="A556" s="87"/>
      <c r="B556" s="87"/>
      <c r="C556" s="87"/>
      <c r="D556" s="87"/>
      <c r="E556" s="87"/>
      <c r="F556" s="79"/>
      <c r="G556" s="87"/>
      <c r="H556" s="92"/>
      <c r="I556" s="87"/>
      <c r="J556" s="87"/>
      <c r="K556" s="89"/>
      <c r="L556" s="87"/>
      <c r="M556" s="87"/>
      <c r="N556" s="87"/>
      <c r="O556" s="87"/>
      <c r="P556" s="87"/>
      <c r="Q556" s="87"/>
      <c r="R556" s="87"/>
      <c r="S556" s="87"/>
      <c r="T556" s="87"/>
      <c r="U556" s="87"/>
      <c r="V556" s="87"/>
      <c r="W556" s="87"/>
      <c r="X556" s="87"/>
      <c r="Y556" s="87"/>
      <c r="Z556" s="87"/>
      <c r="AA556" s="87"/>
      <c r="AB556" s="87"/>
      <c r="AC556" s="87"/>
      <c r="AD556" s="87"/>
      <c r="AE556" s="87"/>
      <c r="AF556" s="87"/>
      <c r="AG556" s="87"/>
      <c r="AH556" s="87"/>
      <c r="AI556" s="87"/>
      <c r="AJ556" s="87"/>
      <c r="AK556" s="87"/>
      <c r="AL556" s="87"/>
      <c r="AM556" s="87"/>
      <c r="AN556" s="87"/>
    </row>
    <row r="557" ht="16.5" customHeight="1">
      <c r="A557" s="87"/>
      <c r="B557" s="87"/>
      <c r="C557" s="87"/>
      <c r="D557" s="87"/>
      <c r="E557" s="87"/>
      <c r="F557" s="79"/>
      <c r="G557" s="87"/>
      <c r="H557" s="92"/>
      <c r="I557" s="87"/>
      <c r="J557" s="87"/>
      <c r="K557" s="89"/>
      <c r="L557" s="87"/>
      <c r="M557" s="87"/>
      <c r="N557" s="87"/>
      <c r="O557" s="87"/>
      <c r="P557" s="87"/>
      <c r="Q557" s="87"/>
      <c r="R557" s="87"/>
      <c r="S557" s="87"/>
      <c r="T557" s="87"/>
      <c r="U557" s="87"/>
      <c r="V557" s="87"/>
      <c r="W557" s="87"/>
      <c r="X557" s="87"/>
      <c r="Y557" s="87"/>
      <c r="Z557" s="87"/>
      <c r="AA557" s="87"/>
      <c r="AB557" s="87"/>
      <c r="AC557" s="87"/>
      <c r="AD557" s="87"/>
      <c r="AE557" s="87"/>
      <c r="AF557" s="87"/>
      <c r="AG557" s="87"/>
      <c r="AH557" s="87"/>
      <c r="AI557" s="87"/>
      <c r="AJ557" s="87"/>
      <c r="AK557" s="87"/>
      <c r="AL557" s="87"/>
      <c r="AM557" s="87"/>
      <c r="AN557" s="87"/>
    </row>
    <row r="558" ht="16.5" customHeight="1">
      <c r="A558" s="87"/>
      <c r="B558" s="87"/>
      <c r="C558" s="87"/>
      <c r="D558" s="87"/>
      <c r="E558" s="87"/>
      <c r="F558" s="79"/>
      <c r="G558" s="87"/>
      <c r="H558" s="92"/>
      <c r="I558" s="87"/>
      <c r="J558" s="87"/>
      <c r="K558" s="89"/>
      <c r="L558" s="87"/>
      <c r="M558" s="87"/>
      <c r="N558" s="87"/>
      <c r="O558" s="87"/>
      <c r="P558" s="87"/>
      <c r="Q558" s="87"/>
      <c r="R558" s="87"/>
      <c r="S558" s="87"/>
      <c r="T558" s="87"/>
      <c r="U558" s="87"/>
      <c r="V558" s="87"/>
      <c r="W558" s="87"/>
      <c r="X558" s="87"/>
      <c r="Y558" s="87"/>
      <c r="Z558" s="87"/>
      <c r="AA558" s="87"/>
      <c r="AB558" s="87"/>
      <c r="AC558" s="87"/>
      <c r="AD558" s="87"/>
      <c r="AE558" s="87"/>
      <c r="AF558" s="87"/>
      <c r="AG558" s="87"/>
      <c r="AH558" s="87"/>
      <c r="AI558" s="87"/>
      <c r="AJ558" s="87"/>
      <c r="AK558" s="87"/>
      <c r="AL558" s="87"/>
      <c r="AM558" s="87"/>
      <c r="AN558" s="87"/>
    </row>
    <row r="559" ht="16.5" customHeight="1">
      <c r="A559" s="87"/>
      <c r="B559" s="87"/>
      <c r="C559" s="87"/>
      <c r="D559" s="87"/>
      <c r="E559" s="87"/>
      <c r="F559" s="79"/>
      <c r="G559" s="87"/>
      <c r="H559" s="92"/>
      <c r="I559" s="87"/>
      <c r="J559" s="87"/>
      <c r="K559" s="89"/>
      <c r="L559" s="87"/>
      <c r="M559" s="87"/>
      <c r="N559" s="87"/>
      <c r="O559" s="87"/>
      <c r="P559" s="87"/>
      <c r="Q559" s="87"/>
      <c r="R559" s="87"/>
      <c r="S559" s="87"/>
      <c r="T559" s="87"/>
      <c r="U559" s="87"/>
      <c r="V559" s="87"/>
      <c r="W559" s="87"/>
      <c r="X559" s="87"/>
      <c r="Y559" s="87"/>
      <c r="Z559" s="87"/>
      <c r="AA559" s="87"/>
      <c r="AB559" s="87"/>
      <c r="AC559" s="87"/>
      <c r="AD559" s="87"/>
      <c r="AE559" s="87"/>
      <c r="AF559" s="87"/>
      <c r="AG559" s="87"/>
      <c r="AH559" s="87"/>
      <c r="AI559" s="87"/>
      <c r="AJ559" s="87"/>
      <c r="AK559" s="87"/>
      <c r="AL559" s="87"/>
      <c r="AM559" s="87"/>
      <c r="AN559" s="87"/>
    </row>
    <row r="560" ht="16.5" customHeight="1">
      <c r="A560" s="87"/>
      <c r="B560" s="87"/>
      <c r="C560" s="87"/>
      <c r="D560" s="87"/>
      <c r="E560" s="87"/>
      <c r="F560" s="79"/>
      <c r="G560" s="87"/>
      <c r="H560" s="92"/>
      <c r="I560" s="87"/>
      <c r="J560" s="87"/>
      <c r="K560" s="89"/>
      <c r="L560" s="87"/>
      <c r="M560" s="87"/>
      <c r="N560" s="87"/>
      <c r="O560" s="87"/>
      <c r="P560" s="87"/>
      <c r="Q560" s="87"/>
      <c r="R560" s="87"/>
      <c r="S560" s="87"/>
      <c r="T560" s="87"/>
      <c r="U560" s="87"/>
      <c r="V560" s="87"/>
      <c r="W560" s="87"/>
      <c r="X560" s="87"/>
      <c r="Y560" s="87"/>
      <c r="Z560" s="87"/>
      <c r="AA560" s="87"/>
      <c r="AB560" s="87"/>
      <c r="AC560" s="87"/>
      <c r="AD560" s="87"/>
      <c r="AE560" s="87"/>
      <c r="AF560" s="87"/>
      <c r="AG560" s="87"/>
      <c r="AH560" s="87"/>
      <c r="AI560" s="87"/>
      <c r="AJ560" s="87"/>
      <c r="AK560" s="87"/>
      <c r="AL560" s="87"/>
      <c r="AM560" s="87"/>
      <c r="AN560" s="87"/>
    </row>
    <row r="561" ht="16.5" customHeight="1">
      <c r="A561" s="87"/>
      <c r="B561" s="87"/>
      <c r="C561" s="87"/>
      <c r="D561" s="87"/>
      <c r="E561" s="87"/>
      <c r="F561" s="79"/>
      <c r="G561" s="87"/>
      <c r="H561" s="92"/>
      <c r="I561" s="87"/>
      <c r="J561" s="87"/>
      <c r="K561" s="89"/>
      <c r="L561" s="87"/>
      <c r="M561" s="87"/>
      <c r="N561" s="87"/>
      <c r="O561" s="87"/>
      <c r="P561" s="87"/>
      <c r="Q561" s="87"/>
      <c r="R561" s="87"/>
      <c r="S561" s="87"/>
      <c r="T561" s="87"/>
      <c r="U561" s="87"/>
      <c r="V561" s="87"/>
      <c r="W561" s="87"/>
      <c r="X561" s="87"/>
      <c r="Y561" s="87"/>
      <c r="Z561" s="87"/>
      <c r="AA561" s="87"/>
      <c r="AB561" s="87"/>
      <c r="AC561" s="87"/>
      <c r="AD561" s="87"/>
      <c r="AE561" s="87"/>
      <c r="AF561" s="87"/>
      <c r="AG561" s="87"/>
      <c r="AH561" s="87"/>
      <c r="AI561" s="87"/>
      <c r="AJ561" s="87"/>
      <c r="AK561" s="87"/>
      <c r="AL561" s="87"/>
      <c r="AM561" s="87"/>
      <c r="AN561" s="87"/>
    </row>
    <row r="562" ht="16.5" customHeight="1">
      <c r="A562" s="87"/>
      <c r="B562" s="87"/>
      <c r="C562" s="87"/>
      <c r="D562" s="87"/>
      <c r="E562" s="87"/>
      <c r="F562" s="79"/>
      <c r="G562" s="87"/>
      <c r="H562" s="92"/>
      <c r="I562" s="87"/>
      <c r="J562" s="87"/>
      <c r="K562" s="89"/>
      <c r="L562" s="87"/>
      <c r="M562" s="87"/>
      <c r="N562" s="87"/>
      <c r="O562" s="87"/>
      <c r="P562" s="87"/>
      <c r="Q562" s="87"/>
      <c r="R562" s="87"/>
      <c r="S562" s="87"/>
      <c r="T562" s="87"/>
      <c r="U562" s="87"/>
      <c r="V562" s="87"/>
      <c r="W562" s="87"/>
      <c r="X562" s="87"/>
      <c r="Y562" s="87"/>
      <c r="Z562" s="87"/>
      <c r="AA562" s="87"/>
      <c r="AB562" s="87"/>
      <c r="AC562" s="87"/>
      <c r="AD562" s="87"/>
      <c r="AE562" s="87"/>
      <c r="AF562" s="87"/>
      <c r="AG562" s="87"/>
      <c r="AH562" s="87"/>
      <c r="AI562" s="87"/>
      <c r="AJ562" s="87"/>
      <c r="AK562" s="87"/>
      <c r="AL562" s="87"/>
      <c r="AM562" s="87"/>
      <c r="AN562" s="87"/>
    </row>
    <row r="563" ht="16.5" customHeight="1">
      <c r="A563" s="87"/>
      <c r="B563" s="87"/>
      <c r="C563" s="87"/>
      <c r="D563" s="87"/>
      <c r="E563" s="87"/>
      <c r="F563" s="79"/>
      <c r="G563" s="87"/>
      <c r="H563" s="92"/>
      <c r="I563" s="87"/>
      <c r="J563" s="87"/>
      <c r="K563" s="89"/>
      <c r="L563" s="87"/>
      <c r="M563" s="87"/>
      <c r="N563" s="87"/>
      <c r="O563" s="87"/>
      <c r="P563" s="87"/>
      <c r="Q563" s="87"/>
      <c r="R563" s="87"/>
      <c r="S563" s="87"/>
      <c r="T563" s="87"/>
      <c r="U563" s="87"/>
      <c r="V563" s="87"/>
      <c r="W563" s="87"/>
      <c r="X563" s="87"/>
      <c r="Y563" s="87"/>
      <c r="Z563" s="87"/>
      <c r="AA563" s="87"/>
      <c r="AB563" s="87"/>
      <c r="AC563" s="87"/>
      <c r="AD563" s="87"/>
      <c r="AE563" s="87"/>
      <c r="AF563" s="87"/>
      <c r="AG563" s="87"/>
      <c r="AH563" s="87"/>
      <c r="AI563" s="87"/>
      <c r="AJ563" s="87"/>
      <c r="AK563" s="87"/>
      <c r="AL563" s="87"/>
      <c r="AM563" s="87"/>
      <c r="AN563" s="87"/>
    </row>
    <row r="564" ht="16.5" customHeight="1">
      <c r="A564" s="87"/>
      <c r="B564" s="87"/>
      <c r="C564" s="87"/>
      <c r="D564" s="87"/>
      <c r="E564" s="87"/>
      <c r="F564" s="79"/>
      <c r="G564" s="87"/>
      <c r="H564" s="92"/>
      <c r="I564" s="87"/>
      <c r="J564" s="87"/>
      <c r="K564" s="89"/>
      <c r="L564" s="87"/>
      <c r="M564" s="87"/>
      <c r="N564" s="87"/>
      <c r="O564" s="87"/>
      <c r="P564" s="87"/>
      <c r="Q564" s="87"/>
      <c r="R564" s="87"/>
      <c r="S564" s="87"/>
      <c r="T564" s="87"/>
      <c r="U564" s="87"/>
      <c r="V564" s="87"/>
      <c r="W564" s="87"/>
      <c r="X564" s="87"/>
      <c r="Y564" s="87"/>
      <c r="Z564" s="87"/>
      <c r="AA564" s="87"/>
      <c r="AB564" s="87"/>
      <c r="AC564" s="87"/>
      <c r="AD564" s="87"/>
      <c r="AE564" s="87"/>
      <c r="AF564" s="87"/>
      <c r="AG564" s="87"/>
      <c r="AH564" s="87"/>
      <c r="AI564" s="87"/>
      <c r="AJ564" s="87"/>
      <c r="AK564" s="87"/>
      <c r="AL564" s="87"/>
      <c r="AM564" s="87"/>
      <c r="AN564" s="87"/>
    </row>
    <row r="565" ht="16.5" customHeight="1">
      <c r="A565" s="87"/>
      <c r="B565" s="87"/>
      <c r="C565" s="87"/>
      <c r="D565" s="87"/>
      <c r="E565" s="87"/>
      <c r="F565" s="79"/>
      <c r="G565" s="87"/>
      <c r="H565" s="92"/>
      <c r="I565" s="87"/>
      <c r="J565" s="87"/>
      <c r="K565" s="89"/>
      <c r="L565" s="87"/>
      <c r="M565" s="87"/>
      <c r="N565" s="87"/>
      <c r="O565" s="87"/>
      <c r="P565" s="87"/>
      <c r="Q565" s="87"/>
      <c r="R565" s="87"/>
      <c r="S565" s="87"/>
      <c r="T565" s="87"/>
      <c r="U565" s="87"/>
      <c r="V565" s="87"/>
      <c r="W565" s="87"/>
      <c r="X565" s="87"/>
      <c r="Y565" s="87"/>
      <c r="Z565" s="87"/>
      <c r="AA565" s="87"/>
      <c r="AB565" s="87"/>
      <c r="AC565" s="87"/>
      <c r="AD565" s="87"/>
      <c r="AE565" s="87"/>
      <c r="AF565" s="87"/>
      <c r="AG565" s="87"/>
      <c r="AH565" s="87"/>
      <c r="AI565" s="87"/>
      <c r="AJ565" s="87"/>
      <c r="AK565" s="87"/>
      <c r="AL565" s="87"/>
      <c r="AM565" s="87"/>
      <c r="AN565" s="87"/>
    </row>
    <row r="566" ht="16.5" customHeight="1">
      <c r="A566" s="87"/>
      <c r="B566" s="87"/>
      <c r="C566" s="87"/>
      <c r="D566" s="87"/>
      <c r="E566" s="87"/>
      <c r="F566" s="79"/>
      <c r="G566" s="87"/>
      <c r="H566" s="92"/>
      <c r="I566" s="87"/>
      <c r="J566" s="87"/>
      <c r="K566" s="89"/>
      <c r="L566" s="87"/>
      <c r="M566" s="87"/>
      <c r="N566" s="87"/>
      <c r="O566" s="87"/>
      <c r="P566" s="87"/>
      <c r="Q566" s="87"/>
      <c r="R566" s="87"/>
      <c r="S566" s="87"/>
      <c r="T566" s="87"/>
      <c r="U566" s="87"/>
      <c r="V566" s="87"/>
      <c r="W566" s="87"/>
      <c r="X566" s="87"/>
      <c r="Y566" s="87"/>
      <c r="Z566" s="87"/>
      <c r="AA566" s="87"/>
      <c r="AB566" s="87"/>
      <c r="AC566" s="87"/>
      <c r="AD566" s="87"/>
      <c r="AE566" s="87"/>
      <c r="AF566" s="87"/>
      <c r="AG566" s="87"/>
      <c r="AH566" s="87"/>
      <c r="AI566" s="87"/>
      <c r="AJ566" s="87"/>
      <c r="AK566" s="87"/>
      <c r="AL566" s="87"/>
      <c r="AM566" s="87"/>
      <c r="AN566" s="87"/>
    </row>
    <row r="567" ht="16.5" customHeight="1">
      <c r="A567" s="87"/>
      <c r="B567" s="87"/>
      <c r="C567" s="87"/>
      <c r="D567" s="87"/>
      <c r="E567" s="87"/>
      <c r="F567" s="79"/>
      <c r="G567" s="87"/>
      <c r="H567" s="92"/>
      <c r="I567" s="87"/>
      <c r="J567" s="87"/>
      <c r="K567" s="89"/>
      <c r="L567" s="87"/>
      <c r="M567" s="87"/>
      <c r="N567" s="87"/>
      <c r="O567" s="87"/>
      <c r="P567" s="87"/>
      <c r="Q567" s="87"/>
      <c r="R567" s="87"/>
      <c r="S567" s="87"/>
      <c r="T567" s="87"/>
      <c r="U567" s="87"/>
      <c r="V567" s="87"/>
      <c r="W567" s="87"/>
      <c r="X567" s="87"/>
      <c r="Y567" s="87"/>
      <c r="Z567" s="87"/>
      <c r="AA567" s="87"/>
      <c r="AB567" s="87"/>
      <c r="AC567" s="87"/>
      <c r="AD567" s="87"/>
      <c r="AE567" s="87"/>
      <c r="AF567" s="87"/>
      <c r="AG567" s="87"/>
      <c r="AH567" s="87"/>
      <c r="AI567" s="87"/>
      <c r="AJ567" s="87"/>
      <c r="AK567" s="87"/>
      <c r="AL567" s="87"/>
      <c r="AM567" s="87"/>
      <c r="AN567" s="87"/>
    </row>
    <row r="568" ht="16.5" customHeight="1">
      <c r="A568" s="87"/>
      <c r="B568" s="87"/>
      <c r="C568" s="87"/>
      <c r="D568" s="87"/>
      <c r="E568" s="87"/>
      <c r="F568" s="79"/>
      <c r="G568" s="87"/>
      <c r="H568" s="92"/>
      <c r="I568" s="87"/>
      <c r="J568" s="87"/>
      <c r="K568" s="89"/>
      <c r="L568" s="87"/>
      <c r="M568" s="87"/>
      <c r="N568" s="87"/>
      <c r="O568" s="87"/>
      <c r="P568" s="87"/>
      <c r="Q568" s="87"/>
      <c r="R568" s="87"/>
      <c r="S568" s="87"/>
      <c r="T568" s="87"/>
      <c r="U568" s="87"/>
      <c r="V568" s="87"/>
      <c r="W568" s="87"/>
      <c r="X568" s="87"/>
      <c r="Y568" s="87"/>
      <c r="Z568" s="87"/>
      <c r="AA568" s="87"/>
      <c r="AB568" s="87"/>
      <c r="AC568" s="87"/>
      <c r="AD568" s="87"/>
      <c r="AE568" s="87"/>
      <c r="AF568" s="87"/>
      <c r="AG568" s="87"/>
      <c r="AH568" s="87"/>
      <c r="AI568" s="87"/>
      <c r="AJ568" s="87"/>
      <c r="AK568" s="87"/>
      <c r="AL568" s="87"/>
      <c r="AM568" s="87"/>
      <c r="AN568" s="87"/>
    </row>
    <row r="569" ht="16.5" customHeight="1">
      <c r="A569" s="87"/>
      <c r="B569" s="87"/>
      <c r="C569" s="87"/>
      <c r="D569" s="87"/>
      <c r="E569" s="87"/>
      <c r="F569" s="79"/>
      <c r="G569" s="87"/>
      <c r="H569" s="92"/>
      <c r="I569" s="87"/>
      <c r="J569" s="87"/>
      <c r="K569" s="89"/>
      <c r="L569" s="87"/>
      <c r="M569" s="87"/>
      <c r="N569" s="87"/>
      <c r="O569" s="87"/>
      <c r="P569" s="87"/>
      <c r="Q569" s="87"/>
      <c r="R569" s="87"/>
      <c r="S569" s="87"/>
      <c r="T569" s="87"/>
      <c r="U569" s="87"/>
      <c r="V569" s="87"/>
      <c r="W569" s="87"/>
      <c r="X569" s="87"/>
      <c r="Y569" s="87"/>
      <c r="Z569" s="87"/>
      <c r="AA569" s="87"/>
      <c r="AB569" s="87"/>
      <c r="AC569" s="87"/>
      <c r="AD569" s="87"/>
      <c r="AE569" s="87"/>
      <c r="AF569" s="87"/>
      <c r="AG569" s="87"/>
      <c r="AH569" s="87"/>
      <c r="AI569" s="87"/>
      <c r="AJ569" s="87"/>
      <c r="AK569" s="87"/>
      <c r="AL569" s="87"/>
      <c r="AM569" s="87"/>
      <c r="AN569" s="87"/>
    </row>
    <row r="570" ht="16.5" customHeight="1">
      <c r="A570" s="87"/>
      <c r="B570" s="87"/>
      <c r="C570" s="87"/>
      <c r="D570" s="87"/>
      <c r="E570" s="87"/>
      <c r="F570" s="79"/>
      <c r="G570" s="87"/>
      <c r="H570" s="92"/>
      <c r="I570" s="87"/>
      <c r="J570" s="87"/>
      <c r="K570" s="89"/>
      <c r="L570" s="87"/>
      <c r="M570" s="87"/>
      <c r="N570" s="87"/>
      <c r="O570" s="87"/>
      <c r="P570" s="87"/>
      <c r="Q570" s="87"/>
      <c r="R570" s="87"/>
      <c r="S570" s="87"/>
      <c r="T570" s="87"/>
      <c r="U570" s="87"/>
      <c r="V570" s="87"/>
      <c r="W570" s="87"/>
      <c r="X570" s="87"/>
      <c r="Y570" s="87"/>
      <c r="Z570" s="87"/>
      <c r="AA570" s="87"/>
      <c r="AB570" s="87"/>
      <c r="AC570" s="87"/>
      <c r="AD570" s="87"/>
      <c r="AE570" s="87"/>
      <c r="AF570" s="87"/>
      <c r="AG570" s="87"/>
      <c r="AH570" s="87"/>
      <c r="AI570" s="87"/>
      <c r="AJ570" s="87"/>
      <c r="AK570" s="87"/>
      <c r="AL570" s="87"/>
      <c r="AM570" s="87"/>
      <c r="AN570" s="87"/>
    </row>
    <row r="571" ht="16.5" customHeight="1">
      <c r="A571" s="87"/>
      <c r="B571" s="87"/>
      <c r="C571" s="87"/>
      <c r="D571" s="87"/>
      <c r="E571" s="87"/>
      <c r="F571" s="79"/>
      <c r="G571" s="87"/>
      <c r="H571" s="92"/>
      <c r="I571" s="87"/>
      <c r="J571" s="87"/>
      <c r="K571" s="89"/>
      <c r="L571" s="87"/>
      <c r="M571" s="87"/>
      <c r="N571" s="87"/>
      <c r="O571" s="87"/>
      <c r="P571" s="87"/>
      <c r="Q571" s="87"/>
      <c r="R571" s="87"/>
      <c r="S571" s="87"/>
      <c r="T571" s="87"/>
      <c r="U571" s="87"/>
      <c r="V571" s="87"/>
      <c r="W571" s="87"/>
      <c r="X571" s="87"/>
      <c r="Y571" s="87"/>
      <c r="Z571" s="87"/>
      <c r="AA571" s="87"/>
      <c r="AB571" s="87"/>
      <c r="AC571" s="87"/>
      <c r="AD571" s="87"/>
      <c r="AE571" s="87"/>
      <c r="AF571" s="87"/>
      <c r="AG571" s="87"/>
      <c r="AH571" s="87"/>
      <c r="AI571" s="87"/>
      <c r="AJ571" s="87"/>
      <c r="AK571" s="87"/>
      <c r="AL571" s="87"/>
      <c r="AM571" s="87"/>
      <c r="AN571" s="87"/>
    </row>
    <row r="572" ht="16.5" customHeight="1">
      <c r="A572" s="87"/>
      <c r="B572" s="87"/>
      <c r="C572" s="87"/>
      <c r="D572" s="87"/>
      <c r="E572" s="87"/>
      <c r="F572" s="79"/>
      <c r="G572" s="87"/>
      <c r="H572" s="92"/>
      <c r="I572" s="87"/>
      <c r="J572" s="87"/>
      <c r="K572" s="89"/>
      <c r="L572" s="87"/>
      <c r="M572" s="87"/>
      <c r="N572" s="87"/>
      <c r="O572" s="87"/>
      <c r="P572" s="87"/>
      <c r="Q572" s="87"/>
      <c r="R572" s="87"/>
      <c r="S572" s="87"/>
      <c r="T572" s="87"/>
      <c r="U572" s="87"/>
      <c r="V572" s="87"/>
      <c r="W572" s="87"/>
      <c r="X572" s="87"/>
      <c r="Y572" s="87"/>
      <c r="Z572" s="87"/>
      <c r="AA572" s="87"/>
      <c r="AB572" s="87"/>
      <c r="AC572" s="87"/>
      <c r="AD572" s="87"/>
      <c r="AE572" s="87"/>
      <c r="AF572" s="87"/>
      <c r="AG572" s="87"/>
      <c r="AH572" s="87"/>
      <c r="AI572" s="87"/>
      <c r="AJ572" s="87"/>
      <c r="AK572" s="87"/>
      <c r="AL572" s="87"/>
      <c r="AM572" s="87"/>
      <c r="AN572" s="87"/>
    </row>
    <row r="573" ht="16.5" customHeight="1">
      <c r="A573" s="87"/>
      <c r="B573" s="87"/>
      <c r="C573" s="87"/>
      <c r="D573" s="87"/>
      <c r="E573" s="87"/>
      <c r="F573" s="79"/>
      <c r="G573" s="87"/>
      <c r="H573" s="92"/>
      <c r="I573" s="87"/>
      <c r="J573" s="87"/>
      <c r="K573" s="89"/>
      <c r="L573" s="87"/>
      <c r="M573" s="87"/>
      <c r="N573" s="87"/>
      <c r="O573" s="87"/>
      <c r="P573" s="87"/>
      <c r="Q573" s="87"/>
      <c r="R573" s="87"/>
      <c r="S573" s="87"/>
      <c r="T573" s="87"/>
      <c r="U573" s="87"/>
      <c r="V573" s="87"/>
      <c r="W573" s="87"/>
      <c r="X573" s="87"/>
      <c r="Y573" s="87"/>
      <c r="Z573" s="87"/>
      <c r="AA573" s="87"/>
      <c r="AB573" s="87"/>
      <c r="AC573" s="87"/>
      <c r="AD573" s="87"/>
      <c r="AE573" s="87"/>
      <c r="AF573" s="87"/>
      <c r="AG573" s="87"/>
      <c r="AH573" s="87"/>
      <c r="AI573" s="87"/>
      <c r="AJ573" s="87"/>
      <c r="AK573" s="87"/>
      <c r="AL573" s="87"/>
      <c r="AM573" s="87"/>
      <c r="AN573" s="87"/>
    </row>
    <row r="574" ht="16.5" customHeight="1">
      <c r="A574" s="87"/>
      <c r="B574" s="87"/>
      <c r="C574" s="87"/>
      <c r="D574" s="87"/>
      <c r="E574" s="87"/>
      <c r="F574" s="79"/>
      <c r="G574" s="87"/>
      <c r="H574" s="92"/>
      <c r="I574" s="87"/>
      <c r="J574" s="87"/>
      <c r="K574" s="89"/>
      <c r="L574" s="87"/>
      <c r="M574" s="87"/>
      <c r="N574" s="87"/>
      <c r="O574" s="87"/>
      <c r="P574" s="87"/>
      <c r="Q574" s="87"/>
      <c r="R574" s="87"/>
      <c r="S574" s="87"/>
      <c r="T574" s="87"/>
      <c r="U574" s="87"/>
      <c r="V574" s="87"/>
      <c r="W574" s="87"/>
      <c r="X574" s="87"/>
      <c r="Y574" s="87"/>
      <c r="Z574" s="87"/>
      <c r="AA574" s="87"/>
      <c r="AB574" s="87"/>
      <c r="AC574" s="87"/>
      <c r="AD574" s="87"/>
      <c r="AE574" s="87"/>
      <c r="AF574" s="87"/>
      <c r="AG574" s="87"/>
      <c r="AH574" s="87"/>
      <c r="AI574" s="87"/>
      <c r="AJ574" s="87"/>
      <c r="AK574" s="87"/>
      <c r="AL574" s="87"/>
      <c r="AM574" s="87"/>
      <c r="AN574" s="87"/>
    </row>
    <row r="575" ht="16.5" customHeight="1">
      <c r="A575" s="87"/>
      <c r="B575" s="87"/>
      <c r="C575" s="87"/>
      <c r="D575" s="87"/>
      <c r="E575" s="87"/>
      <c r="F575" s="79"/>
      <c r="G575" s="87"/>
      <c r="H575" s="92"/>
      <c r="I575" s="87"/>
      <c r="J575" s="87"/>
      <c r="K575" s="89"/>
      <c r="L575" s="87"/>
      <c r="M575" s="87"/>
      <c r="N575" s="87"/>
      <c r="O575" s="87"/>
      <c r="P575" s="87"/>
      <c r="Q575" s="87"/>
      <c r="R575" s="87"/>
      <c r="S575" s="87"/>
      <c r="T575" s="87"/>
      <c r="U575" s="87"/>
      <c r="V575" s="87"/>
      <c r="W575" s="87"/>
      <c r="X575" s="87"/>
      <c r="Y575" s="87"/>
      <c r="Z575" s="87"/>
      <c r="AA575" s="87"/>
      <c r="AB575" s="87"/>
      <c r="AC575" s="87"/>
      <c r="AD575" s="87"/>
      <c r="AE575" s="87"/>
      <c r="AF575" s="87"/>
      <c r="AG575" s="87"/>
      <c r="AH575" s="87"/>
      <c r="AI575" s="87"/>
      <c r="AJ575" s="87"/>
      <c r="AK575" s="87"/>
      <c r="AL575" s="87"/>
      <c r="AM575" s="87"/>
      <c r="AN575" s="87"/>
    </row>
    <row r="576" ht="16.5" customHeight="1">
      <c r="A576" s="87"/>
      <c r="B576" s="87"/>
      <c r="C576" s="87"/>
      <c r="D576" s="87"/>
      <c r="E576" s="87"/>
      <c r="F576" s="79"/>
      <c r="G576" s="87"/>
      <c r="H576" s="92"/>
      <c r="I576" s="87"/>
      <c r="J576" s="87"/>
      <c r="K576" s="89"/>
      <c r="L576" s="87"/>
      <c r="M576" s="87"/>
      <c r="N576" s="87"/>
      <c r="O576" s="87"/>
      <c r="P576" s="87"/>
      <c r="Q576" s="87"/>
      <c r="R576" s="87"/>
      <c r="S576" s="87"/>
      <c r="T576" s="87"/>
      <c r="U576" s="87"/>
      <c r="V576" s="87"/>
      <c r="W576" s="87"/>
      <c r="X576" s="87"/>
      <c r="Y576" s="87"/>
      <c r="Z576" s="87"/>
      <c r="AA576" s="87"/>
      <c r="AB576" s="87"/>
      <c r="AC576" s="87"/>
      <c r="AD576" s="87"/>
      <c r="AE576" s="87"/>
      <c r="AF576" s="87"/>
      <c r="AG576" s="87"/>
      <c r="AH576" s="87"/>
      <c r="AI576" s="87"/>
      <c r="AJ576" s="87"/>
      <c r="AK576" s="87"/>
      <c r="AL576" s="87"/>
      <c r="AM576" s="87"/>
      <c r="AN576" s="87"/>
    </row>
    <row r="577" ht="16.5" customHeight="1">
      <c r="A577" s="87"/>
      <c r="B577" s="87"/>
      <c r="C577" s="87"/>
      <c r="D577" s="87"/>
      <c r="E577" s="87"/>
      <c r="F577" s="79"/>
      <c r="G577" s="87"/>
      <c r="H577" s="92"/>
      <c r="I577" s="87"/>
      <c r="J577" s="87"/>
      <c r="K577" s="89"/>
      <c r="L577" s="87"/>
      <c r="M577" s="87"/>
      <c r="N577" s="87"/>
      <c r="O577" s="87"/>
      <c r="P577" s="87"/>
      <c r="Q577" s="87"/>
      <c r="R577" s="87"/>
      <c r="S577" s="87"/>
      <c r="T577" s="87"/>
      <c r="U577" s="87"/>
      <c r="V577" s="87"/>
      <c r="W577" s="87"/>
      <c r="X577" s="87"/>
      <c r="Y577" s="87"/>
      <c r="Z577" s="87"/>
      <c r="AA577" s="87"/>
      <c r="AB577" s="87"/>
      <c r="AC577" s="87"/>
      <c r="AD577" s="87"/>
      <c r="AE577" s="87"/>
      <c r="AF577" s="87"/>
      <c r="AG577" s="87"/>
      <c r="AH577" s="87"/>
      <c r="AI577" s="87"/>
      <c r="AJ577" s="87"/>
      <c r="AK577" s="87"/>
      <c r="AL577" s="87"/>
      <c r="AM577" s="87"/>
      <c r="AN577" s="87"/>
    </row>
    <row r="578" ht="16.5" customHeight="1">
      <c r="A578" s="87"/>
      <c r="B578" s="87"/>
      <c r="C578" s="87"/>
      <c r="D578" s="87"/>
      <c r="E578" s="87"/>
      <c r="F578" s="79"/>
      <c r="G578" s="87"/>
      <c r="H578" s="92"/>
      <c r="I578" s="87"/>
      <c r="J578" s="87"/>
      <c r="K578" s="89"/>
      <c r="L578" s="87"/>
      <c r="M578" s="87"/>
      <c r="N578" s="87"/>
      <c r="O578" s="87"/>
      <c r="P578" s="87"/>
      <c r="Q578" s="87"/>
      <c r="R578" s="87"/>
      <c r="S578" s="87"/>
      <c r="T578" s="87"/>
      <c r="U578" s="87"/>
      <c r="V578" s="87"/>
      <c r="W578" s="87"/>
      <c r="X578" s="87"/>
      <c r="Y578" s="87"/>
      <c r="Z578" s="87"/>
      <c r="AA578" s="87"/>
      <c r="AB578" s="87"/>
      <c r="AC578" s="87"/>
      <c r="AD578" s="87"/>
      <c r="AE578" s="87"/>
      <c r="AF578" s="87"/>
      <c r="AG578" s="87"/>
      <c r="AH578" s="87"/>
      <c r="AI578" s="87"/>
      <c r="AJ578" s="87"/>
      <c r="AK578" s="87"/>
      <c r="AL578" s="87"/>
      <c r="AM578" s="87"/>
      <c r="AN578" s="87"/>
    </row>
    <row r="579" ht="16.5" customHeight="1">
      <c r="A579" s="87"/>
      <c r="B579" s="87"/>
      <c r="C579" s="87"/>
      <c r="D579" s="87"/>
      <c r="E579" s="87"/>
      <c r="F579" s="79"/>
      <c r="G579" s="87"/>
      <c r="H579" s="92"/>
      <c r="I579" s="87"/>
      <c r="J579" s="87"/>
      <c r="K579" s="89"/>
      <c r="L579" s="87"/>
      <c r="M579" s="87"/>
      <c r="N579" s="87"/>
      <c r="O579" s="87"/>
      <c r="P579" s="87"/>
      <c r="Q579" s="87"/>
      <c r="R579" s="87"/>
      <c r="S579" s="87"/>
      <c r="T579" s="87"/>
      <c r="U579" s="87"/>
      <c r="V579" s="87"/>
      <c r="W579" s="87"/>
      <c r="X579" s="87"/>
      <c r="Y579" s="87"/>
      <c r="Z579" s="87"/>
      <c r="AA579" s="87"/>
      <c r="AB579" s="87"/>
      <c r="AC579" s="87"/>
      <c r="AD579" s="87"/>
      <c r="AE579" s="87"/>
      <c r="AF579" s="87"/>
      <c r="AG579" s="87"/>
      <c r="AH579" s="87"/>
      <c r="AI579" s="87"/>
      <c r="AJ579" s="87"/>
      <c r="AK579" s="87"/>
      <c r="AL579" s="87"/>
      <c r="AM579" s="87"/>
      <c r="AN579" s="87"/>
    </row>
    <row r="580" ht="16.5" customHeight="1">
      <c r="A580" s="87"/>
      <c r="B580" s="87"/>
      <c r="C580" s="87"/>
      <c r="D580" s="87"/>
      <c r="E580" s="87"/>
      <c r="F580" s="79"/>
      <c r="G580" s="87"/>
      <c r="H580" s="92"/>
      <c r="I580" s="87"/>
      <c r="J580" s="87"/>
      <c r="K580" s="89"/>
      <c r="L580" s="87"/>
      <c r="M580" s="87"/>
      <c r="N580" s="87"/>
      <c r="O580" s="87"/>
      <c r="P580" s="87"/>
      <c r="Q580" s="87"/>
      <c r="R580" s="87"/>
      <c r="S580" s="87"/>
      <c r="T580" s="87"/>
      <c r="U580" s="87"/>
      <c r="V580" s="87"/>
      <c r="W580" s="87"/>
      <c r="X580" s="87"/>
      <c r="Y580" s="87"/>
      <c r="Z580" s="87"/>
      <c r="AA580" s="87"/>
      <c r="AB580" s="87"/>
      <c r="AC580" s="87"/>
      <c r="AD580" s="87"/>
      <c r="AE580" s="87"/>
      <c r="AF580" s="87"/>
      <c r="AG580" s="87"/>
      <c r="AH580" s="87"/>
      <c r="AI580" s="87"/>
      <c r="AJ580" s="87"/>
      <c r="AK580" s="87"/>
      <c r="AL580" s="87"/>
      <c r="AM580" s="87"/>
      <c r="AN580" s="87"/>
    </row>
    <row r="581" ht="16.5" customHeight="1">
      <c r="A581" s="87"/>
      <c r="B581" s="87"/>
      <c r="C581" s="87"/>
      <c r="D581" s="87"/>
      <c r="E581" s="87"/>
      <c r="F581" s="79"/>
      <c r="G581" s="87"/>
      <c r="H581" s="92"/>
      <c r="I581" s="87"/>
      <c r="J581" s="87"/>
      <c r="K581" s="89"/>
      <c r="L581" s="87"/>
      <c r="M581" s="87"/>
      <c r="N581" s="87"/>
      <c r="O581" s="87"/>
      <c r="P581" s="87"/>
      <c r="Q581" s="87"/>
      <c r="R581" s="87"/>
      <c r="S581" s="87"/>
      <c r="T581" s="87"/>
      <c r="U581" s="87"/>
      <c r="V581" s="87"/>
      <c r="W581" s="87"/>
      <c r="X581" s="87"/>
      <c r="Y581" s="87"/>
      <c r="Z581" s="87"/>
      <c r="AA581" s="87"/>
      <c r="AB581" s="87"/>
      <c r="AC581" s="87"/>
      <c r="AD581" s="87"/>
      <c r="AE581" s="87"/>
      <c r="AF581" s="87"/>
      <c r="AG581" s="87"/>
      <c r="AH581" s="87"/>
      <c r="AI581" s="87"/>
      <c r="AJ581" s="87"/>
      <c r="AK581" s="87"/>
      <c r="AL581" s="87"/>
      <c r="AM581" s="87"/>
      <c r="AN581" s="87"/>
    </row>
    <row r="582" ht="16.5" customHeight="1">
      <c r="A582" s="87"/>
      <c r="B582" s="87"/>
      <c r="C582" s="87"/>
      <c r="D582" s="87"/>
      <c r="E582" s="87"/>
      <c r="F582" s="79"/>
      <c r="G582" s="87"/>
      <c r="H582" s="92"/>
      <c r="I582" s="87"/>
      <c r="J582" s="87"/>
      <c r="K582" s="89"/>
      <c r="L582" s="87"/>
      <c r="M582" s="87"/>
      <c r="N582" s="87"/>
      <c r="O582" s="87"/>
      <c r="P582" s="87"/>
      <c r="Q582" s="87"/>
      <c r="R582" s="87"/>
      <c r="S582" s="87"/>
      <c r="T582" s="87"/>
      <c r="U582" s="87"/>
      <c r="V582" s="87"/>
      <c r="W582" s="87"/>
      <c r="X582" s="87"/>
      <c r="Y582" s="87"/>
      <c r="Z582" s="87"/>
      <c r="AA582" s="87"/>
      <c r="AB582" s="87"/>
      <c r="AC582" s="87"/>
      <c r="AD582" s="87"/>
      <c r="AE582" s="87"/>
      <c r="AF582" s="87"/>
      <c r="AG582" s="87"/>
      <c r="AH582" s="87"/>
      <c r="AI582" s="87"/>
      <c r="AJ582" s="87"/>
      <c r="AK582" s="87"/>
      <c r="AL582" s="87"/>
      <c r="AM582" s="87"/>
      <c r="AN582" s="87"/>
    </row>
    <row r="583" ht="16.5" customHeight="1">
      <c r="A583" s="87"/>
      <c r="B583" s="87"/>
      <c r="C583" s="87"/>
      <c r="D583" s="87"/>
      <c r="E583" s="87"/>
      <c r="F583" s="79"/>
      <c r="G583" s="87"/>
      <c r="H583" s="92"/>
      <c r="I583" s="87"/>
      <c r="J583" s="87"/>
      <c r="K583" s="89"/>
      <c r="L583" s="87"/>
      <c r="M583" s="87"/>
      <c r="N583" s="87"/>
      <c r="O583" s="87"/>
      <c r="P583" s="87"/>
      <c r="Q583" s="87"/>
      <c r="R583" s="87"/>
      <c r="S583" s="87"/>
      <c r="T583" s="87"/>
      <c r="U583" s="87"/>
      <c r="V583" s="87"/>
      <c r="W583" s="87"/>
      <c r="X583" s="87"/>
      <c r="Y583" s="87"/>
      <c r="Z583" s="87"/>
      <c r="AA583" s="87"/>
      <c r="AB583" s="87"/>
      <c r="AC583" s="87"/>
      <c r="AD583" s="87"/>
      <c r="AE583" s="87"/>
      <c r="AF583" s="87"/>
      <c r="AG583" s="87"/>
      <c r="AH583" s="87"/>
      <c r="AI583" s="87"/>
      <c r="AJ583" s="87"/>
      <c r="AK583" s="87"/>
      <c r="AL583" s="87"/>
      <c r="AM583" s="87"/>
      <c r="AN583" s="87"/>
    </row>
    <row r="584" ht="16.5" customHeight="1">
      <c r="A584" s="87"/>
      <c r="B584" s="87"/>
      <c r="C584" s="87"/>
      <c r="D584" s="87"/>
      <c r="E584" s="87"/>
      <c r="F584" s="79"/>
      <c r="G584" s="87"/>
      <c r="H584" s="92"/>
      <c r="I584" s="87"/>
      <c r="J584" s="87"/>
      <c r="K584" s="89"/>
      <c r="L584" s="87"/>
      <c r="M584" s="87"/>
      <c r="N584" s="87"/>
      <c r="O584" s="87"/>
      <c r="P584" s="87"/>
      <c r="Q584" s="87"/>
      <c r="R584" s="87"/>
      <c r="S584" s="87"/>
      <c r="T584" s="87"/>
      <c r="U584" s="87"/>
      <c r="V584" s="87"/>
      <c r="W584" s="87"/>
      <c r="X584" s="87"/>
      <c r="Y584" s="87"/>
      <c r="Z584" s="87"/>
      <c r="AA584" s="87"/>
      <c r="AB584" s="87"/>
      <c r="AC584" s="87"/>
      <c r="AD584" s="87"/>
      <c r="AE584" s="87"/>
      <c r="AF584" s="87"/>
      <c r="AG584" s="87"/>
      <c r="AH584" s="87"/>
      <c r="AI584" s="87"/>
      <c r="AJ584" s="87"/>
      <c r="AK584" s="87"/>
      <c r="AL584" s="87"/>
      <c r="AM584" s="87"/>
      <c r="AN584" s="87"/>
    </row>
    <row r="585" ht="16.5" customHeight="1">
      <c r="A585" s="87"/>
      <c r="B585" s="87"/>
      <c r="C585" s="87"/>
      <c r="D585" s="87"/>
      <c r="E585" s="87"/>
      <c r="F585" s="79"/>
      <c r="G585" s="87"/>
      <c r="H585" s="92"/>
      <c r="I585" s="87"/>
      <c r="J585" s="87"/>
      <c r="K585" s="89"/>
      <c r="L585" s="87"/>
      <c r="M585" s="87"/>
      <c r="N585" s="87"/>
      <c r="O585" s="87"/>
      <c r="P585" s="87"/>
      <c r="Q585" s="87"/>
      <c r="R585" s="87"/>
      <c r="S585" s="87"/>
      <c r="T585" s="87"/>
      <c r="U585" s="87"/>
      <c r="V585" s="87"/>
      <c r="W585" s="87"/>
      <c r="X585" s="87"/>
      <c r="Y585" s="87"/>
      <c r="Z585" s="87"/>
      <c r="AA585" s="87"/>
      <c r="AB585" s="87"/>
      <c r="AC585" s="87"/>
      <c r="AD585" s="87"/>
      <c r="AE585" s="87"/>
      <c r="AF585" s="87"/>
      <c r="AG585" s="87"/>
      <c r="AH585" s="87"/>
      <c r="AI585" s="87"/>
      <c r="AJ585" s="87"/>
      <c r="AK585" s="87"/>
      <c r="AL585" s="87"/>
      <c r="AM585" s="87"/>
      <c r="AN585" s="87"/>
    </row>
    <row r="586" ht="16.5" customHeight="1">
      <c r="A586" s="87"/>
      <c r="B586" s="87"/>
      <c r="C586" s="87"/>
      <c r="D586" s="87"/>
      <c r="E586" s="87"/>
      <c r="F586" s="79"/>
      <c r="G586" s="87"/>
      <c r="H586" s="92"/>
      <c r="I586" s="87"/>
      <c r="J586" s="87"/>
      <c r="K586" s="89"/>
      <c r="L586" s="87"/>
      <c r="M586" s="87"/>
      <c r="N586" s="87"/>
      <c r="O586" s="87"/>
      <c r="P586" s="87"/>
      <c r="Q586" s="87"/>
      <c r="R586" s="87"/>
      <c r="S586" s="87"/>
      <c r="T586" s="87"/>
      <c r="U586" s="87"/>
      <c r="V586" s="87"/>
      <c r="W586" s="87"/>
      <c r="X586" s="87"/>
      <c r="Y586" s="87"/>
      <c r="Z586" s="87"/>
      <c r="AA586" s="87"/>
      <c r="AB586" s="87"/>
      <c r="AC586" s="87"/>
      <c r="AD586" s="87"/>
      <c r="AE586" s="87"/>
      <c r="AF586" s="87"/>
      <c r="AG586" s="87"/>
      <c r="AH586" s="87"/>
      <c r="AI586" s="87"/>
      <c r="AJ586" s="87"/>
      <c r="AK586" s="87"/>
      <c r="AL586" s="87"/>
      <c r="AM586" s="87"/>
      <c r="AN586" s="87"/>
    </row>
    <row r="587" ht="16.5" customHeight="1">
      <c r="A587" s="87"/>
      <c r="B587" s="87"/>
      <c r="C587" s="87"/>
      <c r="D587" s="87"/>
      <c r="E587" s="87"/>
      <c r="F587" s="79"/>
      <c r="G587" s="87"/>
      <c r="H587" s="92"/>
      <c r="I587" s="87"/>
      <c r="J587" s="87"/>
      <c r="K587" s="89"/>
      <c r="L587" s="87"/>
      <c r="M587" s="87"/>
      <c r="N587" s="87"/>
      <c r="O587" s="87"/>
      <c r="P587" s="87"/>
      <c r="Q587" s="87"/>
      <c r="R587" s="87"/>
      <c r="S587" s="87"/>
      <c r="T587" s="87"/>
      <c r="U587" s="87"/>
      <c r="V587" s="87"/>
      <c r="W587" s="87"/>
      <c r="X587" s="87"/>
      <c r="Y587" s="87"/>
      <c r="Z587" s="87"/>
      <c r="AA587" s="87"/>
      <c r="AB587" s="87"/>
      <c r="AC587" s="87"/>
      <c r="AD587" s="87"/>
      <c r="AE587" s="87"/>
      <c r="AF587" s="87"/>
      <c r="AG587" s="87"/>
      <c r="AH587" s="87"/>
      <c r="AI587" s="87"/>
      <c r="AJ587" s="87"/>
      <c r="AK587" s="87"/>
      <c r="AL587" s="87"/>
      <c r="AM587" s="87"/>
      <c r="AN587" s="87"/>
    </row>
    <row r="588" ht="16.5" customHeight="1">
      <c r="A588" s="87"/>
      <c r="B588" s="87"/>
      <c r="C588" s="87"/>
      <c r="D588" s="87"/>
      <c r="E588" s="87"/>
      <c r="F588" s="79"/>
      <c r="G588" s="87"/>
      <c r="H588" s="92"/>
      <c r="I588" s="87"/>
      <c r="J588" s="87"/>
      <c r="K588" s="89"/>
      <c r="L588" s="87"/>
      <c r="M588" s="87"/>
      <c r="N588" s="87"/>
      <c r="O588" s="87"/>
      <c r="P588" s="87"/>
      <c r="Q588" s="87"/>
      <c r="R588" s="87"/>
      <c r="S588" s="87"/>
      <c r="T588" s="87"/>
      <c r="U588" s="87"/>
      <c r="V588" s="87"/>
      <c r="W588" s="87"/>
      <c r="X588" s="87"/>
      <c r="Y588" s="87"/>
      <c r="Z588" s="87"/>
      <c r="AA588" s="87"/>
      <c r="AB588" s="87"/>
      <c r="AC588" s="87"/>
      <c r="AD588" s="87"/>
      <c r="AE588" s="87"/>
      <c r="AF588" s="87"/>
      <c r="AG588" s="87"/>
      <c r="AH588" s="87"/>
      <c r="AI588" s="87"/>
      <c r="AJ588" s="87"/>
      <c r="AK588" s="87"/>
      <c r="AL588" s="87"/>
      <c r="AM588" s="87"/>
      <c r="AN588" s="87"/>
    </row>
    <row r="589" ht="16.5" customHeight="1">
      <c r="A589" s="87"/>
      <c r="B589" s="87"/>
      <c r="C589" s="87"/>
      <c r="D589" s="87"/>
      <c r="E589" s="87"/>
      <c r="F589" s="79"/>
      <c r="G589" s="87"/>
      <c r="H589" s="92"/>
      <c r="I589" s="87"/>
      <c r="J589" s="87"/>
      <c r="K589" s="89"/>
      <c r="L589" s="87"/>
      <c r="M589" s="87"/>
      <c r="N589" s="87"/>
      <c r="O589" s="87"/>
      <c r="P589" s="87"/>
      <c r="Q589" s="87"/>
      <c r="R589" s="87"/>
      <c r="S589" s="87"/>
      <c r="T589" s="87"/>
      <c r="U589" s="87"/>
      <c r="V589" s="87"/>
      <c r="W589" s="87"/>
      <c r="X589" s="87"/>
      <c r="Y589" s="87"/>
      <c r="Z589" s="87"/>
      <c r="AA589" s="87"/>
      <c r="AB589" s="87"/>
      <c r="AC589" s="87"/>
      <c r="AD589" s="87"/>
      <c r="AE589" s="87"/>
      <c r="AF589" s="87"/>
      <c r="AG589" s="87"/>
      <c r="AH589" s="87"/>
      <c r="AI589" s="87"/>
      <c r="AJ589" s="87"/>
      <c r="AK589" s="87"/>
      <c r="AL589" s="87"/>
      <c r="AM589" s="87"/>
      <c r="AN589" s="87"/>
    </row>
    <row r="590" ht="16.5" customHeight="1">
      <c r="A590" s="87"/>
      <c r="B590" s="87"/>
      <c r="C590" s="87"/>
      <c r="D590" s="87"/>
      <c r="E590" s="87"/>
      <c r="F590" s="79"/>
      <c r="G590" s="87"/>
      <c r="H590" s="92"/>
      <c r="I590" s="87"/>
      <c r="J590" s="87"/>
      <c r="K590" s="89"/>
      <c r="L590" s="87"/>
      <c r="M590" s="87"/>
      <c r="N590" s="87"/>
      <c r="O590" s="87"/>
      <c r="P590" s="87"/>
      <c r="Q590" s="87"/>
      <c r="R590" s="87"/>
      <c r="S590" s="87"/>
      <c r="T590" s="87"/>
      <c r="U590" s="87"/>
      <c r="V590" s="87"/>
      <c r="W590" s="87"/>
      <c r="X590" s="87"/>
      <c r="Y590" s="87"/>
      <c r="Z590" s="87"/>
      <c r="AA590" s="87"/>
      <c r="AB590" s="87"/>
      <c r="AC590" s="87"/>
      <c r="AD590" s="87"/>
      <c r="AE590" s="87"/>
      <c r="AF590" s="87"/>
      <c r="AG590" s="87"/>
      <c r="AH590" s="87"/>
      <c r="AI590" s="87"/>
      <c r="AJ590" s="87"/>
      <c r="AK590" s="87"/>
      <c r="AL590" s="87"/>
      <c r="AM590" s="87"/>
      <c r="AN590" s="87"/>
    </row>
    <row r="591" ht="16.5" customHeight="1">
      <c r="A591" s="87"/>
      <c r="B591" s="87"/>
      <c r="C591" s="87"/>
      <c r="D591" s="87"/>
      <c r="E591" s="87"/>
      <c r="F591" s="79"/>
      <c r="G591" s="87"/>
      <c r="H591" s="92"/>
      <c r="I591" s="87"/>
      <c r="J591" s="87"/>
      <c r="K591" s="89"/>
      <c r="L591" s="87"/>
      <c r="M591" s="87"/>
      <c r="N591" s="87"/>
      <c r="O591" s="87"/>
      <c r="P591" s="87"/>
      <c r="Q591" s="87"/>
      <c r="R591" s="87"/>
      <c r="S591" s="87"/>
      <c r="T591" s="87"/>
      <c r="U591" s="87"/>
      <c r="V591" s="87"/>
      <c r="W591" s="87"/>
      <c r="X591" s="87"/>
      <c r="Y591" s="87"/>
      <c r="Z591" s="87"/>
      <c r="AA591" s="87"/>
      <c r="AB591" s="87"/>
      <c r="AC591" s="87"/>
      <c r="AD591" s="87"/>
      <c r="AE591" s="87"/>
      <c r="AF591" s="87"/>
      <c r="AG591" s="87"/>
      <c r="AH591" s="87"/>
      <c r="AI591" s="87"/>
      <c r="AJ591" s="87"/>
      <c r="AK591" s="87"/>
      <c r="AL591" s="87"/>
      <c r="AM591" s="87"/>
      <c r="AN591" s="87"/>
    </row>
    <row r="592" ht="16.5" customHeight="1">
      <c r="A592" s="87"/>
      <c r="B592" s="87"/>
      <c r="C592" s="87"/>
      <c r="D592" s="87"/>
      <c r="E592" s="87"/>
      <c r="F592" s="79"/>
      <c r="G592" s="87"/>
      <c r="H592" s="92"/>
      <c r="I592" s="87"/>
      <c r="J592" s="87"/>
      <c r="K592" s="89"/>
      <c r="L592" s="87"/>
      <c r="M592" s="87"/>
      <c r="N592" s="87"/>
      <c r="O592" s="87"/>
      <c r="P592" s="87"/>
      <c r="Q592" s="87"/>
      <c r="R592" s="87"/>
      <c r="S592" s="87"/>
      <c r="T592" s="87"/>
      <c r="U592" s="87"/>
      <c r="V592" s="87"/>
      <c r="W592" s="87"/>
      <c r="X592" s="87"/>
      <c r="Y592" s="87"/>
      <c r="Z592" s="87"/>
      <c r="AA592" s="87"/>
      <c r="AB592" s="87"/>
      <c r="AC592" s="87"/>
      <c r="AD592" s="87"/>
      <c r="AE592" s="87"/>
      <c r="AF592" s="87"/>
      <c r="AG592" s="87"/>
      <c r="AH592" s="87"/>
      <c r="AI592" s="87"/>
      <c r="AJ592" s="87"/>
      <c r="AK592" s="87"/>
      <c r="AL592" s="87"/>
      <c r="AM592" s="87"/>
      <c r="AN592" s="87"/>
    </row>
    <row r="593" ht="16.5" customHeight="1">
      <c r="A593" s="87"/>
      <c r="B593" s="87"/>
      <c r="C593" s="87"/>
      <c r="D593" s="87"/>
      <c r="E593" s="87"/>
      <c r="F593" s="79"/>
      <c r="G593" s="87"/>
      <c r="H593" s="92"/>
      <c r="I593" s="87"/>
      <c r="J593" s="87"/>
      <c r="K593" s="89"/>
      <c r="L593" s="87"/>
      <c r="M593" s="87"/>
      <c r="N593" s="87"/>
      <c r="O593" s="87"/>
      <c r="P593" s="87"/>
      <c r="Q593" s="87"/>
      <c r="R593" s="87"/>
      <c r="S593" s="87"/>
      <c r="T593" s="87"/>
      <c r="U593" s="87"/>
      <c r="V593" s="87"/>
      <c r="W593" s="87"/>
      <c r="X593" s="87"/>
      <c r="Y593" s="87"/>
      <c r="Z593" s="87"/>
      <c r="AA593" s="87"/>
      <c r="AB593" s="87"/>
      <c r="AC593" s="87"/>
      <c r="AD593" s="87"/>
      <c r="AE593" s="87"/>
      <c r="AF593" s="87"/>
      <c r="AG593" s="87"/>
      <c r="AH593" s="87"/>
      <c r="AI593" s="87"/>
      <c r="AJ593" s="87"/>
      <c r="AK593" s="87"/>
      <c r="AL593" s="87"/>
      <c r="AM593" s="87"/>
      <c r="AN593" s="87"/>
    </row>
    <row r="594" ht="16.5" customHeight="1">
      <c r="A594" s="87"/>
      <c r="B594" s="87"/>
      <c r="C594" s="87"/>
      <c r="D594" s="87"/>
      <c r="E594" s="87"/>
      <c r="F594" s="79"/>
      <c r="G594" s="87"/>
      <c r="H594" s="92"/>
      <c r="I594" s="87"/>
      <c r="J594" s="87"/>
      <c r="K594" s="89"/>
      <c r="L594" s="87"/>
      <c r="M594" s="87"/>
      <c r="N594" s="87"/>
      <c r="O594" s="87"/>
      <c r="P594" s="87"/>
      <c r="Q594" s="87"/>
      <c r="R594" s="87"/>
      <c r="S594" s="87"/>
      <c r="T594" s="87"/>
      <c r="U594" s="87"/>
      <c r="V594" s="87"/>
      <c r="W594" s="87"/>
      <c r="X594" s="87"/>
      <c r="Y594" s="87"/>
      <c r="Z594" s="87"/>
      <c r="AA594" s="87"/>
      <c r="AB594" s="87"/>
      <c r="AC594" s="87"/>
      <c r="AD594" s="87"/>
      <c r="AE594" s="87"/>
      <c r="AF594" s="87"/>
      <c r="AG594" s="87"/>
      <c r="AH594" s="87"/>
      <c r="AI594" s="87"/>
      <c r="AJ594" s="87"/>
      <c r="AK594" s="87"/>
      <c r="AL594" s="87"/>
      <c r="AM594" s="87"/>
      <c r="AN594" s="87"/>
    </row>
    <row r="595" ht="16.5" customHeight="1">
      <c r="A595" s="87"/>
      <c r="B595" s="87"/>
      <c r="C595" s="87"/>
      <c r="D595" s="87"/>
      <c r="E595" s="87"/>
      <c r="F595" s="79"/>
      <c r="G595" s="87"/>
      <c r="H595" s="92"/>
      <c r="I595" s="87"/>
      <c r="J595" s="87"/>
      <c r="K595" s="89"/>
      <c r="L595" s="87"/>
      <c r="M595" s="87"/>
      <c r="N595" s="87"/>
      <c r="O595" s="87"/>
      <c r="P595" s="87"/>
      <c r="Q595" s="87"/>
      <c r="R595" s="87"/>
      <c r="S595" s="87"/>
      <c r="T595" s="87"/>
      <c r="U595" s="87"/>
      <c r="V595" s="87"/>
      <c r="W595" s="87"/>
      <c r="X595" s="87"/>
      <c r="Y595" s="87"/>
      <c r="Z595" s="87"/>
      <c r="AA595" s="87"/>
      <c r="AB595" s="87"/>
      <c r="AC595" s="87"/>
      <c r="AD595" s="87"/>
      <c r="AE595" s="87"/>
      <c r="AF595" s="87"/>
      <c r="AG595" s="87"/>
      <c r="AH595" s="87"/>
      <c r="AI595" s="87"/>
      <c r="AJ595" s="87"/>
      <c r="AK595" s="87"/>
      <c r="AL595" s="87"/>
      <c r="AM595" s="87"/>
      <c r="AN595" s="87"/>
    </row>
    <row r="596" ht="16.5" customHeight="1">
      <c r="A596" s="87"/>
      <c r="B596" s="87"/>
      <c r="C596" s="87"/>
      <c r="D596" s="87"/>
      <c r="E596" s="87"/>
      <c r="F596" s="79"/>
      <c r="G596" s="87"/>
      <c r="H596" s="92"/>
      <c r="I596" s="87"/>
      <c r="J596" s="87"/>
      <c r="K596" s="89"/>
      <c r="L596" s="87"/>
      <c r="M596" s="87"/>
      <c r="N596" s="87"/>
      <c r="O596" s="87"/>
      <c r="P596" s="87"/>
      <c r="Q596" s="87"/>
      <c r="R596" s="87"/>
      <c r="S596" s="87"/>
      <c r="T596" s="87"/>
      <c r="U596" s="87"/>
      <c r="V596" s="87"/>
      <c r="W596" s="87"/>
      <c r="X596" s="87"/>
      <c r="Y596" s="87"/>
      <c r="Z596" s="87"/>
      <c r="AA596" s="87"/>
      <c r="AB596" s="87"/>
      <c r="AC596" s="87"/>
      <c r="AD596" s="87"/>
      <c r="AE596" s="87"/>
      <c r="AF596" s="87"/>
      <c r="AG596" s="87"/>
      <c r="AH596" s="87"/>
      <c r="AI596" s="87"/>
      <c r="AJ596" s="87"/>
      <c r="AK596" s="87"/>
      <c r="AL596" s="87"/>
      <c r="AM596" s="87"/>
      <c r="AN596" s="87"/>
    </row>
    <row r="597" ht="16.5" customHeight="1">
      <c r="A597" s="87"/>
      <c r="B597" s="87"/>
      <c r="C597" s="87"/>
      <c r="D597" s="87"/>
      <c r="E597" s="87"/>
      <c r="F597" s="79"/>
      <c r="G597" s="87"/>
      <c r="H597" s="92"/>
      <c r="I597" s="87"/>
      <c r="J597" s="87"/>
      <c r="K597" s="89"/>
      <c r="L597" s="87"/>
      <c r="M597" s="87"/>
      <c r="N597" s="87"/>
      <c r="O597" s="87"/>
      <c r="P597" s="87"/>
      <c r="Q597" s="87"/>
      <c r="R597" s="87"/>
      <c r="S597" s="87"/>
      <c r="T597" s="87"/>
      <c r="U597" s="87"/>
      <c r="V597" s="87"/>
      <c r="W597" s="87"/>
      <c r="X597" s="87"/>
      <c r="Y597" s="87"/>
      <c r="Z597" s="87"/>
      <c r="AA597" s="87"/>
      <c r="AB597" s="87"/>
      <c r="AC597" s="87"/>
      <c r="AD597" s="87"/>
      <c r="AE597" s="87"/>
      <c r="AF597" s="87"/>
      <c r="AG597" s="87"/>
      <c r="AH597" s="87"/>
      <c r="AI597" s="87"/>
      <c r="AJ597" s="87"/>
      <c r="AK597" s="87"/>
      <c r="AL597" s="87"/>
      <c r="AM597" s="87"/>
      <c r="AN597" s="87"/>
    </row>
    <row r="598" ht="16.5" customHeight="1">
      <c r="A598" s="87"/>
      <c r="B598" s="87"/>
      <c r="C598" s="87"/>
      <c r="D598" s="87"/>
      <c r="E598" s="87"/>
      <c r="F598" s="79"/>
      <c r="G598" s="87"/>
      <c r="H598" s="92"/>
      <c r="I598" s="87"/>
      <c r="J598" s="87"/>
      <c r="K598" s="89"/>
      <c r="L598" s="87"/>
      <c r="M598" s="87"/>
      <c r="N598" s="87"/>
      <c r="O598" s="87"/>
      <c r="P598" s="87"/>
      <c r="Q598" s="87"/>
      <c r="R598" s="87"/>
      <c r="S598" s="87"/>
      <c r="T598" s="87"/>
      <c r="U598" s="87"/>
      <c r="V598" s="87"/>
      <c r="W598" s="87"/>
      <c r="X598" s="87"/>
      <c r="Y598" s="87"/>
      <c r="Z598" s="87"/>
      <c r="AA598" s="87"/>
      <c r="AB598" s="87"/>
      <c r="AC598" s="87"/>
      <c r="AD598" s="87"/>
      <c r="AE598" s="87"/>
      <c r="AF598" s="87"/>
      <c r="AG598" s="87"/>
      <c r="AH598" s="87"/>
      <c r="AI598" s="87"/>
      <c r="AJ598" s="87"/>
      <c r="AK598" s="87"/>
      <c r="AL598" s="87"/>
      <c r="AM598" s="87"/>
      <c r="AN598" s="87"/>
    </row>
    <row r="599" ht="16.5" customHeight="1">
      <c r="A599" s="87"/>
      <c r="B599" s="87"/>
      <c r="C599" s="87"/>
      <c r="D599" s="87"/>
      <c r="E599" s="87"/>
      <c r="F599" s="79"/>
      <c r="G599" s="87"/>
      <c r="H599" s="92"/>
      <c r="I599" s="87"/>
      <c r="J599" s="87"/>
      <c r="K599" s="89"/>
      <c r="L599" s="87"/>
      <c r="M599" s="87"/>
      <c r="N599" s="87"/>
      <c r="O599" s="87"/>
      <c r="P599" s="87"/>
      <c r="Q599" s="87"/>
      <c r="R599" s="87"/>
      <c r="S599" s="87"/>
      <c r="T599" s="87"/>
      <c r="U599" s="87"/>
      <c r="V599" s="87"/>
      <c r="W599" s="87"/>
      <c r="X599" s="87"/>
      <c r="Y599" s="87"/>
      <c r="Z599" s="87"/>
      <c r="AA599" s="87"/>
      <c r="AB599" s="87"/>
      <c r="AC599" s="87"/>
      <c r="AD599" s="87"/>
      <c r="AE599" s="87"/>
      <c r="AF599" s="87"/>
      <c r="AG599" s="87"/>
      <c r="AH599" s="87"/>
      <c r="AI599" s="87"/>
      <c r="AJ599" s="87"/>
      <c r="AK599" s="87"/>
      <c r="AL599" s="87"/>
      <c r="AM599" s="87"/>
      <c r="AN599" s="87"/>
    </row>
    <row r="600" ht="16.5" customHeight="1">
      <c r="A600" s="87"/>
      <c r="B600" s="87"/>
      <c r="C600" s="87"/>
      <c r="D600" s="87"/>
      <c r="E600" s="87"/>
      <c r="F600" s="79"/>
      <c r="G600" s="87"/>
      <c r="H600" s="92"/>
      <c r="I600" s="87"/>
      <c r="J600" s="87"/>
      <c r="K600" s="89"/>
      <c r="L600" s="87"/>
      <c r="M600" s="87"/>
      <c r="N600" s="87"/>
      <c r="O600" s="87"/>
      <c r="P600" s="87"/>
      <c r="Q600" s="87"/>
      <c r="R600" s="87"/>
      <c r="S600" s="87"/>
      <c r="T600" s="87"/>
      <c r="U600" s="87"/>
      <c r="V600" s="87"/>
      <c r="W600" s="87"/>
      <c r="X600" s="87"/>
      <c r="Y600" s="87"/>
      <c r="Z600" s="87"/>
      <c r="AA600" s="87"/>
      <c r="AB600" s="87"/>
      <c r="AC600" s="87"/>
      <c r="AD600" s="87"/>
      <c r="AE600" s="87"/>
      <c r="AF600" s="87"/>
      <c r="AG600" s="87"/>
      <c r="AH600" s="87"/>
      <c r="AI600" s="87"/>
      <c r="AJ600" s="87"/>
      <c r="AK600" s="87"/>
      <c r="AL600" s="87"/>
      <c r="AM600" s="87"/>
      <c r="AN600" s="87"/>
    </row>
    <row r="601" ht="16.5" customHeight="1">
      <c r="A601" s="87"/>
      <c r="B601" s="87"/>
      <c r="C601" s="87"/>
      <c r="D601" s="87"/>
      <c r="E601" s="87"/>
      <c r="F601" s="79"/>
      <c r="G601" s="87"/>
      <c r="H601" s="92"/>
      <c r="I601" s="87"/>
      <c r="J601" s="87"/>
      <c r="K601" s="89"/>
      <c r="L601" s="87"/>
      <c r="M601" s="87"/>
      <c r="N601" s="87"/>
      <c r="O601" s="87"/>
      <c r="P601" s="87"/>
      <c r="Q601" s="87"/>
      <c r="R601" s="87"/>
      <c r="S601" s="87"/>
      <c r="T601" s="87"/>
      <c r="U601" s="87"/>
      <c r="V601" s="87"/>
      <c r="W601" s="87"/>
      <c r="X601" s="87"/>
      <c r="Y601" s="87"/>
      <c r="Z601" s="87"/>
      <c r="AA601" s="87"/>
      <c r="AB601" s="87"/>
      <c r="AC601" s="87"/>
      <c r="AD601" s="87"/>
      <c r="AE601" s="87"/>
      <c r="AF601" s="87"/>
      <c r="AG601" s="87"/>
      <c r="AH601" s="87"/>
      <c r="AI601" s="87"/>
      <c r="AJ601" s="87"/>
      <c r="AK601" s="87"/>
      <c r="AL601" s="87"/>
      <c r="AM601" s="87"/>
      <c r="AN601" s="87"/>
    </row>
    <row r="602" ht="16.5" customHeight="1">
      <c r="A602" s="87"/>
      <c r="B602" s="87"/>
      <c r="C602" s="87"/>
      <c r="D602" s="87"/>
      <c r="E602" s="87"/>
      <c r="F602" s="79"/>
      <c r="G602" s="87"/>
      <c r="H602" s="92"/>
      <c r="I602" s="87"/>
      <c r="J602" s="87"/>
      <c r="K602" s="89"/>
      <c r="L602" s="87"/>
      <c r="M602" s="87"/>
      <c r="N602" s="87"/>
      <c r="O602" s="87"/>
      <c r="P602" s="87"/>
      <c r="Q602" s="87"/>
      <c r="R602" s="87"/>
      <c r="S602" s="87"/>
      <c r="T602" s="87"/>
      <c r="U602" s="87"/>
      <c r="V602" s="87"/>
      <c r="W602" s="87"/>
      <c r="X602" s="87"/>
      <c r="Y602" s="87"/>
      <c r="Z602" s="87"/>
      <c r="AA602" s="87"/>
      <c r="AB602" s="87"/>
      <c r="AC602" s="87"/>
      <c r="AD602" s="87"/>
      <c r="AE602" s="87"/>
      <c r="AF602" s="87"/>
      <c r="AG602" s="87"/>
      <c r="AH602" s="87"/>
      <c r="AI602" s="87"/>
      <c r="AJ602" s="87"/>
      <c r="AK602" s="87"/>
      <c r="AL602" s="87"/>
      <c r="AM602" s="87"/>
      <c r="AN602" s="87"/>
    </row>
    <row r="603" ht="16.5" customHeight="1">
      <c r="A603" s="87"/>
      <c r="B603" s="87"/>
      <c r="C603" s="87"/>
      <c r="D603" s="87"/>
      <c r="E603" s="87"/>
      <c r="F603" s="79"/>
      <c r="G603" s="87"/>
      <c r="H603" s="92"/>
      <c r="I603" s="87"/>
      <c r="J603" s="87"/>
      <c r="K603" s="89"/>
      <c r="L603" s="87"/>
      <c r="M603" s="87"/>
      <c r="N603" s="87"/>
      <c r="O603" s="87"/>
      <c r="P603" s="87"/>
      <c r="Q603" s="87"/>
      <c r="R603" s="87"/>
      <c r="S603" s="87"/>
      <c r="T603" s="87"/>
      <c r="U603" s="87"/>
      <c r="V603" s="87"/>
      <c r="W603" s="87"/>
      <c r="X603" s="87"/>
      <c r="Y603" s="87"/>
      <c r="Z603" s="87"/>
      <c r="AA603" s="87"/>
      <c r="AB603" s="87"/>
      <c r="AC603" s="87"/>
      <c r="AD603" s="87"/>
      <c r="AE603" s="87"/>
      <c r="AF603" s="87"/>
      <c r="AG603" s="87"/>
      <c r="AH603" s="87"/>
      <c r="AI603" s="87"/>
      <c r="AJ603" s="87"/>
      <c r="AK603" s="87"/>
      <c r="AL603" s="87"/>
      <c r="AM603" s="87"/>
      <c r="AN603" s="87"/>
    </row>
    <row r="604" ht="16.5" customHeight="1">
      <c r="A604" s="87"/>
      <c r="B604" s="87"/>
      <c r="C604" s="87"/>
      <c r="D604" s="87"/>
      <c r="E604" s="87"/>
      <c r="F604" s="79"/>
      <c r="G604" s="87"/>
      <c r="H604" s="92"/>
      <c r="I604" s="87"/>
      <c r="J604" s="87"/>
      <c r="K604" s="89"/>
      <c r="L604" s="87"/>
      <c r="M604" s="87"/>
      <c r="N604" s="87"/>
      <c r="O604" s="87"/>
      <c r="P604" s="87"/>
      <c r="Q604" s="87"/>
      <c r="R604" s="87"/>
      <c r="S604" s="87"/>
      <c r="T604" s="87"/>
      <c r="U604" s="87"/>
      <c r="V604" s="87"/>
      <c r="W604" s="87"/>
      <c r="X604" s="87"/>
      <c r="Y604" s="87"/>
      <c r="Z604" s="87"/>
      <c r="AA604" s="87"/>
      <c r="AB604" s="87"/>
      <c r="AC604" s="87"/>
      <c r="AD604" s="87"/>
      <c r="AE604" s="87"/>
      <c r="AF604" s="87"/>
      <c r="AG604" s="87"/>
      <c r="AH604" s="87"/>
      <c r="AI604" s="87"/>
      <c r="AJ604" s="87"/>
      <c r="AK604" s="87"/>
      <c r="AL604" s="87"/>
      <c r="AM604" s="87"/>
      <c r="AN604" s="87"/>
    </row>
    <row r="605" ht="16.5" customHeight="1">
      <c r="A605" s="87"/>
      <c r="B605" s="87"/>
      <c r="C605" s="87"/>
      <c r="D605" s="87"/>
      <c r="E605" s="87"/>
      <c r="F605" s="79"/>
      <c r="G605" s="87"/>
      <c r="H605" s="92"/>
      <c r="I605" s="87"/>
      <c r="J605" s="87"/>
      <c r="K605" s="89"/>
      <c r="L605" s="87"/>
      <c r="M605" s="87"/>
      <c r="N605" s="87"/>
      <c r="O605" s="87"/>
      <c r="P605" s="87"/>
      <c r="Q605" s="87"/>
      <c r="R605" s="87"/>
      <c r="S605" s="87"/>
      <c r="T605" s="87"/>
      <c r="U605" s="87"/>
      <c r="V605" s="87"/>
      <c r="W605" s="87"/>
      <c r="X605" s="87"/>
      <c r="Y605" s="87"/>
      <c r="Z605" s="87"/>
      <c r="AA605" s="87"/>
      <c r="AB605" s="87"/>
      <c r="AC605" s="87"/>
      <c r="AD605" s="87"/>
      <c r="AE605" s="87"/>
      <c r="AF605" s="87"/>
      <c r="AG605" s="87"/>
      <c r="AH605" s="87"/>
      <c r="AI605" s="87"/>
      <c r="AJ605" s="87"/>
      <c r="AK605" s="87"/>
      <c r="AL605" s="87"/>
      <c r="AM605" s="87"/>
      <c r="AN605" s="87"/>
    </row>
    <row r="606" ht="16.5" customHeight="1">
      <c r="A606" s="87"/>
      <c r="B606" s="87"/>
      <c r="C606" s="87"/>
      <c r="D606" s="87"/>
      <c r="E606" s="87"/>
      <c r="F606" s="79"/>
      <c r="G606" s="87"/>
      <c r="H606" s="92"/>
      <c r="I606" s="87"/>
      <c r="J606" s="87"/>
      <c r="K606" s="89"/>
      <c r="L606" s="87"/>
      <c r="M606" s="87"/>
      <c r="N606" s="87"/>
      <c r="O606" s="87"/>
      <c r="P606" s="87"/>
      <c r="Q606" s="87"/>
      <c r="R606" s="87"/>
      <c r="S606" s="87"/>
      <c r="T606" s="87"/>
      <c r="U606" s="87"/>
      <c r="V606" s="87"/>
      <c r="W606" s="87"/>
      <c r="X606" s="87"/>
      <c r="Y606" s="87"/>
      <c r="Z606" s="87"/>
      <c r="AA606" s="87"/>
      <c r="AB606" s="87"/>
      <c r="AC606" s="87"/>
      <c r="AD606" s="87"/>
      <c r="AE606" s="87"/>
      <c r="AF606" s="87"/>
      <c r="AG606" s="87"/>
      <c r="AH606" s="87"/>
      <c r="AI606" s="87"/>
      <c r="AJ606" s="87"/>
      <c r="AK606" s="87"/>
      <c r="AL606" s="87"/>
      <c r="AM606" s="87"/>
      <c r="AN606" s="87"/>
    </row>
    <row r="607" ht="16.5" customHeight="1">
      <c r="A607" s="87"/>
      <c r="B607" s="87"/>
      <c r="C607" s="87"/>
      <c r="D607" s="87"/>
      <c r="E607" s="87"/>
      <c r="F607" s="79"/>
      <c r="G607" s="87"/>
      <c r="H607" s="92"/>
      <c r="I607" s="87"/>
      <c r="J607" s="87"/>
      <c r="K607" s="89"/>
      <c r="L607" s="87"/>
      <c r="M607" s="87"/>
      <c r="N607" s="87"/>
      <c r="O607" s="87"/>
      <c r="P607" s="87"/>
      <c r="Q607" s="87"/>
      <c r="R607" s="87"/>
      <c r="S607" s="87"/>
      <c r="T607" s="87"/>
      <c r="U607" s="87"/>
      <c r="V607" s="87"/>
      <c r="W607" s="87"/>
      <c r="X607" s="87"/>
      <c r="Y607" s="87"/>
      <c r="Z607" s="87"/>
      <c r="AA607" s="87"/>
      <c r="AB607" s="87"/>
      <c r="AC607" s="87"/>
      <c r="AD607" s="87"/>
      <c r="AE607" s="87"/>
      <c r="AF607" s="87"/>
      <c r="AG607" s="87"/>
      <c r="AH607" s="87"/>
      <c r="AI607" s="87"/>
      <c r="AJ607" s="87"/>
      <c r="AK607" s="87"/>
      <c r="AL607" s="87"/>
      <c r="AM607" s="87"/>
      <c r="AN607" s="87"/>
    </row>
    <row r="608" ht="16.5" customHeight="1">
      <c r="A608" s="87"/>
      <c r="B608" s="87"/>
      <c r="C608" s="87"/>
      <c r="D608" s="87"/>
      <c r="E608" s="87"/>
      <c r="F608" s="79"/>
      <c r="G608" s="87"/>
      <c r="H608" s="92"/>
      <c r="I608" s="87"/>
      <c r="J608" s="87"/>
      <c r="K608" s="89"/>
      <c r="L608" s="87"/>
      <c r="M608" s="87"/>
      <c r="N608" s="87"/>
      <c r="O608" s="87"/>
      <c r="P608" s="87"/>
      <c r="Q608" s="87"/>
      <c r="R608" s="87"/>
      <c r="S608" s="87"/>
      <c r="T608" s="87"/>
      <c r="U608" s="87"/>
      <c r="V608" s="87"/>
      <c r="W608" s="87"/>
      <c r="X608" s="87"/>
      <c r="Y608" s="87"/>
      <c r="Z608" s="87"/>
      <c r="AA608" s="87"/>
      <c r="AB608" s="87"/>
      <c r="AC608" s="87"/>
      <c r="AD608" s="87"/>
      <c r="AE608" s="87"/>
      <c r="AF608" s="87"/>
      <c r="AG608" s="87"/>
      <c r="AH608" s="87"/>
      <c r="AI608" s="87"/>
      <c r="AJ608" s="87"/>
      <c r="AK608" s="87"/>
      <c r="AL608" s="87"/>
      <c r="AM608" s="87"/>
      <c r="AN608" s="87"/>
    </row>
    <row r="609" ht="16.5" customHeight="1">
      <c r="A609" s="87"/>
      <c r="B609" s="87"/>
      <c r="C609" s="87"/>
      <c r="D609" s="87"/>
      <c r="E609" s="87"/>
      <c r="F609" s="79"/>
      <c r="G609" s="87"/>
      <c r="H609" s="92"/>
      <c r="I609" s="87"/>
      <c r="J609" s="87"/>
      <c r="K609" s="89"/>
      <c r="L609" s="87"/>
      <c r="M609" s="87"/>
      <c r="N609" s="87"/>
      <c r="O609" s="87"/>
      <c r="P609" s="87"/>
      <c r="Q609" s="87"/>
      <c r="R609" s="87"/>
      <c r="S609" s="87"/>
      <c r="T609" s="87"/>
      <c r="U609" s="87"/>
      <c r="V609" s="87"/>
      <c r="W609" s="87"/>
      <c r="X609" s="87"/>
      <c r="Y609" s="87"/>
      <c r="Z609" s="87"/>
      <c r="AA609" s="87"/>
      <c r="AB609" s="87"/>
      <c r="AC609" s="87"/>
      <c r="AD609" s="87"/>
      <c r="AE609" s="87"/>
      <c r="AF609" s="87"/>
      <c r="AG609" s="87"/>
      <c r="AH609" s="87"/>
      <c r="AI609" s="87"/>
      <c r="AJ609" s="87"/>
      <c r="AK609" s="87"/>
      <c r="AL609" s="87"/>
      <c r="AM609" s="87"/>
      <c r="AN609" s="87"/>
    </row>
    <row r="610" ht="16.5" customHeight="1">
      <c r="A610" s="87"/>
      <c r="B610" s="87"/>
      <c r="C610" s="87"/>
      <c r="D610" s="87"/>
      <c r="E610" s="87"/>
      <c r="F610" s="79"/>
      <c r="G610" s="87"/>
      <c r="H610" s="92"/>
      <c r="I610" s="87"/>
      <c r="J610" s="87"/>
      <c r="K610" s="89"/>
      <c r="L610" s="87"/>
      <c r="M610" s="87"/>
      <c r="N610" s="87"/>
      <c r="O610" s="87"/>
      <c r="P610" s="87"/>
      <c r="Q610" s="87"/>
      <c r="R610" s="87"/>
      <c r="S610" s="87"/>
      <c r="T610" s="87"/>
      <c r="U610" s="87"/>
      <c r="V610" s="87"/>
      <c r="W610" s="87"/>
      <c r="X610" s="87"/>
      <c r="Y610" s="87"/>
      <c r="Z610" s="87"/>
      <c r="AA610" s="87"/>
      <c r="AB610" s="87"/>
      <c r="AC610" s="87"/>
      <c r="AD610" s="87"/>
      <c r="AE610" s="87"/>
      <c r="AF610" s="87"/>
      <c r="AG610" s="87"/>
      <c r="AH610" s="87"/>
      <c r="AI610" s="87"/>
      <c r="AJ610" s="87"/>
      <c r="AK610" s="87"/>
      <c r="AL610" s="87"/>
      <c r="AM610" s="87"/>
      <c r="AN610" s="87"/>
    </row>
    <row r="611" ht="16.5" customHeight="1">
      <c r="A611" s="87"/>
      <c r="B611" s="87"/>
      <c r="C611" s="87"/>
      <c r="D611" s="87"/>
      <c r="E611" s="87"/>
      <c r="F611" s="79"/>
      <c r="G611" s="87"/>
      <c r="H611" s="92"/>
      <c r="I611" s="87"/>
      <c r="J611" s="87"/>
      <c r="K611" s="89"/>
      <c r="L611" s="87"/>
      <c r="M611" s="87"/>
      <c r="N611" s="87"/>
      <c r="O611" s="87"/>
      <c r="P611" s="87"/>
      <c r="Q611" s="87"/>
      <c r="R611" s="87"/>
      <c r="S611" s="87"/>
      <c r="T611" s="87"/>
      <c r="U611" s="87"/>
      <c r="V611" s="87"/>
      <c r="W611" s="87"/>
      <c r="X611" s="87"/>
      <c r="Y611" s="87"/>
      <c r="Z611" s="87"/>
      <c r="AA611" s="87"/>
      <c r="AB611" s="87"/>
      <c r="AC611" s="87"/>
      <c r="AD611" s="87"/>
      <c r="AE611" s="87"/>
      <c r="AF611" s="87"/>
      <c r="AG611" s="87"/>
      <c r="AH611" s="87"/>
      <c r="AI611" s="87"/>
      <c r="AJ611" s="87"/>
      <c r="AK611" s="87"/>
      <c r="AL611" s="87"/>
      <c r="AM611" s="87"/>
      <c r="AN611" s="87"/>
    </row>
    <row r="612" ht="16.5" customHeight="1">
      <c r="A612" s="87"/>
      <c r="B612" s="87"/>
      <c r="C612" s="87"/>
      <c r="D612" s="87"/>
      <c r="E612" s="87"/>
      <c r="F612" s="79"/>
      <c r="G612" s="87"/>
      <c r="H612" s="92"/>
      <c r="I612" s="87"/>
      <c r="J612" s="87"/>
      <c r="K612" s="89"/>
      <c r="L612" s="87"/>
      <c r="M612" s="87"/>
      <c r="N612" s="87"/>
      <c r="O612" s="87"/>
      <c r="P612" s="87"/>
      <c r="Q612" s="87"/>
      <c r="R612" s="87"/>
      <c r="S612" s="87"/>
      <c r="T612" s="87"/>
      <c r="U612" s="87"/>
      <c r="V612" s="87"/>
      <c r="W612" s="87"/>
      <c r="X612" s="87"/>
      <c r="Y612" s="87"/>
      <c r="Z612" s="87"/>
      <c r="AA612" s="87"/>
      <c r="AB612" s="87"/>
      <c r="AC612" s="87"/>
      <c r="AD612" s="87"/>
      <c r="AE612" s="87"/>
      <c r="AF612" s="87"/>
      <c r="AG612" s="87"/>
      <c r="AH612" s="87"/>
      <c r="AI612" s="87"/>
      <c r="AJ612" s="87"/>
      <c r="AK612" s="87"/>
      <c r="AL612" s="87"/>
      <c r="AM612" s="87"/>
      <c r="AN612" s="87"/>
    </row>
    <row r="613" ht="16.5" customHeight="1">
      <c r="A613" s="87"/>
      <c r="B613" s="87"/>
      <c r="C613" s="87"/>
      <c r="D613" s="87"/>
      <c r="E613" s="87"/>
      <c r="F613" s="79"/>
      <c r="G613" s="87"/>
      <c r="H613" s="92"/>
      <c r="I613" s="87"/>
      <c r="J613" s="87"/>
      <c r="K613" s="89"/>
      <c r="L613" s="87"/>
      <c r="M613" s="87"/>
      <c r="N613" s="87"/>
      <c r="O613" s="87"/>
      <c r="P613" s="87"/>
      <c r="Q613" s="87"/>
      <c r="R613" s="87"/>
      <c r="S613" s="87"/>
      <c r="T613" s="87"/>
      <c r="U613" s="87"/>
      <c r="V613" s="87"/>
      <c r="W613" s="87"/>
      <c r="X613" s="87"/>
      <c r="Y613" s="87"/>
      <c r="Z613" s="87"/>
      <c r="AA613" s="87"/>
      <c r="AB613" s="87"/>
      <c r="AC613" s="87"/>
      <c r="AD613" s="87"/>
      <c r="AE613" s="87"/>
      <c r="AF613" s="87"/>
      <c r="AG613" s="87"/>
      <c r="AH613" s="87"/>
      <c r="AI613" s="87"/>
      <c r="AJ613" s="87"/>
      <c r="AK613" s="87"/>
      <c r="AL613" s="87"/>
      <c r="AM613" s="87"/>
      <c r="AN613" s="87"/>
    </row>
    <row r="614" ht="16.5" customHeight="1">
      <c r="A614" s="87"/>
      <c r="B614" s="87"/>
      <c r="C614" s="87"/>
      <c r="D614" s="87"/>
      <c r="E614" s="87"/>
      <c r="F614" s="79"/>
      <c r="G614" s="87"/>
      <c r="H614" s="92"/>
      <c r="I614" s="87"/>
      <c r="J614" s="87"/>
      <c r="K614" s="89"/>
      <c r="L614" s="87"/>
      <c r="M614" s="87"/>
      <c r="N614" s="87"/>
      <c r="O614" s="87"/>
      <c r="P614" s="87"/>
      <c r="Q614" s="87"/>
      <c r="R614" s="87"/>
      <c r="S614" s="87"/>
      <c r="T614" s="87"/>
      <c r="U614" s="87"/>
      <c r="V614" s="87"/>
      <c r="W614" s="87"/>
      <c r="X614" s="87"/>
      <c r="Y614" s="87"/>
      <c r="Z614" s="87"/>
      <c r="AA614" s="87"/>
      <c r="AB614" s="87"/>
      <c r="AC614" s="87"/>
      <c r="AD614" s="87"/>
      <c r="AE614" s="87"/>
      <c r="AF614" s="87"/>
      <c r="AG614" s="87"/>
      <c r="AH614" s="87"/>
      <c r="AI614" s="87"/>
      <c r="AJ614" s="87"/>
      <c r="AK614" s="87"/>
      <c r="AL614" s="87"/>
      <c r="AM614" s="87"/>
      <c r="AN614" s="87"/>
    </row>
    <row r="615" ht="16.5" customHeight="1">
      <c r="A615" s="87"/>
      <c r="B615" s="87"/>
      <c r="C615" s="87"/>
      <c r="D615" s="87"/>
      <c r="E615" s="87"/>
      <c r="F615" s="79"/>
      <c r="G615" s="87"/>
      <c r="H615" s="92"/>
      <c r="I615" s="87"/>
      <c r="J615" s="87"/>
      <c r="K615" s="89"/>
      <c r="L615" s="87"/>
      <c r="M615" s="87"/>
      <c r="N615" s="87"/>
      <c r="O615" s="87"/>
      <c r="P615" s="87"/>
      <c r="Q615" s="87"/>
      <c r="R615" s="87"/>
      <c r="S615" s="87"/>
      <c r="T615" s="87"/>
      <c r="U615" s="87"/>
      <c r="V615" s="87"/>
      <c r="W615" s="87"/>
      <c r="X615" s="87"/>
      <c r="Y615" s="87"/>
      <c r="Z615" s="87"/>
      <c r="AA615" s="87"/>
      <c r="AB615" s="87"/>
      <c r="AC615" s="87"/>
      <c r="AD615" s="87"/>
      <c r="AE615" s="87"/>
      <c r="AF615" s="87"/>
      <c r="AG615" s="87"/>
      <c r="AH615" s="87"/>
      <c r="AI615" s="87"/>
      <c r="AJ615" s="87"/>
      <c r="AK615" s="87"/>
      <c r="AL615" s="87"/>
      <c r="AM615" s="87"/>
      <c r="AN615" s="87"/>
    </row>
    <row r="616" ht="16.5" customHeight="1">
      <c r="A616" s="87"/>
      <c r="B616" s="87"/>
      <c r="C616" s="87"/>
      <c r="D616" s="87"/>
      <c r="E616" s="87"/>
      <c r="F616" s="79"/>
      <c r="G616" s="87"/>
      <c r="H616" s="92"/>
      <c r="I616" s="87"/>
      <c r="J616" s="87"/>
      <c r="K616" s="89"/>
      <c r="L616" s="87"/>
      <c r="M616" s="87"/>
      <c r="N616" s="87"/>
      <c r="O616" s="87"/>
      <c r="P616" s="87"/>
      <c r="Q616" s="87"/>
      <c r="R616" s="87"/>
      <c r="S616" s="87"/>
      <c r="T616" s="87"/>
      <c r="U616" s="87"/>
      <c r="V616" s="87"/>
      <c r="W616" s="87"/>
      <c r="X616" s="87"/>
      <c r="Y616" s="87"/>
      <c r="Z616" s="87"/>
      <c r="AA616" s="87"/>
      <c r="AB616" s="87"/>
      <c r="AC616" s="87"/>
      <c r="AD616" s="87"/>
      <c r="AE616" s="87"/>
      <c r="AF616" s="87"/>
      <c r="AG616" s="87"/>
      <c r="AH616" s="87"/>
      <c r="AI616" s="87"/>
      <c r="AJ616" s="87"/>
      <c r="AK616" s="87"/>
      <c r="AL616" s="87"/>
      <c r="AM616" s="87"/>
      <c r="AN616" s="87"/>
    </row>
    <row r="617" ht="16.5" customHeight="1">
      <c r="A617" s="87"/>
      <c r="B617" s="87"/>
      <c r="C617" s="87"/>
      <c r="D617" s="87"/>
      <c r="E617" s="87"/>
      <c r="F617" s="79"/>
      <c r="G617" s="87"/>
      <c r="H617" s="92"/>
      <c r="I617" s="87"/>
      <c r="J617" s="87"/>
      <c r="K617" s="89"/>
      <c r="L617" s="87"/>
      <c r="M617" s="87"/>
      <c r="N617" s="87"/>
      <c r="O617" s="87"/>
      <c r="P617" s="87"/>
      <c r="Q617" s="87"/>
      <c r="R617" s="87"/>
      <c r="S617" s="87"/>
      <c r="T617" s="87"/>
      <c r="U617" s="87"/>
      <c r="V617" s="87"/>
      <c r="W617" s="87"/>
      <c r="X617" s="87"/>
      <c r="Y617" s="87"/>
      <c r="Z617" s="87"/>
      <c r="AA617" s="87"/>
      <c r="AB617" s="87"/>
      <c r="AC617" s="87"/>
      <c r="AD617" s="87"/>
      <c r="AE617" s="87"/>
      <c r="AF617" s="87"/>
      <c r="AG617" s="87"/>
      <c r="AH617" s="87"/>
      <c r="AI617" s="87"/>
      <c r="AJ617" s="87"/>
      <c r="AK617" s="87"/>
      <c r="AL617" s="87"/>
      <c r="AM617" s="87"/>
      <c r="AN617" s="87"/>
    </row>
    <row r="618" ht="16.5" customHeight="1">
      <c r="A618" s="87"/>
      <c r="B618" s="87"/>
      <c r="C618" s="87"/>
      <c r="D618" s="87"/>
      <c r="E618" s="87"/>
      <c r="F618" s="79"/>
      <c r="G618" s="87"/>
      <c r="H618" s="92"/>
      <c r="I618" s="87"/>
      <c r="J618" s="87"/>
      <c r="K618" s="89"/>
      <c r="L618" s="87"/>
      <c r="M618" s="87"/>
      <c r="N618" s="87"/>
      <c r="O618" s="87"/>
      <c r="P618" s="87"/>
      <c r="Q618" s="87"/>
      <c r="R618" s="87"/>
      <c r="S618" s="87"/>
      <c r="T618" s="87"/>
      <c r="U618" s="87"/>
      <c r="V618" s="87"/>
      <c r="W618" s="87"/>
      <c r="X618" s="87"/>
      <c r="Y618" s="87"/>
      <c r="Z618" s="87"/>
      <c r="AA618" s="87"/>
      <c r="AB618" s="87"/>
      <c r="AC618" s="87"/>
      <c r="AD618" s="87"/>
      <c r="AE618" s="87"/>
      <c r="AF618" s="87"/>
      <c r="AG618" s="87"/>
      <c r="AH618" s="87"/>
      <c r="AI618" s="87"/>
      <c r="AJ618" s="87"/>
      <c r="AK618" s="87"/>
      <c r="AL618" s="87"/>
      <c r="AM618" s="87"/>
      <c r="AN618" s="87"/>
    </row>
    <row r="619" ht="16.5" customHeight="1">
      <c r="A619" s="87"/>
      <c r="B619" s="87"/>
      <c r="C619" s="87"/>
      <c r="D619" s="87"/>
      <c r="E619" s="87"/>
      <c r="F619" s="79"/>
      <c r="G619" s="87"/>
      <c r="H619" s="92"/>
      <c r="I619" s="87"/>
      <c r="J619" s="87"/>
      <c r="K619" s="89"/>
      <c r="L619" s="87"/>
      <c r="M619" s="87"/>
      <c r="N619" s="87"/>
      <c r="O619" s="87"/>
      <c r="P619" s="87"/>
      <c r="Q619" s="87"/>
      <c r="R619" s="87"/>
      <c r="S619" s="87"/>
      <c r="T619" s="87"/>
      <c r="U619" s="87"/>
      <c r="V619" s="87"/>
      <c r="W619" s="87"/>
      <c r="X619" s="87"/>
      <c r="Y619" s="87"/>
      <c r="Z619" s="87"/>
      <c r="AA619" s="87"/>
      <c r="AB619" s="87"/>
      <c r="AC619" s="87"/>
      <c r="AD619" s="87"/>
      <c r="AE619" s="87"/>
      <c r="AF619" s="87"/>
      <c r="AG619" s="87"/>
      <c r="AH619" s="87"/>
      <c r="AI619" s="87"/>
      <c r="AJ619" s="87"/>
      <c r="AK619" s="87"/>
      <c r="AL619" s="87"/>
      <c r="AM619" s="87"/>
      <c r="AN619" s="87"/>
    </row>
    <row r="620" ht="16.5" customHeight="1">
      <c r="A620" s="87"/>
      <c r="B620" s="87"/>
      <c r="C620" s="87"/>
      <c r="D620" s="87"/>
      <c r="E620" s="87"/>
      <c r="F620" s="79"/>
      <c r="G620" s="87"/>
      <c r="H620" s="92"/>
      <c r="I620" s="87"/>
      <c r="J620" s="87"/>
      <c r="K620" s="89"/>
      <c r="L620" s="87"/>
      <c r="M620" s="87"/>
      <c r="N620" s="87"/>
      <c r="O620" s="87"/>
      <c r="P620" s="87"/>
      <c r="Q620" s="87"/>
      <c r="R620" s="87"/>
      <c r="S620" s="87"/>
      <c r="T620" s="87"/>
      <c r="U620" s="87"/>
      <c r="V620" s="87"/>
      <c r="W620" s="87"/>
      <c r="X620" s="87"/>
      <c r="Y620" s="87"/>
      <c r="Z620" s="87"/>
      <c r="AA620" s="87"/>
      <c r="AB620" s="87"/>
      <c r="AC620" s="87"/>
      <c r="AD620" s="87"/>
      <c r="AE620" s="87"/>
      <c r="AF620" s="87"/>
      <c r="AG620" s="87"/>
      <c r="AH620" s="87"/>
      <c r="AI620" s="87"/>
      <c r="AJ620" s="87"/>
      <c r="AK620" s="87"/>
      <c r="AL620" s="87"/>
      <c r="AM620" s="87"/>
      <c r="AN620" s="87"/>
    </row>
    <row r="621" ht="16.5" customHeight="1">
      <c r="A621" s="87"/>
      <c r="B621" s="87"/>
      <c r="C621" s="87"/>
      <c r="D621" s="87"/>
      <c r="E621" s="87"/>
      <c r="F621" s="79"/>
      <c r="G621" s="87"/>
      <c r="H621" s="92"/>
      <c r="I621" s="87"/>
      <c r="J621" s="87"/>
      <c r="K621" s="89"/>
      <c r="L621" s="87"/>
      <c r="M621" s="87"/>
      <c r="N621" s="87"/>
      <c r="O621" s="87"/>
      <c r="P621" s="87"/>
      <c r="Q621" s="87"/>
      <c r="R621" s="87"/>
      <c r="S621" s="87"/>
      <c r="T621" s="87"/>
      <c r="U621" s="87"/>
      <c r="V621" s="87"/>
      <c r="W621" s="87"/>
      <c r="X621" s="87"/>
      <c r="Y621" s="87"/>
      <c r="Z621" s="87"/>
      <c r="AA621" s="87"/>
      <c r="AB621" s="87"/>
      <c r="AC621" s="87"/>
      <c r="AD621" s="87"/>
      <c r="AE621" s="87"/>
      <c r="AF621" s="87"/>
      <c r="AG621" s="87"/>
      <c r="AH621" s="87"/>
      <c r="AI621" s="87"/>
      <c r="AJ621" s="87"/>
      <c r="AK621" s="87"/>
      <c r="AL621" s="87"/>
      <c r="AM621" s="87"/>
      <c r="AN621" s="87"/>
    </row>
    <row r="622" ht="16.5" customHeight="1">
      <c r="A622" s="87"/>
      <c r="B622" s="87"/>
      <c r="C622" s="87"/>
      <c r="D622" s="87"/>
      <c r="E622" s="87"/>
      <c r="F622" s="79"/>
      <c r="G622" s="87"/>
      <c r="H622" s="92"/>
      <c r="I622" s="87"/>
      <c r="J622" s="87"/>
      <c r="K622" s="89"/>
      <c r="L622" s="87"/>
      <c r="M622" s="87"/>
      <c r="N622" s="87"/>
      <c r="O622" s="87"/>
      <c r="P622" s="87"/>
      <c r="Q622" s="87"/>
      <c r="R622" s="87"/>
      <c r="S622" s="87"/>
      <c r="T622" s="87"/>
      <c r="U622" s="87"/>
      <c r="V622" s="87"/>
      <c r="W622" s="87"/>
      <c r="X622" s="87"/>
      <c r="Y622" s="87"/>
      <c r="Z622" s="87"/>
      <c r="AA622" s="87"/>
      <c r="AB622" s="87"/>
      <c r="AC622" s="87"/>
      <c r="AD622" s="87"/>
      <c r="AE622" s="87"/>
      <c r="AF622" s="87"/>
      <c r="AG622" s="87"/>
      <c r="AH622" s="87"/>
      <c r="AI622" s="87"/>
      <c r="AJ622" s="87"/>
      <c r="AK622" s="87"/>
      <c r="AL622" s="87"/>
      <c r="AM622" s="87"/>
      <c r="AN622" s="87"/>
    </row>
    <row r="623" ht="16.5" customHeight="1">
      <c r="A623" s="87"/>
      <c r="B623" s="87"/>
      <c r="C623" s="87"/>
      <c r="D623" s="87"/>
      <c r="E623" s="87"/>
      <c r="F623" s="79"/>
      <c r="G623" s="87"/>
      <c r="H623" s="92"/>
      <c r="I623" s="87"/>
      <c r="J623" s="87"/>
      <c r="K623" s="89"/>
      <c r="L623" s="87"/>
      <c r="M623" s="87"/>
      <c r="N623" s="87"/>
      <c r="O623" s="87"/>
      <c r="P623" s="87"/>
      <c r="Q623" s="87"/>
      <c r="R623" s="87"/>
      <c r="S623" s="87"/>
      <c r="T623" s="87"/>
      <c r="U623" s="87"/>
      <c r="V623" s="87"/>
      <c r="W623" s="87"/>
      <c r="X623" s="87"/>
      <c r="Y623" s="87"/>
      <c r="Z623" s="87"/>
      <c r="AA623" s="87"/>
      <c r="AB623" s="87"/>
      <c r="AC623" s="87"/>
      <c r="AD623" s="87"/>
      <c r="AE623" s="87"/>
      <c r="AF623" s="87"/>
      <c r="AG623" s="87"/>
      <c r="AH623" s="87"/>
      <c r="AI623" s="87"/>
      <c r="AJ623" s="87"/>
      <c r="AK623" s="87"/>
      <c r="AL623" s="87"/>
      <c r="AM623" s="87"/>
      <c r="AN623" s="87"/>
    </row>
    <row r="624" ht="16.5" customHeight="1">
      <c r="A624" s="87"/>
      <c r="B624" s="87"/>
      <c r="C624" s="87"/>
      <c r="D624" s="87"/>
      <c r="E624" s="87"/>
      <c r="F624" s="79"/>
      <c r="G624" s="87"/>
      <c r="H624" s="92"/>
      <c r="I624" s="87"/>
      <c r="J624" s="87"/>
      <c r="K624" s="89"/>
      <c r="L624" s="87"/>
      <c r="M624" s="87"/>
      <c r="N624" s="87"/>
      <c r="O624" s="87"/>
      <c r="P624" s="87"/>
      <c r="Q624" s="87"/>
      <c r="R624" s="87"/>
      <c r="S624" s="87"/>
      <c r="T624" s="87"/>
      <c r="U624" s="87"/>
      <c r="V624" s="87"/>
      <c r="W624" s="87"/>
      <c r="X624" s="87"/>
      <c r="Y624" s="87"/>
      <c r="Z624" s="87"/>
      <c r="AA624" s="87"/>
      <c r="AB624" s="87"/>
      <c r="AC624" s="87"/>
      <c r="AD624" s="87"/>
      <c r="AE624" s="87"/>
      <c r="AF624" s="87"/>
      <c r="AG624" s="87"/>
      <c r="AH624" s="87"/>
      <c r="AI624" s="87"/>
      <c r="AJ624" s="87"/>
      <c r="AK624" s="87"/>
      <c r="AL624" s="87"/>
      <c r="AM624" s="87"/>
      <c r="AN624" s="87"/>
    </row>
    <row r="625" ht="16.5" customHeight="1">
      <c r="A625" s="87"/>
      <c r="B625" s="87"/>
      <c r="C625" s="87"/>
      <c r="D625" s="87"/>
      <c r="E625" s="87"/>
      <c r="F625" s="79"/>
      <c r="G625" s="87"/>
      <c r="H625" s="92"/>
      <c r="I625" s="87"/>
      <c r="J625" s="87"/>
      <c r="K625" s="89"/>
      <c r="L625" s="87"/>
      <c r="M625" s="87"/>
      <c r="N625" s="87"/>
      <c r="O625" s="87"/>
      <c r="P625" s="87"/>
      <c r="Q625" s="87"/>
      <c r="R625" s="87"/>
      <c r="S625" s="87"/>
      <c r="T625" s="87"/>
      <c r="U625" s="87"/>
      <c r="V625" s="87"/>
      <c r="W625" s="87"/>
      <c r="X625" s="87"/>
      <c r="Y625" s="87"/>
      <c r="Z625" s="87"/>
      <c r="AA625" s="87"/>
      <c r="AB625" s="87"/>
      <c r="AC625" s="87"/>
      <c r="AD625" s="87"/>
      <c r="AE625" s="87"/>
      <c r="AF625" s="87"/>
      <c r="AG625" s="87"/>
      <c r="AH625" s="87"/>
      <c r="AI625" s="87"/>
      <c r="AJ625" s="87"/>
      <c r="AK625" s="87"/>
      <c r="AL625" s="87"/>
      <c r="AM625" s="87"/>
      <c r="AN625" s="87"/>
    </row>
    <row r="626" ht="16.5" customHeight="1">
      <c r="A626" s="87"/>
      <c r="B626" s="87"/>
      <c r="C626" s="87"/>
      <c r="D626" s="87"/>
      <c r="E626" s="87"/>
      <c r="F626" s="79"/>
      <c r="G626" s="87"/>
      <c r="H626" s="92"/>
      <c r="I626" s="87"/>
      <c r="J626" s="87"/>
      <c r="K626" s="89"/>
      <c r="L626" s="87"/>
      <c r="M626" s="87"/>
      <c r="N626" s="87"/>
      <c r="O626" s="87"/>
      <c r="P626" s="87"/>
      <c r="Q626" s="87"/>
      <c r="R626" s="87"/>
      <c r="S626" s="87"/>
      <c r="T626" s="87"/>
      <c r="U626" s="87"/>
      <c r="V626" s="87"/>
      <c r="W626" s="87"/>
      <c r="X626" s="87"/>
      <c r="Y626" s="87"/>
      <c r="Z626" s="87"/>
      <c r="AA626" s="87"/>
      <c r="AB626" s="87"/>
      <c r="AC626" s="87"/>
      <c r="AD626" s="87"/>
      <c r="AE626" s="87"/>
      <c r="AF626" s="87"/>
      <c r="AG626" s="87"/>
      <c r="AH626" s="87"/>
      <c r="AI626" s="87"/>
      <c r="AJ626" s="87"/>
      <c r="AK626" s="87"/>
      <c r="AL626" s="87"/>
      <c r="AM626" s="87"/>
      <c r="AN626" s="87"/>
    </row>
    <row r="627" ht="16.5" customHeight="1">
      <c r="A627" s="87"/>
      <c r="B627" s="87"/>
      <c r="C627" s="87"/>
      <c r="D627" s="87"/>
      <c r="E627" s="87"/>
      <c r="F627" s="79"/>
      <c r="G627" s="87"/>
      <c r="H627" s="92"/>
      <c r="I627" s="87"/>
      <c r="J627" s="87"/>
      <c r="K627" s="89"/>
      <c r="L627" s="87"/>
      <c r="M627" s="87"/>
      <c r="N627" s="87"/>
      <c r="O627" s="87"/>
      <c r="P627" s="87"/>
      <c r="Q627" s="87"/>
      <c r="R627" s="87"/>
      <c r="S627" s="87"/>
      <c r="T627" s="87"/>
      <c r="U627" s="87"/>
      <c r="V627" s="87"/>
      <c r="W627" s="87"/>
      <c r="X627" s="87"/>
      <c r="Y627" s="87"/>
      <c r="Z627" s="87"/>
      <c r="AA627" s="87"/>
      <c r="AB627" s="87"/>
      <c r="AC627" s="87"/>
      <c r="AD627" s="87"/>
      <c r="AE627" s="87"/>
      <c r="AF627" s="87"/>
      <c r="AG627" s="87"/>
      <c r="AH627" s="87"/>
      <c r="AI627" s="87"/>
      <c r="AJ627" s="87"/>
      <c r="AK627" s="87"/>
      <c r="AL627" s="87"/>
      <c r="AM627" s="87"/>
      <c r="AN627" s="87"/>
    </row>
    <row r="628" ht="16.5" customHeight="1">
      <c r="A628" s="87"/>
      <c r="B628" s="87"/>
      <c r="C628" s="87"/>
      <c r="D628" s="87"/>
      <c r="E628" s="87"/>
      <c r="F628" s="79"/>
      <c r="G628" s="87"/>
      <c r="H628" s="92"/>
      <c r="I628" s="87"/>
      <c r="J628" s="87"/>
      <c r="K628" s="89"/>
      <c r="L628" s="87"/>
      <c r="M628" s="87"/>
      <c r="N628" s="87"/>
      <c r="O628" s="87"/>
      <c r="P628" s="87"/>
      <c r="Q628" s="87"/>
      <c r="R628" s="87"/>
      <c r="S628" s="87"/>
      <c r="T628" s="87"/>
      <c r="U628" s="87"/>
      <c r="V628" s="87"/>
      <c r="W628" s="87"/>
      <c r="X628" s="87"/>
      <c r="Y628" s="87"/>
      <c r="Z628" s="87"/>
      <c r="AA628" s="87"/>
      <c r="AB628" s="87"/>
      <c r="AC628" s="87"/>
      <c r="AD628" s="87"/>
      <c r="AE628" s="87"/>
      <c r="AF628" s="87"/>
      <c r="AG628" s="87"/>
      <c r="AH628" s="87"/>
      <c r="AI628" s="87"/>
      <c r="AJ628" s="87"/>
      <c r="AK628" s="87"/>
      <c r="AL628" s="87"/>
      <c r="AM628" s="87"/>
      <c r="AN628" s="87"/>
    </row>
    <row r="629" ht="16.5" customHeight="1">
      <c r="A629" s="87"/>
      <c r="B629" s="87"/>
      <c r="C629" s="87"/>
      <c r="D629" s="87"/>
      <c r="E629" s="87"/>
      <c r="F629" s="79"/>
      <c r="G629" s="87"/>
      <c r="H629" s="92"/>
      <c r="I629" s="87"/>
      <c r="J629" s="87"/>
      <c r="K629" s="89"/>
      <c r="L629" s="87"/>
      <c r="M629" s="87"/>
      <c r="N629" s="87"/>
      <c r="O629" s="87"/>
      <c r="P629" s="87"/>
      <c r="Q629" s="87"/>
      <c r="R629" s="87"/>
      <c r="S629" s="87"/>
      <c r="T629" s="87"/>
      <c r="U629" s="87"/>
      <c r="V629" s="87"/>
      <c r="W629" s="87"/>
      <c r="X629" s="87"/>
      <c r="Y629" s="87"/>
      <c r="Z629" s="87"/>
      <c r="AA629" s="87"/>
      <c r="AB629" s="87"/>
      <c r="AC629" s="87"/>
      <c r="AD629" s="87"/>
      <c r="AE629" s="87"/>
      <c r="AF629" s="87"/>
      <c r="AG629" s="87"/>
      <c r="AH629" s="87"/>
      <c r="AI629" s="87"/>
      <c r="AJ629" s="87"/>
      <c r="AK629" s="87"/>
      <c r="AL629" s="87"/>
      <c r="AM629" s="87"/>
      <c r="AN629" s="87"/>
    </row>
    <row r="630" ht="16.5" customHeight="1">
      <c r="A630" s="87"/>
      <c r="B630" s="87"/>
      <c r="C630" s="87"/>
      <c r="D630" s="87"/>
      <c r="E630" s="87"/>
      <c r="F630" s="79"/>
      <c r="G630" s="87"/>
      <c r="H630" s="92"/>
      <c r="I630" s="87"/>
      <c r="J630" s="87"/>
      <c r="K630" s="89"/>
      <c r="L630" s="87"/>
      <c r="M630" s="87"/>
      <c r="N630" s="87"/>
      <c r="O630" s="87"/>
      <c r="P630" s="87"/>
      <c r="Q630" s="87"/>
      <c r="R630" s="87"/>
      <c r="S630" s="87"/>
      <c r="T630" s="87"/>
      <c r="U630" s="87"/>
      <c r="V630" s="87"/>
      <c r="W630" s="87"/>
      <c r="X630" s="87"/>
      <c r="Y630" s="87"/>
      <c r="Z630" s="87"/>
      <c r="AA630" s="87"/>
      <c r="AB630" s="87"/>
      <c r="AC630" s="87"/>
      <c r="AD630" s="87"/>
      <c r="AE630" s="87"/>
      <c r="AF630" s="87"/>
      <c r="AG630" s="87"/>
      <c r="AH630" s="87"/>
      <c r="AI630" s="87"/>
      <c r="AJ630" s="87"/>
      <c r="AK630" s="87"/>
      <c r="AL630" s="87"/>
      <c r="AM630" s="87"/>
      <c r="AN630" s="87"/>
    </row>
    <row r="631" ht="16.5" customHeight="1">
      <c r="A631" s="87"/>
      <c r="B631" s="87"/>
      <c r="C631" s="87"/>
      <c r="D631" s="87"/>
      <c r="E631" s="87"/>
      <c r="F631" s="79"/>
      <c r="G631" s="87"/>
      <c r="H631" s="92"/>
      <c r="I631" s="87"/>
      <c r="J631" s="87"/>
      <c r="K631" s="89"/>
      <c r="L631" s="87"/>
      <c r="M631" s="87"/>
      <c r="N631" s="87"/>
      <c r="O631" s="87"/>
      <c r="P631" s="87"/>
      <c r="Q631" s="87"/>
      <c r="R631" s="87"/>
      <c r="S631" s="87"/>
      <c r="T631" s="87"/>
      <c r="U631" s="87"/>
      <c r="V631" s="87"/>
      <c r="W631" s="87"/>
      <c r="X631" s="87"/>
      <c r="Y631" s="87"/>
      <c r="Z631" s="87"/>
      <c r="AA631" s="87"/>
      <c r="AB631" s="87"/>
      <c r="AC631" s="87"/>
      <c r="AD631" s="87"/>
      <c r="AE631" s="87"/>
      <c r="AF631" s="87"/>
      <c r="AG631" s="87"/>
      <c r="AH631" s="87"/>
      <c r="AI631" s="87"/>
      <c r="AJ631" s="87"/>
      <c r="AK631" s="87"/>
      <c r="AL631" s="87"/>
      <c r="AM631" s="87"/>
      <c r="AN631" s="87"/>
    </row>
    <row r="632" ht="16.5" customHeight="1">
      <c r="A632" s="87"/>
      <c r="B632" s="87"/>
      <c r="C632" s="87"/>
      <c r="D632" s="87"/>
      <c r="E632" s="87"/>
      <c r="F632" s="79"/>
      <c r="G632" s="87"/>
      <c r="H632" s="92"/>
      <c r="I632" s="87"/>
      <c r="J632" s="87"/>
      <c r="K632" s="89"/>
      <c r="L632" s="87"/>
      <c r="M632" s="87"/>
      <c r="N632" s="87"/>
      <c r="O632" s="87"/>
      <c r="P632" s="87"/>
      <c r="Q632" s="87"/>
      <c r="R632" s="87"/>
      <c r="S632" s="87"/>
      <c r="T632" s="87"/>
      <c r="U632" s="87"/>
      <c r="V632" s="87"/>
      <c r="W632" s="87"/>
      <c r="X632" s="87"/>
      <c r="Y632" s="87"/>
      <c r="Z632" s="87"/>
      <c r="AA632" s="87"/>
      <c r="AB632" s="87"/>
      <c r="AC632" s="87"/>
      <c r="AD632" s="87"/>
      <c r="AE632" s="87"/>
      <c r="AF632" s="87"/>
      <c r="AG632" s="87"/>
      <c r="AH632" s="87"/>
      <c r="AI632" s="87"/>
      <c r="AJ632" s="87"/>
      <c r="AK632" s="87"/>
      <c r="AL632" s="87"/>
      <c r="AM632" s="87"/>
      <c r="AN632" s="87"/>
    </row>
    <row r="633" ht="16.5" customHeight="1">
      <c r="A633" s="87"/>
      <c r="B633" s="87"/>
      <c r="C633" s="87"/>
      <c r="D633" s="87"/>
      <c r="E633" s="87"/>
      <c r="F633" s="79"/>
      <c r="G633" s="87"/>
      <c r="H633" s="92"/>
      <c r="I633" s="87"/>
      <c r="J633" s="87"/>
      <c r="K633" s="89"/>
      <c r="L633" s="87"/>
      <c r="M633" s="87"/>
      <c r="N633" s="87"/>
      <c r="O633" s="87"/>
      <c r="P633" s="87"/>
      <c r="Q633" s="87"/>
      <c r="R633" s="87"/>
      <c r="S633" s="87"/>
      <c r="T633" s="87"/>
      <c r="U633" s="87"/>
      <c r="V633" s="87"/>
      <c r="W633" s="87"/>
      <c r="X633" s="87"/>
      <c r="Y633" s="87"/>
      <c r="Z633" s="87"/>
      <c r="AA633" s="87"/>
      <c r="AB633" s="87"/>
      <c r="AC633" s="87"/>
      <c r="AD633" s="87"/>
      <c r="AE633" s="87"/>
      <c r="AF633" s="87"/>
      <c r="AG633" s="87"/>
      <c r="AH633" s="87"/>
      <c r="AI633" s="87"/>
      <c r="AJ633" s="87"/>
      <c r="AK633" s="87"/>
      <c r="AL633" s="87"/>
      <c r="AM633" s="87"/>
      <c r="AN633" s="87"/>
    </row>
    <row r="634" ht="16.5" customHeight="1">
      <c r="A634" s="87"/>
      <c r="B634" s="87"/>
      <c r="C634" s="87"/>
      <c r="D634" s="87"/>
      <c r="E634" s="87"/>
      <c r="F634" s="79"/>
      <c r="G634" s="87"/>
      <c r="H634" s="92"/>
      <c r="I634" s="87"/>
      <c r="J634" s="87"/>
      <c r="K634" s="89"/>
      <c r="L634" s="87"/>
      <c r="M634" s="87"/>
      <c r="N634" s="87"/>
      <c r="O634" s="87"/>
      <c r="P634" s="87"/>
      <c r="Q634" s="87"/>
      <c r="R634" s="87"/>
      <c r="S634" s="87"/>
      <c r="T634" s="87"/>
      <c r="U634" s="87"/>
      <c r="V634" s="87"/>
      <c r="W634" s="87"/>
      <c r="X634" s="87"/>
      <c r="Y634" s="87"/>
      <c r="Z634" s="87"/>
      <c r="AA634" s="87"/>
      <c r="AB634" s="87"/>
      <c r="AC634" s="87"/>
      <c r="AD634" s="87"/>
      <c r="AE634" s="87"/>
      <c r="AF634" s="87"/>
      <c r="AG634" s="87"/>
      <c r="AH634" s="87"/>
      <c r="AI634" s="87"/>
      <c r="AJ634" s="87"/>
      <c r="AK634" s="87"/>
      <c r="AL634" s="87"/>
      <c r="AM634" s="87"/>
      <c r="AN634" s="87"/>
    </row>
    <row r="635" ht="16.5" customHeight="1">
      <c r="A635" s="87"/>
      <c r="B635" s="87"/>
      <c r="C635" s="87"/>
      <c r="D635" s="87"/>
      <c r="E635" s="87"/>
      <c r="F635" s="79"/>
      <c r="G635" s="87"/>
      <c r="H635" s="92"/>
      <c r="I635" s="87"/>
      <c r="J635" s="87"/>
      <c r="K635" s="89"/>
      <c r="L635" s="87"/>
      <c r="M635" s="87"/>
      <c r="N635" s="87"/>
      <c r="O635" s="87"/>
      <c r="P635" s="87"/>
      <c r="Q635" s="87"/>
      <c r="R635" s="87"/>
      <c r="S635" s="87"/>
      <c r="T635" s="87"/>
      <c r="U635" s="87"/>
      <c r="V635" s="87"/>
      <c r="W635" s="87"/>
      <c r="X635" s="87"/>
      <c r="Y635" s="87"/>
      <c r="Z635" s="87"/>
      <c r="AA635" s="87"/>
      <c r="AB635" s="87"/>
      <c r="AC635" s="87"/>
      <c r="AD635" s="87"/>
      <c r="AE635" s="87"/>
      <c r="AF635" s="87"/>
      <c r="AG635" s="87"/>
      <c r="AH635" s="87"/>
      <c r="AI635" s="87"/>
      <c r="AJ635" s="87"/>
      <c r="AK635" s="87"/>
      <c r="AL635" s="87"/>
      <c r="AM635" s="87"/>
      <c r="AN635" s="87"/>
    </row>
    <row r="636" ht="16.5" customHeight="1">
      <c r="A636" s="87"/>
      <c r="B636" s="87"/>
      <c r="C636" s="87"/>
      <c r="D636" s="87"/>
      <c r="E636" s="87"/>
      <c r="F636" s="79"/>
      <c r="G636" s="87"/>
      <c r="H636" s="92"/>
      <c r="I636" s="87"/>
      <c r="J636" s="87"/>
      <c r="K636" s="89"/>
      <c r="L636" s="87"/>
      <c r="M636" s="87"/>
      <c r="N636" s="87"/>
      <c r="O636" s="87"/>
      <c r="P636" s="87"/>
      <c r="Q636" s="87"/>
      <c r="R636" s="87"/>
      <c r="S636" s="87"/>
      <c r="T636" s="87"/>
      <c r="U636" s="87"/>
      <c r="V636" s="87"/>
      <c r="W636" s="87"/>
      <c r="X636" s="87"/>
      <c r="Y636" s="87"/>
      <c r="Z636" s="87"/>
      <c r="AA636" s="87"/>
      <c r="AB636" s="87"/>
      <c r="AC636" s="87"/>
      <c r="AD636" s="87"/>
      <c r="AE636" s="87"/>
      <c r="AF636" s="87"/>
      <c r="AG636" s="87"/>
      <c r="AH636" s="87"/>
      <c r="AI636" s="87"/>
      <c r="AJ636" s="87"/>
      <c r="AK636" s="87"/>
      <c r="AL636" s="87"/>
      <c r="AM636" s="87"/>
      <c r="AN636" s="87"/>
    </row>
    <row r="637" ht="16.5" customHeight="1">
      <c r="A637" s="87"/>
      <c r="B637" s="87"/>
      <c r="C637" s="87"/>
      <c r="D637" s="87"/>
      <c r="E637" s="87"/>
      <c r="F637" s="79"/>
      <c r="G637" s="87"/>
      <c r="H637" s="92"/>
      <c r="I637" s="87"/>
      <c r="J637" s="87"/>
      <c r="K637" s="89"/>
      <c r="L637" s="87"/>
      <c r="M637" s="87"/>
      <c r="N637" s="87"/>
      <c r="O637" s="87"/>
      <c r="P637" s="87"/>
      <c r="Q637" s="87"/>
      <c r="R637" s="87"/>
      <c r="S637" s="87"/>
      <c r="T637" s="87"/>
      <c r="U637" s="87"/>
      <c r="V637" s="87"/>
      <c r="W637" s="87"/>
      <c r="X637" s="87"/>
      <c r="Y637" s="87"/>
      <c r="Z637" s="87"/>
      <c r="AA637" s="87"/>
      <c r="AB637" s="87"/>
      <c r="AC637" s="87"/>
      <c r="AD637" s="87"/>
      <c r="AE637" s="87"/>
      <c r="AF637" s="87"/>
      <c r="AG637" s="87"/>
      <c r="AH637" s="87"/>
      <c r="AI637" s="87"/>
      <c r="AJ637" s="87"/>
      <c r="AK637" s="87"/>
      <c r="AL637" s="87"/>
      <c r="AM637" s="87"/>
      <c r="AN637" s="87"/>
    </row>
    <row r="638" ht="16.5" customHeight="1">
      <c r="A638" s="87"/>
      <c r="B638" s="87"/>
      <c r="C638" s="87"/>
      <c r="D638" s="87"/>
      <c r="E638" s="87"/>
      <c r="F638" s="79"/>
      <c r="G638" s="87"/>
      <c r="H638" s="92"/>
      <c r="I638" s="87"/>
      <c r="J638" s="87"/>
      <c r="K638" s="89"/>
      <c r="L638" s="87"/>
      <c r="M638" s="87"/>
      <c r="N638" s="87"/>
      <c r="O638" s="87"/>
      <c r="P638" s="87"/>
      <c r="Q638" s="87"/>
      <c r="R638" s="87"/>
      <c r="S638" s="87"/>
      <c r="T638" s="87"/>
      <c r="U638" s="87"/>
      <c r="V638" s="87"/>
      <c r="W638" s="87"/>
      <c r="X638" s="87"/>
      <c r="Y638" s="87"/>
      <c r="Z638" s="87"/>
      <c r="AA638" s="87"/>
      <c r="AB638" s="87"/>
      <c r="AC638" s="87"/>
      <c r="AD638" s="87"/>
      <c r="AE638" s="87"/>
      <c r="AF638" s="87"/>
      <c r="AG638" s="87"/>
      <c r="AH638" s="87"/>
      <c r="AI638" s="87"/>
      <c r="AJ638" s="87"/>
      <c r="AK638" s="87"/>
      <c r="AL638" s="87"/>
      <c r="AM638" s="87"/>
      <c r="AN638" s="87"/>
    </row>
    <row r="639" ht="16.5" customHeight="1">
      <c r="A639" s="87"/>
      <c r="B639" s="87"/>
      <c r="C639" s="87"/>
      <c r="D639" s="87"/>
      <c r="E639" s="87"/>
      <c r="F639" s="79"/>
      <c r="G639" s="87"/>
      <c r="H639" s="92"/>
      <c r="I639" s="87"/>
      <c r="J639" s="87"/>
      <c r="K639" s="89"/>
      <c r="L639" s="87"/>
      <c r="M639" s="87"/>
      <c r="N639" s="87"/>
      <c r="O639" s="87"/>
      <c r="P639" s="87"/>
      <c r="Q639" s="87"/>
      <c r="R639" s="87"/>
      <c r="S639" s="87"/>
      <c r="T639" s="87"/>
      <c r="U639" s="87"/>
      <c r="V639" s="87"/>
      <c r="W639" s="87"/>
      <c r="X639" s="87"/>
      <c r="Y639" s="87"/>
      <c r="Z639" s="87"/>
      <c r="AA639" s="87"/>
      <c r="AB639" s="87"/>
      <c r="AC639" s="87"/>
      <c r="AD639" s="87"/>
      <c r="AE639" s="87"/>
      <c r="AF639" s="87"/>
      <c r="AG639" s="87"/>
      <c r="AH639" s="87"/>
      <c r="AI639" s="87"/>
      <c r="AJ639" s="87"/>
      <c r="AK639" s="87"/>
      <c r="AL639" s="87"/>
      <c r="AM639" s="87"/>
      <c r="AN639" s="87"/>
    </row>
    <row r="640" ht="16.5" customHeight="1">
      <c r="A640" s="87"/>
      <c r="B640" s="87"/>
      <c r="C640" s="87"/>
      <c r="D640" s="87"/>
      <c r="E640" s="87"/>
      <c r="F640" s="79"/>
      <c r="G640" s="87"/>
      <c r="H640" s="92"/>
      <c r="I640" s="87"/>
      <c r="J640" s="87"/>
      <c r="K640" s="89"/>
      <c r="L640" s="87"/>
      <c r="M640" s="87"/>
      <c r="N640" s="87"/>
      <c r="O640" s="87"/>
      <c r="P640" s="87"/>
      <c r="Q640" s="87"/>
      <c r="R640" s="87"/>
      <c r="S640" s="87"/>
      <c r="T640" s="87"/>
      <c r="U640" s="87"/>
      <c r="V640" s="87"/>
      <c r="W640" s="87"/>
      <c r="X640" s="87"/>
      <c r="Y640" s="87"/>
      <c r="Z640" s="87"/>
      <c r="AA640" s="87"/>
      <c r="AB640" s="87"/>
      <c r="AC640" s="87"/>
      <c r="AD640" s="87"/>
      <c r="AE640" s="87"/>
      <c r="AF640" s="87"/>
      <c r="AG640" s="87"/>
      <c r="AH640" s="87"/>
      <c r="AI640" s="87"/>
      <c r="AJ640" s="87"/>
      <c r="AK640" s="87"/>
      <c r="AL640" s="87"/>
      <c r="AM640" s="87"/>
      <c r="AN640" s="87"/>
    </row>
    <row r="641" ht="16.5" customHeight="1">
      <c r="A641" s="87"/>
      <c r="B641" s="87"/>
      <c r="C641" s="87"/>
      <c r="D641" s="87"/>
      <c r="E641" s="87"/>
      <c r="F641" s="79"/>
      <c r="G641" s="87"/>
      <c r="H641" s="92"/>
      <c r="I641" s="87"/>
      <c r="J641" s="87"/>
      <c r="K641" s="89"/>
      <c r="L641" s="87"/>
      <c r="M641" s="87"/>
      <c r="N641" s="87"/>
      <c r="O641" s="87"/>
      <c r="P641" s="87"/>
      <c r="Q641" s="87"/>
      <c r="R641" s="87"/>
      <c r="S641" s="87"/>
      <c r="T641" s="87"/>
      <c r="U641" s="87"/>
      <c r="V641" s="87"/>
      <c r="W641" s="87"/>
      <c r="X641" s="87"/>
      <c r="Y641" s="87"/>
      <c r="Z641" s="87"/>
      <c r="AA641" s="87"/>
      <c r="AB641" s="87"/>
      <c r="AC641" s="87"/>
      <c r="AD641" s="87"/>
      <c r="AE641" s="87"/>
      <c r="AF641" s="87"/>
      <c r="AG641" s="87"/>
      <c r="AH641" s="87"/>
      <c r="AI641" s="87"/>
      <c r="AJ641" s="87"/>
      <c r="AK641" s="87"/>
      <c r="AL641" s="87"/>
      <c r="AM641" s="87"/>
      <c r="AN641" s="87"/>
    </row>
    <row r="642" ht="16.5" customHeight="1">
      <c r="A642" s="87"/>
      <c r="B642" s="87"/>
      <c r="C642" s="87"/>
      <c r="D642" s="87"/>
      <c r="E642" s="87"/>
      <c r="F642" s="79"/>
      <c r="G642" s="87"/>
      <c r="H642" s="92"/>
      <c r="I642" s="87"/>
      <c r="J642" s="87"/>
      <c r="K642" s="89"/>
      <c r="L642" s="87"/>
      <c r="M642" s="87"/>
      <c r="N642" s="87"/>
      <c r="O642" s="87"/>
      <c r="P642" s="87"/>
      <c r="Q642" s="87"/>
      <c r="R642" s="87"/>
      <c r="S642" s="87"/>
      <c r="T642" s="87"/>
      <c r="U642" s="87"/>
      <c r="V642" s="87"/>
      <c r="W642" s="87"/>
      <c r="X642" s="87"/>
      <c r="Y642" s="87"/>
      <c r="Z642" s="87"/>
      <c r="AA642" s="87"/>
      <c r="AB642" s="87"/>
      <c r="AC642" s="87"/>
      <c r="AD642" s="87"/>
      <c r="AE642" s="87"/>
      <c r="AF642" s="87"/>
      <c r="AG642" s="87"/>
      <c r="AH642" s="87"/>
      <c r="AI642" s="87"/>
      <c r="AJ642" s="87"/>
      <c r="AK642" s="87"/>
      <c r="AL642" s="87"/>
      <c r="AM642" s="87"/>
      <c r="AN642" s="87"/>
    </row>
    <row r="643" ht="16.5" customHeight="1">
      <c r="A643" s="87"/>
      <c r="B643" s="87"/>
      <c r="C643" s="87"/>
      <c r="D643" s="87"/>
      <c r="E643" s="87"/>
      <c r="F643" s="79"/>
      <c r="G643" s="87"/>
      <c r="H643" s="92"/>
      <c r="I643" s="87"/>
      <c r="J643" s="87"/>
      <c r="K643" s="89"/>
      <c r="L643" s="87"/>
      <c r="M643" s="87"/>
      <c r="N643" s="87"/>
      <c r="O643" s="87"/>
      <c r="P643" s="87"/>
      <c r="Q643" s="87"/>
      <c r="R643" s="87"/>
      <c r="S643" s="87"/>
      <c r="T643" s="87"/>
      <c r="U643" s="87"/>
      <c r="V643" s="87"/>
      <c r="W643" s="87"/>
      <c r="X643" s="87"/>
      <c r="Y643" s="87"/>
      <c r="Z643" s="87"/>
      <c r="AA643" s="87"/>
      <c r="AB643" s="87"/>
      <c r="AC643" s="87"/>
      <c r="AD643" s="87"/>
      <c r="AE643" s="87"/>
      <c r="AF643" s="87"/>
      <c r="AG643" s="87"/>
      <c r="AH643" s="87"/>
      <c r="AI643" s="87"/>
      <c r="AJ643" s="87"/>
      <c r="AK643" s="87"/>
      <c r="AL643" s="87"/>
      <c r="AM643" s="87"/>
      <c r="AN643" s="87"/>
    </row>
    <row r="644" ht="16.5" customHeight="1">
      <c r="A644" s="87"/>
      <c r="B644" s="87"/>
      <c r="C644" s="87"/>
      <c r="D644" s="87"/>
      <c r="E644" s="87"/>
      <c r="F644" s="79"/>
      <c r="G644" s="87"/>
      <c r="H644" s="92"/>
      <c r="I644" s="87"/>
      <c r="J644" s="87"/>
      <c r="K644" s="89"/>
      <c r="L644" s="87"/>
      <c r="M644" s="87"/>
      <c r="N644" s="87"/>
      <c r="O644" s="87"/>
      <c r="P644" s="87"/>
      <c r="Q644" s="87"/>
      <c r="R644" s="87"/>
      <c r="S644" s="87"/>
      <c r="T644" s="87"/>
      <c r="U644" s="87"/>
      <c r="V644" s="87"/>
      <c r="W644" s="87"/>
      <c r="X644" s="87"/>
      <c r="Y644" s="87"/>
      <c r="Z644" s="87"/>
      <c r="AA644" s="87"/>
      <c r="AB644" s="87"/>
      <c r="AC644" s="87"/>
      <c r="AD644" s="87"/>
      <c r="AE644" s="87"/>
      <c r="AF644" s="87"/>
      <c r="AG644" s="87"/>
      <c r="AH644" s="87"/>
      <c r="AI644" s="87"/>
      <c r="AJ644" s="87"/>
      <c r="AK644" s="87"/>
      <c r="AL644" s="87"/>
      <c r="AM644" s="87"/>
      <c r="AN644" s="87"/>
    </row>
    <row r="645" ht="16.5" customHeight="1">
      <c r="A645" s="87"/>
      <c r="B645" s="87"/>
      <c r="C645" s="87"/>
      <c r="D645" s="87"/>
      <c r="E645" s="87"/>
      <c r="F645" s="79"/>
      <c r="G645" s="87"/>
      <c r="H645" s="92"/>
      <c r="I645" s="87"/>
      <c r="J645" s="87"/>
      <c r="K645" s="89"/>
      <c r="L645" s="87"/>
      <c r="M645" s="87"/>
      <c r="N645" s="87"/>
      <c r="O645" s="87"/>
      <c r="P645" s="87"/>
      <c r="Q645" s="87"/>
      <c r="R645" s="87"/>
      <c r="S645" s="87"/>
      <c r="T645" s="87"/>
      <c r="U645" s="87"/>
      <c r="V645" s="87"/>
      <c r="W645" s="87"/>
      <c r="X645" s="87"/>
      <c r="Y645" s="87"/>
      <c r="Z645" s="87"/>
      <c r="AA645" s="87"/>
      <c r="AB645" s="87"/>
      <c r="AC645" s="87"/>
      <c r="AD645" s="87"/>
      <c r="AE645" s="87"/>
      <c r="AF645" s="87"/>
      <c r="AG645" s="87"/>
      <c r="AH645" s="87"/>
      <c r="AI645" s="87"/>
      <c r="AJ645" s="87"/>
      <c r="AK645" s="87"/>
      <c r="AL645" s="87"/>
      <c r="AM645" s="87"/>
      <c r="AN645" s="87"/>
    </row>
    <row r="646" ht="16.5" customHeight="1">
      <c r="A646" s="87"/>
      <c r="B646" s="87"/>
      <c r="C646" s="87"/>
      <c r="D646" s="87"/>
      <c r="E646" s="87"/>
      <c r="F646" s="79"/>
      <c r="G646" s="87"/>
      <c r="H646" s="92"/>
      <c r="I646" s="87"/>
      <c r="J646" s="87"/>
      <c r="K646" s="89"/>
      <c r="L646" s="87"/>
      <c r="M646" s="87"/>
      <c r="N646" s="87"/>
      <c r="O646" s="87"/>
      <c r="P646" s="87"/>
      <c r="Q646" s="87"/>
      <c r="R646" s="87"/>
      <c r="S646" s="87"/>
      <c r="T646" s="87"/>
      <c r="U646" s="87"/>
      <c r="V646" s="87"/>
      <c r="W646" s="87"/>
      <c r="X646" s="87"/>
      <c r="Y646" s="87"/>
      <c r="Z646" s="87"/>
      <c r="AA646" s="87"/>
      <c r="AB646" s="87"/>
      <c r="AC646" s="87"/>
      <c r="AD646" s="87"/>
      <c r="AE646" s="87"/>
      <c r="AF646" s="87"/>
      <c r="AG646" s="87"/>
      <c r="AH646" s="87"/>
      <c r="AI646" s="87"/>
      <c r="AJ646" s="87"/>
      <c r="AK646" s="87"/>
      <c r="AL646" s="87"/>
      <c r="AM646" s="87"/>
      <c r="AN646" s="87"/>
    </row>
    <row r="647" ht="16.5" customHeight="1">
      <c r="A647" s="87"/>
      <c r="B647" s="87"/>
      <c r="C647" s="87"/>
      <c r="D647" s="87"/>
      <c r="E647" s="87"/>
      <c r="F647" s="79"/>
      <c r="G647" s="87"/>
      <c r="H647" s="92"/>
      <c r="I647" s="87"/>
      <c r="J647" s="87"/>
      <c r="K647" s="89"/>
      <c r="L647" s="87"/>
      <c r="M647" s="87"/>
      <c r="N647" s="87"/>
      <c r="O647" s="87"/>
      <c r="P647" s="87"/>
      <c r="Q647" s="87"/>
      <c r="R647" s="87"/>
      <c r="S647" s="87"/>
      <c r="T647" s="87"/>
      <c r="U647" s="87"/>
      <c r="V647" s="87"/>
      <c r="W647" s="87"/>
      <c r="X647" s="87"/>
      <c r="Y647" s="87"/>
      <c r="Z647" s="87"/>
      <c r="AA647" s="87"/>
      <c r="AB647" s="87"/>
      <c r="AC647" s="87"/>
      <c r="AD647" s="87"/>
      <c r="AE647" s="87"/>
      <c r="AF647" s="87"/>
      <c r="AG647" s="87"/>
      <c r="AH647" s="87"/>
      <c r="AI647" s="87"/>
      <c r="AJ647" s="87"/>
      <c r="AK647" s="87"/>
      <c r="AL647" s="87"/>
      <c r="AM647" s="87"/>
      <c r="AN647" s="87"/>
    </row>
    <row r="648" ht="16.5" customHeight="1">
      <c r="A648" s="87"/>
      <c r="B648" s="87"/>
      <c r="C648" s="87"/>
      <c r="D648" s="87"/>
      <c r="E648" s="87"/>
      <c r="F648" s="79"/>
      <c r="G648" s="87"/>
      <c r="H648" s="92"/>
      <c r="I648" s="87"/>
      <c r="J648" s="87"/>
      <c r="K648" s="89"/>
      <c r="L648" s="87"/>
      <c r="M648" s="87"/>
      <c r="N648" s="87"/>
      <c r="O648" s="87"/>
      <c r="P648" s="87"/>
      <c r="Q648" s="87"/>
      <c r="R648" s="87"/>
      <c r="S648" s="87"/>
      <c r="T648" s="87"/>
      <c r="U648" s="87"/>
      <c r="V648" s="87"/>
      <c r="W648" s="87"/>
      <c r="X648" s="87"/>
      <c r="Y648" s="87"/>
      <c r="Z648" s="87"/>
      <c r="AA648" s="87"/>
      <c r="AB648" s="87"/>
      <c r="AC648" s="87"/>
      <c r="AD648" s="87"/>
      <c r="AE648" s="87"/>
      <c r="AF648" s="87"/>
      <c r="AG648" s="87"/>
      <c r="AH648" s="87"/>
      <c r="AI648" s="87"/>
      <c r="AJ648" s="87"/>
      <c r="AK648" s="87"/>
      <c r="AL648" s="87"/>
      <c r="AM648" s="87"/>
      <c r="AN648" s="87"/>
    </row>
    <row r="649" ht="16.5" customHeight="1">
      <c r="A649" s="87"/>
      <c r="B649" s="87"/>
      <c r="C649" s="87"/>
      <c r="D649" s="87"/>
      <c r="E649" s="87"/>
      <c r="F649" s="79"/>
      <c r="G649" s="87"/>
      <c r="H649" s="92"/>
      <c r="I649" s="87"/>
      <c r="J649" s="87"/>
      <c r="K649" s="89"/>
      <c r="L649" s="87"/>
      <c r="M649" s="87"/>
      <c r="N649" s="87"/>
      <c r="O649" s="87"/>
      <c r="P649" s="87"/>
      <c r="Q649" s="87"/>
      <c r="R649" s="87"/>
      <c r="S649" s="87"/>
      <c r="T649" s="87"/>
      <c r="U649" s="87"/>
      <c r="V649" s="87"/>
      <c r="W649" s="87"/>
      <c r="X649" s="87"/>
      <c r="Y649" s="87"/>
      <c r="Z649" s="87"/>
      <c r="AA649" s="87"/>
      <c r="AB649" s="87"/>
      <c r="AC649" s="87"/>
      <c r="AD649" s="87"/>
      <c r="AE649" s="87"/>
      <c r="AF649" s="87"/>
      <c r="AG649" s="87"/>
      <c r="AH649" s="87"/>
      <c r="AI649" s="87"/>
      <c r="AJ649" s="87"/>
      <c r="AK649" s="87"/>
      <c r="AL649" s="87"/>
      <c r="AM649" s="87"/>
      <c r="AN649" s="87"/>
    </row>
    <row r="650" ht="16.5" customHeight="1">
      <c r="A650" s="87"/>
      <c r="B650" s="87"/>
      <c r="C650" s="87"/>
      <c r="D650" s="87"/>
      <c r="E650" s="87"/>
      <c r="F650" s="79"/>
      <c r="G650" s="87"/>
      <c r="H650" s="92"/>
      <c r="I650" s="87"/>
      <c r="J650" s="87"/>
      <c r="K650" s="89"/>
      <c r="L650" s="87"/>
      <c r="M650" s="87"/>
      <c r="N650" s="87"/>
      <c r="O650" s="87"/>
      <c r="P650" s="87"/>
      <c r="Q650" s="87"/>
      <c r="R650" s="87"/>
      <c r="S650" s="87"/>
      <c r="T650" s="87"/>
      <c r="U650" s="87"/>
      <c r="V650" s="87"/>
      <c r="W650" s="87"/>
      <c r="X650" s="87"/>
      <c r="Y650" s="87"/>
      <c r="Z650" s="87"/>
      <c r="AA650" s="87"/>
      <c r="AB650" s="87"/>
      <c r="AC650" s="87"/>
      <c r="AD650" s="87"/>
      <c r="AE650" s="87"/>
      <c r="AF650" s="87"/>
      <c r="AG650" s="87"/>
      <c r="AH650" s="87"/>
      <c r="AI650" s="87"/>
      <c r="AJ650" s="87"/>
      <c r="AK650" s="87"/>
      <c r="AL650" s="87"/>
      <c r="AM650" s="87"/>
      <c r="AN650" s="87"/>
    </row>
    <row r="651" ht="16.5" customHeight="1">
      <c r="A651" s="87"/>
      <c r="B651" s="87"/>
      <c r="C651" s="87"/>
      <c r="D651" s="87"/>
      <c r="E651" s="87"/>
      <c r="F651" s="79"/>
      <c r="G651" s="87"/>
      <c r="H651" s="92"/>
      <c r="I651" s="87"/>
      <c r="J651" s="87"/>
      <c r="K651" s="89"/>
      <c r="L651" s="87"/>
      <c r="M651" s="87"/>
      <c r="N651" s="87"/>
      <c r="O651" s="87"/>
      <c r="P651" s="87"/>
      <c r="Q651" s="87"/>
      <c r="R651" s="87"/>
      <c r="S651" s="87"/>
      <c r="T651" s="87"/>
      <c r="U651" s="87"/>
      <c r="V651" s="87"/>
      <c r="W651" s="87"/>
      <c r="X651" s="87"/>
      <c r="Y651" s="87"/>
      <c r="Z651" s="87"/>
      <c r="AA651" s="87"/>
      <c r="AB651" s="87"/>
      <c r="AC651" s="87"/>
      <c r="AD651" s="87"/>
      <c r="AE651" s="87"/>
      <c r="AF651" s="87"/>
      <c r="AG651" s="87"/>
      <c r="AH651" s="87"/>
      <c r="AI651" s="87"/>
      <c r="AJ651" s="87"/>
      <c r="AK651" s="87"/>
      <c r="AL651" s="87"/>
      <c r="AM651" s="87"/>
      <c r="AN651" s="87"/>
    </row>
    <row r="652" ht="16.5" customHeight="1">
      <c r="A652" s="87"/>
      <c r="B652" s="87"/>
      <c r="C652" s="87"/>
      <c r="D652" s="87"/>
      <c r="E652" s="87"/>
      <c r="F652" s="79"/>
      <c r="G652" s="87"/>
      <c r="H652" s="92"/>
      <c r="I652" s="87"/>
      <c r="J652" s="87"/>
      <c r="K652" s="89"/>
      <c r="L652" s="87"/>
      <c r="M652" s="87"/>
      <c r="N652" s="87"/>
      <c r="O652" s="87"/>
      <c r="P652" s="87"/>
      <c r="Q652" s="87"/>
      <c r="R652" s="87"/>
      <c r="S652" s="87"/>
      <c r="T652" s="87"/>
      <c r="U652" s="87"/>
      <c r="V652" s="87"/>
      <c r="W652" s="87"/>
      <c r="X652" s="87"/>
      <c r="Y652" s="87"/>
      <c r="Z652" s="87"/>
      <c r="AA652" s="87"/>
      <c r="AB652" s="87"/>
      <c r="AC652" s="87"/>
      <c r="AD652" s="87"/>
      <c r="AE652" s="87"/>
      <c r="AF652" s="87"/>
      <c r="AG652" s="87"/>
      <c r="AH652" s="87"/>
      <c r="AI652" s="87"/>
      <c r="AJ652" s="87"/>
      <c r="AK652" s="87"/>
      <c r="AL652" s="87"/>
      <c r="AM652" s="87"/>
      <c r="AN652" s="87"/>
    </row>
    <row r="653" ht="16.5" customHeight="1">
      <c r="A653" s="87"/>
      <c r="B653" s="87"/>
      <c r="C653" s="87"/>
      <c r="D653" s="87"/>
      <c r="E653" s="87"/>
      <c r="F653" s="79"/>
      <c r="G653" s="87"/>
      <c r="H653" s="92"/>
      <c r="I653" s="87"/>
      <c r="J653" s="87"/>
      <c r="K653" s="89"/>
      <c r="L653" s="87"/>
      <c r="M653" s="87"/>
      <c r="N653" s="87"/>
      <c r="O653" s="87"/>
      <c r="P653" s="87"/>
      <c r="Q653" s="87"/>
      <c r="R653" s="87"/>
      <c r="S653" s="87"/>
      <c r="T653" s="87"/>
      <c r="U653" s="87"/>
      <c r="V653" s="87"/>
      <c r="W653" s="87"/>
      <c r="X653" s="87"/>
      <c r="Y653" s="87"/>
      <c r="Z653" s="87"/>
      <c r="AA653" s="87"/>
      <c r="AB653" s="87"/>
      <c r="AC653" s="87"/>
      <c r="AD653" s="87"/>
      <c r="AE653" s="87"/>
      <c r="AF653" s="87"/>
      <c r="AG653" s="87"/>
      <c r="AH653" s="87"/>
      <c r="AI653" s="87"/>
      <c r="AJ653" s="87"/>
      <c r="AK653" s="87"/>
      <c r="AL653" s="87"/>
      <c r="AM653" s="87"/>
      <c r="AN653" s="87"/>
    </row>
    <row r="654" ht="16.5" customHeight="1">
      <c r="A654" s="87"/>
      <c r="B654" s="87"/>
      <c r="C654" s="87"/>
      <c r="D654" s="87"/>
      <c r="E654" s="87"/>
      <c r="F654" s="79"/>
      <c r="G654" s="87"/>
      <c r="H654" s="92"/>
      <c r="I654" s="87"/>
      <c r="J654" s="87"/>
      <c r="K654" s="89"/>
      <c r="L654" s="87"/>
      <c r="M654" s="87"/>
      <c r="N654" s="87"/>
      <c r="O654" s="87"/>
      <c r="P654" s="87"/>
      <c r="Q654" s="87"/>
      <c r="R654" s="87"/>
      <c r="S654" s="87"/>
      <c r="T654" s="87"/>
      <c r="U654" s="87"/>
      <c r="V654" s="87"/>
      <c r="W654" s="87"/>
      <c r="X654" s="87"/>
      <c r="Y654" s="87"/>
      <c r="Z654" s="87"/>
      <c r="AA654" s="87"/>
      <c r="AB654" s="87"/>
      <c r="AC654" s="87"/>
      <c r="AD654" s="87"/>
      <c r="AE654" s="87"/>
      <c r="AF654" s="87"/>
      <c r="AG654" s="87"/>
      <c r="AH654" s="87"/>
      <c r="AI654" s="87"/>
      <c r="AJ654" s="87"/>
      <c r="AK654" s="87"/>
      <c r="AL654" s="87"/>
      <c r="AM654" s="87"/>
      <c r="AN654" s="87"/>
    </row>
    <row r="655" ht="16.5" customHeight="1">
      <c r="A655" s="87"/>
      <c r="B655" s="87"/>
      <c r="C655" s="87"/>
      <c r="D655" s="87"/>
      <c r="E655" s="87"/>
      <c r="F655" s="79"/>
      <c r="G655" s="87"/>
      <c r="H655" s="92"/>
      <c r="I655" s="87"/>
      <c r="J655" s="87"/>
      <c r="K655" s="89"/>
      <c r="L655" s="87"/>
      <c r="M655" s="87"/>
      <c r="N655" s="87"/>
      <c r="O655" s="87"/>
      <c r="P655" s="87"/>
      <c r="Q655" s="87"/>
      <c r="R655" s="87"/>
      <c r="S655" s="87"/>
      <c r="T655" s="87"/>
      <c r="U655" s="87"/>
      <c r="V655" s="87"/>
      <c r="W655" s="87"/>
      <c r="X655" s="87"/>
      <c r="Y655" s="87"/>
      <c r="Z655" s="87"/>
      <c r="AA655" s="87"/>
      <c r="AB655" s="87"/>
      <c r="AC655" s="87"/>
      <c r="AD655" s="87"/>
      <c r="AE655" s="87"/>
      <c r="AF655" s="87"/>
      <c r="AG655" s="87"/>
      <c r="AH655" s="87"/>
      <c r="AI655" s="87"/>
      <c r="AJ655" s="87"/>
      <c r="AK655" s="87"/>
      <c r="AL655" s="87"/>
      <c r="AM655" s="87"/>
      <c r="AN655" s="87"/>
    </row>
    <row r="656" ht="16.5" customHeight="1">
      <c r="A656" s="87"/>
      <c r="B656" s="87"/>
      <c r="C656" s="87"/>
      <c r="D656" s="87"/>
      <c r="E656" s="87"/>
      <c r="F656" s="79"/>
      <c r="G656" s="87"/>
      <c r="H656" s="92"/>
      <c r="I656" s="87"/>
      <c r="J656" s="87"/>
      <c r="K656" s="89"/>
      <c r="L656" s="87"/>
      <c r="M656" s="87"/>
      <c r="N656" s="87"/>
      <c r="O656" s="87"/>
      <c r="P656" s="87"/>
      <c r="Q656" s="87"/>
      <c r="R656" s="87"/>
      <c r="S656" s="87"/>
      <c r="T656" s="87"/>
      <c r="U656" s="87"/>
      <c r="V656" s="87"/>
      <c r="W656" s="87"/>
      <c r="X656" s="87"/>
      <c r="Y656" s="87"/>
      <c r="Z656" s="87"/>
      <c r="AA656" s="87"/>
      <c r="AB656" s="87"/>
      <c r="AC656" s="87"/>
      <c r="AD656" s="87"/>
      <c r="AE656" s="87"/>
      <c r="AF656" s="87"/>
      <c r="AG656" s="87"/>
      <c r="AH656" s="87"/>
      <c r="AI656" s="87"/>
      <c r="AJ656" s="87"/>
      <c r="AK656" s="87"/>
      <c r="AL656" s="87"/>
      <c r="AM656" s="87"/>
      <c r="AN656" s="87"/>
    </row>
    <row r="657" ht="16.5" customHeight="1">
      <c r="A657" s="87"/>
      <c r="B657" s="87"/>
      <c r="C657" s="87"/>
      <c r="D657" s="87"/>
      <c r="E657" s="87"/>
      <c r="F657" s="79"/>
      <c r="G657" s="87"/>
      <c r="H657" s="92"/>
      <c r="I657" s="87"/>
      <c r="J657" s="87"/>
      <c r="K657" s="89"/>
      <c r="L657" s="87"/>
      <c r="M657" s="87"/>
      <c r="N657" s="87"/>
      <c r="O657" s="87"/>
      <c r="P657" s="87"/>
      <c r="Q657" s="87"/>
      <c r="R657" s="87"/>
      <c r="S657" s="87"/>
      <c r="T657" s="87"/>
      <c r="U657" s="87"/>
      <c r="V657" s="87"/>
      <c r="W657" s="87"/>
      <c r="X657" s="87"/>
      <c r="Y657" s="87"/>
      <c r="Z657" s="87"/>
      <c r="AA657" s="87"/>
      <c r="AB657" s="87"/>
      <c r="AC657" s="87"/>
      <c r="AD657" s="87"/>
      <c r="AE657" s="87"/>
      <c r="AF657" s="87"/>
      <c r="AG657" s="87"/>
      <c r="AH657" s="87"/>
      <c r="AI657" s="87"/>
      <c r="AJ657" s="87"/>
      <c r="AK657" s="87"/>
      <c r="AL657" s="87"/>
      <c r="AM657" s="87"/>
      <c r="AN657" s="87"/>
    </row>
    <row r="658" ht="16.5" customHeight="1">
      <c r="A658" s="87"/>
      <c r="B658" s="87"/>
      <c r="C658" s="87"/>
      <c r="D658" s="87"/>
      <c r="E658" s="87"/>
      <c r="F658" s="79"/>
      <c r="G658" s="87"/>
      <c r="H658" s="92"/>
      <c r="I658" s="87"/>
      <c r="J658" s="87"/>
      <c r="K658" s="89"/>
      <c r="L658" s="87"/>
      <c r="M658" s="87"/>
      <c r="N658" s="87"/>
      <c r="O658" s="87"/>
      <c r="P658" s="87"/>
      <c r="Q658" s="87"/>
      <c r="R658" s="87"/>
      <c r="S658" s="87"/>
      <c r="T658" s="87"/>
      <c r="U658" s="87"/>
      <c r="V658" s="87"/>
      <c r="W658" s="87"/>
      <c r="X658" s="87"/>
      <c r="Y658" s="87"/>
      <c r="Z658" s="87"/>
      <c r="AA658" s="87"/>
      <c r="AB658" s="87"/>
      <c r="AC658" s="87"/>
      <c r="AD658" s="87"/>
      <c r="AE658" s="87"/>
      <c r="AF658" s="87"/>
      <c r="AG658" s="87"/>
      <c r="AH658" s="87"/>
      <c r="AI658" s="87"/>
      <c r="AJ658" s="87"/>
      <c r="AK658" s="87"/>
      <c r="AL658" s="87"/>
      <c r="AM658" s="87"/>
      <c r="AN658" s="87"/>
    </row>
    <row r="659" ht="16.5" customHeight="1">
      <c r="A659" s="87"/>
      <c r="B659" s="87"/>
      <c r="C659" s="87"/>
      <c r="D659" s="87"/>
      <c r="E659" s="87"/>
      <c r="F659" s="79"/>
      <c r="G659" s="87"/>
      <c r="H659" s="92"/>
      <c r="I659" s="87"/>
      <c r="J659" s="87"/>
      <c r="K659" s="89"/>
      <c r="L659" s="87"/>
      <c r="M659" s="87"/>
      <c r="N659" s="87"/>
      <c r="O659" s="87"/>
      <c r="P659" s="87"/>
      <c r="Q659" s="87"/>
      <c r="R659" s="87"/>
      <c r="S659" s="87"/>
      <c r="T659" s="87"/>
      <c r="U659" s="87"/>
      <c r="V659" s="87"/>
      <c r="W659" s="87"/>
      <c r="X659" s="87"/>
      <c r="Y659" s="87"/>
      <c r="Z659" s="87"/>
      <c r="AA659" s="87"/>
      <c r="AB659" s="87"/>
      <c r="AC659" s="87"/>
      <c r="AD659" s="87"/>
      <c r="AE659" s="87"/>
      <c r="AF659" s="87"/>
      <c r="AG659" s="87"/>
      <c r="AH659" s="87"/>
      <c r="AI659" s="87"/>
      <c r="AJ659" s="87"/>
      <c r="AK659" s="87"/>
      <c r="AL659" s="87"/>
      <c r="AM659" s="87"/>
      <c r="AN659" s="87"/>
    </row>
    <row r="660" ht="16.5" customHeight="1">
      <c r="A660" s="87"/>
      <c r="B660" s="87"/>
      <c r="C660" s="87"/>
      <c r="D660" s="87"/>
      <c r="E660" s="87"/>
      <c r="F660" s="79"/>
      <c r="G660" s="87"/>
      <c r="H660" s="92"/>
      <c r="I660" s="87"/>
      <c r="J660" s="87"/>
      <c r="K660" s="89"/>
      <c r="L660" s="87"/>
      <c r="M660" s="87"/>
      <c r="N660" s="87"/>
      <c r="O660" s="87"/>
      <c r="P660" s="87"/>
      <c r="Q660" s="87"/>
      <c r="R660" s="87"/>
      <c r="S660" s="87"/>
      <c r="T660" s="87"/>
      <c r="U660" s="87"/>
      <c r="V660" s="87"/>
      <c r="W660" s="87"/>
      <c r="X660" s="87"/>
      <c r="Y660" s="87"/>
      <c r="Z660" s="87"/>
      <c r="AA660" s="87"/>
      <c r="AB660" s="87"/>
      <c r="AC660" s="87"/>
      <c r="AD660" s="87"/>
      <c r="AE660" s="87"/>
      <c r="AF660" s="87"/>
      <c r="AG660" s="87"/>
      <c r="AH660" s="87"/>
      <c r="AI660" s="87"/>
      <c r="AJ660" s="87"/>
      <c r="AK660" s="87"/>
      <c r="AL660" s="87"/>
      <c r="AM660" s="87"/>
      <c r="AN660" s="87"/>
    </row>
    <row r="661" ht="16.5" customHeight="1">
      <c r="A661" s="87"/>
      <c r="B661" s="87"/>
      <c r="C661" s="87"/>
      <c r="D661" s="87"/>
      <c r="E661" s="87"/>
      <c r="F661" s="79"/>
      <c r="G661" s="87"/>
      <c r="H661" s="92"/>
      <c r="I661" s="87"/>
      <c r="J661" s="87"/>
      <c r="K661" s="89"/>
      <c r="L661" s="87"/>
      <c r="M661" s="87"/>
      <c r="N661" s="87"/>
      <c r="O661" s="87"/>
      <c r="P661" s="87"/>
      <c r="Q661" s="87"/>
      <c r="R661" s="87"/>
      <c r="S661" s="87"/>
      <c r="T661" s="87"/>
      <c r="U661" s="87"/>
      <c r="V661" s="87"/>
      <c r="W661" s="87"/>
      <c r="X661" s="87"/>
      <c r="Y661" s="87"/>
      <c r="Z661" s="87"/>
      <c r="AA661" s="87"/>
      <c r="AB661" s="87"/>
      <c r="AC661" s="87"/>
      <c r="AD661" s="87"/>
      <c r="AE661" s="87"/>
      <c r="AF661" s="87"/>
      <c r="AG661" s="87"/>
      <c r="AH661" s="87"/>
      <c r="AI661" s="87"/>
      <c r="AJ661" s="87"/>
      <c r="AK661" s="87"/>
      <c r="AL661" s="87"/>
      <c r="AM661" s="87"/>
      <c r="AN661" s="87"/>
    </row>
    <row r="662" ht="16.5" customHeight="1">
      <c r="A662" s="87"/>
      <c r="B662" s="87"/>
      <c r="C662" s="87"/>
      <c r="D662" s="87"/>
      <c r="E662" s="87"/>
      <c r="F662" s="79"/>
      <c r="G662" s="87"/>
      <c r="H662" s="92"/>
      <c r="I662" s="87"/>
      <c r="J662" s="87"/>
      <c r="K662" s="89"/>
      <c r="L662" s="87"/>
      <c r="M662" s="87"/>
      <c r="N662" s="87"/>
      <c r="O662" s="87"/>
      <c r="P662" s="87"/>
      <c r="Q662" s="87"/>
      <c r="R662" s="87"/>
      <c r="S662" s="87"/>
      <c r="T662" s="87"/>
      <c r="U662" s="87"/>
      <c r="V662" s="87"/>
      <c r="W662" s="87"/>
      <c r="X662" s="87"/>
      <c r="Y662" s="87"/>
      <c r="Z662" s="87"/>
      <c r="AA662" s="87"/>
      <c r="AB662" s="87"/>
      <c r="AC662" s="87"/>
      <c r="AD662" s="87"/>
      <c r="AE662" s="87"/>
      <c r="AF662" s="87"/>
      <c r="AG662" s="87"/>
      <c r="AH662" s="87"/>
      <c r="AI662" s="87"/>
      <c r="AJ662" s="87"/>
      <c r="AK662" s="87"/>
      <c r="AL662" s="87"/>
      <c r="AM662" s="87"/>
      <c r="AN662" s="87"/>
    </row>
    <row r="663" ht="16.5" customHeight="1">
      <c r="A663" s="87"/>
      <c r="B663" s="87"/>
      <c r="C663" s="87"/>
      <c r="D663" s="87"/>
      <c r="E663" s="87"/>
      <c r="F663" s="79"/>
      <c r="G663" s="87"/>
      <c r="H663" s="92"/>
      <c r="I663" s="87"/>
      <c r="J663" s="87"/>
      <c r="K663" s="89"/>
      <c r="L663" s="87"/>
      <c r="M663" s="87"/>
      <c r="N663" s="87"/>
      <c r="O663" s="87"/>
      <c r="P663" s="87"/>
      <c r="Q663" s="87"/>
      <c r="R663" s="87"/>
      <c r="S663" s="87"/>
      <c r="T663" s="87"/>
      <c r="U663" s="87"/>
      <c r="V663" s="87"/>
      <c r="W663" s="87"/>
      <c r="X663" s="87"/>
      <c r="Y663" s="87"/>
      <c r="Z663" s="87"/>
      <c r="AA663" s="87"/>
      <c r="AB663" s="87"/>
      <c r="AC663" s="87"/>
      <c r="AD663" s="87"/>
      <c r="AE663" s="87"/>
      <c r="AF663" s="87"/>
      <c r="AG663" s="87"/>
      <c r="AH663" s="87"/>
      <c r="AI663" s="87"/>
      <c r="AJ663" s="87"/>
      <c r="AK663" s="87"/>
      <c r="AL663" s="87"/>
      <c r="AM663" s="87"/>
      <c r="AN663" s="87"/>
    </row>
    <row r="664" ht="16.5" customHeight="1">
      <c r="A664" s="87"/>
      <c r="B664" s="87"/>
      <c r="C664" s="87"/>
      <c r="D664" s="87"/>
      <c r="E664" s="87"/>
      <c r="F664" s="79"/>
      <c r="G664" s="87"/>
      <c r="H664" s="92"/>
      <c r="I664" s="87"/>
      <c r="J664" s="87"/>
      <c r="K664" s="89"/>
      <c r="L664" s="87"/>
      <c r="M664" s="87"/>
      <c r="N664" s="87"/>
      <c r="O664" s="87"/>
      <c r="P664" s="87"/>
      <c r="Q664" s="87"/>
      <c r="R664" s="87"/>
      <c r="S664" s="87"/>
      <c r="T664" s="87"/>
      <c r="U664" s="87"/>
      <c r="V664" s="87"/>
      <c r="W664" s="87"/>
      <c r="X664" s="87"/>
      <c r="Y664" s="87"/>
      <c r="Z664" s="87"/>
      <c r="AA664" s="87"/>
      <c r="AB664" s="87"/>
      <c r="AC664" s="87"/>
      <c r="AD664" s="87"/>
      <c r="AE664" s="87"/>
      <c r="AF664" s="87"/>
      <c r="AG664" s="87"/>
      <c r="AH664" s="87"/>
      <c r="AI664" s="87"/>
      <c r="AJ664" s="87"/>
      <c r="AK664" s="87"/>
      <c r="AL664" s="87"/>
      <c r="AM664" s="87"/>
      <c r="AN664" s="87"/>
    </row>
    <row r="665" ht="16.5" customHeight="1">
      <c r="A665" s="87"/>
      <c r="B665" s="87"/>
      <c r="C665" s="87"/>
      <c r="D665" s="87"/>
      <c r="E665" s="87"/>
      <c r="F665" s="79"/>
      <c r="G665" s="87"/>
      <c r="H665" s="92"/>
      <c r="I665" s="87"/>
      <c r="J665" s="87"/>
      <c r="K665" s="89"/>
      <c r="L665" s="87"/>
      <c r="M665" s="87"/>
      <c r="N665" s="87"/>
      <c r="O665" s="87"/>
      <c r="P665" s="87"/>
      <c r="Q665" s="87"/>
      <c r="R665" s="87"/>
      <c r="S665" s="87"/>
      <c r="T665" s="87"/>
      <c r="U665" s="87"/>
      <c r="V665" s="87"/>
      <c r="W665" s="87"/>
      <c r="X665" s="87"/>
      <c r="Y665" s="87"/>
      <c r="Z665" s="87"/>
      <c r="AA665" s="87"/>
      <c r="AB665" s="87"/>
      <c r="AC665" s="87"/>
      <c r="AD665" s="87"/>
      <c r="AE665" s="87"/>
      <c r="AF665" s="87"/>
      <c r="AG665" s="87"/>
      <c r="AH665" s="87"/>
      <c r="AI665" s="87"/>
      <c r="AJ665" s="87"/>
      <c r="AK665" s="87"/>
      <c r="AL665" s="87"/>
      <c r="AM665" s="87"/>
      <c r="AN665" s="87"/>
    </row>
    <row r="666" ht="16.5" customHeight="1">
      <c r="A666" s="87"/>
      <c r="B666" s="87"/>
      <c r="C666" s="87"/>
      <c r="D666" s="87"/>
      <c r="E666" s="87"/>
      <c r="F666" s="79"/>
      <c r="G666" s="87"/>
      <c r="H666" s="92"/>
      <c r="I666" s="87"/>
      <c r="J666" s="87"/>
      <c r="K666" s="89"/>
      <c r="L666" s="87"/>
      <c r="M666" s="87"/>
      <c r="N666" s="87"/>
      <c r="O666" s="87"/>
      <c r="P666" s="87"/>
      <c r="Q666" s="87"/>
      <c r="R666" s="87"/>
      <c r="S666" s="87"/>
      <c r="T666" s="87"/>
      <c r="U666" s="87"/>
      <c r="V666" s="87"/>
      <c r="W666" s="87"/>
      <c r="X666" s="87"/>
      <c r="Y666" s="87"/>
      <c r="Z666" s="87"/>
      <c r="AA666" s="87"/>
      <c r="AB666" s="87"/>
      <c r="AC666" s="87"/>
      <c r="AD666" s="87"/>
      <c r="AE666" s="87"/>
      <c r="AF666" s="87"/>
      <c r="AG666" s="87"/>
      <c r="AH666" s="87"/>
      <c r="AI666" s="87"/>
      <c r="AJ666" s="87"/>
      <c r="AK666" s="87"/>
      <c r="AL666" s="87"/>
      <c r="AM666" s="87"/>
      <c r="AN666" s="87"/>
    </row>
    <row r="667" ht="16.5" customHeight="1">
      <c r="A667" s="87"/>
      <c r="B667" s="87"/>
      <c r="C667" s="87"/>
      <c r="D667" s="87"/>
      <c r="E667" s="87"/>
      <c r="F667" s="79"/>
      <c r="G667" s="87"/>
      <c r="H667" s="92"/>
      <c r="I667" s="87"/>
      <c r="J667" s="87"/>
      <c r="K667" s="89"/>
      <c r="L667" s="87"/>
      <c r="M667" s="87"/>
      <c r="N667" s="87"/>
      <c r="O667" s="87"/>
      <c r="P667" s="87"/>
      <c r="Q667" s="87"/>
      <c r="R667" s="87"/>
      <c r="S667" s="87"/>
      <c r="T667" s="87"/>
      <c r="U667" s="87"/>
      <c r="V667" s="87"/>
      <c r="W667" s="87"/>
      <c r="X667" s="87"/>
      <c r="Y667" s="87"/>
      <c r="Z667" s="87"/>
      <c r="AA667" s="87"/>
      <c r="AB667" s="87"/>
      <c r="AC667" s="87"/>
      <c r="AD667" s="87"/>
      <c r="AE667" s="87"/>
      <c r="AF667" s="87"/>
      <c r="AG667" s="87"/>
      <c r="AH667" s="87"/>
      <c r="AI667" s="87"/>
      <c r="AJ667" s="87"/>
      <c r="AK667" s="87"/>
      <c r="AL667" s="87"/>
      <c r="AM667" s="87"/>
      <c r="AN667" s="87"/>
    </row>
    <row r="668" ht="16.5" customHeight="1">
      <c r="A668" s="87"/>
      <c r="B668" s="87"/>
      <c r="C668" s="87"/>
      <c r="D668" s="87"/>
      <c r="E668" s="87"/>
      <c r="F668" s="79"/>
      <c r="G668" s="87"/>
      <c r="H668" s="92"/>
      <c r="I668" s="87"/>
      <c r="J668" s="87"/>
      <c r="K668" s="89"/>
      <c r="L668" s="87"/>
      <c r="M668" s="87"/>
      <c r="N668" s="87"/>
      <c r="O668" s="87"/>
      <c r="P668" s="87"/>
      <c r="Q668" s="87"/>
      <c r="R668" s="87"/>
      <c r="S668" s="87"/>
      <c r="T668" s="87"/>
      <c r="U668" s="87"/>
      <c r="V668" s="87"/>
      <c r="W668" s="87"/>
      <c r="X668" s="87"/>
      <c r="Y668" s="87"/>
      <c r="Z668" s="87"/>
      <c r="AA668" s="87"/>
      <c r="AB668" s="87"/>
      <c r="AC668" s="87"/>
      <c r="AD668" s="87"/>
      <c r="AE668" s="87"/>
      <c r="AF668" s="87"/>
      <c r="AG668" s="87"/>
      <c r="AH668" s="87"/>
      <c r="AI668" s="87"/>
      <c r="AJ668" s="87"/>
      <c r="AK668" s="87"/>
      <c r="AL668" s="87"/>
      <c r="AM668" s="87"/>
      <c r="AN668" s="87"/>
    </row>
    <row r="669" ht="16.5" customHeight="1">
      <c r="A669" s="87"/>
      <c r="B669" s="87"/>
      <c r="C669" s="87"/>
      <c r="D669" s="87"/>
      <c r="E669" s="87"/>
      <c r="F669" s="79"/>
      <c r="G669" s="87"/>
      <c r="H669" s="92"/>
      <c r="I669" s="87"/>
      <c r="J669" s="87"/>
      <c r="K669" s="89"/>
      <c r="L669" s="87"/>
      <c r="M669" s="87"/>
      <c r="N669" s="87"/>
      <c r="O669" s="87"/>
      <c r="P669" s="87"/>
      <c r="Q669" s="87"/>
      <c r="R669" s="87"/>
      <c r="S669" s="87"/>
      <c r="T669" s="87"/>
      <c r="U669" s="87"/>
      <c r="V669" s="87"/>
      <c r="W669" s="87"/>
      <c r="X669" s="87"/>
      <c r="Y669" s="87"/>
      <c r="Z669" s="87"/>
      <c r="AA669" s="87"/>
      <c r="AB669" s="87"/>
      <c r="AC669" s="87"/>
      <c r="AD669" s="87"/>
      <c r="AE669" s="87"/>
      <c r="AF669" s="87"/>
      <c r="AG669" s="87"/>
      <c r="AH669" s="87"/>
      <c r="AI669" s="87"/>
      <c r="AJ669" s="87"/>
      <c r="AK669" s="87"/>
      <c r="AL669" s="87"/>
      <c r="AM669" s="87"/>
      <c r="AN669" s="87"/>
    </row>
    <row r="670" ht="16.5" customHeight="1">
      <c r="A670" s="87"/>
      <c r="B670" s="87"/>
      <c r="C670" s="87"/>
      <c r="D670" s="87"/>
      <c r="E670" s="87"/>
      <c r="F670" s="79"/>
      <c r="G670" s="87"/>
      <c r="H670" s="92"/>
      <c r="I670" s="87"/>
      <c r="J670" s="87"/>
      <c r="K670" s="89"/>
      <c r="L670" s="87"/>
      <c r="M670" s="87"/>
      <c r="N670" s="87"/>
      <c r="O670" s="87"/>
      <c r="P670" s="87"/>
      <c r="Q670" s="87"/>
      <c r="R670" s="87"/>
      <c r="S670" s="87"/>
      <c r="T670" s="87"/>
      <c r="U670" s="87"/>
      <c r="V670" s="87"/>
      <c r="W670" s="87"/>
      <c r="X670" s="87"/>
      <c r="Y670" s="87"/>
      <c r="Z670" s="87"/>
      <c r="AA670" s="87"/>
      <c r="AB670" s="87"/>
      <c r="AC670" s="87"/>
      <c r="AD670" s="87"/>
      <c r="AE670" s="87"/>
      <c r="AF670" s="87"/>
      <c r="AG670" s="87"/>
      <c r="AH670" s="87"/>
      <c r="AI670" s="87"/>
      <c r="AJ670" s="87"/>
      <c r="AK670" s="87"/>
      <c r="AL670" s="87"/>
      <c r="AM670" s="87"/>
      <c r="AN670" s="87"/>
    </row>
    <row r="671" ht="16.5" customHeight="1">
      <c r="A671" s="87"/>
      <c r="B671" s="87"/>
      <c r="C671" s="87"/>
      <c r="D671" s="87"/>
      <c r="E671" s="87"/>
      <c r="F671" s="79"/>
      <c r="G671" s="87"/>
      <c r="H671" s="92"/>
      <c r="I671" s="87"/>
      <c r="J671" s="87"/>
      <c r="K671" s="89"/>
      <c r="L671" s="87"/>
      <c r="M671" s="87"/>
      <c r="N671" s="87"/>
      <c r="O671" s="87"/>
      <c r="P671" s="87"/>
      <c r="Q671" s="87"/>
      <c r="R671" s="87"/>
      <c r="S671" s="87"/>
      <c r="T671" s="87"/>
      <c r="U671" s="87"/>
      <c r="V671" s="87"/>
      <c r="W671" s="87"/>
      <c r="X671" s="87"/>
      <c r="Y671" s="87"/>
      <c r="Z671" s="87"/>
      <c r="AA671" s="87"/>
      <c r="AB671" s="87"/>
      <c r="AC671" s="87"/>
      <c r="AD671" s="87"/>
      <c r="AE671" s="87"/>
      <c r="AF671" s="87"/>
      <c r="AG671" s="87"/>
      <c r="AH671" s="87"/>
      <c r="AI671" s="87"/>
      <c r="AJ671" s="87"/>
      <c r="AK671" s="87"/>
      <c r="AL671" s="87"/>
      <c r="AM671" s="87"/>
      <c r="AN671" s="87"/>
    </row>
    <row r="672" ht="16.5" customHeight="1">
      <c r="A672" s="87"/>
      <c r="B672" s="87"/>
      <c r="C672" s="87"/>
      <c r="D672" s="87"/>
      <c r="E672" s="87"/>
      <c r="F672" s="79"/>
      <c r="G672" s="87"/>
      <c r="H672" s="92"/>
      <c r="I672" s="87"/>
      <c r="J672" s="87"/>
      <c r="K672" s="89"/>
      <c r="L672" s="87"/>
      <c r="M672" s="87"/>
      <c r="N672" s="87"/>
      <c r="O672" s="87"/>
      <c r="P672" s="87"/>
      <c r="Q672" s="87"/>
      <c r="R672" s="87"/>
      <c r="S672" s="87"/>
      <c r="T672" s="87"/>
      <c r="U672" s="87"/>
      <c r="V672" s="87"/>
      <c r="W672" s="87"/>
      <c r="X672" s="87"/>
      <c r="Y672" s="87"/>
      <c r="Z672" s="87"/>
      <c r="AA672" s="87"/>
      <c r="AB672" s="87"/>
      <c r="AC672" s="87"/>
      <c r="AD672" s="87"/>
      <c r="AE672" s="87"/>
      <c r="AF672" s="87"/>
      <c r="AG672" s="87"/>
      <c r="AH672" s="87"/>
      <c r="AI672" s="87"/>
      <c r="AJ672" s="87"/>
      <c r="AK672" s="87"/>
      <c r="AL672" s="87"/>
      <c r="AM672" s="87"/>
      <c r="AN672" s="87"/>
    </row>
    <row r="673" ht="16.5" customHeight="1">
      <c r="A673" s="87"/>
      <c r="B673" s="87"/>
      <c r="C673" s="87"/>
      <c r="D673" s="87"/>
      <c r="E673" s="87"/>
      <c r="F673" s="79"/>
      <c r="G673" s="87"/>
      <c r="H673" s="92"/>
      <c r="I673" s="87"/>
      <c r="J673" s="87"/>
      <c r="K673" s="89"/>
      <c r="L673" s="87"/>
      <c r="M673" s="87"/>
      <c r="N673" s="87"/>
      <c r="O673" s="87"/>
      <c r="P673" s="87"/>
      <c r="Q673" s="87"/>
      <c r="R673" s="87"/>
      <c r="S673" s="87"/>
      <c r="T673" s="87"/>
      <c r="U673" s="87"/>
      <c r="V673" s="87"/>
      <c r="W673" s="87"/>
      <c r="X673" s="87"/>
      <c r="Y673" s="87"/>
      <c r="Z673" s="87"/>
      <c r="AA673" s="87"/>
      <c r="AB673" s="87"/>
      <c r="AC673" s="87"/>
      <c r="AD673" s="87"/>
      <c r="AE673" s="87"/>
      <c r="AF673" s="87"/>
      <c r="AG673" s="87"/>
      <c r="AH673" s="87"/>
      <c r="AI673" s="87"/>
      <c r="AJ673" s="87"/>
      <c r="AK673" s="87"/>
      <c r="AL673" s="87"/>
      <c r="AM673" s="87"/>
      <c r="AN673" s="87"/>
    </row>
    <row r="674" ht="16.5" customHeight="1">
      <c r="A674" s="87"/>
      <c r="B674" s="87"/>
      <c r="C674" s="87"/>
      <c r="D674" s="87"/>
      <c r="E674" s="87"/>
      <c r="F674" s="79"/>
      <c r="G674" s="87"/>
      <c r="H674" s="92"/>
      <c r="I674" s="87"/>
      <c r="J674" s="87"/>
      <c r="K674" s="89"/>
      <c r="L674" s="87"/>
      <c r="M674" s="87"/>
      <c r="N674" s="87"/>
      <c r="O674" s="87"/>
      <c r="P674" s="87"/>
      <c r="Q674" s="87"/>
      <c r="R674" s="87"/>
      <c r="S674" s="87"/>
      <c r="T674" s="87"/>
      <c r="U674" s="87"/>
      <c r="V674" s="87"/>
      <c r="W674" s="87"/>
      <c r="X674" s="87"/>
      <c r="Y674" s="87"/>
      <c r="Z674" s="87"/>
      <c r="AA674" s="87"/>
      <c r="AB674" s="87"/>
      <c r="AC674" s="87"/>
      <c r="AD674" s="87"/>
      <c r="AE674" s="87"/>
      <c r="AF674" s="87"/>
      <c r="AG674" s="87"/>
      <c r="AH674" s="87"/>
      <c r="AI674" s="87"/>
      <c r="AJ674" s="87"/>
      <c r="AK674" s="87"/>
      <c r="AL674" s="87"/>
      <c r="AM674" s="87"/>
      <c r="AN674" s="87"/>
    </row>
    <row r="675" ht="16.5" customHeight="1">
      <c r="A675" s="87"/>
      <c r="B675" s="87"/>
      <c r="C675" s="87"/>
      <c r="D675" s="87"/>
      <c r="E675" s="87"/>
      <c r="F675" s="79"/>
      <c r="G675" s="87"/>
      <c r="H675" s="92"/>
      <c r="I675" s="87"/>
      <c r="J675" s="87"/>
      <c r="K675" s="89"/>
      <c r="L675" s="87"/>
      <c r="M675" s="87"/>
      <c r="N675" s="87"/>
      <c r="O675" s="87"/>
      <c r="P675" s="87"/>
      <c r="Q675" s="87"/>
      <c r="R675" s="87"/>
      <c r="S675" s="87"/>
      <c r="T675" s="87"/>
      <c r="U675" s="87"/>
      <c r="V675" s="87"/>
      <c r="W675" s="87"/>
      <c r="X675" s="87"/>
      <c r="Y675" s="87"/>
      <c r="Z675" s="87"/>
      <c r="AA675" s="87"/>
      <c r="AB675" s="87"/>
      <c r="AC675" s="87"/>
      <c r="AD675" s="87"/>
      <c r="AE675" s="87"/>
      <c r="AF675" s="87"/>
      <c r="AG675" s="87"/>
      <c r="AH675" s="87"/>
      <c r="AI675" s="87"/>
      <c r="AJ675" s="87"/>
      <c r="AK675" s="87"/>
      <c r="AL675" s="87"/>
      <c r="AM675" s="87"/>
      <c r="AN675" s="87"/>
    </row>
    <row r="676" ht="16.5" customHeight="1">
      <c r="A676" s="87"/>
      <c r="B676" s="87"/>
      <c r="C676" s="87"/>
      <c r="D676" s="87"/>
      <c r="E676" s="87"/>
      <c r="F676" s="79"/>
      <c r="G676" s="87"/>
      <c r="H676" s="92"/>
      <c r="I676" s="87"/>
      <c r="J676" s="87"/>
      <c r="K676" s="89"/>
      <c r="L676" s="87"/>
      <c r="M676" s="87"/>
      <c r="N676" s="87"/>
      <c r="O676" s="87"/>
      <c r="P676" s="87"/>
      <c r="Q676" s="87"/>
      <c r="R676" s="87"/>
      <c r="S676" s="87"/>
      <c r="T676" s="87"/>
      <c r="U676" s="87"/>
      <c r="V676" s="87"/>
      <c r="W676" s="87"/>
      <c r="X676" s="87"/>
      <c r="Y676" s="87"/>
      <c r="Z676" s="87"/>
      <c r="AA676" s="87"/>
      <c r="AB676" s="87"/>
      <c r="AC676" s="87"/>
      <c r="AD676" s="87"/>
      <c r="AE676" s="87"/>
      <c r="AF676" s="87"/>
      <c r="AG676" s="87"/>
      <c r="AH676" s="87"/>
      <c r="AI676" s="87"/>
      <c r="AJ676" s="87"/>
      <c r="AK676" s="87"/>
      <c r="AL676" s="87"/>
      <c r="AM676" s="87"/>
      <c r="AN676" s="87"/>
    </row>
    <row r="677" ht="16.5" customHeight="1">
      <c r="A677" s="87"/>
      <c r="B677" s="87"/>
      <c r="C677" s="87"/>
      <c r="D677" s="87"/>
      <c r="E677" s="87"/>
      <c r="F677" s="79"/>
      <c r="G677" s="87"/>
      <c r="H677" s="92"/>
      <c r="I677" s="87"/>
      <c r="J677" s="87"/>
      <c r="K677" s="89"/>
      <c r="L677" s="87"/>
      <c r="M677" s="87"/>
      <c r="N677" s="87"/>
      <c r="O677" s="87"/>
      <c r="P677" s="87"/>
      <c r="Q677" s="87"/>
      <c r="R677" s="87"/>
      <c r="S677" s="87"/>
      <c r="T677" s="87"/>
      <c r="U677" s="87"/>
      <c r="V677" s="87"/>
      <c r="W677" s="87"/>
      <c r="X677" s="87"/>
      <c r="Y677" s="87"/>
      <c r="Z677" s="87"/>
      <c r="AA677" s="87"/>
      <c r="AB677" s="87"/>
      <c r="AC677" s="87"/>
      <c r="AD677" s="87"/>
      <c r="AE677" s="87"/>
      <c r="AF677" s="87"/>
      <c r="AG677" s="87"/>
      <c r="AH677" s="87"/>
      <c r="AI677" s="87"/>
      <c r="AJ677" s="87"/>
      <c r="AK677" s="87"/>
      <c r="AL677" s="87"/>
      <c r="AM677" s="87"/>
      <c r="AN677" s="87"/>
    </row>
    <row r="678" ht="16.5" customHeight="1">
      <c r="A678" s="87"/>
      <c r="B678" s="87"/>
      <c r="C678" s="87"/>
      <c r="D678" s="87"/>
      <c r="E678" s="87"/>
      <c r="F678" s="79"/>
      <c r="G678" s="87"/>
      <c r="H678" s="92"/>
      <c r="I678" s="87"/>
      <c r="J678" s="87"/>
      <c r="K678" s="89"/>
      <c r="L678" s="87"/>
      <c r="M678" s="87"/>
      <c r="N678" s="87"/>
      <c r="O678" s="87"/>
      <c r="P678" s="87"/>
      <c r="Q678" s="87"/>
      <c r="R678" s="87"/>
      <c r="S678" s="87"/>
      <c r="T678" s="87"/>
      <c r="U678" s="87"/>
      <c r="V678" s="87"/>
      <c r="W678" s="87"/>
      <c r="X678" s="87"/>
      <c r="Y678" s="87"/>
      <c r="Z678" s="87"/>
      <c r="AA678" s="87"/>
      <c r="AB678" s="87"/>
      <c r="AC678" s="87"/>
      <c r="AD678" s="87"/>
      <c r="AE678" s="87"/>
      <c r="AF678" s="87"/>
      <c r="AG678" s="87"/>
      <c r="AH678" s="87"/>
      <c r="AI678" s="87"/>
      <c r="AJ678" s="87"/>
      <c r="AK678" s="87"/>
      <c r="AL678" s="87"/>
      <c r="AM678" s="87"/>
      <c r="AN678" s="87"/>
    </row>
    <row r="679" ht="16.5" customHeight="1">
      <c r="A679" s="87"/>
      <c r="B679" s="87"/>
      <c r="C679" s="87"/>
      <c r="D679" s="87"/>
      <c r="E679" s="87"/>
      <c r="F679" s="79"/>
      <c r="G679" s="87"/>
      <c r="H679" s="92"/>
      <c r="I679" s="87"/>
      <c r="J679" s="87"/>
      <c r="K679" s="89"/>
      <c r="L679" s="87"/>
      <c r="M679" s="87"/>
      <c r="N679" s="87"/>
      <c r="O679" s="87"/>
      <c r="P679" s="87"/>
      <c r="Q679" s="87"/>
      <c r="R679" s="87"/>
      <c r="S679" s="87"/>
      <c r="T679" s="87"/>
      <c r="U679" s="87"/>
      <c r="V679" s="87"/>
      <c r="W679" s="87"/>
      <c r="X679" s="87"/>
      <c r="Y679" s="87"/>
      <c r="Z679" s="87"/>
      <c r="AA679" s="87"/>
      <c r="AB679" s="87"/>
      <c r="AC679" s="87"/>
      <c r="AD679" s="87"/>
      <c r="AE679" s="87"/>
      <c r="AF679" s="87"/>
      <c r="AG679" s="87"/>
      <c r="AH679" s="87"/>
      <c r="AI679" s="87"/>
      <c r="AJ679" s="87"/>
      <c r="AK679" s="87"/>
      <c r="AL679" s="87"/>
      <c r="AM679" s="87"/>
      <c r="AN679" s="87"/>
    </row>
    <row r="680" ht="16.5" customHeight="1">
      <c r="A680" s="87"/>
      <c r="B680" s="87"/>
      <c r="C680" s="87"/>
      <c r="D680" s="87"/>
      <c r="E680" s="87"/>
      <c r="F680" s="79"/>
      <c r="G680" s="87"/>
      <c r="H680" s="92"/>
      <c r="I680" s="87"/>
      <c r="J680" s="87"/>
      <c r="K680" s="89"/>
      <c r="L680" s="87"/>
      <c r="M680" s="87"/>
      <c r="N680" s="87"/>
      <c r="O680" s="87"/>
      <c r="P680" s="87"/>
      <c r="Q680" s="87"/>
      <c r="R680" s="87"/>
      <c r="S680" s="87"/>
      <c r="T680" s="87"/>
      <c r="U680" s="87"/>
      <c r="V680" s="87"/>
      <c r="W680" s="87"/>
      <c r="X680" s="87"/>
      <c r="Y680" s="87"/>
      <c r="Z680" s="87"/>
      <c r="AA680" s="87"/>
      <c r="AB680" s="87"/>
      <c r="AC680" s="87"/>
      <c r="AD680" s="87"/>
      <c r="AE680" s="87"/>
      <c r="AF680" s="87"/>
      <c r="AG680" s="87"/>
      <c r="AH680" s="87"/>
      <c r="AI680" s="87"/>
      <c r="AJ680" s="87"/>
      <c r="AK680" s="87"/>
      <c r="AL680" s="87"/>
      <c r="AM680" s="87"/>
      <c r="AN680" s="87"/>
    </row>
    <row r="681" ht="16.5" customHeight="1">
      <c r="A681" s="87"/>
      <c r="B681" s="87"/>
      <c r="C681" s="87"/>
      <c r="D681" s="87"/>
      <c r="E681" s="87"/>
      <c r="F681" s="79"/>
      <c r="G681" s="87"/>
      <c r="H681" s="92"/>
      <c r="I681" s="87"/>
      <c r="J681" s="87"/>
      <c r="K681" s="89"/>
      <c r="L681" s="87"/>
      <c r="M681" s="87"/>
      <c r="N681" s="87"/>
      <c r="O681" s="87"/>
      <c r="P681" s="87"/>
      <c r="Q681" s="87"/>
      <c r="R681" s="87"/>
      <c r="S681" s="87"/>
      <c r="T681" s="87"/>
      <c r="U681" s="87"/>
      <c r="V681" s="87"/>
      <c r="W681" s="87"/>
      <c r="X681" s="87"/>
      <c r="Y681" s="87"/>
      <c r="Z681" s="87"/>
      <c r="AA681" s="87"/>
      <c r="AB681" s="87"/>
      <c r="AC681" s="87"/>
      <c r="AD681" s="87"/>
      <c r="AE681" s="87"/>
      <c r="AF681" s="87"/>
      <c r="AG681" s="87"/>
      <c r="AH681" s="87"/>
      <c r="AI681" s="87"/>
      <c r="AJ681" s="87"/>
      <c r="AK681" s="87"/>
      <c r="AL681" s="87"/>
      <c r="AM681" s="87"/>
      <c r="AN681" s="87"/>
    </row>
    <row r="682" ht="16.5" customHeight="1">
      <c r="A682" s="87"/>
      <c r="B682" s="87"/>
      <c r="C682" s="87"/>
      <c r="D682" s="87"/>
      <c r="E682" s="87"/>
      <c r="F682" s="79"/>
      <c r="G682" s="87"/>
      <c r="H682" s="92"/>
      <c r="I682" s="87"/>
      <c r="J682" s="87"/>
      <c r="K682" s="89"/>
      <c r="L682" s="87"/>
      <c r="M682" s="87"/>
      <c r="N682" s="87"/>
      <c r="O682" s="87"/>
      <c r="P682" s="87"/>
      <c r="Q682" s="87"/>
      <c r="R682" s="87"/>
      <c r="S682" s="87"/>
      <c r="T682" s="87"/>
      <c r="U682" s="87"/>
      <c r="V682" s="87"/>
      <c r="W682" s="87"/>
      <c r="X682" s="87"/>
      <c r="Y682" s="87"/>
      <c r="Z682" s="87"/>
      <c r="AA682" s="87"/>
      <c r="AB682" s="87"/>
      <c r="AC682" s="87"/>
      <c r="AD682" s="87"/>
      <c r="AE682" s="87"/>
      <c r="AF682" s="87"/>
      <c r="AG682" s="87"/>
      <c r="AH682" s="87"/>
      <c r="AI682" s="87"/>
      <c r="AJ682" s="87"/>
      <c r="AK682" s="87"/>
      <c r="AL682" s="87"/>
      <c r="AM682" s="87"/>
      <c r="AN682" s="87"/>
    </row>
    <row r="683" ht="16.5" customHeight="1">
      <c r="A683" s="87"/>
      <c r="B683" s="87"/>
      <c r="C683" s="87"/>
      <c r="D683" s="87"/>
      <c r="E683" s="87"/>
      <c r="F683" s="79"/>
      <c r="G683" s="87"/>
      <c r="H683" s="92"/>
      <c r="I683" s="87"/>
      <c r="J683" s="87"/>
      <c r="K683" s="89"/>
      <c r="L683" s="87"/>
      <c r="M683" s="87"/>
      <c r="N683" s="87"/>
      <c r="O683" s="87"/>
      <c r="P683" s="87"/>
      <c r="Q683" s="87"/>
      <c r="R683" s="87"/>
      <c r="S683" s="87"/>
      <c r="T683" s="87"/>
      <c r="U683" s="87"/>
      <c r="V683" s="87"/>
      <c r="W683" s="87"/>
      <c r="X683" s="87"/>
      <c r="Y683" s="87"/>
      <c r="Z683" s="87"/>
      <c r="AA683" s="87"/>
      <c r="AB683" s="87"/>
      <c r="AC683" s="87"/>
      <c r="AD683" s="87"/>
      <c r="AE683" s="87"/>
      <c r="AF683" s="87"/>
      <c r="AG683" s="87"/>
      <c r="AH683" s="87"/>
      <c r="AI683" s="87"/>
      <c r="AJ683" s="87"/>
      <c r="AK683" s="87"/>
      <c r="AL683" s="87"/>
      <c r="AM683" s="87"/>
      <c r="AN683" s="87"/>
    </row>
    <row r="684" ht="16.5" customHeight="1">
      <c r="A684" s="87"/>
      <c r="B684" s="87"/>
      <c r="C684" s="87"/>
      <c r="D684" s="87"/>
      <c r="E684" s="87"/>
      <c r="F684" s="79"/>
      <c r="G684" s="87"/>
      <c r="H684" s="92"/>
      <c r="I684" s="87"/>
      <c r="J684" s="87"/>
      <c r="K684" s="89"/>
      <c r="L684" s="87"/>
      <c r="M684" s="87"/>
      <c r="N684" s="87"/>
      <c r="O684" s="87"/>
      <c r="P684" s="87"/>
      <c r="Q684" s="87"/>
      <c r="R684" s="87"/>
      <c r="S684" s="87"/>
      <c r="T684" s="87"/>
      <c r="U684" s="87"/>
      <c r="V684" s="87"/>
      <c r="W684" s="87"/>
      <c r="X684" s="87"/>
      <c r="Y684" s="87"/>
      <c r="Z684" s="87"/>
      <c r="AA684" s="87"/>
      <c r="AB684" s="87"/>
      <c r="AC684" s="87"/>
      <c r="AD684" s="87"/>
      <c r="AE684" s="87"/>
      <c r="AF684" s="87"/>
      <c r="AG684" s="87"/>
      <c r="AH684" s="87"/>
      <c r="AI684" s="87"/>
      <c r="AJ684" s="87"/>
      <c r="AK684" s="87"/>
      <c r="AL684" s="87"/>
      <c r="AM684" s="87"/>
      <c r="AN684" s="87"/>
    </row>
    <row r="685" ht="16.5" customHeight="1">
      <c r="A685" s="87"/>
      <c r="B685" s="87"/>
      <c r="C685" s="87"/>
      <c r="D685" s="87"/>
      <c r="E685" s="87"/>
      <c r="F685" s="79"/>
      <c r="G685" s="87"/>
      <c r="H685" s="92"/>
      <c r="I685" s="87"/>
      <c r="J685" s="87"/>
      <c r="K685" s="89"/>
      <c r="L685" s="87"/>
      <c r="M685" s="87"/>
      <c r="N685" s="87"/>
      <c r="O685" s="87"/>
      <c r="P685" s="87"/>
      <c r="Q685" s="87"/>
      <c r="R685" s="87"/>
      <c r="S685" s="87"/>
      <c r="T685" s="87"/>
      <c r="U685" s="87"/>
      <c r="V685" s="87"/>
      <c r="W685" s="87"/>
      <c r="X685" s="87"/>
      <c r="Y685" s="87"/>
      <c r="Z685" s="87"/>
      <c r="AA685" s="87"/>
      <c r="AB685" s="87"/>
      <c r="AC685" s="87"/>
      <c r="AD685" s="87"/>
      <c r="AE685" s="87"/>
      <c r="AF685" s="87"/>
      <c r="AG685" s="87"/>
      <c r="AH685" s="87"/>
      <c r="AI685" s="87"/>
      <c r="AJ685" s="87"/>
      <c r="AK685" s="87"/>
      <c r="AL685" s="87"/>
      <c r="AM685" s="87"/>
      <c r="AN685" s="87"/>
    </row>
    <row r="686" ht="16.5" customHeight="1">
      <c r="A686" s="87"/>
      <c r="B686" s="87"/>
      <c r="C686" s="87"/>
      <c r="D686" s="87"/>
      <c r="E686" s="87"/>
      <c r="F686" s="79"/>
      <c r="G686" s="87"/>
      <c r="H686" s="92"/>
      <c r="I686" s="87"/>
      <c r="J686" s="87"/>
      <c r="K686" s="89"/>
      <c r="L686" s="87"/>
      <c r="M686" s="87"/>
      <c r="N686" s="87"/>
      <c r="O686" s="87"/>
      <c r="P686" s="87"/>
      <c r="Q686" s="87"/>
      <c r="R686" s="87"/>
      <c r="S686" s="87"/>
      <c r="T686" s="87"/>
      <c r="U686" s="87"/>
      <c r="V686" s="87"/>
      <c r="W686" s="87"/>
      <c r="X686" s="87"/>
      <c r="Y686" s="87"/>
      <c r="Z686" s="87"/>
      <c r="AA686" s="87"/>
      <c r="AB686" s="87"/>
      <c r="AC686" s="87"/>
      <c r="AD686" s="87"/>
      <c r="AE686" s="87"/>
      <c r="AF686" s="87"/>
      <c r="AG686" s="87"/>
      <c r="AH686" s="87"/>
      <c r="AI686" s="87"/>
      <c r="AJ686" s="87"/>
      <c r="AK686" s="87"/>
      <c r="AL686" s="87"/>
      <c r="AM686" s="87"/>
      <c r="AN686" s="87"/>
    </row>
    <row r="687" ht="16.5" customHeight="1">
      <c r="A687" s="87"/>
      <c r="B687" s="87"/>
      <c r="C687" s="87"/>
      <c r="D687" s="87"/>
      <c r="E687" s="87"/>
      <c r="F687" s="79"/>
      <c r="G687" s="87"/>
      <c r="H687" s="92"/>
      <c r="I687" s="87"/>
      <c r="J687" s="87"/>
      <c r="K687" s="89"/>
      <c r="L687" s="87"/>
      <c r="M687" s="87"/>
      <c r="N687" s="87"/>
      <c r="O687" s="87"/>
      <c r="P687" s="87"/>
      <c r="Q687" s="87"/>
      <c r="R687" s="87"/>
      <c r="S687" s="87"/>
      <c r="T687" s="87"/>
      <c r="U687" s="87"/>
      <c r="V687" s="87"/>
      <c r="W687" s="87"/>
      <c r="X687" s="87"/>
      <c r="Y687" s="87"/>
      <c r="Z687" s="87"/>
      <c r="AA687" s="87"/>
      <c r="AB687" s="87"/>
      <c r="AC687" s="87"/>
      <c r="AD687" s="87"/>
      <c r="AE687" s="87"/>
      <c r="AF687" s="87"/>
      <c r="AG687" s="87"/>
      <c r="AH687" s="87"/>
      <c r="AI687" s="87"/>
      <c r="AJ687" s="87"/>
      <c r="AK687" s="87"/>
      <c r="AL687" s="87"/>
      <c r="AM687" s="87"/>
      <c r="AN687" s="87"/>
    </row>
    <row r="688" ht="16.5" customHeight="1">
      <c r="A688" s="87"/>
      <c r="B688" s="87"/>
      <c r="C688" s="87"/>
      <c r="D688" s="87"/>
      <c r="E688" s="87"/>
      <c r="F688" s="79"/>
      <c r="G688" s="87"/>
      <c r="H688" s="92"/>
      <c r="I688" s="87"/>
      <c r="J688" s="87"/>
      <c r="K688" s="89"/>
      <c r="L688" s="87"/>
      <c r="M688" s="87"/>
      <c r="N688" s="87"/>
      <c r="O688" s="87"/>
      <c r="P688" s="87"/>
      <c r="Q688" s="87"/>
      <c r="R688" s="87"/>
      <c r="S688" s="87"/>
      <c r="T688" s="87"/>
      <c r="U688" s="87"/>
      <c r="V688" s="87"/>
      <c r="W688" s="87"/>
      <c r="X688" s="87"/>
      <c r="Y688" s="87"/>
      <c r="Z688" s="87"/>
      <c r="AA688" s="87"/>
      <c r="AB688" s="87"/>
      <c r="AC688" s="87"/>
      <c r="AD688" s="87"/>
      <c r="AE688" s="87"/>
      <c r="AF688" s="87"/>
      <c r="AG688" s="87"/>
      <c r="AH688" s="87"/>
      <c r="AI688" s="87"/>
      <c r="AJ688" s="87"/>
      <c r="AK688" s="87"/>
      <c r="AL688" s="87"/>
      <c r="AM688" s="87"/>
      <c r="AN688" s="87"/>
    </row>
    <row r="689" ht="16.5" customHeight="1">
      <c r="A689" s="87"/>
      <c r="B689" s="87"/>
      <c r="C689" s="87"/>
      <c r="D689" s="87"/>
      <c r="E689" s="87"/>
      <c r="F689" s="79"/>
      <c r="G689" s="87"/>
      <c r="H689" s="92"/>
      <c r="I689" s="87"/>
      <c r="J689" s="87"/>
      <c r="K689" s="89"/>
      <c r="L689" s="87"/>
      <c r="M689" s="87"/>
      <c r="N689" s="87"/>
      <c r="O689" s="87"/>
      <c r="P689" s="87"/>
      <c r="Q689" s="87"/>
      <c r="R689" s="87"/>
      <c r="S689" s="87"/>
      <c r="T689" s="87"/>
      <c r="U689" s="87"/>
      <c r="V689" s="87"/>
      <c r="W689" s="87"/>
      <c r="X689" s="87"/>
      <c r="Y689" s="87"/>
      <c r="Z689" s="87"/>
      <c r="AA689" s="87"/>
      <c r="AB689" s="87"/>
      <c r="AC689" s="87"/>
      <c r="AD689" s="87"/>
      <c r="AE689" s="87"/>
      <c r="AF689" s="87"/>
      <c r="AG689" s="87"/>
      <c r="AH689" s="87"/>
      <c r="AI689" s="87"/>
      <c r="AJ689" s="87"/>
      <c r="AK689" s="87"/>
      <c r="AL689" s="87"/>
      <c r="AM689" s="87"/>
      <c r="AN689" s="87"/>
    </row>
    <row r="690" ht="16.5" customHeight="1">
      <c r="A690" s="87"/>
      <c r="B690" s="87"/>
      <c r="C690" s="87"/>
      <c r="D690" s="87"/>
      <c r="E690" s="87"/>
      <c r="F690" s="79"/>
      <c r="G690" s="87"/>
      <c r="H690" s="92"/>
      <c r="I690" s="87"/>
      <c r="J690" s="87"/>
      <c r="K690" s="89"/>
      <c r="L690" s="87"/>
      <c r="M690" s="87"/>
      <c r="N690" s="87"/>
      <c r="O690" s="87"/>
      <c r="P690" s="87"/>
      <c r="Q690" s="87"/>
      <c r="R690" s="87"/>
      <c r="S690" s="87"/>
      <c r="T690" s="87"/>
      <c r="U690" s="87"/>
      <c r="V690" s="87"/>
      <c r="W690" s="87"/>
      <c r="X690" s="87"/>
      <c r="Y690" s="87"/>
      <c r="Z690" s="87"/>
      <c r="AA690" s="87"/>
      <c r="AB690" s="87"/>
      <c r="AC690" s="87"/>
      <c r="AD690" s="87"/>
      <c r="AE690" s="87"/>
      <c r="AF690" s="87"/>
      <c r="AG690" s="87"/>
      <c r="AH690" s="87"/>
      <c r="AI690" s="87"/>
      <c r="AJ690" s="87"/>
      <c r="AK690" s="87"/>
      <c r="AL690" s="87"/>
      <c r="AM690" s="87"/>
      <c r="AN690" s="87"/>
    </row>
    <row r="691" ht="16.5" customHeight="1">
      <c r="A691" s="87"/>
      <c r="B691" s="87"/>
      <c r="C691" s="87"/>
      <c r="D691" s="87"/>
      <c r="E691" s="87"/>
      <c r="F691" s="79"/>
      <c r="G691" s="87"/>
      <c r="H691" s="92"/>
      <c r="I691" s="87"/>
      <c r="J691" s="87"/>
      <c r="K691" s="89"/>
      <c r="L691" s="87"/>
      <c r="M691" s="87"/>
      <c r="N691" s="87"/>
      <c r="O691" s="87"/>
      <c r="P691" s="87"/>
      <c r="Q691" s="87"/>
      <c r="R691" s="87"/>
      <c r="S691" s="87"/>
      <c r="T691" s="87"/>
      <c r="U691" s="87"/>
      <c r="V691" s="87"/>
      <c r="W691" s="87"/>
      <c r="X691" s="87"/>
      <c r="Y691" s="87"/>
      <c r="Z691" s="87"/>
      <c r="AA691" s="87"/>
      <c r="AB691" s="87"/>
      <c r="AC691" s="87"/>
      <c r="AD691" s="87"/>
      <c r="AE691" s="87"/>
      <c r="AF691" s="87"/>
      <c r="AG691" s="87"/>
      <c r="AH691" s="87"/>
      <c r="AI691" s="87"/>
      <c r="AJ691" s="87"/>
      <c r="AK691" s="87"/>
      <c r="AL691" s="87"/>
      <c r="AM691" s="87"/>
      <c r="AN691" s="87"/>
    </row>
    <row r="692" ht="16.5" customHeight="1">
      <c r="A692" s="87"/>
      <c r="B692" s="87"/>
      <c r="C692" s="87"/>
      <c r="D692" s="87"/>
      <c r="E692" s="87"/>
      <c r="F692" s="79"/>
      <c r="G692" s="87"/>
      <c r="H692" s="92"/>
      <c r="I692" s="87"/>
      <c r="J692" s="87"/>
      <c r="K692" s="89"/>
      <c r="L692" s="87"/>
      <c r="M692" s="87"/>
      <c r="N692" s="87"/>
      <c r="O692" s="87"/>
      <c r="P692" s="87"/>
      <c r="Q692" s="87"/>
      <c r="R692" s="87"/>
      <c r="S692" s="87"/>
      <c r="T692" s="87"/>
      <c r="U692" s="87"/>
      <c r="V692" s="87"/>
      <c r="W692" s="87"/>
      <c r="X692" s="87"/>
      <c r="Y692" s="87"/>
      <c r="Z692" s="87"/>
      <c r="AA692" s="87"/>
      <c r="AB692" s="87"/>
      <c r="AC692" s="87"/>
      <c r="AD692" s="87"/>
      <c r="AE692" s="87"/>
      <c r="AF692" s="87"/>
      <c r="AG692" s="87"/>
      <c r="AH692" s="87"/>
      <c r="AI692" s="87"/>
      <c r="AJ692" s="87"/>
      <c r="AK692" s="87"/>
      <c r="AL692" s="87"/>
      <c r="AM692" s="87"/>
      <c r="AN692" s="87"/>
    </row>
    <row r="693" ht="16.5" customHeight="1">
      <c r="A693" s="87"/>
      <c r="B693" s="87"/>
      <c r="C693" s="87"/>
      <c r="D693" s="87"/>
      <c r="E693" s="87"/>
      <c r="F693" s="79"/>
      <c r="G693" s="87"/>
      <c r="H693" s="92"/>
      <c r="I693" s="87"/>
      <c r="J693" s="87"/>
      <c r="K693" s="89"/>
      <c r="L693" s="87"/>
      <c r="M693" s="87"/>
      <c r="N693" s="87"/>
      <c r="O693" s="87"/>
      <c r="P693" s="87"/>
      <c r="Q693" s="87"/>
      <c r="R693" s="87"/>
      <c r="S693" s="87"/>
      <c r="T693" s="87"/>
      <c r="U693" s="87"/>
      <c r="V693" s="87"/>
      <c r="W693" s="87"/>
      <c r="X693" s="87"/>
      <c r="Y693" s="87"/>
      <c r="Z693" s="87"/>
      <c r="AA693" s="87"/>
      <c r="AB693" s="87"/>
      <c r="AC693" s="87"/>
      <c r="AD693" s="87"/>
      <c r="AE693" s="87"/>
      <c r="AF693" s="87"/>
      <c r="AG693" s="87"/>
      <c r="AH693" s="87"/>
      <c r="AI693" s="87"/>
      <c r="AJ693" s="87"/>
      <c r="AK693" s="87"/>
      <c r="AL693" s="87"/>
      <c r="AM693" s="87"/>
      <c r="AN693" s="87"/>
    </row>
    <row r="694" ht="16.5" customHeight="1">
      <c r="A694" s="87"/>
      <c r="B694" s="87"/>
      <c r="C694" s="87"/>
      <c r="D694" s="87"/>
      <c r="E694" s="87"/>
      <c r="F694" s="79"/>
      <c r="G694" s="87"/>
      <c r="H694" s="92"/>
      <c r="I694" s="87"/>
      <c r="J694" s="87"/>
      <c r="K694" s="89"/>
      <c r="L694" s="87"/>
      <c r="M694" s="87"/>
      <c r="N694" s="87"/>
      <c r="O694" s="87"/>
      <c r="P694" s="87"/>
      <c r="Q694" s="87"/>
      <c r="R694" s="87"/>
      <c r="S694" s="87"/>
      <c r="T694" s="87"/>
      <c r="U694" s="87"/>
      <c r="V694" s="87"/>
      <c r="W694" s="87"/>
      <c r="X694" s="87"/>
      <c r="Y694" s="87"/>
      <c r="Z694" s="87"/>
      <c r="AA694" s="87"/>
      <c r="AB694" s="87"/>
      <c r="AC694" s="87"/>
      <c r="AD694" s="87"/>
      <c r="AE694" s="87"/>
      <c r="AF694" s="87"/>
      <c r="AG694" s="87"/>
      <c r="AH694" s="87"/>
      <c r="AI694" s="87"/>
      <c r="AJ694" s="87"/>
      <c r="AK694" s="87"/>
      <c r="AL694" s="87"/>
      <c r="AM694" s="87"/>
      <c r="AN694" s="87"/>
    </row>
    <row r="695" ht="16.5" customHeight="1">
      <c r="A695" s="87"/>
      <c r="B695" s="87"/>
      <c r="C695" s="87"/>
      <c r="D695" s="87"/>
      <c r="E695" s="87"/>
      <c r="F695" s="79"/>
      <c r="G695" s="87"/>
      <c r="H695" s="92"/>
      <c r="I695" s="87"/>
      <c r="J695" s="87"/>
      <c r="K695" s="89"/>
      <c r="L695" s="87"/>
      <c r="M695" s="87"/>
      <c r="N695" s="87"/>
      <c r="O695" s="87"/>
      <c r="P695" s="87"/>
      <c r="Q695" s="87"/>
      <c r="R695" s="87"/>
      <c r="S695" s="87"/>
      <c r="T695" s="87"/>
      <c r="U695" s="87"/>
      <c r="V695" s="87"/>
      <c r="W695" s="87"/>
      <c r="X695" s="87"/>
      <c r="Y695" s="87"/>
      <c r="Z695" s="87"/>
      <c r="AA695" s="87"/>
      <c r="AB695" s="87"/>
      <c r="AC695" s="87"/>
      <c r="AD695" s="87"/>
      <c r="AE695" s="87"/>
      <c r="AF695" s="87"/>
      <c r="AG695" s="87"/>
      <c r="AH695" s="87"/>
      <c r="AI695" s="87"/>
      <c r="AJ695" s="87"/>
      <c r="AK695" s="87"/>
      <c r="AL695" s="87"/>
      <c r="AM695" s="87"/>
      <c r="AN695" s="87"/>
    </row>
    <row r="696" ht="16.5" customHeight="1">
      <c r="A696" s="87"/>
      <c r="B696" s="87"/>
      <c r="C696" s="87"/>
      <c r="D696" s="87"/>
      <c r="E696" s="87"/>
      <c r="F696" s="79"/>
      <c r="G696" s="87"/>
      <c r="H696" s="92"/>
      <c r="I696" s="87"/>
      <c r="J696" s="87"/>
      <c r="K696" s="89"/>
      <c r="L696" s="87"/>
      <c r="M696" s="87"/>
      <c r="N696" s="87"/>
      <c r="O696" s="87"/>
      <c r="P696" s="87"/>
      <c r="Q696" s="87"/>
      <c r="R696" s="87"/>
      <c r="S696" s="87"/>
      <c r="T696" s="87"/>
      <c r="U696" s="87"/>
      <c r="V696" s="87"/>
      <c r="W696" s="87"/>
      <c r="X696" s="87"/>
      <c r="Y696" s="87"/>
      <c r="Z696" s="87"/>
      <c r="AA696" s="87"/>
      <c r="AB696" s="87"/>
      <c r="AC696" s="87"/>
      <c r="AD696" s="87"/>
      <c r="AE696" s="87"/>
      <c r="AF696" s="87"/>
      <c r="AG696" s="87"/>
      <c r="AH696" s="87"/>
      <c r="AI696" s="87"/>
      <c r="AJ696" s="87"/>
      <c r="AK696" s="87"/>
      <c r="AL696" s="87"/>
      <c r="AM696" s="87"/>
      <c r="AN696" s="87"/>
    </row>
    <row r="697" ht="16.5" customHeight="1">
      <c r="A697" s="87"/>
      <c r="B697" s="87"/>
      <c r="C697" s="87"/>
      <c r="D697" s="87"/>
      <c r="E697" s="87"/>
      <c r="F697" s="79"/>
      <c r="G697" s="87"/>
      <c r="H697" s="92"/>
      <c r="I697" s="87"/>
      <c r="J697" s="87"/>
      <c r="K697" s="89"/>
      <c r="L697" s="87"/>
      <c r="M697" s="87"/>
      <c r="N697" s="87"/>
      <c r="O697" s="87"/>
      <c r="P697" s="87"/>
      <c r="Q697" s="87"/>
      <c r="R697" s="87"/>
      <c r="S697" s="87"/>
      <c r="T697" s="87"/>
      <c r="U697" s="87"/>
      <c r="V697" s="87"/>
      <c r="W697" s="87"/>
      <c r="X697" s="87"/>
      <c r="Y697" s="87"/>
      <c r="Z697" s="87"/>
      <c r="AA697" s="87"/>
      <c r="AB697" s="87"/>
      <c r="AC697" s="87"/>
      <c r="AD697" s="87"/>
      <c r="AE697" s="87"/>
      <c r="AF697" s="87"/>
      <c r="AG697" s="87"/>
      <c r="AH697" s="87"/>
      <c r="AI697" s="87"/>
      <c r="AJ697" s="87"/>
      <c r="AK697" s="87"/>
      <c r="AL697" s="87"/>
      <c r="AM697" s="87"/>
      <c r="AN697" s="87"/>
    </row>
    <row r="698" ht="16.5" customHeight="1">
      <c r="A698" s="87"/>
      <c r="B698" s="87"/>
      <c r="C698" s="87"/>
      <c r="D698" s="87"/>
      <c r="E698" s="87"/>
      <c r="F698" s="79"/>
      <c r="G698" s="87"/>
      <c r="H698" s="92"/>
      <c r="I698" s="87"/>
      <c r="J698" s="87"/>
      <c r="K698" s="89"/>
      <c r="L698" s="87"/>
      <c r="M698" s="87"/>
      <c r="N698" s="87"/>
      <c r="O698" s="87"/>
      <c r="P698" s="87"/>
      <c r="Q698" s="87"/>
      <c r="R698" s="87"/>
      <c r="S698" s="87"/>
      <c r="T698" s="87"/>
      <c r="U698" s="87"/>
      <c r="V698" s="87"/>
      <c r="W698" s="87"/>
      <c r="X698" s="87"/>
      <c r="Y698" s="87"/>
      <c r="Z698" s="87"/>
      <c r="AA698" s="87"/>
      <c r="AB698" s="87"/>
      <c r="AC698" s="87"/>
      <c r="AD698" s="87"/>
      <c r="AE698" s="87"/>
      <c r="AF698" s="87"/>
      <c r="AG698" s="87"/>
      <c r="AH698" s="87"/>
      <c r="AI698" s="87"/>
      <c r="AJ698" s="87"/>
      <c r="AK698" s="87"/>
      <c r="AL698" s="87"/>
      <c r="AM698" s="87"/>
      <c r="AN698" s="87"/>
    </row>
    <row r="699" ht="16.5" customHeight="1">
      <c r="A699" s="87"/>
      <c r="B699" s="87"/>
      <c r="C699" s="87"/>
      <c r="D699" s="87"/>
      <c r="E699" s="87"/>
      <c r="F699" s="79"/>
      <c r="G699" s="87"/>
      <c r="H699" s="92"/>
      <c r="I699" s="87"/>
      <c r="J699" s="87"/>
      <c r="K699" s="89"/>
      <c r="L699" s="87"/>
      <c r="M699" s="87"/>
      <c r="N699" s="87"/>
      <c r="O699" s="87"/>
      <c r="P699" s="87"/>
      <c r="Q699" s="87"/>
      <c r="R699" s="87"/>
      <c r="S699" s="87"/>
      <c r="T699" s="87"/>
      <c r="U699" s="87"/>
      <c r="V699" s="87"/>
      <c r="W699" s="87"/>
      <c r="X699" s="87"/>
      <c r="Y699" s="87"/>
      <c r="Z699" s="87"/>
      <c r="AA699" s="87"/>
      <c r="AB699" s="87"/>
      <c r="AC699" s="87"/>
      <c r="AD699" s="87"/>
      <c r="AE699" s="87"/>
      <c r="AF699" s="87"/>
      <c r="AG699" s="87"/>
      <c r="AH699" s="87"/>
      <c r="AI699" s="87"/>
      <c r="AJ699" s="87"/>
      <c r="AK699" s="87"/>
      <c r="AL699" s="87"/>
      <c r="AM699" s="87"/>
      <c r="AN699" s="87"/>
    </row>
    <row r="700" ht="16.5" customHeight="1">
      <c r="A700" s="87"/>
      <c r="B700" s="87"/>
      <c r="C700" s="87"/>
      <c r="D700" s="87"/>
      <c r="E700" s="87"/>
      <c r="F700" s="79"/>
      <c r="G700" s="87"/>
      <c r="H700" s="92"/>
      <c r="I700" s="87"/>
      <c r="J700" s="87"/>
      <c r="K700" s="89"/>
      <c r="L700" s="87"/>
      <c r="M700" s="87"/>
      <c r="N700" s="87"/>
      <c r="O700" s="87"/>
      <c r="P700" s="87"/>
      <c r="Q700" s="87"/>
      <c r="R700" s="87"/>
      <c r="S700" s="87"/>
      <c r="T700" s="87"/>
      <c r="U700" s="87"/>
      <c r="V700" s="87"/>
      <c r="W700" s="87"/>
      <c r="X700" s="87"/>
      <c r="Y700" s="87"/>
      <c r="Z700" s="87"/>
      <c r="AA700" s="87"/>
      <c r="AB700" s="87"/>
      <c r="AC700" s="87"/>
      <c r="AD700" s="87"/>
      <c r="AE700" s="87"/>
      <c r="AF700" s="87"/>
      <c r="AG700" s="87"/>
      <c r="AH700" s="87"/>
      <c r="AI700" s="87"/>
      <c r="AJ700" s="87"/>
      <c r="AK700" s="87"/>
      <c r="AL700" s="87"/>
      <c r="AM700" s="87"/>
      <c r="AN700" s="87"/>
    </row>
    <row r="701" ht="16.5" customHeight="1">
      <c r="A701" s="87"/>
      <c r="B701" s="87"/>
      <c r="C701" s="87"/>
      <c r="D701" s="87"/>
      <c r="E701" s="87"/>
      <c r="F701" s="79"/>
      <c r="G701" s="87"/>
      <c r="H701" s="92"/>
      <c r="I701" s="87"/>
      <c r="J701" s="87"/>
      <c r="K701" s="89"/>
      <c r="L701" s="87"/>
      <c r="M701" s="87"/>
      <c r="N701" s="87"/>
      <c r="O701" s="87"/>
      <c r="P701" s="87"/>
      <c r="Q701" s="87"/>
      <c r="R701" s="87"/>
      <c r="S701" s="87"/>
      <c r="T701" s="87"/>
      <c r="U701" s="87"/>
      <c r="V701" s="87"/>
      <c r="W701" s="87"/>
      <c r="X701" s="87"/>
      <c r="Y701" s="87"/>
      <c r="Z701" s="87"/>
      <c r="AA701" s="87"/>
      <c r="AB701" s="87"/>
      <c r="AC701" s="87"/>
      <c r="AD701" s="87"/>
      <c r="AE701" s="87"/>
      <c r="AF701" s="87"/>
      <c r="AG701" s="87"/>
      <c r="AH701" s="87"/>
      <c r="AI701" s="87"/>
      <c r="AJ701" s="87"/>
      <c r="AK701" s="87"/>
      <c r="AL701" s="87"/>
      <c r="AM701" s="87"/>
      <c r="AN701" s="87"/>
    </row>
    <row r="702" ht="16.5" customHeight="1">
      <c r="A702" s="87"/>
      <c r="B702" s="87"/>
      <c r="C702" s="87"/>
      <c r="D702" s="87"/>
      <c r="E702" s="87"/>
      <c r="F702" s="79"/>
      <c r="G702" s="87"/>
      <c r="H702" s="92"/>
      <c r="I702" s="87"/>
      <c r="J702" s="87"/>
      <c r="K702" s="89"/>
      <c r="L702" s="87"/>
      <c r="M702" s="87"/>
      <c r="N702" s="87"/>
      <c r="O702" s="87"/>
      <c r="P702" s="87"/>
      <c r="Q702" s="87"/>
      <c r="R702" s="87"/>
      <c r="S702" s="87"/>
      <c r="T702" s="87"/>
      <c r="U702" s="87"/>
      <c r="V702" s="87"/>
      <c r="W702" s="87"/>
      <c r="X702" s="87"/>
      <c r="Y702" s="87"/>
      <c r="Z702" s="87"/>
      <c r="AA702" s="87"/>
      <c r="AB702" s="87"/>
      <c r="AC702" s="87"/>
      <c r="AD702" s="87"/>
      <c r="AE702" s="87"/>
      <c r="AF702" s="87"/>
      <c r="AG702" s="87"/>
      <c r="AH702" s="87"/>
      <c r="AI702" s="87"/>
      <c r="AJ702" s="87"/>
      <c r="AK702" s="87"/>
      <c r="AL702" s="87"/>
      <c r="AM702" s="87"/>
      <c r="AN702" s="87"/>
    </row>
    <row r="703" ht="16.5" customHeight="1">
      <c r="A703" s="87"/>
      <c r="B703" s="87"/>
      <c r="C703" s="87"/>
      <c r="D703" s="87"/>
      <c r="E703" s="87"/>
      <c r="F703" s="79"/>
      <c r="G703" s="87"/>
      <c r="H703" s="92"/>
      <c r="I703" s="87"/>
      <c r="J703" s="87"/>
      <c r="K703" s="89"/>
      <c r="L703" s="87"/>
      <c r="M703" s="87"/>
      <c r="N703" s="87"/>
      <c r="O703" s="87"/>
      <c r="P703" s="87"/>
      <c r="Q703" s="87"/>
      <c r="R703" s="87"/>
      <c r="S703" s="87"/>
      <c r="T703" s="87"/>
      <c r="U703" s="87"/>
      <c r="V703" s="87"/>
      <c r="W703" s="87"/>
      <c r="X703" s="87"/>
      <c r="Y703" s="87"/>
      <c r="Z703" s="87"/>
      <c r="AA703" s="87"/>
      <c r="AB703" s="87"/>
      <c r="AC703" s="87"/>
      <c r="AD703" s="87"/>
      <c r="AE703" s="87"/>
      <c r="AF703" s="87"/>
      <c r="AG703" s="87"/>
      <c r="AH703" s="87"/>
      <c r="AI703" s="87"/>
      <c r="AJ703" s="87"/>
      <c r="AK703" s="87"/>
      <c r="AL703" s="87"/>
      <c r="AM703" s="87"/>
      <c r="AN703" s="87"/>
    </row>
    <row r="704" ht="16.5" customHeight="1">
      <c r="A704" s="87"/>
      <c r="B704" s="87"/>
      <c r="C704" s="87"/>
      <c r="D704" s="87"/>
      <c r="E704" s="87"/>
      <c r="F704" s="79"/>
      <c r="G704" s="87"/>
      <c r="H704" s="92"/>
      <c r="I704" s="87"/>
      <c r="J704" s="87"/>
      <c r="K704" s="89"/>
      <c r="L704" s="87"/>
      <c r="M704" s="87"/>
      <c r="N704" s="87"/>
      <c r="O704" s="87"/>
      <c r="P704" s="87"/>
      <c r="Q704" s="87"/>
      <c r="R704" s="87"/>
      <c r="S704" s="87"/>
      <c r="T704" s="87"/>
      <c r="U704" s="87"/>
      <c r="V704" s="87"/>
      <c r="W704" s="87"/>
      <c r="X704" s="87"/>
      <c r="Y704" s="87"/>
      <c r="Z704" s="87"/>
      <c r="AA704" s="87"/>
      <c r="AB704" s="87"/>
      <c r="AC704" s="87"/>
      <c r="AD704" s="87"/>
      <c r="AE704" s="87"/>
      <c r="AF704" s="87"/>
      <c r="AG704" s="87"/>
      <c r="AH704" s="87"/>
      <c r="AI704" s="87"/>
      <c r="AJ704" s="87"/>
      <c r="AK704" s="87"/>
      <c r="AL704" s="87"/>
      <c r="AM704" s="87"/>
      <c r="AN704" s="87"/>
    </row>
    <row r="705" ht="16.5" customHeight="1">
      <c r="A705" s="87"/>
      <c r="B705" s="87"/>
      <c r="C705" s="87"/>
      <c r="D705" s="87"/>
      <c r="E705" s="87"/>
      <c r="F705" s="79"/>
      <c r="G705" s="87"/>
      <c r="H705" s="92"/>
      <c r="I705" s="87"/>
      <c r="J705" s="87"/>
      <c r="K705" s="89"/>
      <c r="L705" s="87"/>
      <c r="M705" s="87"/>
      <c r="N705" s="87"/>
      <c r="O705" s="87"/>
      <c r="P705" s="87"/>
      <c r="Q705" s="87"/>
      <c r="R705" s="87"/>
      <c r="S705" s="87"/>
      <c r="T705" s="87"/>
      <c r="U705" s="87"/>
      <c r="V705" s="87"/>
      <c r="W705" s="87"/>
      <c r="X705" s="87"/>
      <c r="Y705" s="87"/>
      <c r="Z705" s="87"/>
      <c r="AA705" s="87"/>
      <c r="AB705" s="87"/>
      <c r="AC705" s="87"/>
      <c r="AD705" s="87"/>
      <c r="AE705" s="87"/>
      <c r="AF705" s="87"/>
      <c r="AG705" s="87"/>
      <c r="AH705" s="87"/>
      <c r="AI705" s="87"/>
      <c r="AJ705" s="87"/>
      <c r="AK705" s="87"/>
      <c r="AL705" s="87"/>
      <c r="AM705" s="87"/>
      <c r="AN705" s="87"/>
    </row>
    <row r="706" ht="16.5" customHeight="1">
      <c r="A706" s="87"/>
      <c r="B706" s="87"/>
      <c r="C706" s="87"/>
      <c r="D706" s="87"/>
      <c r="E706" s="87"/>
      <c r="F706" s="79"/>
      <c r="G706" s="87"/>
      <c r="H706" s="92"/>
      <c r="I706" s="87"/>
      <c r="J706" s="87"/>
      <c r="K706" s="89"/>
      <c r="L706" s="87"/>
      <c r="M706" s="87"/>
      <c r="N706" s="87"/>
      <c r="O706" s="87"/>
      <c r="P706" s="87"/>
      <c r="Q706" s="87"/>
      <c r="R706" s="87"/>
      <c r="S706" s="87"/>
      <c r="T706" s="87"/>
      <c r="U706" s="87"/>
      <c r="V706" s="87"/>
      <c r="W706" s="87"/>
      <c r="X706" s="87"/>
      <c r="Y706" s="87"/>
      <c r="Z706" s="87"/>
      <c r="AA706" s="87"/>
      <c r="AB706" s="87"/>
      <c r="AC706" s="87"/>
      <c r="AD706" s="87"/>
      <c r="AE706" s="87"/>
      <c r="AF706" s="87"/>
      <c r="AG706" s="87"/>
      <c r="AH706" s="87"/>
      <c r="AI706" s="87"/>
      <c r="AJ706" s="87"/>
      <c r="AK706" s="87"/>
      <c r="AL706" s="87"/>
      <c r="AM706" s="87"/>
      <c r="AN706" s="87"/>
    </row>
    <row r="707" ht="16.5" customHeight="1">
      <c r="A707" s="87"/>
      <c r="B707" s="87"/>
      <c r="C707" s="87"/>
      <c r="D707" s="87"/>
      <c r="E707" s="87"/>
      <c r="F707" s="79"/>
      <c r="G707" s="87"/>
      <c r="H707" s="92"/>
      <c r="I707" s="87"/>
      <c r="J707" s="87"/>
      <c r="K707" s="89"/>
      <c r="L707" s="87"/>
      <c r="M707" s="87"/>
      <c r="N707" s="87"/>
      <c r="O707" s="87"/>
      <c r="P707" s="87"/>
      <c r="Q707" s="87"/>
      <c r="R707" s="87"/>
      <c r="S707" s="87"/>
      <c r="T707" s="87"/>
      <c r="U707" s="87"/>
      <c r="V707" s="87"/>
      <c r="W707" s="87"/>
      <c r="X707" s="87"/>
      <c r="Y707" s="87"/>
      <c r="Z707" s="87"/>
      <c r="AA707" s="87"/>
      <c r="AB707" s="87"/>
      <c r="AC707" s="87"/>
      <c r="AD707" s="87"/>
      <c r="AE707" s="87"/>
      <c r="AF707" s="87"/>
      <c r="AG707" s="87"/>
      <c r="AH707" s="87"/>
      <c r="AI707" s="87"/>
      <c r="AJ707" s="87"/>
      <c r="AK707" s="87"/>
      <c r="AL707" s="87"/>
      <c r="AM707" s="87"/>
      <c r="AN707" s="87"/>
    </row>
    <row r="708" ht="16.5" customHeight="1">
      <c r="A708" s="87"/>
      <c r="B708" s="87"/>
      <c r="C708" s="87"/>
      <c r="D708" s="87"/>
      <c r="E708" s="87"/>
      <c r="F708" s="79"/>
      <c r="G708" s="87"/>
      <c r="H708" s="92"/>
      <c r="I708" s="87"/>
      <c r="J708" s="87"/>
      <c r="K708" s="89"/>
      <c r="L708" s="87"/>
      <c r="M708" s="87"/>
      <c r="N708" s="87"/>
      <c r="O708" s="87"/>
      <c r="P708" s="87"/>
      <c r="Q708" s="87"/>
      <c r="R708" s="87"/>
      <c r="S708" s="87"/>
      <c r="T708" s="87"/>
      <c r="U708" s="87"/>
      <c r="V708" s="87"/>
      <c r="W708" s="87"/>
      <c r="X708" s="87"/>
      <c r="Y708" s="87"/>
      <c r="Z708" s="87"/>
      <c r="AA708" s="87"/>
      <c r="AB708" s="87"/>
      <c r="AC708" s="87"/>
      <c r="AD708" s="87"/>
      <c r="AE708" s="87"/>
      <c r="AF708" s="87"/>
      <c r="AG708" s="87"/>
      <c r="AH708" s="87"/>
      <c r="AI708" s="87"/>
      <c r="AJ708" s="87"/>
      <c r="AK708" s="87"/>
      <c r="AL708" s="87"/>
      <c r="AM708" s="87"/>
      <c r="AN708" s="87"/>
    </row>
    <row r="709" ht="16.5" customHeight="1">
      <c r="A709" s="87"/>
      <c r="B709" s="87"/>
      <c r="C709" s="87"/>
      <c r="D709" s="87"/>
      <c r="E709" s="87"/>
      <c r="F709" s="79"/>
      <c r="G709" s="87"/>
      <c r="H709" s="92"/>
      <c r="I709" s="87"/>
      <c r="J709" s="87"/>
      <c r="K709" s="89"/>
      <c r="L709" s="87"/>
      <c r="M709" s="87"/>
      <c r="N709" s="87"/>
      <c r="O709" s="87"/>
      <c r="P709" s="87"/>
      <c r="Q709" s="87"/>
      <c r="R709" s="87"/>
      <c r="S709" s="87"/>
      <c r="T709" s="87"/>
      <c r="U709" s="87"/>
      <c r="V709" s="87"/>
      <c r="W709" s="87"/>
      <c r="X709" s="87"/>
      <c r="Y709" s="87"/>
      <c r="Z709" s="87"/>
      <c r="AA709" s="87"/>
      <c r="AB709" s="87"/>
      <c r="AC709" s="87"/>
      <c r="AD709" s="87"/>
      <c r="AE709" s="87"/>
      <c r="AF709" s="87"/>
      <c r="AG709" s="87"/>
      <c r="AH709" s="87"/>
      <c r="AI709" s="87"/>
      <c r="AJ709" s="87"/>
      <c r="AK709" s="87"/>
      <c r="AL709" s="87"/>
      <c r="AM709" s="87"/>
      <c r="AN709" s="87"/>
    </row>
    <row r="710" ht="16.5" customHeight="1">
      <c r="A710" s="87"/>
      <c r="B710" s="87"/>
      <c r="C710" s="87"/>
      <c r="D710" s="87"/>
      <c r="E710" s="87"/>
      <c r="F710" s="79"/>
      <c r="G710" s="87"/>
      <c r="H710" s="92"/>
      <c r="I710" s="87"/>
      <c r="J710" s="87"/>
      <c r="K710" s="89"/>
      <c r="L710" s="87"/>
      <c r="M710" s="87"/>
      <c r="N710" s="87"/>
      <c r="O710" s="87"/>
      <c r="P710" s="87"/>
      <c r="Q710" s="87"/>
      <c r="R710" s="87"/>
      <c r="S710" s="87"/>
      <c r="T710" s="87"/>
      <c r="U710" s="87"/>
      <c r="V710" s="87"/>
      <c r="W710" s="87"/>
      <c r="X710" s="87"/>
      <c r="Y710" s="87"/>
      <c r="Z710" s="87"/>
      <c r="AA710" s="87"/>
      <c r="AB710" s="87"/>
      <c r="AC710" s="87"/>
      <c r="AD710" s="87"/>
      <c r="AE710" s="87"/>
      <c r="AF710" s="87"/>
      <c r="AG710" s="87"/>
      <c r="AH710" s="87"/>
      <c r="AI710" s="87"/>
      <c r="AJ710" s="87"/>
      <c r="AK710" s="87"/>
      <c r="AL710" s="87"/>
      <c r="AM710" s="87"/>
      <c r="AN710" s="87"/>
    </row>
    <row r="711" ht="16.5" customHeight="1">
      <c r="A711" s="87"/>
      <c r="B711" s="87"/>
      <c r="C711" s="87"/>
      <c r="D711" s="87"/>
      <c r="E711" s="87"/>
      <c r="F711" s="79"/>
      <c r="G711" s="87"/>
      <c r="H711" s="92"/>
      <c r="I711" s="87"/>
      <c r="J711" s="87"/>
      <c r="K711" s="89"/>
      <c r="L711" s="87"/>
      <c r="M711" s="87"/>
      <c r="N711" s="87"/>
      <c r="O711" s="87"/>
      <c r="P711" s="87"/>
      <c r="Q711" s="87"/>
      <c r="R711" s="87"/>
      <c r="S711" s="87"/>
      <c r="T711" s="87"/>
      <c r="U711" s="87"/>
      <c r="V711" s="87"/>
      <c r="W711" s="87"/>
      <c r="X711" s="87"/>
      <c r="Y711" s="87"/>
      <c r="Z711" s="87"/>
      <c r="AA711" s="87"/>
      <c r="AB711" s="87"/>
      <c r="AC711" s="87"/>
      <c r="AD711" s="87"/>
      <c r="AE711" s="87"/>
      <c r="AF711" s="87"/>
      <c r="AG711" s="87"/>
      <c r="AH711" s="87"/>
      <c r="AI711" s="87"/>
      <c r="AJ711" s="87"/>
      <c r="AK711" s="87"/>
      <c r="AL711" s="87"/>
      <c r="AM711" s="87"/>
      <c r="AN711" s="87"/>
    </row>
    <row r="712" ht="16.5" customHeight="1">
      <c r="A712" s="87"/>
      <c r="B712" s="87"/>
      <c r="C712" s="87"/>
      <c r="D712" s="87"/>
      <c r="E712" s="87"/>
      <c r="F712" s="79"/>
      <c r="G712" s="87"/>
      <c r="H712" s="92"/>
      <c r="I712" s="87"/>
      <c r="J712" s="87"/>
      <c r="K712" s="89"/>
      <c r="L712" s="87"/>
      <c r="M712" s="87"/>
      <c r="N712" s="87"/>
      <c r="O712" s="87"/>
      <c r="P712" s="87"/>
      <c r="Q712" s="87"/>
      <c r="R712" s="87"/>
      <c r="S712" s="87"/>
      <c r="T712" s="87"/>
      <c r="U712" s="87"/>
      <c r="V712" s="87"/>
      <c r="W712" s="87"/>
      <c r="X712" s="87"/>
      <c r="Y712" s="87"/>
      <c r="Z712" s="87"/>
      <c r="AA712" s="87"/>
      <c r="AB712" s="87"/>
      <c r="AC712" s="87"/>
      <c r="AD712" s="87"/>
      <c r="AE712" s="87"/>
      <c r="AF712" s="87"/>
      <c r="AG712" s="87"/>
      <c r="AH712" s="87"/>
      <c r="AI712" s="87"/>
      <c r="AJ712" s="87"/>
      <c r="AK712" s="87"/>
      <c r="AL712" s="87"/>
      <c r="AM712" s="87"/>
      <c r="AN712" s="87"/>
    </row>
    <row r="713" ht="16.5" customHeight="1">
      <c r="A713" s="87"/>
      <c r="B713" s="87"/>
      <c r="C713" s="87"/>
      <c r="D713" s="87"/>
      <c r="E713" s="87"/>
      <c r="F713" s="79"/>
      <c r="G713" s="87"/>
      <c r="H713" s="92"/>
      <c r="I713" s="87"/>
      <c r="J713" s="87"/>
      <c r="K713" s="89"/>
      <c r="L713" s="87"/>
      <c r="M713" s="87"/>
      <c r="N713" s="87"/>
      <c r="O713" s="87"/>
      <c r="P713" s="87"/>
      <c r="Q713" s="87"/>
      <c r="R713" s="87"/>
      <c r="S713" s="87"/>
      <c r="T713" s="87"/>
      <c r="U713" s="87"/>
      <c r="V713" s="87"/>
      <c r="W713" s="87"/>
      <c r="X713" s="87"/>
      <c r="Y713" s="87"/>
      <c r="Z713" s="87"/>
      <c r="AA713" s="87"/>
      <c r="AB713" s="87"/>
      <c r="AC713" s="87"/>
      <c r="AD713" s="87"/>
      <c r="AE713" s="87"/>
      <c r="AF713" s="87"/>
      <c r="AG713" s="87"/>
      <c r="AH713" s="87"/>
      <c r="AI713" s="87"/>
      <c r="AJ713" s="87"/>
      <c r="AK713" s="87"/>
      <c r="AL713" s="87"/>
      <c r="AM713" s="87"/>
      <c r="AN713" s="87"/>
    </row>
    <row r="714" ht="16.5" customHeight="1">
      <c r="A714" s="87"/>
      <c r="B714" s="87"/>
      <c r="C714" s="87"/>
      <c r="D714" s="87"/>
      <c r="E714" s="87"/>
      <c r="F714" s="79"/>
      <c r="G714" s="87"/>
      <c r="H714" s="92"/>
      <c r="I714" s="87"/>
      <c r="J714" s="87"/>
      <c r="K714" s="89"/>
      <c r="L714" s="87"/>
      <c r="M714" s="87"/>
      <c r="N714" s="87"/>
      <c r="O714" s="87"/>
      <c r="P714" s="87"/>
      <c r="Q714" s="87"/>
      <c r="R714" s="87"/>
      <c r="S714" s="87"/>
      <c r="T714" s="87"/>
      <c r="U714" s="87"/>
      <c r="V714" s="87"/>
      <c r="W714" s="87"/>
      <c r="X714" s="87"/>
      <c r="Y714" s="87"/>
      <c r="Z714" s="87"/>
      <c r="AA714" s="87"/>
      <c r="AB714" s="87"/>
      <c r="AC714" s="87"/>
      <c r="AD714" s="87"/>
      <c r="AE714" s="87"/>
      <c r="AF714" s="87"/>
      <c r="AG714" s="87"/>
      <c r="AH714" s="87"/>
      <c r="AI714" s="87"/>
      <c r="AJ714" s="87"/>
      <c r="AK714" s="87"/>
      <c r="AL714" s="87"/>
      <c r="AM714" s="87"/>
      <c r="AN714" s="87"/>
    </row>
    <row r="715" ht="16.5" customHeight="1">
      <c r="A715" s="87"/>
      <c r="B715" s="87"/>
      <c r="C715" s="87"/>
      <c r="D715" s="87"/>
      <c r="E715" s="87"/>
      <c r="F715" s="79"/>
      <c r="G715" s="87"/>
      <c r="H715" s="92"/>
      <c r="I715" s="87"/>
      <c r="J715" s="87"/>
      <c r="K715" s="89"/>
      <c r="L715" s="87"/>
      <c r="M715" s="87"/>
      <c r="N715" s="87"/>
      <c r="O715" s="87"/>
      <c r="P715" s="87"/>
      <c r="Q715" s="87"/>
      <c r="R715" s="87"/>
      <c r="S715" s="87"/>
      <c r="T715" s="87"/>
      <c r="U715" s="87"/>
      <c r="V715" s="87"/>
      <c r="W715" s="87"/>
      <c r="X715" s="87"/>
      <c r="Y715" s="87"/>
      <c r="Z715" s="87"/>
      <c r="AA715" s="87"/>
      <c r="AB715" s="87"/>
      <c r="AC715" s="87"/>
      <c r="AD715" s="87"/>
      <c r="AE715" s="87"/>
      <c r="AF715" s="87"/>
      <c r="AG715" s="87"/>
      <c r="AH715" s="87"/>
      <c r="AI715" s="87"/>
      <c r="AJ715" s="87"/>
      <c r="AK715" s="87"/>
      <c r="AL715" s="87"/>
      <c r="AM715" s="87"/>
      <c r="AN715" s="87"/>
    </row>
    <row r="716" ht="16.5" customHeight="1">
      <c r="A716" s="87"/>
      <c r="B716" s="87"/>
      <c r="C716" s="87"/>
      <c r="D716" s="87"/>
      <c r="E716" s="87"/>
      <c r="F716" s="79"/>
      <c r="G716" s="87"/>
      <c r="H716" s="92"/>
      <c r="I716" s="87"/>
      <c r="J716" s="87"/>
      <c r="K716" s="89"/>
      <c r="L716" s="87"/>
      <c r="M716" s="87"/>
      <c r="N716" s="87"/>
      <c r="O716" s="87"/>
      <c r="P716" s="87"/>
      <c r="Q716" s="87"/>
      <c r="R716" s="87"/>
      <c r="S716" s="87"/>
      <c r="T716" s="87"/>
      <c r="U716" s="87"/>
      <c r="V716" s="87"/>
      <c r="W716" s="87"/>
      <c r="X716" s="87"/>
      <c r="Y716" s="87"/>
      <c r="Z716" s="87"/>
      <c r="AA716" s="87"/>
      <c r="AB716" s="87"/>
      <c r="AC716" s="87"/>
      <c r="AD716" s="87"/>
      <c r="AE716" s="87"/>
      <c r="AF716" s="87"/>
      <c r="AG716" s="87"/>
      <c r="AH716" s="87"/>
      <c r="AI716" s="87"/>
      <c r="AJ716" s="87"/>
      <c r="AK716" s="87"/>
      <c r="AL716" s="87"/>
      <c r="AM716" s="87"/>
      <c r="AN716" s="87"/>
    </row>
    <row r="717" ht="16.5" customHeight="1">
      <c r="A717" s="87"/>
      <c r="B717" s="87"/>
      <c r="C717" s="87"/>
      <c r="D717" s="87"/>
      <c r="E717" s="87"/>
      <c r="F717" s="79"/>
      <c r="G717" s="87"/>
      <c r="H717" s="92"/>
      <c r="I717" s="87"/>
      <c r="J717" s="87"/>
      <c r="K717" s="89"/>
      <c r="L717" s="87"/>
      <c r="M717" s="87"/>
      <c r="N717" s="87"/>
      <c r="O717" s="87"/>
      <c r="P717" s="87"/>
      <c r="Q717" s="87"/>
      <c r="R717" s="87"/>
      <c r="S717" s="87"/>
      <c r="T717" s="87"/>
      <c r="U717" s="87"/>
      <c r="V717" s="87"/>
      <c r="W717" s="87"/>
      <c r="X717" s="87"/>
      <c r="Y717" s="87"/>
      <c r="Z717" s="87"/>
      <c r="AA717" s="87"/>
      <c r="AB717" s="87"/>
      <c r="AC717" s="87"/>
      <c r="AD717" s="87"/>
      <c r="AE717" s="87"/>
      <c r="AF717" s="87"/>
      <c r="AG717" s="87"/>
      <c r="AH717" s="87"/>
      <c r="AI717" s="87"/>
      <c r="AJ717" s="87"/>
      <c r="AK717" s="87"/>
      <c r="AL717" s="87"/>
      <c r="AM717" s="87"/>
      <c r="AN717" s="87"/>
    </row>
    <row r="718" ht="16.5" customHeight="1">
      <c r="A718" s="87"/>
      <c r="B718" s="87"/>
      <c r="C718" s="87"/>
      <c r="D718" s="87"/>
      <c r="E718" s="87"/>
      <c r="F718" s="79"/>
      <c r="G718" s="87"/>
      <c r="H718" s="92"/>
      <c r="I718" s="87"/>
      <c r="J718" s="87"/>
      <c r="K718" s="89"/>
      <c r="L718" s="87"/>
      <c r="M718" s="87"/>
      <c r="N718" s="87"/>
      <c r="O718" s="87"/>
      <c r="P718" s="87"/>
      <c r="Q718" s="87"/>
      <c r="R718" s="87"/>
      <c r="S718" s="87"/>
      <c r="T718" s="87"/>
      <c r="U718" s="87"/>
      <c r="V718" s="87"/>
      <c r="W718" s="87"/>
      <c r="X718" s="87"/>
      <c r="Y718" s="87"/>
      <c r="Z718" s="87"/>
      <c r="AA718" s="87"/>
      <c r="AB718" s="87"/>
      <c r="AC718" s="87"/>
      <c r="AD718" s="87"/>
      <c r="AE718" s="87"/>
      <c r="AF718" s="87"/>
      <c r="AG718" s="87"/>
      <c r="AH718" s="87"/>
      <c r="AI718" s="87"/>
      <c r="AJ718" s="87"/>
      <c r="AK718" s="87"/>
      <c r="AL718" s="87"/>
      <c r="AM718" s="87"/>
      <c r="AN718" s="87"/>
    </row>
    <row r="719" ht="16.5" customHeight="1">
      <c r="A719" s="87"/>
      <c r="B719" s="87"/>
      <c r="C719" s="87"/>
      <c r="D719" s="87"/>
      <c r="E719" s="87"/>
      <c r="F719" s="79"/>
      <c r="G719" s="87"/>
      <c r="H719" s="92"/>
      <c r="I719" s="87"/>
      <c r="J719" s="87"/>
      <c r="K719" s="89"/>
      <c r="L719" s="87"/>
      <c r="M719" s="87"/>
      <c r="N719" s="87"/>
      <c r="O719" s="87"/>
      <c r="P719" s="87"/>
      <c r="Q719" s="87"/>
      <c r="R719" s="87"/>
      <c r="S719" s="87"/>
      <c r="T719" s="87"/>
      <c r="U719" s="87"/>
      <c r="V719" s="87"/>
      <c r="W719" s="87"/>
      <c r="X719" s="87"/>
      <c r="Y719" s="87"/>
      <c r="Z719" s="87"/>
      <c r="AA719" s="87"/>
      <c r="AB719" s="87"/>
      <c r="AC719" s="87"/>
      <c r="AD719" s="87"/>
      <c r="AE719" s="87"/>
      <c r="AF719" s="87"/>
      <c r="AG719" s="87"/>
      <c r="AH719" s="87"/>
      <c r="AI719" s="87"/>
      <c r="AJ719" s="87"/>
      <c r="AK719" s="87"/>
      <c r="AL719" s="87"/>
      <c r="AM719" s="87"/>
      <c r="AN719" s="87"/>
    </row>
    <row r="720" ht="16.5" customHeight="1">
      <c r="A720" s="87"/>
      <c r="B720" s="87"/>
      <c r="C720" s="87"/>
      <c r="D720" s="87"/>
      <c r="E720" s="87"/>
      <c r="F720" s="79"/>
      <c r="G720" s="87"/>
      <c r="H720" s="92"/>
      <c r="I720" s="87"/>
      <c r="J720" s="87"/>
      <c r="K720" s="89"/>
      <c r="L720" s="87"/>
      <c r="M720" s="87"/>
      <c r="N720" s="87"/>
      <c r="O720" s="87"/>
      <c r="P720" s="87"/>
      <c r="Q720" s="87"/>
      <c r="R720" s="87"/>
      <c r="S720" s="87"/>
      <c r="T720" s="87"/>
      <c r="U720" s="87"/>
      <c r="V720" s="87"/>
      <c r="W720" s="87"/>
      <c r="X720" s="87"/>
      <c r="Y720" s="87"/>
      <c r="Z720" s="87"/>
      <c r="AA720" s="87"/>
      <c r="AB720" s="87"/>
      <c r="AC720" s="87"/>
      <c r="AD720" s="87"/>
      <c r="AE720" s="87"/>
      <c r="AF720" s="87"/>
      <c r="AG720" s="87"/>
      <c r="AH720" s="87"/>
      <c r="AI720" s="87"/>
      <c r="AJ720" s="87"/>
      <c r="AK720" s="87"/>
      <c r="AL720" s="87"/>
      <c r="AM720" s="87"/>
      <c r="AN720" s="87"/>
    </row>
    <row r="721" ht="16.5" customHeight="1">
      <c r="A721" s="87"/>
      <c r="B721" s="87"/>
      <c r="C721" s="87"/>
      <c r="D721" s="87"/>
      <c r="E721" s="87"/>
      <c r="F721" s="79"/>
      <c r="G721" s="87"/>
      <c r="H721" s="92"/>
      <c r="I721" s="87"/>
      <c r="J721" s="87"/>
      <c r="K721" s="89"/>
      <c r="L721" s="87"/>
      <c r="M721" s="87"/>
      <c r="N721" s="87"/>
      <c r="O721" s="87"/>
      <c r="P721" s="87"/>
      <c r="Q721" s="87"/>
      <c r="R721" s="87"/>
      <c r="S721" s="87"/>
      <c r="T721" s="87"/>
      <c r="U721" s="87"/>
      <c r="V721" s="87"/>
      <c r="W721" s="87"/>
      <c r="X721" s="87"/>
      <c r="Y721" s="87"/>
      <c r="Z721" s="87"/>
      <c r="AA721" s="87"/>
      <c r="AB721" s="87"/>
      <c r="AC721" s="87"/>
      <c r="AD721" s="87"/>
      <c r="AE721" s="87"/>
      <c r="AF721" s="87"/>
      <c r="AG721" s="87"/>
      <c r="AH721" s="87"/>
      <c r="AI721" s="87"/>
      <c r="AJ721" s="87"/>
      <c r="AK721" s="87"/>
      <c r="AL721" s="87"/>
      <c r="AM721" s="87"/>
      <c r="AN721" s="87"/>
    </row>
    <row r="722" ht="16.5" customHeight="1">
      <c r="A722" s="87"/>
      <c r="B722" s="87"/>
      <c r="C722" s="87"/>
      <c r="D722" s="87"/>
      <c r="E722" s="87"/>
      <c r="F722" s="79"/>
      <c r="G722" s="87"/>
      <c r="H722" s="92"/>
      <c r="I722" s="87"/>
      <c r="J722" s="87"/>
      <c r="K722" s="89"/>
      <c r="L722" s="87"/>
      <c r="M722" s="87"/>
      <c r="N722" s="87"/>
      <c r="O722" s="87"/>
      <c r="P722" s="87"/>
      <c r="Q722" s="87"/>
      <c r="R722" s="87"/>
      <c r="S722" s="87"/>
      <c r="T722" s="87"/>
      <c r="U722" s="87"/>
      <c r="V722" s="87"/>
      <c r="W722" s="87"/>
      <c r="X722" s="87"/>
      <c r="Y722" s="87"/>
      <c r="Z722" s="87"/>
      <c r="AA722" s="87"/>
      <c r="AB722" s="87"/>
      <c r="AC722" s="87"/>
      <c r="AD722" s="87"/>
      <c r="AE722" s="87"/>
      <c r="AF722" s="87"/>
      <c r="AG722" s="87"/>
      <c r="AH722" s="87"/>
      <c r="AI722" s="87"/>
      <c r="AJ722" s="87"/>
      <c r="AK722" s="87"/>
      <c r="AL722" s="87"/>
      <c r="AM722" s="87"/>
      <c r="AN722" s="87"/>
    </row>
    <row r="723" ht="16.5" customHeight="1">
      <c r="A723" s="87"/>
      <c r="B723" s="87"/>
      <c r="C723" s="87"/>
      <c r="D723" s="87"/>
      <c r="E723" s="87"/>
      <c r="F723" s="79"/>
      <c r="G723" s="87"/>
      <c r="H723" s="92"/>
      <c r="I723" s="87"/>
      <c r="J723" s="87"/>
      <c r="K723" s="89"/>
      <c r="L723" s="87"/>
      <c r="M723" s="87"/>
      <c r="N723" s="87"/>
      <c r="O723" s="87"/>
      <c r="P723" s="87"/>
      <c r="Q723" s="87"/>
      <c r="R723" s="87"/>
      <c r="S723" s="87"/>
      <c r="T723" s="87"/>
      <c r="U723" s="87"/>
      <c r="V723" s="87"/>
      <c r="W723" s="87"/>
      <c r="X723" s="87"/>
      <c r="Y723" s="87"/>
      <c r="Z723" s="87"/>
      <c r="AA723" s="87"/>
      <c r="AB723" s="87"/>
      <c r="AC723" s="87"/>
      <c r="AD723" s="87"/>
      <c r="AE723" s="87"/>
      <c r="AF723" s="87"/>
      <c r="AG723" s="87"/>
      <c r="AH723" s="87"/>
      <c r="AI723" s="87"/>
      <c r="AJ723" s="87"/>
      <c r="AK723" s="87"/>
      <c r="AL723" s="87"/>
      <c r="AM723" s="87"/>
      <c r="AN723" s="87"/>
    </row>
    <row r="724" ht="16.5" customHeight="1">
      <c r="A724" s="87"/>
      <c r="B724" s="87"/>
      <c r="C724" s="87"/>
      <c r="D724" s="87"/>
      <c r="E724" s="87"/>
      <c r="F724" s="79"/>
      <c r="G724" s="87"/>
      <c r="H724" s="92"/>
      <c r="I724" s="87"/>
      <c r="J724" s="87"/>
      <c r="K724" s="89"/>
      <c r="L724" s="87"/>
      <c r="M724" s="87"/>
      <c r="N724" s="87"/>
      <c r="O724" s="87"/>
      <c r="P724" s="87"/>
      <c r="Q724" s="87"/>
      <c r="R724" s="87"/>
      <c r="S724" s="87"/>
      <c r="T724" s="87"/>
      <c r="U724" s="87"/>
      <c r="V724" s="87"/>
      <c r="W724" s="87"/>
      <c r="X724" s="87"/>
      <c r="Y724" s="87"/>
      <c r="Z724" s="87"/>
      <c r="AA724" s="87"/>
      <c r="AB724" s="87"/>
      <c r="AC724" s="87"/>
      <c r="AD724" s="87"/>
      <c r="AE724" s="87"/>
      <c r="AF724" s="87"/>
      <c r="AG724" s="87"/>
      <c r="AH724" s="87"/>
      <c r="AI724" s="87"/>
      <c r="AJ724" s="87"/>
      <c r="AK724" s="87"/>
      <c r="AL724" s="87"/>
      <c r="AM724" s="87"/>
      <c r="AN724" s="87"/>
    </row>
    <row r="725" ht="16.5" customHeight="1">
      <c r="A725" s="87"/>
      <c r="B725" s="87"/>
      <c r="C725" s="87"/>
      <c r="D725" s="87"/>
      <c r="E725" s="87"/>
      <c r="F725" s="79"/>
      <c r="G725" s="87"/>
      <c r="H725" s="92"/>
      <c r="I725" s="87"/>
      <c r="J725" s="87"/>
      <c r="K725" s="89"/>
      <c r="L725" s="87"/>
      <c r="M725" s="87"/>
      <c r="N725" s="87"/>
      <c r="O725" s="87"/>
      <c r="P725" s="87"/>
      <c r="Q725" s="87"/>
      <c r="R725" s="87"/>
      <c r="S725" s="87"/>
      <c r="T725" s="87"/>
      <c r="U725" s="87"/>
      <c r="V725" s="87"/>
      <c r="W725" s="87"/>
      <c r="X725" s="87"/>
      <c r="Y725" s="87"/>
      <c r="Z725" s="87"/>
      <c r="AA725" s="87"/>
      <c r="AB725" s="87"/>
      <c r="AC725" s="87"/>
      <c r="AD725" s="87"/>
      <c r="AE725" s="87"/>
      <c r="AF725" s="87"/>
      <c r="AG725" s="87"/>
      <c r="AH725" s="87"/>
      <c r="AI725" s="87"/>
      <c r="AJ725" s="87"/>
      <c r="AK725" s="87"/>
      <c r="AL725" s="87"/>
      <c r="AM725" s="87"/>
      <c r="AN725" s="87"/>
    </row>
    <row r="726" ht="16.5" customHeight="1">
      <c r="A726" s="87"/>
      <c r="B726" s="87"/>
      <c r="C726" s="87"/>
      <c r="D726" s="87"/>
      <c r="E726" s="87"/>
      <c r="F726" s="79"/>
      <c r="G726" s="87"/>
      <c r="H726" s="92"/>
      <c r="I726" s="87"/>
      <c r="J726" s="87"/>
      <c r="K726" s="89"/>
      <c r="L726" s="87"/>
      <c r="M726" s="87"/>
      <c r="N726" s="87"/>
      <c r="O726" s="87"/>
      <c r="P726" s="87"/>
      <c r="Q726" s="87"/>
      <c r="R726" s="87"/>
      <c r="S726" s="87"/>
      <c r="T726" s="87"/>
      <c r="U726" s="87"/>
      <c r="V726" s="87"/>
      <c r="W726" s="87"/>
      <c r="X726" s="87"/>
      <c r="Y726" s="87"/>
      <c r="Z726" s="87"/>
      <c r="AA726" s="87"/>
      <c r="AB726" s="87"/>
      <c r="AC726" s="87"/>
      <c r="AD726" s="87"/>
      <c r="AE726" s="87"/>
      <c r="AF726" s="87"/>
      <c r="AG726" s="87"/>
      <c r="AH726" s="87"/>
      <c r="AI726" s="87"/>
      <c r="AJ726" s="87"/>
      <c r="AK726" s="87"/>
      <c r="AL726" s="87"/>
      <c r="AM726" s="87"/>
      <c r="AN726" s="87"/>
    </row>
    <row r="727" ht="16.5" customHeight="1">
      <c r="A727" s="87"/>
      <c r="B727" s="87"/>
      <c r="C727" s="87"/>
      <c r="D727" s="87"/>
      <c r="E727" s="87"/>
      <c r="F727" s="79"/>
      <c r="G727" s="87"/>
      <c r="H727" s="92"/>
      <c r="I727" s="87"/>
      <c r="J727" s="87"/>
      <c r="K727" s="89"/>
      <c r="L727" s="87"/>
      <c r="M727" s="87"/>
      <c r="N727" s="87"/>
      <c r="O727" s="87"/>
      <c r="P727" s="87"/>
      <c r="Q727" s="87"/>
      <c r="R727" s="87"/>
      <c r="S727" s="87"/>
      <c r="T727" s="87"/>
      <c r="U727" s="87"/>
      <c r="V727" s="87"/>
      <c r="W727" s="87"/>
      <c r="X727" s="87"/>
      <c r="Y727" s="87"/>
      <c r="Z727" s="87"/>
      <c r="AA727" s="87"/>
      <c r="AB727" s="87"/>
      <c r="AC727" s="87"/>
      <c r="AD727" s="87"/>
      <c r="AE727" s="87"/>
      <c r="AF727" s="87"/>
      <c r="AG727" s="87"/>
      <c r="AH727" s="87"/>
      <c r="AI727" s="87"/>
      <c r="AJ727" s="87"/>
      <c r="AK727" s="87"/>
      <c r="AL727" s="87"/>
      <c r="AM727" s="87"/>
      <c r="AN727" s="87"/>
    </row>
    <row r="728" ht="16.5" customHeight="1">
      <c r="A728" s="87"/>
      <c r="B728" s="87"/>
      <c r="C728" s="87"/>
      <c r="D728" s="87"/>
      <c r="E728" s="87"/>
      <c r="F728" s="79"/>
      <c r="G728" s="87"/>
      <c r="H728" s="92"/>
      <c r="I728" s="87"/>
      <c r="J728" s="87"/>
      <c r="K728" s="89"/>
      <c r="L728" s="87"/>
      <c r="M728" s="87"/>
      <c r="N728" s="87"/>
      <c r="O728" s="87"/>
      <c r="P728" s="87"/>
      <c r="Q728" s="87"/>
      <c r="R728" s="87"/>
      <c r="S728" s="87"/>
      <c r="T728" s="87"/>
      <c r="U728" s="87"/>
      <c r="V728" s="87"/>
      <c r="W728" s="87"/>
      <c r="X728" s="87"/>
      <c r="Y728" s="87"/>
      <c r="Z728" s="87"/>
      <c r="AA728" s="87"/>
      <c r="AB728" s="87"/>
      <c r="AC728" s="87"/>
      <c r="AD728" s="87"/>
      <c r="AE728" s="87"/>
      <c r="AF728" s="87"/>
      <c r="AG728" s="87"/>
      <c r="AH728" s="87"/>
      <c r="AI728" s="87"/>
      <c r="AJ728" s="87"/>
      <c r="AK728" s="87"/>
      <c r="AL728" s="87"/>
      <c r="AM728" s="87"/>
      <c r="AN728" s="87"/>
    </row>
    <row r="729" ht="16.5" customHeight="1">
      <c r="A729" s="87"/>
      <c r="B729" s="87"/>
      <c r="C729" s="87"/>
      <c r="D729" s="87"/>
      <c r="E729" s="87"/>
      <c r="F729" s="79"/>
      <c r="G729" s="87"/>
      <c r="H729" s="92"/>
      <c r="I729" s="87"/>
      <c r="J729" s="87"/>
      <c r="K729" s="89"/>
      <c r="L729" s="87"/>
      <c r="M729" s="87"/>
      <c r="N729" s="87"/>
      <c r="O729" s="87"/>
      <c r="P729" s="87"/>
      <c r="Q729" s="87"/>
      <c r="R729" s="87"/>
      <c r="S729" s="87"/>
      <c r="T729" s="87"/>
      <c r="U729" s="87"/>
      <c r="V729" s="87"/>
      <c r="W729" s="87"/>
      <c r="X729" s="87"/>
      <c r="Y729" s="87"/>
      <c r="Z729" s="87"/>
      <c r="AA729" s="87"/>
      <c r="AB729" s="87"/>
      <c r="AC729" s="87"/>
      <c r="AD729" s="87"/>
      <c r="AE729" s="87"/>
      <c r="AF729" s="87"/>
      <c r="AG729" s="87"/>
      <c r="AH729" s="87"/>
      <c r="AI729" s="87"/>
      <c r="AJ729" s="87"/>
      <c r="AK729" s="87"/>
      <c r="AL729" s="87"/>
      <c r="AM729" s="87"/>
      <c r="AN729" s="87"/>
    </row>
    <row r="730" ht="16.5" customHeight="1">
      <c r="A730" s="87"/>
      <c r="B730" s="87"/>
      <c r="C730" s="87"/>
      <c r="D730" s="87"/>
      <c r="E730" s="87"/>
      <c r="F730" s="79"/>
      <c r="G730" s="87"/>
      <c r="H730" s="92"/>
      <c r="I730" s="87"/>
      <c r="J730" s="87"/>
      <c r="K730" s="89"/>
      <c r="L730" s="87"/>
      <c r="M730" s="87"/>
      <c r="N730" s="87"/>
      <c r="O730" s="87"/>
      <c r="P730" s="87"/>
      <c r="Q730" s="87"/>
      <c r="R730" s="87"/>
      <c r="S730" s="87"/>
      <c r="T730" s="87"/>
      <c r="U730" s="87"/>
      <c r="V730" s="87"/>
      <c r="W730" s="87"/>
      <c r="X730" s="87"/>
      <c r="Y730" s="87"/>
      <c r="Z730" s="87"/>
      <c r="AA730" s="87"/>
      <c r="AB730" s="87"/>
      <c r="AC730" s="87"/>
      <c r="AD730" s="87"/>
      <c r="AE730" s="87"/>
      <c r="AF730" s="87"/>
      <c r="AG730" s="87"/>
      <c r="AH730" s="87"/>
      <c r="AI730" s="87"/>
      <c r="AJ730" s="87"/>
      <c r="AK730" s="87"/>
      <c r="AL730" s="87"/>
      <c r="AM730" s="87"/>
      <c r="AN730" s="87"/>
    </row>
    <row r="731" ht="16.5" customHeight="1">
      <c r="A731" s="87"/>
      <c r="B731" s="87"/>
      <c r="C731" s="87"/>
      <c r="D731" s="87"/>
      <c r="E731" s="87"/>
      <c r="F731" s="79"/>
      <c r="G731" s="87"/>
      <c r="H731" s="92"/>
      <c r="I731" s="87"/>
      <c r="J731" s="87"/>
      <c r="K731" s="89"/>
      <c r="L731" s="87"/>
      <c r="M731" s="87"/>
      <c r="N731" s="87"/>
      <c r="O731" s="87"/>
      <c r="P731" s="87"/>
      <c r="Q731" s="87"/>
      <c r="R731" s="87"/>
      <c r="S731" s="87"/>
      <c r="T731" s="87"/>
      <c r="U731" s="87"/>
      <c r="V731" s="87"/>
      <c r="W731" s="87"/>
      <c r="X731" s="87"/>
      <c r="Y731" s="87"/>
      <c r="Z731" s="87"/>
      <c r="AA731" s="87"/>
      <c r="AB731" s="87"/>
      <c r="AC731" s="87"/>
      <c r="AD731" s="87"/>
      <c r="AE731" s="87"/>
      <c r="AF731" s="87"/>
      <c r="AG731" s="87"/>
      <c r="AH731" s="87"/>
      <c r="AI731" s="87"/>
      <c r="AJ731" s="87"/>
      <c r="AK731" s="87"/>
      <c r="AL731" s="87"/>
      <c r="AM731" s="87"/>
      <c r="AN731" s="87"/>
    </row>
    <row r="732" ht="16.5" customHeight="1">
      <c r="A732" s="87"/>
      <c r="B732" s="87"/>
      <c r="C732" s="87"/>
      <c r="D732" s="87"/>
      <c r="E732" s="87"/>
      <c r="F732" s="79"/>
      <c r="G732" s="87"/>
      <c r="H732" s="92"/>
      <c r="I732" s="87"/>
      <c r="J732" s="87"/>
      <c r="K732" s="89"/>
      <c r="L732" s="87"/>
      <c r="M732" s="87"/>
      <c r="N732" s="87"/>
      <c r="O732" s="87"/>
      <c r="P732" s="87"/>
      <c r="Q732" s="87"/>
      <c r="R732" s="87"/>
      <c r="S732" s="87"/>
      <c r="T732" s="87"/>
      <c r="U732" s="87"/>
      <c r="V732" s="87"/>
      <c r="W732" s="87"/>
      <c r="X732" s="87"/>
      <c r="Y732" s="87"/>
      <c r="Z732" s="87"/>
      <c r="AA732" s="87"/>
      <c r="AB732" s="87"/>
      <c r="AC732" s="87"/>
      <c r="AD732" s="87"/>
      <c r="AE732" s="87"/>
      <c r="AF732" s="87"/>
      <c r="AG732" s="87"/>
      <c r="AH732" s="87"/>
      <c r="AI732" s="87"/>
      <c r="AJ732" s="87"/>
      <c r="AK732" s="87"/>
      <c r="AL732" s="87"/>
      <c r="AM732" s="87"/>
      <c r="AN732" s="87"/>
    </row>
    <row r="733" ht="16.5" customHeight="1">
      <c r="A733" s="87"/>
      <c r="B733" s="87"/>
      <c r="C733" s="87"/>
      <c r="D733" s="87"/>
      <c r="E733" s="87"/>
      <c r="F733" s="79"/>
      <c r="G733" s="87"/>
      <c r="H733" s="92"/>
      <c r="I733" s="87"/>
      <c r="J733" s="87"/>
      <c r="K733" s="89"/>
      <c r="L733" s="87"/>
      <c r="M733" s="87"/>
      <c r="N733" s="87"/>
      <c r="O733" s="87"/>
      <c r="P733" s="87"/>
      <c r="Q733" s="87"/>
      <c r="R733" s="87"/>
      <c r="S733" s="87"/>
      <c r="T733" s="87"/>
      <c r="U733" s="87"/>
      <c r="V733" s="87"/>
      <c r="W733" s="87"/>
      <c r="X733" s="87"/>
      <c r="Y733" s="87"/>
      <c r="Z733" s="87"/>
      <c r="AA733" s="87"/>
      <c r="AB733" s="87"/>
      <c r="AC733" s="87"/>
      <c r="AD733" s="87"/>
      <c r="AE733" s="87"/>
      <c r="AF733" s="87"/>
      <c r="AG733" s="87"/>
      <c r="AH733" s="87"/>
      <c r="AI733" s="87"/>
      <c r="AJ733" s="87"/>
      <c r="AK733" s="87"/>
      <c r="AL733" s="87"/>
      <c r="AM733" s="87"/>
      <c r="AN733" s="87"/>
    </row>
    <row r="734" ht="16.5" customHeight="1">
      <c r="A734" s="87"/>
      <c r="B734" s="87"/>
      <c r="C734" s="87"/>
      <c r="D734" s="87"/>
      <c r="E734" s="87"/>
      <c r="F734" s="79"/>
      <c r="G734" s="87"/>
      <c r="H734" s="92"/>
      <c r="I734" s="87"/>
      <c r="J734" s="87"/>
      <c r="K734" s="89"/>
      <c r="L734" s="87"/>
      <c r="M734" s="87"/>
      <c r="N734" s="87"/>
      <c r="O734" s="87"/>
      <c r="P734" s="87"/>
      <c r="Q734" s="87"/>
      <c r="R734" s="87"/>
      <c r="S734" s="87"/>
      <c r="T734" s="87"/>
      <c r="U734" s="87"/>
      <c r="V734" s="87"/>
      <c r="W734" s="87"/>
      <c r="X734" s="87"/>
      <c r="Y734" s="87"/>
      <c r="Z734" s="87"/>
      <c r="AA734" s="87"/>
      <c r="AB734" s="87"/>
      <c r="AC734" s="87"/>
      <c r="AD734" s="87"/>
      <c r="AE734" s="87"/>
      <c r="AF734" s="87"/>
      <c r="AG734" s="87"/>
      <c r="AH734" s="87"/>
      <c r="AI734" s="87"/>
      <c r="AJ734" s="87"/>
      <c r="AK734" s="87"/>
      <c r="AL734" s="87"/>
      <c r="AM734" s="87"/>
      <c r="AN734" s="87"/>
    </row>
    <row r="735" ht="16.5" customHeight="1">
      <c r="A735" s="87"/>
      <c r="B735" s="87"/>
      <c r="C735" s="87"/>
      <c r="D735" s="87"/>
      <c r="E735" s="87"/>
      <c r="F735" s="79"/>
      <c r="G735" s="87"/>
      <c r="H735" s="92"/>
      <c r="I735" s="87"/>
      <c r="J735" s="87"/>
      <c r="K735" s="89"/>
      <c r="L735" s="87"/>
      <c r="M735" s="87"/>
      <c r="N735" s="87"/>
      <c r="O735" s="87"/>
      <c r="P735" s="87"/>
      <c r="Q735" s="87"/>
      <c r="R735" s="87"/>
      <c r="S735" s="87"/>
      <c r="T735" s="87"/>
      <c r="U735" s="87"/>
      <c r="V735" s="87"/>
      <c r="W735" s="87"/>
      <c r="X735" s="87"/>
      <c r="Y735" s="87"/>
      <c r="Z735" s="87"/>
      <c r="AA735" s="87"/>
      <c r="AB735" s="87"/>
      <c r="AC735" s="87"/>
      <c r="AD735" s="87"/>
      <c r="AE735" s="87"/>
      <c r="AF735" s="87"/>
      <c r="AG735" s="87"/>
      <c r="AH735" s="87"/>
      <c r="AI735" s="87"/>
      <c r="AJ735" s="87"/>
      <c r="AK735" s="87"/>
      <c r="AL735" s="87"/>
      <c r="AM735" s="87"/>
      <c r="AN735" s="87"/>
    </row>
    <row r="736" ht="16.5" customHeight="1">
      <c r="A736" s="87"/>
      <c r="B736" s="87"/>
      <c r="C736" s="87"/>
      <c r="D736" s="87"/>
      <c r="E736" s="87"/>
      <c r="F736" s="79"/>
      <c r="G736" s="87"/>
      <c r="H736" s="92"/>
      <c r="I736" s="87"/>
      <c r="J736" s="87"/>
      <c r="K736" s="89"/>
      <c r="L736" s="87"/>
      <c r="M736" s="87"/>
      <c r="N736" s="87"/>
      <c r="O736" s="87"/>
      <c r="P736" s="87"/>
      <c r="Q736" s="87"/>
      <c r="R736" s="87"/>
      <c r="S736" s="87"/>
      <c r="T736" s="87"/>
      <c r="U736" s="87"/>
      <c r="V736" s="87"/>
      <c r="W736" s="87"/>
      <c r="X736" s="87"/>
      <c r="Y736" s="87"/>
      <c r="Z736" s="87"/>
      <c r="AA736" s="87"/>
      <c r="AB736" s="87"/>
      <c r="AC736" s="87"/>
      <c r="AD736" s="87"/>
      <c r="AE736" s="87"/>
      <c r="AF736" s="87"/>
      <c r="AG736" s="87"/>
      <c r="AH736" s="87"/>
      <c r="AI736" s="87"/>
      <c r="AJ736" s="87"/>
      <c r="AK736" s="87"/>
      <c r="AL736" s="87"/>
      <c r="AM736" s="87"/>
      <c r="AN736" s="87"/>
    </row>
    <row r="737" ht="16.5" customHeight="1">
      <c r="A737" s="87"/>
      <c r="B737" s="87"/>
      <c r="C737" s="87"/>
      <c r="D737" s="87"/>
      <c r="E737" s="87"/>
      <c r="F737" s="79"/>
      <c r="G737" s="87"/>
      <c r="H737" s="92"/>
      <c r="I737" s="87"/>
      <c r="J737" s="87"/>
      <c r="K737" s="89"/>
      <c r="L737" s="87"/>
      <c r="M737" s="87"/>
      <c r="N737" s="87"/>
      <c r="O737" s="87"/>
      <c r="P737" s="87"/>
      <c r="Q737" s="87"/>
      <c r="R737" s="87"/>
      <c r="S737" s="87"/>
      <c r="T737" s="87"/>
      <c r="U737" s="87"/>
      <c r="V737" s="87"/>
      <c r="W737" s="87"/>
      <c r="X737" s="87"/>
      <c r="Y737" s="87"/>
      <c r="Z737" s="87"/>
      <c r="AA737" s="87"/>
      <c r="AB737" s="87"/>
      <c r="AC737" s="87"/>
      <c r="AD737" s="87"/>
      <c r="AE737" s="87"/>
      <c r="AF737" s="87"/>
      <c r="AG737" s="87"/>
      <c r="AH737" s="87"/>
      <c r="AI737" s="87"/>
      <c r="AJ737" s="87"/>
      <c r="AK737" s="87"/>
      <c r="AL737" s="87"/>
      <c r="AM737" s="87"/>
      <c r="AN737" s="87"/>
    </row>
    <row r="738" ht="16.5" customHeight="1">
      <c r="A738" s="87"/>
      <c r="B738" s="87"/>
      <c r="C738" s="87"/>
      <c r="D738" s="87"/>
      <c r="E738" s="87"/>
      <c r="F738" s="79"/>
      <c r="G738" s="87"/>
      <c r="H738" s="92"/>
      <c r="I738" s="87"/>
      <c r="J738" s="87"/>
      <c r="K738" s="89"/>
      <c r="L738" s="87"/>
      <c r="M738" s="87"/>
      <c r="N738" s="87"/>
      <c r="O738" s="87"/>
      <c r="P738" s="87"/>
      <c r="Q738" s="87"/>
      <c r="R738" s="87"/>
      <c r="S738" s="87"/>
      <c r="T738" s="87"/>
      <c r="U738" s="87"/>
      <c r="V738" s="87"/>
      <c r="W738" s="87"/>
      <c r="X738" s="87"/>
      <c r="Y738" s="87"/>
      <c r="Z738" s="87"/>
      <c r="AA738" s="87"/>
      <c r="AB738" s="87"/>
      <c r="AC738" s="87"/>
      <c r="AD738" s="87"/>
      <c r="AE738" s="87"/>
      <c r="AF738" s="87"/>
      <c r="AG738" s="87"/>
      <c r="AH738" s="87"/>
      <c r="AI738" s="87"/>
      <c r="AJ738" s="87"/>
      <c r="AK738" s="87"/>
      <c r="AL738" s="87"/>
      <c r="AM738" s="87"/>
      <c r="AN738" s="87"/>
    </row>
    <row r="739" ht="16.5" customHeight="1">
      <c r="A739" s="87"/>
      <c r="B739" s="87"/>
      <c r="C739" s="87"/>
      <c r="D739" s="87"/>
      <c r="E739" s="87"/>
      <c r="F739" s="79"/>
      <c r="G739" s="87"/>
      <c r="H739" s="92"/>
      <c r="I739" s="87"/>
      <c r="J739" s="87"/>
      <c r="K739" s="89"/>
      <c r="L739" s="87"/>
      <c r="M739" s="87"/>
      <c r="N739" s="87"/>
      <c r="O739" s="87"/>
      <c r="P739" s="87"/>
      <c r="Q739" s="87"/>
      <c r="R739" s="87"/>
      <c r="S739" s="87"/>
      <c r="T739" s="87"/>
      <c r="U739" s="87"/>
      <c r="V739" s="87"/>
      <c r="W739" s="87"/>
      <c r="X739" s="87"/>
      <c r="Y739" s="87"/>
      <c r="Z739" s="87"/>
      <c r="AA739" s="87"/>
      <c r="AB739" s="87"/>
      <c r="AC739" s="87"/>
      <c r="AD739" s="87"/>
      <c r="AE739" s="87"/>
      <c r="AF739" s="87"/>
      <c r="AG739" s="87"/>
      <c r="AH739" s="87"/>
      <c r="AI739" s="87"/>
      <c r="AJ739" s="87"/>
      <c r="AK739" s="87"/>
      <c r="AL739" s="87"/>
      <c r="AM739" s="87"/>
      <c r="AN739" s="87"/>
    </row>
    <row r="740" ht="16.5" customHeight="1">
      <c r="A740" s="87"/>
      <c r="B740" s="87"/>
      <c r="C740" s="87"/>
      <c r="D740" s="87"/>
      <c r="E740" s="87"/>
      <c r="F740" s="79"/>
      <c r="G740" s="87"/>
      <c r="H740" s="92"/>
      <c r="I740" s="87"/>
      <c r="J740" s="87"/>
      <c r="K740" s="89"/>
      <c r="L740" s="87"/>
      <c r="M740" s="87"/>
      <c r="N740" s="87"/>
      <c r="O740" s="87"/>
      <c r="P740" s="87"/>
      <c r="Q740" s="87"/>
      <c r="R740" s="87"/>
      <c r="S740" s="87"/>
      <c r="T740" s="87"/>
      <c r="U740" s="87"/>
      <c r="V740" s="87"/>
      <c r="W740" s="87"/>
      <c r="X740" s="87"/>
      <c r="Y740" s="87"/>
      <c r="Z740" s="87"/>
      <c r="AA740" s="87"/>
      <c r="AB740" s="87"/>
      <c r="AC740" s="87"/>
      <c r="AD740" s="87"/>
      <c r="AE740" s="87"/>
      <c r="AF740" s="87"/>
      <c r="AG740" s="87"/>
      <c r="AH740" s="87"/>
      <c r="AI740" s="87"/>
      <c r="AJ740" s="87"/>
      <c r="AK740" s="87"/>
      <c r="AL740" s="87"/>
      <c r="AM740" s="87"/>
      <c r="AN740" s="87"/>
    </row>
    <row r="741" ht="16.5" customHeight="1">
      <c r="A741" s="87"/>
      <c r="B741" s="87"/>
      <c r="C741" s="87"/>
      <c r="D741" s="87"/>
      <c r="E741" s="87"/>
      <c r="F741" s="79"/>
      <c r="G741" s="87"/>
      <c r="H741" s="92"/>
      <c r="I741" s="87"/>
      <c r="J741" s="87"/>
      <c r="K741" s="89"/>
      <c r="L741" s="87"/>
      <c r="M741" s="87"/>
      <c r="N741" s="87"/>
      <c r="O741" s="87"/>
      <c r="P741" s="87"/>
      <c r="Q741" s="87"/>
      <c r="R741" s="87"/>
      <c r="S741" s="87"/>
      <c r="T741" s="87"/>
      <c r="U741" s="87"/>
      <c r="V741" s="87"/>
      <c r="W741" s="87"/>
      <c r="X741" s="87"/>
      <c r="Y741" s="87"/>
      <c r="Z741" s="87"/>
      <c r="AA741" s="87"/>
      <c r="AB741" s="87"/>
      <c r="AC741" s="87"/>
      <c r="AD741" s="87"/>
      <c r="AE741" s="87"/>
      <c r="AF741" s="87"/>
      <c r="AG741" s="87"/>
      <c r="AH741" s="87"/>
      <c r="AI741" s="87"/>
      <c r="AJ741" s="87"/>
      <c r="AK741" s="87"/>
      <c r="AL741" s="87"/>
      <c r="AM741" s="87"/>
      <c r="AN741" s="87"/>
    </row>
    <row r="742" ht="16.5" customHeight="1">
      <c r="A742" s="87"/>
      <c r="B742" s="87"/>
      <c r="C742" s="87"/>
      <c r="D742" s="87"/>
      <c r="E742" s="87"/>
      <c r="F742" s="79"/>
      <c r="G742" s="87"/>
      <c r="H742" s="92"/>
      <c r="I742" s="87"/>
      <c r="J742" s="87"/>
      <c r="K742" s="89"/>
      <c r="L742" s="87"/>
      <c r="M742" s="87"/>
      <c r="N742" s="87"/>
      <c r="O742" s="87"/>
      <c r="P742" s="87"/>
      <c r="Q742" s="87"/>
      <c r="R742" s="87"/>
      <c r="S742" s="87"/>
      <c r="T742" s="87"/>
      <c r="U742" s="87"/>
      <c r="V742" s="87"/>
      <c r="W742" s="87"/>
      <c r="X742" s="87"/>
      <c r="Y742" s="87"/>
      <c r="Z742" s="87"/>
      <c r="AA742" s="87"/>
      <c r="AB742" s="87"/>
      <c r="AC742" s="87"/>
      <c r="AD742" s="87"/>
      <c r="AE742" s="87"/>
      <c r="AF742" s="87"/>
      <c r="AG742" s="87"/>
      <c r="AH742" s="87"/>
      <c r="AI742" s="87"/>
      <c r="AJ742" s="87"/>
      <c r="AK742" s="87"/>
      <c r="AL742" s="87"/>
      <c r="AM742" s="87"/>
      <c r="AN742" s="87"/>
    </row>
    <row r="743" ht="16.5" customHeight="1">
      <c r="A743" s="87"/>
      <c r="B743" s="87"/>
      <c r="C743" s="87"/>
      <c r="D743" s="87"/>
      <c r="E743" s="87"/>
      <c r="F743" s="79"/>
      <c r="G743" s="87"/>
      <c r="H743" s="92"/>
      <c r="I743" s="87"/>
      <c r="J743" s="87"/>
      <c r="K743" s="89"/>
      <c r="L743" s="87"/>
      <c r="M743" s="87"/>
      <c r="N743" s="87"/>
      <c r="O743" s="87"/>
      <c r="P743" s="87"/>
      <c r="Q743" s="87"/>
      <c r="R743" s="87"/>
      <c r="S743" s="87"/>
      <c r="T743" s="87"/>
      <c r="U743" s="87"/>
      <c r="V743" s="87"/>
      <c r="W743" s="87"/>
      <c r="X743" s="87"/>
      <c r="Y743" s="87"/>
      <c r="Z743" s="87"/>
      <c r="AA743" s="87"/>
      <c r="AB743" s="87"/>
      <c r="AC743" s="87"/>
      <c r="AD743" s="87"/>
      <c r="AE743" s="87"/>
      <c r="AF743" s="87"/>
      <c r="AG743" s="87"/>
      <c r="AH743" s="87"/>
      <c r="AI743" s="87"/>
      <c r="AJ743" s="87"/>
      <c r="AK743" s="87"/>
      <c r="AL743" s="87"/>
      <c r="AM743" s="87"/>
      <c r="AN743" s="87"/>
    </row>
    <row r="744" ht="16.5" customHeight="1">
      <c r="A744" s="87"/>
      <c r="B744" s="87"/>
      <c r="C744" s="87"/>
      <c r="D744" s="87"/>
      <c r="E744" s="87"/>
      <c r="F744" s="79"/>
      <c r="G744" s="87"/>
      <c r="H744" s="92"/>
      <c r="I744" s="87"/>
      <c r="J744" s="87"/>
      <c r="K744" s="89"/>
      <c r="L744" s="87"/>
      <c r="M744" s="87"/>
      <c r="N744" s="87"/>
      <c r="O744" s="87"/>
      <c r="P744" s="87"/>
      <c r="Q744" s="87"/>
      <c r="R744" s="87"/>
      <c r="S744" s="87"/>
      <c r="T744" s="87"/>
      <c r="U744" s="87"/>
      <c r="V744" s="87"/>
      <c r="W744" s="87"/>
      <c r="X744" s="87"/>
      <c r="Y744" s="87"/>
      <c r="Z744" s="87"/>
      <c r="AA744" s="87"/>
      <c r="AB744" s="87"/>
      <c r="AC744" s="87"/>
      <c r="AD744" s="87"/>
      <c r="AE744" s="87"/>
      <c r="AF744" s="87"/>
      <c r="AG744" s="87"/>
      <c r="AH744" s="87"/>
      <c r="AI744" s="87"/>
      <c r="AJ744" s="87"/>
      <c r="AK744" s="87"/>
      <c r="AL744" s="87"/>
      <c r="AM744" s="87"/>
      <c r="AN744" s="87"/>
    </row>
    <row r="745" ht="16.5" customHeight="1">
      <c r="A745" s="87"/>
      <c r="B745" s="87"/>
      <c r="C745" s="87"/>
      <c r="D745" s="87"/>
      <c r="E745" s="87"/>
      <c r="F745" s="79"/>
      <c r="G745" s="87"/>
      <c r="H745" s="92"/>
      <c r="I745" s="87"/>
      <c r="J745" s="87"/>
      <c r="K745" s="89"/>
      <c r="L745" s="87"/>
      <c r="M745" s="87"/>
      <c r="N745" s="87"/>
      <c r="O745" s="87"/>
      <c r="P745" s="87"/>
      <c r="Q745" s="87"/>
      <c r="R745" s="87"/>
      <c r="S745" s="87"/>
      <c r="T745" s="87"/>
      <c r="U745" s="87"/>
      <c r="V745" s="87"/>
      <c r="W745" s="87"/>
      <c r="X745" s="87"/>
      <c r="Y745" s="87"/>
      <c r="Z745" s="87"/>
      <c r="AA745" s="87"/>
      <c r="AB745" s="87"/>
      <c r="AC745" s="87"/>
      <c r="AD745" s="87"/>
      <c r="AE745" s="87"/>
      <c r="AF745" s="87"/>
      <c r="AG745" s="87"/>
      <c r="AH745" s="87"/>
      <c r="AI745" s="87"/>
      <c r="AJ745" s="87"/>
      <c r="AK745" s="87"/>
      <c r="AL745" s="87"/>
      <c r="AM745" s="87"/>
      <c r="AN745" s="87"/>
    </row>
    <row r="746" ht="16.5" customHeight="1">
      <c r="A746" s="87"/>
      <c r="B746" s="87"/>
      <c r="C746" s="87"/>
      <c r="D746" s="87"/>
      <c r="E746" s="87"/>
      <c r="F746" s="79"/>
      <c r="G746" s="87"/>
      <c r="H746" s="92"/>
      <c r="I746" s="87"/>
      <c r="J746" s="87"/>
      <c r="K746" s="89"/>
      <c r="L746" s="87"/>
      <c r="M746" s="87"/>
      <c r="N746" s="87"/>
      <c r="O746" s="87"/>
      <c r="P746" s="87"/>
      <c r="Q746" s="87"/>
      <c r="R746" s="87"/>
      <c r="S746" s="87"/>
      <c r="T746" s="87"/>
      <c r="U746" s="87"/>
      <c r="V746" s="87"/>
      <c r="W746" s="87"/>
      <c r="X746" s="87"/>
      <c r="Y746" s="87"/>
      <c r="Z746" s="87"/>
      <c r="AA746" s="87"/>
      <c r="AB746" s="87"/>
      <c r="AC746" s="87"/>
      <c r="AD746" s="87"/>
      <c r="AE746" s="87"/>
      <c r="AF746" s="87"/>
      <c r="AG746" s="87"/>
      <c r="AH746" s="87"/>
      <c r="AI746" s="87"/>
      <c r="AJ746" s="87"/>
      <c r="AK746" s="87"/>
      <c r="AL746" s="87"/>
      <c r="AM746" s="87"/>
      <c r="AN746" s="87"/>
    </row>
    <row r="747" ht="16.5" customHeight="1">
      <c r="A747" s="87"/>
      <c r="B747" s="87"/>
      <c r="C747" s="87"/>
      <c r="D747" s="87"/>
      <c r="E747" s="87"/>
      <c r="F747" s="79"/>
      <c r="G747" s="87"/>
      <c r="H747" s="92"/>
      <c r="I747" s="87"/>
      <c r="J747" s="87"/>
      <c r="K747" s="89"/>
      <c r="L747" s="87"/>
      <c r="M747" s="87"/>
      <c r="N747" s="87"/>
      <c r="O747" s="87"/>
      <c r="P747" s="87"/>
      <c r="Q747" s="87"/>
      <c r="R747" s="87"/>
      <c r="S747" s="87"/>
      <c r="T747" s="87"/>
      <c r="U747" s="87"/>
      <c r="V747" s="87"/>
      <c r="W747" s="87"/>
      <c r="X747" s="87"/>
      <c r="Y747" s="87"/>
      <c r="Z747" s="87"/>
      <c r="AA747" s="87"/>
      <c r="AB747" s="87"/>
      <c r="AC747" s="87"/>
      <c r="AD747" s="87"/>
      <c r="AE747" s="87"/>
      <c r="AF747" s="87"/>
      <c r="AG747" s="87"/>
      <c r="AH747" s="87"/>
      <c r="AI747" s="87"/>
      <c r="AJ747" s="87"/>
      <c r="AK747" s="87"/>
      <c r="AL747" s="87"/>
      <c r="AM747" s="87"/>
      <c r="AN747" s="87"/>
    </row>
    <row r="748" ht="16.5" customHeight="1">
      <c r="A748" s="87"/>
      <c r="B748" s="87"/>
      <c r="C748" s="87"/>
      <c r="D748" s="87"/>
      <c r="E748" s="87"/>
      <c r="F748" s="79"/>
      <c r="G748" s="87"/>
      <c r="H748" s="92"/>
      <c r="I748" s="87"/>
      <c r="J748" s="87"/>
      <c r="K748" s="89"/>
      <c r="L748" s="87"/>
      <c r="M748" s="87"/>
      <c r="N748" s="87"/>
      <c r="O748" s="87"/>
      <c r="P748" s="87"/>
      <c r="Q748" s="87"/>
      <c r="R748" s="87"/>
      <c r="S748" s="87"/>
      <c r="T748" s="87"/>
      <c r="U748" s="87"/>
      <c r="V748" s="87"/>
      <c r="W748" s="87"/>
      <c r="X748" s="87"/>
      <c r="Y748" s="87"/>
      <c r="Z748" s="87"/>
      <c r="AA748" s="87"/>
      <c r="AB748" s="87"/>
      <c r="AC748" s="87"/>
      <c r="AD748" s="87"/>
      <c r="AE748" s="87"/>
      <c r="AF748" s="87"/>
      <c r="AG748" s="87"/>
      <c r="AH748" s="87"/>
      <c r="AI748" s="87"/>
      <c r="AJ748" s="87"/>
      <c r="AK748" s="87"/>
      <c r="AL748" s="87"/>
      <c r="AM748" s="87"/>
      <c r="AN748" s="87"/>
    </row>
    <row r="749" ht="16.5" customHeight="1">
      <c r="A749" s="87"/>
      <c r="B749" s="87"/>
      <c r="C749" s="87"/>
      <c r="D749" s="87"/>
      <c r="E749" s="87"/>
      <c r="F749" s="79"/>
      <c r="G749" s="87"/>
      <c r="H749" s="92"/>
      <c r="I749" s="87"/>
      <c r="J749" s="87"/>
      <c r="K749" s="89"/>
      <c r="L749" s="87"/>
      <c r="M749" s="87"/>
      <c r="N749" s="87"/>
      <c r="O749" s="87"/>
      <c r="P749" s="87"/>
      <c r="Q749" s="87"/>
      <c r="R749" s="87"/>
      <c r="S749" s="87"/>
      <c r="T749" s="87"/>
      <c r="U749" s="87"/>
      <c r="V749" s="87"/>
      <c r="W749" s="87"/>
      <c r="X749" s="87"/>
      <c r="Y749" s="87"/>
      <c r="Z749" s="87"/>
      <c r="AA749" s="87"/>
      <c r="AB749" s="87"/>
      <c r="AC749" s="87"/>
      <c r="AD749" s="87"/>
      <c r="AE749" s="87"/>
      <c r="AF749" s="87"/>
      <c r="AG749" s="87"/>
      <c r="AH749" s="87"/>
      <c r="AI749" s="87"/>
      <c r="AJ749" s="87"/>
      <c r="AK749" s="87"/>
      <c r="AL749" s="87"/>
      <c r="AM749" s="87"/>
      <c r="AN749" s="87"/>
    </row>
    <row r="750" ht="16.5" customHeight="1">
      <c r="A750" s="87"/>
      <c r="B750" s="87"/>
      <c r="C750" s="87"/>
      <c r="D750" s="87"/>
      <c r="E750" s="87"/>
      <c r="F750" s="79"/>
      <c r="G750" s="87"/>
      <c r="H750" s="92"/>
      <c r="I750" s="87"/>
      <c r="J750" s="87"/>
      <c r="K750" s="89"/>
      <c r="L750" s="87"/>
      <c r="M750" s="87"/>
      <c r="N750" s="87"/>
      <c r="O750" s="87"/>
      <c r="P750" s="87"/>
      <c r="Q750" s="87"/>
      <c r="R750" s="87"/>
      <c r="S750" s="87"/>
      <c r="T750" s="87"/>
      <c r="U750" s="87"/>
      <c r="V750" s="87"/>
      <c r="W750" s="87"/>
      <c r="X750" s="87"/>
      <c r="Y750" s="87"/>
      <c r="Z750" s="87"/>
      <c r="AA750" s="87"/>
      <c r="AB750" s="87"/>
      <c r="AC750" s="87"/>
      <c r="AD750" s="87"/>
      <c r="AE750" s="87"/>
      <c r="AF750" s="87"/>
      <c r="AG750" s="87"/>
      <c r="AH750" s="87"/>
      <c r="AI750" s="87"/>
      <c r="AJ750" s="87"/>
      <c r="AK750" s="87"/>
      <c r="AL750" s="87"/>
      <c r="AM750" s="87"/>
      <c r="AN750" s="87"/>
    </row>
    <row r="751" ht="16.5" customHeight="1">
      <c r="A751" s="87"/>
      <c r="B751" s="87"/>
      <c r="C751" s="87"/>
      <c r="D751" s="87"/>
      <c r="E751" s="87"/>
      <c r="F751" s="79"/>
      <c r="G751" s="87"/>
      <c r="H751" s="92"/>
      <c r="I751" s="87"/>
      <c r="J751" s="87"/>
      <c r="K751" s="89"/>
      <c r="L751" s="87"/>
      <c r="M751" s="87"/>
      <c r="N751" s="87"/>
      <c r="O751" s="87"/>
      <c r="P751" s="87"/>
      <c r="Q751" s="87"/>
      <c r="R751" s="87"/>
      <c r="S751" s="87"/>
      <c r="T751" s="87"/>
      <c r="U751" s="87"/>
      <c r="V751" s="87"/>
      <c r="W751" s="87"/>
      <c r="X751" s="87"/>
      <c r="Y751" s="87"/>
      <c r="Z751" s="87"/>
      <c r="AA751" s="87"/>
      <c r="AB751" s="87"/>
      <c r="AC751" s="87"/>
      <c r="AD751" s="87"/>
      <c r="AE751" s="87"/>
      <c r="AF751" s="87"/>
      <c r="AG751" s="87"/>
      <c r="AH751" s="87"/>
      <c r="AI751" s="87"/>
      <c r="AJ751" s="87"/>
      <c r="AK751" s="87"/>
      <c r="AL751" s="87"/>
      <c r="AM751" s="87"/>
      <c r="AN751" s="87"/>
    </row>
    <row r="752" ht="16.5" customHeight="1">
      <c r="A752" s="87"/>
      <c r="B752" s="87"/>
      <c r="C752" s="87"/>
      <c r="D752" s="87"/>
      <c r="E752" s="87"/>
      <c r="F752" s="79"/>
      <c r="G752" s="87"/>
      <c r="H752" s="92"/>
      <c r="I752" s="87"/>
      <c r="J752" s="87"/>
      <c r="K752" s="89"/>
      <c r="L752" s="87"/>
      <c r="M752" s="87"/>
      <c r="N752" s="87"/>
      <c r="O752" s="87"/>
      <c r="P752" s="87"/>
      <c r="Q752" s="87"/>
      <c r="R752" s="87"/>
      <c r="S752" s="87"/>
      <c r="T752" s="87"/>
      <c r="U752" s="87"/>
      <c r="V752" s="87"/>
      <c r="W752" s="87"/>
      <c r="X752" s="87"/>
      <c r="Y752" s="87"/>
      <c r="Z752" s="87"/>
      <c r="AA752" s="87"/>
      <c r="AB752" s="87"/>
      <c r="AC752" s="87"/>
      <c r="AD752" s="87"/>
      <c r="AE752" s="87"/>
      <c r="AF752" s="87"/>
      <c r="AG752" s="87"/>
      <c r="AH752" s="87"/>
      <c r="AI752" s="87"/>
      <c r="AJ752" s="87"/>
      <c r="AK752" s="87"/>
      <c r="AL752" s="87"/>
      <c r="AM752" s="87"/>
      <c r="AN752" s="87"/>
    </row>
    <row r="753" ht="16.5" customHeight="1">
      <c r="A753" s="87"/>
      <c r="B753" s="87"/>
      <c r="C753" s="87"/>
      <c r="D753" s="87"/>
      <c r="E753" s="87"/>
      <c r="F753" s="79"/>
      <c r="G753" s="87"/>
      <c r="H753" s="92"/>
      <c r="I753" s="87"/>
      <c r="J753" s="87"/>
      <c r="K753" s="89"/>
      <c r="L753" s="87"/>
      <c r="M753" s="87"/>
      <c r="N753" s="87"/>
      <c r="O753" s="87"/>
      <c r="P753" s="87"/>
      <c r="Q753" s="87"/>
      <c r="R753" s="87"/>
      <c r="S753" s="87"/>
      <c r="T753" s="87"/>
      <c r="U753" s="87"/>
      <c r="V753" s="87"/>
      <c r="W753" s="87"/>
      <c r="X753" s="87"/>
      <c r="Y753" s="87"/>
      <c r="Z753" s="87"/>
      <c r="AA753" s="87"/>
      <c r="AB753" s="87"/>
      <c r="AC753" s="87"/>
      <c r="AD753" s="87"/>
      <c r="AE753" s="87"/>
      <c r="AF753" s="87"/>
      <c r="AG753" s="87"/>
      <c r="AH753" s="87"/>
      <c r="AI753" s="87"/>
      <c r="AJ753" s="87"/>
      <c r="AK753" s="87"/>
      <c r="AL753" s="87"/>
      <c r="AM753" s="87"/>
      <c r="AN753" s="87"/>
    </row>
    <row r="754" ht="16.5" customHeight="1">
      <c r="A754" s="87"/>
      <c r="B754" s="87"/>
      <c r="C754" s="87"/>
      <c r="D754" s="87"/>
      <c r="E754" s="87"/>
      <c r="F754" s="79"/>
      <c r="G754" s="87"/>
      <c r="H754" s="92"/>
      <c r="I754" s="87"/>
      <c r="J754" s="87"/>
      <c r="K754" s="89"/>
      <c r="L754" s="87"/>
      <c r="M754" s="87"/>
      <c r="N754" s="87"/>
      <c r="O754" s="87"/>
      <c r="P754" s="87"/>
      <c r="Q754" s="87"/>
      <c r="R754" s="87"/>
      <c r="S754" s="87"/>
      <c r="T754" s="87"/>
      <c r="U754" s="87"/>
      <c r="V754" s="87"/>
      <c r="W754" s="87"/>
      <c r="X754" s="87"/>
      <c r="Y754" s="87"/>
      <c r="Z754" s="87"/>
      <c r="AA754" s="87"/>
      <c r="AB754" s="87"/>
      <c r="AC754" s="87"/>
      <c r="AD754" s="87"/>
      <c r="AE754" s="87"/>
      <c r="AF754" s="87"/>
      <c r="AG754" s="87"/>
      <c r="AH754" s="87"/>
      <c r="AI754" s="87"/>
      <c r="AJ754" s="87"/>
      <c r="AK754" s="87"/>
      <c r="AL754" s="87"/>
      <c r="AM754" s="87"/>
      <c r="AN754" s="87"/>
    </row>
    <row r="755" ht="16.5" customHeight="1">
      <c r="A755" s="87"/>
      <c r="B755" s="87"/>
      <c r="C755" s="87"/>
      <c r="D755" s="87"/>
      <c r="E755" s="87"/>
      <c r="F755" s="79"/>
      <c r="G755" s="87"/>
      <c r="H755" s="92"/>
      <c r="I755" s="87"/>
      <c r="J755" s="87"/>
      <c r="K755" s="89"/>
      <c r="L755" s="87"/>
      <c r="M755" s="87"/>
      <c r="N755" s="87"/>
      <c r="O755" s="87"/>
      <c r="P755" s="87"/>
      <c r="Q755" s="87"/>
      <c r="R755" s="87"/>
      <c r="S755" s="87"/>
      <c r="T755" s="87"/>
      <c r="U755" s="87"/>
      <c r="V755" s="87"/>
      <c r="W755" s="87"/>
      <c r="X755" s="87"/>
      <c r="Y755" s="87"/>
      <c r="Z755" s="87"/>
      <c r="AA755" s="87"/>
      <c r="AB755" s="87"/>
      <c r="AC755" s="87"/>
      <c r="AD755" s="87"/>
      <c r="AE755" s="87"/>
      <c r="AF755" s="87"/>
      <c r="AG755" s="87"/>
      <c r="AH755" s="87"/>
      <c r="AI755" s="87"/>
      <c r="AJ755" s="87"/>
      <c r="AK755" s="87"/>
      <c r="AL755" s="87"/>
      <c r="AM755" s="87"/>
      <c r="AN755" s="87"/>
    </row>
    <row r="756" ht="16.5" customHeight="1">
      <c r="A756" s="87"/>
      <c r="B756" s="87"/>
      <c r="C756" s="87"/>
      <c r="D756" s="87"/>
      <c r="E756" s="87"/>
      <c r="F756" s="79"/>
      <c r="G756" s="87"/>
      <c r="H756" s="92"/>
      <c r="I756" s="87"/>
      <c r="J756" s="87"/>
      <c r="K756" s="89"/>
      <c r="L756" s="87"/>
      <c r="M756" s="87"/>
      <c r="N756" s="87"/>
      <c r="O756" s="87"/>
      <c r="P756" s="87"/>
      <c r="Q756" s="87"/>
      <c r="R756" s="87"/>
      <c r="S756" s="87"/>
      <c r="T756" s="87"/>
      <c r="U756" s="87"/>
      <c r="V756" s="87"/>
      <c r="W756" s="87"/>
      <c r="X756" s="87"/>
      <c r="Y756" s="87"/>
      <c r="Z756" s="87"/>
      <c r="AA756" s="87"/>
      <c r="AB756" s="87"/>
      <c r="AC756" s="87"/>
      <c r="AD756" s="87"/>
      <c r="AE756" s="87"/>
      <c r="AF756" s="87"/>
      <c r="AG756" s="87"/>
      <c r="AH756" s="87"/>
      <c r="AI756" s="87"/>
      <c r="AJ756" s="87"/>
      <c r="AK756" s="87"/>
      <c r="AL756" s="87"/>
      <c r="AM756" s="87"/>
      <c r="AN756" s="87"/>
    </row>
    <row r="757" ht="16.5" customHeight="1">
      <c r="A757" s="87"/>
      <c r="B757" s="87"/>
      <c r="C757" s="87"/>
      <c r="D757" s="87"/>
      <c r="E757" s="87"/>
      <c r="F757" s="79"/>
      <c r="G757" s="87"/>
      <c r="H757" s="92"/>
      <c r="I757" s="87"/>
      <c r="J757" s="87"/>
      <c r="K757" s="89"/>
      <c r="L757" s="87"/>
      <c r="M757" s="87"/>
      <c r="N757" s="87"/>
      <c r="O757" s="87"/>
      <c r="P757" s="87"/>
      <c r="Q757" s="87"/>
      <c r="R757" s="87"/>
      <c r="S757" s="87"/>
      <c r="T757" s="87"/>
      <c r="U757" s="87"/>
      <c r="V757" s="87"/>
      <c r="W757" s="87"/>
      <c r="X757" s="87"/>
      <c r="Y757" s="87"/>
      <c r="Z757" s="87"/>
      <c r="AA757" s="87"/>
      <c r="AB757" s="87"/>
      <c r="AC757" s="87"/>
      <c r="AD757" s="87"/>
      <c r="AE757" s="87"/>
      <c r="AF757" s="87"/>
      <c r="AG757" s="87"/>
      <c r="AH757" s="87"/>
      <c r="AI757" s="87"/>
      <c r="AJ757" s="87"/>
      <c r="AK757" s="87"/>
      <c r="AL757" s="87"/>
      <c r="AM757" s="87"/>
      <c r="AN757" s="87"/>
    </row>
    <row r="758" ht="16.5" customHeight="1">
      <c r="A758" s="87"/>
      <c r="B758" s="87"/>
      <c r="C758" s="87"/>
      <c r="D758" s="87"/>
      <c r="E758" s="87"/>
      <c r="F758" s="79"/>
      <c r="G758" s="87"/>
      <c r="H758" s="92"/>
      <c r="I758" s="87"/>
      <c r="J758" s="87"/>
      <c r="K758" s="89"/>
      <c r="L758" s="87"/>
      <c r="M758" s="87"/>
      <c r="N758" s="87"/>
      <c r="O758" s="87"/>
      <c r="P758" s="87"/>
      <c r="Q758" s="87"/>
      <c r="R758" s="87"/>
      <c r="S758" s="87"/>
      <c r="T758" s="87"/>
      <c r="U758" s="87"/>
      <c r="V758" s="87"/>
      <c r="W758" s="87"/>
      <c r="X758" s="87"/>
      <c r="Y758" s="87"/>
      <c r="Z758" s="87"/>
      <c r="AA758" s="87"/>
      <c r="AB758" s="87"/>
      <c r="AC758" s="87"/>
      <c r="AD758" s="87"/>
      <c r="AE758" s="87"/>
      <c r="AF758" s="87"/>
      <c r="AG758" s="87"/>
      <c r="AH758" s="87"/>
      <c r="AI758" s="87"/>
      <c r="AJ758" s="87"/>
      <c r="AK758" s="87"/>
      <c r="AL758" s="87"/>
      <c r="AM758" s="87"/>
      <c r="AN758" s="87"/>
    </row>
    <row r="759" ht="16.5" customHeight="1">
      <c r="A759" s="87"/>
      <c r="B759" s="87"/>
      <c r="C759" s="87"/>
      <c r="D759" s="87"/>
      <c r="E759" s="87"/>
      <c r="F759" s="79"/>
      <c r="G759" s="87"/>
      <c r="H759" s="92"/>
      <c r="I759" s="87"/>
      <c r="J759" s="87"/>
      <c r="K759" s="89"/>
      <c r="L759" s="87"/>
      <c r="M759" s="87"/>
      <c r="N759" s="87"/>
      <c r="O759" s="87"/>
      <c r="P759" s="87"/>
      <c r="Q759" s="87"/>
      <c r="R759" s="87"/>
      <c r="S759" s="87"/>
      <c r="T759" s="87"/>
      <c r="U759" s="87"/>
      <c r="V759" s="87"/>
      <c r="W759" s="87"/>
      <c r="X759" s="87"/>
      <c r="Y759" s="87"/>
      <c r="Z759" s="87"/>
      <c r="AA759" s="87"/>
      <c r="AB759" s="87"/>
      <c r="AC759" s="87"/>
      <c r="AD759" s="87"/>
      <c r="AE759" s="87"/>
      <c r="AF759" s="87"/>
      <c r="AG759" s="87"/>
      <c r="AH759" s="87"/>
      <c r="AI759" s="87"/>
      <c r="AJ759" s="87"/>
      <c r="AK759" s="87"/>
      <c r="AL759" s="87"/>
      <c r="AM759" s="87"/>
      <c r="AN759" s="87"/>
    </row>
    <row r="760" ht="16.5" customHeight="1">
      <c r="A760" s="87"/>
      <c r="B760" s="87"/>
      <c r="C760" s="87"/>
      <c r="D760" s="87"/>
      <c r="E760" s="87"/>
      <c r="F760" s="79"/>
      <c r="G760" s="87"/>
      <c r="H760" s="92"/>
      <c r="I760" s="87"/>
      <c r="J760" s="87"/>
      <c r="K760" s="89"/>
      <c r="L760" s="87"/>
      <c r="M760" s="87"/>
      <c r="N760" s="87"/>
      <c r="O760" s="87"/>
      <c r="P760" s="87"/>
      <c r="Q760" s="87"/>
      <c r="R760" s="87"/>
      <c r="S760" s="87"/>
      <c r="T760" s="87"/>
      <c r="U760" s="87"/>
      <c r="V760" s="87"/>
      <c r="W760" s="87"/>
      <c r="X760" s="87"/>
      <c r="Y760" s="87"/>
      <c r="Z760" s="87"/>
      <c r="AA760" s="87"/>
      <c r="AB760" s="87"/>
      <c r="AC760" s="87"/>
      <c r="AD760" s="87"/>
      <c r="AE760" s="87"/>
      <c r="AF760" s="87"/>
      <c r="AG760" s="87"/>
      <c r="AH760" s="87"/>
      <c r="AI760" s="87"/>
      <c r="AJ760" s="87"/>
      <c r="AK760" s="87"/>
      <c r="AL760" s="87"/>
      <c r="AM760" s="87"/>
      <c r="AN760" s="87"/>
    </row>
    <row r="761" ht="16.5" customHeight="1">
      <c r="A761" s="87"/>
      <c r="B761" s="87"/>
      <c r="C761" s="87"/>
      <c r="D761" s="87"/>
      <c r="E761" s="87"/>
      <c r="F761" s="79"/>
      <c r="G761" s="87"/>
      <c r="H761" s="92"/>
      <c r="I761" s="87"/>
      <c r="J761" s="87"/>
      <c r="K761" s="89"/>
      <c r="L761" s="87"/>
      <c r="M761" s="87"/>
      <c r="N761" s="87"/>
      <c r="O761" s="87"/>
      <c r="P761" s="87"/>
      <c r="Q761" s="87"/>
      <c r="R761" s="87"/>
      <c r="S761" s="87"/>
      <c r="T761" s="87"/>
      <c r="U761" s="87"/>
      <c r="V761" s="87"/>
      <c r="W761" s="87"/>
      <c r="X761" s="87"/>
      <c r="Y761" s="87"/>
      <c r="Z761" s="87"/>
      <c r="AA761" s="87"/>
      <c r="AB761" s="87"/>
      <c r="AC761" s="87"/>
      <c r="AD761" s="87"/>
      <c r="AE761" s="87"/>
      <c r="AF761" s="87"/>
      <c r="AG761" s="87"/>
      <c r="AH761" s="87"/>
      <c r="AI761" s="87"/>
      <c r="AJ761" s="87"/>
      <c r="AK761" s="87"/>
      <c r="AL761" s="87"/>
      <c r="AM761" s="87"/>
      <c r="AN761" s="87"/>
    </row>
    <row r="762" ht="16.5" customHeight="1">
      <c r="A762" s="87"/>
      <c r="B762" s="87"/>
      <c r="C762" s="87"/>
      <c r="D762" s="87"/>
      <c r="E762" s="87"/>
      <c r="F762" s="79"/>
      <c r="G762" s="87"/>
      <c r="H762" s="92"/>
      <c r="I762" s="87"/>
      <c r="J762" s="87"/>
      <c r="K762" s="89"/>
      <c r="L762" s="87"/>
      <c r="M762" s="87"/>
      <c r="N762" s="87"/>
      <c r="O762" s="87"/>
      <c r="P762" s="87"/>
      <c r="Q762" s="87"/>
      <c r="R762" s="87"/>
      <c r="S762" s="87"/>
      <c r="T762" s="87"/>
      <c r="U762" s="87"/>
      <c r="V762" s="87"/>
      <c r="W762" s="87"/>
      <c r="X762" s="87"/>
      <c r="Y762" s="87"/>
      <c r="Z762" s="87"/>
      <c r="AA762" s="87"/>
      <c r="AB762" s="87"/>
      <c r="AC762" s="87"/>
      <c r="AD762" s="87"/>
      <c r="AE762" s="87"/>
      <c r="AF762" s="87"/>
      <c r="AG762" s="87"/>
      <c r="AH762" s="87"/>
      <c r="AI762" s="87"/>
      <c r="AJ762" s="87"/>
      <c r="AK762" s="87"/>
      <c r="AL762" s="87"/>
      <c r="AM762" s="87"/>
      <c r="AN762" s="87"/>
    </row>
    <row r="763" ht="16.5" customHeight="1">
      <c r="A763" s="87"/>
      <c r="B763" s="87"/>
      <c r="C763" s="87"/>
      <c r="D763" s="87"/>
      <c r="E763" s="87"/>
      <c r="F763" s="79"/>
      <c r="G763" s="87"/>
      <c r="H763" s="92"/>
      <c r="I763" s="87"/>
      <c r="J763" s="87"/>
      <c r="K763" s="89"/>
      <c r="L763" s="87"/>
      <c r="M763" s="87"/>
      <c r="N763" s="87"/>
      <c r="O763" s="87"/>
      <c r="P763" s="87"/>
      <c r="Q763" s="87"/>
      <c r="R763" s="87"/>
      <c r="S763" s="87"/>
      <c r="T763" s="87"/>
      <c r="U763" s="87"/>
      <c r="V763" s="87"/>
      <c r="W763" s="87"/>
      <c r="X763" s="87"/>
      <c r="Y763" s="87"/>
      <c r="Z763" s="87"/>
      <c r="AA763" s="87"/>
      <c r="AB763" s="87"/>
      <c r="AC763" s="87"/>
      <c r="AD763" s="87"/>
      <c r="AE763" s="87"/>
      <c r="AF763" s="87"/>
      <c r="AG763" s="87"/>
      <c r="AH763" s="87"/>
      <c r="AI763" s="87"/>
      <c r="AJ763" s="87"/>
      <c r="AK763" s="87"/>
      <c r="AL763" s="87"/>
      <c r="AM763" s="87"/>
      <c r="AN763" s="87"/>
    </row>
    <row r="764" ht="16.5" customHeight="1">
      <c r="A764" s="87"/>
      <c r="B764" s="87"/>
      <c r="C764" s="87"/>
      <c r="D764" s="87"/>
      <c r="E764" s="87"/>
      <c r="F764" s="79"/>
      <c r="G764" s="87"/>
      <c r="H764" s="92"/>
      <c r="I764" s="87"/>
      <c r="J764" s="87"/>
      <c r="K764" s="89"/>
      <c r="L764" s="87"/>
      <c r="M764" s="87"/>
      <c r="N764" s="87"/>
      <c r="O764" s="87"/>
      <c r="P764" s="87"/>
      <c r="Q764" s="87"/>
      <c r="R764" s="87"/>
      <c r="S764" s="87"/>
      <c r="T764" s="87"/>
      <c r="U764" s="87"/>
      <c r="V764" s="87"/>
      <c r="W764" s="87"/>
      <c r="X764" s="87"/>
      <c r="Y764" s="87"/>
      <c r="Z764" s="87"/>
      <c r="AA764" s="87"/>
      <c r="AB764" s="87"/>
      <c r="AC764" s="87"/>
      <c r="AD764" s="87"/>
      <c r="AE764" s="87"/>
      <c r="AF764" s="87"/>
      <c r="AG764" s="87"/>
      <c r="AH764" s="87"/>
      <c r="AI764" s="87"/>
      <c r="AJ764" s="87"/>
      <c r="AK764" s="87"/>
      <c r="AL764" s="87"/>
      <c r="AM764" s="87"/>
      <c r="AN764" s="87"/>
    </row>
    <row r="765" ht="16.5" customHeight="1">
      <c r="A765" s="87"/>
      <c r="B765" s="87"/>
      <c r="C765" s="87"/>
      <c r="D765" s="87"/>
      <c r="E765" s="87"/>
      <c r="F765" s="79"/>
      <c r="G765" s="87"/>
      <c r="H765" s="92"/>
      <c r="I765" s="87"/>
      <c r="J765" s="87"/>
      <c r="K765" s="89"/>
      <c r="L765" s="87"/>
      <c r="M765" s="87"/>
      <c r="N765" s="87"/>
      <c r="O765" s="87"/>
      <c r="P765" s="87"/>
      <c r="Q765" s="87"/>
      <c r="R765" s="87"/>
      <c r="S765" s="87"/>
      <c r="T765" s="87"/>
      <c r="U765" s="87"/>
      <c r="V765" s="87"/>
      <c r="W765" s="87"/>
      <c r="X765" s="87"/>
      <c r="Y765" s="87"/>
      <c r="Z765" s="87"/>
      <c r="AA765" s="87"/>
      <c r="AB765" s="87"/>
      <c r="AC765" s="87"/>
      <c r="AD765" s="87"/>
      <c r="AE765" s="87"/>
      <c r="AF765" s="87"/>
      <c r="AG765" s="87"/>
      <c r="AH765" s="87"/>
      <c r="AI765" s="87"/>
      <c r="AJ765" s="87"/>
      <c r="AK765" s="87"/>
      <c r="AL765" s="87"/>
      <c r="AM765" s="87"/>
      <c r="AN765" s="87"/>
    </row>
    <row r="766" ht="16.5" customHeight="1">
      <c r="A766" s="87"/>
      <c r="B766" s="87"/>
      <c r="C766" s="87"/>
      <c r="D766" s="87"/>
      <c r="E766" s="87"/>
      <c r="F766" s="79"/>
      <c r="G766" s="87"/>
      <c r="H766" s="92"/>
      <c r="I766" s="87"/>
      <c r="J766" s="87"/>
      <c r="K766" s="89"/>
      <c r="L766" s="87"/>
      <c r="M766" s="87"/>
      <c r="N766" s="87"/>
      <c r="O766" s="87"/>
      <c r="P766" s="87"/>
      <c r="Q766" s="87"/>
      <c r="R766" s="87"/>
      <c r="S766" s="87"/>
      <c r="T766" s="87"/>
      <c r="U766" s="87"/>
      <c r="V766" s="87"/>
      <c r="W766" s="87"/>
      <c r="X766" s="87"/>
      <c r="Y766" s="87"/>
      <c r="Z766" s="87"/>
      <c r="AA766" s="87"/>
      <c r="AB766" s="87"/>
      <c r="AC766" s="87"/>
      <c r="AD766" s="87"/>
      <c r="AE766" s="87"/>
      <c r="AF766" s="87"/>
      <c r="AG766" s="87"/>
      <c r="AH766" s="87"/>
      <c r="AI766" s="87"/>
      <c r="AJ766" s="87"/>
      <c r="AK766" s="87"/>
      <c r="AL766" s="87"/>
      <c r="AM766" s="87"/>
      <c r="AN766" s="87"/>
    </row>
    <row r="767" ht="16.5" customHeight="1">
      <c r="A767" s="87"/>
      <c r="B767" s="87"/>
      <c r="C767" s="87"/>
      <c r="D767" s="87"/>
      <c r="E767" s="87"/>
      <c r="F767" s="79"/>
      <c r="G767" s="87"/>
      <c r="H767" s="92"/>
      <c r="I767" s="87"/>
      <c r="J767" s="87"/>
      <c r="K767" s="89"/>
      <c r="L767" s="87"/>
      <c r="M767" s="87"/>
      <c r="N767" s="87"/>
      <c r="O767" s="87"/>
      <c r="P767" s="87"/>
      <c r="Q767" s="87"/>
      <c r="R767" s="87"/>
      <c r="S767" s="87"/>
      <c r="T767" s="87"/>
      <c r="U767" s="87"/>
      <c r="V767" s="87"/>
      <c r="W767" s="87"/>
      <c r="X767" s="87"/>
      <c r="Y767" s="87"/>
      <c r="Z767" s="87"/>
      <c r="AA767" s="87"/>
      <c r="AB767" s="87"/>
      <c r="AC767" s="87"/>
      <c r="AD767" s="87"/>
      <c r="AE767" s="87"/>
      <c r="AF767" s="87"/>
      <c r="AG767" s="87"/>
      <c r="AH767" s="87"/>
      <c r="AI767" s="87"/>
      <c r="AJ767" s="87"/>
      <c r="AK767" s="87"/>
      <c r="AL767" s="87"/>
      <c r="AM767" s="87"/>
      <c r="AN767" s="87"/>
    </row>
    <row r="768" ht="16.5" customHeight="1">
      <c r="A768" s="87"/>
      <c r="B768" s="87"/>
      <c r="C768" s="87"/>
      <c r="D768" s="87"/>
      <c r="E768" s="87"/>
      <c r="F768" s="79"/>
      <c r="G768" s="87"/>
      <c r="H768" s="92"/>
      <c r="I768" s="87"/>
      <c r="J768" s="87"/>
      <c r="K768" s="89"/>
      <c r="L768" s="87"/>
      <c r="M768" s="87"/>
      <c r="N768" s="87"/>
      <c r="O768" s="87"/>
      <c r="P768" s="87"/>
      <c r="Q768" s="87"/>
      <c r="R768" s="87"/>
      <c r="S768" s="87"/>
      <c r="T768" s="87"/>
      <c r="U768" s="87"/>
      <c r="V768" s="87"/>
      <c r="W768" s="87"/>
      <c r="X768" s="87"/>
      <c r="Y768" s="87"/>
      <c r="Z768" s="87"/>
      <c r="AA768" s="87"/>
      <c r="AB768" s="87"/>
      <c r="AC768" s="87"/>
      <c r="AD768" s="87"/>
      <c r="AE768" s="87"/>
      <c r="AF768" s="87"/>
      <c r="AG768" s="87"/>
      <c r="AH768" s="87"/>
      <c r="AI768" s="87"/>
      <c r="AJ768" s="87"/>
      <c r="AK768" s="87"/>
      <c r="AL768" s="87"/>
      <c r="AM768" s="87"/>
      <c r="AN768" s="87"/>
    </row>
    <row r="769" ht="16.5" customHeight="1">
      <c r="A769" s="87"/>
      <c r="B769" s="87"/>
      <c r="C769" s="87"/>
      <c r="D769" s="87"/>
      <c r="E769" s="87"/>
      <c r="F769" s="79"/>
      <c r="G769" s="87"/>
      <c r="H769" s="92"/>
      <c r="I769" s="87"/>
      <c r="J769" s="87"/>
      <c r="K769" s="89"/>
      <c r="L769" s="87"/>
      <c r="M769" s="87"/>
      <c r="N769" s="87"/>
      <c r="O769" s="87"/>
      <c r="P769" s="87"/>
      <c r="Q769" s="87"/>
      <c r="R769" s="87"/>
      <c r="S769" s="87"/>
      <c r="T769" s="87"/>
      <c r="U769" s="87"/>
      <c r="V769" s="87"/>
      <c r="W769" s="87"/>
      <c r="X769" s="87"/>
      <c r="Y769" s="87"/>
      <c r="Z769" s="87"/>
      <c r="AA769" s="87"/>
      <c r="AB769" s="87"/>
      <c r="AC769" s="87"/>
      <c r="AD769" s="87"/>
      <c r="AE769" s="87"/>
      <c r="AF769" s="87"/>
      <c r="AG769" s="87"/>
      <c r="AH769" s="87"/>
      <c r="AI769" s="87"/>
      <c r="AJ769" s="87"/>
      <c r="AK769" s="87"/>
      <c r="AL769" s="87"/>
      <c r="AM769" s="87"/>
      <c r="AN769" s="87"/>
    </row>
    <row r="770" ht="16.5" customHeight="1">
      <c r="A770" s="87"/>
      <c r="B770" s="87"/>
      <c r="C770" s="87"/>
      <c r="D770" s="87"/>
      <c r="E770" s="87"/>
      <c r="F770" s="79"/>
      <c r="G770" s="87"/>
      <c r="H770" s="92"/>
      <c r="I770" s="87"/>
      <c r="J770" s="87"/>
      <c r="K770" s="89"/>
      <c r="L770" s="87"/>
      <c r="M770" s="87"/>
      <c r="N770" s="87"/>
      <c r="O770" s="87"/>
      <c r="P770" s="87"/>
      <c r="Q770" s="87"/>
      <c r="R770" s="87"/>
      <c r="S770" s="87"/>
      <c r="T770" s="87"/>
      <c r="U770" s="87"/>
      <c r="V770" s="87"/>
      <c r="W770" s="87"/>
      <c r="X770" s="87"/>
      <c r="Y770" s="87"/>
      <c r="Z770" s="87"/>
      <c r="AA770" s="87"/>
      <c r="AB770" s="87"/>
      <c r="AC770" s="87"/>
      <c r="AD770" s="87"/>
      <c r="AE770" s="87"/>
      <c r="AF770" s="87"/>
      <c r="AG770" s="87"/>
      <c r="AH770" s="87"/>
      <c r="AI770" s="87"/>
      <c r="AJ770" s="87"/>
      <c r="AK770" s="87"/>
      <c r="AL770" s="87"/>
      <c r="AM770" s="87"/>
      <c r="AN770" s="87"/>
    </row>
    <row r="771" ht="16.5" customHeight="1">
      <c r="A771" s="87"/>
      <c r="B771" s="87"/>
      <c r="C771" s="87"/>
      <c r="D771" s="87"/>
      <c r="E771" s="87"/>
      <c r="F771" s="79"/>
      <c r="G771" s="87"/>
      <c r="H771" s="92"/>
      <c r="I771" s="87"/>
      <c r="J771" s="87"/>
      <c r="K771" s="89"/>
      <c r="L771" s="87"/>
      <c r="M771" s="87"/>
      <c r="N771" s="87"/>
      <c r="O771" s="87"/>
      <c r="P771" s="87"/>
      <c r="Q771" s="87"/>
      <c r="R771" s="87"/>
      <c r="S771" s="87"/>
      <c r="T771" s="87"/>
      <c r="U771" s="87"/>
      <c r="V771" s="87"/>
      <c r="W771" s="87"/>
      <c r="X771" s="87"/>
      <c r="Y771" s="87"/>
      <c r="Z771" s="87"/>
      <c r="AA771" s="87"/>
      <c r="AB771" s="87"/>
      <c r="AC771" s="87"/>
      <c r="AD771" s="87"/>
      <c r="AE771" s="87"/>
      <c r="AF771" s="87"/>
      <c r="AG771" s="87"/>
      <c r="AH771" s="87"/>
      <c r="AI771" s="87"/>
      <c r="AJ771" s="87"/>
      <c r="AK771" s="87"/>
      <c r="AL771" s="87"/>
      <c r="AM771" s="87"/>
      <c r="AN771" s="87"/>
    </row>
    <row r="772" ht="16.5" customHeight="1">
      <c r="A772" s="87"/>
      <c r="B772" s="87"/>
      <c r="C772" s="87"/>
      <c r="D772" s="87"/>
      <c r="E772" s="87"/>
      <c r="F772" s="79"/>
      <c r="G772" s="87"/>
      <c r="H772" s="92"/>
      <c r="I772" s="87"/>
      <c r="J772" s="87"/>
      <c r="K772" s="89"/>
      <c r="L772" s="87"/>
      <c r="M772" s="87"/>
      <c r="N772" s="87"/>
      <c r="O772" s="87"/>
      <c r="P772" s="87"/>
      <c r="Q772" s="87"/>
      <c r="R772" s="87"/>
      <c r="S772" s="87"/>
      <c r="T772" s="87"/>
      <c r="U772" s="87"/>
      <c r="V772" s="87"/>
      <c r="W772" s="87"/>
      <c r="X772" s="87"/>
      <c r="Y772" s="87"/>
      <c r="Z772" s="87"/>
      <c r="AA772" s="87"/>
      <c r="AB772" s="87"/>
      <c r="AC772" s="87"/>
      <c r="AD772" s="87"/>
      <c r="AE772" s="87"/>
      <c r="AF772" s="87"/>
      <c r="AG772" s="87"/>
      <c r="AH772" s="87"/>
      <c r="AI772" s="87"/>
      <c r="AJ772" s="87"/>
      <c r="AK772" s="87"/>
      <c r="AL772" s="87"/>
      <c r="AM772" s="87"/>
      <c r="AN772" s="87"/>
    </row>
    <row r="773" ht="16.5" customHeight="1">
      <c r="A773" s="87"/>
      <c r="B773" s="87"/>
      <c r="C773" s="87"/>
      <c r="D773" s="87"/>
      <c r="E773" s="87"/>
      <c r="F773" s="79"/>
      <c r="G773" s="87"/>
      <c r="H773" s="92"/>
      <c r="I773" s="87"/>
      <c r="J773" s="87"/>
      <c r="K773" s="89"/>
      <c r="L773" s="87"/>
      <c r="M773" s="87"/>
      <c r="N773" s="87"/>
      <c r="O773" s="87"/>
      <c r="P773" s="87"/>
      <c r="Q773" s="87"/>
      <c r="R773" s="87"/>
      <c r="S773" s="87"/>
      <c r="T773" s="87"/>
      <c r="U773" s="87"/>
      <c r="V773" s="87"/>
      <c r="W773" s="87"/>
      <c r="X773" s="87"/>
      <c r="Y773" s="87"/>
      <c r="Z773" s="87"/>
      <c r="AA773" s="87"/>
      <c r="AB773" s="87"/>
      <c r="AC773" s="87"/>
      <c r="AD773" s="87"/>
      <c r="AE773" s="87"/>
      <c r="AF773" s="87"/>
      <c r="AG773" s="87"/>
      <c r="AH773" s="87"/>
      <c r="AI773" s="87"/>
      <c r="AJ773" s="87"/>
      <c r="AK773" s="87"/>
      <c r="AL773" s="87"/>
      <c r="AM773" s="87"/>
      <c r="AN773" s="87"/>
    </row>
    <row r="774" ht="16.5" customHeight="1">
      <c r="A774" s="87"/>
      <c r="B774" s="87"/>
      <c r="C774" s="87"/>
      <c r="D774" s="87"/>
      <c r="E774" s="87"/>
      <c r="F774" s="79"/>
      <c r="G774" s="87"/>
      <c r="H774" s="92"/>
      <c r="I774" s="87"/>
      <c r="J774" s="87"/>
      <c r="K774" s="89"/>
      <c r="L774" s="87"/>
      <c r="M774" s="87"/>
      <c r="N774" s="87"/>
      <c r="O774" s="87"/>
      <c r="P774" s="87"/>
      <c r="Q774" s="87"/>
      <c r="R774" s="87"/>
      <c r="S774" s="87"/>
      <c r="T774" s="87"/>
      <c r="U774" s="87"/>
      <c r="V774" s="87"/>
      <c r="W774" s="87"/>
      <c r="X774" s="87"/>
      <c r="Y774" s="87"/>
      <c r="Z774" s="87"/>
      <c r="AA774" s="87"/>
      <c r="AB774" s="87"/>
      <c r="AC774" s="87"/>
      <c r="AD774" s="87"/>
      <c r="AE774" s="87"/>
      <c r="AF774" s="87"/>
      <c r="AG774" s="87"/>
      <c r="AH774" s="87"/>
      <c r="AI774" s="87"/>
      <c r="AJ774" s="87"/>
      <c r="AK774" s="87"/>
      <c r="AL774" s="87"/>
      <c r="AM774" s="87"/>
      <c r="AN774" s="87"/>
    </row>
    <row r="775" ht="16.5" customHeight="1">
      <c r="A775" s="87"/>
      <c r="B775" s="87"/>
      <c r="C775" s="87"/>
      <c r="D775" s="87"/>
      <c r="E775" s="87"/>
      <c r="F775" s="79"/>
      <c r="G775" s="87"/>
      <c r="H775" s="92"/>
      <c r="I775" s="87"/>
      <c r="J775" s="87"/>
      <c r="K775" s="89"/>
      <c r="L775" s="87"/>
      <c r="M775" s="87"/>
      <c r="N775" s="87"/>
      <c r="O775" s="87"/>
      <c r="P775" s="87"/>
      <c r="Q775" s="87"/>
      <c r="R775" s="87"/>
      <c r="S775" s="87"/>
      <c r="T775" s="87"/>
      <c r="U775" s="87"/>
      <c r="V775" s="87"/>
      <c r="W775" s="87"/>
      <c r="X775" s="87"/>
      <c r="Y775" s="87"/>
      <c r="Z775" s="87"/>
      <c r="AA775" s="87"/>
      <c r="AB775" s="87"/>
      <c r="AC775" s="87"/>
      <c r="AD775" s="87"/>
      <c r="AE775" s="87"/>
      <c r="AF775" s="87"/>
      <c r="AG775" s="87"/>
      <c r="AH775" s="87"/>
      <c r="AI775" s="87"/>
      <c r="AJ775" s="87"/>
      <c r="AK775" s="87"/>
      <c r="AL775" s="87"/>
      <c r="AM775" s="87"/>
      <c r="AN775" s="87"/>
    </row>
    <row r="776" ht="16.5" customHeight="1">
      <c r="A776" s="87"/>
      <c r="B776" s="87"/>
      <c r="C776" s="87"/>
      <c r="D776" s="87"/>
      <c r="E776" s="87"/>
      <c r="F776" s="79"/>
      <c r="G776" s="87"/>
      <c r="H776" s="92"/>
      <c r="I776" s="87"/>
      <c r="J776" s="87"/>
      <c r="K776" s="89"/>
      <c r="L776" s="87"/>
      <c r="M776" s="87"/>
      <c r="N776" s="87"/>
      <c r="O776" s="87"/>
      <c r="P776" s="87"/>
      <c r="Q776" s="87"/>
      <c r="R776" s="87"/>
      <c r="S776" s="87"/>
      <c r="T776" s="87"/>
      <c r="U776" s="87"/>
      <c r="V776" s="87"/>
      <c r="W776" s="87"/>
      <c r="X776" s="87"/>
      <c r="Y776" s="87"/>
      <c r="Z776" s="87"/>
      <c r="AA776" s="87"/>
      <c r="AB776" s="87"/>
      <c r="AC776" s="87"/>
      <c r="AD776" s="87"/>
      <c r="AE776" s="87"/>
      <c r="AF776" s="87"/>
      <c r="AG776" s="87"/>
      <c r="AH776" s="87"/>
      <c r="AI776" s="87"/>
      <c r="AJ776" s="87"/>
      <c r="AK776" s="87"/>
      <c r="AL776" s="87"/>
      <c r="AM776" s="87"/>
      <c r="AN776" s="87"/>
    </row>
    <row r="777" ht="16.5" customHeight="1">
      <c r="A777" s="87"/>
      <c r="B777" s="87"/>
      <c r="C777" s="87"/>
      <c r="D777" s="87"/>
      <c r="E777" s="87"/>
      <c r="F777" s="79"/>
      <c r="G777" s="87"/>
      <c r="H777" s="92"/>
      <c r="I777" s="87"/>
      <c r="J777" s="87"/>
      <c r="K777" s="89"/>
      <c r="L777" s="87"/>
      <c r="M777" s="87"/>
      <c r="N777" s="87"/>
      <c r="O777" s="87"/>
      <c r="P777" s="87"/>
      <c r="Q777" s="87"/>
      <c r="R777" s="87"/>
      <c r="S777" s="87"/>
      <c r="T777" s="87"/>
      <c r="U777" s="87"/>
      <c r="V777" s="87"/>
      <c r="W777" s="87"/>
      <c r="X777" s="87"/>
      <c r="Y777" s="87"/>
      <c r="Z777" s="87"/>
      <c r="AA777" s="87"/>
      <c r="AB777" s="87"/>
      <c r="AC777" s="87"/>
      <c r="AD777" s="87"/>
      <c r="AE777" s="87"/>
      <c r="AF777" s="87"/>
      <c r="AG777" s="87"/>
      <c r="AH777" s="87"/>
      <c r="AI777" s="87"/>
      <c r="AJ777" s="87"/>
      <c r="AK777" s="87"/>
      <c r="AL777" s="87"/>
      <c r="AM777" s="87"/>
      <c r="AN777" s="87"/>
    </row>
    <row r="778" ht="16.5" customHeight="1">
      <c r="A778" s="87"/>
      <c r="B778" s="87"/>
      <c r="C778" s="87"/>
      <c r="D778" s="87"/>
      <c r="E778" s="87"/>
      <c r="F778" s="79"/>
      <c r="G778" s="87"/>
      <c r="H778" s="92"/>
      <c r="I778" s="87"/>
      <c r="J778" s="87"/>
      <c r="K778" s="89"/>
      <c r="L778" s="87"/>
      <c r="M778" s="87"/>
      <c r="N778" s="87"/>
      <c r="O778" s="87"/>
      <c r="P778" s="87"/>
      <c r="Q778" s="87"/>
      <c r="R778" s="87"/>
      <c r="S778" s="87"/>
      <c r="T778" s="87"/>
      <c r="U778" s="87"/>
      <c r="V778" s="87"/>
      <c r="W778" s="87"/>
      <c r="X778" s="87"/>
      <c r="Y778" s="87"/>
      <c r="Z778" s="87"/>
      <c r="AA778" s="87"/>
      <c r="AB778" s="87"/>
      <c r="AC778" s="87"/>
      <c r="AD778" s="87"/>
      <c r="AE778" s="87"/>
      <c r="AF778" s="87"/>
      <c r="AG778" s="87"/>
      <c r="AH778" s="87"/>
      <c r="AI778" s="87"/>
      <c r="AJ778" s="87"/>
      <c r="AK778" s="87"/>
      <c r="AL778" s="87"/>
      <c r="AM778" s="87"/>
      <c r="AN778" s="87"/>
    </row>
    <row r="779" ht="16.5" customHeight="1">
      <c r="A779" s="87"/>
      <c r="B779" s="87"/>
      <c r="C779" s="87"/>
      <c r="D779" s="87"/>
      <c r="E779" s="87"/>
      <c r="F779" s="79"/>
      <c r="G779" s="87"/>
      <c r="H779" s="92"/>
      <c r="I779" s="87"/>
      <c r="J779" s="87"/>
      <c r="K779" s="89"/>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row>
    <row r="780" ht="16.5" customHeight="1">
      <c r="A780" s="87"/>
      <c r="B780" s="87"/>
      <c r="C780" s="87"/>
      <c r="D780" s="87"/>
      <c r="E780" s="87"/>
      <c r="F780" s="79"/>
      <c r="G780" s="87"/>
      <c r="H780" s="92"/>
      <c r="I780" s="87"/>
      <c r="J780" s="87"/>
      <c r="K780" s="89"/>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row>
    <row r="781" ht="16.5" customHeight="1">
      <c r="A781" s="87"/>
      <c r="B781" s="87"/>
      <c r="C781" s="87"/>
      <c r="D781" s="87"/>
      <c r="E781" s="87"/>
      <c r="F781" s="79"/>
      <c r="G781" s="87"/>
      <c r="H781" s="92"/>
      <c r="I781" s="87"/>
      <c r="J781" s="87"/>
      <c r="K781" s="89"/>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row>
    <row r="782" ht="16.5" customHeight="1">
      <c r="A782" s="87"/>
      <c r="B782" s="87"/>
      <c r="C782" s="87"/>
      <c r="D782" s="87"/>
      <c r="E782" s="87"/>
      <c r="F782" s="79"/>
      <c r="G782" s="87"/>
      <c r="H782" s="92"/>
      <c r="I782" s="87"/>
      <c r="J782" s="87"/>
      <c r="K782" s="89"/>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row>
    <row r="783" ht="16.5" customHeight="1">
      <c r="A783" s="87"/>
      <c r="B783" s="87"/>
      <c r="C783" s="87"/>
      <c r="D783" s="87"/>
      <c r="E783" s="87"/>
      <c r="F783" s="79"/>
      <c r="G783" s="87"/>
      <c r="H783" s="92"/>
      <c r="I783" s="87"/>
      <c r="J783" s="87"/>
      <c r="K783" s="89"/>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row>
    <row r="784" ht="16.5" customHeight="1">
      <c r="A784" s="87"/>
      <c r="B784" s="87"/>
      <c r="C784" s="87"/>
      <c r="D784" s="87"/>
      <c r="E784" s="87"/>
      <c r="F784" s="79"/>
      <c r="G784" s="87"/>
      <c r="H784" s="92"/>
      <c r="I784" s="87"/>
      <c r="J784" s="87"/>
      <c r="K784" s="89"/>
      <c r="L784" s="87"/>
      <c r="M784" s="87"/>
      <c r="N784" s="87"/>
      <c r="O784" s="87"/>
      <c r="P784" s="87"/>
      <c r="Q784" s="87"/>
      <c r="R784" s="87"/>
      <c r="S784" s="87"/>
      <c r="T784" s="87"/>
      <c r="U784" s="87"/>
      <c r="V784" s="87"/>
      <c r="W784" s="87"/>
      <c r="X784" s="87"/>
      <c r="Y784" s="87"/>
      <c r="Z784" s="87"/>
      <c r="AA784" s="87"/>
      <c r="AB784" s="87"/>
      <c r="AC784" s="87"/>
      <c r="AD784" s="87"/>
      <c r="AE784" s="87"/>
      <c r="AF784" s="87"/>
      <c r="AG784" s="87"/>
      <c r="AH784" s="87"/>
      <c r="AI784" s="87"/>
      <c r="AJ784" s="87"/>
      <c r="AK784" s="87"/>
      <c r="AL784" s="87"/>
      <c r="AM784" s="87"/>
      <c r="AN784" s="87"/>
    </row>
    <row r="785" ht="16.5" customHeight="1">
      <c r="A785" s="87"/>
      <c r="B785" s="87"/>
      <c r="C785" s="87"/>
      <c r="D785" s="87"/>
      <c r="E785" s="87"/>
      <c r="F785" s="79"/>
      <c r="G785" s="87"/>
      <c r="H785" s="92"/>
      <c r="I785" s="87"/>
      <c r="J785" s="87"/>
      <c r="K785" s="89"/>
      <c r="L785" s="87"/>
      <c r="M785" s="87"/>
      <c r="N785" s="87"/>
      <c r="O785" s="87"/>
      <c r="P785" s="87"/>
      <c r="Q785" s="87"/>
      <c r="R785" s="87"/>
      <c r="S785" s="87"/>
      <c r="T785" s="87"/>
      <c r="U785" s="87"/>
      <c r="V785" s="87"/>
      <c r="W785" s="87"/>
      <c r="X785" s="87"/>
      <c r="Y785" s="87"/>
      <c r="Z785" s="87"/>
      <c r="AA785" s="87"/>
      <c r="AB785" s="87"/>
      <c r="AC785" s="87"/>
      <c r="AD785" s="87"/>
      <c r="AE785" s="87"/>
      <c r="AF785" s="87"/>
      <c r="AG785" s="87"/>
      <c r="AH785" s="87"/>
      <c r="AI785" s="87"/>
      <c r="AJ785" s="87"/>
      <c r="AK785" s="87"/>
      <c r="AL785" s="87"/>
      <c r="AM785" s="87"/>
      <c r="AN785" s="87"/>
    </row>
    <row r="786" ht="16.5" customHeight="1">
      <c r="A786" s="87"/>
      <c r="B786" s="87"/>
      <c r="C786" s="87"/>
      <c r="D786" s="87"/>
      <c r="E786" s="87"/>
      <c r="F786" s="79"/>
      <c r="G786" s="87"/>
      <c r="H786" s="92"/>
      <c r="I786" s="87"/>
      <c r="J786" s="87"/>
      <c r="K786" s="89"/>
      <c r="L786" s="87"/>
      <c r="M786" s="87"/>
      <c r="N786" s="87"/>
      <c r="O786" s="87"/>
      <c r="P786" s="87"/>
      <c r="Q786" s="87"/>
      <c r="R786" s="87"/>
      <c r="S786" s="87"/>
      <c r="T786" s="87"/>
      <c r="U786" s="87"/>
      <c r="V786" s="87"/>
      <c r="W786" s="87"/>
      <c r="X786" s="87"/>
      <c r="Y786" s="87"/>
      <c r="Z786" s="87"/>
      <c r="AA786" s="87"/>
      <c r="AB786" s="87"/>
      <c r="AC786" s="87"/>
      <c r="AD786" s="87"/>
      <c r="AE786" s="87"/>
      <c r="AF786" s="87"/>
      <c r="AG786" s="87"/>
      <c r="AH786" s="87"/>
      <c r="AI786" s="87"/>
      <c r="AJ786" s="87"/>
      <c r="AK786" s="87"/>
      <c r="AL786" s="87"/>
      <c r="AM786" s="87"/>
      <c r="AN786" s="87"/>
    </row>
    <row r="787" ht="16.5" customHeight="1">
      <c r="A787" s="87"/>
      <c r="B787" s="87"/>
      <c r="C787" s="87"/>
      <c r="D787" s="87"/>
      <c r="E787" s="87"/>
      <c r="F787" s="79"/>
      <c r="G787" s="87"/>
      <c r="H787" s="92"/>
      <c r="I787" s="87"/>
      <c r="J787" s="87"/>
      <c r="K787" s="89"/>
      <c r="L787" s="87"/>
      <c r="M787" s="87"/>
      <c r="N787" s="87"/>
      <c r="O787" s="87"/>
      <c r="P787" s="87"/>
      <c r="Q787" s="87"/>
      <c r="R787" s="87"/>
      <c r="S787" s="87"/>
      <c r="T787" s="87"/>
      <c r="U787" s="87"/>
      <c r="V787" s="87"/>
      <c r="W787" s="87"/>
      <c r="X787" s="87"/>
      <c r="Y787" s="87"/>
      <c r="Z787" s="87"/>
      <c r="AA787" s="87"/>
      <c r="AB787" s="87"/>
      <c r="AC787" s="87"/>
      <c r="AD787" s="87"/>
      <c r="AE787" s="87"/>
      <c r="AF787" s="87"/>
      <c r="AG787" s="87"/>
      <c r="AH787" s="87"/>
      <c r="AI787" s="87"/>
      <c r="AJ787" s="87"/>
      <c r="AK787" s="87"/>
      <c r="AL787" s="87"/>
      <c r="AM787" s="87"/>
      <c r="AN787" s="87"/>
    </row>
    <row r="788" ht="16.5" customHeight="1">
      <c r="A788" s="87"/>
      <c r="B788" s="87"/>
      <c r="C788" s="87"/>
      <c r="D788" s="87"/>
      <c r="E788" s="87"/>
      <c r="F788" s="79"/>
      <c r="G788" s="87"/>
      <c r="H788" s="92"/>
      <c r="I788" s="87"/>
      <c r="J788" s="87"/>
      <c r="K788" s="89"/>
      <c r="L788" s="87"/>
      <c r="M788" s="87"/>
      <c r="N788" s="87"/>
      <c r="O788" s="87"/>
      <c r="P788" s="87"/>
      <c r="Q788" s="87"/>
      <c r="R788" s="87"/>
      <c r="S788" s="87"/>
      <c r="T788" s="87"/>
      <c r="U788" s="87"/>
      <c r="V788" s="87"/>
      <c r="W788" s="87"/>
      <c r="X788" s="87"/>
      <c r="Y788" s="87"/>
      <c r="Z788" s="87"/>
      <c r="AA788" s="87"/>
      <c r="AB788" s="87"/>
      <c r="AC788" s="87"/>
      <c r="AD788" s="87"/>
      <c r="AE788" s="87"/>
      <c r="AF788" s="87"/>
      <c r="AG788" s="87"/>
      <c r="AH788" s="87"/>
      <c r="AI788" s="87"/>
      <c r="AJ788" s="87"/>
      <c r="AK788" s="87"/>
      <c r="AL788" s="87"/>
      <c r="AM788" s="87"/>
      <c r="AN788" s="87"/>
    </row>
    <row r="789" ht="16.5" customHeight="1">
      <c r="A789" s="87"/>
      <c r="B789" s="87"/>
      <c r="C789" s="87"/>
      <c r="D789" s="87"/>
      <c r="E789" s="87"/>
      <c r="F789" s="79"/>
      <c r="G789" s="87"/>
      <c r="H789" s="92"/>
      <c r="I789" s="87"/>
      <c r="J789" s="87"/>
      <c r="K789" s="89"/>
      <c r="L789" s="87"/>
      <c r="M789" s="87"/>
      <c r="N789" s="87"/>
      <c r="O789" s="87"/>
      <c r="P789" s="87"/>
      <c r="Q789" s="87"/>
      <c r="R789" s="87"/>
      <c r="S789" s="87"/>
      <c r="T789" s="87"/>
      <c r="U789" s="87"/>
      <c r="V789" s="87"/>
      <c r="W789" s="87"/>
      <c r="X789" s="87"/>
      <c r="Y789" s="87"/>
      <c r="Z789" s="87"/>
      <c r="AA789" s="87"/>
      <c r="AB789" s="87"/>
      <c r="AC789" s="87"/>
      <c r="AD789" s="87"/>
      <c r="AE789" s="87"/>
      <c r="AF789" s="87"/>
      <c r="AG789" s="87"/>
      <c r="AH789" s="87"/>
      <c r="AI789" s="87"/>
      <c r="AJ789" s="87"/>
      <c r="AK789" s="87"/>
      <c r="AL789" s="87"/>
      <c r="AM789" s="87"/>
      <c r="AN789" s="87"/>
    </row>
    <row r="790" ht="16.5" customHeight="1">
      <c r="A790" s="87"/>
      <c r="B790" s="87"/>
      <c r="C790" s="87"/>
      <c r="D790" s="87"/>
      <c r="E790" s="87"/>
      <c r="F790" s="79"/>
      <c r="G790" s="87"/>
      <c r="H790" s="92"/>
      <c r="I790" s="87"/>
      <c r="J790" s="87"/>
      <c r="K790" s="89"/>
      <c r="L790" s="87"/>
      <c r="M790" s="87"/>
      <c r="N790" s="87"/>
      <c r="O790" s="87"/>
      <c r="P790" s="87"/>
      <c r="Q790" s="87"/>
      <c r="R790" s="87"/>
      <c r="S790" s="87"/>
      <c r="T790" s="87"/>
      <c r="U790" s="87"/>
      <c r="V790" s="87"/>
      <c r="W790" s="87"/>
      <c r="X790" s="87"/>
      <c r="Y790" s="87"/>
      <c r="Z790" s="87"/>
      <c r="AA790" s="87"/>
      <c r="AB790" s="87"/>
      <c r="AC790" s="87"/>
      <c r="AD790" s="87"/>
      <c r="AE790" s="87"/>
      <c r="AF790" s="87"/>
      <c r="AG790" s="87"/>
      <c r="AH790" s="87"/>
      <c r="AI790" s="87"/>
      <c r="AJ790" s="87"/>
      <c r="AK790" s="87"/>
      <c r="AL790" s="87"/>
      <c r="AM790" s="87"/>
      <c r="AN790" s="87"/>
    </row>
    <row r="791" ht="16.5" customHeight="1">
      <c r="A791" s="87"/>
      <c r="B791" s="87"/>
      <c r="C791" s="87"/>
      <c r="D791" s="87"/>
      <c r="E791" s="87"/>
      <c r="F791" s="79"/>
      <c r="G791" s="87"/>
      <c r="H791" s="92"/>
      <c r="I791" s="87"/>
      <c r="J791" s="87"/>
      <c r="K791" s="89"/>
      <c r="L791" s="87"/>
      <c r="M791" s="87"/>
      <c r="N791" s="87"/>
      <c r="O791" s="87"/>
      <c r="P791" s="87"/>
      <c r="Q791" s="87"/>
      <c r="R791" s="87"/>
      <c r="S791" s="87"/>
      <c r="T791" s="87"/>
      <c r="U791" s="87"/>
      <c r="V791" s="87"/>
      <c r="W791" s="87"/>
      <c r="X791" s="87"/>
      <c r="Y791" s="87"/>
      <c r="Z791" s="87"/>
      <c r="AA791" s="87"/>
      <c r="AB791" s="87"/>
      <c r="AC791" s="87"/>
      <c r="AD791" s="87"/>
      <c r="AE791" s="87"/>
      <c r="AF791" s="87"/>
      <c r="AG791" s="87"/>
      <c r="AH791" s="87"/>
      <c r="AI791" s="87"/>
      <c r="AJ791" s="87"/>
      <c r="AK791" s="87"/>
      <c r="AL791" s="87"/>
      <c r="AM791" s="87"/>
      <c r="AN791" s="87"/>
    </row>
    <row r="792" ht="16.5" customHeight="1">
      <c r="A792" s="87"/>
      <c r="B792" s="87"/>
      <c r="C792" s="87"/>
      <c r="D792" s="87"/>
      <c r="E792" s="87"/>
      <c r="F792" s="79"/>
      <c r="G792" s="87"/>
      <c r="H792" s="92"/>
      <c r="I792" s="87"/>
      <c r="J792" s="87"/>
      <c r="K792" s="89"/>
      <c r="L792" s="87"/>
      <c r="M792" s="87"/>
      <c r="N792" s="87"/>
      <c r="O792" s="87"/>
      <c r="P792" s="87"/>
      <c r="Q792" s="87"/>
      <c r="R792" s="87"/>
      <c r="S792" s="87"/>
      <c r="T792" s="87"/>
      <c r="U792" s="87"/>
      <c r="V792" s="87"/>
      <c r="W792" s="87"/>
      <c r="X792" s="87"/>
      <c r="Y792" s="87"/>
      <c r="Z792" s="87"/>
      <c r="AA792" s="87"/>
      <c r="AB792" s="87"/>
      <c r="AC792" s="87"/>
      <c r="AD792" s="87"/>
      <c r="AE792" s="87"/>
      <c r="AF792" s="87"/>
      <c r="AG792" s="87"/>
      <c r="AH792" s="87"/>
      <c r="AI792" s="87"/>
      <c r="AJ792" s="87"/>
      <c r="AK792" s="87"/>
      <c r="AL792" s="87"/>
      <c r="AM792" s="87"/>
      <c r="AN792" s="87"/>
    </row>
    <row r="793" ht="16.5" customHeight="1">
      <c r="A793" s="87"/>
      <c r="B793" s="87"/>
      <c r="C793" s="87"/>
      <c r="D793" s="87"/>
      <c r="E793" s="87"/>
      <c r="F793" s="79"/>
      <c r="G793" s="87"/>
      <c r="H793" s="92"/>
      <c r="I793" s="87"/>
      <c r="J793" s="87"/>
      <c r="K793" s="89"/>
      <c r="L793" s="87"/>
      <c r="M793" s="87"/>
      <c r="N793" s="87"/>
      <c r="O793" s="87"/>
      <c r="P793" s="87"/>
      <c r="Q793" s="87"/>
      <c r="R793" s="87"/>
      <c r="S793" s="87"/>
      <c r="T793" s="87"/>
      <c r="U793" s="87"/>
      <c r="V793" s="87"/>
      <c r="W793" s="87"/>
      <c r="X793" s="87"/>
      <c r="Y793" s="87"/>
      <c r="Z793" s="87"/>
      <c r="AA793" s="87"/>
      <c r="AB793" s="87"/>
      <c r="AC793" s="87"/>
      <c r="AD793" s="87"/>
      <c r="AE793" s="87"/>
      <c r="AF793" s="87"/>
      <c r="AG793" s="87"/>
      <c r="AH793" s="87"/>
      <c r="AI793" s="87"/>
      <c r="AJ793" s="87"/>
      <c r="AK793" s="87"/>
      <c r="AL793" s="87"/>
      <c r="AM793" s="87"/>
      <c r="AN793" s="87"/>
    </row>
    <row r="794" ht="16.5" customHeight="1">
      <c r="A794" s="87"/>
      <c r="B794" s="87"/>
      <c r="C794" s="87"/>
      <c r="D794" s="87"/>
      <c r="E794" s="87"/>
      <c r="F794" s="79"/>
      <c r="G794" s="87"/>
      <c r="H794" s="92"/>
      <c r="I794" s="87"/>
      <c r="J794" s="87"/>
      <c r="K794" s="89"/>
      <c r="L794" s="87"/>
      <c r="M794" s="87"/>
      <c r="N794" s="87"/>
      <c r="O794" s="87"/>
      <c r="P794" s="87"/>
      <c r="Q794" s="87"/>
      <c r="R794" s="87"/>
      <c r="S794" s="87"/>
      <c r="T794" s="87"/>
      <c r="U794" s="87"/>
      <c r="V794" s="87"/>
      <c r="W794" s="87"/>
      <c r="X794" s="87"/>
      <c r="Y794" s="87"/>
      <c r="Z794" s="87"/>
      <c r="AA794" s="87"/>
      <c r="AB794" s="87"/>
      <c r="AC794" s="87"/>
      <c r="AD794" s="87"/>
      <c r="AE794" s="87"/>
      <c r="AF794" s="87"/>
      <c r="AG794" s="87"/>
      <c r="AH794" s="87"/>
      <c r="AI794" s="87"/>
      <c r="AJ794" s="87"/>
      <c r="AK794" s="87"/>
      <c r="AL794" s="87"/>
      <c r="AM794" s="87"/>
      <c r="AN794" s="87"/>
    </row>
    <row r="795" ht="16.5" customHeight="1">
      <c r="A795" s="87"/>
      <c r="B795" s="87"/>
      <c r="C795" s="87"/>
      <c r="D795" s="87"/>
      <c r="E795" s="87"/>
      <c r="F795" s="79"/>
      <c r="G795" s="87"/>
      <c r="H795" s="92"/>
      <c r="I795" s="87"/>
      <c r="J795" s="87"/>
      <c r="K795" s="89"/>
      <c r="L795" s="87"/>
      <c r="M795" s="87"/>
      <c r="N795" s="87"/>
      <c r="O795" s="87"/>
      <c r="P795" s="87"/>
      <c r="Q795" s="87"/>
      <c r="R795" s="87"/>
      <c r="S795" s="87"/>
      <c r="T795" s="87"/>
      <c r="U795" s="87"/>
      <c r="V795" s="87"/>
      <c r="W795" s="87"/>
      <c r="X795" s="87"/>
      <c r="Y795" s="87"/>
      <c r="Z795" s="87"/>
      <c r="AA795" s="87"/>
      <c r="AB795" s="87"/>
      <c r="AC795" s="87"/>
      <c r="AD795" s="87"/>
      <c r="AE795" s="87"/>
      <c r="AF795" s="87"/>
      <c r="AG795" s="87"/>
      <c r="AH795" s="87"/>
      <c r="AI795" s="87"/>
      <c r="AJ795" s="87"/>
      <c r="AK795" s="87"/>
      <c r="AL795" s="87"/>
      <c r="AM795" s="87"/>
      <c r="AN795" s="87"/>
    </row>
    <row r="796" ht="16.5" customHeight="1">
      <c r="A796" s="87"/>
      <c r="B796" s="87"/>
      <c r="C796" s="87"/>
      <c r="D796" s="87"/>
      <c r="E796" s="87"/>
      <c r="F796" s="79"/>
      <c r="G796" s="87"/>
      <c r="H796" s="92"/>
      <c r="I796" s="87"/>
      <c r="J796" s="87"/>
      <c r="K796" s="89"/>
      <c r="L796" s="87"/>
      <c r="M796" s="87"/>
      <c r="N796" s="87"/>
      <c r="O796" s="87"/>
      <c r="P796" s="87"/>
      <c r="Q796" s="87"/>
      <c r="R796" s="87"/>
      <c r="S796" s="87"/>
      <c r="T796" s="87"/>
      <c r="U796" s="87"/>
      <c r="V796" s="87"/>
      <c r="W796" s="87"/>
      <c r="X796" s="87"/>
      <c r="Y796" s="87"/>
      <c r="Z796" s="87"/>
      <c r="AA796" s="87"/>
      <c r="AB796" s="87"/>
      <c r="AC796" s="87"/>
      <c r="AD796" s="87"/>
      <c r="AE796" s="87"/>
      <c r="AF796" s="87"/>
      <c r="AG796" s="87"/>
      <c r="AH796" s="87"/>
      <c r="AI796" s="87"/>
      <c r="AJ796" s="87"/>
      <c r="AK796" s="87"/>
      <c r="AL796" s="87"/>
      <c r="AM796" s="87"/>
      <c r="AN796" s="87"/>
    </row>
    <row r="797" ht="16.5" customHeight="1">
      <c r="A797" s="87"/>
      <c r="B797" s="87"/>
      <c r="C797" s="87"/>
      <c r="D797" s="87"/>
      <c r="E797" s="87"/>
      <c r="F797" s="79"/>
      <c r="G797" s="87"/>
      <c r="H797" s="92"/>
      <c r="I797" s="87"/>
      <c r="J797" s="87"/>
      <c r="K797" s="89"/>
      <c r="L797" s="87"/>
      <c r="M797" s="87"/>
      <c r="N797" s="87"/>
      <c r="O797" s="87"/>
      <c r="P797" s="87"/>
      <c r="Q797" s="87"/>
      <c r="R797" s="87"/>
      <c r="S797" s="87"/>
      <c r="T797" s="87"/>
      <c r="U797" s="87"/>
      <c r="V797" s="87"/>
      <c r="W797" s="87"/>
      <c r="X797" s="87"/>
      <c r="Y797" s="87"/>
      <c r="Z797" s="87"/>
      <c r="AA797" s="87"/>
      <c r="AB797" s="87"/>
      <c r="AC797" s="87"/>
      <c r="AD797" s="87"/>
      <c r="AE797" s="87"/>
      <c r="AF797" s="87"/>
      <c r="AG797" s="87"/>
      <c r="AH797" s="87"/>
      <c r="AI797" s="87"/>
      <c r="AJ797" s="87"/>
      <c r="AK797" s="87"/>
      <c r="AL797" s="87"/>
      <c r="AM797" s="87"/>
      <c r="AN797" s="87"/>
    </row>
    <row r="798" ht="16.5" customHeight="1">
      <c r="A798" s="87"/>
      <c r="B798" s="87"/>
      <c r="C798" s="87"/>
      <c r="D798" s="87"/>
      <c r="E798" s="87"/>
      <c r="F798" s="79"/>
      <c r="G798" s="87"/>
      <c r="H798" s="92"/>
      <c r="I798" s="87"/>
      <c r="J798" s="87"/>
      <c r="K798" s="89"/>
      <c r="L798" s="87"/>
      <c r="M798" s="87"/>
      <c r="N798" s="87"/>
      <c r="O798" s="87"/>
      <c r="P798" s="87"/>
      <c r="Q798" s="87"/>
      <c r="R798" s="87"/>
      <c r="S798" s="87"/>
      <c r="T798" s="87"/>
      <c r="U798" s="87"/>
      <c r="V798" s="87"/>
      <c r="W798" s="87"/>
      <c r="X798" s="87"/>
      <c r="Y798" s="87"/>
      <c r="Z798" s="87"/>
      <c r="AA798" s="87"/>
      <c r="AB798" s="87"/>
      <c r="AC798" s="87"/>
      <c r="AD798" s="87"/>
      <c r="AE798" s="87"/>
      <c r="AF798" s="87"/>
      <c r="AG798" s="87"/>
      <c r="AH798" s="87"/>
      <c r="AI798" s="87"/>
      <c r="AJ798" s="87"/>
      <c r="AK798" s="87"/>
      <c r="AL798" s="87"/>
      <c r="AM798" s="87"/>
      <c r="AN798" s="87"/>
    </row>
    <row r="799" ht="16.5" customHeight="1">
      <c r="A799" s="87"/>
      <c r="B799" s="87"/>
      <c r="C799" s="87"/>
      <c r="D799" s="87"/>
      <c r="E799" s="87"/>
      <c r="F799" s="79"/>
      <c r="G799" s="87"/>
      <c r="H799" s="92"/>
      <c r="I799" s="87"/>
      <c r="J799" s="87"/>
      <c r="K799" s="89"/>
      <c r="L799" s="87"/>
      <c r="M799" s="87"/>
      <c r="N799" s="87"/>
      <c r="O799" s="87"/>
      <c r="P799" s="87"/>
      <c r="Q799" s="87"/>
      <c r="R799" s="87"/>
      <c r="S799" s="87"/>
      <c r="T799" s="87"/>
      <c r="U799" s="87"/>
      <c r="V799" s="87"/>
      <c r="W799" s="87"/>
      <c r="X799" s="87"/>
      <c r="Y799" s="87"/>
      <c r="Z799" s="87"/>
      <c r="AA799" s="87"/>
      <c r="AB799" s="87"/>
      <c r="AC799" s="87"/>
      <c r="AD799" s="87"/>
      <c r="AE799" s="87"/>
      <c r="AF799" s="87"/>
      <c r="AG799" s="87"/>
      <c r="AH799" s="87"/>
      <c r="AI799" s="87"/>
      <c r="AJ799" s="87"/>
      <c r="AK799" s="87"/>
      <c r="AL799" s="87"/>
      <c r="AM799" s="87"/>
      <c r="AN799" s="87"/>
    </row>
    <row r="800" ht="16.5" customHeight="1">
      <c r="A800" s="87"/>
      <c r="B800" s="87"/>
      <c r="C800" s="87"/>
      <c r="D800" s="87"/>
      <c r="E800" s="87"/>
      <c r="F800" s="79"/>
      <c r="G800" s="87"/>
      <c r="H800" s="92"/>
      <c r="I800" s="87"/>
      <c r="J800" s="87"/>
      <c r="K800" s="89"/>
      <c r="L800" s="87"/>
      <c r="M800" s="87"/>
      <c r="N800" s="87"/>
      <c r="O800" s="87"/>
      <c r="P800" s="87"/>
      <c r="Q800" s="87"/>
      <c r="R800" s="87"/>
      <c r="S800" s="87"/>
      <c r="T800" s="87"/>
      <c r="U800" s="87"/>
      <c r="V800" s="87"/>
      <c r="W800" s="87"/>
      <c r="X800" s="87"/>
      <c r="Y800" s="87"/>
      <c r="Z800" s="87"/>
      <c r="AA800" s="87"/>
      <c r="AB800" s="87"/>
      <c r="AC800" s="87"/>
      <c r="AD800" s="87"/>
      <c r="AE800" s="87"/>
      <c r="AF800" s="87"/>
      <c r="AG800" s="87"/>
      <c r="AH800" s="87"/>
      <c r="AI800" s="87"/>
      <c r="AJ800" s="87"/>
      <c r="AK800" s="87"/>
      <c r="AL800" s="87"/>
      <c r="AM800" s="87"/>
      <c r="AN800" s="87"/>
    </row>
    <row r="801" ht="16.5" customHeight="1">
      <c r="A801" s="87"/>
      <c r="B801" s="87"/>
      <c r="C801" s="87"/>
      <c r="D801" s="87"/>
      <c r="E801" s="87"/>
      <c r="F801" s="79"/>
      <c r="G801" s="87"/>
      <c r="H801" s="92"/>
      <c r="I801" s="87"/>
      <c r="J801" s="87"/>
      <c r="K801" s="89"/>
      <c r="L801" s="87"/>
      <c r="M801" s="87"/>
      <c r="N801" s="87"/>
      <c r="O801" s="87"/>
      <c r="P801" s="87"/>
      <c r="Q801" s="87"/>
      <c r="R801" s="87"/>
      <c r="S801" s="87"/>
      <c r="T801" s="87"/>
      <c r="U801" s="87"/>
      <c r="V801" s="87"/>
      <c r="W801" s="87"/>
      <c r="X801" s="87"/>
      <c r="Y801" s="87"/>
      <c r="Z801" s="87"/>
      <c r="AA801" s="87"/>
      <c r="AB801" s="87"/>
      <c r="AC801" s="87"/>
      <c r="AD801" s="87"/>
      <c r="AE801" s="87"/>
      <c r="AF801" s="87"/>
      <c r="AG801" s="87"/>
      <c r="AH801" s="87"/>
      <c r="AI801" s="87"/>
      <c r="AJ801" s="87"/>
      <c r="AK801" s="87"/>
      <c r="AL801" s="87"/>
      <c r="AM801" s="87"/>
      <c r="AN801" s="87"/>
    </row>
    <row r="802" ht="16.5" customHeight="1">
      <c r="A802" s="87"/>
      <c r="B802" s="87"/>
      <c r="C802" s="87"/>
      <c r="D802" s="87"/>
      <c r="E802" s="87"/>
      <c r="F802" s="79"/>
      <c r="G802" s="87"/>
      <c r="H802" s="92"/>
      <c r="I802" s="87"/>
      <c r="J802" s="87"/>
      <c r="K802" s="89"/>
      <c r="L802" s="87"/>
      <c r="M802" s="87"/>
      <c r="N802" s="87"/>
      <c r="O802" s="87"/>
      <c r="P802" s="87"/>
      <c r="Q802" s="87"/>
      <c r="R802" s="87"/>
      <c r="S802" s="87"/>
      <c r="T802" s="87"/>
      <c r="U802" s="87"/>
      <c r="V802" s="87"/>
      <c r="W802" s="87"/>
      <c r="X802" s="87"/>
      <c r="Y802" s="87"/>
      <c r="Z802" s="87"/>
      <c r="AA802" s="87"/>
      <c r="AB802" s="87"/>
      <c r="AC802" s="87"/>
      <c r="AD802" s="87"/>
      <c r="AE802" s="87"/>
      <c r="AF802" s="87"/>
      <c r="AG802" s="87"/>
      <c r="AH802" s="87"/>
      <c r="AI802" s="87"/>
      <c r="AJ802" s="87"/>
      <c r="AK802" s="87"/>
      <c r="AL802" s="87"/>
      <c r="AM802" s="87"/>
      <c r="AN802" s="87"/>
    </row>
    <row r="803" ht="16.5" customHeight="1">
      <c r="A803" s="87"/>
      <c r="B803" s="87"/>
      <c r="C803" s="87"/>
      <c r="D803" s="87"/>
      <c r="E803" s="87"/>
      <c r="F803" s="79"/>
      <c r="G803" s="87"/>
      <c r="H803" s="92"/>
      <c r="I803" s="87"/>
      <c r="J803" s="87"/>
      <c r="K803" s="89"/>
      <c r="L803" s="87"/>
      <c r="M803" s="87"/>
      <c r="N803" s="87"/>
      <c r="O803" s="87"/>
      <c r="P803" s="87"/>
      <c r="Q803" s="87"/>
      <c r="R803" s="87"/>
      <c r="S803" s="87"/>
      <c r="T803" s="87"/>
      <c r="U803" s="87"/>
      <c r="V803" s="87"/>
      <c r="W803" s="87"/>
      <c r="X803" s="87"/>
      <c r="Y803" s="87"/>
      <c r="Z803" s="87"/>
      <c r="AA803" s="87"/>
      <c r="AB803" s="87"/>
      <c r="AC803" s="87"/>
      <c r="AD803" s="87"/>
      <c r="AE803" s="87"/>
      <c r="AF803" s="87"/>
      <c r="AG803" s="87"/>
      <c r="AH803" s="87"/>
      <c r="AI803" s="87"/>
      <c r="AJ803" s="87"/>
      <c r="AK803" s="87"/>
      <c r="AL803" s="87"/>
      <c r="AM803" s="87"/>
      <c r="AN803" s="87"/>
    </row>
    <row r="804" ht="16.5" customHeight="1">
      <c r="A804" s="87"/>
      <c r="B804" s="87"/>
      <c r="C804" s="87"/>
      <c r="D804" s="87"/>
      <c r="E804" s="87"/>
      <c r="F804" s="79"/>
      <c r="G804" s="87"/>
      <c r="H804" s="92"/>
      <c r="I804" s="87"/>
      <c r="J804" s="87"/>
      <c r="K804" s="89"/>
      <c r="L804" s="87"/>
      <c r="M804" s="87"/>
      <c r="N804" s="87"/>
      <c r="O804" s="87"/>
      <c r="P804" s="87"/>
      <c r="Q804" s="87"/>
      <c r="R804" s="87"/>
      <c r="S804" s="87"/>
      <c r="T804" s="87"/>
      <c r="U804" s="87"/>
      <c r="V804" s="87"/>
      <c r="W804" s="87"/>
      <c r="X804" s="87"/>
      <c r="Y804" s="87"/>
      <c r="Z804" s="87"/>
      <c r="AA804" s="87"/>
      <c r="AB804" s="87"/>
      <c r="AC804" s="87"/>
      <c r="AD804" s="87"/>
      <c r="AE804" s="87"/>
      <c r="AF804" s="87"/>
      <c r="AG804" s="87"/>
      <c r="AH804" s="87"/>
      <c r="AI804" s="87"/>
      <c r="AJ804" s="87"/>
      <c r="AK804" s="87"/>
      <c r="AL804" s="87"/>
      <c r="AM804" s="87"/>
      <c r="AN804" s="87"/>
    </row>
    <row r="805" ht="16.5" customHeight="1">
      <c r="A805" s="87"/>
      <c r="B805" s="87"/>
      <c r="C805" s="87"/>
      <c r="D805" s="87"/>
      <c r="E805" s="87"/>
      <c r="F805" s="79"/>
      <c r="G805" s="87"/>
      <c r="H805" s="92"/>
      <c r="I805" s="87"/>
      <c r="J805" s="87"/>
      <c r="K805" s="89"/>
      <c r="L805" s="87"/>
      <c r="M805" s="87"/>
      <c r="N805" s="87"/>
      <c r="O805" s="87"/>
      <c r="P805" s="87"/>
      <c r="Q805" s="87"/>
      <c r="R805" s="87"/>
      <c r="S805" s="87"/>
      <c r="T805" s="87"/>
      <c r="U805" s="87"/>
      <c r="V805" s="87"/>
      <c r="W805" s="87"/>
      <c r="X805" s="87"/>
      <c r="Y805" s="87"/>
      <c r="Z805" s="87"/>
      <c r="AA805" s="87"/>
      <c r="AB805" s="87"/>
      <c r="AC805" s="87"/>
      <c r="AD805" s="87"/>
      <c r="AE805" s="87"/>
      <c r="AF805" s="87"/>
      <c r="AG805" s="87"/>
      <c r="AH805" s="87"/>
      <c r="AI805" s="87"/>
      <c r="AJ805" s="87"/>
      <c r="AK805" s="87"/>
      <c r="AL805" s="87"/>
      <c r="AM805" s="87"/>
      <c r="AN805" s="87"/>
    </row>
    <row r="806" ht="16.5" customHeight="1">
      <c r="A806" s="87"/>
      <c r="B806" s="87"/>
      <c r="C806" s="87"/>
      <c r="D806" s="87"/>
      <c r="E806" s="87"/>
      <c r="F806" s="79"/>
      <c r="G806" s="87"/>
      <c r="H806" s="92"/>
      <c r="I806" s="87"/>
      <c r="J806" s="87"/>
      <c r="K806" s="89"/>
      <c r="L806" s="87"/>
      <c r="M806" s="87"/>
      <c r="N806" s="87"/>
      <c r="O806" s="87"/>
      <c r="P806" s="87"/>
      <c r="Q806" s="87"/>
      <c r="R806" s="87"/>
      <c r="S806" s="87"/>
      <c r="T806" s="87"/>
      <c r="U806" s="87"/>
      <c r="V806" s="87"/>
      <c r="W806" s="87"/>
      <c r="X806" s="87"/>
      <c r="Y806" s="87"/>
      <c r="Z806" s="87"/>
      <c r="AA806" s="87"/>
      <c r="AB806" s="87"/>
      <c r="AC806" s="87"/>
      <c r="AD806" s="87"/>
      <c r="AE806" s="87"/>
      <c r="AF806" s="87"/>
      <c r="AG806" s="87"/>
      <c r="AH806" s="87"/>
      <c r="AI806" s="87"/>
      <c r="AJ806" s="87"/>
      <c r="AK806" s="87"/>
      <c r="AL806" s="87"/>
      <c r="AM806" s="87"/>
      <c r="AN806" s="87"/>
    </row>
    <row r="807" ht="16.5" customHeight="1">
      <c r="A807" s="87"/>
      <c r="B807" s="87"/>
      <c r="C807" s="87"/>
      <c r="D807" s="87"/>
      <c r="E807" s="87"/>
      <c r="F807" s="79"/>
      <c r="G807" s="87"/>
      <c r="H807" s="92"/>
      <c r="I807" s="87"/>
      <c r="J807" s="87"/>
      <c r="K807" s="89"/>
      <c r="L807" s="87"/>
      <c r="M807" s="87"/>
      <c r="N807" s="87"/>
      <c r="O807" s="87"/>
      <c r="P807" s="87"/>
      <c r="Q807" s="87"/>
      <c r="R807" s="87"/>
      <c r="S807" s="87"/>
      <c r="T807" s="87"/>
      <c r="U807" s="87"/>
      <c r="V807" s="87"/>
      <c r="W807" s="87"/>
      <c r="X807" s="87"/>
      <c r="Y807" s="87"/>
      <c r="Z807" s="87"/>
      <c r="AA807" s="87"/>
      <c r="AB807" s="87"/>
      <c r="AC807" s="87"/>
      <c r="AD807" s="87"/>
      <c r="AE807" s="87"/>
      <c r="AF807" s="87"/>
      <c r="AG807" s="87"/>
      <c r="AH807" s="87"/>
      <c r="AI807" s="87"/>
      <c r="AJ807" s="87"/>
      <c r="AK807" s="87"/>
      <c r="AL807" s="87"/>
      <c r="AM807" s="87"/>
      <c r="AN807" s="87"/>
    </row>
    <row r="808" ht="16.5" customHeight="1">
      <c r="A808" s="87"/>
      <c r="B808" s="87"/>
      <c r="C808" s="87"/>
      <c r="D808" s="87"/>
      <c r="E808" s="87"/>
      <c r="F808" s="79"/>
      <c r="G808" s="87"/>
      <c r="H808" s="92"/>
      <c r="I808" s="87"/>
      <c r="J808" s="87"/>
      <c r="K808" s="89"/>
      <c r="L808" s="87"/>
      <c r="M808" s="87"/>
      <c r="N808" s="87"/>
      <c r="O808" s="87"/>
      <c r="P808" s="87"/>
      <c r="Q808" s="87"/>
      <c r="R808" s="87"/>
      <c r="S808" s="87"/>
      <c r="T808" s="87"/>
      <c r="U808" s="87"/>
      <c r="V808" s="87"/>
      <c r="W808" s="87"/>
      <c r="X808" s="87"/>
      <c r="Y808" s="87"/>
      <c r="Z808" s="87"/>
      <c r="AA808" s="87"/>
      <c r="AB808" s="87"/>
      <c r="AC808" s="87"/>
      <c r="AD808" s="87"/>
      <c r="AE808" s="87"/>
      <c r="AF808" s="87"/>
      <c r="AG808" s="87"/>
      <c r="AH808" s="87"/>
      <c r="AI808" s="87"/>
      <c r="AJ808" s="87"/>
      <c r="AK808" s="87"/>
      <c r="AL808" s="87"/>
      <c r="AM808" s="87"/>
      <c r="AN808" s="87"/>
    </row>
    <row r="809" ht="16.5" customHeight="1">
      <c r="A809" s="87"/>
      <c r="B809" s="87"/>
      <c r="C809" s="87"/>
      <c r="D809" s="87"/>
      <c r="E809" s="87"/>
      <c r="F809" s="79"/>
      <c r="G809" s="87"/>
      <c r="H809" s="92"/>
      <c r="I809" s="87"/>
      <c r="J809" s="87"/>
      <c r="K809" s="89"/>
      <c r="L809" s="87"/>
      <c r="M809" s="87"/>
      <c r="N809" s="87"/>
      <c r="O809" s="87"/>
      <c r="P809" s="87"/>
      <c r="Q809" s="87"/>
      <c r="R809" s="87"/>
      <c r="S809" s="87"/>
      <c r="T809" s="87"/>
      <c r="U809" s="87"/>
      <c r="V809" s="87"/>
      <c r="W809" s="87"/>
      <c r="X809" s="87"/>
      <c r="Y809" s="87"/>
      <c r="Z809" s="87"/>
      <c r="AA809" s="87"/>
      <c r="AB809" s="87"/>
      <c r="AC809" s="87"/>
      <c r="AD809" s="87"/>
      <c r="AE809" s="87"/>
      <c r="AF809" s="87"/>
      <c r="AG809" s="87"/>
      <c r="AH809" s="87"/>
      <c r="AI809" s="87"/>
      <c r="AJ809" s="87"/>
      <c r="AK809" s="87"/>
      <c r="AL809" s="87"/>
      <c r="AM809" s="87"/>
      <c r="AN809" s="87"/>
    </row>
    <row r="810" ht="16.5" customHeight="1">
      <c r="A810" s="87"/>
      <c r="B810" s="87"/>
      <c r="C810" s="87"/>
      <c r="D810" s="87"/>
      <c r="E810" s="87"/>
      <c r="F810" s="79"/>
      <c r="G810" s="87"/>
      <c r="H810" s="92"/>
      <c r="I810" s="87"/>
      <c r="J810" s="87"/>
      <c r="K810" s="89"/>
      <c r="L810" s="87"/>
      <c r="M810" s="87"/>
      <c r="N810" s="87"/>
      <c r="O810" s="87"/>
      <c r="P810" s="87"/>
      <c r="Q810" s="87"/>
      <c r="R810" s="87"/>
      <c r="S810" s="87"/>
      <c r="T810" s="87"/>
      <c r="U810" s="87"/>
      <c r="V810" s="87"/>
      <c r="W810" s="87"/>
      <c r="X810" s="87"/>
      <c r="Y810" s="87"/>
      <c r="Z810" s="87"/>
      <c r="AA810" s="87"/>
      <c r="AB810" s="87"/>
      <c r="AC810" s="87"/>
      <c r="AD810" s="87"/>
      <c r="AE810" s="87"/>
      <c r="AF810" s="87"/>
      <c r="AG810" s="87"/>
      <c r="AH810" s="87"/>
      <c r="AI810" s="87"/>
      <c r="AJ810" s="87"/>
      <c r="AK810" s="87"/>
      <c r="AL810" s="87"/>
      <c r="AM810" s="87"/>
      <c r="AN810" s="87"/>
    </row>
    <row r="811" ht="16.5" customHeight="1">
      <c r="A811" s="87"/>
      <c r="B811" s="87"/>
      <c r="C811" s="87"/>
      <c r="D811" s="87"/>
      <c r="E811" s="87"/>
      <c r="F811" s="79"/>
      <c r="G811" s="87"/>
      <c r="H811" s="92"/>
      <c r="I811" s="87"/>
      <c r="J811" s="87"/>
      <c r="K811" s="89"/>
      <c r="L811" s="87"/>
      <c r="M811" s="87"/>
      <c r="N811" s="87"/>
      <c r="O811" s="87"/>
      <c r="P811" s="87"/>
      <c r="Q811" s="87"/>
      <c r="R811" s="87"/>
      <c r="S811" s="87"/>
      <c r="T811" s="87"/>
      <c r="U811" s="87"/>
      <c r="V811" s="87"/>
      <c r="W811" s="87"/>
      <c r="X811" s="87"/>
      <c r="Y811" s="87"/>
      <c r="Z811" s="87"/>
      <c r="AA811" s="87"/>
      <c r="AB811" s="87"/>
      <c r="AC811" s="87"/>
      <c r="AD811" s="87"/>
      <c r="AE811" s="87"/>
      <c r="AF811" s="87"/>
      <c r="AG811" s="87"/>
      <c r="AH811" s="87"/>
      <c r="AI811" s="87"/>
      <c r="AJ811" s="87"/>
      <c r="AK811" s="87"/>
      <c r="AL811" s="87"/>
      <c r="AM811" s="87"/>
      <c r="AN811" s="87"/>
    </row>
    <row r="812" ht="16.5" customHeight="1">
      <c r="A812" s="87"/>
      <c r="B812" s="87"/>
      <c r="C812" s="87"/>
      <c r="D812" s="87"/>
      <c r="E812" s="87"/>
      <c r="F812" s="79"/>
      <c r="G812" s="87"/>
      <c r="H812" s="92"/>
      <c r="I812" s="87"/>
      <c r="J812" s="87"/>
      <c r="K812" s="89"/>
      <c r="L812" s="87"/>
      <c r="M812" s="87"/>
      <c r="N812" s="87"/>
      <c r="O812" s="87"/>
      <c r="P812" s="87"/>
      <c r="Q812" s="87"/>
      <c r="R812" s="87"/>
      <c r="S812" s="87"/>
      <c r="T812" s="87"/>
      <c r="U812" s="87"/>
      <c r="V812" s="87"/>
      <c r="W812" s="87"/>
      <c r="X812" s="87"/>
      <c r="Y812" s="87"/>
      <c r="Z812" s="87"/>
      <c r="AA812" s="87"/>
      <c r="AB812" s="87"/>
      <c r="AC812" s="87"/>
      <c r="AD812" s="87"/>
      <c r="AE812" s="87"/>
      <c r="AF812" s="87"/>
      <c r="AG812" s="87"/>
      <c r="AH812" s="87"/>
      <c r="AI812" s="87"/>
      <c r="AJ812" s="87"/>
      <c r="AK812" s="87"/>
      <c r="AL812" s="87"/>
      <c r="AM812" s="87"/>
      <c r="AN812" s="87"/>
    </row>
    <row r="813" ht="16.5" customHeight="1">
      <c r="A813" s="87"/>
      <c r="B813" s="87"/>
      <c r="C813" s="87"/>
      <c r="D813" s="87"/>
      <c r="E813" s="87"/>
      <c r="F813" s="79"/>
      <c r="G813" s="87"/>
      <c r="H813" s="92"/>
      <c r="I813" s="87"/>
      <c r="J813" s="87"/>
      <c r="K813" s="89"/>
      <c r="L813" s="87"/>
      <c r="M813" s="87"/>
      <c r="N813" s="87"/>
      <c r="O813" s="87"/>
      <c r="P813" s="87"/>
      <c r="Q813" s="87"/>
      <c r="R813" s="87"/>
      <c r="S813" s="87"/>
      <c r="T813" s="87"/>
      <c r="U813" s="87"/>
      <c r="V813" s="87"/>
      <c r="W813" s="87"/>
      <c r="X813" s="87"/>
      <c r="Y813" s="87"/>
      <c r="Z813" s="87"/>
      <c r="AA813" s="87"/>
      <c r="AB813" s="87"/>
      <c r="AC813" s="87"/>
      <c r="AD813" s="87"/>
      <c r="AE813" s="87"/>
      <c r="AF813" s="87"/>
      <c r="AG813" s="87"/>
      <c r="AH813" s="87"/>
      <c r="AI813" s="87"/>
      <c r="AJ813" s="87"/>
      <c r="AK813" s="87"/>
      <c r="AL813" s="87"/>
      <c r="AM813" s="87"/>
      <c r="AN813" s="87"/>
    </row>
    <row r="814" ht="16.5" customHeight="1">
      <c r="A814" s="87"/>
      <c r="B814" s="87"/>
      <c r="C814" s="87"/>
      <c r="D814" s="87"/>
      <c r="E814" s="87"/>
      <c r="F814" s="79"/>
      <c r="G814" s="87"/>
      <c r="H814" s="92"/>
      <c r="I814" s="87"/>
      <c r="J814" s="87"/>
      <c r="K814" s="89"/>
      <c r="L814" s="87"/>
      <c r="M814" s="87"/>
      <c r="N814" s="87"/>
      <c r="O814" s="87"/>
      <c r="P814" s="87"/>
      <c r="Q814" s="87"/>
      <c r="R814" s="87"/>
      <c r="S814" s="87"/>
      <c r="T814" s="87"/>
      <c r="U814" s="87"/>
      <c r="V814" s="87"/>
      <c r="W814" s="87"/>
      <c r="X814" s="87"/>
      <c r="Y814" s="87"/>
      <c r="Z814" s="87"/>
      <c r="AA814" s="87"/>
      <c r="AB814" s="87"/>
      <c r="AC814" s="87"/>
      <c r="AD814" s="87"/>
      <c r="AE814" s="87"/>
      <c r="AF814" s="87"/>
      <c r="AG814" s="87"/>
      <c r="AH814" s="87"/>
      <c r="AI814" s="87"/>
      <c r="AJ814" s="87"/>
      <c r="AK814" s="87"/>
      <c r="AL814" s="87"/>
      <c r="AM814" s="87"/>
      <c r="AN814" s="87"/>
    </row>
    <row r="815" ht="16.5" customHeight="1">
      <c r="A815" s="87"/>
      <c r="B815" s="87"/>
      <c r="C815" s="87"/>
      <c r="D815" s="87"/>
      <c r="E815" s="87"/>
      <c r="F815" s="79"/>
      <c r="G815" s="87"/>
      <c r="H815" s="92"/>
      <c r="I815" s="87"/>
      <c r="J815" s="87"/>
      <c r="K815" s="89"/>
      <c r="L815" s="87"/>
      <c r="M815" s="87"/>
      <c r="N815" s="87"/>
      <c r="O815" s="87"/>
      <c r="P815" s="87"/>
      <c r="Q815" s="87"/>
      <c r="R815" s="87"/>
      <c r="S815" s="87"/>
      <c r="T815" s="87"/>
      <c r="U815" s="87"/>
      <c r="V815" s="87"/>
      <c r="W815" s="87"/>
      <c r="X815" s="87"/>
      <c r="Y815" s="87"/>
      <c r="Z815" s="87"/>
      <c r="AA815" s="87"/>
      <c r="AB815" s="87"/>
      <c r="AC815" s="87"/>
      <c r="AD815" s="87"/>
      <c r="AE815" s="87"/>
      <c r="AF815" s="87"/>
      <c r="AG815" s="87"/>
      <c r="AH815" s="87"/>
      <c r="AI815" s="87"/>
      <c r="AJ815" s="87"/>
      <c r="AK815" s="87"/>
      <c r="AL815" s="87"/>
      <c r="AM815" s="87"/>
      <c r="AN815" s="87"/>
    </row>
    <row r="816" ht="16.5" customHeight="1">
      <c r="A816" s="87"/>
      <c r="B816" s="87"/>
      <c r="C816" s="87"/>
      <c r="D816" s="87"/>
      <c r="E816" s="87"/>
      <c r="F816" s="79"/>
      <c r="G816" s="87"/>
      <c r="H816" s="92"/>
      <c r="I816" s="87"/>
      <c r="J816" s="87"/>
      <c r="K816" s="89"/>
      <c r="L816" s="87"/>
      <c r="M816" s="87"/>
      <c r="N816" s="87"/>
      <c r="O816" s="87"/>
      <c r="P816" s="87"/>
      <c r="Q816" s="87"/>
      <c r="R816" s="87"/>
      <c r="S816" s="87"/>
      <c r="T816" s="87"/>
      <c r="U816" s="87"/>
      <c r="V816" s="87"/>
      <c r="W816" s="87"/>
      <c r="X816" s="87"/>
      <c r="Y816" s="87"/>
      <c r="Z816" s="87"/>
      <c r="AA816" s="87"/>
      <c r="AB816" s="87"/>
      <c r="AC816" s="87"/>
      <c r="AD816" s="87"/>
      <c r="AE816" s="87"/>
      <c r="AF816" s="87"/>
      <c r="AG816" s="87"/>
      <c r="AH816" s="87"/>
      <c r="AI816" s="87"/>
      <c r="AJ816" s="87"/>
      <c r="AK816" s="87"/>
      <c r="AL816" s="87"/>
      <c r="AM816" s="87"/>
      <c r="AN816" s="87"/>
    </row>
    <row r="817" ht="16.5" customHeight="1">
      <c r="A817" s="87"/>
      <c r="B817" s="87"/>
      <c r="C817" s="87"/>
      <c r="D817" s="87"/>
      <c r="E817" s="87"/>
      <c r="F817" s="79"/>
      <c r="G817" s="87"/>
      <c r="H817" s="92"/>
      <c r="I817" s="87"/>
      <c r="J817" s="87"/>
      <c r="K817" s="89"/>
      <c r="L817" s="87"/>
      <c r="M817" s="87"/>
      <c r="N817" s="87"/>
      <c r="O817" s="87"/>
      <c r="P817" s="87"/>
      <c r="Q817" s="87"/>
      <c r="R817" s="87"/>
      <c r="S817" s="87"/>
      <c r="T817" s="87"/>
      <c r="U817" s="87"/>
      <c r="V817" s="87"/>
      <c r="W817" s="87"/>
      <c r="X817" s="87"/>
      <c r="Y817" s="87"/>
      <c r="Z817" s="87"/>
      <c r="AA817" s="87"/>
      <c r="AB817" s="87"/>
      <c r="AC817" s="87"/>
      <c r="AD817" s="87"/>
      <c r="AE817" s="87"/>
      <c r="AF817" s="87"/>
      <c r="AG817" s="87"/>
      <c r="AH817" s="87"/>
      <c r="AI817" s="87"/>
      <c r="AJ817" s="87"/>
      <c r="AK817" s="87"/>
      <c r="AL817" s="87"/>
      <c r="AM817" s="87"/>
      <c r="AN817" s="87"/>
    </row>
    <row r="818" ht="16.5" customHeight="1">
      <c r="A818" s="87"/>
      <c r="B818" s="87"/>
      <c r="C818" s="87"/>
      <c r="D818" s="87"/>
      <c r="E818" s="87"/>
      <c r="F818" s="79"/>
      <c r="G818" s="87"/>
      <c r="H818" s="92"/>
      <c r="I818" s="87"/>
      <c r="J818" s="87"/>
      <c r="K818" s="89"/>
      <c r="L818" s="87"/>
      <c r="M818" s="87"/>
      <c r="N818" s="87"/>
      <c r="O818" s="87"/>
      <c r="P818" s="87"/>
      <c r="Q818" s="87"/>
      <c r="R818" s="87"/>
      <c r="S818" s="87"/>
      <c r="T818" s="87"/>
      <c r="U818" s="87"/>
      <c r="V818" s="87"/>
      <c r="W818" s="87"/>
      <c r="X818" s="87"/>
      <c r="Y818" s="87"/>
      <c r="Z818" s="87"/>
      <c r="AA818" s="87"/>
      <c r="AB818" s="87"/>
      <c r="AC818" s="87"/>
      <c r="AD818" s="87"/>
      <c r="AE818" s="87"/>
      <c r="AF818" s="87"/>
      <c r="AG818" s="87"/>
      <c r="AH818" s="87"/>
      <c r="AI818" s="87"/>
      <c r="AJ818" s="87"/>
      <c r="AK818" s="87"/>
      <c r="AL818" s="87"/>
      <c r="AM818" s="87"/>
      <c r="AN818" s="87"/>
    </row>
    <row r="819" ht="16.5" customHeight="1">
      <c r="A819" s="87"/>
      <c r="B819" s="87"/>
      <c r="C819" s="87"/>
      <c r="D819" s="87"/>
      <c r="E819" s="87"/>
      <c r="F819" s="79"/>
      <c r="G819" s="87"/>
      <c r="H819" s="92"/>
      <c r="I819" s="87"/>
      <c r="J819" s="87"/>
      <c r="K819" s="89"/>
      <c r="L819" s="87"/>
      <c r="M819" s="87"/>
      <c r="N819" s="87"/>
      <c r="O819" s="87"/>
      <c r="P819" s="87"/>
      <c r="Q819" s="87"/>
      <c r="R819" s="87"/>
      <c r="S819" s="87"/>
      <c r="T819" s="87"/>
      <c r="U819" s="87"/>
      <c r="V819" s="87"/>
      <c r="W819" s="87"/>
      <c r="X819" s="87"/>
      <c r="Y819" s="87"/>
      <c r="Z819" s="87"/>
      <c r="AA819" s="87"/>
      <c r="AB819" s="87"/>
      <c r="AC819" s="87"/>
      <c r="AD819" s="87"/>
      <c r="AE819" s="87"/>
      <c r="AF819" s="87"/>
      <c r="AG819" s="87"/>
      <c r="AH819" s="87"/>
      <c r="AI819" s="87"/>
      <c r="AJ819" s="87"/>
      <c r="AK819" s="87"/>
      <c r="AL819" s="87"/>
      <c r="AM819" s="87"/>
      <c r="AN819" s="87"/>
    </row>
    <row r="820" ht="16.5" customHeight="1">
      <c r="A820" s="87"/>
      <c r="B820" s="87"/>
      <c r="C820" s="87"/>
      <c r="D820" s="87"/>
      <c r="E820" s="87"/>
      <c r="F820" s="79"/>
      <c r="G820" s="87"/>
      <c r="H820" s="92"/>
      <c r="I820" s="87"/>
      <c r="J820" s="87"/>
      <c r="K820" s="89"/>
      <c r="L820" s="87"/>
      <c r="M820" s="87"/>
      <c r="N820" s="87"/>
      <c r="O820" s="87"/>
      <c r="P820" s="87"/>
      <c r="Q820" s="87"/>
      <c r="R820" s="87"/>
      <c r="S820" s="87"/>
      <c r="T820" s="87"/>
      <c r="U820" s="87"/>
      <c r="V820" s="87"/>
      <c r="W820" s="87"/>
      <c r="X820" s="87"/>
      <c r="Y820" s="87"/>
      <c r="Z820" s="87"/>
      <c r="AA820" s="87"/>
      <c r="AB820" s="87"/>
      <c r="AC820" s="87"/>
      <c r="AD820" s="87"/>
      <c r="AE820" s="87"/>
      <c r="AF820" s="87"/>
      <c r="AG820" s="87"/>
      <c r="AH820" s="87"/>
      <c r="AI820" s="87"/>
      <c r="AJ820" s="87"/>
      <c r="AK820" s="87"/>
      <c r="AL820" s="87"/>
      <c r="AM820" s="87"/>
      <c r="AN820" s="87"/>
    </row>
    <row r="821" ht="16.5" customHeight="1">
      <c r="A821" s="87"/>
      <c r="B821" s="87"/>
      <c r="C821" s="87"/>
      <c r="D821" s="87"/>
      <c r="E821" s="87"/>
      <c r="F821" s="79"/>
      <c r="G821" s="87"/>
      <c r="H821" s="92"/>
      <c r="I821" s="87"/>
      <c r="J821" s="87"/>
      <c r="K821" s="89"/>
      <c r="L821" s="87"/>
      <c r="M821" s="87"/>
      <c r="N821" s="87"/>
      <c r="O821" s="87"/>
      <c r="P821" s="87"/>
      <c r="Q821" s="87"/>
      <c r="R821" s="87"/>
      <c r="S821" s="87"/>
      <c r="T821" s="87"/>
      <c r="U821" s="87"/>
      <c r="V821" s="87"/>
      <c r="W821" s="87"/>
      <c r="X821" s="87"/>
      <c r="Y821" s="87"/>
      <c r="Z821" s="87"/>
      <c r="AA821" s="87"/>
      <c r="AB821" s="87"/>
      <c r="AC821" s="87"/>
      <c r="AD821" s="87"/>
      <c r="AE821" s="87"/>
      <c r="AF821" s="87"/>
      <c r="AG821" s="87"/>
      <c r="AH821" s="87"/>
      <c r="AI821" s="87"/>
      <c r="AJ821" s="87"/>
      <c r="AK821" s="87"/>
      <c r="AL821" s="87"/>
      <c r="AM821" s="87"/>
      <c r="AN821" s="87"/>
    </row>
    <row r="822" ht="16.5" customHeight="1">
      <c r="A822" s="87"/>
      <c r="B822" s="87"/>
      <c r="C822" s="87"/>
      <c r="D822" s="87"/>
      <c r="E822" s="87"/>
      <c r="F822" s="79"/>
      <c r="G822" s="87"/>
      <c r="H822" s="92"/>
      <c r="I822" s="87"/>
      <c r="J822" s="87"/>
      <c r="K822" s="89"/>
      <c r="L822" s="87"/>
      <c r="M822" s="87"/>
      <c r="N822" s="87"/>
      <c r="O822" s="87"/>
      <c r="P822" s="87"/>
      <c r="Q822" s="87"/>
      <c r="R822" s="87"/>
      <c r="S822" s="87"/>
      <c r="T822" s="87"/>
      <c r="U822" s="87"/>
      <c r="V822" s="87"/>
      <c r="W822" s="87"/>
      <c r="X822" s="87"/>
      <c r="Y822" s="87"/>
      <c r="Z822" s="87"/>
      <c r="AA822" s="87"/>
      <c r="AB822" s="87"/>
      <c r="AC822" s="87"/>
      <c r="AD822" s="87"/>
      <c r="AE822" s="87"/>
      <c r="AF822" s="87"/>
      <c r="AG822" s="87"/>
      <c r="AH822" s="87"/>
      <c r="AI822" s="87"/>
      <c r="AJ822" s="87"/>
      <c r="AK822" s="87"/>
      <c r="AL822" s="87"/>
      <c r="AM822" s="87"/>
      <c r="AN822" s="87"/>
    </row>
    <row r="823" ht="16.5" customHeight="1">
      <c r="A823" s="87"/>
      <c r="B823" s="87"/>
      <c r="C823" s="87"/>
      <c r="D823" s="87"/>
      <c r="E823" s="87"/>
      <c r="F823" s="79"/>
      <c r="G823" s="87"/>
      <c r="H823" s="92"/>
      <c r="I823" s="87"/>
      <c r="J823" s="87"/>
      <c r="K823" s="89"/>
      <c r="L823" s="87"/>
      <c r="M823" s="87"/>
      <c r="N823" s="87"/>
      <c r="O823" s="87"/>
      <c r="P823" s="87"/>
      <c r="Q823" s="87"/>
      <c r="R823" s="87"/>
      <c r="S823" s="87"/>
      <c r="T823" s="87"/>
      <c r="U823" s="87"/>
      <c r="V823" s="87"/>
      <c r="W823" s="87"/>
      <c r="X823" s="87"/>
      <c r="Y823" s="87"/>
      <c r="Z823" s="87"/>
      <c r="AA823" s="87"/>
      <c r="AB823" s="87"/>
      <c r="AC823" s="87"/>
      <c r="AD823" s="87"/>
      <c r="AE823" s="87"/>
      <c r="AF823" s="87"/>
      <c r="AG823" s="87"/>
      <c r="AH823" s="87"/>
      <c r="AI823" s="87"/>
      <c r="AJ823" s="87"/>
      <c r="AK823" s="87"/>
      <c r="AL823" s="87"/>
      <c r="AM823" s="87"/>
      <c r="AN823" s="87"/>
    </row>
    <row r="824" ht="16.5" customHeight="1">
      <c r="A824" s="87"/>
      <c r="B824" s="87"/>
      <c r="C824" s="87"/>
      <c r="D824" s="87"/>
      <c r="E824" s="87"/>
      <c r="F824" s="79"/>
      <c r="G824" s="87"/>
      <c r="H824" s="92"/>
      <c r="I824" s="87"/>
      <c r="J824" s="87"/>
      <c r="K824" s="89"/>
      <c r="L824" s="87"/>
      <c r="M824" s="87"/>
      <c r="N824" s="87"/>
      <c r="O824" s="87"/>
      <c r="P824" s="87"/>
      <c r="Q824" s="87"/>
      <c r="R824" s="87"/>
      <c r="S824" s="87"/>
      <c r="T824" s="87"/>
      <c r="U824" s="87"/>
      <c r="V824" s="87"/>
      <c r="W824" s="87"/>
      <c r="X824" s="87"/>
      <c r="Y824" s="87"/>
      <c r="Z824" s="87"/>
      <c r="AA824" s="87"/>
      <c r="AB824" s="87"/>
      <c r="AC824" s="87"/>
      <c r="AD824" s="87"/>
      <c r="AE824" s="87"/>
      <c r="AF824" s="87"/>
      <c r="AG824" s="87"/>
      <c r="AH824" s="87"/>
      <c r="AI824" s="87"/>
      <c r="AJ824" s="87"/>
      <c r="AK824" s="87"/>
      <c r="AL824" s="87"/>
      <c r="AM824" s="87"/>
      <c r="AN824" s="87"/>
    </row>
    <row r="825" ht="16.5" customHeight="1">
      <c r="A825" s="87"/>
      <c r="B825" s="87"/>
      <c r="C825" s="87"/>
      <c r="D825" s="87"/>
      <c r="E825" s="87"/>
      <c r="F825" s="79"/>
      <c r="G825" s="87"/>
      <c r="H825" s="92"/>
      <c r="I825" s="87"/>
      <c r="J825" s="87"/>
      <c r="K825" s="89"/>
      <c r="L825" s="87"/>
      <c r="M825" s="87"/>
      <c r="N825" s="87"/>
      <c r="O825" s="87"/>
      <c r="P825" s="87"/>
      <c r="Q825" s="87"/>
      <c r="R825" s="87"/>
      <c r="S825" s="87"/>
      <c r="T825" s="87"/>
      <c r="U825" s="87"/>
      <c r="V825" s="87"/>
      <c r="W825" s="87"/>
      <c r="X825" s="87"/>
      <c r="Y825" s="87"/>
      <c r="Z825" s="87"/>
      <c r="AA825" s="87"/>
      <c r="AB825" s="87"/>
      <c r="AC825" s="87"/>
      <c r="AD825" s="87"/>
      <c r="AE825" s="87"/>
      <c r="AF825" s="87"/>
      <c r="AG825" s="87"/>
      <c r="AH825" s="87"/>
      <c r="AI825" s="87"/>
      <c r="AJ825" s="87"/>
      <c r="AK825" s="87"/>
      <c r="AL825" s="87"/>
      <c r="AM825" s="87"/>
      <c r="AN825" s="87"/>
    </row>
    <row r="826" ht="16.5" customHeight="1">
      <c r="A826" s="87"/>
      <c r="B826" s="87"/>
      <c r="C826" s="87"/>
      <c r="D826" s="87"/>
      <c r="E826" s="87"/>
      <c r="F826" s="79"/>
      <c r="G826" s="87"/>
      <c r="H826" s="92"/>
      <c r="I826" s="87"/>
      <c r="J826" s="87"/>
      <c r="K826" s="89"/>
      <c r="L826" s="87"/>
      <c r="M826" s="87"/>
      <c r="N826" s="87"/>
      <c r="O826" s="87"/>
      <c r="P826" s="87"/>
      <c r="Q826" s="87"/>
      <c r="R826" s="87"/>
      <c r="S826" s="87"/>
      <c r="T826" s="87"/>
      <c r="U826" s="87"/>
      <c r="V826" s="87"/>
      <c r="W826" s="87"/>
      <c r="X826" s="87"/>
      <c r="Y826" s="87"/>
      <c r="Z826" s="87"/>
      <c r="AA826" s="87"/>
      <c r="AB826" s="87"/>
      <c r="AC826" s="87"/>
      <c r="AD826" s="87"/>
      <c r="AE826" s="87"/>
      <c r="AF826" s="87"/>
      <c r="AG826" s="87"/>
      <c r="AH826" s="87"/>
      <c r="AI826" s="87"/>
      <c r="AJ826" s="87"/>
      <c r="AK826" s="87"/>
      <c r="AL826" s="87"/>
      <c r="AM826" s="87"/>
      <c r="AN826" s="87"/>
    </row>
    <row r="827" ht="16.5" customHeight="1">
      <c r="A827" s="87"/>
      <c r="B827" s="87"/>
      <c r="C827" s="87"/>
      <c r="D827" s="87"/>
      <c r="E827" s="87"/>
      <c r="F827" s="79"/>
      <c r="G827" s="87"/>
      <c r="H827" s="92"/>
      <c r="I827" s="87"/>
      <c r="J827" s="87"/>
      <c r="K827" s="89"/>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row>
    <row r="828" ht="16.5" customHeight="1">
      <c r="A828" s="87"/>
      <c r="B828" s="87"/>
      <c r="C828" s="87"/>
      <c r="D828" s="87"/>
      <c r="E828" s="87"/>
      <c r="F828" s="79"/>
      <c r="G828" s="87"/>
      <c r="H828" s="92"/>
      <c r="I828" s="87"/>
      <c r="J828" s="87"/>
      <c r="K828" s="89"/>
      <c r="L828" s="87"/>
      <c r="M828" s="87"/>
      <c r="N828" s="87"/>
      <c r="O828" s="87"/>
      <c r="P828" s="87"/>
      <c r="Q828" s="87"/>
      <c r="R828" s="87"/>
      <c r="S828" s="87"/>
      <c r="T828" s="87"/>
      <c r="U828" s="87"/>
      <c r="V828" s="87"/>
      <c r="W828" s="87"/>
      <c r="X828" s="87"/>
      <c r="Y828" s="87"/>
      <c r="Z828" s="87"/>
      <c r="AA828" s="87"/>
      <c r="AB828" s="87"/>
      <c r="AC828" s="87"/>
      <c r="AD828" s="87"/>
      <c r="AE828" s="87"/>
      <c r="AF828" s="87"/>
      <c r="AG828" s="87"/>
      <c r="AH828" s="87"/>
      <c r="AI828" s="87"/>
      <c r="AJ828" s="87"/>
      <c r="AK828" s="87"/>
      <c r="AL828" s="87"/>
      <c r="AM828" s="87"/>
      <c r="AN828" s="87"/>
    </row>
    <row r="829" ht="16.5" customHeight="1">
      <c r="A829" s="87"/>
      <c r="B829" s="87"/>
      <c r="C829" s="87"/>
      <c r="D829" s="87"/>
      <c r="E829" s="87"/>
      <c r="F829" s="79"/>
      <c r="G829" s="87"/>
      <c r="H829" s="92"/>
      <c r="I829" s="87"/>
      <c r="J829" s="87"/>
      <c r="K829" s="89"/>
      <c r="L829" s="87"/>
      <c r="M829" s="87"/>
      <c r="N829" s="87"/>
      <c r="O829" s="87"/>
      <c r="P829" s="87"/>
      <c r="Q829" s="87"/>
      <c r="R829" s="87"/>
      <c r="S829" s="87"/>
      <c r="T829" s="87"/>
      <c r="U829" s="87"/>
      <c r="V829" s="87"/>
      <c r="W829" s="87"/>
      <c r="X829" s="87"/>
      <c r="Y829" s="87"/>
      <c r="Z829" s="87"/>
      <c r="AA829" s="87"/>
      <c r="AB829" s="87"/>
      <c r="AC829" s="87"/>
      <c r="AD829" s="87"/>
      <c r="AE829" s="87"/>
      <c r="AF829" s="87"/>
      <c r="AG829" s="87"/>
      <c r="AH829" s="87"/>
      <c r="AI829" s="87"/>
      <c r="AJ829" s="87"/>
      <c r="AK829" s="87"/>
      <c r="AL829" s="87"/>
      <c r="AM829" s="87"/>
      <c r="AN829" s="87"/>
    </row>
    <row r="830" ht="16.5" customHeight="1">
      <c r="A830" s="87"/>
      <c r="B830" s="87"/>
      <c r="C830" s="87"/>
      <c r="D830" s="87"/>
      <c r="E830" s="87"/>
      <c r="F830" s="79"/>
      <c r="G830" s="87"/>
      <c r="H830" s="92"/>
      <c r="I830" s="87"/>
      <c r="J830" s="87"/>
      <c r="K830" s="89"/>
      <c r="L830" s="87"/>
      <c r="M830" s="87"/>
      <c r="N830" s="87"/>
      <c r="O830" s="87"/>
      <c r="P830" s="87"/>
      <c r="Q830" s="87"/>
      <c r="R830" s="87"/>
      <c r="S830" s="87"/>
      <c r="T830" s="87"/>
      <c r="U830" s="87"/>
      <c r="V830" s="87"/>
      <c r="W830" s="87"/>
      <c r="X830" s="87"/>
      <c r="Y830" s="87"/>
      <c r="Z830" s="87"/>
      <c r="AA830" s="87"/>
      <c r="AB830" s="87"/>
      <c r="AC830" s="87"/>
      <c r="AD830" s="87"/>
      <c r="AE830" s="87"/>
      <c r="AF830" s="87"/>
      <c r="AG830" s="87"/>
      <c r="AH830" s="87"/>
      <c r="AI830" s="87"/>
      <c r="AJ830" s="87"/>
      <c r="AK830" s="87"/>
      <c r="AL830" s="87"/>
      <c r="AM830" s="87"/>
      <c r="AN830" s="87"/>
    </row>
    <row r="831" ht="16.5" customHeight="1">
      <c r="A831" s="87"/>
      <c r="B831" s="87"/>
      <c r="C831" s="87"/>
      <c r="D831" s="87"/>
      <c r="E831" s="87"/>
      <c r="F831" s="79"/>
      <c r="G831" s="87"/>
      <c r="H831" s="92"/>
      <c r="I831" s="87"/>
      <c r="J831" s="87"/>
      <c r="K831" s="89"/>
      <c r="L831" s="87"/>
      <c r="M831" s="87"/>
      <c r="N831" s="87"/>
      <c r="O831" s="87"/>
      <c r="P831" s="87"/>
      <c r="Q831" s="87"/>
      <c r="R831" s="87"/>
      <c r="S831" s="87"/>
      <c r="T831" s="87"/>
      <c r="U831" s="87"/>
      <c r="V831" s="87"/>
      <c r="W831" s="87"/>
      <c r="X831" s="87"/>
      <c r="Y831" s="87"/>
      <c r="Z831" s="87"/>
      <c r="AA831" s="87"/>
      <c r="AB831" s="87"/>
      <c r="AC831" s="87"/>
      <c r="AD831" s="87"/>
      <c r="AE831" s="87"/>
      <c r="AF831" s="87"/>
      <c r="AG831" s="87"/>
      <c r="AH831" s="87"/>
      <c r="AI831" s="87"/>
      <c r="AJ831" s="87"/>
      <c r="AK831" s="87"/>
      <c r="AL831" s="87"/>
      <c r="AM831" s="87"/>
      <c r="AN831" s="87"/>
    </row>
    <row r="832" ht="16.5" customHeight="1">
      <c r="A832" s="87"/>
      <c r="B832" s="87"/>
      <c r="C832" s="87"/>
      <c r="D832" s="87"/>
      <c r="E832" s="87"/>
      <c r="F832" s="79"/>
      <c r="G832" s="87"/>
      <c r="H832" s="92"/>
      <c r="I832" s="87"/>
      <c r="J832" s="87"/>
      <c r="K832" s="89"/>
      <c r="L832" s="87"/>
      <c r="M832" s="87"/>
      <c r="N832" s="87"/>
      <c r="O832" s="87"/>
      <c r="P832" s="87"/>
      <c r="Q832" s="87"/>
      <c r="R832" s="87"/>
      <c r="S832" s="87"/>
      <c r="T832" s="87"/>
      <c r="U832" s="87"/>
      <c r="V832" s="87"/>
      <c r="W832" s="87"/>
      <c r="X832" s="87"/>
      <c r="Y832" s="87"/>
      <c r="Z832" s="87"/>
      <c r="AA832" s="87"/>
      <c r="AB832" s="87"/>
      <c r="AC832" s="87"/>
      <c r="AD832" s="87"/>
      <c r="AE832" s="87"/>
      <c r="AF832" s="87"/>
      <c r="AG832" s="87"/>
      <c r="AH832" s="87"/>
      <c r="AI832" s="87"/>
      <c r="AJ832" s="87"/>
      <c r="AK832" s="87"/>
      <c r="AL832" s="87"/>
      <c r="AM832" s="87"/>
      <c r="AN832" s="87"/>
    </row>
    <row r="833" ht="16.5" customHeight="1">
      <c r="A833" s="87"/>
      <c r="B833" s="87"/>
      <c r="C833" s="87"/>
      <c r="D833" s="87"/>
      <c r="E833" s="87"/>
      <c r="F833" s="79"/>
      <c r="G833" s="87"/>
      <c r="H833" s="92"/>
      <c r="I833" s="87"/>
      <c r="J833" s="87"/>
      <c r="K833" s="89"/>
      <c r="L833" s="87"/>
      <c r="M833" s="87"/>
      <c r="N833" s="87"/>
      <c r="O833" s="87"/>
      <c r="P833" s="87"/>
      <c r="Q833" s="87"/>
      <c r="R833" s="87"/>
      <c r="S833" s="87"/>
      <c r="T833" s="87"/>
      <c r="U833" s="87"/>
      <c r="V833" s="87"/>
      <c r="W833" s="87"/>
      <c r="X833" s="87"/>
      <c r="Y833" s="87"/>
      <c r="Z833" s="87"/>
      <c r="AA833" s="87"/>
      <c r="AB833" s="87"/>
      <c r="AC833" s="87"/>
      <c r="AD833" s="87"/>
      <c r="AE833" s="87"/>
      <c r="AF833" s="87"/>
      <c r="AG833" s="87"/>
      <c r="AH833" s="87"/>
      <c r="AI833" s="87"/>
      <c r="AJ833" s="87"/>
      <c r="AK833" s="87"/>
      <c r="AL833" s="87"/>
      <c r="AM833" s="87"/>
      <c r="AN833" s="87"/>
    </row>
    <row r="834" ht="16.5" customHeight="1">
      <c r="A834" s="87"/>
      <c r="B834" s="87"/>
      <c r="C834" s="87"/>
      <c r="D834" s="87"/>
      <c r="E834" s="87"/>
      <c r="F834" s="79"/>
      <c r="G834" s="87"/>
      <c r="H834" s="92"/>
      <c r="I834" s="87"/>
      <c r="J834" s="87"/>
      <c r="K834" s="89"/>
      <c r="L834" s="87"/>
      <c r="M834" s="87"/>
      <c r="N834" s="87"/>
      <c r="O834" s="87"/>
      <c r="P834" s="87"/>
      <c r="Q834" s="87"/>
      <c r="R834" s="87"/>
      <c r="S834" s="87"/>
      <c r="T834" s="87"/>
      <c r="U834" s="87"/>
      <c r="V834" s="87"/>
      <c r="W834" s="87"/>
      <c r="X834" s="87"/>
      <c r="Y834" s="87"/>
      <c r="Z834" s="87"/>
      <c r="AA834" s="87"/>
      <c r="AB834" s="87"/>
      <c r="AC834" s="87"/>
      <c r="AD834" s="87"/>
      <c r="AE834" s="87"/>
      <c r="AF834" s="87"/>
      <c r="AG834" s="87"/>
      <c r="AH834" s="87"/>
      <c r="AI834" s="87"/>
      <c r="AJ834" s="87"/>
      <c r="AK834" s="87"/>
      <c r="AL834" s="87"/>
      <c r="AM834" s="87"/>
      <c r="AN834" s="87"/>
    </row>
    <row r="835" ht="16.5" customHeight="1">
      <c r="A835" s="87"/>
      <c r="B835" s="87"/>
      <c r="C835" s="87"/>
      <c r="D835" s="87"/>
      <c r="E835" s="87"/>
      <c r="F835" s="79"/>
      <c r="G835" s="87"/>
      <c r="H835" s="92"/>
      <c r="I835" s="87"/>
      <c r="J835" s="87"/>
      <c r="K835" s="89"/>
      <c r="L835" s="87"/>
      <c r="M835" s="87"/>
      <c r="N835" s="87"/>
      <c r="O835" s="87"/>
      <c r="P835" s="87"/>
      <c r="Q835" s="87"/>
      <c r="R835" s="87"/>
      <c r="S835" s="87"/>
      <c r="T835" s="87"/>
      <c r="U835" s="87"/>
      <c r="V835" s="87"/>
      <c r="W835" s="87"/>
      <c r="X835" s="87"/>
      <c r="Y835" s="87"/>
      <c r="Z835" s="87"/>
      <c r="AA835" s="87"/>
      <c r="AB835" s="87"/>
      <c r="AC835" s="87"/>
      <c r="AD835" s="87"/>
      <c r="AE835" s="87"/>
      <c r="AF835" s="87"/>
      <c r="AG835" s="87"/>
      <c r="AH835" s="87"/>
      <c r="AI835" s="87"/>
      <c r="AJ835" s="87"/>
      <c r="AK835" s="87"/>
      <c r="AL835" s="87"/>
      <c r="AM835" s="87"/>
      <c r="AN835" s="87"/>
    </row>
    <row r="836" ht="16.5" customHeight="1">
      <c r="A836" s="87"/>
      <c r="B836" s="87"/>
      <c r="C836" s="87"/>
      <c r="D836" s="87"/>
      <c r="E836" s="87"/>
      <c r="F836" s="79"/>
      <c r="G836" s="87"/>
      <c r="H836" s="92"/>
      <c r="I836" s="87"/>
      <c r="J836" s="87"/>
      <c r="K836" s="89"/>
      <c r="L836" s="87"/>
      <c r="M836" s="87"/>
      <c r="N836" s="87"/>
      <c r="O836" s="87"/>
      <c r="P836" s="87"/>
      <c r="Q836" s="87"/>
      <c r="R836" s="87"/>
      <c r="S836" s="87"/>
      <c r="T836" s="87"/>
      <c r="U836" s="87"/>
      <c r="V836" s="87"/>
      <c r="W836" s="87"/>
      <c r="X836" s="87"/>
      <c r="Y836" s="87"/>
      <c r="Z836" s="87"/>
      <c r="AA836" s="87"/>
      <c r="AB836" s="87"/>
      <c r="AC836" s="87"/>
      <c r="AD836" s="87"/>
      <c r="AE836" s="87"/>
      <c r="AF836" s="87"/>
      <c r="AG836" s="87"/>
      <c r="AH836" s="87"/>
      <c r="AI836" s="87"/>
      <c r="AJ836" s="87"/>
      <c r="AK836" s="87"/>
      <c r="AL836" s="87"/>
      <c r="AM836" s="87"/>
      <c r="AN836" s="87"/>
    </row>
    <row r="837" ht="16.5" customHeight="1">
      <c r="A837" s="87"/>
      <c r="B837" s="87"/>
      <c r="C837" s="87"/>
      <c r="D837" s="87"/>
      <c r="E837" s="87"/>
      <c r="F837" s="79"/>
      <c r="G837" s="87"/>
      <c r="H837" s="92"/>
      <c r="I837" s="87"/>
      <c r="J837" s="87"/>
      <c r="K837" s="89"/>
      <c r="L837" s="87"/>
      <c r="M837" s="87"/>
      <c r="N837" s="87"/>
      <c r="O837" s="87"/>
      <c r="P837" s="87"/>
      <c r="Q837" s="87"/>
      <c r="R837" s="87"/>
      <c r="S837" s="87"/>
      <c r="T837" s="87"/>
      <c r="U837" s="87"/>
      <c r="V837" s="87"/>
      <c r="W837" s="87"/>
      <c r="X837" s="87"/>
      <c r="Y837" s="87"/>
      <c r="Z837" s="87"/>
      <c r="AA837" s="87"/>
      <c r="AB837" s="87"/>
      <c r="AC837" s="87"/>
      <c r="AD837" s="87"/>
      <c r="AE837" s="87"/>
      <c r="AF837" s="87"/>
      <c r="AG837" s="87"/>
      <c r="AH837" s="87"/>
      <c r="AI837" s="87"/>
      <c r="AJ837" s="87"/>
      <c r="AK837" s="87"/>
      <c r="AL837" s="87"/>
      <c r="AM837" s="87"/>
      <c r="AN837" s="87"/>
    </row>
    <row r="838" ht="16.5" customHeight="1">
      <c r="A838" s="87"/>
      <c r="B838" s="87"/>
      <c r="C838" s="87"/>
      <c r="D838" s="87"/>
      <c r="E838" s="87"/>
      <c r="F838" s="79"/>
      <c r="G838" s="87"/>
      <c r="H838" s="92"/>
      <c r="I838" s="87"/>
      <c r="J838" s="87"/>
      <c r="K838" s="89"/>
      <c r="L838" s="87"/>
      <c r="M838" s="87"/>
      <c r="N838" s="87"/>
      <c r="O838" s="87"/>
      <c r="P838" s="87"/>
      <c r="Q838" s="87"/>
      <c r="R838" s="87"/>
      <c r="S838" s="87"/>
      <c r="T838" s="87"/>
      <c r="U838" s="87"/>
      <c r="V838" s="87"/>
      <c r="W838" s="87"/>
      <c r="X838" s="87"/>
      <c r="Y838" s="87"/>
      <c r="Z838" s="87"/>
      <c r="AA838" s="87"/>
      <c r="AB838" s="87"/>
      <c r="AC838" s="87"/>
      <c r="AD838" s="87"/>
      <c r="AE838" s="87"/>
      <c r="AF838" s="87"/>
      <c r="AG838" s="87"/>
      <c r="AH838" s="87"/>
      <c r="AI838" s="87"/>
      <c r="AJ838" s="87"/>
      <c r="AK838" s="87"/>
      <c r="AL838" s="87"/>
      <c r="AM838" s="87"/>
      <c r="AN838" s="87"/>
    </row>
    <row r="839" ht="16.5" customHeight="1">
      <c r="A839" s="87"/>
      <c r="B839" s="87"/>
      <c r="C839" s="87"/>
      <c r="D839" s="87"/>
      <c r="E839" s="87"/>
      <c r="F839" s="79"/>
      <c r="G839" s="87"/>
      <c r="H839" s="92"/>
      <c r="I839" s="87"/>
      <c r="J839" s="87"/>
      <c r="K839" s="89"/>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row>
    <row r="840" ht="16.5" customHeight="1">
      <c r="A840" s="87"/>
      <c r="B840" s="87"/>
      <c r="C840" s="87"/>
      <c r="D840" s="87"/>
      <c r="E840" s="87"/>
      <c r="F840" s="79"/>
      <c r="G840" s="87"/>
      <c r="H840" s="92"/>
      <c r="I840" s="87"/>
      <c r="J840" s="87"/>
      <c r="K840" s="89"/>
      <c r="L840" s="87"/>
      <c r="M840" s="87"/>
      <c r="N840" s="87"/>
      <c r="O840" s="87"/>
      <c r="P840" s="87"/>
      <c r="Q840" s="87"/>
      <c r="R840" s="87"/>
      <c r="S840" s="87"/>
      <c r="T840" s="87"/>
      <c r="U840" s="87"/>
      <c r="V840" s="87"/>
      <c r="W840" s="87"/>
      <c r="X840" s="87"/>
      <c r="Y840" s="87"/>
      <c r="Z840" s="87"/>
      <c r="AA840" s="87"/>
      <c r="AB840" s="87"/>
      <c r="AC840" s="87"/>
      <c r="AD840" s="87"/>
      <c r="AE840" s="87"/>
      <c r="AF840" s="87"/>
      <c r="AG840" s="87"/>
      <c r="AH840" s="87"/>
      <c r="AI840" s="87"/>
      <c r="AJ840" s="87"/>
      <c r="AK840" s="87"/>
      <c r="AL840" s="87"/>
      <c r="AM840" s="87"/>
      <c r="AN840" s="87"/>
    </row>
    <row r="841" ht="16.5" customHeight="1">
      <c r="A841" s="87"/>
      <c r="B841" s="87"/>
      <c r="C841" s="87"/>
      <c r="D841" s="87"/>
      <c r="E841" s="87"/>
      <c r="F841" s="79"/>
      <c r="G841" s="87"/>
      <c r="H841" s="92"/>
      <c r="I841" s="87"/>
      <c r="J841" s="87"/>
      <c r="K841" s="89"/>
      <c r="L841" s="87"/>
      <c r="M841" s="87"/>
      <c r="N841" s="87"/>
      <c r="O841" s="87"/>
      <c r="P841" s="87"/>
      <c r="Q841" s="87"/>
      <c r="R841" s="87"/>
      <c r="S841" s="87"/>
      <c r="T841" s="87"/>
      <c r="U841" s="87"/>
      <c r="V841" s="87"/>
      <c r="W841" s="87"/>
      <c r="X841" s="87"/>
      <c r="Y841" s="87"/>
      <c r="Z841" s="87"/>
      <c r="AA841" s="87"/>
      <c r="AB841" s="87"/>
      <c r="AC841" s="87"/>
      <c r="AD841" s="87"/>
      <c r="AE841" s="87"/>
      <c r="AF841" s="87"/>
      <c r="AG841" s="87"/>
      <c r="AH841" s="87"/>
      <c r="AI841" s="87"/>
      <c r="AJ841" s="87"/>
      <c r="AK841" s="87"/>
      <c r="AL841" s="87"/>
      <c r="AM841" s="87"/>
      <c r="AN841" s="87"/>
    </row>
    <row r="842" ht="16.5" customHeight="1">
      <c r="A842" s="87"/>
      <c r="B842" s="87"/>
      <c r="C842" s="87"/>
      <c r="D842" s="87"/>
      <c r="E842" s="87"/>
      <c r="F842" s="79"/>
      <c r="G842" s="87"/>
      <c r="H842" s="92"/>
      <c r="I842" s="87"/>
      <c r="J842" s="87"/>
      <c r="K842" s="89"/>
      <c r="L842" s="87"/>
      <c r="M842" s="87"/>
      <c r="N842" s="87"/>
      <c r="O842" s="87"/>
      <c r="P842" s="87"/>
      <c r="Q842" s="87"/>
      <c r="R842" s="87"/>
      <c r="S842" s="87"/>
      <c r="T842" s="87"/>
      <c r="U842" s="87"/>
      <c r="V842" s="87"/>
      <c r="W842" s="87"/>
      <c r="X842" s="87"/>
      <c r="Y842" s="87"/>
      <c r="Z842" s="87"/>
      <c r="AA842" s="87"/>
      <c r="AB842" s="87"/>
      <c r="AC842" s="87"/>
      <c r="AD842" s="87"/>
      <c r="AE842" s="87"/>
      <c r="AF842" s="87"/>
      <c r="AG842" s="87"/>
      <c r="AH842" s="87"/>
      <c r="AI842" s="87"/>
      <c r="AJ842" s="87"/>
      <c r="AK842" s="87"/>
      <c r="AL842" s="87"/>
      <c r="AM842" s="87"/>
      <c r="AN842" s="87"/>
    </row>
    <row r="843" ht="16.5" customHeight="1">
      <c r="A843" s="87"/>
      <c r="B843" s="87"/>
      <c r="C843" s="87"/>
      <c r="D843" s="87"/>
      <c r="E843" s="87"/>
      <c r="F843" s="79"/>
      <c r="G843" s="87"/>
      <c r="H843" s="92"/>
      <c r="I843" s="87"/>
      <c r="J843" s="87"/>
      <c r="K843" s="89"/>
      <c r="L843" s="87"/>
      <c r="M843" s="87"/>
      <c r="N843" s="87"/>
      <c r="O843" s="87"/>
      <c r="P843" s="87"/>
      <c r="Q843" s="87"/>
      <c r="R843" s="87"/>
      <c r="S843" s="87"/>
      <c r="T843" s="87"/>
      <c r="U843" s="87"/>
      <c r="V843" s="87"/>
      <c r="W843" s="87"/>
      <c r="X843" s="87"/>
      <c r="Y843" s="87"/>
      <c r="Z843" s="87"/>
      <c r="AA843" s="87"/>
      <c r="AB843" s="87"/>
      <c r="AC843" s="87"/>
      <c r="AD843" s="87"/>
      <c r="AE843" s="87"/>
      <c r="AF843" s="87"/>
      <c r="AG843" s="87"/>
      <c r="AH843" s="87"/>
      <c r="AI843" s="87"/>
      <c r="AJ843" s="87"/>
      <c r="AK843" s="87"/>
      <c r="AL843" s="87"/>
      <c r="AM843" s="87"/>
      <c r="AN843" s="87"/>
    </row>
    <row r="844" ht="16.5" customHeight="1">
      <c r="A844" s="87"/>
      <c r="B844" s="87"/>
      <c r="C844" s="87"/>
      <c r="D844" s="87"/>
      <c r="E844" s="87"/>
      <c r="F844" s="79"/>
      <c r="G844" s="87"/>
      <c r="H844" s="92"/>
      <c r="I844" s="87"/>
      <c r="J844" s="87"/>
      <c r="K844" s="89"/>
      <c r="L844" s="87"/>
      <c r="M844" s="87"/>
      <c r="N844" s="87"/>
      <c r="O844" s="87"/>
      <c r="P844" s="87"/>
      <c r="Q844" s="87"/>
      <c r="R844" s="87"/>
      <c r="S844" s="87"/>
      <c r="T844" s="87"/>
      <c r="U844" s="87"/>
      <c r="V844" s="87"/>
      <c r="W844" s="87"/>
      <c r="X844" s="87"/>
      <c r="Y844" s="87"/>
      <c r="Z844" s="87"/>
      <c r="AA844" s="87"/>
      <c r="AB844" s="87"/>
      <c r="AC844" s="87"/>
      <c r="AD844" s="87"/>
      <c r="AE844" s="87"/>
      <c r="AF844" s="87"/>
      <c r="AG844" s="87"/>
      <c r="AH844" s="87"/>
      <c r="AI844" s="87"/>
      <c r="AJ844" s="87"/>
      <c r="AK844" s="87"/>
      <c r="AL844" s="87"/>
      <c r="AM844" s="87"/>
      <c r="AN844" s="87"/>
    </row>
    <row r="845" ht="16.5" customHeight="1">
      <c r="A845" s="87"/>
      <c r="B845" s="87"/>
      <c r="C845" s="87"/>
      <c r="D845" s="87"/>
      <c r="E845" s="87"/>
      <c r="F845" s="79"/>
      <c r="G845" s="87"/>
      <c r="H845" s="92"/>
      <c r="I845" s="87"/>
      <c r="J845" s="87"/>
      <c r="K845" s="89"/>
      <c r="L845" s="87"/>
      <c r="M845" s="87"/>
      <c r="N845" s="87"/>
      <c r="O845" s="87"/>
      <c r="P845" s="87"/>
      <c r="Q845" s="87"/>
      <c r="R845" s="87"/>
      <c r="S845" s="87"/>
      <c r="T845" s="87"/>
      <c r="U845" s="87"/>
      <c r="V845" s="87"/>
      <c r="W845" s="87"/>
      <c r="X845" s="87"/>
      <c r="Y845" s="87"/>
      <c r="Z845" s="87"/>
      <c r="AA845" s="87"/>
      <c r="AB845" s="87"/>
      <c r="AC845" s="87"/>
      <c r="AD845" s="87"/>
      <c r="AE845" s="87"/>
      <c r="AF845" s="87"/>
      <c r="AG845" s="87"/>
      <c r="AH845" s="87"/>
      <c r="AI845" s="87"/>
      <c r="AJ845" s="87"/>
      <c r="AK845" s="87"/>
      <c r="AL845" s="87"/>
      <c r="AM845" s="87"/>
      <c r="AN845" s="87"/>
    </row>
    <row r="846" ht="16.5" customHeight="1">
      <c r="A846" s="87"/>
      <c r="B846" s="87"/>
      <c r="C846" s="87"/>
      <c r="D846" s="87"/>
      <c r="E846" s="87"/>
      <c r="F846" s="79"/>
      <c r="G846" s="87"/>
      <c r="H846" s="92"/>
      <c r="I846" s="87"/>
      <c r="J846" s="87"/>
      <c r="K846" s="89"/>
      <c r="L846" s="87"/>
      <c r="M846" s="87"/>
      <c r="N846" s="87"/>
      <c r="O846" s="87"/>
      <c r="P846" s="87"/>
      <c r="Q846" s="87"/>
      <c r="R846" s="87"/>
      <c r="S846" s="87"/>
      <c r="T846" s="87"/>
      <c r="U846" s="87"/>
      <c r="V846" s="87"/>
      <c r="W846" s="87"/>
      <c r="X846" s="87"/>
      <c r="Y846" s="87"/>
      <c r="Z846" s="87"/>
      <c r="AA846" s="87"/>
      <c r="AB846" s="87"/>
      <c r="AC846" s="87"/>
      <c r="AD846" s="87"/>
      <c r="AE846" s="87"/>
      <c r="AF846" s="87"/>
      <c r="AG846" s="87"/>
      <c r="AH846" s="87"/>
      <c r="AI846" s="87"/>
      <c r="AJ846" s="87"/>
      <c r="AK846" s="87"/>
      <c r="AL846" s="87"/>
      <c r="AM846" s="87"/>
      <c r="AN846" s="87"/>
    </row>
    <row r="847" ht="16.5" customHeight="1">
      <c r="A847" s="87"/>
      <c r="B847" s="87"/>
      <c r="C847" s="87"/>
      <c r="D847" s="87"/>
      <c r="E847" s="87"/>
      <c r="F847" s="79"/>
      <c r="G847" s="87"/>
      <c r="H847" s="92"/>
      <c r="I847" s="87"/>
      <c r="J847" s="87"/>
      <c r="K847" s="89"/>
      <c r="L847" s="87"/>
      <c r="M847" s="87"/>
      <c r="N847" s="87"/>
      <c r="O847" s="87"/>
      <c r="P847" s="87"/>
      <c r="Q847" s="87"/>
      <c r="R847" s="87"/>
      <c r="S847" s="87"/>
      <c r="T847" s="87"/>
      <c r="U847" s="87"/>
      <c r="V847" s="87"/>
      <c r="W847" s="87"/>
      <c r="X847" s="87"/>
      <c r="Y847" s="87"/>
      <c r="Z847" s="87"/>
      <c r="AA847" s="87"/>
      <c r="AB847" s="87"/>
      <c r="AC847" s="87"/>
      <c r="AD847" s="87"/>
      <c r="AE847" s="87"/>
      <c r="AF847" s="87"/>
      <c r="AG847" s="87"/>
      <c r="AH847" s="87"/>
      <c r="AI847" s="87"/>
      <c r="AJ847" s="87"/>
      <c r="AK847" s="87"/>
      <c r="AL847" s="87"/>
      <c r="AM847" s="87"/>
      <c r="AN847" s="87"/>
    </row>
    <row r="848" ht="16.5" customHeight="1">
      <c r="A848" s="87"/>
      <c r="B848" s="87"/>
      <c r="C848" s="87"/>
      <c r="D848" s="87"/>
      <c r="E848" s="87"/>
      <c r="F848" s="79"/>
      <c r="G848" s="87"/>
      <c r="H848" s="92"/>
      <c r="I848" s="87"/>
      <c r="J848" s="87"/>
      <c r="K848" s="89"/>
      <c r="L848" s="87"/>
      <c r="M848" s="87"/>
      <c r="N848" s="87"/>
      <c r="O848" s="87"/>
      <c r="P848" s="87"/>
      <c r="Q848" s="87"/>
      <c r="R848" s="87"/>
      <c r="S848" s="87"/>
      <c r="T848" s="87"/>
      <c r="U848" s="87"/>
      <c r="V848" s="87"/>
      <c r="W848" s="87"/>
      <c r="X848" s="87"/>
      <c r="Y848" s="87"/>
      <c r="Z848" s="87"/>
      <c r="AA848" s="87"/>
      <c r="AB848" s="87"/>
      <c r="AC848" s="87"/>
      <c r="AD848" s="87"/>
      <c r="AE848" s="87"/>
      <c r="AF848" s="87"/>
      <c r="AG848" s="87"/>
      <c r="AH848" s="87"/>
      <c r="AI848" s="87"/>
      <c r="AJ848" s="87"/>
      <c r="AK848" s="87"/>
      <c r="AL848" s="87"/>
      <c r="AM848" s="87"/>
      <c r="AN848" s="87"/>
    </row>
    <row r="849" ht="16.5" customHeight="1">
      <c r="A849" s="87"/>
      <c r="B849" s="87"/>
      <c r="C849" s="87"/>
      <c r="D849" s="87"/>
      <c r="E849" s="87"/>
      <c r="F849" s="79"/>
      <c r="G849" s="87"/>
      <c r="H849" s="92"/>
      <c r="I849" s="87"/>
      <c r="J849" s="87"/>
      <c r="K849" s="89"/>
      <c r="L849" s="87"/>
      <c r="M849" s="87"/>
      <c r="N849" s="87"/>
      <c r="O849" s="87"/>
      <c r="P849" s="87"/>
      <c r="Q849" s="87"/>
      <c r="R849" s="87"/>
      <c r="S849" s="87"/>
      <c r="T849" s="87"/>
      <c r="U849" s="87"/>
      <c r="V849" s="87"/>
      <c r="W849" s="87"/>
      <c r="X849" s="87"/>
      <c r="Y849" s="87"/>
      <c r="Z849" s="87"/>
      <c r="AA849" s="87"/>
      <c r="AB849" s="87"/>
      <c r="AC849" s="87"/>
      <c r="AD849" s="87"/>
      <c r="AE849" s="87"/>
      <c r="AF849" s="87"/>
      <c r="AG849" s="87"/>
      <c r="AH849" s="87"/>
      <c r="AI849" s="87"/>
      <c r="AJ849" s="87"/>
      <c r="AK849" s="87"/>
      <c r="AL849" s="87"/>
      <c r="AM849" s="87"/>
      <c r="AN849" s="87"/>
    </row>
    <row r="850" ht="16.5" customHeight="1">
      <c r="A850" s="87"/>
      <c r="B850" s="87"/>
      <c r="C850" s="87"/>
      <c r="D850" s="87"/>
      <c r="E850" s="87"/>
      <c r="F850" s="79"/>
      <c r="G850" s="87"/>
      <c r="H850" s="92"/>
      <c r="I850" s="87"/>
      <c r="J850" s="87"/>
      <c r="K850" s="89"/>
      <c r="L850" s="87"/>
      <c r="M850" s="87"/>
      <c r="N850" s="87"/>
      <c r="O850" s="87"/>
      <c r="P850" s="87"/>
      <c r="Q850" s="87"/>
      <c r="R850" s="87"/>
      <c r="S850" s="87"/>
      <c r="T850" s="87"/>
      <c r="U850" s="87"/>
      <c r="V850" s="87"/>
      <c r="W850" s="87"/>
      <c r="X850" s="87"/>
      <c r="Y850" s="87"/>
      <c r="Z850" s="87"/>
      <c r="AA850" s="87"/>
      <c r="AB850" s="87"/>
      <c r="AC850" s="87"/>
      <c r="AD850" s="87"/>
      <c r="AE850" s="87"/>
      <c r="AF850" s="87"/>
      <c r="AG850" s="87"/>
      <c r="AH850" s="87"/>
      <c r="AI850" s="87"/>
      <c r="AJ850" s="87"/>
      <c r="AK850" s="87"/>
      <c r="AL850" s="87"/>
      <c r="AM850" s="87"/>
      <c r="AN850" s="87"/>
    </row>
    <row r="851" ht="16.5" customHeight="1">
      <c r="A851" s="87"/>
      <c r="B851" s="87"/>
      <c r="C851" s="87"/>
      <c r="D851" s="87"/>
      <c r="E851" s="87"/>
      <c r="F851" s="79"/>
      <c r="G851" s="87"/>
      <c r="H851" s="92"/>
      <c r="I851" s="87"/>
      <c r="J851" s="87"/>
      <c r="K851" s="89"/>
      <c r="L851" s="87"/>
      <c r="M851" s="87"/>
      <c r="N851" s="87"/>
      <c r="O851" s="87"/>
      <c r="P851" s="87"/>
      <c r="Q851" s="87"/>
      <c r="R851" s="87"/>
      <c r="S851" s="87"/>
      <c r="T851" s="87"/>
      <c r="U851" s="87"/>
      <c r="V851" s="87"/>
      <c r="W851" s="87"/>
      <c r="X851" s="87"/>
      <c r="Y851" s="87"/>
      <c r="Z851" s="87"/>
      <c r="AA851" s="87"/>
      <c r="AB851" s="87"/>
      <c r="AC851" s="87"/>
      <c r="AD851" s="87"/>
      <c r="AE851" s="87"/>
      <c r="AF851" s="87"/>
      <c r="AG851" s="87"/>
      <c r="AH851" s="87"/>
      <c r="AI851" s="87"/>
      <c r="AJ851" s="87"/>
      <c r="AK851" s="87"/>
      <c r="AL851" s="87"/>
      <c r="AM851" s="87"/>
      <c r="AN851" s="87"/>
    </row>
    <row r="852" ht="16.5" customHeight="1">
      <c r="A852" s="87"/>
      <c r="B852" s="87"/>
      <c r="C852" s="87"/>
      <c r="D852" s="87"/>
      <c r="E852" s="87"/>
      <c r="F852" s="79"/>
      <c r="G852" s="87"/>
      <c r="H852" s="92"/>
      <c r="I852" s="87"/>
      <c r="J852" s="87"/>
      <c r="K852" s="89"/>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row>
    <row r="853" ht="16.5" customHeight="1">
      <c r="A853" s="87"/>
      <c r="B853" s="87"/>
      <c r="C853" s="87"/>
      <c r="D853" s="87"/>
      <c r="E853" s="87"/>
      <c r="F853" s="79"/>
      <c r="G853" s="87"/>
      <c r="H853" s="92"/>
      <c r="I853" s="87"/>
      <c r="J853" s="87"/>
      <c r="K853" s="89"/>
      <c r="L853" s="87"/>
      <c r="M853" s="87"/>
      <c r="N853" s="87"/>
      <c r="O853" s="87"/>
      <c r="P853" s="87"/>
      <c r="Q853" s="87"/>
      <c r="R853" s="87"/>
      <c r="S853" s="87"/>
      <c r="T853" s="87"/>
      <c r="U853" s="87"/>
      <c r="V853" s="87"/>
      <c r="W853" s="87"/>
      <c r="X853" s="87"/>
      <c r="Y853" s="87"/>
      <c r="Z853" s="87"/>
      <c r="AA853" s="87"/>
      <c r="AB853" s="87"/>
      <c r="AC853" s="87"/>
      <c r="AD853" s="87"/>
      <c r="AE853" s="87"/>
      <c r="AF853" s="87"/>
      <c r="AG853" s="87"/>
      <c r="AH853" s="87"/>
      <c r="AI853" s="87"/>
      <c r="AJ853" s="87"/>
      <c r="AK853" s="87"/>
      <c r="AL853" s="87"/>
      <c r="AM853" s="87"/>
      <c r="AN853" s="87"/>
    </row>
    <row r="854" ht="16.5" customHeight="1">
      <c r="A854" s="87"/>
      <c r="B854" s="87"/>
      <c r="C854" s="87"/>
      <c r="D854" s="87"/>
      <c r="E854" s="87"/>
      <c r="F854" s="79"/>
      <c r="G854" s="87"/>
      <c r="H854" s="92"/>
      <c r="I854" s="87"/>
      <c r="J854" s="87"/>
      <c r="K854" s="89"/>
      <c r="L854" s="87"/>
      <c r="M854" s="87"/>
      <c r="N854" s="87"/>
      <c r="O854" s="87"/>
      <c r="P854" s="87"/>
      <c r="Q854" s="87"/>
      <c r="R854" s="87"/>
      <c r="S854" s="87"/>
      <c r="T854" s="87"/>
      <c r="U854" s="87"/>
      <c r="V854" s="87"/>
      <c r="W854" s="87"/>
      <c r="X854" s="87"/>
      <c r="Y854" s="87"/>
      <c r="Z854" s="87"/>
      <c r="AA854" s="87"/>
      <c r="AB854" s="87"/>
      <c r="AC854" s="87"/>
      <c r="AD854" s="87"/>
      <c r="AE854" s="87"/>
      <c r="AF854" s="87"/>
      <c r="AG854" s="87"/>
      <c r="AH854" s="87"/>
      <c r="AI854" s="87"/>
      <c r="AJ854" s="87"/>
      <c r="AK854" s="87"/>
      <c r="AL854" s="87"/>
      <c r="AM854" s="87"/>
      <c r="AN854" s="87"/>
    </row>
    <row r="855" ht="16.5" customHeight="1">
      <c r="A855" s="87"/>
      <c r="B855" s="87"/>
      <c r="C855" s="87"/>
      <c r="D855" s="87"/>
      <c r="E855" s="87"/>
      <c r="F855" s="79"/>
      <c r="G855" s="87"/>
      <c r="H855" s="92"/>
      <c r="I855" s="87"/>
      <c r="J855" s="87"/>
      <c r="K855" s="89"/>
      <c r="L855" s="87"/>
      <c r="M855" s="87"/>
      <c r="N855" s="87"/>
      <c r="O855" s="87"/>
      <c r="P855" s="87"/>
      <c r="Q855" s="87"/>
      <c r="R855" s="87"/>
      <c r="S855" s="87"/>
      <c r="T855" s="87"/>
      <c r="U855" s="87"/>
      <c r="V855" s="87"/>
      <c r="W855" s="87"/>
      <c r="X855" s="87"/>
      <c r="Y855" s="87"/>
      <c r="Z855" s="87"/>
      <c r="AA855" s="87"/>
      <c r="AB855" s="87"/>
      <c r="AC855" s="87"/>
      <c r="AD855" s="87"/>
      <c r="AE855" s="87"/>
      <c r="AF855" s="87"/>
      <c r="AG855" s="87"/>
      <c r="AH855" s="87"/>
      <c r="AI855" s="87"/>
      <c r="AJ855" s="87"/>
      <c r="AK855" s="87"/>
      <c r="AL855" s="87"/>
      <c r="AM855" s="87"/>
      <c r="AN855" s="87"/>
    </row>
    <row r="856" ht="16.5" customHeight="1">
      <c r="A856" s="87"/>
      <c r="B856" s="87"/>
      <c r="C856" s="87"/>
      <c r="D856" s="87"/>
      <c r="E856" s="87"/>
      <c r="F856" s="79"/>
      <c r="G856" s="87"/>
      <c r="H856" s="92"/>
      <c r="I856" s="87"/>
      <c r="J856" s="87"/>
      <c r="K856" s="89"/>
      <c r="L856" s="87"/>
      <c r="M856" s="87"/>
      <c r="N856" s="87"/>
      <c r="O856" s="87"/>
      <c r="P856" s="87"/>
      <c r="Q856" s="87"/>
      <c r="R856" s="87"/>
      <c r="S856" s="87"/>
      <c r="T856" s="87"/>
      <c r="U856" s="87"/>
      <c r="V856" s="87"/>
      <c r="W856" s="87"/>
      <c r="X856" s="87"/>
      <c r="Y856" s="87"/>
      <c r="Z856" s="87"/>
      <c r="AA856" s="87"/>
      <c r="AB856" s="87"/>
      <c r="AC856" s="87"/>
      <c r="AD856" s="87"/>
      <c r="AE856" s="87"/>
      <c r="AF856" s="87"/>
      <c r="AG856" s="87"/>
      <c r="AH856" s="87"/>
      <c r="AI856" s="87"/>
      <c r="AJ856" s="87"/>
      <c r="AK856" s="87"/>
      <c r="AL856" s="87"/>
      <c r="AM856" s="87"/>
      <c r="AN856" s="87"/>
    </row>
    <row r="857" ht="16.5" customHeight="1">
      <c r="A857" s="87"/>
      <c r="B857" s="87"/>
      <c r="C857" s="87"/>
      <c r="D857" s="87"/>
      <c r="E857" s="87"/>
      <c r="F857" s="79"/>
      <c r="G857" s="87"/>
      <c r="H857" s="92"/>
      <c r="I857" s="87"/>
      <c r="J857" s="87"/>
      <c r="K857" s="89"/>
      <c r="L857" s="87"/>
      <c r="M857" s="87"/>
      <c r="N857" s="87"/>
      <c r="O857" s="87"/>
      <c r="P857" s="87"/>
      <c r="Q857" s="87"/>
      <c r="R857" s="87"/>
      <c r="S857" s="87"/>
      <c r="T857" s="87"/>
      <c r="U857" s="87"/>
      <c r="V857" s="87"/>
      <c r="W857" s="87"/>
      <c r="X857" s="87"/>
      <c r="Y857" s="87"/>
      <c r="Z857" s="87"/>
      <c r="AA857" s="87"/>
      <c r="AB857" s="87"/>
      <c r="AC857" s="87"/>
      <c r="AD857" s="87"/>
      <c r="AE857" s="87"/>
      <c r="AF857" s="87"/>
      <c r="AG857" s="87"/>
      <c r="AH857" s="87"/>
      <c r="AI857" s="87"/>
      <c r="AJ857" s="87"/>
      <c r="AK857" s="87"/>
      <c r="AL857" s="87"/>
      <c r="AM857" s="87"/>
      <c r="AN857" s="87"/>
    </row>
    <row r="858" ht="16.5" customHeight="1">
      <c r="A858" s="87"/>
      <c r="B858" s="87"/>
      <c r="C858" s="87"/>
      <c r="D858" s="87"/>
      <c r="E858" s="87"/>
      <c r="F858" s="79"/>
      <c r="G858" s="87"/>
      <c r="H858" s="92"/>
      <c r="I858" s="87"/>
      <c r="J858" s="87"/>
      <c r="K858" s="89"/>
      <c r="L858" s="87"/>
      <c r="M858" s="87"/>
      <c r="N858" s="87"/>
      <c r="O858" s="87"/>
      <c r="P858" s="87"/>
      <c r="Q858" s="87"/>
      <c r="R858" s="87"/>
      <c r="S858" s="87"/>
      <c r="T858" s="87"/>
      <c r="U858" s="87"/>
      <c r="V858" s="87"/>
      <c r="W858" s="87"/>
      <c r="X858" s="87"/>
      <c r="Y858" s="87"/>
      <c r="Z858" s="87"/>
      <c r="AA858" s="87"/>
      <c r="AB858" s="87"/>
      <c r="AC858" s="87"/>
      <c r="AD858" s="87"/>
      <c r="AE858" s="87"/>
      <c r="AF858" s="87"/>
      <c r="AG858" s="87"/>
      <c r="AH858" s="87"/>
      <c r="AI858" s="87"/>
      <c r="AJ858" s="87"/>
      <c r="AK858" s="87"/>
      <c r="AL858" s="87"/>
      <c r="AM858" s="87"/>
      <c r="AN858" s="87"/>
    </row>
    <row r="859" ht="16.5" customHeight="1">
      <c r="A859" s="87"/>
      <c r="B859" s="87"/>
      <c r="C859" s="87"/>
      <c r="D859" s="87"/>
      <c r="E859" s="87"/>
      <c r="F859" s="79"/>
      <c r="G859" s="87"/>
      <c r="H859" s="92"/>
      <c r="I859" s="87"/>
      <c r="J859" s="87"/>
      <c r="K859" s="89"/>
      <c r="L859" s="87"/>
      <c r="M859" s="87"/>
      <c r="N859" s="87"/>
      <c r="O859" s="87"/>
      <c r="P859" s="87"/>
      <c r="Q859" s="87"/>
      <c r="R859" s="87"/>
      <c r="S859" s="87"/>
      <c r="T859" s="87"/>
      <c r="U859" s="87"/>
      <c r="V859" s="87"/>
      <c r="W859" s="87"/>
      <c r="X859" s="87"/>
      <c r="Y859" s="87"/>
      <c r="Z859" s="87"/>
      <c r="AA859" s="87"/>
      <c r="AB859" s="87"/>
      <c r="AC859" s="87"/>
      <c r="AD859" s="87"/>
      <c r="AE859" s="87"/>
      <c r="AF859" s="87"/>
      <c r="AG859" s="87"/>
      <c r="AH859" s="87"/>
      <c r="AI859" s="87"/>
      <c r="AJ859" s="87"/>
      <c r="AK859" s="87"/>
      <c r="AL859" s="87"/>
      <c r="AM859" s="87"/>
      <c r="AN859" s="87"/>
    </row>
    <row r="860" ht="16.5" customHeight="1">
      <c r="A860" s="87"/>
      <c r="B860" s="87"/>
      <c r="C860" s="87"/>
      <c r="D860" s="87"/>
      <c r="E860" s="87"/>
      <c r="F860" s="79"/>
      <c r="G860" s="87"/>
      <c r="H860" s="92"/>
      <c r="I860" s="87"/>
      <c r="J860" s="87"/>
      <c r="K860" s="89"/>
      <c r="L860" s="87"/>
      <c r="M860" s="87"/>
      <c r="N860" s="87"/>
      <c r="O860" s="87"/>
      <c r="P860" s="87"/>
      <c r="Q860" s="87"/>
      <c r="R860" s="87"/>
      <c r="S860" s="87"/>
      <c r="T860" s="87"/>
      <c r="U860" s="87"/>
      <c r="V860" s="87"/>
      <c r="W860" s="87"/>
      <c r="X860" s="87"/>
      <c r="Y860" s="87"/>
      <c r="Z860" s="87"/>
      <c r="AA860" s="87"/>
      <c r="AB860" s="87"/>
      <c r="AC860" s="87"/>
      <c r="AD860" s="87"/>
      <c r="AE860" s="87"/>
      <c r="AF860" s="87"/>
      <c r="AG860" s="87"/>
      <c r="AH860" s="87"/>
      <c r="AI860" s="87"/>
      <c r="AJ860" s="87"/>
      <c r="AK860" s="87"/>
      <c r="AL860" s="87"/>
      <c r="AM860" s="87"/>
      <c r="AN860" s="87"/>
    </row>
    <row r="861" ht="16.5" customHeight="1">
      <c r="A861" s="87"/>
      <c r="B861" s="87"/>
      <c r="C861" s="87"/>
      <c r="D861" s="87"/>
      <c r="E861" s="87"/>
      <c r="F861" s="79"/>
      <c r="G861" s="87"/>
      <c r="H861" s="92"/>
      <c r="I861" s="87"/>
      <c r="J861" s="87"/>
      <c r="K861" s="89"/>
      <c r="L861" s="87"/>
      <c r="M861" s="87"/>
      <c r="N861" s="87"/>
      <c r="O861" s="87"/>
      <c r="P861" s="87"/>
      <c r="Q861" s="87"/>
      <c r="R861" s="87"/>
      <c r="S861" s="87"/>
      <c r="T861" s="87"/>
      <c r="U861" s="87"/>
      <c r="V861" s="87"/>
      <c r="W861" s="87"/>
      <c r="X861" s="87"/>
      <c r="Y861" s="87"/>
      <c r="Z861" s="87"/>
      <c r="AA861" s="87"/>
      <c r="AB861" s="87"/>
      <c r="AC861" s="87"/>
      <c r="AD861" s="87"/>
      <c r="AE861" s="87"/>
      <c r="AF861" s="87"/>
      <c r="AG861" s="87"/>
      <c r="AH861" s="87"/>
      <c r="AI861" s="87"/>
      <c r="AJ861" s="87"/>
      <c r="AK861" s="87"/>
      <c r="AL861" s="87"/>
      <c r="AM861" s="87"/>
      <c r="AN861" s="87"/>
    </row>
    <row r="862" ht="16.5" customHeight="1">
      <c r="A862" s="87"/>
      <c r="B862" s="87"/>
      <c r="C862" s="87"/>
      <c r="D862" s="87"/>
      <c r="E862" s="87"/>
      <c r="F862" s="79"/>
      <c r="G862" s="87"/>
      <c r="H862" s="92"/>
      <c r="I862" s="87"/>
      <c r="J862" s="87"/>
      <c r="K862" s="89"/>
      <c r="L862" s="87"/>
      <c r="M862" s="87"/>
      <c r="N862" s="87"/>
      <c r="O862" s="87"/>
      <c r="P862" s="87"/>
      <c r="Q862" s="87"/>
      <c r="R862" s="87"/>
      <c r="S862" s="87"/>
      <c r="T862" s="87"/>
      <c r="U862" s="87"/>
      <c r="V862" s="87"/>
      <c r="W862" s="87"/>
      <c r="X862" s="87"/>
      <c r="Y862" s="87"/>
      <c r="Z862" s="87"/>
      <c r="AA862" s="87"/>
      <c r="AB862" s="87"/>
      <c r="AC862" s="87"/>
      <c r="AD862" s="87"/>
      <c r="AE862" s="87"/>
      <c r="AF862" s="87"/>
      <c r="AG862" s="87"/>
      <c r="AH862" s="87"/>
      <c r="AI862" s="87"/>
      <c r="AJ862" s="87"/>
      <c r="AK862" s="87"/>
      <c r="AL862" s="87"/>
      <c r="AM862" s="87"/>
      <c r="AN862" s="87"/>
    </row>
    <row r="863" ht="16.5" customHeight="1">
      <c r="A863" s="87"/>
      <c r="B863" s="87"/>
      <c r="C863" s="87"/>
      <c r="D863" s="87"/>
      <c r="E863" s="87"/>
      <c r="F863" s="79"/>
      <c r="G863" s="87"/>
      <c r="H863" s="92"/>
      <c r="I863" s="87"/>
      <c r="J863" s="87"/>
      <c r="K863" s="89"/>
      <c r="L863" s="87"/>
      <c r="M863" s="87"/>
      <c r="N863" s="87"/>
      <c r="O863" s="87"/>
      <c r="P863" s="87"/>
      <c r="Q863" s="87"/>
      <c r="R863" s="87"/>
      <c r="S863" s="87"/>
      <c r="T863" s="87"/>
      <c r="U863" s="87"/>
      <c r="V863" s="87"/>
      <c r="W863" s="87"/>
      <c r="X863" s="87"/>
      <c r="Y863" s="87"/>
      <c r="Z863" s="87"/>
      <c r="AA863" s="87"/>
      <c r="AB863" s="87"/>
      <c r="AC863" s="87"/>
      <c r="AD863" s="87"/>
      <c r="AE863" s="87"/>
      <c r="AF863" s="87"/>
      <c r="AG863" s="87"/>
      <c r="AH863" s="87"/>
      <c r="AI863" s="87"/>
      <c r="AJ863" s="87"/>
      <c r="AK863" s="87"/>
      <c r="AL863" s="87"/>
      <c r="AM863" s="87"/>
      <c r="AN863" s="87"/>
    </row>
    <row r="864" ht="16.5" customHeight="1">
      <c r="A864" s="87"/>
      <c r="B864" s="87"/>
      <c r="C864" s="87"/>
      <c r="D864" s="87"/>
      <c r="E864" s="87"/>
      <c r="F864" s="79"/>
      <c r="G864" s="87"/>
      <c r="H864" s="92"/>
      <c r="I864" s="87"/>
      <c r="J864" s="87"/>
      <c r="K864" s="89"/>
      <c r="L864" s="87"/>
      <c r="M864" s="87"/>
      <c r="N864" s="87"/>
      <c r="O864" s="87"/>
      <c r="P864" s="87"/>
      <c r="Q864" s="87"/>
      <c r="R864" s="87"/>
      <c r="S864" s="87"/>
      <c r="T864" s="87"/>
      <c r="U864" s="87"/>
      <c r="V864" s="87"/>
      <c r="W864" s="87"/>
      <c r="X864" s="87"/>
      <c r="Y864" s="87"/>
      <c r="Z864" s="87"/>
      <c r="AA864" s="87"/>
      <c r="AB864" s="87"/>
      <c r="AC864" s="87"/>
      <c r="AD864" s="87"/>
      <c r="AE864" s="87"/>
      <c r="AF864" s="87"/>
      <c r="AG864" s="87"/>
      <c r="AH864" s="87"/>
      <c r="AI864" s="87"/>
      <c r="AJ864" s="87"/>
      <c r="AK864" s="87"/>
      <c r="AL864" s="87"/>
      <c r="AM864" s="87"/>
      <c r="AN864" s="87"/>
    </row>
    <row r="865" ht="16.5" customHeight="1">
      <c r="A865" s="87"/>
      <c r="B865" s="87"/>
      <c r="C865" s="87"/>
      <c r="D865" s="87"/>
      <c r="E865" s="87"/>
      <c r="F865" s="79"/>
      <c r="G865" s="87"/>
      <c r="H865" s="92"/>
      <c r="I865" s="87"/>
      <c r="J865" s="87"/>
      <c r="K865" s="89"/>
      <c r="L865" s="87"/>
      <c r="M865" s="87"/>
      <c r="N865" s="87"/>
      <c r="O865" s="87"/>
      <c r="P865" s="87"/>
      <c r="Q865" s="87"/>
      <c r="R865" s="87"/>
      <c r="S865" s="87"/>
      <c r="T865" s="87"/>
      <c r="U865" s="87"/>
      <c r="V865" s="87"/>
      <c r="W865" s="87"/>
      <c r="X865" s="87"/>
      <c r="Y865" s="87"/>
      <c r="Z865" s="87"/>
      <c r="AA865" s="87"/>
      <c r="AB865" s="87"/>
      <c r="AC865" s="87"/>
      <c r="AD865" s="87"/>
      <c r="AE865" s="87"/>
      <c r="AF865" s="87"/>
      <c r="AG865" s="87"/>
      <c r="AH865" s="87"/>
      <c r="AI865" s="87"/>
      <c r="AJ865" s="87"/>
      <c r="AK865" s="87"/>
      <c r="AL865" s="87"/>
      <c r="AM865" s="87"/>
      <c r="AN865" s="87"/>
    </row>
    <row r="866" ht="16.5" customHeight="1">
      <c r="A866" s="87"/>
      <c r="B866" s="87"/>
      <c r="C866" s="87"/>
      <c r="D866" s="87"/>
      <c r="E866" s="87"/>
      <c r="F866" s="79"/>
      <c r="G866" s="87"/>
      <c r="H866" s="92"/>
      <c r="I866" s="87"/>
      <c r="J866" s="87"/>
      <c r="K866" s="89"/>
      <c r="L866" s="87"/>
      <c r="M866" s="87"/>
      <c r="N866" s="87"/>
      <c r="O866" s="87"/>
      <c r="P866" s="87"/>
      <c r="Q866" s="87"/>
      <c r="R866" s="87"/>
      <c r="S866" s="87"/>
      <c r="T866" s="87"/>
      <c r="U866" s="87"/>
      <c r="V866" s="87"/>
      <c r="W866" s="87"/>
      <c r="X866" s="87"/>
      <c r="Y866" s="87"/>
      <c r="Z866" s="87"/>
      <c r="AA866" s="87"/>
      <c r="AB866" s="87"/>
      <c r="AC866" s="87"/>
      <c r="AD866" s="87"/>
      <c r="AE866" s="87"/>
      <c r="AF866" s="87"/>
      <c r="AG866" s="87"/>
      <c r="AH866" s="87"/>
      <c r="AI866" s="87"/>
      <c r="AJ866" s="87"/>
      <c r="AK866" s="87"/>
      <c r="AL866" s="87"/>
      <c r="AM866" s="87"/>
      <c r="AN866" s="87"/>
    </row>
    <row r="867" ht="16.5" customHeight="1">
      <c r="A867" s="87"/>
      <c r="B867" s="87"/>
      <c r="C867" s="87"/>
      <c r="D867" s="87"/>
      <c r="E867" s="87"/>
      <c r="F867" s="79"/>
      <c r="G867" s="87"/>
      <c r="H867" s="92"/>
      <c r="I867" s="87"/>
      <c r="J867" s="87"/>
      <c r="K867" s="89"/>
      <c r="L867" s="87"/>
      <c r="M867" s="87"/>
      <c r="N867" s="87"/>
      <c r="O867" s="87"/>
      <c r="P867" s="87"/>
      <c r="Q867" s="87"/>
      <c r="R867" s="87"/>
      <c r="S867" s="87"/>
      <c r="T867" s="87"/>
      <c r="U867" s="87"/>
      <c r="V867" s="87"/>
      <c r="W867" s="87"/>
      <c r="X867" s="87"/>
      <c r="Y867" s="87"/>
      <c r="Z867" s="87"/>
      <c r="AA867" s="87"/>
      <c r="AB867" s="87"/>
      <c r="AC867" s="87"/>
      <c r="AD867" s="87"/>
      <c r="AE867" s="87"/>
      <c r="AF867" s="87"/>
      <c r="AG867" s="87"/>
      <c r="AH867" s="87"/>
      <c r="AI867" s="87"/>
      <c r="AJ867" s="87"/>
      <c r="AK867" s="87"/>
      <c r="AL867" s="87"/>
      <c r="AM867" s="87"/>
      <c r="AN867" s="87"/>
    </row>
    <row r="868" ht="16.5" customHeight="1">
      <c r="A868" s="87"/>
      <c r="B868" s="87"/>
      <c r="C868" s="87"/>
      <c r="D868" s="87"/>
      <c r="E868" s="87"/>
      <c r="F868" s="79"/>
      <c r="G868" s="87"/>
      <c r="H868" s="92"/>
      <c r="I868" s="87"/>
      <c r="J868" s="87"/>
      <c r="K868" s="89"/>
      <c r="L868" s="87"/>
      <c r="M868" s="87"/>
      <c r="N868" s="87"/>
      <c r="O868" s="87"/>
      <c r="P868" s="87"/>
      <c r="Q868" s="87"/>
      <c r="R868" s="87"/>
      <c r="S868" s="87"/>
      <c r="T868" s="87"/>
      <c r="U868" s="87"/>
      <c r="V868" s="87"/>
      <c r="W868" s="87"/>
      <c r="X868" s="87"/>
      <c r="Y868" s="87"/>
      <c r="Z868" s="87"/>
      <c r="AA868" s="87"/>
      <c r="AB868" s="87"/>
      <c r="AC868" s="87"/>
      <c r="AD868" s="87"/>
      <c r="AE868" s="87"/>
      <c r="AF868" s="87"/>
      <c r="AG868" s="87"/>
      <c r="AH868" s="87"/>
      <c r="AI868" s="87"/>
      <c r="AJ868" s="87"/>
      <c r="AK868" s="87"/>
      <c r="AL868" s="87"/>
      <c r="AM868" s="87"/>
      <c r="AN868" s="87"/>
    </row>
    <row r="869" ht="16.5" customHeight="1">
      <c r="A869" s="87"/>
      <c r="B869" s="87"/>
      <c r="C869" s="87"/>
      <c r="D869" s="87"/>
      <c r="E869" s="87"/>
      <c r="F869" s="79"/>
      <c r="G869" s="87"/>
      <c r="H869" s="92"/>
      <c r="I869" s="87"/>
      <c r="J869" s="87"/>
      <c r="K869" s="89"/>
      <c r="L869" s="87"/>
      <c r="M869" s="87"/>
      <c r="N869" s="87"/>
      <c r="O869" s="87"/>
      <c r="P869" s="87"/>
      <c r="Q869" s="87"/>
      <c r="R869" s="87"/>
      <c r="S869" s="87"/>
      <c r="T869" s="87"/>
      <c r="U869" s="87"/>
      <c r="V869" s="87"/>
      <c r="W869" s="87"/>
      <c r="X869" s="87"/>
      <c r="Y869" s="87"/>
      <c r="Z869" s="87"/>
      <c r="AA869" s="87"/>
      <c r="AB869" s="87"/>
      <c r="AC869" s="87"/>
      <c r="AD869" s="87"/>
      <c r="AE869" s="87"/>
      <c r="AF869" s="87"/>
      <c r="AG869" s="87"/>
      <c r="AH869" s="87"/>
      <c r="AI869" s="87"/>
      <c r="AJ869" s="87"/>
      <c r="AK869" s="87"/>
      <c r="AL869" s="87"/>
      <c r="AM869" s="87"/>
      <c r="AN869" s="87"/>
    </row>
    <row r="870" ht="16.5" customHeight="1">
      <c r="A870" s="87"/>
      <c r="B870" s="87"/>
      <c r="C870" s="87"/>
      <c r="D870" s="87"/>
      <c r="E870" s="87"/>
      <c r="F870" s="79"/>
      <c r="G870" s="87"/>
      <c r="H870" s="92"/>
      <c r="I870" s="87"/>
      <c r="J870" s="87"/>
      <c r="K870" s="89"/>
      <c r="L870" s="87"/>
      <c r="M870" s="87"/>
      <c r="N870" s="87"/>
      <c r="O870" s="87"/>
      <c r="P870" s="87"/>
      <c r="Q870" s="87"/>
      <c r="R870" s="87"/>
      <c r="S870" s="87"/>
      <c r="T870" s="87"/>
      <c r="U870" s="87"/>
      <c r="V870" s="87"/>
      <c r="W870" s="87"/>
      <c r="X870" s="87"/>
      <c r="Y870" s="87"/>
      <c r="Z870" s="87"/>
      <c r="AA870" s="87"/>
      <c r="AB870" s="87"/>
      <c r="AC870" s="87"/>
      <c r="AD870" s="87"/>
      <c r="AE870" s="87"/>
      <c r="AF870" s="87"/>
      <c r="AG870" s="87"/>
      <c r="AH870" s="87"/>
      <c r="AI870" s="87"/>
      <c r="AJ870" s="87"/>
      <c r="AK870" s="87"/>
      <c r="AL870" s="87"/>
      <c r="AM870" s="87"/>
      <c r="AN870" s="87"/>
    </row>
    <row r="871" ht="16.5" customHeight="1">
      <c r="A871" s="87"/>
      <c r="B871" s="87"/>
      <c r="C871" s="87"/>
      <c r="D871" s="87"/>
      <c r="E871" s="87"/>
      <c r="F871" s="79"/>
      <c r="G871" s="87"/>
      <c r="H871" s="92"/>
      <c r="I871" s="87"/>
      <c r="J871" s="87"/>
      <c r="K871" s="89"/>
      <c r="L871" s="87"/>
      <c r="M871" s="87"/>
      <c r="N871" s="87"/>
      <c r="O871" s="87"/>
      <c r="P871" s="87"/>
      <c r="Q871" s="87"/>
      <c r="R871" s="87"/>
      <c r="S871" s="87"/>
      <c r="T871" s="87"/>
      <c r="U871" s="87"/>
      <c r="V871" s="87"/>
      <c r="W871" s="87"/>
      <c r="X871" s="87"/>
      <c r="Y871" s="87"/>
      <c r="Z871" s="87"/>
      <c r="AA871" s="87"/>
      <c r="AB871" s="87"/>
      <c r="AC871" s="87"/>
      <c r="AD871" s="87"/>
      <c r="AE871" s="87"/>
      <c r="AF871" s="87"/>
      <c r="AG871" s="87"/>
      <c r="AH871" s="87"/>
      <c r="AI871" s="87"/>
      <c r="AJ871" s="87"/>
      <c r="AK871" s="87"/>
      <c r="AL871" s="87"/>
      <c r="AM871" s="87"/>
      <c r="AN871" s="87"/>
    </row>
    <row r="872" ht="16.5" customHeight="1">
      <c r="A872" s="87"/>
      <c r="B872" s="87"/>
      <c r="C872" s="87"/>
      <c r="D872" s="87"/>
      <c r="E872" s="87"/>
      <c r="F872" s="79"/>
      <c r="G872" s="87"/>
      <c r="H872" s="92"/>
      <c r="I872" s="87"/>
      <c r="J872" s="87"/>
      <c r="K872" s="89"/>
      <c r="L872" s="87"/>
      <c r="M872" s="87"/>
      <c r="N872" s="87"/>
      <c r="O872" s="87"/>
      <c r="P872" s="87"/>
      <c r="Q872" s="87"/>
      <c r="R872" s="87"/>
      <c r="S872" s="87"/>
      <c r="T872" s="87"/>
      <c r="U872" s="87"/>
      <c r="V872" s="87"/>
      <c r="W872" s="87"/>
      <c r="X872" s="87"/>
      <c r="Y872" s="87"/>
      <c r="Z872" s="87"/>
      <c r="AA872" s="87"/>
      <c r="AB872" s="87"/>
      <c r="AC872" s="87"/>
      <c r="AD872" s="87"/>
      <c r="AE872" s="87"/>
      <c r="AF872" s="87"/>
      <c r="AG872" s="87"/>
      <c r="AH872" s="87"/>
      <c r="AI872" s="87"/>
      <c r="AJ872" s="87"/>
      <c r="AK872" s="87"/>
      <c r="AL872" s="87"/>
      <c r="AM872" s="87"/>
      <c r="AN872" s="87"/>
    </row>
    <row r="873" ht="16.5" customHeight="1">
      <c r="A873" s="87"/>
      <c r="B873" s="87"/>
      <c r="C873" s="87"/>
      <c r="D873" s="87"/>
      <c r="E873" s="87"/>
      <c r="F873" s="79"/>
      <c r="G873" s="87"/>
      <c r="H873" s="92"/>
      <c r="I873" s="87"/>
      <c r="J873" s="87"/>
      <c r="K873" s="89"/>
      <c r="L873" s="87"/>
      <c r="M873" s="87"/>
      <c r="N873" s="87"/>
      <c r="O873" s="87"/>
      <c r="P873" s="87"/>
      <c r="Q873" s="87"/>
      <c r="R873" s="87"/>
      <c r="S873" s="87"/>
      <c r="T873" s="87"/>
      <c r="U873" s="87"/>
      <c r="V873" s="87"/>
      <c r="W873" s="87"/>
      <c r="X873" s="87"/>
      <c r="Y873" s="87"/>
      <c r="Z873" s="87"/>
      <c r="AA873" s="87"/>
      <c r="AB873" s="87"/>
      <c r="AC873" s="87"/>
      <c r="AD873" s="87"/>
      <c r="AE873" s="87"/>
      <c r="AF873" s="87"/>
      <c r="AG873" s="87"/>
      <c r="AH873" s="87"/>
      <c r="AI873" s="87"/>
      <c r="AJ873" s="87"/>
      <c r="AK873" s="87"/>
      <c r="AL873" s="87"/>
      <c r="AM873" s="87"/>
      <c r="AN873" s="87"/>
    </row>
    <row r="874" ht="16.5" customHeight="1">
      <c r="A874" s="87"/>
      <c r="B874" s="87"/>
      <c r="C874" s="87"/>
      <c r="D874" s="87"/>
      <c r="E874" s="87"/>
      <c r="F874" s="79"/>
      <c r="G874" s="87"/>
      <c r="H874" s="92"/>
      <c r="I874" s="87"/>
      <c r="J874" s="87"/>
      <c r="K874" s="89"/>
      <c r="L874" s="87"/>
      <c r="M874" s="87"/>
      <c r="N874" s="87"/>
      <c r="O874" s="87"/>
      <c r="P874" s="87"/>
      <c r="Q874" s="87"/>
      <c r="R874" s="87"/>
      <c r="S874" s="87"/>
      <c r="T874" s="87"/>
      <c r="U874" s="87"/>
      <c r="V874" s="87"/>
      <c r="W874" s="87"/>
      <c r="X874" s="87"/>
      <c r="Y874" s="87"/>
      <c r="Z874" s="87"/>
      <c r="AA874" s="87"/>
      <c r="AB874" s="87"/>
      <c r="AC874" s="87"/>
      <c r="AD874" s="87"/>
      <c r="AE874" s="87"/>
      <c r="AF874" s="87"/>
      <c r="AG874" s="87"/>
      <c r="AH874" s="87"/>
      <c r="AI874" s="87"/>
      <c r="AJ874" s="87"/>
      <c r="AK874" s="87"/>
      <c r="AL874" s="87"/>
      <c r="AM874" s="87"/>
      <c r="AN874" s="87"/>
    </row>
    <row r="875" ht="16.5" customHeight="1">
      <c r="A875" s="87"/>
      <c r="B875" s="87"/>
      <c r="C875" s="87"/>
      <c r="D875" s="87"/>
      <c r="E875" s="87"/>
      <c r="F875" s="79"/>
      <c r="G875" s="87"/>
      <c r="H875" s="92"/>
      <c r="I875" s="87"/>
      <c r="J875" s="87"/>
      <c r="K875" s="89"/>
      <c r="L875" s="87"/>
      <c r="M875" s="87"/>
      <c r="N875" s="87"/>
      <c r="O875" s="87"/>
      <c r="P875" s="87"/>
      <c r="Q875" s="87"/>
      <c r="R875" s="87"/>
      <c r="S875" s="87"/>
      <c r="T875" s="87"/>
      <c r="U875" s="87"/>
      <c r="V875" s="87"/>
      <c r="W875" s="87"/>
      <c r="X875" s="87"/>
      <c r="Y875" s="87"/>
      <c r="Z875" s="87"/>
      <c r="AA875" s="87"/>
      <c r="AB875" s="87"/>
      <c r="AC875" s="87"/>
      <c r="AD875" s="87"/>
      <c r="AE875" s="87"/>
      <c r="AF875" s="87"/>
      <c r="AG875" s="87"/>
      <c r="AH875" s="87"/>
      <c r="AI875" s="87"/>
      <c r="AJ875" s="87"/>
      <c r="AK875" s="87"/>
      <c r="AL875" s="87"/>
      <c r="AM875" s="87"/>
      <c r="AN875" s="87"/>
    </row>
    <row r="876" ht="16.5" customHeight="1">
      <c r="A876" s="87"/>
      <c r="B876" s="87"/>
      <c r="C876" s="87"/>
      <c r="D876" s="87"/>
      <c r="E876" s="87"/>
      <c r="F876" s="79"/>
      <c r="G876" s="87"/>
      <c r="H876" s="92"/>
      <c r="I876" s="87"/>
      <c r="J876" s="87"/>
      <c r="K876" s="89"/>
      <c r="L876" s="87"/>
      <c r="M876" s="87"/>
      <c r="N876" s="87"/>
      <c r="O876" s="87"/>
      <c r="P876" s="87"/>
      <c r="Q876" s="87"/>
      <c r="R876" s="87"/>
      <c r="S876" s="87"/>
      <c r="T876" s="87"/>
      <c r="U876" s="87"/>
      <c r="V876" s="87"/>
      <c r="W876" s="87"/>
      <c r="X876" s="87"/>
      <c r="Y876" s="87"/>
      <c r="Z876" s="87"/>
      <c r="AA876" s="87"/>
      <c r="AB876" s="87"/>
      <c r="AC876" s="87"/>
      <c r="AD876" s="87"/>
      <c r="AE876" s="87"/>
      <c r="AF876" s="87"/>
      <c r="AG876" s="87"/>
      <c r="AH876" s="87"/>
      <c r="AI876" s="87"/>
      <c r="AJ876" s="87"/>
      <c r="AK876" s="87"/>
      <c r="AL876" s="87"/>
      <c r="AM876" s="87"/>
      <c r="AN876" s="87"/>
    </row>
    <row r="877" ht="16.5" customHeight="1">
      <c r="A877" s="87"/>
      <c r="B877" s="87"/>
      <c r="C877" s="87"/>
      <c r="D877" s="87"/>
      <c r="E877" s="87"/>
      <c r="F877" s="79"/>
      <c r="G877" s="87"/>
      <c r="H877" s="92"/>
      <c r="I877" s="87"/>
      <c r="J877" s="87"/>
      <c r="K877" s="89"/>
      <c r="L877" s="87"/>
      <c r="M877" s="87"/>
      <c r="N877" s="87"/>
      <c r="O877" s="87"/>
      <c r="P877" s="87"/>
      <c r="Q877" s="87"/>
      <c r="R877" s="87"/>
      <c r="S877" s="87"/>
      <c r="T877" s="87"/>
      <c r="U877" s="87"/>
      <c r="V877" s="87"/>
      <c r="W877" s="87"/>
      <c r="X877" s="87"/>
      <c r="Y877" s="87"/>
      <c r="Z877" s="87"/>
      <c r="AA877" s="87"/>
      <c r="AB877" s="87"/>
      <c r="AC877" s="87"/>
      <c r="AD877" s="87"/>
      <c r="AE877" s="87"/>
      <c r="AF877" s="87"/>
      <c r="AG877" s="87"/>
      <c r="AH877" s="87"/>
      <c r="AI877" s="87"/>
      <c r="AJ877" s="87"/>
      <c r="AK877" s="87"/>
      <c r="AL877" s="87"/>
      <c r="AM877" s="87"/>
      <c r="AN877" s="87"/>
    </row>
    <row r="878" ht="16.5" customHeight="1">
      <c r="A878" s="87"/>
      <c r="B878" s="87"/>
      <c r="C878" s="87"/>
      <c r="D878" s="87"/>
      <c r="E878" s="87"/>
      <c r="F878" s="79"/>
      <c r="G878" s="87"/>
      <c r="H878" s="92"/>
      <c r="I878" s="87"/>
      <c r="J878" s="87"/>
      <c r="K878" s="89"/>
      <c r="L878" s="87"/>
      <c r="M878" s="87"/>
      <c r="N878" s="87"/>
      <c r="O878" s="87"/>
      <c r="P878" s="87"/>
      <c r="Q878" s="87"/>
      <c r="R878" s="87"/>
      <c r="S878" s="87"/>
      <c r="T878" s="87"/>
      <c r="U878" s="87"/>
      <c r="V878" s="87"/>
      <c r="W878" s="87"/>
      <c r="X878" s="87"/>
      <c r="Y878" s="87"/>
      <c r="Z878" s="87"/>
      <c r="AA878" s="87"/>
      <c r="AB878" s="87"/>
      <c r="AC878" s="87"/>
      <c r="AD878" s="87"/>
      <c r="AE878" s="87"/>
      <c r="AF878" s="87"/>
      <c r="AG878" s="87"/>
      <c r="AH878" s="87"/>
      <c r="AI878" s="87"/>
      <c r="AJ878" s="87"/>
      <c r="AK878" s="87"/>
      <c r="AL878" s="87"/>
      <c r="AM878" s="87"/>
      <c r="AN878" s="87"/>
    </row>
    <row r="879" ht="16.5" customHeight="1">
      <c r="A879" s="87"/>
      <c r="B879" s="87"/>
      <c r="C879" s="87"/>
      <c r="D879" s="87"/>
      <c r="E879" s="87"/>
      <c r="F879" s="79"/>
      <c r="G879" s="87"/>
      <c r="H879" s="92"/>
      <c r="I879" s="87"/>
      <c r="J879" s="87"/>
      <c r="K879" s="89"/>
      <c r="L879" s="87"/>
      <c r="M879" s="87"/>
      <c r="N879" s="87"/>
      <c r="O879" s="87"/>
      <c r="P879" s="87"/>
      <c r="Q879" s="87"/>
      <c r="R879" s="87"/>
      <c r="S879" s="87"/>
      <c r="T879" s="87"/>
      <c r="U879" s="87"/>
      <c r="V879" s="87"/>
      <c r="W879" s="87"/>
      <c r="X879" s="87"/>
      <c r="Y879" s="87"/>
      <c r="Z879" s="87"/>
      <c r="AA879" s="87"/>
      <c r="AB879" s="87"/>
      <c r="AC879" s="87"/>
      <c r="AD879" s="87"/>
      <c r="AE879" s="87"/>
      <c r="AF879" s="87"/>
      <c r="AG879" s="87"/>
      <c r="AH879" s="87"/>
      <c r="AI879" s="87"/>
      <c r="AJ879" s="87"/>
      <c r="AK879" s="87"/>
      <c r="AL879" s="87"/>
      <c r="AM879" s="87"/>
      <c r="AN879" s="87"/>
    </row>
    <row r="880" ht="16.5" customHeight="1">
      <c r="A880" s="87"/>
      <c r="B880" s="87"/>
      <c r="C880" s="87"/>
      <c r="D880" s="87"/>
      <c r="E880" s="87"/>
      <c r="F880" s="79"/>
      <c r="G880" s="87"/>
      <c r="H880" s="92"/>
      <c r="I880" s="87"/>
      <c r="J880" s="87"/>
      <c r="K880" s="89"/>
      <c r="L880" s="87"/>
      <c r="M880" s="87"/>
      <c r="N880" s="87"/>
      <c r="O880" s="87"/>
      <c r="P880" s="87"/>
      <c r="Q880" s="87"/>
      <c r="R880" s="87"/>
      <c r="S880" s="87"/>
      <c r="T880" s="87"/>
      <c r="U880" s="87"/>
      <c r="V880" s="87"/>
      <c r="W880" s="87"/>
      <c r="X880" s="87"/>
      <c r="Y880" s="87"/>
      <c r="Z880" s="87"/>
      <c r="AA880" s="87"/>
      <c r="AB880" s="87"/>
      <c r="AC880" s="87"/>
      <c r="AD880" s="87"/>
      <c r="AE880" s="87"/>
      <c r="AF880" s="87"/>
      <c r="AG880" s="87"/>
      <c r="AH880" s="87"/>
      <c r="AI880" s="87"/>
      <c r="AJ880" s="87"/>
      <c r="AK880" s="87"/>
      <c r="AL880" s="87"/>
      <c r="AM880" s="87"/>
      <c r="AN880" s="87"/>
    </row>
    <row r="881" ht="16.5" customHeight="1">
      <c r="A881" s="87"/>
      <c r="B881" s="87"/>
      <c r="C881" s="87"/>
      <c r="D881" s="87"/>
      <c r="E881" s="87"/>
      <c r="F881" s="79"/>
      <c r="G881" s="87"/>
      <c r="H881" s="92"/>
      <c r="I881" s="87"/>
      <c r="J881" s="87"/>
      <c r="K881" s="89"/>
      <c r="L881" s="87"/>
      <c r="M881" s="87"/>
      <c r="N881" s="87"/>
      <c r="O881" s="87"/>
      <c r="P881" s="87"/>
      <c r="Q881" s="87"/>
      <c r="R881" s="87"/>
      <c r="S881" s="87"/>
      <c r="T881" s="87"/>
      <c r="U881" s="87"/>
      <c r="V881" s="87"/>
      <c r="W881" s="87"/>
      <c r="X881" s="87"/>
      <c r="Y881" s="87"/>
      <c r="Z881" s="87"/>
      <c r="AA881" s="87"/>
      <c r="AB881" s="87"/>
      <c r="AC881" s="87"/>
      <c r="AD881" s="87"/>
      <c r="AE881" s="87"/>
      <c r="AF881" s="87"/>
      <c r="AG881" s="87"/>
      <c r="AH881" s="87"/>
      <c r="AI881" s="87"/>
      <c r="AJ881" s="87"/>
      <c r="AK881" s="87"/>
      <c r="AL881" s="87"/>
      <c r="AM881" s="87"/>
      <c r="AN881" s="87"/>
    </row>
    <row r="882" ht="16.5" customHeight="1">
      <c r="A882" s="87"/>
      <c r="B882" s="87"/>
      <c r="C882" s="87"/>
      <c r="D882" s="87"/>
      <c r="E882" s="87"/>
      <c r="F882" s="79"/>
      <c r="G882" s="87"/>
      <c r="H882" s="92"/>
      <c r="I882" s="87"/>
      <c r="J882" s="87"/>
      <c r="K882" s="89"/>
      <c r="L882" s="87"/>
      <c r="M882" s="87"/>
      <c r="N882" s="87"/>
      <c r="O882" s="87"/>
      <c r="P882" s="87"/>
      <c r="Q882" s="87"/>
      <c r="R882" s="87"/>
      <c r="S882" s="87"/>
      <c r="T882" s="87"/>
      <c r="U882" s="87"/>
      <c r="V882" s="87"/>
      <c r="W882" s="87"/>
      <c r="X882" s="87"/>
      <c r="Y882" s="87"/>
      <c r="Z882" s="87"/>
      <c r="AA882" s="87"/>
      <c r="AB882" s="87"/>
      <c r="AC882" s="87"/>
      <c r="AD882" s="87"/>
      <c r="AE882" s="87"/>
      <c r="AF882" s="87"/>
      <c r="AG882" s="87"/>
      <c r="AH882" s="87"/>
      <c r="AI882" s="87"/>
      <c r="AJ882" s="87"/>
      <c r="AK882" s="87"/>
      <c r="AL882" s="87"/>
      <c r="AM882" s="87"/>
      <c r="AN882" s="87"/>
    </row>
    <row r="883" ht="16.5" customHeight="1">
      <c r="A883" s="87"/>
      <c r="B883" s="87"/>
      <c r="C883" s="87"/>
      <c r="D883" s="87"/>
      <c r="E883" s="87"/>
      <c r="F883" s="79"/>
      <c r="G883" s="87"/>
      <c r="H883" s="92"/>
      <c r="I883" s="87"/>
      <c r="J883" s="87"/>
      <c r="K883" s="89"/>
      <c r="L883" s="87"/>
      <c r="M883" s="87"/>
      <c r="N883" s="87"/>
      <c r="O883" s="87"/>
      <c r="P883" s="87"/>
      <c r="Q883" s="87"/>
      <c r="R883" s="87"/>
      <c r="S883" s="87"/>
      <c r="T883" s="87"/>
      <c r="U883" s="87"/>
      <c r="V883" s="87"/>
      <c r="W883" s="87"/>
      <c r="X883" s="87"/>
      <c r="Y883" s="87"/>
      <c r="Z883" s="87"/>
      <c r="AA883" s="87"/>
      <c r="AB883" s="87"/>
      <c r="AC883" s="87"/>
      <c r="AD883" s="87"/>
      <c r="AE883" s="87"/>
      <c r="AF883" s="87"/>
      <c r="AG883" s="87"/>
      <c r="AH883" s="87"/>
      <c r="AI883" s="87"/>
      <c r="AJ883" s="87"/>
      <c r="AK883" s="87"/>
      <c r="AL883" s="87"/>
      <c r="AM883" s="87"/>
      <c r="AN883" s="87"/>
    </row>
    <row r="884" ht="16.5" customHeight="1">
      <c r="A884" s="87"/>
      <c r="B884" s="87"/>
      <c r="C884" s="87"/>
      <c r="D884" s="87"/>
      <c r="E884" s="87"/>
      <c r="F884" s="79"/>
      <c r="G884" s="87"/>
      <c r="H884" s="92"/>
      <c r="I884" s="87"/>
      <c r="J884" s="87"/>
      <c r="K884" s="89"/>
      <c r="L884" s="87"/>
      <c r="M884" s="87"/>
      <c r="N884" s="87"/>
      <c r="O884" s="87"/>
      <c r="P884" s="87"/>
      <c r="Q884" s="87"/>
      <c r="R884" s="87"/>
      <c r="S884" s="87"/>
      <c r="T884" s="87"/>
      <c r="U884" s="87"/>
      <c r="V884" s="87"/>
      <c r="W884" s="87"/>
      <c r="X884" s="87"/>
      <c r="Y884" s="87"/>
      <c r="Z884" s="87"/>
      <c r="AA884" s="87"/>
      <c r="AB884" s="87"/>
      <c r="AC884" s="87"/>
      <c r="AD884" s="87"/>
      <c r="AE884" s="87"/>
      <c r="AF884" s="87"/>
      <c r="AG884" s="87"/>
      <c r="AH884" s="87"/>
      <c r="AI884" s="87"/>
      <c r="AJ884" s="87"/>
      <c r="AK884" s="87"/>
      <c r="AL884" s="87"/>
      <c r="AM884" s="87"/>
      <c r="AN884" s="87"/>
    </row>
    <row r="885" ht="16.5" customHeight="1">
      <c r="A885" s="87"/>
      <c r="B885" s="87"/>
      <c r="C885" s="87"/>
      <c r="D885" s="87"/>
      <c r="E885" s="87"/>
      <c r="F885" s="79"/>
      <c r="G885" s="87"/>
      <c r="H885" s="92"/>
      <c r="I885" s="87"/>
      <c r="J885" s="87"/>
      <c r="K885" s="89"/>
      <c r="L885" s="87"/>
      <c r="M885" s="87"/>
      <c r="N885" s="87"/>
      <c r="O885" s="87"/>
      <c r="P885" s="87"/>
      <c r="Q885" s="87"/>
      <c r="R885" s="87"/>
      <c r="S885" s="87"/>
      <c r="T885" s="87"/>
      <c r="U885" s="87"/>
      <c r="V885" s="87"/>
      <c r="W885" s="87"/>
      <c r="X885" s="87"/>
      <c r="Y885" s="87"/>
      <c r="Z885" s="87"/>
      <c r="AA885" s="87"/>
      <c r="AB885" s="87"/>
      <c r="AC885" s="87"/>
      <c r="AD885" s="87"/>
      <c r="AE885" s="87"/>
      <c r="AF885" s="87"/>
      <c r="AG885" s="87"/>
      <c r="AH885" s="87"/>
      <c r="AI885" s="87"/>
      <c r="AJ885" s="87"/>
      <c r="AK885" s="87"/>
      <c r="AL885" s="87"/>
      <c r="AM885" s="87"/>
      <c r="AN885" s="87"/>
    </row>
    <row r="886" ht="16.5" customHeight="1">
      <c r="A886" s="87"/>
      <c r="B886" s="87"/>
      <c r="C886" s="87"/>
      <c r="D886" s="87"/>
      <c r="E886" s="87"/>
      <c r="F886" s="79"/>
      <c r="G886" s="87"/>
      <c r="H886" s="92"/>
      <c r="I886" s="87"/>
      <c r="J886" s="87"/>
      <c r="K886" s="89"/>
      <c r="L886" s="87"/>
      <c r="M886" s="87"/>
      <c r="N886" s="87"/>
      <c r="O886" s="87"/>
      <c r="P886" s="87"/>
      <c r="Q886" s="87"/>
      <c r="R886" s="87"/>
      <c r="S886" s="87"/>
      <c r="T886" s="87"/>
      <c r="U886" s="87"/>
      <c r="V886" s="87"/>
      <c r="W886" s="87"/>
      <c r="X886" s="87"/>
      <c r="Y886" s="87"/>
      <c r="Z886" s="87"/>
      <c r="AA886" s="87"/>
      <c r="AB886" s="87"/>
      <c r="AC886" s="87"/>
      <c r="AD886" s="87"/>
      <c r="AE886" s="87"/>
      <c r="AF886" s="87"/>
      <c r="AG886" s="87"/>
      <c r="AH886" s="87"/>
      <c r="AI886" s="87"/>
      <c r="AJ886" s="87"/>
      <c r="AK886" s="87"/>
      <c r="AL886" s="87"/>
      <c r="AM886" s="87"/>
      <c r="AN886" s="87"/>
    </row>
    <row r="887" ht="16.5" customHeight="1">
      <c r="A887" s="87"/>
      <c r="B887" s="87"/>
      <c r="C887" s="87"/>
      <c r="D887" s="87"/>
      <c r="E887" s="87"/>
      <c r="F887" s="79"/>
      <c r="G887" s="87"/>
      <c r="H887" s="92"/>
      <c r="I887" s="87"/>
      <c r="J887" s="87"/>
      <c r="K887" s="89"/>
      <c r="L887" s="87"/>
      <c r="M887" s="87"/>
      <c r="N887" s="87"/>
      <c r="O887" s="87"/>
      <c r="P887" s="87"/>
      <c r="Q887" s="87"/>
      <c r="R887" s="87"/>
      <c r="S887" s="87"/>
      <c r="T887" s="87"/>
      <c r="U887" s="87"/>
      <c r="V887" s="87"/>
      <c r="W887" s="87"/>
      <c r="X887" s="87"/>
      <c r="Y887" s="87"/>
      <c r="Z887" s="87"/>
      <c r="AA887" s="87"/>
      <c r="AB887" s="87"/>
      <c r="AC887" s="87"/>
      <c r="AD887" s="87"/>
      <c r="AE887" s="87"/>
      <c r="AF887" s="87"/>
      <c r="AG887" s="87"/>
      <c r="AH887" s="87"/>
      <c r="AI887" s="87"/>
      <c r="AJ887" s="87"/>
      <c r="AK887" s="87"/>
      <c r="AL887" s="87"/>
      <c r="AM887" s="87"/>
      <c r="AN887" s="87"/>
    </row>
    <row r="888" ht="16.5" customHeight="1">
      <c r="A888" s="87"/>
      <c r="B888" s="87"/>
      <c r="C888" s="87"/>
      <c r="D888" s="87"/>
      <c r="E888" s="87"/>
      <c r="F888" s="79"/>
      <c r="G888" s="87"/>
      <c r="H888" s="92"/>
      <c r="I888" s="87"/>
      <c r="J888" s="87"/>
      <c r="K888" s="89"/>
      <c r="L888" s="87"/>
      <c r="M888" s="87"/>
      <c r="N888" s="87"/>
      <c r="O888" s="87"/>
      <c r="P888" s="87"/>
      <c r="Q888" s="87"/>
      <c r="R888" s="87"/>
      <c r="S888" s="87"/>
      <c r="T888" s="87"/>
      <c r="U888" s="87"/>
      <c r="V888" s="87"/>
      <c r="W888" s="87"/>
      <c r="X888" s="87"/>
      <c r="Y888" s="87"/>
      <c r="Z888" s="87"/>
      <c r="AA888" s="87"/>
      <c r="AB888" s="87"/>
      <c r="AC888" s="87"/>
      <c r="AD888" s="87"/>
      <c r="AE888" s="87"/>
      <c r="AF888" s="87"/>
      <c r="AG888" s="87"/>
      <c r="AH888" s="87"/>
      <c r="AI888" s="87"/>
      <c r="AJ888" s="87"/>
      <c r="AK888" s="87"/>
      <c r="AL888" s="87"/>
      <c r="AM888" s="87"/>
      <c r="AN888" s="87"/>
    </row>
    <row r="889" ht="16.5" customHeight="1">
      <c r="A889" s="87"/>
      <c r="B889" s="87"/>
      <c r="C889" s="87"/>
      <c r="D889" s="87"/>
      <c r="E889" s="87"/>
      <c r="F889" s="79"/>
      <c r="G889" s="87"/>
      <c r="H889" s="92"/>
      <c r="I889" s="87"/>
      <c r="J889" s="87"/>
      <c r="K889" s="89"/>
      <c r="L889" s="87"/>
      <c r="M889" s="87"/>
      <c r="N889" s="87"/>
      <c r="O889" s="87"/>
      <c r="P889" s="87"/>
      <c r="Q889" s="87"/>
      <c r="R889" s="87"/>
      <c r="S889" s="87"/>
      <c r="T889" s="87"/>
      <c r="U889" s="87"/>
      <c r="V889" s="87"/>
      <c r="W889" s="87"/>
      <c r="X889" s="87"/>
      <c r="Y889" s="87"/>
      <c r="Z889" s="87"/>
      <c r="AA889" s="87"/>
      <c r="AB889" s="87"/>
      <c r="AC889" s="87"/>
      <c r="AD889" s="87"/>
      <c r="AE889" s="87"/>
      <c r="AF889" s="87"/>
      <c r="AG889" s="87"/>
      <c r="AH889" s="87"/>
      <c r="AI889" s="87"/>
      <c r="AJ889" s="87"/>
      <c r="AK889" s="87"/>
      <c r="AL889" s="87"/>
      <c r="AM889" s="87"/>
      <c r="AN889" s="87"/>
    </row>
    <row r="890" ht="16.5" customHeight="1">
      <c r="A890" s="87"/>
      <c r="B890" s="87"/>
      <c r="C890" s="87"/>
      <c r="D890" s="87"/>
      <c r="E890" s="87"/>
      <c r="F890" s="79"/>
      <c r="G890" s="87"/>
      <c r="H890" s="92"/>
      <c r="I890" s="87"/>
      <c r="J890" s="87"/>
      <c r="K890" s="89"/>
      <c r="L890" s="87"/>
      <c r="M890" s="87"/>
      <c r="N890" s="87"/>
      <c r="O890" s="87"/>
      <c r="P890" s="87"/>
      <c r="Q890" s="87"/>
      <c r="R890" s="87"/>
      <c r="S890" s="87"/>
      <c r="T890" s="87"/>
      <c r="U890" s="87"/>
      <c r="V890" s="87"/>
      <c r="W890" s="87"/>
      <c r="X890" s="87"/>
      <c r="Y890" s="87"/>
      <c r="Z890" s="87"/>
      <c r="AA890" s="87"/>
      <c r="AB890" s="87"/>
      <c r="AC890" s="87"/>
      <c r="AD890" s="87"/>
      <c r="AE890" s="87"/>
      <c r="AF890" s="87"/>
      <c r="AG890" s="87"/>
      <c r="AH890" s="87"/>
      <c r="AI890" s="87"/>
      <c r="AJ890" s="87"/>
      <c r="AK890" s="87"/>
      <c r="AL890" s="87"/>
      <c r="AM890" s="87"/>
      <c r="AN890" s="87"/>
    </row>
    <row r="891" ht="16.5" customHeight="1">
      <c r="A891" s="87"/>
      <c r="B891" s="87"/>
      <c r="C891" s="87"/>
      <c r="D891" s="87"/>
      <c r="E891" s="87"/>
      <c r="F891" s="79"/>
      <c r="G891" s="87"/>
      <c r="H891" s="92"/>
      <c r="I891" s="87"/>
      <c r="J891" s="87"/>
      <c r="K891" s="89"/>
      <c r="L891" s="87"/>
      <c r="M891" s="87"/>
      <c r="N891" s="87"/>
      <c r="O891" s="87"/>
      <c r="P891" s="87"/>
      <c r="Q891" s="87"/>
      <c r="R891" s="87"/>
      <c r="S891" s="87"/>
      <c r="T891" s="87"/>
      <c r="U891" s="87"/>
      <c r="V891" s="87"/>
      <c r="W891" s="87"/>
      <c r="X891" s="87"/>
      <c r="Y891" s="87"/>
      <c r="Z891" s="87"/>
      <c r="AA891" s="87"/>
      <c r="AB891" s="87"/>
      <c r="AC891" s="87"/>
      <c r="AD891" s="87"/>
      <c r="AE891" s="87"/>
      <c r="AF891" s="87"/>
      <c r="AG891" s="87"/>
      <c r="AH891" s="87"/>
      <c r="AI891" s="87"/>
      <c r="AJ891" s="87"/>
      <c r="AK891" s="87"/>
      <c r="AL891" s="87"/>
      <c r="AM891" s="87"/>
      <c r="AN891" s="87"/>
    </row>
    <row r="892" ht="16.5" customHeight="1">
      <c r="A892" s="87"/>
      <c r="B892" s="87"/>
      <c r="C892" s="87"/>
      <c r="D892" s="87"/>
      <c r="E892" s="87"/>
      <c r="F892" s="79"/>
      <c r="G892" s="87"/>
      <c r="H892" s="92"/>
      <c r="I892" s="87"/>
      <c r="J892" s="87"/>
      <c r="K892" s="89"/>
      <c r="L892" s="87"/>
      <c r="M892" s="87"/>
      <c r="N892" s="87"/>
      <c r="O892" s="87"/>
      <c r="P892" s="87"/>
      <c r="Q892" s="87"/>
      <c r="R892" s="87"/>
      <c r="S892" s="87"/>
      <c r="T892" s="87"/>
      <c r="U892" s="87"/>
      <c r="V892" s="87"/>
      <c r="W892" s="87"/>
      <c r="X892" s="87"/>
      <c r="Y892" s="87"/>
      <c r="Z892" s="87"/>
      <c r="AA892" s="87"/>
      <c r="AB892" s="87"/>
      <c r="AC892" s="87"/>
      <c r="AD892" s="87"/>
      <c r="AE892" s="87"/>
      <c r="AF892" s="87"/>
      <c r="AG892" s="87"/>
      <c r="AH892" s="87"/>
      <c r="AI892" s="87"/>
      <c r="AJ892" s="87"/>
      <c r="AK892" s="87"/>
      <c r="AL892" s="87"/>
      <c r="AM892" s="87"/>
      <c r="AN892" s="87"/>
    </row>
    <row r="893" ht="16.5" customHeight="1">
      <c r="A893" s="87"/>
      <c r="B893" s="87"/>
      <c r="C893" s="87"/>
      <c r="D893" s="87"/>
      <c r="E893" s="87"/>
      <c r="F893" s="79"/>
      <c r="G893" s="87"/>
      <c r="H893" s="92"/>
      <c r="I893" s="87"/>
      <c r="J893" s="87"/>
      <c r="K893" s="89"/>
      <c r="L893" s="87"/>
      <c r="M893" s="87"/>
      <c r="N893" s="87"/>
      <c r="O893" s="87"/>
      <c r="P893" s="87"/>
      <c r="Q893" s="87"/>
      <c r="R893" s="87"/>
      <c r="S893" s="87"/>
      <c r="T893" s="87"/>
      <c r="U893" s="87"/>
      <c r="V893" s="87"/>
      <c r="W893" s="87"/>
      <c r="X893" s="87"/>
      <c r="Y893" s="87"/>
      <c r="Z893" s="87"/>
      <c r="AA893" s="87"/>
      <c r="AB893" s="87"/>
      <c r="AC893" s="87"/>
      <c r="AD893" s="87"/>
      <c r="AE893" s="87"/>
      <c r="AF893" s="87"/>
      <c r="AG893" s="87"/>
      <c r="AH893" s="87"/>
      <c r="AI893" s="87"/>
      <c r="AJ893" s="87"/>
      <c r="AK893" s="87"/>
      <c r="AL893" s="87"/>
      <c r="AM893" s="87"/>
      <c r="AN893" s="87"/>
    </row>
    <row r="894" ht="16.5" customHeight="1">
      <c r="A894" s="87"/>
      <c r="B894" s="87"/>
      <c r="C894" s="87"/>
      <c r="D894" s="87"/>
      <c r="E894" s="87"/>
      <c r="F894" s="79"/>
      <c r="G894" s="87"/>
      <c r="H894" s="92"/>
      <c r="I894" s="87"/>
      <c r="J894" s="87"/>
      <c r="K894" s="89"/>
      <c r="L894" s="87"/>
      <c r="M894" s="87"/>
      <c r="N894" s="87"/>
      <c r="O894" s="87"/>
      <c r="P894" s="87"/>
      <c r="Q894" s="87"/>
      <c r="R894" s="87"/>
      <c r="S894" s="87"/>
      <c r="T894" s="87"/>
      <c r="U894" s="87"/>
      <c r="V894" s="87"/>
      <c r="W894" s="87"/>
      <c r="X894" s="87"/>
      <c r="Y894" s="87"/>
      <c r="Z894" s="87"/>
      <c r="AA894" s="87"/>
      <c r="AB894" s="87"/>
      <c r="AC894" s="87"/>
      <c r="AD894" s="87"/>
      <c r="AE894" s="87"/>
      <c r="AF894" s="87"/>
      <c r="AG894" s="87"/>
      <c r="AH894" s="87"/>
      <c r="AI894" s="87"/>
      <c r="AJ894" s="87"/>
      <c r="AK894" s="87"/>
      <c r="AL894" s="87"/>
      <c r="AM894" s="87"/>
      <c r="AN894" s="87"/>
    </row>
    <row r="895" ht="16.5" customHeight="1">
      <c r="A895" s="87"/>
      <c r="B895" s="87"/>
      <c r="C895" s="87"/>
      <c r="D895" s="87"/>
      <c r="E895" s="87"/>
      <c r="F895" s="79"/>
      <c r="G895" s="87"/>
      <c r="H895" s="92"/>
      <c r="I895" s="87"/>
      <c r="J895" s="87"/>
      <c r="K895" s="89"/>
      <c r="L895" s="87"/>
      <c r="M895" s="87"/>
      <c r="N895" s="87"/>
      <c r="O895" s="87"/>
      <c r="P895" s="87"/>
      <c r="Q895" s="87"/>
      <c r="R895" s="87"/>
      <c r="S895" s="87"/>
      <c r="T895" s="87"/>
      <c r="U895" s="87"/>
      <c r="V895" s="87"/>
      <c r="W895" s="87"/>
      <c r="X895" s="87"/>
      <c r="Y895" s="87"/>
      <c r="Z895" s="87"/>
      <c r="AA895" s="87"/>
      <c r="AB895" s="87"/>
      <c r="AC895" s="87"/>
      <c r="AD895" s="87"/>
      <c r="AE895" s="87"/>
      <c r="AF895" s="87"/>
      <c r="AG895" s="87"/>
      <c r="AH895" s="87"/>
      <c r="AI895" s="87"/>
      <c r="AJ895" s="87"/>
      <c r="AK895" s="87"/>
      <c r="AL895" s="87"/>
      <c r="AM895" s="87"/>
      <c r="AN895" s="87"/>
    </row>
    <row r="896" ht="16.5" customHeight="1">
      <c r="A896" s="87"/>
      <c r="B896" s="87"/>
      <c r="C896" s="87"/>
      <c r="D896" s="87"/>
      <c r="E896" s="87"/>
      <c r="F896" s="79"/>
      <c r="G896" s="87"/>
      <c r="H896" s="92"/>
      <c r="I896" s="87"/>
      <c r="J896" s="87"/>
      <c r="K896" s="89"/>
      <c r="L896" s="87"/>
      <c r="M896" s="87"/>
      <c r="N896" s="87"/>
      <c r="O896" s="87"/>
      <c r="P896" s="87"/>
      <c r="Q896" s="87"/>
      <c r="R896" s="87"/>
      <c r="S896" s="87"/>
      <c r="T896" s="87"/>
      <c r="U896" s="87"/>
      <c r="V896" s="87"/>
      <c r="W896" s="87"/>
      <c r="X896" s="87"/>
      <c r="Y896" s="87"/>
      <c r="Z896" s="87"/>
      <c r="AA896" s="87"/>
      <c r="AB896" s="87"/>
      <c r="AC896" s="87"/>
      <c r="AD896" s="87"/>
      <c r="AE896" s="87"/>
      <c r="AF896" s="87"/>
      <c r="AG896" s="87"/>
      <c r="AH896" s="87"/>
      <c r="AI896" s="87"/>
      <c r="AJ896" s="87"/>
      <c r="AK896" s="87"/>
      <c r="AL896" s="87"/>
      <c r="AM896" s="87"/>
      <c r="AN896" s="87"/>
    </row>
    <row r="897" ht="16.5" customHeight="1">
      <c r="A897" s="87"/>
      <c r="B897" s="87"/>
      <c r="C897" s="87"/>
      <c r="D897" s="87"/>
      <c r="E897" s="87"/>
      <c r="F897" s="79"/>
      <c r="G897" s="87"/>
      <c r="H897" s="92"/>
      <c r="I897" s="87"/>
      <c r="J897" s="87"/>
      <c r="K897" s="89"/>
      <c r="L897" s="87"/>
      <c r="M897" s="87"/>
      <c r="N897" s="87"/>
      <c r="O897" s="87"/>
      <c r="P897" s="87"/>
      <c r="Q897" s="87"/>
      <c r="R897" s="87"/>
      <c r="S897" s="87"/>
      <c r="T897" s="87"/>
      <c r="U897" s="87"/>
      <c r="V897" s="87"/>
      <c r="W897" s="87"/>
      <c r="X897" s="87"/>
      <c r="Y897" s="87"/>
      <c r="Z897" s="87"/>
      <c r="AA897" s="87"/>
      <c r="AB897" s="87"/>
      <c r="AC897" s="87"/>
      <c r="AD897" s="87"/>
      <c r="AE897" s="87"/>
      <c r="AF897" s="87"/>
      <c r="AG897" s="87"/>
      <c r="AH897" s="87"/>
      <c r="AI897" s="87"/>
      <c r="AJ897" s="87"/>
      <c r="AK897" s="87"/>
      <c r="AL897" s="87"/>
      <c r="AM897" s="87"/>
      <c r="AN897" s="87"/>
    </row>
    <row r="898" ht="16.5" customHeight="1">
      <c r="A898" s="87"/>
      <c r="B898" s="87"/>
      <c r="C898" s="87"/>
      <c r="D898" s="87"/>
      <c r="E898" s="87"/>
      <c r="F898" s="79"/>
      <c r="G898" s="87"/>
      <c r="H898" s="92"/>
      <c r="I898" s="87"/>
      <c r="J898" s="87"/>
      <c r="K898" s="89"/>
      <c r="L898" s="87"/>
      <c r="M898" s="87"/>
      <c r="N898" s="87"/>
      <c r="O898" s="87"/>
      <c r="P898" s="87"/>
      <c r="Q898" s="87"/>
      <c r="R898" s="87"/>
      <c r="S898" s="87"/>
      <c r="T898" s="87"/>
      <c r="U898" s="87"/>
      <c r="V898" s="87"/>
      <c r="W898" s="87"/>
      <c r="X898" s="87"/>
      <c r="Y898" s="87"/>
      <c r="Z898" s="87"/>
      <c r="AA898" s="87"/>
      <c r="AB898" s="87"/>
      <c r="AC898" s="87"/>
      <c r="AD898" s="87"/>
      <c r="AE898" s="87"/>
      <c r="AF898" s="87"/>
      <c r="AG898" s="87"/>
      <c r="AH898" s="87"/>
      <c r="AI898" s="87"/>
      <c r="AJ898" s="87"/>
      <c r="AK898" s="87"/>
      <c r="AL898" s="87"/>
      <c r="AM898" s="87"/>
      <c r="AN898" s="87"/>
    </row>
    <row r="899" ht="16.5" customHeight="1">
      <c r="A899" s="87"/>
      <c r="B899" s="87"/>
      <c r="C899" s="87"/>
      <c r="D899" s="87"/>
      <c r="E899" s="87"/>
      <c r="F899" s="79"/>
      <c r="G899" s="87"/>
      <c r="H899" s="92"/>
      <c r="I899" s="87"/>
      <c r="J899" s="87"/>
      <c r="K899" s="89"/>
      <c r="L899" s="87"/>
      <c r="M899" s="87"/>
      <c r="N899" s="87"/>
      <c r="O899" s="87"/>
      <c r="P899" s="87"/>
      <c r="Q899" s="87"/>
      <c r="R899" s="87"/>
      <c r="S899" s="87"/>
      <c r="T899" s="87"/>
      <c r="U899" s="87"/>
      <c r="V899" s="87"/>
      <c r="W899" s="87"/>
      <c r="X899" s="87"/>
      <c r="Y899" s="87"/>
      <c r="Z899" s="87"/>
      <c r="AA899" s="87"/>
      <c r="AB899" s="87"/>
      <c r="AC899" s="87"/>
      <c r="AD899" s="87"/>
      <c r="AE899" s="87"/>
      <c r="AF899" s="87"/>
      <c r="AG899" s="87"/>
      <c r="AH899" s="87"/>
      <c r="AI899" s="87"/>
      <c r="AJ899" s="87"/>
      <c r="AK899" s="87"/>
      <c r="AL899" s="87"/>
      <c r="AM899" s="87"/>
      <c r="AN899" s="87"/>
    </row>
    <row r="900" ht="16.5" customHeight="1">
      <c r="A900" s="87"/>
      <c r="B900" s="87"/>
      <c r="C900" s="87"/>
      <c r="D900" s="87"/>
      <c r="E900" s="87"/>
      <c r="F900" s="79"/>
      <c r="G900" s="87"/>
      <c r="H900" s="92"/>
      <c r="I900" s="87"/>
      <c r="J900" s="87"/>
      <c r="K900" s="89"/>
      <c r="L900" s="87"/>
      <c r="M900" s="87"/>
      <c r="N900" s="87"/>
      <c r="O900" s="87"/>
      <c r="P900" s="87"/>
      <c r="Q900" s="87"/>
      <c r="R900" s="87"/>
      <c r="S900" s="87"/>
      <c r="T900" s="87"/>
      <c r="U900" s="87"/>
      <c r="V900" s="87"/>
      <c r="W900" s="87"/>
      <c r="X900" s="87"/>
      <c r="Y900" s="87"/>
      <c r="Z900" s="87"/>
      <c r="AA900" s="87"/>
      <c r="AB900" s="87"/>
      <c r="AC900" s="87"/>
      <c r="AD900" s="87"/>
      <c r="AE900" s="87"/>
      <c r="AF900" s="87"/>
      <c r="AG900" s="87"/>
      <c r="AH900" s="87"/>
      <c r="AI900" s="87"/>
      <c r="AJ900" s="87"/>
      <c r="AK900" s="87"/>
      <c r="AL900" s="87"/>
      <c r="AM900" s="87"/>
      <c r="AN900" s="87"/>
    </row>
    <row r="901" ht="16.5" customHeight="1">
      <c r="A901" s="87"/>
      <c r="B901" s="87"/>
      <c r="C901" s="87"/>
      <c r="D901" s="87"/>
      <c r="E901" s="87"/>
      <c r="F901" s="79"/>
      <c r="G901" s="87"/>
      <c r="H901" s="92"/>
      <c r="I901" s="87"/>
      <c r="J901" s="87"/>
      <c r="K901" s="89"/>
      <c r="L901" s="87"/>
      <c r="M901" s="87"/>
      <c r="N901" s="87"/>
      <c r="O901" s="87"/>
      <c r="P901" s="87"/>
      <c r="Q901" s="87"/>
      <c r="R901" s="87"/>
      <c r="S901" s="87"/>
      <c r="T901" s="87"/>
      <c r="U901" s="87"/>
      <c r="V901" s="87"/>
      <c r="W901" s="87"/>
      <c r="X901" s="87"/>
      <c r="Y901" s="87"/>
      <c r="Z901" s="87"/>
      <c r="AA901" s="87"/>
      <c r="AB901" s="87"/>
      <c r="AC901" s="87"/>
      <c r="AD901" s="87"/>
      <c r="AE901" s="87"/>
      <c r="AF901" s="87"/>
      <c r="AG901" s="87"/>
      <c r="AH901" s="87"/>
      <c r="AI901" s="87"/>
      <c r="AJ901" s="87"/>
      <c r="AK901" s="87"/>
      <c r="AL901" s="87"/>
      <c r="AM901" s="87"/>
      <c r="AN901" s="87"/>
    </row>
    <row r="902" ht="16.5" customHeight="1">
      <c r="A902" s="87"/>
      <c r="B902" s="87"/>
      <c r="C902" s="87"/>
      <c r="D902" s="87"/>
      <c r="E902" s="87"/>
      <c r="F902" s="79"/>
      <c r="G902" s="87"/>
      <c r="H902" s="92"/>
      <c r="I902" s="87"/>
      <c r="J902" s="87"/>
      <c r="K902" s="89"/>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row>
    <row r="903" ht="16.5" customHeight="1">
      <c r="A903" s="87"/>
      <c r="B903" s="87"/>
      <c r="C903" s="87"/>
      <c r="D903" s="87"/>
      <c r="E903" s="87"/>
      <c r="F903" s="79"/>
      <c r="G903" s="87"/>
      <c r="H903" s="92"/>
      <c r="I903" s="87"/>
      <c r="J903" s="87"/>
      <c r="K903" s="89"/>
      <c r="L903" s="87"/>
      <c r="M903" s="87"/>
      <c r="N903" s="87"/>
      <c r="O903" s="87"/>
      <c r="P903" s="87"/>
      <c r="Q903" s="87"/>
      <c r="R903" s="87"/>
      <c r="S903" s="87"/>
      <c r="T903" s="87"/>
      <c r="U903" s="87"/>
      <c r="V903" s="87"/>
      <c r="W903" s="87"/>
      <c r="X903" s="87"/>
      <c r="Y903" s="87"/>
      <c r="Z903" s="87"/>
      <c r="AA903" s="87"/>
      <c r="AB903" s="87"/>
      <c r="AC903" s="87"/>
      <c r="AD903" s="87"/>
      <c r="AE903" s="87"/>
      <c r="AF903" s="87"/>
      <c r="AG903" s="87"/>
      <c r="AH903" s="87"/>
      <c r="AI903" s="87"/>
      <c r="AJ903" s="87"/>
      <c r="AK903" s="87"/>
      <c r="AL903" s="87"/>
      <c r="AM903" s="87"/>
      <c r="AN903" s="87"/>
    </row>
    <row r="904" ht="16.5" customHeight="1">
      <c r="A904" s="87"/>
      <c r="B904" s="87"/>
      <c r="C904" s="87"/>
      <c r="D904" s="87"/>
      <c r="E904" s="87"/>
      <c r="F904" s="79"/>
      <c r="G904" s="87"/>
      <c r="H904" s="92"/>
      <c r="I904" s="87"/>
      <c r="J904" s="87"/>
      <c r="K904" s="89"/>
      <c r="L904" s="87"/>
      <c r="M904" s="87"/>
      <c r="N904" s="87"/>
      <c r="O904" s="87"/>
      <c r="P904" s="87"/>
      <c r="Q904" s="87"/>
      <c r="R904" s="87"/>
      <c r="S904" s="87"/>
      <c r="T904" s="87"/>
      <c r="U904" s="87"/>
      <c r="V904" s="87"/>
      <c r="W904" s="87"/>
      <c r="X904" s="87"/>
      <c r="Y904" s="87"/>
      <c r="Z904" s="87"/>
      <c r="AA904" s="87"/>
      <c r="AB904" s="87"/>
      <c r="AC904" s="87"/>
      <c r="AD904" s="87"/>
      <c r="AE904" s="87"/>
      <c r="AF904" s="87"/>
      <c r="AG904" s="87"/>
      <c r="AH904" s="87"/>
      <c r="AI904" s="87"/>
      <c r="AJ904" s="87"/>
      <c r="AK904" s="87"/>
      <c r="AL904" s="87"/>
      <c r="AM904" s="87"/>
      <c r="AN904" s="87"/>
    </row>
    <row r="905" ht="16.5" customHeight="1">
      <c r="A905" s="87"/>
      <c r="B905" s="87"/>
      <c r="C905" s="87"/>
      <c r="D905" s="87"/>
      <c r="E905" s="87"/>
      <c r="F905" s="79"/>
      <c r="G905" s="87"/>
      <c r="H905" s="92"/>
      <c r="I905" s="87"/>
      <c r="J905" s="87"/>
      <c r="K905" s="89"/>
      <c r="L905" s="87"/>
      <c r="M905" s="87"/>
      <c r="N905" s="87"/>
      <c r="O905" s="87"/>
      <c r="P905" s="87"/>
      <c r="Q905" s="87"/>
      <c r="R905" s="87"/>
      <c r="S905" s="87"/>
      <c r="T905" s="87"/>
      <c r="U905" s="87"/>
      <c r="V905" s="87"/>
      <c r="W905" s="87"/>
      <c r="X905" s="87"/>
      <c r="Y905" s="87"/>
      <c r="Z905" s="87"/>
      <c r="AA905" s="87"/>
      <c r="AB905" s="87"/>
      <c r="AC905" s="87"/>
      <c r="AD905" s="87"/>
      <c r="AE905" s="87"/>
      <c r="AF905" s="87"/>
      <c r="AG905" s="87"/>
      <c r="AH905" s="87"/>
      <c r="AI905" s="87"/>
      <c r="AJ905" s="87"/>
      <c r="AK905" s="87"/>
      <c r="AL905" s="87"/>
      <c r="AM905" s="87"/>
      <c r="AN905" s="87"/>
    </row>
    <row r="906" ht="16.5" customHeight="1">
      <c r="A906" s="87"/>
      <c r="B906" s="87"/>
      <c r="C906" s="87"/>
      <c r="D906" s="87"/>
      <c r="E906" s="87"/>
      <c r="F906" s="79"/>
      <c r="G906" s="87"/>
      <c r="H906" s="92"/>
      <c r="I906" s="87"/>
      <c r="J906" s="87"/>
      <c r="K906" s="89"/>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row>
    <row r="907" ht="16.5" customHeight="1">
      <c r="A907" s="87"/>
      <c r="B907" s="87"/>
      <c r="C907" s="87"/>
      <c r="D907" s="87"/>
      <c r="E907" s="87"/>
      <c r="F907" s="79"/>
      <c r="G907" s="87"/>
      <c r="H907" s="92"/>
      <c r="I907" s="87"/>
      <c r="J907" s="87"/>
      <c r="K907" s="89"/>
      <c r="L907" s="87"/>
      <c r="M907" s="87"/>
      <c r="N907" s="87"/>
      <c r="O907" s="87"/>
      <c r="P907" s="87"/>
      <c r="Q907" s="87"/>
      <c r="R907" s="87"/>
      <c r="S907" s="87"/>
      <c r="T907" s="87"/>
      <c r="U907" s="87"/>
      <c r="V907" s="87"/>
      <c r="W907" s="87"/>
      <c r="X907" s="87"/>
      <c r="Y907" s="87"/>
      <c r="Z907" s="87"/>
      <c r="AA907" s="87"/>
      <c r="AB907" s="87"/>
      <c r="AC907" s="87"/>
      <c r="AD907" s="87"/>
      <c r="AE907" s="87"/>
      <c r="AF907" s="87"/>
      <c r="AG907" s="87"/>
      <c r="AH907" s="87"/>
      <c r="AI907" s="87"/>
      <c r="AJ907" s="87"/>
      <c r="AK907" s="87"/>
      <c r="AL907" s="87"/>
      <c r="AM907" s="87"/>
      <c r="AN907" s="87"/>
    </row>
    <row r="908" ht="16.5" customHeight="1">
      <c r="A908" s="87"/>
      <c r="B908" s="87"/>
      <c r="C908" s="87"/>
      <c r="D908" s="87"/>
      <c r="E908" s="87"/>
      <c r="F908" s="79"/>
      <c r="G908" s="87"/>
      <c r="H908" s="92"/>
      <c r="I908" s="87"/>
      <c r="J908" s="87"/>
      <c r="K908" s="89"/>
      <c r="L908" s="87"/>
      <c r="M908" s="87"/>
      <c r="N908" s="87"/>
      <c r="O908" s="87"/>
      <c r="P908" s="87"/>
      <c r="Q908" s="87"/>
      <c r="R908" s="87"/>
      <c r="S908" s="87"/>
      <c r="T908" s="87"/>
      <c r="U908" s="87"/>
      <c r="V908" s="87"/>
      <c r="W908" s="87"/>
      <c r="X908" s="87"/>
      <c r="Y908" s="87"/>
      <c r="Z908" s="87"/>
      <c r="AA908" s="87"/>
      <c r="AB908" s="87"/>
      <c r="AC908" s="87"/>
      <c r="AD908" s="87"/>
      <c r="AE908" s="87"/>
      <c r="AF908" s="87"/>
      <c r="AG908" s="87"/>
      <c r="AH908" s="87"/>
      <c r="AI908" s="87"/>
      <c r="AJ908" s="87"/>
      <c r="AK908" s="87"/>
      <c r="AL908" s="87"/>
      <c r="AM908" s="87"/>
      <c r="AN908" s="87"/>
    </row>
    <row r="909" ht="16.5" customHeight="1">
      <c r="A909" s="87"/>
      <c r="B909" s="87"/>
      <c r="C909" s="87"/>
      <c r="D909" s="87"/>
      <c r="E909" s="87"/>
      <c r="F909" s="79"/>
      <c r="G909" s="87"/>
      <c r="H909" s="92"/>
      <c r="I909" s="87"/>
      <c r="J909" s="87"/>
      <c r="K909" s="89"/>
      <c r="L909" s="87"/>
      <c r="M909" s="87"/>
      <c r="N909" s="87"/>
      <c r="O909" s="87"/>
      <c r="P909" s="87"/>
      <c r="Q909" s="87"/>
      <c r="R909" s="87"/>
      <c r="S909" s="87"/>
      <c r="T909" s="87"/>
      <c r="U909" s="87"/>
      <c r="V909" s="87"/>
      <c r="W909" s="87"/>
      <c r="X909" s="87"/>
      <c r="Y909" s="87"/>
      <c r="Z909" s="87"/>
      <c r="AA909" s="87"/>
      <c r="AB909" s="87"/>
      <c r="AC909" s="87"/>
      <c r="AD909" s="87"/>
      <c r="AE909" s="87"/>
      <c r="AF909" s="87"/>
      <c r="AG909" s="87"/>
      <c r="AH909" s="87"/>
      <c r="AI909" s="87"/>
      <c r="AJ909" s="87"/>
      <c r="AK909" s="87"/>
      <c r="AL909" s="87"/>
      <c r="AM909" s="87"/>
      <c r="AN909" s="87"/>
    </row>
    <row r="910" ht="16.5" customHeight="1">
      <c r="A910" s="87"/>
      <c r="B910" s="87"/>
      <c r="C910" s="87"/>
      <c r="D910" s="87"/>
      <c r="E910" s="87"/>
      <c r="F910" s="79"/>
      <c r="G910" s="87"/>
      <c r="H910" s="92"/>
      <c r="I910" s="87"/>
      <c r="J910" s="87"/>
      <c r="K910" s="89"/>
      <c r="L910" s="87"/>
      <c r="M910" s="87"/>
      <c r="N910" s="87"/>
      <c r="O910" s="87"/>
      <c r="P910" s="87"/>
      <c r="Q910" s="87"/>
      <c r="R910" s="87"/>
      <c r="S910" s="87"/>
      <c r="T910" s="87"/>
      <c r="U910" s="87"/>
      <c r="V910" s="87"/>
      <c r="W910" s="87"/>
      <c r="X910" s="87"/>
      <c r="Y910" s="87"/>
      <c r="Z910" s="87"/>
      <c r="AA910" s="87"/>
      <c r="AB910" s="87"/>
      <c r="AC910" s="87"/>
      <c r="AD910" s="87"/>
      <c r="AE910" s="87"/>
      <c r="AF910" s="87"/>
      <c r="AG910" s="87"/>
      <c r="AH910" s="87"/>
      <c r="AI910" s="87"/>
      <c r="AJ910" s="87"/>
      <c r="AK910" s="87"/>
      <c r="AL910" s="87"/>
      <c r="AM910" s="87"/>
      <c r="AN910" s="87"/>
    </row>
    <row r="911" ht="16.5" customHeight="1">
      <c r="A911" s="87"/>
      <c r="B911" s="87"/>
      <c r="C911" s="87"/>
      <c r="D911" s="87"/>
      <c r="E911" s="87"/>
      <c r="F911" s="79"/>
      <c r="G911" s="87"/>
      <c r="H911" s="92"/>
      <c r="I911" s="87"/>
      <c r="J911" s="87"/>
      <c r="K911" s="89"/>
      <c r="L911" s="87"/>
      <c r="M911" s="87"/>
      <c r="N911" s="87"/>
      <c r="O911" s="87"/>
      <c r="P911" s="87"/>
      <c r="Q911" s="87"/>
      <c r="R911" s="87"/>
      <c r="S911" s="87"/>
      <c r="T911" s="87"/>
      <c r="U911" s="87"/>
      <c r="V911" s="87"/>
      <c r="W911" s="87"/>
      <c r="X911" s="87"/>
      <c r="Y911" s="87"/>
      <c r="Z911" s="87"/>
      <c r="AA911" s="87"/>
      <c r="AB911" s="87"/>
      <c r="AC911" s="87"/>
      <c r="AD911" s="87"/>
      <c r="AE911" s="87"/>
      <c r="AF911" s="87"/>
      <c r="AG911" s="87"/>
      <c r="AH911" s="87"/>
      <c r="AI911" s="87"/>
      <c r="AJ911" s="87"/>
      <c r="AK911" s="87"/>
      <c r="AL911" s="87"/>
      <c r="AM911" s="87"/>
      <c r="AN911" s="87"/>
    </row>
    <row r="912" ht="16.5" customHeight="1">
      <c r="A912" s="87"/>
      <c r="B912" s="87"/>
      <c r="C912" s="87"/>
      <c r="D912" s="87"/>
      <c r="E912" s="87"/>
      <c r="F912" s="79"/>
      <c r="G912" s="87"/>
      <c r="H912" s="92"/>
      <c r="I912" s="87"/>
      <c r="J912" s="87"/>
      <c r="K912" s="89"/>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row>
    <row r="913" ht="16.5" customHeight="1">
      <c r="A913" s="87"/>
      <c r="B913" s="87"/>
      <c r="C913" s="87"/>
      <c r="D913" s="87"/>
      <c r="E913" s="87"/>
      <c r="F913" s="79"/>
      <c r="G913" s="87"/>
      <c r="H913" s="92"/>
      <c r="I913" s="87"/>
      <c r="J913" s="87"/>
      <c r="K913" s="89"/>
      <c r="L913" s="87"/>
      <c r="M913" s="87"/>
      <c r="N913" s="87"/>
      <c r="O913" s="87"/>
      <c r="P913" s="87"/>
      <c r="Q913" s="87"/>
      <c r="R913" s="87"/>
      <c r="S913" s="87"/>
      <c r="T913" s="87"/>
      <c r="U913" s="87"/>
      <c r="V913" s="87"/>
      <c r="W913" s="87"/>
      <c r="X913" s="87"/>
      <c r="Y913" s="87"/>
      <c r="Z913" s="87"/>
      <c r="AA913" s="87"/>
      <c r="AB913" s="87"/>
      <c r="AC913" s="87"/>
      <c r="AD913" s="87"/>
      <c r="AE913" s="87"/>
      <c r="AF913" s="87"/>
      <c r="AG913" s="87"/>
      <c r="AH913" s="87"/>
      <c r="AI913" s="87"/>
      <c r="AJ913" s="87"/>
      <c r="AK913" s="87"/>
      <c r="AL913" s="87"/>
      <c r="AM913" s="87"/>
      <c r="AN913" s="87"/>
    </row>
    <row r="914" ht="16.5" customHeight="1">
      <c r="A914" s="87"/>
      <c r="B914" s="87"/>
      <c r="C914" s="87"/>
      <c r="D914" s="87"/>
      <c r="E914" s="87"/>
      <c r="F914" s="79"/>
      <c r="G914" s="87"/>
      <c r="H914" s="92"/>
      <c r="I914" s="87"/>
      <c r="J914" s="87"/>
      <c r="K914" s="89"/>
      <c r="L914" s="87"/>
      <c r="M914" s="87"/>
      <c r="N914" s="87"/>
      <c r="O914" s="87"/>
      <c r="P914" s="87"/>
      <c r="Q914" s="87"/>
      <c r="R914" s="87"/>
      <c r="S914" s="87"/>
      <c r="T914" s="87"/>
      <c r="U914" s="87"/>
      <c r="V914" s="87"/>
      <c r="W914" s="87"/>
      <c r="X914" s="87"/>
      <c r="Y914" s="87"/>
      <c r="Z914" s="87"/>
      <c r="AA914" s="87"/>
      <c r="AB914" s="87"/>
      <c r="AC914" s="87"/>
      <c r="AD914" s="87"/>
      <c r="AE914" s="87"/>
      <c r="AF914" s="87"/>
      <c r="AG914" s="87"/>
      <c r="AH914" s="87"/>
      <c r="AI914" s="87"/>
      <c r="AJ914" s="87"/>
      <c r="AK914" s="87"/>
      <c r="AL914" s="87"/>
      <c r="AM914" s="87"/>
      <c r="AN914" s="87"/>
    </row>
    <row r="915" ht="16.5" customHeight="1">
      <c r="A915" s="87"/>
      <c r="B915" s="87"/>
      <c r="C915" s="87"/>
      <c r="D915" s="87"/>
      <c r="E915" s="87"/>
      <c r="F915" s="79"/>
      <c r="G915" s="87"/>
      <c r="H915" s="92"/>
      <c r="I915" s="87"/>
      <c r="J915" s="87"/>
      <c r="K915" s="89"/>
      <c r="L915" s="87"/>
      <c r="M915" s="87"/>
      <c r="N915" s="87"/>
      <c r="O915" s="87"/>
      <c r="P915" s="87"/>
      <c r="Q915" s="87"/>
      <c r="R915" s="87"/>
      <c r="S915" s="87"/>
      <c r="T915" s="87"/>
      <c r="U915" s="87"/>
      <c r="V915" s="87"/>
      <c r="W915" s="87"/>
      <c r="X915" s="87"/>
      <c r="Y915" s="87"/>
      <c r="Z915" s="87"/>
      <c r="AA915" s="87"/>
      <c r="AB915" s="87"/>
      <c r="AC915" s="87"/>
      <c r="AD915" s="87"/>
      <c r="AE915" s="87"/>
      <c r="AF915" s="87"/>
      <c r="AG915" s="87"/>
      <c r="AH915" s="87"/>
      <c r="AI915" s="87"/>
      <c r="AJ915" s="87"/>
      <c r="AK915" s="87"/>
      <c r="AL915" s="87"/>
      <c r="AM915" s="87"/>
      <c r="AN915" s="87"/>
    </row>
    <row r="916" ht="16.5" customHeight="1">
      <c r="A916" s="87"/>
      <c r="B916" s="87"/>
      <c r="C916" s="87"/>
      <c r="D916" s="87"/>
      <c r="E916" s="87"/>
      <c r="F916" s="79"/>
      <c r="G916" s="87"/>
      <c r="H916" s="92"/>
      <c r="I916" s="87"/>
      <c r="J916" s="87"/>
      <c r="K916" s="89"/>
      <c r="L916" s="87"/>
      <c r="M916" s="87"/>
      <c r="N916" s="87"/>
      <c r="O916" s="87"/>
      <c r="P916" s="87"/>
      <c r="Q916" s="87"/>
      <c r="R916" s="87"/>
      <c r="S916" s="87"/>
      <c r="T916" s="87"/>
      <c r="U916" s="87"/>
      <c r="V916" s="87"/>
      <c r="W916" s="87"/>
      <c r="X916" s="87"/>
      <c r="Y916" s="87"/>
      <c r="Z916" s="87"/>
      <c r="AA916" s="87"/>
      <c r="AB916" s="87"/>
      <c r="AC916" s="87"/>
      <c r="AD916" s="87"/>
      <c r="AE916" s="87"/>
      <c r="AF916" s="87"/>
      <c r="AG916" s="87"/>
      <c r="AH916" s="87"/>
      <c r="AI916" s="87"/>
      <c r="AJ916" s="87"/>
      <c r="AK916" s="87"/>
      <c r="AL916" s="87"/>
      <c r="AM916" s="87"/>
      <c r="AN916" s="87"/>
    </row>
    <row r="917" ht="16.5" customHeight="1">
      <c r="A917" s="87"/>
      <c r="B917" s="87"/>
      <c r="C917" s="87"/>
      <c r="D917" s="87"/>
      <c r="E917" s="87"/>
      <c r="F917" s="79"/>
      <c r="G917" s="87"/>
      <c r="H917" s="92"/>
      <c r="I917" s="87"/>
      <c r="J917" s="87"/>
      <c r="K917" s="89"/>
      <c r="L917" s="87"/>
      <c r="M917" s="87"/>
      <c r="N917" s="87"/>
      <c r="O917" s="87"/>
      <c r="P917" s="87"/>
      <c r="Q917" s="87"/>
      <c r="R917" s="87"/>
      <c r="S917" s="87"/>
      <c r="T917" s="87"/>
      <c r="U917" s="87"/>
      <c r="V917" s="87"/>
      <c r="W917" s="87"/>
      <c r="X917" s="87"/>
      <c r="Y917" s="87"/>
      <c r="Z917" s="87"/>
      <c r="AA917" s="87"/>
      <c r="AB917" s="87"/>
      <c r="AC917" s="87"/>
      <c r="AD917" s="87"/>
      <c r="AE917" s="87"/>
      <c r="AF917" s="87"/>
      <c r="AG917" s="87"/>
      <c r="AH917" s="87"/>
      <c r="AI917" s="87"/>
      <c r="AJ917" s="87"/>
      <c r="AK917" s="87"/>
      <c r="AL917" s="87"/>
      <c r="AM917" s="87"/>
      <c r="AN917" s="87"/>
    </row>
    <row r="918" ht="16.5" customHeight="1">
      <c r="A918" s="87"/>
      <c r="B918" s="87"/>
      <c r="C918" s="87"/>
      <c r="D918" s="87"/>
      <c r="E918" s="87"/>
      <c r="F918" s="79"/>
      <c r="G918" s="87"/>
      <c r="H918" s="92"/>
      <c r="I918" s="87"/>
      <c r="J918" s="87"/>
      <c r="K918" s="89"/>
      <c r="L918" s="87"/>
      <c r="M918" s="87"/>
      <c r="N918" s="87"/>
      <c r="O918" s="87"/>
      <c r="P918" s="87"/>
      <c r="Q918" s="87"/>
      <c r="R918" s="87"/>
      <c r="S918" s="87"/>
      <c r="T918" s="87"/>
      <c r="U918" s="87"/>
      <c r="V918" s="87"/>
      <c r="W918" s="87"/>
      <c r="X918" s="87"/>
      <c r="Y918" s="87"/>
      <c r="Z918" s="87"/>
      <c r="AA918" s="87"/>
      <c r="AB918" s="87"/>
      <c r="AC918" s="87"/>
      <c r="AD918" s="87"/>
      <c r="AE918" s="87"/>
      <c r="AF918" s="87"/>
      <c r="AG918" s="87"/>
      <c r="AH918" s="87"/>
      <c r="AI918" s="87"/>
      <c r="AJ918" s="87"/>
      <c r="AK918" s="87"/>
      <c r="AL918" s="87"/>
      <c r="AM918" s="87"/>
      <c r="AN918" s="87"/>
    </row>
    <row r="919" ht="16.5" customHeight="1">
      <c r="A919" s="87"/>
      <c r="B919" s="87"/>
      <c r="C919" s="87"/>
      <c r="D919" s="87"/>
      <c r="E919" s="87"/>
      <c r="F919" s="79"/>
      <c r="G919" s="87"/>
      <c r="H919" s="92"/>
      <c r="I919" s="87"/>
      <c r="J919" s="87"/>
      <c r="K919" s="89"/>
      <c r="L919" s="87"/>
      <c r="M919" s="87"/>
      <c r="N919" s="87"/>
      <c r="O919" s="87"/>
      <c r="P919" s="87"/>
      <c r="Q919" s="87"/>
      <c r="R919" s="87"/>
      <c r="S919" s="87"/>
      <c r="T919" s="87"/>
      <c r="U919" s="87"/>
      <c r="V919" s="87"/>
      <c r="W919" s="87"/>
      <c r="X919" s="87"/>
      <c r="Y919" s="87"/>
      <c r="Z919" s="87"/>
      <c r="AA919" s="87"/>
      <c r="AB919" s="87"/>
      <c r="AC919" s="87"/>
      <c r="AD919" s="87"/>
      <c r="AE919" s="87"/>
      <c r="AF919" s="87"/>
      <c r="AG919" s="87"/>
      <c r="AH919" s="87"/>
      <c r="AI919" s="87"/>
      <c r="AJ919" s="87"/>
      <c r="AK919" s="87"/>
      <c r="AL919" s="87"/>
      <c r="AM919" s="87"/>
      <c r="AN919" s="87"/>
    </row>
    <row r="920" ht="16.5" customHeight="1">
      <c r="A920" s="87"/>
      <c r="B920" s="87"/>
      <c r="C920" s="87"/>
      <c r="D920" s="87"/>
      <c r="E920" s="87"/>
      <c r="F920" s="79"/>
      <c r="G920" s="87"/>
      <c r="H920" s="92"/>
      <c r="I920" s="87"/>
      <c r="J920" s="87"/>
      <c r="K920" s="89"/>
      <c r="L920" s="87"/>
      <c r="M920" s="87"/>
      <c r="N920" s="87"/>
      <c r="O920" s="87"/>
      <c r="P920" s="87"/>
      <c r="Q920" s="87"/>
      <c r="R920" s="87"/>
      <c r="S920" s="87"/>
      <c r="T920" s="87"/>
      <c r="U920" s="87"/>
      <c r="V920" s="87"/>
      <c r="W920" s="87"/>
      <c r="X920" s="87"/>
      <c r="Y920" s="87"/>
      <c r="Z920" s="87"/>
      <c r="AA920" s="87"/>
      <c r="AB920" s="87"/>
      <c r="AC920" s="87"/>
      <c r="AD920" s="87"/>
      <c r="AE920" s="87"/>
      <c r="AF920" s="87"/>
      <c r="AG920" s="87"/>
      <c r="AH920" s="87"/>
      <c r="AI920" s="87"/>
      <c r="AJ920" s="87"/>
      <c r="AK920" s="87"/>
      <c r="AL920" s="87"/>
      <c r="AM920" s="87"/>
      <c r="AN920" s="87"/>
    </row>
    <row r="921" ht="16.5" customHeight="1">
      <c r="A921" s="87"/>
      <c r="B921" s="87"/>
      <c r="C921" s="87"/>
      <c r="D921" s="87"/>
      <c r="E921" s="87"/>
      <c r="F921" s="79"/>
      <c r="G921" s="87"/>
      <c r="H921" s="92"/>
      <c r="I921" s="87"/>
      <c r="J921" s="87"/>
      <c r="K921" s="89"/>
      <c r="L921" s="87"/>
      <c r="M921" s="87"/>
      <c r="N921" s="87"/>
      <c r="O921" s="87"/>
      <c r="P921" s="87"/>
      <c r="Q921" s="87"/>
      <c r="R921" s="87"/>
      <c r="S921" s="87"/>
      <c r="T921" s="87"/>
      <c r="U921" s="87"/>
      <c r="V921" s="87"/>
      <c r="W921" s="87"/>
      <c r="X921" s="87"/>
      <c r="Y921" s="87"/>
      <c r="Z921" s="87"/>
      <c r="AA921" s="87"/>
      <c r="AB921" s="87"/>
      <c r="AC921" s="87"/>
      <c r="AD921" s="87"/>
      <c r="AE921" s="87"/>
      <c r="AF921" s="87"/>
      <c r="AG921" s="87"/>
      <c r="AH921" s="87"/>
      <c r="AI921" s="87"/>
      <c r="AJ921" s="87"/>
      <c r="AK921" s="87"/>
      <c r="AL921" s="87"/>
      <c r="AM921" s="87"/>
      <c r="AN921" s="87"/>
    </row>
    <row r="922" ht="16.5" customHeight="1">
      <c r="A922" s="87"/>
      <c r="B922" s="87"/>
      <c r="C922" s="87"/>
      <c r="D922" s="87"/>
      <c r="E922" s="87"/>
      <c r="F922" s="79"/>
      <c r="G922" s="87"/>
      <c r="H922" s="92"/>
      <c r="I922" s="87"/>
      <c r="J922" s="87"/>
      <c r="K922" s="89"/>
      <c r="L922" s="87"/>
      <c r="M922" s="87"/>
      <c r="N922" s="87"/>
      <c r="O922" s="87"/>
      <c r="P922" s="87"/>
      <c r="Q922" s="87"/>
      <c r="R922" s="87"/>
      <c r="S922" s="87"/>
      <c r="T922" s="87"/>
      <c r="U922" s="87"/>
      <c r="V922" s="87"/>
      <c r="W922" s="87"/>
      <c r="X922" s="87"/>
      <c r="Y922" s="87"/>
      <c r="Z922" s="87"/>
      <c r="AA922" s="87"/>
      <c r="AB922" s="87"/>
      <c r="AC922" s="87"/>
      <c r="AD922" s="87"/>
      <c r="AE922" s="87"/>
      <c r="AF922" s="87"/>
      <c r="AG922" s="87"/>
      <c r="AH922" s="87"/>
      <c r="AI922" s="87"/>
      <c r="AJ922" s="87"/>
      <c r="AK922" s="87"/>
      <c r="AL922" s="87"/>
      <c r="AM922" s="87"/>
      <c r="AN922" s="87"/>
    </row>
    <row r="923" ht="16.5" customHeight="1">
      <c r="A923" s="87"/>
      <c r="B923" s="87"/>
      <c r="C923" s="87"/>
      <c r="D923" s="87"/>
      <c r="E923" s="87"/>
      <c r="F923" s="79"/>
      <c r="G923" s="87"/>
      <c r="H923" s="92"/>
      <c r="I923" s="87"/>
      <c r="J923" s="87"/>
      <c r="K923" s="89"/>
      <c r="L923" s="87"/>
      <c r="M923" s="87"/>
      <c r="N923" s="87"/>
      <c r="O923" s="87"/>
      <c r="P923" s="87"/>
      <c r="Q923" s="87"/>
      <c r="R923" s="87"/>
      <c r="S923" s="87"/>
      <c r="T923" s="87"/>
      <c r="U923" s="87"/>
      <c r="V923" s="87"/>
      <c r="W923" s="87"/>
      <c r="X923" s="87"/>
      <c r="Y923" s="87"/>
      <c r="Z923" s="87"/>
      <c r="AA923" s="87"/>
      <c r="AB923" s="87"/>
      <c r="AC923" s="87"/>
      <c r="AD923" s="87"/>
      <c r="AE923" s="87"/>
      <c r="AF923" s="87"/>
      <c r="AG923" s="87"/>
      <c r="AH923" s="87"/>
      <c r="AI923" s="87"/>
      <c r="AJ923" s="87"/>
      <c r="AK923" s="87"/>
      <c r="AL923" s="87"/>
      <c r="AM923" s="87"/>
      <c r="AN923" s="87"/>
    </row>
    <row r="924" ht="16.5" customHeight="1">
      <c r="A924" s="87"/>
      <c r="B924" s="87"/>
      <c r="C924" s="87"/>
      <c r="D924" s="87"/>
      <c r="E924" s="87"/>
      <c r="F924" s="79"/>
      <c r="G924" s="87"/>
      <c r="H924" s="92"/>
      <c r="I924" s="87"/>
      <c r="J924" s="87"/>
      <c r="K924" s="89"/>
      <c r="L924" s="87"/>
      <c r="M924" s="87"/>
      <c r="N924" s="87"/>
      <c r="O924" s="87"/>
      <c r="P924" s="87"/>
      <c r="Q924" s="87"/>
      <c r="R924" s="87"/>
      <c r="S924" s="87"/>
      <c r="T924" s="87"/>
      <c r="U924" s="87"/>
      <c r="V924" s="87"/>
      <c r="W924" s="87"/>
      <c r="X924" s="87"/>
      <c r="Y924" s="87"/>
      <c r="Z924" s="87"/>
      <c r="AA924" s="87"/>
      <c r="AB924" s="87"/>
      <c r="AC924" s="87"/>
      <c r="AD924" s="87"/>
      <c r="AE924" s="87"/>
      <c r="AF924" s="87"/>
      <c r="AG924" s="87"/>
      <c r="AH924" s="87"/>
      <c r="AI924" s="87"/>
      <c r="AJ924" s="87"/>
      <c r="AK924" s="87"/>
      <c r="AL924" s="87"/>
      <c r="AM924" s="87"/>
      <c r="AN924" s="87"/>
    </row>
    <row r="925" ht="16.5" customHeight="1">
      <c r="A925" s="87"/>
      <c r="B925" s="87"/>
      <c r="C925" s="87"/>
      <c r="D925" s="87"/>
      <c r="E925" s="87"/>
      <c r="F925" s="79"/>
      <c r="G925" s="87"/>
      <c r="H925" s="92"/>
      <c r="I925" s="87"/>
      <c r="J925" s="87"/>
      <c r="K925" s="89"/>
      <c r="L925" s="87"/>
      <c r="M925" s="87"/>
      <c r="N925" s="87"/>
      <c r="O925" s="87"/>
      <c r="P925" s="87"/>
      <c r="Q925" s="87"/>
      <c r="R925" s="87"/>
      <c r="S925" s="87"/>
      <c r="T925" s="87"/>
      <c r="U925" s="87"/>
      <c r="V925" s="87"/>
      <c r="W925" s="87"/>
      <c r="X925" s="87"/>
      <c r="Y925" s="87"/>
      <c r="Z925" s="87"/>
      <c r="AA925" s="87"/>
      <c r="AB925" s="87"/>
      <c r="AC925" s="87"/>
      <c r="AD925" s="87"/>
      <c r="AE925" s="87"/>
      <c r="AF925" s="87"/>
      <c r="AG925" s="87"/>
      <c r="AH925" s="87"/>
      <c r="AI925" s="87"/>
      <c r="AJ925" s="87"/>
      <c r="AK925" s="87"/>
      <c r="AL925" s="87"/>
      <c r="AM925" s="87"/>
      <c r="AN925" s="87"/>
    </row>
    <row r="926" ht="16.5" customHeight="1">
      <c r="A926" s="87"/>
      <c r="B926" s="87"/>
      <c r="C926" s="87"/>
      <c r="D926" s="87"/>
      <c r="E926" s="87"/>
      <c r="F926" s="79"/>
      <c r="G926" s="87"/>
      <c r="H926" s="92"/>
      <c r="I926" s="87"/>
      <c r="J926" s="87"/>
      <c r="K926" s="89"/>
      <c r="L926" s="87"/>
      <c r="M926" s="87"/>
      <c r="N926" s="87"/>
      <c r="O926" s="87"/>
      <c r="P926" s="87"/>
      <c r="Q926" s="87"/>
      <c r="R926" s="87"/>
      <c r="S926" s="87"/>
      <c r="T926" s="87"/>
      <c r="U926" s="87"/>
      <c r="V926" s="87"/>
      <c r="W926" s="87"/>
      <c r="X926" s="87"/>
      <c r="Y926" s="87"/>
      <c r="Z926" s="87"/>
      <c r="AA926" s="87"/>
      <c r="AB926" s="87"/>
      <c r="AC926" s="87"/>
      <c r="AD926" s="87"/>
      <c r="AE926" s="87"/>
      <c r="AF926" s="87"/>
      <c r="AG926" s="87"/>
      <c r="AH926" s="87"/>
      <c r="AI926" s="87"/>
      <c r="AJ926" s="87"/>
      <c r="AK926" s="87"/>
      <c r="AL926" s="87"/>
      <c r="AM926" s="87"/>
      <c r="AN926" s="87"/>
    </row>
    <row r="927" ht="16.5" customHeight="1">
      <c r="A927" s="87"/>
      <c r="B927" s="87"/>
      <c r="C927" s="87"/>
      <c r="D927" s="87"/>
      <c r="E927" s="87"/>
      <c r="F927" s="79"/>
      <c r="G927" s="87"/>
      <c r="H927" s="92"/>
      <c r="I927" s="87"/>
      <c r="J927" s="87"/>
      <c r="K927" s="89"/>
      <c r="L927" s="87"/>
      <c r="M927" s="87"/>
      <c r="N927" s="87"/>
      <c r="O927" s="87"/>
      <c r="P927" s="87"/>
      <c r="Q927" s="87"/>
      <c r="R927" s="87"/>
      <c r="S927" s="87"/>
      <c r="T927" s="87"/>
      <c r="U927" s="87"/>
      <c r="V927" s="87"/>
      <c r="W927" s="87"/>
      <c r="X927" s="87"/>
      <c r="Y927" s="87"/>
      <c r="Z927" s="87"/>
      <c r="AA927" s="87"/>
      <c r="AB927" s="87"/>
      <c r="AC927" s="87"/>
      <c r="AD927" s="87"/>
      <c r="AE927" s="87"/>
      <c r="AF927" s="87"/>
      <c r="AG927" s="87"/>
      <c r="AH927" s="87"/>
      <c r="AI927" s="87"/>
      <c r="AJ927" s="87"/>
      <c r="AK927" s="87"/>
      <c r="AL927" s="87"/>
      <c r="AM927" s="87"/>
      <c r="AN927" s="87"/>
    </row>
    <row r="928" ht="16.5" customHeight="1">
      <c r="A928" s="87"/>
      <c r="B928" s="87"/>
      <c r="C928" s="87"/>
      <c r="D928" s="87"/>
      <c r="E928" s="87"/>
      <c r="F928" s="79"/>
      <c r="G928" s="87"/>
      <c r="H928" s="92"/>
      <c r="I928" s="87"/>
      <c r="J928" s="87"/>
      <c r="K928" s="89"/>
      <c r="L928" s="87"/>
      <c r="M928" s="87"/>
      <c r="N928" s="87"/>
      <c r="O928" s="87"/>
      <c r="P928" s="87"/>
      <c r="Q928" s="87"/>
      <c r="R928" s="87"/>
      <c r="S928" s="87"/>
      <c r="T928" s="87"/>
      <c r="U928" s="87"/>
      <c r="V928" s="87"/>
      <c r="W928" s="87"/>
      <c r="X928" s="87"/>
      <c r="Y928" s="87"/>
      <c r="Z928" s="87"/>
      <c r="AA928" s="87"/>
      <c r="AB928" s="87"/>
      <c r="AC928" s="87"/>
      <c r="AD928" s="87"/>
      <c r="AE928" s="87"/>
      <c r="AF928" s="87"/>
      <c r="AG928" s="87"/>
      <c r="AH928" s="87"/>
      <c r="AI928" s="87"/>
      <c r="AJ928" s="87"/>
      <c r="AK928" s="87"/>
      <c r="AL928" s="87"/>
      <c r="AM928" s="87"/>
      <c r="AN928" s="87"/>
    </row>
    <row r="929" ht="16.5" customHeight="1">
      <c r="A929" s="87"/>
      <c r="B929" s="87"/>
      <c r="C929" s="87"/>
      <c r="D929" s="87"/>
      <c r="E929" s="87"/>
      <c r="F929" s="79"/>
      <c r="G929" s="87"/>
      <c r="H929" s="92"/>
      <c r="I929" s="87"/>
      <c r="J929" s="87"/>
      <c r="K929" s="89"/>
      <c r="L929" s="87"/>
      <c r="M929" s="87"/>
      <c r="N929" s="87"/>
      <c r="O929" s="87"/>
      <c r="P929" s="87"/>
      <c r="Q929" s="87"/>
      <c r="R929" s="87"/>
      <c r="S929" s="87"/>
      <c r="T929" s="87"/>
      <c r="U929" s="87"/>
      <c r="V929" s="87"/>
      <c r="W929" s="87"/>
      <c r="X929" s="87"/>
      <c r="Y929" s="87"/>
      <c r="Z929" s="87"/>
      <c r="AA929" s="87"/>
      <c r="AB929" s="87"/>
      <c r="AC929" s="87"/>
      <c r="AD929" s="87"/>
      <c r="AE929" s="87"/>
      <c r="AF929" s="87"/>
      <c r="AG929" s="87"/>
      <c r="AH929" s="87"/>
      <c r="AI929" s="87"/>
      <c r="AJ929" s="87"/>
      <c r="AK929" s="87"/>
      <c r="AL929" s="87"/>
      <c r="AM929" s="87"/>
      <c r="AN929" s="87"/>
    </row>
    <row r="930" ht="16.5" customHeight="1">
      <c r="A930" s="87"/>
      <c r="B930" s="87"/>
      <c r="C930" s="87"/>
      <c r="D930" s="87"/>
      <c r="E930" s="87"/>
      <c r="F930" s="79"/>
      <c r="G930" s="87"/>
      <c r="H930" s="92"/>
      <c r="I930" s="87"/>
      <c r="J930" s="87"/>
      <c r="K930" s="89"/>
      <c r="L930" s="87"/>
      <c r="M930" s="87"/>
      <c r="N930" s="87"/>
      <c r="O930" s="87"/>
      <c r="P930" s="87"/>
      <c r="Q930" s="87"/>
      <c r="R930" s="87"/>
      <c r="S930" s="87"/>
      <c r="T930" s="87"/>
      <c r="U930" s="87"/>
      <c r="V930" s="87"/>
      <c r="W930" s="87"/>
      <c r="X930" s="87"/>
      <c r="Y930" s="87"/>
      <c r="Z930" s="87"/>
      <c r="AA930" s="87"/>
      <c r="AB930" s="87"/>
      <c r="AC930" s="87"/>
      <c r="AD930" s="87"/>
      <c r="AE930" s="87"/>
      <c r="AF930" s="87"/>
      <c r="AG930" s="87"/>
      <c r="AH930" s="87"/>
      <c r="AI930" s="87"/>
      <c r="AJ930" s="87"/>
      <c r="AK930" s="87"/>
      <c r="AL930" s="87"/>
      <c r="AM930" s="87"/>
      <c r="AN930" s="87"/>
    </row>
    <row r="931" ht="16.5" customHeight="1">
      <c r="A931" s="87"/>
      <c r="B931" s="87"/>
      <c r="C931" s="87"/>
      <c r="D931" s="87"/>
      <c r="E931" s="87"/>
      <c r="F931" s="79"/>
      <c r="G931" s="87"/>
      <c r="H931" s="92"/>
      <c r="I931" s="87"/>
      <c r="J931" s="87"/>
      <c r="K931" s="89"/>
      <c r="L931" s="87"/>
      <c r="M931" s="87"/>
      <c r="N931" s="87"/>
      <c r="O931" s="87"/>
      <c r="P931" s="87"/>
      <c r="Q931" s="87"/>
      <c r="R931" s="87"/>
      <c r="S931" s="87"/>
      <c r="T931" s="87"/>
      <c r="U931" s="87"/>
      <c r="V931" s="87"/>
      <c r="W931" s="87"/>
      <c r="X931" s="87"/>
      <c r="Y931" s="87"/>
      <c r="Z931" s="87"/>
      <c r="AA931" s="87"/>
      <c r="AB931" s="87"/>
      <c r="AC931" s="87"/>
      <c r="AD931" s="87"/>
      <c r="AE931" s="87"/>
      <c r="AF931" s="87"/>
      <c r="AG931" s="87"/>
      <c r="AH931" s="87"/>
      <c r="AI931" s="87"/>
      <c r="AJ931" s="87"/>
      <c r="AK931" s="87"/>
      <c r="AL931" s="87"/>
      <c r="AM931" s="87"/>
      <c r="AN931" s="87"/>
    </row>
    <row r="932" ht="16.5" customHeight="1">
      <c r="A932" s="87"/>
      <c r="B932" s="87"/>
      <c r="C932" s="87"/>
      <c r="D932" s="87"/>
      <c r="E932" s="87"/>
      <c r="F932" s="79"/>
      <c r="G932" s="87"/>
      <c r="H932" s="92"/>
      <c r="I932" s="87"/>
      <c r="J932" s="87"/>
      <c r="K932" s="89"/>
      <c r="L932" s="87"/>
      <c r="M932" s="87"/>
      <c r="N932" s="87"/>
      <c r="O932" s="87"/>
      <c r="P932" s="87"/>
      <c r="Q932" s="87"/>
      <c r="R932" s="87"/>
      <c r="S932" s="87"/>
      <c r="T932" s="87"/>
      <c r="U932" s="87"/>
      <c r="V932" s="87"/>
      <c r="W932" s="87"/>
      <c r="X932" s="87"/>
      <c r="Y932" s="87"/>
      <c r="Z932" s="87"/>
      <c r="AA932" s="87"/>
      <c r="AB932" s="87"/>
      <c r="AC932" s="87"/>
      <c r="AD932" s="87"/>
      <c r="AE932" s="87"/>
      <c r="AF932" s="87"/>
      <c r="AG932" s="87"/>
      <c r="AH932" s="87"/>
      <c r="AI932" s="87"/>
      <c r="AJ932" s="87"/>
      <c r="AK932" s="87"/>
      <c r="AL932" s="87"/>
      <c r="AM932" s="87"/>
      <c r="AN932" s="87"/>
    </row>
    <row r="933" ht="16.5" customHeight="1">
      <c r="A933" s="87"/>
      <c r="B933" s="87"/>
      <c r="C933" s="87"/>
      <c r="D933" s="87"/>
      <c r="E933" s="87"/>
      <c r="F933" s="79"/>
      <c r="G933" s="87"/>
      <c r="H933" s="92"/>
      <c r="I933" s="87"/>
      <c r="J933" s="87"/>
      <c r="K933" s="89"/>
      <c r="L933" s="87"/>
      <c r="M933" s="87"/>
      <c r="N933" s="87"/>
      <c r="O933" s="87"/>
      <c r="P933" s="87"/>
      <c r="Q933" s="87"/>
      <c r="R933" s="87"/>
      <c r="S933" s="87"/>
      <c r="T933" s="87"/>
      <c r="U933" s="87"/>
      <c r="V933" s="87"/>
      <c r="W933" s="87"/>
      <c r="X933" s="87"/>
      <c r="Y933" s="87"/>
      <c r="Z933" s="87"/>
      <c r="AA933" s="87"/>
      <c r="AB933" s="87"/>
      <c r="AC933" s="87"/>
      <c r="AD933" s="87"/>
      <c r="AE933" s="87"/>
      <c r="AF933" s="87"/>
      <c r="AG933" s="87"/>
      <c r="AH933" s="87"/>
      <c r="AI933" s="87"/>
      <c r="AJ933" s="87"/>
      <c r="AK933" s="87"/>
      <c r="AL933" s="87"/>
      <c r="AM933" s="87"/>
      <c r="AN933" s="87"/>
    </row>
    <row r="934" ht="16.5" customHeight="1">
      <c r="A934" s="87"/>
      <c r="B934" s="87"/>
      <c r="C934" s="87"/>
      <c r="D934" s="87"/>
      <c r="E934" s="87"/>
      <c r="F934" s="79"/>
      <c r="G934" s="87"/>
      <c r="H934" s="92"/>
      <c r="I934" s="87"/>
      <c r="J934" s="87"/>
      <c r="K934" s="89"/>
      <c r="L934" s="87"/>
      <c r="M934" s="87"/>
      <c r="N934" s="87"/>
      <c r="O934" s="87"/>
      <c r="P934" s="87"/>
      <c r="Q934" s="87"/>
      <c r="R934" s="87"/>
      <c r="S934" s="87"/>
      <c r="T934" s="87"/>
      <c r="U934" s="87"/>
      <c r="V934" s="87"/>
      <c r="W934" s="87"/>
      <c r="X934" s="87"/>
      <c r="Y934" s="87"/>
      <c r="Z934" s="87"/>
      <c r="AA934" s="87"/>
      <c r="AB934" s="87"/>
      <c r="AC934" s="87"/>
      <c r="AD934" s="87"/>
      <c r="AE934" s="87"/>
      <c r="AF934" s="87"/>
      <c r="AG934" s="87"/>
      <c r="AH934" s="87"/>
      <c r="AI934" s="87"/>
      <c r="AJ934" s="87"/>
      <c r="AK934" s="87"/>
      <c r="AL934" s="87"/>
      <c r="AM934" s="87"/>
      <c r="AN934" s="87"/>
    </row>
    <row r="935" ht="16.5" customHeight="1">
      <c r="A935" s="87"/>
      <c r="B935" s="87"/>
      <c r="C935" s="87"/>
      <c r="D935" s="87"/>
      <c r="E935" s="87"/>
      <c r="F935" s="79"/>
      <c r="G935" s="87"/>
      <c r="H935" s="92"/>
      <c r="I935" s="87"/>
      <c r="J935" s="87"/>
      <c r="K935" s="89"/>
      <c r="L935" s="87"/>
      <c r="M935" s="87"/>
      <c r="N935" s="87"/>
      <c r="O935" s="87"/>
      <c r="P935" s="87"/>
      <c r="Q935" s="87"/>
      <c r="R935" s="87"/>
      <c r="S935" s="87"/>
      <c r="T935" s="87"/>
      <c r="U935" s="87"/>
      <c r="V935" s="87"/>
      <c r="W935" s="87"/>
      <c r="X935" s="87"/>
      <c r="Y935" s="87"/>
      <c r="Z935" s="87"/>
      <c r="AA935" s="87"/>
      <c r="AB935" s="87"/>
      <c r="AC935" s="87"/>
      <c r="AD935" s="87"/>
      <c r="AE935" s="87"/>
      <c r="AF935" s="87"/>
      <c r="AG935" s="87"/>
      <c r="AH935" s="87"/>
      <c r="AI935" s="87"/>
      <c r="AJ935" s="87"/>
      <c r="AK935" s="87"/>
      <c r="AL935" s="87"/>
      <c r="AM935" s="87"/>
      <c r="AN935" s="87"/>
    </row>
    <row r="936" ht="16.5" customHeight="1">
      <c r="A936" s="87"/>
      <c r="B936" s="87"/>
      <c r="C936" s="87"/>
      <c r="D936" s="87"/>
      <c r="E936" s="87"/>
      <c r="F936" s="79"/>
      <c r="G936" s="87"/>
      <c r="H936" s="92"/>
      <c r="I936" s="87"/>
      <c r="J936" s="87"/>
      <c r="K936" s="89"/>
      <c r="L936" s="87"/>
      <c r="M936" s="87"/>
      <c r="N936" s="87"/>
      <c r="O936" s="87"/>
      <c r="P936" s="87"/>
      <c r="Q936" s="87"/>
      <c r="R936" s="87"/>
      <c r="S936" s="87"/>
      <c r="T936" s="87"/>
      <c r="U936" s="87"/>
      <c r="V936" s="87"/>
      <c r="W936" s="87"/>
      <c r="X936" s="87"/>
      <c r="Y936" s="87"/>
      <c r="Z936" s="87"/>
      <c r="AA936" s="87"/>
      <c r="AB936" s="87"/>
      <c r="AC936" s="87"/>
      <c r="AD936" s="87"/>
      <c r="AE936" s="87"/>
      <c r="AF936" s="87"/>
      <c r="AG936" s="87"/>
      <c r="AH936" s="87"/>
      <c r="AI936" s="87"/>
      <c r="AJ936" s="87"/>
      <c r="AK936" s="87"/>
      <c r="AL936" s="87"/>
      <c r="AM936" s="87"/>
      <c r="AN936" s="87"/>
    </row>
    <row r="937" ht="16.5" customHeight="1">
      <c r="A937" s="87"/>
      <c r="B937" s="87"/>
      <c r="C937" s="87"/>
      <c r="D937" s="87"/>
      <c r="E937" s="87"/>
      <c r="F937" s="79"/>
      <c r="G937" s="87"/>
      <c r="H937" s="92"/>
      <c r="I937" s="87"/>
      <c r="J937" s="87"/>
      <c r="K937" s="89"/>
      <c r="L937" s="87"/>
      <c r="M937" s="87"/>
      <c r="N937" s="87"/>
      <c r="O937" s="87"/>
      <c r="P937" s="87"/>
      <c r="Q937" s="87"/>
      <c r="R937" s="87"/>
      <c r="S937" s="87"/>
      <c r="T937" s="87"/>
      <c r="U937" s="87"/>
      <c r="V937" s="87"/>
      <c r="W937" s="87"/>
      <c r="X937" s="87"/>
      <c r="Y937" s="87"/>
      <c r="Z937" s="87"/>
      <c r="AA937" s="87"/>
      <c r="AB937" s="87"/>
      <c r="AC937" s="87"/>
      <c r="AD937" s="87"/>
      <c r="AE937" s="87"/>
      <c r="AF937" s="87"/>
      <c r="AG937" s="87"/>
      <c r="AH937" s="87"/>
      <c r="AI937" s="87"/>
      <c r="AJ937" s="87"/>
      <c r="AK937" s="87"/>
      <c r="AL937" s="87"/>
      <c r="AM937" s="87"/>
      <c r="AN937" s="87"/>
    </row>
    <row r="938" ht="16.5" customHeight="1">
      <c r="A938" s="87"/>
      <c r="B938" s="87"/>
      <c r="C938" s="87"/>
      <c r="D938" s="87"/>
      <c r="E938" s="87"/>
      <c r="F938" s="79"/>
      <c r="G938" s="87"/>
      <c r="H938" s="92"/>
      <c r="I938" s="87"/>
      <c r="J938" s="87"/>
      <c r="K938" s="89"/>
      <c r="L938" s="87"/>
      <c r="M938" s="87"/>
      <c r="N938" s="87"/>
      <c r="O938" s="87"/>
      <c r="P938" s="87"/>
      <c r="Q938" s="87"/>
      <c r="R938" s="87"/>
      <c r="S938" s="87"/>
      <c r="T938" s="87"/>
      <c r="U938" s="87"/>
      <c r="V938" s="87"/>
      <c r="W938" s="87"/>
      <c r="X938" s="87"/>
      <c r="Y938" s="87"/>
      <c r="Z938" s="87"/>
      <c r="AA938" s="87"/>
      <c r="AB938" s="87"/>
      <c r="AC938" s="87"/>
      <c r="AD938" s="87"/>
      <c r="AE938" s="87"/>
      <c r="AF938" s="87"/>
      <c r="AG938" s="87"/>
      <c r="AH938" s="87"/>
      <c r="AI938" s="87"/>
      <c r="AJ938" s="87"/>
      <c r="AK938" s="87"/>
      <c r="AL938" s="87"/>
      <c r="AM938" s="87"/>
      <c r="AN938" s="87"/>
    </row>
    <row r="939" ht="16.5" customHeight="1">
      <c r="A939" s="87"/>
      <c r="B939" s="87"/>
      <c r="C939" s="87"/>
      <c r="D939" s="87"/>
      <c r="E939" s="87"/>
      <c r="F939" s="79"/>
      <c r="G939" s="87"/>
      <c r="H939" s="92"/>
      <c r="I939" s="87"/>
      <c r="J939" s="87"/>
      <c r="K939" s="89"/>
      <c r="L939" s="87"/>
      <c r="M939" s="87"/>
      <c r="N939" s="87"/>
      <c r="O939" s="87"/>
      <c r="P939" s="87"/>
      <c r="Q939" s="87"/>
      <c r="R939" s="87"/>
      <c r="S939" s="87"/>
      <c r="T939" s="87"/>
      <c r="U939" s="87"/>
      <c r="V939" s="87"/>
      <c r="W939" s="87"/>
      <c r="X939" s="87"/>
      <c r="Y939" s="87"/>
      <c r="Z939" s="87"/>
      <c r="AA939" s="87"/>
      <c r="AB939" s="87"/>
      <c r="AC939" s="87"/>
      <c r="AD939" s="87"/>
      <c r="AE939" s="87"/>
      <c r="AF939" s="87"/>
      <c r="AG939" s="87"/>
      <c r="AH939" s="87"/>
      <c r="AI939" s="87"/>
      <c r="AJ939" s="87"/>
      <c r="AK939" s="87"/>
      <c r="AL939" s="87"/>
      <c r="AM939" s="87"/>
      <c r="AN939" s="87"/>
    </row>
    <row r="940" ht="16.5" customHeight="1">
      <c r="A940" s="87"/>
      <c r="B940" s="87"/>
      <c r="C940" s="87"/>
      <c r="D940" s="87"/>
      <c r="E940" s="87"/>
      <c r="F940" s="79"/>
      <c r="G940" s="87"/>
      <c r="H940" s="92"/>
      <c r="I940" s="87"/>
      <c r="J940" s="87"/>
      <c r="K940" s="89"/>
      <c r="L940" s="87"/>
      <c r="M940" s="87"/>
      <c r="N940" s="87"/>
      <c r="O940" s="87"/>
      <c r="P940" s="87"/>
      <c r="Q940" s="87"/>
      <c r="R940" s="87"/>
      <c r="S940" s="87"/>
      <c r="T940" s="87"/>
      <c r="U940" s="87"/>
      <c r="V940" s="87"/>
      <c r="W940" s="87"/>
      <c r="X940" s="87"/>
      <c r="Y940" s="87"/>
      <c r="Z940" s="87"/>
      <c r="AA940" s="87"/>
      <c r="AB940" s="87"/>
      <c r="AC940" s="87"/>
      <c r="AD940" s="87"/>
      <c r="AE940" s="87"/>
      <c r="AF940" s="87"/>
      <c r="AG940" s="87"/>
      <c r="AH940" s="87"/>
      <c r="AI940" s="87"/>
      <c r="AJ940" s="87"/>
      <c r="AK940" s="87"/>
      <c r="AL940" s="87"/>
      <c r="AM940" s="87"/>
      <c r="AN940" s="87"/>
    </row>
    <row r="941" ht="16.5" customHeight="1">
      <c r="A941" s="87"/>
      <c r="B941" s="87"/>
      <c r="C941" s="87"/>
      <c r="D941" s="87"/>
      <c r="E941" s="87"/>
      <c r="F941" s="79"/>
      <c r="G941" s="87"/>
      <c r="H941" s="92"/>
      <c r="I941" s="87"/>
      <c r="J941" s="87"/>
      <c r="K941" s="89"/>
      <c r="L941" s="87"/>
      <c r="M941" s="87"/>
      <c r="N941" s="87"/>
      <c r="O941" s="87"/>
      <c r="P941" s="87"/>
      <c r="Q941" s="87"/>
      <c r="R941" s="87"/>
      <c r="S941" s="87"/>
      <c r="T941" s="87"/>
      <c r="U941" s="87"/>
      <c r="V941" s="87"/>
      <c r="W941" s="87"/>
      <c r="X941" s="87"/>
      <c r="Y941" s="87"/>
      <c r="Z941" s="87"/>
      <c r="AA941" s="87"/>
      <c r="AB941" s="87"/>
      <c r="AC941" s="87"/>
      <c r="AD941" s="87"/>
      <c r="AE941" s="87"/>
      <c r="AF941" s="87"/>
      <c r="AG941" s="87"/>
      <c r="AH941" s="87"/>
      <c r="AI941" s="87"/>
      <c r="AJ941" s="87"/>
      <c r="AK941" s="87"/>
      <c r="AL941" s="87"/>
      <c r="AM941" s="87"/>
      <c r="AN941" s="87"/>
    </row>
    <row r="942" ht="16.5" customHeight="1">
      <c r="A942" s="87"/>
      <c r="B942" s="87"/>
      <c r="C942" s="87"/>
      <c r="D942" s="87"/>
      <c r="E942" s="87"/>
      <c r="F942" s="79"/>
      <c r="G942" s="87"/>
      <c r="H942" s="92"/>
      <c r="I942" s="87"/>
      <c r="J942" s="87"/>
      <c r="K942" s="89"/>
      <c r="L942" s="87"/>
      <c r="M942" s="87"/>
      <c r="N942" s="87"/>
      <c r="O942" s="87"/>
      <c r="P942" s="87"/>
      <c r="Q942" s="87"/>
      <c r="R942" s="87"/>
      <c r="S942" s="87"/>
      <c r="T942" s="87"/>
      <c r="U942" s="87"/>
      <c r="V942" s="87"/>
      <c r="W942" s="87"/>
      <c r="X942" s="87"/>
      <c r="Y942" s="87"/>
      <c r="Z942" s="87"/>
      <c r="AA942" s="87"/>
      <c r="AB942" s="87"/>
      <c r="AC942" s="87"/>
      <c r="AD942" s="87"/>
      <c r="AE942" s="87"/>
      <c r="AF942" s="87"/>
      <c r="AG942" s="87"/>
      <c r="AH942" s="87"/>
      <c r="AI942" s="87"/>
      <c r="AJ942" s="87"/>
      <c r="AK942" s="87"/>
      <c r="AL942" s="87"/>
      <c r="AM942" s="87"/>
      <c r="AN942" s="87"/>
    </row>
    <row r="943" ht="16.5" customHeight="1">
      <c r="A943" s="87"/>
      <c r="B943" s="87"/>
      <c r="C943" s="87"/>
      <c r="D943" s="87"/>
      <c r="E943" s="87"/>
      <c r="F943" s="79"/>
      <c r="G943" s="87"/>
      <c r="H943" s="92"/>
      <c r="I943" s="87"/>
      <c r="J943" s="87"/>
      <c r="K943" s="89"/>
      <c r="L943" s="87"/>
      <c r="M943" s="87"/>
      <c r="N943" s="87"/>
      <c r="O943" s="87"/>
      <c r="P943" s="87"/>
      <c r="Q943" s="87"/>
      <c r="R943" s="87"/>
      <c r="S943" s="87"/>
      <c r="T943" s="87"/>
      <c r="U943" s="87"/>
      <c r="V943" s="87"/>
      <c r="W943" s="87"/>
      <c r="X943" s="87"/>
      <c r="Y943" s="87"/>
      <c r="Z943" s="87"/>
      <c r="AA943" s="87"/>
      <c r="AB943" s="87"/>
      <c r="AC943" s="87"/>
      <c r="AD943" s="87"/>
      <c r="AE943" s="87"/>
      <c r="AF943" s="87"/>
      <c r="AG943" s="87"/>
      <c r="AH943" s="87"/>
      <c r="AI943" s="87"/>
      <c r="AJ943" s="87"/>
      <c r="AK943" s="87"/>
      <c r="AL943" s="87"/>
      <c r="AM943" s="87"/>
      <c r="AN943" s="87"/>
    </row>
    <row r="944" ht="16.5" customHeight="1">
      <c r="A944" s="87"/>
      <c r="B944" s="87"/>
      <c r="C944" s="87"/>
      <c r="D944" s="87"/>
      <c r="E944" s="87"/>
      <c r="F944" s="79"/>
      <c r="G944" s="87"/>
      <c r="H944" s="92"/>
      <c r="I944" s="87"/>
      <c r="J944" s="87"/>
      <c r="K944" s="89"/>
      <c r="L944" s="87"/>
      <c r="M944" s="87"/>
      <c r="N944" s="87"/>
      <c r="O944" s="87"/>
      <c r="P944" s="87"/>
      <c r="Q944" s="87"/>
      <c r="R944" s="87"/>
      <c r="S944" s="87"/>
      <c r="T944" s="87"/>
      <c r="U944" s="87"/>
      <c r="V944" s="87"/>
      <c r="W944" s="87"/>
      <c r="X944" s="87"/>
      <c r="Y944" s="87"/>
      <c r="Z944" s="87"/>
      <c r="AA944" s="87"/>
      <c r="AB944" s="87"/>
      <c r="AC944" s="87"/>
      <c r="AD944" s="87"/>
      <c r="AE944" s="87"/>
      <c r="AF944" s="87"/>
      <c r="AG944" s="87"/>
      <c r="AH944" s="87"/>
      <c r="AI944" s="87"/>
      <c r="AJ944" s="87"/>
      <c r="AK944" s="87"/>
      <c r="AL944" s="87"/>
      <c r="AM944" s="87"/>
      <c r="AN944" s="87"/>
    </row>
    <row r="945" ht="16.5" customHeight="1">
      <c r="A945" s="87"/>
      <c r="B945" s="87"/>
      <c r="C945" s="87"/>
      <c r="D945" s="87"/>
      <c r="E945" s="87"/>
      <c r="F945" s="79"/>
      <c r="G945" s="87"/>
      <c r="H945" s="92"/>
      <c r="I945" s="87"/>
      <c r="J945" s="87"/>
      <c r="K945" s="89"/>
      <c r="L945" s="87"/>
      <c r="M945" s="87"/>
      <c r="N945" s="87"/>
      <c r="O945" s="87"/>
      <c r="P945" s="87"/>
      <c r="Q945" s="87"/>
      <c r="R945" s="87"/>
      <c r="S945" s="87"/>
      <c r="T945" s="87"/>
      <c r="U945" s="87"/>
      <c r="V945" s="87"/>
      <c r="W945" s="87"/>
      <c r="X945" s="87"/>
      <c r="Y945" s="87"/>
      <c r="Z945" s="87"/>
      <c r="AA945" s="87"/>
      <c r="AB945" s="87"/>
      <c r="AC945" s="87"/>
      <c r="AD945" s="87"/>
      <c r="AE945" s="87"/>
      <c r="AF945" s="87"/>
      <c r="AG945" s="87"/>
      <c r="AH945" s="87"/>
      <c r="AI945" s="87"/>
      <c r="AJ945" s="87"/>
      <c r="AK945" s="87"/>
      <c r="AL945" s="87"/>
      <c r="AM945" s="87"/>
      <c r="AN945" s="87"/>
    </row>
    <row r="946" ht="16.5" customHeight="1">
      <c r="A946" s="87"/>
      <c r="B946" s="87"/>
      <c r="C946" s="87"/>
      <c r="D946" s="87"/>
      <c r="E946" s="87"/>
      <c r="F946" s="79"/>
      <c r="G946" s="87"/>
      <c r="H946" s="92"/>
      <c r="I946" s="87"/>
      <c r="J946" s="87"/>
      <c r="K946" s="89"/>
      <c r="L946" s="87"/>
      <c r="M946" s="87"/>
      <c r="N946" s="87"/>
      <c r="O946" s="87"/>
      <c r="P946" s="87"/>
      <c r="Q946" s="87"/>
      <c r="R946" s="87"/>
      <c r="S946" s="87"/>
      <c r="T946" s="87"/>
      <c r="U946" s="87"/>
      <c r="V946" s="87"/>
      <c r="W946" s="87"/>
      <c r="X946" s="87"/>
      <c r="Y946" s="87"/>
      <c r="Z946" s="87"/>
      <c r="AA946" s="87"/>
      <c r="AB946" s="87"/>
      <c r="AC946" s="87"/>
      <c r="AD946" s="87"/>
      <c r="AE946" s="87"/>
      <c r="AF946" s="87"/>
      <c r="AG946" s="87"/>
      <c r="AH946" s="87"/>
      <c r="AI946" s="87"/>
      <c r="AJ946" s="87"/>
      <c r="AK946" s="87"/>
      <c r="AL946" s="87"/>
      <c r="AM946" s="87"/>
      <c r="AN946" s="87"/>
    </row>
    <row r="947" ht="16.5" customHeight="1">
      <c r="A947" s="87"/>
      <c r="B947" s="87"/>
      <c r="C947" s="87"/>
      <c r="D947" s="87"/>
      <c r="E947" s="87"/>
      <c r="F947" s="79"/>
      <c r="G947" s="87"/>
      <c r="H947" s="92"/>
      <c r="I947" s="87"/>
      <c r="J947" s="87"/>
      <c r="K947" s="89"/>
      <c r="L947" s="87"/>
      <c r="M947" s="87"/>
      <c r="N947" s="87"/>
      <c r="O947" s="87"/>
      <c r="P947" s="87"/>
      <c r="Q947" s="87"/>
      <c r="R947" s="87"/>
      <c r="S947" s="87"/>
      <c r="T947" s="87"/>
      <c r="U947" s="87"/>
      <c r="V947" s="87"/>
      <c r="W947" s="87"/>
      <c r="X947" s="87"/>
      <c r="Y947" s="87"/>
      <c r="Z947" s="87"/>
      <c r="AA947" s="87"/>
      <c r="AB947" s="87"/>
      <c r="AC947" s="87"/>
      <c r="AD947" s="87"/>
      <c r="AE947" s="87"/>
      <c r="AF947" s="87"/>
      <c r="AG947" s="87"/>
      <c r="AH947" s="87"/>
      <c r="AI947" s="87"/>
      <c r="AJ947" s="87"/>
      <c r="AK947" s="87"/>
      <c r="AL947" s="87"/>
      <c r="AM947" s="87"/>
      <c r="AN947" s="87"/>
    </row>
    <row r="948" ht="16.5" customHeight="1">
      <c r="A948" s="87"/>
      <c r="B948" s="87"/>
      <c r="C948" s="87"/>
      <c r="D948" s="87"/>
      <c r="E948" s="87"/>
      <c r="F948" s="79"/>
      <c r="G948" s="87"/>
      <c r="H948" s="92"/>
      <c r="I948" s="87"/>
      <c r="J948" s="87"/>
      <c r="K948" s="89"/>
      <c r="L948" s="87"/>
      <c r="M948" s="87"/>
      <c r="N948" s="87"/>
      <c r="O948" s="87"/>
      <c r="P948" s="87"/>
      <c r="Q948" s="87"/>
      <c r="R948" s="87"/>
      <c r="S948" s="87"/>
      <c r="T948" s="87"/>
      <c r="U948" s="87"/>
      <c r="V948" s="87"/>
      <c r="W948" s="87"/>
      <c r="X948" s="87"/>
      <c r="Y948" s="87"/>
      <c r="Z948" s="87"/>
      <c r="AA948" s="87"/>
      <c r="AB948" s="87"/>
      <c r="AC948" s="87"/>
      <c r="AD948" s="87"/>
      <c r="AE948" s="87"/>
      <c r="AF948" s="87"/>
      <c r="AG948" s="87"/>
      <c r="AH948" s="87"/>
      <c r="AI948" s="87"/>
      <c r="AJ948" s="87"/>
      <c r="AK948" s="87"/>
      <c r="AL948" s="87"/>
      <c r="AM948" s="87"/>
      <c r="AN948" s="87"/>
    </row>
    <row r="949" ht="16.5" customHeight="1">
      <c r="A949" s="87"/>
      <c r="B949" s="87"/>
      <c r="C949" s="87"/>
      <c r="D949" s="87"/>
      <c r="E949" s="87"/>
      <c r="F949" s="79"/>
      <c r="G949" s="87"/>
      <c r="H949" s="92"/>
      <c r="I949" s="87"/>
      <c r="J949" s="87"/>
      <c r="K949" s="89"/>
      <c r="L949" s="87"/>
      <c r="M949" s="87"/>
      <c r="N949" s="87"/>
      <c r="O949" s="87"/>
      <c r="P949" s="87"/>
      <c r="Q949" s="87"/>
      <c r="R949" s="87"/>
      <c r="S949" s="87"/>
      <c r="T949" s="87"/>
      <c r="U949" s="87"/>
      <c r="V949" s="87"/>
      <c r="W949" s="87"/>
      <c r="X949" s="87"/>
      <c r="Y949" s="87"/>
      <c r="Z949" s="87"/>
      <c r="AA949" s="87"/>
      <c r="AB949" s="87"/>
      <c r="AC949" s="87"/>
      <c r="AD949" s="87"/>
      <c r="AE949" s="87"/>
      <c r="AF949" s="87"/>
      <c r="AG949" s="87"/>
      <c r="AH949" s="87"/>
      <c r="AI949" s="87"/>
      <c r="AJ949" s="87"/>
      <c r="AK949" s="87"/>
      <c r="AL949" s="87"/>
      <c r="AM949" s="87"/>
      <c r="AN949" s="87"/>
    </row>
    <row r="950" ht="16.5" customHeight="1">
      <c r="A950" s="87"/>
      <c r="B950" s="87"/>
      <c r="C950" s="87"/>
      <c r="D950" s="87"/>
      <c r="E950" s="87"/>
      <c r="F950" s="79"/>
      <c r="G950" s="87"/>
      <c r="H950" s="92"/>
      <c r="I950" s="87"/>
      <c r="J950" s="87"/>
      <c r="K950" s="89"/>
      <c r="L950" s="87"/>
      <c r="M950" s="87"/>
      <c r="N950" s="87"/>
      <c r="O950" s="87"/>
      <c r="P950" s="87"/>
      <c r="Q950" s="87"/>
      <c r="R950" s="87"/>
      <c r="S950" s="87"/>
      <c r="T950" s="87"/>
      <c r="U950" s="87"/>
      <c r="V950" s="87"/>
      <c r="W950" s="87"/>
      <c r="X950" s="87"/>
      <c r="Y950" s="87"/>
      <c r="Z950" s="87"/>
      <c r="AA950" s="87"/>
      <c r="AB950" s="87"/>
      <c r="AC950" s="87"/>
      <c r="AD950" s="87"/>
      <c r="AE950" s="87"/>
      <c r="AF950" s="87"/>
      <c r="AG950" s="87"/>
      <c r="AH950" s="87"/>
      <c r="AI950" s="87"/>
      <c r="AJ950" s="87"/>
      <c r="AK950" s="87"/>
      <c r="AL950" s="87"/>
      <c r="AM950" s="87"/>
      <c r="AN950" s="87"/>
    </row>
    <row r="951" ht="16.5" customHeight="1">
      <c r="A951" s="87"/>
      <c r="B951" s="87"/>
      <c r="C951" s="87"/>
      <c r="D951" s="87"/>
      <c r="E951" s="87"/>
      <c r="F951" s="79"/>
      <c r="G951" s="87"/>
      <c r="H951" s="92"/>
      <c r="I951" s="87"/>
      <c r="J951" s="87"/>
      <c r="K951" s="89"/>
      <c r="L951" s="87"/>
      <c r="M951" s="87"/>
      <c r="N951" s="87"/>
      <c r="O951" s="87"/>
      <c r="P951" s="87"/>
      <c r="Q951" s="87"/>
      <c r="R951" s="87"/>
      <c r="S951" s="87"/>
      <c r="T951" s="87"/>
      <c r="U951" s="87"/>
      <c r="V951" s="87"/>
      <c r="W951" s="87"/>
      <c r="X951" s="87"/>
      <c r="Y951" s="87"/>
      <c r="Z951" s="87"/>
      <c r="AA951" s="87"/>
      <c r="AB951" s="87"/>
      <c r="AC951" s="87"/>
      <c r="AD951" s="87"/>
      <c r="AE951" s="87"/>
      <c r="AF951" s="87"/>
      <c r="AG951" s="87"/>
      <c r="AH951" s="87"/>
      <c r="AI951" s="87"/>
      <c r="AJ951" s="87"/>
      <c r="AK951" s="87"/>
      <c r="AL951" s="87"/>
      <c r="AM951" s="87"/>
      <c r="AN951" s="87"/>
    </row>
    <row r="952" ht="16.5" customHeight="1">
      <c r="A952" s="87"/>
      <c r="B952" s="87"/>
      <c r="C952" s="87"/>
      <c r="D952" s="87"/>
      <c r="E952" s="87"/>
      <c r="F952" s="79"/>
      <c r="G952" s="87"/>
      <c r="H952" s="92"/>
      <c r="I952" s="87"/>
      <c r="J952" s="87"/>
      <c r="K952" s="89"/>
      <c r="L952" s="87"/>
      <c r="M952" s="87"/>
      <c r="N952" s="87"/>
      <c r="O952" s="87"/>
      <c r="P952" s="87"/>
      <c r="Q952" s="87"/>
      <c r="R952" s="87"/>
      <c r="S952" s="87"/>
      <c r="T952" s="87"/>
      <c r="U952" s="87"/>
      <c r="V952" s="87"/>
      <c r="W952" s="87"/>
      <c r="X952" s="87"/>
      <c r="Y952" s="87"/>
      <c r="Z952" s="87"/>
      <c r="AA952" s="87"/>
      <c r="AB952" s="87"/>
      <c r="AC952" s="87"/>
      <c r="AD952" s="87"/>
      <c r="AE952" s="87"/>
      <c r="AF952" s="87"/>
      <c r="AG952" s="87"/>
      <c r="AH952" s="87"/>
      <c r="AI952" s="87"/>
      <c r="AJ952" s="87"/>
      <c r="AK952" s="87"/>
      <c r="AL952" s="87"/>
      <c r="AM952" s="87"/>
      <c r="AN952" s="87"/>
    </row>
    <row r="953" ht="16.5" customHeight="1">
      <c r="A953" s="87"/>
      <c r="B953" s="87"/>
      <c r="C953" s="87"/>
      <c r="D953" s="87"/>
      <c r="E953" s="87"/>
      <c r="F953" s="79"/>
      <c r="G953" s="87"/>
      <c r="H953" s="92"/>
      <c r="I953" s="87"/>
      <c r="J953" s="87"/>
      <c r="K953" s="89"/>
      <c r="L953" s="87"/>
      <c r="M953" s="87"/>
      <c r="N953" s="87"/>
      <c r="O953" s="87"/>
      <c r="P953" s="87"/>
      <c r="Q953" s="87"/>
      <c r="R953" s="87"/>
      <c r="S953" s="87"/>
      <c r="T953" s="87"/>
      <c r="U953" s="87"/>
      <c r="V953" s="87"/>
      <c r="W953" s="87"/>
      <c r="X953" s="87"/>
      <c r="Y953" s="87"/>
      <c r="Z953" s="87"/>
      <c r="AA953" s="87"/>
      <c r="AB953" s="87"/>
      <c r="AC953" s="87"/>
      <c r="AD953" s="87"/>
      <c r="AE953" s="87"/>
      <c r="AF953" s="87"/>
      <c r="AG953" s="87"/>
      <c r="AH953" s="87"/>
      <c r="AI953" s="87"/>
      <c r="AJ953" s="87"/>
      <c r="AK953" s="87"/>
      <c r="AL953" s="87"/>
      <c r="AM953" s="87"/>
      <c r="AN953" s="87"/>
    </row>
    <row r="954" ht="16.5" customHeight="1">
      <c r="A954" s="87"/>
      <c r="B954" s="87"/>
      <c r="C954" s="87"/>
      <c r="D954" s="87"/>
      <c r="E954" s="87"/>
      <c r="F954" s="79"/>
      <c r="G954" s="87"/>
      <c r="H954" s="92"/>
      <c r="I954" s="87"/>
      <c r="J954" s="87"/>
      <c r="K954" s="89"/>
      <c r="L954" s="87"/>
      <c r="M954" s="87"/>
      <c r="N954" s="87"/>
      <c r="O954" s="87"/>
      <c r="P954" s="87"/>
      <c r="Q954" s="87"/>
      <c r="R954" s="87"/>
      <c r="S954" s="87"/>
      <c r="T954" s="87"/>
      <c r="U954" s="87"/>
      <c r="V954" s="87"/>
      <c r="W954" s="87"/>
      <c r="X954" s="87"/>
      <c r="Y954" s="87"/>
      <c r="Z954" s="87"/>
      <c r="AA954" s="87"/>
      <c r="AB954" s="87"/>
      <c r="AC954" s="87"/>
      <c r="AD954" s="87"/>
      <c r="AE954" s="87"/>
      <c r="AF954" s="87"/>
      <c r="AG954" s="87"/>
      <c r="AH954" s="87"/>
      <c r="AI954" s="87"/>
      <c r="AJ954" s="87"/>
      <c r="AK954" s="87"/>
      <c r="AL954" s="87"/>
      <c r="AM954" s="87"/>
      <c r="AN954" s="87"/>
    </row>
    <row r="955" ht="16.5" customHeight="1">
      <c r="A955" s="87"/>
      <c r="B955" s="87"/>
      <c r="C955" s="87"/>
      <c r="D955" s="87"/>
      <c r="E955" s="87"/>
      <c r="F955" s="79"/>
      <c r="G955" s="87"/>
      <c r="H955" s="92"/>
      <c r="I955" s="87"/>
      <c r="J955" s="87"/>
      <c r="K955" s="89"/>
      <c r="L955" s="87"/>
      <c r="M955" s="87"/>
      <c r="N955" s="87"/>
      <c r="O955" s="87"/>
      <c r="P955" s="87"/>
      <c r="Q955" s="87"/>
      <c r="R955" s="87"/>
      <c r="S955" s="87"/>
      <c r="T955" s="87"/>
      <c r="U955" s="87"/>
      <c r="V955" s="87"/>
      <c r="W955" s="87"/>
      <c r="X955" s="87"/>
      <c r="Y955" s="87"/>
      <c r="Z955" s="87"/>
      <c r="AA955" s="87"/>
      <c r="AB955" s="87"/>
      <c r="AC955" s="87"/>
      <c r="AD955" s="87"/>
      <c r="AE955" s="87"/>
      <c r="AF955" s="87"/>
      <c r="AG955" s="87"/>
      <c r="AH955" s="87"/>
      <c r="AI955" s="87"/>
      <c r="AJ955" s="87"/>
      <c r="AK955" s="87"/>
      <c r="AL955" s="87"/>
      <c r="AM955" s="87"/>
      <c r="AN955" s="87"/>
    </row>
    <row r="956" ht="16.5" customHeight="1">
      <c r="A956" s="87"/>
      <c r="B956" s="87"/>
      <c r="C956" s="87"/>
      <c r="D956" s="87"/>
      <c r="E956" s="87"/>
      <c r="F956" s="79"/>
      <c r="G956" s="87"/>
      <c r="H956" s="92"/>
      <c r="I956" s="87"/>
      <c r="J956" s="87"/>
      <c r="K956" s="89"/>
      <c r="L956" s="87"/>
      <c r="M956" s="87"/>
      <c r="N956" s="87"/>
      <c r="O956" s="87"/>
      <c r="P956" s="87"/>
      <c r="Q956" s="87"/>
      <c r="R956" s="87"/>
      <c r="S956" s="87"/>
      <c r="T956" s="87"/>
      <c r="U956" s="87"/>
      <c r="V956" s="87"/>
      <c r="W956" s="87"/>
      <c r="X956" s="87"/>
      <c r="Y956" s="87"/>
      <c r="Z956" s="87"/>
      <c r="AA956" s="87"/>
      <c r="AB956" s="87"/>
      <c r="AC956" s="87"/>
      <c r="AD956" s="87"/>
      <c r="AE956" s="87"/>
      <c r="AF956" s="87"/>
      <c r="AG956" s="87"/>
      <c r="AH956" s="87"/>
      <c r="AI956" s="87"/>
      <c r="AJ956" s="87"/>
      <c r="AK956" s="87"/>
      <c r="AL956" s="87"/>
      <c r="AM956" s="87"/>
      <c r="AN956" s="87"/>
    </row>
    <row r="957" ht="16.5" customHeight="1">
      <c r="A957" s="87"/>
      <c r="B957" s="87"/>
      <c r="C957" s="87"/>
      <c r="D957" s="87"/>
      <c r="E957" s="87"/>
      <c r="F957" s="79"/>
      <c r="G957" s="87"/>
      <c r="H957" s="92"/>
      <c r="I957" s="87"/>
      <c r="J957" s="87"/>
      <c r="K957" s="89"/>
      <c r="L957" s="87"/>
      <c r="M957" s="87"/>
      <c r="N957" s="87"/>
      <c r="O957" s="87"/>
      <c r="P957" s="87"/>
      <c r="Q957" s="87"/>
      <c r="R957" s="87"/>
      <c r="S957" s="87"/>
      <c r="T957" s="87"/>
      <c r="U957" s="87"/>
      <c r="V957" s="87"/>
      <c r="W957" s="87"/>
      <c r="X957" s="87"/>
      <c r="Y957" s="87"/>
      <c r="Z957" s="87"/>
      <c r="AA957" s="87"/>
      <c r="AB957" s="87"/>
      <c r="AC957" s="87"/>
      <c r="AD957" s="87"/>
      <c r="AE957" s="87"/>
      <c r="AF957" s="87"/>
      <c r="AG957" s="87"/>
      <c r="AH957" s="87"/>
      <c r="AI957" s="87"/>
      <c r="AJ957" s="87"/>
      <c r="AK957" s="87"/>
      <c r="AL957" s="87"/>
      <c r="AM957" s="87"/>
      <c r="AN957" s="87"/>
    </row>
    <row r="958" ht="16.5" customHeight="1">
      <c r="A958" s="87"/>
      <c r="B958" s="87"/>
      <c r="C958" s="87"/>
      <c r="D958" s="87"/>
      <c r="E958" s="87"/>
      <c r="F958" s="79"/>
      <c r="G958" s="87"/>
      <c r="H958" s="92"/>
      <c r="I958" s="87"/>
      <c r="J958" s="87"/>
      <c r="K958" s="89"/>
      <c r="L958" s="87"/>
      <c r="M958" s="87"/>
      <c r="N958" s="87"/>
      <c r="O958" s="87"/>
      <c r="P958" s="87"/>
      <c r="Q958" s="87"/>
      <c r="R958" s="87"/>
      <c r="S958" s="87"/>
      <c r="T958" s="87"/>
      <c r="U958" s="87"/>
      <c r="V958" s="87"/>
      <c r="W958" s="87"/>
      <c r="X958" s="87"/>
      <c r="Y958" s="87"/>
      <c r="Z958" s="87"/>
      <c r="AA958" s="87"/>
      <c r="AB958" s="87"/>
      <c r="AC958" s="87"/>
      <c r="AD958" s="87"/>
      <c r="AE958" s="87"/>
      <c r="AF958" s="87"/>
      <c r="AG958" s="87"/>
      <c r="AH958" s="87"/>
      <c r="AI958" s="87"/>
      <c r="AJ958" s="87"/>
      <c r="AK958" s="87"/>
      <c r="AL958" s="87"/>
      <c r="AM958" s="87"/>
      <c r="AN958" s="87"/>
    </row>
    <row r="959" ht="16.5" customHeight="1">
      <c r="A959" s="87"/>
      <c r="B959" s="87"/>
      <c r="C959" s="87"/>
      <c r="D959" s="87"/>
      <c r="E959" s="87"/>
      <c r="F959" s="79"/>
      <c r="G959" s="87"/>
      <c r="H959" s="92"/>
      <c r="I959" s="87"/>
      <c r="J959" s="87"/>
      <c r="K959" s="89"/>
      <c r="L959" s="87"/>
      <c r="M959" s="87"/>
      <c r="N959" s="87"/>
      <c r="O959" s="87"/>
      <c r="P959" s="87"/>
      <c r="Q959" s="87"/>
      <c r="R959" s="87"/>
      <c r="S959" s="87"/>
      <c r="T959" s="87"/>
      <c r="U959" s="87"/>
      <c r="V959" s="87"/>
      <c r="W959" s="87"/>
      <c r="X959" s="87"/>
      <c r="Y959" s="87"/>
      <c r="Z959" s="87"/>
      <c r="AA959" s="87"/>
      <c r="AB959" s="87"/>
      <c r="AC959" s="87"/>
      <c r="AD959" s="87"/>
      <c r="AE959" s="87"/>
      <c r="AF959" s="87"/>
      <c r="AG959" s="87"/>
      <c r="AH959" s="87"/>
      <c r="AI959" s="87"/>
      <c r="AJ959" s="87"/>
      <c r="AK959" s="87"/>
      <c r="AL959" s="87"/>
      <c r="AM959" s="87"/>
      <c r="AN959" s="87"/>
    </row>
    <row r="960" ht="16.5" customHeight="1">
      <c r="A960" s="87"/>
      <c r="B960" s="87"/>
      <c r="C960" s="87"/>
      <c r="D960" s="87"/>
      <c r="E960" s="87"/>
      <c r="F960" s="79"/>
      <c r="G960" s="87"/>
      <c r="H960" s="92"/>
      <c r="I960" s="87"/>
      <c r="J960" s="87"/>
      <c r="K960" s="89"/>
      <c r="L960" s="87"/>
      <c r="M960" s="87"/>
      <c r="N960" s="87"/>
      <c r="O960" s="87"/>
      <c r="P960" s="87"/>
      <c r="Q960" s="87"/>
      <c r="R960" s="87"/>
      <c r="S960" s="87"/>
      <c r="T960" s="87"/>
      <c r="U960" s="87"/>
      <c r="V960" s="87"/>
      <c r="W960" s="87"/>
      <c r="X960" s="87"/>
      <c r="Y960" s="87"/>
      <c r="Z960" s="87"/>
      <c r="AA960" s="87"/>
      <c r="AB960" s="87"/>
      <c r="AC960" s="87"/>
      <c r="AD960" s="87"/>
      <c r="AE960" s="87"/>
      <c r="AF960" s="87"/>
      <c r="AG960" s="87"/>
      <c r="AH960" s="87"/>
      <c r="AI960" s="87"/>
      <c r="AJ960" s="87"/>
      <c r="AK960" s="87"/>
      <c r="AL960" s="87"/>
      <c r="AM960" s="87"/>
      <c r="AN960" s="87"/>
    </row>
    <row r="961" ht="16.5" customHeight="1">
      <c r="A961" s="87"/>
      <c r="B961" s="87"/>
      <c r="C961" s="87"/>
      <c r="D961" s="87"/>
      <c r="E961" s="87"/>
      <c r="F961" s="79"/>
      <c r="G961" s="87"/>
      <c r="H961" s="92"/>
      <c r="I961" s="87"/>
      <c r="J961" s="87"/>
      <c r="K961" s="89"/>
      <c r="L961" s="87"/>
      <c r="M961" s="87"/>
      <c r="N961" s="87"/>
      <c r="O961" s="87"/>
      <c r="P961" s="87"/>
      <c r="Q961" s="87"/>
      <c r="R961" s="87"/>
      <c r="S961" s="87"/>
      <c r="T961" s="87"/>
      <c r="U961" s="87"/>
      <c r="V961" s="87"/>
      <c r="W961" s="87"/>
      <c r="X961" s="87"/>
      <c r="Y961" s="87"/>
      <c r="Z961" s="87"/>
      <c r="AA961" s="87"/>
      <c r="AB961" s="87"/>
      <c r="AC961" s="87"/>
      <c r="AD961" s="87"/>
      <c r="AE961" s="87"/>
      <c r="AF961" s="87"/>
      <c r="AG961" s="87"/>
      <c r="AH961" s="87"/>
      <c r="AI961" s="87"/>
      <c r="AJ961" s="87"/>
      <c r="AK961" s="87"/>
      <c r="AL961" s="87"/>
      <c r="AM961" s="87"/>
      <c r="AN961" s="87"/>
    </row>
    <row r="962" ht="16.5" customHeight="1">
      <c r="A962" s="87"/>
      <c r="B962" s="87"/>
      <c r="C962" s="87"/>
      <c r="D962" s="87"/>
      <c r="E962" s="87"/>
      <c r="F962" s="79"/>
      <c r="G962" s="87"/>
      <c r="H962" s="92"/>
      <c r="I962" s="87"/>
      <c r="J962" s="87"/>
      <c r="K962" s="89"/>
      <c r="L962" s="87"/>
      <c r="M962" s="87"/>
      <c r="N962" s="87"/>
      <c r="O962" s="87"/>
      <c r="P962" s="87"/>
      <c r="Q962" s="87"/>
      <c r="R962" s="87"/>
      <c r="S962" s="87"/>
      <c r="T962" s="87"/>
      <c r="U962" s="87"/>
      <c r="V962" s="87"/>
      <c r="W962" s="87"/>
      <c r="X962" s="87"/>
      <c r="Y962" s="87"/>
      <c r="Z962" s="87"/>
      <c r="AA962" s="87"/>
      <c r="AB962" s="87"/>
      <c r="AC962" s="87"/>
      <c r="AD962" s="87"/>
      <c r="AE962" s="87"/>
      <c r="AF962" s="87"/>
      <c r="AG962" s="87"/>
      <c r="AH962" s="87"/>
      <c r="AI962" s="87"/>
      <c r="AJ962" s="87"/>
      <c r="AK962" s="87"/>
      <c r="AL962" s="87"/>
      <c r="AM962" s="87"/>
      <c r="AN962" s="87"/>
    </row>
    <row r="963" ht="16.5" customHeight="1">
      <c r="A963" s="87"/>
      <c r="B963" s="87"/>
      <c r="C963" s="87"/>
      <c r="D963" s="87"/>
      <c r="E963" s="87"/>
      <c r="F963" s="79"/>
      <c r="G963" s="87"/>
      <c r="H963" s="92"/>
      <c r="I963" s="87"/>
      <c r="J963" s="87"/>
      <c r="K963" s="89"/>
      <c r="L963" s="87"/>
      <c r="M963" s="87"/>
      <c r="N963" s="87"/>
      <c r="O963" s="87"/>
      <c r="P963" s="87"/>
      <c r="Q963" s="87"/>
      <c r="R963" s="87"/>
      <c r="S963" s="87"/>
      <c r="T963" s="87"/>
      <c r="U963" s="87"/>
      <c r="V963" s="87"/>
      <c r="W963" s="87"/>
      <c r="X963" s="87"/>
      <c r="Y963" s="87"/>
      <c r="Z963" s="87"/>
      <c r="AA963" s="87"/>
      <c r="AB963" s="87"/>
      <c r="AC963" s="87"/>
      <c r="AD963" s="87"/>
      <c r="AE963" s="87"/>
      <c r="AF963" s="87"/>
      <c r="AG963" s="87"/>
      <c r="AH963" s="87"/>
      <c r="AI963" s="87"/>
      <c r="AJ963" s="87"/>
      <c r="AK963" s="87"/>
      <c r="AL963" s="87"/>
      <c r="AM963" s="87"/>
      <c r="AN963" s="87"/>
    </row>
    <row r="964" ht="16.5" customHeight="1">
      <c r="A964" s="87"/>
      <c r="B964" s="87"/>
      <c r="C964" s="87"/>
      <c r="D964" s="87"/>
      <c r="E964" s="87"/>
      <c r="F964" s="79"/>
      <c r="G964" s="87"/>
      <c r="H964" s="92"/>
      <c r="I964" s="87"/>
      <c r="J964" s="87"/>
      <c r="K964" s="89"/>
      <c r="L964" s="87"/>
      <c r="M964" s="87"/>
      <c r="N964" s="87"/>
      <c r="O964" s="87"/>
      <c r="P964" s="87"/>
      <c r="Q964" s="87"/>
      <c r="R964" s="87"/>
      <c r="S964" s="87"/>
      <c r="T964" s="87"/>
      <c r="U964" s="87"/>
      <c r="V964" s="87"/>
      <c r="W964" s="87"/>
      <c r="X964" s="87"/>
      <c r="Y964" s="87"/>
      <c r="Z964" s="87"/>
      <c r="AA964" s="87"/>
      <c r="AB964" s="87"/>
      <c r="AC964" s="87"/>
      <c r="AD964" s="87"/>
      <c r="AE964" s="87"/>
      <c r="AF964" s="87"/>
      <c r="AG964" s="87"/>
      <c r="AH964" s="87"/>
      <c r="AI964" s="87"/>
      <c r="AJ964" s="87"/>
      <c r="AK964" s="87"/>
      <c r="AL964" s="87"/>
      <c r="AM964" s="87"/>
      <c r="AN964" s="87"/>
    </row>
    <row r="965" ht="16.5" customHeight="1">
      <c r="A965" s="87"/>
      <c r="B965" s="87"/>
      <c r="C965" s="87"/>
      <c r="D965" s="87"/>
      <c r="E965" s="87"/>
      <c r="F965" s="79"/>
      <c r="G965" s="87"/>
      <c r="H965" s="92"/>
      <c r="I965" s="87"/>
      <c r="J965" s="87"/>
      <c r="K965" s="89"/>
      <c r="L965" s="87"/>
      <c r="M965" s="87"/>
      <c r="N965" s="87"/>
      <c r="O965" s="87"/>
      <c r="P965" s="87"/>
      <c r="Q965" s="87"/>
      <c r="R965" s="87"/>
      <c r="S965" s="87"/>
      <c r="T965" s="87"/>
      <c r="U965" s="87"/>
      <c r="V965" s="87"/>
      <c r="W965" s="87"/>
      <c r="X965" s="87"/>
      <c r="Y965" s="87"/>
      <c r="Z965" s="87"/>
      <c r="AA965" s="87"/>
      <c r="AB965" s="87"/>
      <c r="AC965" s="87"/>
      <c r="AD965" s="87"/>
      <c r="AE965" s="87"/>
      <c r="AF965" s="87"/>
      <c r="AG965" s="87"/>
      <c r="AH965" s="87"/>
      <c r="AI965" s="87"/>
      <c r="AJ965" s="87"/>
      <c r="AK965" s="87"/>
      <c r="AL965" s="87"/>
      <c r="AM965" s="87"/>
      <c r="AN965" s="87"/>
    </row>
    <row r="966" ht="16.5" customHeight="1">
      <c r="A966" s="87"/>
      <c r="B966" s="87"/>
      <c r="C966" s="87"/>
      <c r="D966" s="87"/>
      <c r="E966" s="87"/>
      <c r="F966" s="79"/>
      <c r="G966" s="87"/>
      <c r="H966" s="92"/>
      <c r="I966" s="87"/>
      <c r="J966" s="87"/>
      <c r="K966" s="89"/>
      <c r="L966" s="87"/>
      <c r="M966" s="87"/>
      <c r="N966" s="87"/>
      <c r="O966" s="87"/>
      <c r="P966" s="87"/>
      <c r="Q966" s="87"/>
      <c r="R966" s="87"/>
      <c r="S966" s="87"/>
      <c r="T966" s="87"/>
      <c r="U966" s="87"/>
      <c r="V966" s="87"/>
      <c r="W966" s="87"/>
      <c r="X966" s="87"/>
      <c r="Y966" s="87"/>
      <c r="Z966" s="87"/>
      <c r="AA966" s="87"/>
      <c r="AB966" s="87"/>
      <c r="AC966" s="87"/>
      <c r="AD966" s="87"/>
      <c r="AE966" s="87"/>
      <c r="AF966" s="87"/>
      <c r="AG966" s="87"/>
      <c r="AH966" s="87"/>
      <c r="AI966" s="87"/>
      <c r="AJ966" s="87"/>
      <c r="AK966" s="87"/>
      <c r="AL966" s="87"/>
      <c r="AM966" s="87"/>
      <c r="AN966" s="87"/>
    </row>
    <row r="967" ht="16.5" customHeight="1">
      <c r="A967" s="87"/>
      <c r="B967" s="87"/>
      <c r="C967" s="87"/>
      <c r="D967" s="87"/>
      <c r="E967" s="87"/>
      <c r="F967" s="79"/>
      <c r="G967" s="87"/>
      <c r="H967" s="92"/>
      <c r="I967" s="87"/>
      <c r="J967" s="87"/>
      <c r="K967" s="89"/>
      <c r="L967" s="87"/>
      <c r="M967" s="87"/>
      <c r="N967" s="87"/>
      <c r="O967" s="87"/>
      <c r="P967" s="87"/>
      <c r="Q967" s="87"/>
      <c r="R967" s="87"/>
      <c r="S967" s="87"/>
      <c r="T967" s="87"/>
      <c r="U967" s="87"/>
      <c r="V967" s="87"/>
      <c r="W967" s="87"/>
      <c r="X967" s="87"/>
      <c r="Y967" s="87"/>
      <c r="Z967" s="87"/>
      <c r="AA967" s="87"/>
      <c r="AB967" s="87"/>
      <c r="AC967" s="87"/>
      <c r="AD967" s="87"/>
      <c r="AE967" s="87"/>
      <c r="AF967" s="87"/>
      <c r="AG967" s="87"/>
      <c r="AH967" s="87"/>
      <c r="AI967" s="87"/>
      <c r="AJ967" s="87"/>
      <c r="AK967" s="87"/>
      <c r="AL967" s="87"/>
      <c r="AM967" s="87"/>
      <c r="AN967" s="87"/>
    </row>
    <row r="968" ht="16.5" customHeight="1">
      <c r="A968" s="87"/>
      <c r="B968" s="87"/>
      <c r="C968" s="87"/>
      <c r="D968" s="87"/>
      <c r="E968" s="87"/>
      <c r="F968" s="79"/>
      <c r="G968" s="87"/>
      <c r="H968" s="92"/>
      <c r="I968" s="87"/>
      <c r="J968" s="87"/>
      <c r="K968" s="89"/>
      <c r="L968" s="87"/>
      <c r="M968" s="87"/>
      <c r="N968" s="87"/>
      <c r="O968" s="87"/>
      <c r="P968" s="87"/>
      <c r="Q968" s="87"/>
      <c r="R968" s="87"/>
      <c r="S968" s="87"/>
      <c r="T968" s="87"/>
      <c r="U968" s="87"/>
      <c r="V968" s="87"/>
      <c r="W968" s="87"/>
      <c r="X968" s="87"/>
      <c r="Y968" s="87"/>
      <c r="Z968" s="87"/>
      <c r="AA968" s="87"/>
      <c r="AB968" s="87"/>
      <c r="AC968" s="87"/>
      <c r="AD968" s="87"/>
      <c r="AE968" s="87"/>
      <c r="AF968" s="87"/>
      <c r="AG968" s="87"/>
      <c r="AH968" s="87"/>
      <c r="AI968" s="87"/>
      <c r="AJ968" s="87"/>
      <c r="AK968" s="87"/>
      <c r="AL968" s="87"/>
      <c r="AM968" s="87"/>
      <c r="AN968" s="87"/>
    </row>
    <row r="969" ht="16.5" customHeight="1">
      <c r="A969" s="87"/>
      <c r="B969" s="87"/>
      <c r="C969" s="87"/>
      <c r="D969" s="87"/>
      <c r="E969" s="87"/>
      <c r="F969" s="79"/>
      <c r="G969" s="87"/>
      <c r="H969" s="92"/>
      <c r="I969" s="87"/>
      <c r="J969" s="87"/>
      <c r="K969" s="89"/>
      <c r="L969" s="87"/>
      <c r="M969" s="87"/>
      <c r="N969" s="87"/>
      <c r="O969" s="87"/>
      <c r="P969" s="87"/>
      <c r="Q969" s="87"/>
      <c r="R969" s="87"/>
      <c r="S969" s="87"/>
      <c r="T969" s="87"/>
      <c r="U969" s="87"/>
      <c r="V969" s="87"/>
      <c r="W969" s="87"/>
      <c r="X969" s="87"/>
      <c r="Y969" s="87"/>
      <c r="Z969" s="87"/>
      <c r="AA969" s="87"/>
      <c r="AB969" s="87"/>
      <c r="AC969" s="87"/>
      <c r="AD969" s="87"/>
      <c r="AE969" s="87"/>
      <c r="AF969" s="87"/>
      <c r="AG969" s="87"/>
      <c r="AH969" s="87"/>
      <c r="AI969" s="87"/>
      <c r="AJ969" s="87"/>
      <c r="AK969" s="87"/>
      <c r="AL969" s="87"/>
      <c r="AM969" s="87"/>
      <c r="AN969" s="87"/>
    </row>
    <row r="970" ht="16.5" customHeight="1">
      <c r="A970" s="87"/>
      <c r="B970" s="87"/>
      <c r="C970" s="87"/>
      <c r="D970" s="87"/>
      <c r="E970" s="87"/>
      <c r="F970" s="79"/>
      <c r="G970" s="87"/>
      <c r="H970" s="92"/>
      <c r="I970" s="87"/>
      <c r="J970" s="87"/>
      <c r="K970" s="89"/>
      <c r="L970" s="87"/>
      <c r="M970" s="87"/>
      <c r="N970" s="87"/>
      <c r="O970" s="87"/>
      <c r="P970" s="87"/>
      <c r="Q970" s="87"/>
      <c r="R970" s="87"/>
      <c r="S970" s="87"/>
      <c r="T970" s="87"/>
      <c r="U970" s="87"/>
      <c r="V970" s="87"/>
      <c r="W970" s="87"/>
      <c r="X970" s="87"/>
      <c r="Y970" s="87"/>
      <c r="Z970" s="87"/>
      <c r="AA970" s="87"/>
      <c r="AB970" s="87"/>
      <c r="AC970" s="87"/>
      <c r="AD970" s="87"/>
      <c r="AE970" s="87"/>
      <c r="AF970" s="87"/>
      <c r="AG970" s="87"/>
      <c r="AH970" s="87"/>
      <c r="AI970" s="87"/>
      <c r="AJ970" s="87"/>
      <c r="AK970" s="87"/>
      <c r="AL970" s="87"/>
      <c r="AM970" s="87"/>
      <c r="AN970" s="87"/>
    </row>
    <row r="971" ht="16.5" customHeight="1">
      <c r="A971" s="87"/>
      <c r="B971" s="87"/>
      <c r="C971" s="87"/>
      <c r="D971" s="87"/>
      <c r="E971" s="87"/>
      <c r="F971" s="79"/>
      <c r="G971" s="87"/>
      <c r="H971" s="92"/>
      <c r="I971" s="87"/>
      <c r="J971" s="87"/>
      <c r="K971" s="89"/>
      <c r="L971" s="87"/>
      <c r="M971" s="87"/>
      <c r="N971" s="87"/>
      <c r="O971" s="87"/>
      <c r="P971" s="87"/>
      <c r="Q971" s="87"/>
      <c r="R971" s="87"/>
      <c r="S971" s="87"/>
      <c r="T971" s="87"/>
      <c r="U971" s="87"/>
      <c r="V971" s="87"/>
      <c r="W971" s="87"/>
      <c r="X971" s="87"/>
      <c r="Y971" s="87"/>
      <c r="Z971" s="87"/>
      <c r="AA971" s="87"/>
      <c r="AB971" s="87"/>
      <c r="AC971" s="87"/>
      <c r="AD971" s="87"/>
      <c r="AE971" s="87"/>
      <c r="AF971" s="87"/>
      <c r="AG971" s="87"/>
      <c r="AH971" s="87"/>
      <c r="AI971" s="87"/>
      <c r="AJ971" s="87"/>
      <c r="AK971" s="87"/>
      <c r="AL971" s="87"/>
      <c r="AM971" s="87"/>
      <c r="AN971" s="87"/>
    </row>
    <row r="972" ht="16.5" customHeight="1">
      <c r="A972" s="87"/>
      <c r="B972" s="87"/>
      <c r="C972" s="87"/>
      <c r="D972" s="87"/>
      <c r="E972" s="87"/>
      <c r="F972" s="79"/>
      <c r="G972" s="87"/>
      <c r="H972" s="92"/>
      <c r="I972" s="87"/>
      <c r="J972" s="87"/>
      <c r="K972" s="89"/>
      <c r="L972" s="87"/>
      <c r="M972" s="87"/>
      <c r="N972" s="87"/>
      <c r="O972" s="87"/>
      <c r="P972" s="87"/>
      <c r="Q972" s="87"/>
      <c r="R972" s="87"/>
      <c r="S972" s="87"/>
      <c r="T972" s="87"/>
      <c r="U972" s="87"/>
      <c r="V972" s="87"/>
      <c r="W972" s="87"/>
      <c r="X972" s="87"/>
      <c r="Y972" s="87"/>
      <c r="Z972" s="87"/>
      <c r="AA972" s="87"/>
      <c r="AB972" s="87"/>
      <c r="AC972" s="87"/>
      <c r="AD972" s="87"/>
      <c r="AE972" s="87"/>
      <c r="AF972" s="87"/>
      <c r="AG972" s="87"/>
      <c r="AH972" s="87"/>
      <c r="AI972" s="87"/>
      <c r="AJ972" s="87"/>
      <c r="AK972" s="87"/>
      <c r="AL972" s="87"/>
      <c r="AM972" s="87"/>
      <c r="AN972" s="87"/>
    </row>
    <row r="973" ht="16.5" customHeight="1">
      <c r="A973" s="87"/>
      <c r="B973" s="87"/>
      <c r="C973" s="87"/>
      <c r="D973" s="87"/>
      <c r="E973" s="87"/>
      <c r="F973" s="79"/>
      <c r="G973" s="87"/>
      <c r="H973" s="92"/>
      <c r="I973" s="87"/>
      <c r="J973" s="87"/>
      <c r="K973" s="89"/>
      <c r="L973" s="87"/>
      <c r="M973" s="87"/>
      <c r="N973" s="87"/>
      <c r="O973" s="87"/>
      <c r="P973" s="87"/>
      <c r="Q973" s="87"/>
      <c r="R973" s="87"/>
      <c r="S973" s="87"/>
      <c r="T973" s="87"/>
      <c r="U973" s="87"/>
      <c r="V973" s="87"/>
      <c r="W973" s="87"/>
      <c r="X973" s="87"/>
      <c r="Y973" s="87"/>
      <c r="Z973" s="87"/>
      <c r="AA973" s="87"/>
      <c r="AB973" s="87"/>
      <c r="AC973" s="87"/>
      <c r="AD973" s="87"/>
      <c r="AE973" s="87"/>
      <c r="AF973" s="87"/>
      <c r="AG973" s="87"/>
      <c r="AH973" s="87"/>
      <c r="AI973" s="87"/>
      <c r="AJ973" s="87"/>
      <c r="AK973" s="87"/>
      <c r="AL973" s="87"/>
      <c r="AM973" s="87"/>
      <c r="AN973" s="87"/>
    </row>
    <row r="974" ht="16.5" customHeight="1">
      <c r="A974" s="87"/>
      <c r="B974" s="87"/>
      <c r="C974" s="87"/>
      <c r="D974" s="87"/>
      <c r="E974" s="87"/>
      <c r="F974" s="79"/>
      <c r="G974" s="87"/>
      <c r="H974" s="92"/>
      <c r="I974" s="87"/>
      <c r="J974" s="87"/>
      <c r="K974" s="89"/>
      <c r="L974" s="87"/>
      <c r="M974" s="87"/>
      <c r="N974" s="87"/>
      <c r="O974" s="87"/>
      <c r="P974" s="87"/>
      <c r="Q974" s="87"/>
      <c r="R974" s="87"/>
      <c r="S974" s="87"/>
      <c r="T974" s="87"/>
      <c r="U974" s="87"/>
      <c r="V974" s="87"/>
      <c r="W974" s="87"/>
      <c r="X974" s="87"/>
      <c r="Y974" s="87"/>
      <c r="Z974" s="87"/>
      <c r="AA974" s="87"/>
      <c r="AB974" s="87"/>
      <c r="AC974" s="87"/>
      <c r="AD974" s="87"/>
      <c r="AE974" s="87"/>
      <c r="AF974" s="87"/>
      <c r="AG974" s="87"/>
      <c r="AH974" s="87"/>
      <c r="AI974" s="87"/>
      <c r="AJ974" s="87"/>
      <c r="AK974" s="87"/>
      <c r="AL974" s="87"/>
      <c r="AM974" s="87"/>
      <c r="AN974" s="87"/>
    </row>
    <row r="975" ht="16.5" customHeight="1">
      <c r="A975" s="87"/>
      <c r="B975" s="87"/>
      <c r="C975" s="87"/>
      <c r="D975" s="87"/>
      <c r="E975" s="87"/>
      <c r="F975" s="79"/>
      <c r="G975" s="87"/>
      <c r="H975" s="92"/>
      <c r="I975" s="87"/>
      <c r="J975" s="87"/>
      <c r="K975" s="89"/>
      <c r="L975" s="87"/>
      <c r="M975" s="87"/>
      <c r="N975" s="87"/>
      <c r="O975" s="87"/>
      <c r="P975" s="87"/>
      <c r="Q975" s="87"/>
      <c r="R975" s="87"/>
      <c r="S975" s="87"/>
      <c r="T975" s="87"/>
      <c r="U975" s="87"/>
      <c r="V975" s="87"/>
      <c r="W975" s="87"/>
      <c r="X975" s="87"/>
      <c r="Y975" s="87"/>
      <c r="Z975" s="87"/>
      <c r="AA975" s="87"/>
      <c r="AB975" s="87"/>
      <c r="AC975" s="87"/>
      <c r="AD975" s="87"/>
      <c r="AE975" s="87"/>
      <c r="AF975" s="87"/>
      <c r="AG975" s="87"/>
      <c r="AH975" s="87"/>
      <c r="AI975" s="87"/>
      <c r="AJ975" s="87"/>
      <c r="AK975" s="87"/>
      <c r="AL975" s="87"/>
      <c r="AM975" s="87"/>
      <c r="AN975" s="87"/>
    </row>
    <row r="976" ht="16.5" customHeight="1">
      <c r="A976" s="87"/>
      <c r="B976" s="87"/>
      <c r="C976" s="87"/>
      <c r="D976" s="87"/>
      <c r="E976" s="87"/>
      <c r="F976" s="79"/>
      <c r="G976" s="87"/>
      <c r="H976" s="92"/>
      <c r="I976" s="87"/>
      <c r="J976" s="87"/>
      <c r="K976" s="89"/>
      <c r="L976" s="87"/>
      <c r="M976" s="87"/>
      <c r="N976" s="87"/>
      <c r="O976" s="87"/>
      <c r="P976" s="87"/>
      <c r="Q976" s="87"/>
      <c r="R976" s="87"/>
      <c r="S976" s="87"/>
      <c r="T976" s="87"/>
      <c r="U976" s="87"/>
      <c r="V976" s="87"/>
      <c r="W976" s="87"/>
      <c r="X976" s="87"/>
      <c r="Y976" s="87"/>
      <c r="Z976" s="87"/>
      <c r="AA976" s="87"/>
      <c r="AB976" s="87"/>
      <c r="AC976" s="87"/>
      <c r="AD976" s="87"/>
      <c r="AE976" s="87"/>
      <c r="AF976" s="87"/>
      <c r="AG976" s="87"/>
      <c r="AH976" s="87"/>
      <c r="AI976" s="87"/>
      <c r="AJ976" s="87"/>
      <c r="AK976" s="87"/>
      <c r="AL976" s="87"/>
      <c r="AM976" s="87"/>
      <c r="AN976" s="87"/>
    </row>
    <row r="977" ht="16.5" customHeight="1">
      <c r="A977" s="87"/>
      <c r="B977" s="87"/>
      <c r="C977" s="87"/>
      <c r="D977" s="87"/>
      <c r="E977" s="87"/>
      <c r="F977" s="79"/>
      <c r="G977" s="87"/>
      <c r="H977" s="92"/>
      <c r="I977" s="87"/>
      <c r="J977" s="87"/>
      <c r="K977" s="89"/>
      <c r="L977" s="87"/>
      <c r="M977" s="87"/>
      <c r="N977" s="87"/>
      <c r="O977" s="87"/>
      <c r="P977" s="87"/>
      <c r="Q977" s="87"/>
      <c r="R977" s="87"/>
      <c r="S977" s="87"/>
      <c r="T977" s="87"/>
      <c r="U977" s="87"/>
      <c r="V977" s="87"/>
      <c r="W977" s="87"/>
      <c r="X977" s="87"/>
      <c r="Y977" s="87"/>
      <c r="Z977" s="87"/>
      <c r="AA977" s="87"/>
      <c r="AB977" s="87"/>
      <c r="AC977" s="87"/>
      <c r="AD977" s="87"/>
      <c r="AE977" s="87"/>
      <c r="AF977" s="87"/>
      <c r="AG977" s="87"/>
      <c r="AH977" s="87"/>
      <c r="AI977" s="87"/>
      <c r="AJ977" s="87"/>
      <c r="AK977" s="87"/>
      <c r="AL977" s="87"/>
      <c r="AM977" s="87"/>
      <c r="AN977" s="87"/>
    </row>
    <row r="978" ht="16.5" customHeight="1">
      <c r="A978" s="87"/>
      <c r="B978" s="87"/>
      <c r="C978" s="87"/>
      <c r="D978" s="87"/>
      <c r="E978" s="87"/>
      <c r="F978" s="79"/>
      <c r="G978" s="87"/>
      <c r="H978" s="92"/>
      <c r="I978" s="87"/>
      <c r="J978" s="87"/>
      <c r="K978" s="89"/>
      <c r="L978" s="87"/>
      <c r="M978" s="87"/>
      <c r="N978" s="87"/>
      <c r="O978" s="87"/>
      <c r="P978" s="87"/>
      <c r="Q978" s="87"/>
      <c r="R978" s="87"/>
      <c r="S978" s="87"/>
      <c r="T978" s="87"/>
      <c r="U978" s="87"/>
      <c r="V978" s="87"/>
      <c r="W978" s="87"/>
      <c r="X978" s="87"/>
      <c r="Y978" s="87"/>
      <c r="Z978" s="87"/>
      <c r="AA978" s="87"/>
      <c r="AB978" s="87"/>
      <c r="AC978" s="87"/>
      <c r="AD978" s="87"/>
      <c r="AE978" s="87"/>
      <c r="AF978" s="87"/>
      <c r="AG978" s="87"/>
      <c r="AH978" s="87"/>
      <c r="AI978" s="87"/>
      <c r="AJ978" s="87"/>
      <c r="AK978" s="87"/>
      <c r="AL978" s="87"/>
      <c r="AM978" s="87"/>
      <c r="AN978" s="87"/>
    </row>
    <row r="979" ht="16.5" customHeight="1">
      <c r="A979" s="87"/>
      <c r="B979" s="87"/>
      <c r="C979" s="87"/>
      <c r="D979" s="87"/>
      <c r="E979" s="87"/>
      <c r="F979" s="79"/>
      <c r="G979" s="87"/>
      <c r="H979" s="92"/>
      <c r="I979" s="87"/>
      <c r="J979" s="87"/>
      <c r="K979" s="89"/>
      <c r="L979" s="87"/>
      <c r="M979" s="87"/>
      <c r="N979" s="87"/>
      <c r="O979" s="87"/>
      <c r="P979" s="87"/>
      <c r="Q979" s="87"/>
      <c r="R979" s="87"/>
      <c r="S979" s="87"/>
      <c r="T979" s="87"/>
      <c r="U979" s="87"/>
      <c r="V979" s="87"/>
      <c r="W979" s="87"/>
      <c r="X979" s="87"/>
      <c r="Y979" s="87"/>
      <c r="Z979" s="87"/>
      <c r="AA979" s="87"/>
      <c r="AB979" s="87"/>
      <c r="AC979" s="87"/>
      <c r="AD979" s="87"/>
      <c r="AE979" s="87"/>
      <c r="AF979" s="87"/>
      <c r="AG979" s="87"/>
      <c r="AH979" s="87"/>
      <c r="AI979" s="87"/>
      <c r="AJ979" s="87"/>
      <c r="AK979" s="87"/>
      <c r="AL979" s="87"/>
      <c r="AM979" s="87"/>
      <c r="AN979" s="87"/>
    </row>
    <row r="980" ht="16.5" customHeight="1">
      <c r="A980" s="87"/>
      <c r="B980" s="87"/>
      <c r="C980" s="87"/>
      <c r="D980" s="87"/>
      <c r="E980" s="87"/>
      <c r="F980" s="79"/>
      <c r="G980" s="87"/>
      <c r="H980" s="92"/>
      <c r="I980" s="87"/>
      <c r="J980" s="87"/>
      <c r="K980" s="89"/>
      <c r="L980" s="87"/>
      <c r="M980" s="87"/>
      <c r="N980" s="87"/>
      <c r="O980" s="87"/>
      <c r="P980" s="87"/>
      <c r="Q980" s="87"/>
      <c r="R980" s="87"/>
      <c r="S980" s="87"/>
      <c r="T980" s="87"/>
      <c r="U980" s="87"/>
      <c r="V980" s="87"/>
      <c r="W980" s="87"/>
      <c r="X980" s="87"/>
      <c r="Y980" s="87"/>
      <c r="Z980" s="87"/>
      <c r="AA980" s="87"/>
      <c r="AB980" s="87"/>
      <c r="AC980" s="87"/>
      <c r="AD980" s="87"/>
      <c r="AE980" s="87"/>
      <c r="AF980" s="87"/>
      <c r="AG980" s="87"/>
      <c r="AH980" s="87"/>
      <c r="AI980" s="87"/>
      <c r="AJ980" s="87"/>
      <c r="AK980" s="87"/>
      <c r="AL980" s="87"/>
      <c r="AM980" s="87"/>
      <c r="AN980" s="87"/>
    </row>
    <row r="981" ht="16.5" customHeight="1">
      <c r="A981" s="87"/>
      <c r="B981" s="87"/>
      <c r="C981" s="87"/>
      <c r="D981" s="87"/>
      <c r="E981" s="87"/>
      <c r="F981" s="79"/>
      <c r="G981" s="87"/>
      <c r="H981" s="92"/>
      <c r="I981" s="87"/>
      <c r="J981" s="87"/>
      <c r="K981" s="89"/>
      <c r="L981" s="87"/>
      <c r="M981" s="87"/>
      <c r="N981" s="87"/>
      <c r="O981" s="87"/>
      <c r="P981" s="87"/>
      <c r="Q981" s="87"/>
      <c r="R981" s="87"/>
      <c r="S981" s="87"/>
      <c r="T981" s="87"/>
      <c r="U981" s="87"/>
      <c r="V981" s="87"/>
      <c r="W981" s="87"/>
      <c r="X981" s="87"/>
      <c r="Y981" s="87"/>
      <c r="Z981" s="87"/>
      <c r="AA981" s="87"/>
      <c r="AB981" s="87"/>
      <c r="AC981" s="87"/>
      <c r="AD981" s="87"/>
      <c r="AE981" s="87"/>
      <c r="AF981" s="87"/>
      <c r="AG981" s="87"/>
      <c r="AH981" s="87"/>
      <c r="AI981" s="87"/>
      <c r="AJ981" s="87"/>
      <c r="AK981" s="87"/>
      <c r="AL981" s="87"/>
      <c r="AM981" s="87"/>
      <c r="AN981" s="87"/>
    </row>
    <row r="982" ht="16.5" customHeight="1">
      <c r="A982" s="87"/>
      <c r="B982" s="87"/>
      <c r="C982" s="87"/>
      <c r="D982" s="87"/>
      <c r="E982" s="87"/>
      <c r="F982" s="79"/>
      <c r="G982" s="87"/>
      <c r="H982" s="92"/>
      <c r="I982" s="87"/>
      <c r="J982" s="87"/>
      <c r="K982" s="89"/>
      <c r="L982" s="87"/>
      <c r="M982" s="87"/>
      <c r="N982" s="87"/>
      <c r="O982" s="87"/>
      <c r="P982" s="87"/>
      <c r="Q982" s="87"/>
      <c r="R982" s="87"/>
      <c r="S982" s="87"/>
      <c r="T982" s="87"/>
      <c r="U982" s="87"/>
      <c r="V982" s="87"/>
      <c r="W982" s="87"/>
      <c r="X982" s="87"/>
      <c r="Y982" s="87"/>
      <c r="Z982" s="87"/>
      <c r="AA982" s="87"/>
      <c r="AB982" s="87"/>
      <c r="AC982" s="87"/>
      <c r="AD982" s="87"/>
      <c r="AE982" s="87"/>
      <c r="AF982" s="87"/>
      <c r="AG982" s="87"/>
      <c r="AH982" s="87"/>
      <c r="AI982" s="87"/>
      <c r="AJ982" s="87"/>
      <c r="AK982" s="87"/>
      <c r="AL982" s="87"/>
      <c r="AM982" s="87"/>
      <c r="AN982" s="87"/>
    </row>
    <row r="983" ht="16.5" customHeight="1">
      <c r="A983" s="87"/>
      <c r="B983" s="87"/>
      <c r="C983" s="87"/>
      <c r="D983" s="87"/>
      <c r="E983" s="87"/>
      <c r="F983" s="79"/>
      <c r="G983" s="87"/>
      <c r="H983" s="92"/>
      <c r="I983" s="87"/>
      <c r="J983" s="87"/>
      <c r="K983" s="89"/>
      <c r="L983" s="87"/>
      <c r="M983" s="87"/>
      <c r="N983" s="87"/>
      <c r="O983" s="87"/>
      <c r="P983" s="87"/>
      <c r="Q983" s="87"/>
      <c r="R983" s="87"/>
      <c r="S983" s="87"/>
      <c r="T983" s="87"/>
      <c r="U983" s="87"/>
      <c r="V983" s="87"/>
      <c r="W983" s="87"/>
      <c r="X983" s="87"/>
      <c r="Y983" s="87"/>
      <c r="Z983" s="87"/>
      <c r="AA983" s="87"/>
      <c r="AB983" s="87"/>
      <c r="AC983" s="87"/>
      <c r="AD983" s="87"/>
      <c r="AE983" s="87"/>
      <c r="AF983" s="87"/>
      <c r="AG983" s="87"/>
      <c r="AH983" s="87"/>
      <c r="AI983" s="87"/>
      <c r="AJ983" s="87"/>
      <c r="AK983" s="87"/>
      <c r="AL983" s="87"/>
      <c r="AM983" s="87"/>
      <c r="AN983" s="87"/>
    </row>
    <row r="984" ht="16.5" customHeight="1">
      <c r="A984" s="87"/>
      <c r="B984" s="87"/>
      <c r="C984" s="87"/>
      <c r="D984" s="87"/>
      <c r="E984" s="87"/>
      <c r="F984" s="79"/>
      <c r="G984" s="87"/>
      <c r="H984" s="92"/>
      <c r="I984" s="87"/>
      <c r="J984" s="87"/>
      <c r="K984" s="89"/>
      <c r="L984" s="87"/>
      <c r="M984" s="87"/>
      <c r="N984" s="87"/>
      <c r="O984" s="87"/>
      <c r="P984" s="87"/>
      <c r="Q984" s="87"/>
      <c r="R984" s="87"/>
      <c r="S984" s="87"/>
      <c r="T984" s="87"/>
      <c r="U984" s="87"/>
      <c r="V984" s="87"/>
      <c r="W984" s="87"/>
      <c r="X984" s="87"/>
      <c r="Y984" s="87"/>
      <c r="Z984" s="87"/>
      <c r="AA984" s="87"/>
      <c r="AB984" s="87"/>
      <c r="AC984" s="87"/>
      <c r="AD984" s="87"/>
      <c r="AE984" s="87"/>
      <c r="AF984" s="87"/>
      <c r="AG984" s="87"/>
      <c r="AH984" s="87"/>
      <c r="AI984" s="87"/>
      <c r="AJ984" s="87"/>
      <c r="AK984" s="87"/>
      <c r="AL984" s="87"/>
      <c r="AM984" s="87"/>
      <c r="AN984" s="87"/>
    </row>
    <row r="985" ht="16.5" customHeight="1">
      <c r="A985" s="87"/>
      <c r="B985" s="87"/>
      <c r="C985" s="87"/>
      <c r="D985" s="87"/>
      <c r="E985" s="87"/>
      <c r="F985" s="79"/>
      <c r="G985" s="87"/>
      <c r="H985" s="92"/>
      <c r="I985" s="87"/>
      <c r="J985" s="87"/>
      <c r="K985" s="89"/>
      <c r="L985" s="87"/>
      <c r="M985" s="87"/>
      <c r="N985" s="87"/>
      <c r="O985" s="87"/>
      <c r="P985" s="87"/>
      <c r="Q985" s="87"/>
      <c r="R985" s="87"/>
      <c r="S985" s="87"/>
      <c r="T985" s="87"/>
      <c r="U985" s="87"/>
      <c r="V985" s="87"/>
      <c r="W985" s="87"/>
      <c r="X985" s="87"/>
      <c r="Y985" s="87"/>
      <c r="Z985" s="87"/>
      <c r="AA985" s="87"/>
      <c r="AB985" s="87"/>
      <c r="AC985" s="87"/>
      <c r="AD985" s="87"/>
      <c r="AE985" s="87"/>
      <c r="AF985" s="87"/>
      <c r="AG985" s="87"/>
      <c r="AH985" s="87"/>
      <c r="AI985" s="87"/>
      <c r="AJ985" s="87"/>
      <c r="AK985" s="87"/>
      <c r="AL985" s="87"/>
      <c r="AM985" s="87"/>
      <c r="AN985" s="87"/>
    </row>
    <row r="986" ht="16.5" customHeight="1">
      <c r="A986" s="87"/>
      <c r="B986" s="87"/>
      <c r="C986" s="87"/>
      <c r="D986" s="87"/>
      <c r="E986" s="87"/>
      <c r="F986" s="79"/>
      <c r="G986" s="87"/>
      <c r="H986" s="92"/>
      <c r="I986" s="87"/>
      <c r="J986" s="87"/>
      <c r="K986" s="89"/>
      <c r="L986" s="87"/>
      <c r="M986" s="87"/>
      <c r="N986" s="87"/>
      <c r="O986" s="87"/>
      <c r="P986" s="87"/>
      <c r="Q986" s="87"/>
      <c r="R986" s="87"/>
      <c r="S986" s="87"/>
      <c r="T986" s="87"/>
      <c r="U986" s="87"/>
      <c r="V986" s="87"/>
      <c r="W986" s="87"/>
      <c r="X986" s="87"/>
      <c r="Y986" s="87"/>
      <c r="Z986" s="87"/>
      <c r="AA986" s="87"/>
      <c r="AB986" s="87"/>
      <c r="AC986" s="87"/>
      <c r="AD986" s="87"/>
      <c r="AE986" s="87"/>
      <c r="AF986" s="87"/>
      <c r="AG986" s="87"/>
      <c r="AH986" s="87"/>
      <c r="AI986" s="87"/>
      <c r="AJ986" s="87"/>
      <c r="AK986" s="87"/>
      <c r="AL986" s="87"/>
      <c r="AM986" s="87"/>
      <c r="AN986" s="87"/>
    </row>
    <row r="987" ht="16.5" customHeight="1">
      <c r="A987" s="87"/>
      <c r="B987" s="87"/>
      <c r="C987" s="87"/>
      <c r="D987" s="87"/>
      <c r="E987" s="87"/>
      <c r="F987" s="79"/>
      <c r="G987" s="87"/>
      <c r="H987" s="92"/>
      <c r="I987" s="87"/>
      <c r="J987" s="87"/>
      <c r="K987" s="89"/>
      <c r="L987" s="87"/>
      <c r="M987" s="87"/>
      <c r="N987" s="87"/>
      <c r="O987" s="87"/>
      <c r="P987" s="87"/>
      <c r="Q987" s="87"/>
      <c r="R987" s="87"/>
      <c r="S987" s="87"/>
      <c r="T987" s="87"/>
      <c r="U987" s="87"/>
      <c r="V987" s="87"/>
      <c r="W987" s="87"/>
      <c r="X987" s="87"/>
      <c r="Y987" s="87"/>
      <c r="Z987" s="87"/>
      <c r="AA987" s="87"/>
      <c r="AB987" s="87"/>
      <c r="AC987" s="87"/>
      <c r="AD987" s="87"/>
      <c r="AE987" s="87"/>
      <c r="AF987" s="87"/>
      <c r="AG987" s="87"/>
      <c r="AH987" s="87"/>
      <c r="AI987" s="87"/>
      <c r="AJ987" s="87"/>
      <c r="AK987" s="87"/>
      <c r="AL987" s="87"/>
      <c r="AM987" s="87"/>
      <c r="AN987" s="87"/>
    </row>
    <row r="988" ht="16.5" customHeight="1">
      <c r="A988" s="87"/>
      <c r="B988" s="87"/>
      <c r="C988" s="87"/>
      <c r="D988" s="87"/>
      <c r="E988" s="87"/>
      <c r="F988" s="79"/>
      <c r="G988" s="87"/>
      <c r="H988" s="92"/>
      <c r="I988" s="87"/>
      <c r="J988" s="87"/>
      <c r="K988" s="89"/>
      <c r="L988" s="87"/>
      <c r="M988" s="87"/>
      <c r="N988" s="87"/>
      <c r="O988" s="87"/>
      <c r="P988" s="87"/>
      <c r="Q988" s="87"/>
      <c r="R988" s="87"/>
      <c r="S988" s="87"/>
      <c r="T988" s="87"/>
      <c r="U988" s="87"/>
      <c r="V988" s="87"/>
      <c r="W988" s="87"/>
      <c r="X988" s="87"/>
      <c r="Y988" s="87"/>
      <c r="Z988" s="87"/>
      <c r="AA988" s="87"/>
      <c r="AB988" s="87"/>
      <c r="AC988" s="87"/>
      <c r="AD988" s="87"/>
      <c r="AE988" s="87"/>
      <c r="AF988" s="87"/>
      <c r="AG988" s="87"/>
      <c r="AH988" s="87"/>
      <c r="AI988" s="87"/>
      <c r="AJ988" s="87"/>
      <c r="AK988" s="87"/>
      <c r="AL988" s="87"/>
      <c r="AM988" s="87"/>
      <c r="AN988" s="87"/>
    </row>
    <row r="989" ht="16.5" customHeight="1">
      <c r="A989" s="87"/>
      <c r="B989" s="87"/>
      <c r="C989" s="87"/>
      <c r="D989" s="87"/>
      <c r="E989" s="87"/>
      <c r="F989" s="79"/>
      <c r="G989" s="87"/>
      <c r="H989" s="92"/>
      <c r="I989" s="87"/>
      <c r="J989" s="87"/>
      <c r="K989" s="89"/>
      <c r="L989" s="87"/>
      <c r="M989" s="87"/>
      <c r="N989" s="87"/>
      <c r="O989" s="87"/>
      <c r="P989" s="87"/>
      <c r="Q989" s="87"/>
      <c r="R989" s="87"/>
      <c r="S989" s="87"/>
      <c r="T989" s="87"/>
      <c r="U989" s="87"/>
      <c r="V989" s="87"/>
      <c r="W989" s="87"/>
      <c r="X989" s="87"/>
      <c r="Y989" s="87"/>
      <c r="Z989" s="87"/>
      <c r="AA989" s="87"/>
      <c r="AB989" s="87"/>
      <c r="AC989" s="87"/>
      <c r="AD989" s="87"/>
      <c r="AE989" s="87"/>
      <c r="AF989" s="87"/>
      <c r="AG989" s="87"/>
      <c r="AH989" s="87"/>
      <c r="AI989" s="87"/>
      <c r="AJ989" s="87"/>
      <c r="AK989" s="87"/>
      <c r="AL989" s="87"/>
      <c r="AM989" s="87"/>
      <c r="AN989" s="87"/>
    </row>
    <row r="990" ht="16.5" customHeight="1">
      <c r="A990" s="87"/>
      <c r="B990" s="87"/>
      <c r="C990" s="87"/>
      <c r="D990" s="87"/>
      <c r="E990" s="87"/>
      <c r="F990" s="79"/>
      <c r="G990" s="87"/>
      <c r="H990" s="92"/>
      <c r="I990" s="87"/>
      <c r="J990" s="87"/>
      <c r="K990" s="89"/>
      <c r="L990" s="87"/>
      <c r="M990" s="87"/>
      <c r="N990" s="87"/>
      <c r="O990" s="87"/>
      <c r="P990" s="87"/>
      <c r="Q990" s="87"/>
      <c r="R990" s="87"/>
      <c r="S990" s="87"/>
      <c r="T990" s="87"/>
      <c r="U990" s="87"/>
      <c r="V990" s="87"/>
      <c r="W990" s="87"/>
      <c r="X990" s="87"/>
      <c r="Y990" s="87"/>
      <c r="Z990" s="87"/>
      <c r="AA990" s="87"/>
      <c r="AB990" s="87"/>
      <c r="AC990" s="87"/>
      <c r="AD990" s="87"/>
      <c r="AE990" s="87"/>
      <c r="AF990" s="87"/>
      <c r="AG990" s="87"/>
      <c r="AH990" s="87"/>
      <c r="AI990" s="87"/>
      <c r="AJ990" s="87"/>
      <c r="AK990" s="87"/>
      <c r="AL990" s="87"/>
      <c r="AM990" s="87"/>
      <c r="AN990" s="87"/>
    </row>
    <row r="991" ht="16.5" customHeight="1">
      <c r="A991" s="87"/>
      <c r="B991" s="87"/>
      <c r="C991" s="87"/>
      <c r="D991" s="87"/>
      <c r="E991" s="87"/>
      <c r="F991" s="79"/>
      <c r="G991" s="87"/>
      <c r="H991" s="92"/>
      <c r="I991" s="87"/>
      <c r="J991" s="87"/>
      <c r="K991" s="89"/>
      <c r="L991" s="87"/>
      <c r="M991" s="87"/>
      <c r="N991" s="87"/>
      <c r="O991" s="87"/>
      <c r="P991" s="87"/>
      <c r="Q991" s="87"/>
      <c r="R991" s="87"/>
      <c r="S991" s="87"/>
      <c r="T991" s="87"/>
      <c r="U991" s="87"/>
      <c r="V991" s="87"/>
      <c r="W991" s="87"/>
      <c r="X991" s="87"/>
      <c r="Y991" s="87"/>
      <c r="Z991" s="87"/>
      <c r="AA991" s="87"/>
      <c r="AB991" s="87"/>
      <c r="AC991" s="87"/>
      <c r="AD991" s="87"/>
      <c r="AE991" s="87"/>
      <c r="AF991" s="87"/>
      <c r="AG991" s="87"/>
      <c r="AH991" s="87"/>
      <c r="AI991" s="87"/>
      <c r="AJ991" s="87"/>
      <c r="AK991" s="87"/>
      <c r="AL991" s="87"/>
      <c r="AM991" s="87"/>
      <c r="AN991" s="87"/>
    </row>
    <row r="992" ht="16.5" customHeight="1">
      <c r="A992" s="87"/>
      <c r="B992" s="87"/>
      <c r="C992" s="87"/>
      <c r="D992" s="87"/>
      <c r="E992" s="87"/>
      <c r="F992" s="79"/>
      <c r="G992" s="87"/>
      <c r="H992" s="92"/>
      <c r="I992" s="87"/>
      <c r="J992" s="87"/>
      <c r="K992" s="89"/>
      <c r="L992" s="87"/>
      <c r="M992" s="87"/>
      <c r="N992" s="87"/>
      <c r="O992" s="87"/>
      <c r="P992" s="87"/>
      <c r="Q992" s="87"/>
      <c r="R992" s="87"/>
      <c r="S992" s="87"/>
      <c r="T992" s="87"/>
      <c r="U992" s="87"/>
      <c r="V992" s="87"/>
      <c r="W992" s="87"/>
      <c r="X992" s="87"/>
      <c r="Y992" s="87"/>
      <c r="Z992" s="87"/>
      <c r="AA992" s="87"/>
      <c r="AB992" s="87"/>
      <c r="AC992" s="87"/>
      <c r="AD992" s="87"/>
      <c r="AE992" s="87"/>
      <c r="AF992" s="87"/>
      <c r="AG992" s="87"/>
      <c r="AH992" s="87"/>
      <c r="AI992" s="87"/>
      <c r="AJ992" s="87"/>
      <c r="AK992" s="87"/>
      <c r="AL992" s="87"/>
      <c r="AM992" s="87"/>
      <c r="AN992" s="87"/>
    </row>
    <row r="993" ht="16.5" customHeight="1">
      <c r="A993" s="87"/>
      <c r="B993" s="87"/>
      <c r="C993" s="87"/>
      <c r="D993" s="87"/>
      <c r="E993" s="87"/>
      <c r="F993" s="79"/>
      <c r="G993" s="87"/>
      <c r="H993" s="92"/>
      <c r="I993" s="87"/>
      <c r="J993" s="87"/>
      <c r="K993" s="89"/>
      <c r="L993" s="87"/>
      <c r="M993" s="87"/>
      <c r="N993" s="87"/>
      <c r="O993" s="87"/>
      <c r="P993" s="87"/>
      <c r="Q993" s="87"/>
      <c r="R993" s="87"/>
      <c r="S993" s="87"/>
      <c r="T993" s="87"/>
      <c r="U993" s="87"/>
      <c r="V993" s="87"/>
      <c r="W993" s="87"/>
      <c r="X993" s="87"/>
      <c r="Y993" s="87"/>
      <c r="Z993" s="87"/>
      <c r="AA993" s="87"/>
      <c r="AB993" s="87"/>
      <c r="AC993" s="87"/>
      <c r="AD993" s="87"/>
      <c r="AE993" s="87"/>
      <c r="AF993" s="87"/>
      <c r="AG993" s="87"/>
      <c r="AH993" s="87"/>
      <c r="AI993" s="87"/>
      <c r="AJ993" s="87"/>
      <c r="AK993" s="87"/>
      <c r="AL993" s="87"/>
      <c r="AM993" s="87"/>
      <c r="AN993" s="87"/>
    </row>
    <row r="994" ht="16.5" customHeight="1">
      <c r="A994" s="87"/>
      <c r="B994" s="87"/>
      <c r="C994" s="87"/>
      <c r="D994" s="87"/>
      <c r="E994" s="87"/>
      <c r="F994" s="79"/>
      <c r="G994" s="87"/>
      <c r="H994" s="92"/>
      <c r="I994" s="87"/>
      <c r="J994" s="87"/>
      <c r="K994" s="89"/>
      <c r="L994" s="87"/>
      <c r="M994" s="87"/>
      <c r="N994" s="87"/>
      <c r="O994" s="87"/>
      <c r="P994" s="87"/>
      <c r="Q994" s="87"/>
      <c r="R994" s="87"/>
      <c r="S994" s="87"/>
      <c r="T994" s="87"/>
      <c r="U994" s="87"/>
      <c r="V994" s="87"/>
      <c r="W994" s="87"/>
      <c r="X994" s="87"/>
      <c r="Y994" s="87"/>
      <c r="Z994" s="87"/>
      <c r="AA994" s="87"/>
      <c r="AB994" s="87"/>
      <c r="AC994" s="87"/>
      <c r="AD994" s="87"/>
      <c r="AE994" s="87"/>
      <c r="AF994" s="87"/>
      <c r="AG994" s="87"/>
      <c r="AH994" s="87"/>
      <c r="AI994" s="87"/>
      <c r="AJ994" s="87"/>
      <c r="AK994" s="87"/>
      <c r="AL994" s="87"/>
      <c r="AM994" s="87"/>
      <c r="AN994" s="87"/>
    </row>
    <row r="995" ht="16.5" customHeight="1">
      <c r="A995" s="87"/>
      <c r="B995" s="87"/>
      <c r="C995" s="87"/>
      <c r="D995" s="87"/>
      <c r="E995" s="87"/>
      <c r="F995" s="79"/>
      <c r="G995" s="87"/>
      <c r="H995" s="92"/>
      <c r="I995" s="87"/>
      <c r="J995" s="87"/>
      <c r="K995" s="89"/>
      <c r="L995" s="87"/>
      <c r="M995" s="87"/>
      <c r="N995" s="87"/>
      <c r="O995" s="87"/>
      <c r="P995" s="87"/>
      <c r="Q995" s="87"/>
      <c r="R995" s="87"/>
      <c r="S995" s="87"/>
      <c r="T995" s="87"/>
      <c r="U995" s="87"/>
      <c r="V995" s="87"/>
      <c r="W995" s="87"/>
      <c r="X995" s="87"/>
      <c r="Y995" s="87"/>
      <c r="Z995" s="87"/>
      <c r="AA995" s="87"/>
      <c r="AB995" s="87"/>
      <c r="AC995" s="87"/>
      <c r="AD995" s="87"/>
      <c r="AE995" s="87"/>
      <c r="AF995" s="87"/>
      <c r="AG995" s="87"/>
      <c r="AH995" s="87"/>
      <c r="AI995" s="87"/>
      <c r="AJ995" s="87"/>
      <c r="AK995" s="87"/>
      <c r="AL995" s="87"/>
      <c r="AM995" s="87"/>
      <c r="AN995" s="87"/>
    </row>
    <row r="996" ht="16.5" customHeight="1">
      <c r="A996" s="87"/>
      <c r="B996" s="87"/>
      <c r="C996" s="87"/>
      <c r="D996" s="87"/>
      <c r="E996" s="87"/>
      <c r="F996" s="79"/>
      <c r="G996" s="87"/>
      <c r="H996" s="92"/>
      <c r="I996" s="87"/>
      <c r="J996" s="87"/>
      <c r="K996" s="89"/>
      <c r="L996" s="87"/>
      <c r="M996" s="87"/>
      <c r="N996" s="87"/>
      <c r="O996" s="87"/>
      <c r="P996" s="87"/>
      <c r="Q996" s="87"/>
      <c r="R996" s="87"/>
      <c r="S996" s="87"/>
      <c r="T996" s="87"/>
      <c r="U996" s="87"/>
      <c r="V996" s="87"/>
      <c r="W996" s="87"/>
      <c r="X996" s="87"/>
      <c r="Y996" s="87"/>
      <c r="Z996" s="87"/>
      <c r="AA996" s="87"/>
      <c r="AB996" s="87"/>
      <c r="AC996" s="87"/>
      <c r="AD996" s="87"/>
      <c r="AE996" s="87"/>
      <c r="AF996" s="87"/>
      <c r="AG996" s="87"/>
      <c r="AH996" s="87"/>
      <c r="AI996" s="87"/>
      <c r="AJ996" s="87"/>
      <c r="AK996" s="87"/>
      <c r="AL996" s="87"/>
      <c r="AM996" s="87"/>
      <c r="AN996" s="87"/>
    </row>
    <row r="997" ht="16.5" customHeight="1">
      <c r="A997" s="87"/>
      <c r="B997" s="87"/>
      <c r="C997" s="87"/>
      <c r="D997" s="87"/>
      <c r="E997" s="87"/>
      <c r="F997" s="79"/>
      <c r="G997" s="87"/>
      <c r="H997" s="92"/>
      <c r="I997" s="87"/>
      <c r="J997" s="87"/>
      <c r="K997" s="89"/>
      <c r="L997" s="87"/>
      <c r="M997" s="87"/>
      <c r="N997" s="87"/>
      <c r="O997" s="87"/>
      <c r="P997" s="87"/>
      <c r="Q997" s="87"/>
      <c r="R997" s="87"/>
      <c r="S997" s="87"/>
      <c r="T997" s="87"/>
      <c r="U997" s="87"/>
      <c r="V997" s="87"/>
      <c r="W997" s="87"/>
      <c r="X997" s="87"/>
      <c r="Y997" s="87"/>
      <c r="Z997" s="87"/>
      <c r="AA997" s="87"/>
      <c r="AB997" s="87"/>
      <c r="AC997" s="87"/>
      <c r="AD997" s="87"/>
      <c r="AE997" s="87"/>
      <c r="AF997" s="87"/>
      <c r="AG997" s="87"/>
      <c r="AH997" s="87"/>
      <c r="AI997" s="87"/>
      <c r="AJ997" s="87"/>
      <c r="AK997" s="87"/>
      <c r="AL997" s="87"/>
      <c r="AM997" s="87"/>
      <c r="AN997" s="87"/>
    </row>
    <row r="998" ht="16.5" customHeight="1">
      <c r="A998" s="87"/>
      <c r="B998" s="87"/>
      <c r="C998" s="87"/>
      <c r="D998" s="87"/>
      <c r="E998" s="87"/>
      <c r="F998" s="79"/>
      <c r="G998" s="87"/>
      <c r="H998" s="92"/>
      <c r="I998" s="87"/>
      <c r="J998" s="87"/>
      <c r="K998" s="89"/>
      <c r="L998" s="87"/>
      <c r="M998" s="87"/>
      <c r="N998" s="87"/>
      <c r="O998" s="87"/>
      <c r="P998" s="87"/>
      <c r="Q998" s="87"/>
      <c r="R998" s="87"/>
      <c r="S998" s="87"/>
      <c r="T998" s="87"/>
      <c r="U998" s="87"/>
      <c r="V998" s="87"/>
      <c r="W998" s="87"/>
      <c r="X998" s="87"/>
      <c r="Y998" s="87"/>
      <c r="Z998" s="87"/>
      <c r="AA998" s="87"/>
      <c r="AB998" s="87"/>
      <c r="AC998" s="87"/>
      <c r="AD998" s="87"/>
      <c r="AE998" s="87"/>
      <c r="AF998" s="87"/>
      <c r="AG998" s="87"/>
      <c r="AH998" s="87"/>
      <c r="AI998" s="87"/>
      <c r="AJ998" s="87"/>
      <c r="AK998" s="87"/>
      <c r="AL998" s="87"/>
      <c r="AM998" s="87"/>
      <c r="AN998" s="87"/>
    </row>
    <row r="999" ht="16.5" customHeight="1">
      <c r="A999" s="87"/>
      <c r="B999" s="87"/>
      <c r="C999" s="87"/>
      <c r="D999" s="87"/>
      <c r="E999" s="87"/>
      <c r="F999" s="79"/>
      <c r="G999" s="87"/>
      <c r="H999" s="92"/>
      <c r="I999" s="87"/>
      <c r="J999" s="87"/>
      <c r="K999" s="89"/>
      <c r="L999" s="87"/>
      <c r="M999" s="87"/>
      <c r="N999" s="87"/>
      <c r="O999" s="87"/>
      <c r="P999" s="87"/>
      <c r="Q999" s="87"/>
      <c r="R999" s="87"/>
      <c r="S999" s="87"/>
      <c r="T999" s="87"/>
      <c r="U999" s="87"/>
      <c r="V999" s="87"/>
      <c r="W999" s="87"/>
      <c r="X999" s="87"/>
      <c r="Y999" s="87"/>
      <c r="Z999" s="87"/>
      <c r="AA999" s="87"/>
      <c r="AB999" s="87"/>
      <c r="AC999" s="87"/>
      <c r="AD999" s="87"/>
      <c r="AE999" s="87"/>
      <c r="AF999" s="87"/>
      <c r="AG999" s="87"/>
      <c r="AH999" s="87"/>
      <c r="AI999" s="87"/>
      <c r="AJ999" s="87"/>
      <c r="AK999" s="87"/>
      <c r="AL999" s="87"/>
      <c r="AM999" s="87"/>
      <c r="AN999" s="87"/>
    </row>
    <row r="1000" ht="16.5" customHeight="1">
      <c r="A1000" s="87"/>
      <c r="B1000" s="87"/>
      <c r="C1000" s="87"/>
      <c r="D1000" s="87"/>
      <c r="E1000" s="87"/>
      <c r="F1000" s="79"/>
      <c r="G1000" s="87"/>
      <c r="H1000" s="92"/>
      <c r="I1000" s="87"/>
      <c r="J1000" s="87"/>
      <c r="K1000" s="89"/>
      <c r="L1000" s="87"/>
      <c r="M1000" s="87"/>
      <c r="N1000" s="87"/>
      <c r="O1000" s="87"/>
      <c r="P1000" s="87"/>
      <c r="Q1000" s="87"/>
      <c r="R1000" s="87"/>
      <c r="S1000" s="87"/>
      <c r="T1000" s="87"/>
      <c r="U1000" s="87"/>
      <c r="V1000" s="87"/>
      <c r="W1000" s="87"/>
      <c r="X1000" s="87"/>
      <c r="Y1000" s="87"/>
      <c r="Z1000" s="87"/>
      <c r="AA1000" s="87"/>
      <c r="AB1000" s="87"/>
      <c r="AC1000" s="87"/>
      <c r="AD1000" s="87"/>
      <c r="AE1000" s="87"/>
      <c r="AF1000" s="87"/>
      <c r="AG1000" s="87"/>
      <c r="AH1000" s="87"/>
      <c r="AI1000" s="87"/>
      <c r="AJ1000" s="87"/>
      <c r="AK1000" s="87"/>
      <c r="AL1000" s="87"/>
      <c r="AM1000" s="87"/>
      <c r="AN1000" s="87"/>
    </row>
  </sheetData>
  <hyperlinks>
    <hyperlink r:id="rId2" ref="M2"/>
    <hyperlink r:id="rId3" ref="M3"/>
    <hyperlink r:id="rId4" ref="M4"/>
    <hyperlink r:id="rId5" ref="M5"/>
    <hyperlink r:id="rId6" ref="M6"/>
    <hyperlink r:id="rId7" ref="M7"/>
    <hyperlink r:id="rId8" ref="M8"/>
    <hyperlink r:id="rId9" ref="M9"/>
    <hyperlink r:id="rId10" ref="M10"/>
    <hyperlink r:id="rId11" ref="M11"/>
    <hyperlink r:id="rId12" ref="I12"/>
    <hyperlink r:id="rId13" ref="M12"/>
    <hyperlink r:id="rId14" ref="I13"/>
    <hyperlink r:id="rId15" ref="M13"/>
    <hyperlink r:id="rId16" ref="M14"/>
    <hyperlink r:id="rId17" ref="M15"/>
    <hyperlink r:id="rId18" ref="M16"/>
    <hyperlink r:id="rId19" ref="M17"/>
    <hyperlink r:id="rId20" ref="M18"/>
    <hyperlink r:id="rId21" ref="M19"/>
    <hyperlink r:id="rId22" ref="M20"/>
    <hyperlink r:id="rId23" ref="M21"/>
    <hyperlink r:id="rId24" ref="M22"/>
    <hyperlink r:id="rId25" location="!Dose-of-Decision-Science-Loss-Aversion/c13v2/0AACC220-63E1-47F3-B872-BF714A08DB29" ref="M23"/>
    <hyperlink r:id="rId26" ref="M24"/>
    <hyperlink r:id="rId27" ref="M25"/>
    <hyperlink r:id="rId28" ref="M26"/>
    <hyperlink r:id="rId29" ref="M27"/>
    <hyperlink r:id="rId30" ref="M28"/>
    <hyperlink r:id="rId31" ref="M29"/>
    <hyperlink r:id="rId32" ref="M31"/>
    <hyperlink r:id="rId33" ref="M32"/>
    <hyperlink r:id="rId34" ref="M33"/>
    <hyperlink r:id="rId35" ref="M34"/>
    <hyperlink r:id="rId36" ref="M35"/>
    <hyperlink r:id="rId37" ref="M36"/>
    <hyperlink r:id="rId38" ref="M37"/>
    <hyperlink r:id="rId39" ref="I38"/>
    <hyperlink r:id="rId40" ref="K38"/>
    <hyperlink r:id="rId41" ref="M38"/>
    <hyperlink r:id="rId42" ref="M39"/>
    <hyperlink r:id="rId43" ref="M40"/>
    <hyperlink r:id="rId44" ref="M41"/>
    <hyperlink r:id="rId45" ref="M42"/>
    <hyperlink r:id="rId46" ref="M43"/>
    <hyperlink r:id="rId47" ref="M44"/>
    <hyperlink r:id="rId48" ref="M45"/>
    <hyperlink r:id="rId49" ref="M46"/>
    <hyperlink r:id="rId50" location="!Moral-licensing-and-the-environment---following-good-behavior-with-bad/c13v2/FCAFCC20-7015-409E-A5FA-65D1694562C9" ref="M47"/>
    <hyperlink r:id="rId51" ref="M48"/>
    <hyperlink r:id="rId52" ref="M49"/>
    <hyperlink r:id="rId53" ref="M50"/>
    <hyperlink r:id="rId54" ref="M51"/>
    <hyperlink r:id="rId55" ref="M52"/>
    <hyperlink r:id="rId56" ref="M53"/>
    <hyperlink r:id="rId57" ref="M54"/>
    <hyperlink r:id="rId58" ref="M55"/>
    <hyperlink r:id="rId59" ref="M56"/>
    <hyperlink r:id="rId60" ref="M57"/>
    <hyperlink r:id="rId61" ref="U57"/>
    <hyperlink r:id="rId62" location=".U-0fuUhRGnN" ref="M58"/>
    <hyperlink r:id="rId63" ref="M59"/>
    <hyperlink r:id="rId64" ref="M60"/>
    <hyperlink r:id="rId65" ref="M61"/>
    <hyperlink r:id="rId66" ref="M62"/>
    <hyperlink r:id="rId67" ref="M63"/>
    <hyperlink r:id="rId68" ref="M64"/>
    <hyperlink r:id="rId69" ref="M65"/>
    <hyperlink r:id="rId70" ref="M66"/>
    <hyperlink r:id="rId71" ref="M67"/>
    <hyperlink r:id="rId72" ref="M68"/>
    <hyperlink r:id="rId73" ref="I69"/>
    <hyperlink r:id="rId74" ref="M69"/>
    <hyperlink r:id="rId75" ref="M70"/>
    <hyperlink r:id="rId76" ref="M71"/>
    <hyperlink r:id="rId77" ref="M72"/>
    <hyperlink r:id="rId78" ref="M73"/>
    <hyperlink r:id="rId79" ref="M74"/>
    <hyperlink r:id="rId80" ref="M75"/>
    <hyperlink r:id="rId81" ref="M76"/>
    <hyperlink r:id="rId82" ref="M77"/>
    <hyperlink r:id="rId83" ref="M78"/>
    <hyperlink r:id="rId84" ref="M79"/>
    <hyperlink r:id="rId85" location="!Getting-to-the-Root-of-Environmental-Problems/c13v2/DDACB3AD-2652-41DC-8B63-A10668CBFF9B" ref="M80"/>
    <hyperlink r:id="rId86" ref="M81"/>
    <hyperlink r:id="rId87" ref="M83"/>
    <hyperlink r:id="rId88" ref="M84"/>
    <hyperlink r:id="rId89" ref="M85"/>
    <hyperlink r:id="rId90" ref="M86"/>
    <hyperlink r:id="rId91" ref="M88"/>
    <hyperlink r:id="rId92" ref="M89"/>
    <hyperlink r:id="rId93" ref="M90"/>
    <hyperlink r:id="rId94" ref="M91"/>
    <hyperlink r:id="rId95" ref="M92"/>
    <hyperlink r:id="rId96" ref="M93"/>
    <hyperlink r:id="rId97" location="!Cognitive-Dissonance-in-Conservation/c13v2/CCC081DB-5A89-4D29-B0AD-E82FA284D2AC" ref="M94"/>
    <hyperlink r:id="rId98" ref="M95"/>
    <hyperlink r:id="rId99" ref="M99"/>
    <hyperlink r:id="rId100" ref="M100"/>
    <hyperlink r:id="rId101" ref="M101"/>
    <hyperlink r:id="rId102" ref="M103"/>
    <hyperlink r:id="rId103" ref="M106"/>
    <hyperlink r:id="rId104" ref="M107"/>
    <hyperlink r:id="rId105" ref="M108"/>
    <hyperlink r:id="rId106" ref="M109"/>
    <hyperlink r:id="rId107" ref="M111"/>
    <hyperlink r:id="rId108" ref="M112"/>
    <hyperlink r:id="rId109" ref="M114"/>
    <hyperlink r:id="rId110" ref="M115"/>
    <hyperlink r:id="rId111" location="!Social-Norms-Nudging-Towards-Green-Behavior/c13v2/551aff3f0cf215f35a2e0bc5" ref="M116"/>
    <hyperlink r:id="rId112" location="!Dose-of-Decision-Science-Social-Norms/c13v2/DBCA25FF-67A9-483B-8437-BB819212F918" ref="M117"/>
    <hyperlink r:id="rId113" ref="M118"/>
    <hyperlink r:id="rId114" ref="M119"/>
    <hyperlink r:id="rId115" ref="M120"/>
    <hyperlink r:id="rId116" ref="M121"/>
    <hyperlink r:id="rId117" ref="M122"/>
    <hyperlink r:id="rId118" location="!Dose-of-Decision-Science-Hyperbolic-Discounting/c13v2/859B6E0A-5AE8-495D-B67B-D1DAB609037C" ref="M123"/>
    <hyperlink r:id="rId119" ref="M124"/>
    <hyperlink r:id="rId120" ref="M125"/>
    <hyperlink r:id="rId121" ref="M126"/>
    <hyperlink r:id="rId122" ref="M127"/>
    <hyperlink r:id="rId123" ref="M128"/>
    <hyperlink r:id="rId124" ref="M129"/>
    <hyperlink r:id="rId125" ref="M130"/>
    <hyperlink r:id="rId126" ref="M131"/>
    <hyperlink r:id="rId127" ref="M132"/>
    <hyperlink r:id="rId128" ref="M133"/>
    <hyperlink r:id="rId129" ref="M134"/>
    <hyperlink r:id="rId130" ref="M135"/>
    <hyperlink r:id="rId131" ref="M136"/>
    <hyperlink r:id="rId132" ref="M137"/>
    <hyperlink r:id="rId133" ref="M138"/>
    <hyperlink r:id="rId134" ref="M139"/>
    <hyperlink r:id="rId135" ref="M140"/>
    <hyperlink r:id="rId136" ref="M141"/>
    <hyperlink r:id="rId137" ref="M143"/>
    <hyperlink r:id="rId138" ref="M144"/>
    <hyperlink r:id="rId139" ref="M145"/>
    <hyperlink r:id="rId140" ref="M146"/>
    <hyperlink r:id="rId141" ref="M147"/>
    <hyperlink r:id="rId142" ref="M148"/>
    <hyperlink r:id="rId143" ref="M149"/>
    <hyperlink r:id="rId144" ref="M150"/>
  </hyperlinks>
  <drawing r:id="rId145"/>
  <legacyDrawing r:id="rId14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3.44" defaultRowHeight="15.0"/>
  <cols>
    <col customWidth="1" min="1" max="36" width="6.11"/>
  </cols>
  <sheetData>
    <row r="1" ht="123.75" customHeight="1">
      <c r="A1" s="120" t="s">
        <v>1212</v>
      </c>
      <c r="B1" s="121" t="s">
        <v>1213</v>
      </c>
      <c r="C1" s="121" t="s">
        <v>1214</v>
      </c>
      <c r="D1" s="121" t="s">
        <v>6</v>
      </c>
      <c r="E1" s="121" t="s">
        <v>8</v>
      </c>
      <c r="F1" s="122"/>
      <c r="G1" s="121" t="s">
        <v>9</v>
      </c>
      <c r="H1" s="121" t="s">
        <v>1217</v>
      </c>
      <c r="I1" s="122"/>
      <c r="J1" s="120" t="s">
        <v>1218</v>
      </c>
      <c r="K1" s="121" t="s">
        <v>15</v>
      </c>
      <c r="L1" s="122"/>
      <c r="M1" s="121" t="s">
        <v>1219</v>
      </c>
      <c r="N1" s="121" t="s">
        <v>21</v>
      </c>
      <c r="O1" s="121" t="s">
        <v>3801</v>
      </c>
      <c r="P1" s="121" t="s">
        <v>3802</v>
      </c>
      <c r="Q1" s="121" t="s">
        <v>3803</v>
      </c>
      <c r="R1" s="120" t="s">
        <v>24</v>
      </c>
      <c r="S1" s="120" t="s">
        <v>67</v>
      </c>
      <c r="T1" s="120" t="s">
        <v>71</v>
      </c>
      <c r="U1" s="120" t="s">
        <v>72</v>
      </c>
      <c r="V1" s="120" t="s">
        <v>73</v>
      </c>
      <c r="W1" s="120" t="s">
        <v>74</v>
      </c>
      <c r="X1" s="120" t="s">
        <v>3804</v>
      </c>
      <c r="Y1" s="120" t="s">
        <v>3805</v>
      </c>
      <c r="Z1" s="120" t="s">
        <v>77</v>
      </c>
      <c r="AA1" s="120" t="s">
        <v>78</v>
      </c>
      <c r="AB1" s="120" t="s">
        <v>3807</v>
      </c>
      <c r="AC1" s="120" t="s">
        <v>3808</v>
      </c>
      <c r="AD1" s="120" t="s">
        <v>3809</v>
      </c>
      <c r="AE1" s="120" t="s">
        <v>83</v>
      </c>
      <c r="AF1" s="120" t="s">
        <v>84</v>
      </c>
      <c r="AG1" s="120" t="s">
        <v>85</v>
      </c>
      <c r="AH1" s="120" t="s">
        <v>86</v>
      </c>
      <c r="AI1" s="120" t="s">
        <v>87</v>
      </c>
      <c r="AJ1" s="120" t="s">
        <v>90</v>
      </c>
    </row>
    <row r="2" ht="15.75" customHeight="1">
      <c r="A2" s="123">
        <v>1.0</v>
      </c>
      <c r="B2" s="124" t="s">
        <v>1230</v>
      </c>
      <c r="C2" s="124" t="s">
        <v>106</v>
      </c>
      <c r="D2" s="124" t="s">
        <v>64</v>
      </c>
      <c r="E2" s="124" t="s">
        <v>2805</v>
      </c>
      <c r="F2" s="125" t="s">
        <v>2806</v>
      </c>
      <c r="G2" s="124" t="s">
        <v>2807</v>
      </c>
      <c r="H2" s="124" t="s">
        <v>644</v>
      </c>
      <c r="I2" s="125">
        <v>2000.0</v>
      </c>
      <c r="J2" s="123"/>
      <c r="K2" s="124" t="s">
        <v>289</v>
      </c>
      <c r="L2" s="125">
        <v>40.0</v>
      </c>
      <c r="M2" s="124" t="s">
        <v>2809</v>
      </c>
      <c r="N2" s="124" t="s">
        <v>2810</v>
      </c>
      <c r="O2" s="124" t="s">
        <v>2811</v>
      </c>
      <c r="P2" s="126">
        <v>2014.0</v>
      </c>
      <c r="Q2" s="124" t="s">
        <v>2813</v>
      </c>
      <c r="R2" s="127" t="str">
        <f>HYPERLINK("http://ecoamerica.org/wp-content/uploads/2014/03/eA_2012_CampaignsII_Report.pdf","http://ecoamerica.org/wp-content/uploads/2014/03/eA_2012_CampaignsII_Report.pdf")</f>
        <v>http://ecoamerica.org/wp-content/uploads/2014/03/eA_2012_CampaignsII_Report.pdf</v>
      </c>
      <c r="S2" s="123"/>
      <c r="T2" s="123"/>
      <c r="U2" s="123"/>
      <c r="V2" s="123"/>
      <c r="W2" s="123"/>
      <c r="X2" s="123"/>
      <c r="Y2" s="123"/>
      <c r="Z2" s="123"/>
      <c r="AA2" s="123"/>
      <c r="AB2" s="123"/>
      <c r="AC2" s="123"/>
      <c r="AD2" s="123"/>
      <c r="AE2" s="123"/>
      <c r="AF2" s="123"/>
      <c r="AG2" s="123"/>
      <c r="AH2" s="123"/>
      <c r="AI2" s="123"/>
      <c r="AJ2" s="123"/>
    </row>
    <row r="3" ht="15.75" customHeight="1">
      <c r="A3" s="123">
        <v>2.0</v>
      </c>
      <c r="B3" s="124" t="s">
        <v>1230</v>
      </c>
      <c r="C3" s="124" t="s">
        <v>106</v>
      </c>
      <c r="D3" s="124" t="s">
        <v>64</v>
      </c>
      <c r="E3" s="124" t="s">
        <v>574</v>
      </c>
      <c r="F3" s="125">
        <v>4.0</v>
      </c>
      <c r="G3" s="124" t="s">
        <v>3159</v>
      </c>
      <c r="H3" s="124" t="s">
        <v>644</v>
      </c>
      <c r="I3" s="125">
        <v>2000.0</v>
      </c>
      <c r="J3" s="123"/>
      <c r="K3" s="124" t="s">
        <v>289</v>
      </c>
      <c r="L3" s="125">
        <v>40.0</v>
      </c>
      <c r="M3" s="124" t="s">
        <v>3830</v>
      </c>
      <c r="N3" s="124" t="s">
        <v>3831</v>
      </c>
      <c r="O3" s="124" t="s">
        <v>3832</v>
      </c>
      <c r="P3" s="124">
        <v>2012.0</v>
      </c>
      <c r="Q3" s="124" t="s">
        <v>3834</v>
      </c>
      <c r="R3" s="123" t="s">
        <v>3838</v>
      </c>
      <c r="S3" s="128"/>
      <c r="T3" s="123" t="s">
        <v>428</v>
      </c>
      <c r="U3" s="123" t="s">
        <v>462</v>
      </c>
      <c r="V3" s="123"/>
      <c r="W3" s="123"/>
      <c r="X3" s="123"/>
      <c r="Y3" s="123"/>
      <c r="Z3" s="123"/>
      <c r="AA3" s="123"/>
      <c r="AB3" s="123"/>
      <c r="AC3" s="123"/>
      <c r="AD3" s="123"/>
      <c r="AE3" s="123"/>
      <c r="AF3" s="123"/>
      <c r="AG3" s="123"/>
      <c r="AH3" s="123"/>
      <c r="AI3" s="123"/>
      <c r="AJ3" s="123"/>
    </row>
    <row r="4" ht="15.75" customHeight="1">
      <c r="A4" s="123">
        <v>3.0</v>
      </c>
      <c r="B4" s="124" t="s">
        <v>1230</v>
      </c>
      <c r="C4" s="124" t="s">
        <v>106</v>
      </c>
      <c r="D4" s="124" t="s">
        <v>64</v>
      </c>
      <c r="E4" s="124" t="s">
        <v>574</v>
      </c>
      <c r="F4" s="125">
        <v>4.0</v>
      </c>
      <c r="G4" s="124" t="s">
        <v>3159</v>
      </c>
      <c r="H4" s="124" t="s">
        <v>552</v>
      </c>
      <c r="I4" s="125">
        <v>6000.0</v>
      </c>
      <c r="J4" s="123"/>
      <c r="K4" s="124" t="s">
        <v>431</v>
      </c>
      <c r="L4" s="125">
        <v>40.0</v>
      </c>
      <c r="M4" s="126" t="s">
        <v>3852</v>
      </c>
      <c r="N4" s="124" t="s">
        <v>3853</v>
      </c>
      <c r="O4" s="126" t="s">
        <v>3854</v>
      </c>
      <c r="P4" s="124">
        <v>2009.0</v>
      </c>
      <c r="Q4" s="124" t="s">
        <v>3856</v>
      </c>
      <c r="R4" s="123"/>
      <c r="S4" s="123"/>
      <c r="T4" s="123"/>
      <c r="U4" s="123"/>
      <c r="V4" s="123"/>
      <c r="W4" s="123"/>
      <c r="X4" s="123"/>
      <c r="Y4" s="123"/>
      <c r="Z4" s="129"/>
      <c r="AA4" s="123"/>
      <c r="AB4" s="129"/>
      <c r="AC4" s="123"/>
      <c r="AD4" s="123"/>
      <c r="AE4" s="123"/>
      <c r="AF4" s="123"/>
      <c r="AG4" s="123"/>
      <c r="AH4" s="123"/>
      <c r="AI4" s="123"/>
      <c r="AJ4" s="123"/>
    </row>
    <row r="5" ht="15.75" customHeight="1">
      <c r="A5" s="123">
        <v>4.0</v>
      </c>
      <c r="B5" s="124" t="s">
        <v>1230</v>
      </c>
      <c r="C5" s="124" t="s">
        <v>106</v>
      </c>
      <c r="D5" s="124" t="s">
        <v>64</v>
      </c>
      <c r="E5" s="124" t="s">
        <v>574</v>
      </c>
      <c r="F5" s="125">
        <v>4.0</v>
      </c>
      <c r="G5" s="124" t="s">
        <v>3159</v>
      </c>
      <c r="H5" s="124" t="s">
        <v>388</v>
      </c>
      <c r="I5" s="125">
        <v>14000.0</v>
      </c>
      <c r="J5" s="123"/>
      <c r="K5" s="124" t="s">
        <v>289</v>
      </c>
      <c r="L5" s="125">
        <v>40.0</v>
      </c>
      <c r="M5" s="124" t="s">
        <v>3868</v>
      </c>
      <c r="N5" s="124" t="s">
        <v>3870</v>
      </c>
      <c r="O5" s="124" t="s">
        <v>3871</v>
      </c>
      <c r="P5" s="124">
        <v>2000.0</v>
      </c>
      <c r="Q5" s="124" t="s">
        <v>3876</v>
      </c>
      <c r="R5" s="127" t="str">
        <f>HYPERLINK("https://msbfile03.usc.edu/digitalmeasures/macinnis/intellcont/Park_Jun_MacInnis_2000-1.pdf","https://msbfile03.usc.edu/digitalmeasures/macinnis/intellcont/Park_Jun_MacInnis_2000-1.pdf")</f>
        <v>https://msbfile03.usc.edu/digitalmeasures/macinnis/intellcont/Park_Jun_MacInnis_2000-1.pdf</v>
      </c>
      <c r="S5" s="123"/>
      <c r="T5" s="123" t="s">
        <v>462</v>
      </c>
      <c r="U5" s="123" t="s">
        <v>462</v>
      </c>
      <c r="V5" s="123"/>
      <c r="W5" s="123"/>
      <c r="X5" s="123"/>
      <c r="Y5" s="123"/>
      <c r="Z5" s="123"/>
      <c r="AA5" s="123"/>
      <c r="AB5" s="123"/>
      <c r="AC5" s="123"/>
      <c r="AD5" s="123"/>
      <c r="AE5" s="123"/>
      <c r="AF5" s="123"/>
      <c r="AG5" s="123"/>
      <c r="AH5" s="123"/>
      <c r="AI5" s="123"/>
      <c r="AJ5" s="123"/>
    </row>
    <row r="6" ht="15.75" customHeight="1">
      <c r="A6" s="123">
        <v>5.0</v>
      </c>
      <c r="B6" s="124" t="s">
        <v>1230</v>
      </c>
      <c r="C6" s="124" t="s">
        <v>106</v>
      </c>
      <c r="D6" s="124" t="s">
        <v>64</v>
      </c>
      <c r="E6" s="124" t="s">
        <v>574</v>
      </c>
      <c r="F6" s="125">
        <v>4.0</v>
      </c>
      <c r="G6" s="124" t="s">
        <v>3159</v>
      </c>
      <c r="H6" s="124" t="s">
        <v>3511</v>
      </c>
      <c r="I6" s="125">
        <v>5000.0</v>
      </c>
      <c r="J6" s="123"/>
      <c r="K6" s="124" t="s">
        <v>289</v>
      </c>
      <c r="L6" s="125">
        <v>40.0</v>
      </c>
      <c r="M6" s="124" t="s">
        <v>3881</v>
      </c>
      <c r="N6" s="124" t="s">
        <v>3882</v>
      </c>
      <c r="O6" s="124" t="s">
        <v>3883</v>
      </c>
      <c r="P6" s="124">
        <v>2009.0</v>
      </c>
      <c r="Q6" s="124" t="s">
        <v>3885</v>
      </c>
      <c r="R6" s="123" t="s">
        <v>3886</v>
      </c>
      <c r="S6" s="123"/>
      <c r="T6" s="123" t="s">
        <v>462</v>
      </c>
      <c r="U6" s="123" t="s">
        <v>462</v>
      </c>
      <c r="V6" s="123"/>
      <c r="W6" s="123"/>
      <c r="X6" s="123"/>
      <c r="Y6" s="123"/>
      <c r="Z6" s="123"/>
      <c r="AA6" s="123"/>
      <c r="AB6" s="123"/>
      <c r="AC6" s="123"/>
      <c r="AD6" s="123"/>
      <c r="AE6" s="123"/>
      <c r="AF6" s="123"/>
      <c r="AG6" s="123"/>
      <c r="AH6" s="123"/>
      <c r="AI6" s="123"/>
      <c r="AJ6" s="123"/>
    </row>
    <row r="7" ht="15.75" customHeight="1">
      <c r="A7" s="123">
        <v>6.0</v>
      </c>
      <c r="B7" s="124" t="s">
        <v>1230</v>
      </c>
      <c r="C7" s="124" t="s">
        <v>106</v>
      </c>
      <c r="D7" s="124" t="s">
        <v>64</v>
      </c>
      <c r="E7" s="124" t="s">
        <v>574</v>
      </c>
      <c r="F7" s="125">
        <v>4.0</v>
      </c>
      <c r="G7" s="124" t="s">
        <v>3159</v>
      </c>
      <c r="H7" s="124" t="s">
        <v>1223</v>
      </c>
      <c r="I7" s="125">
        <v>3000.0</v>
      </c>
      <c r="J7" s="123"/>
      <c r="K7" s="124" t="s">
        <v>111</v>
      </c>
      <c r="L7" s="125">
        <v>41.0</v>
      </c>
      <c r="M7" s="124" t="s">
        <v>3160</v>
      </c>
      <c r="N7" s="124" t="s">
        <v>3162</v>
      </c>
      <c r="O7" s="124" t="s">
        <v>3123</v>
      </c>
      <c r="P7" s="124">
        <v>2012.0</v>
      </c>
      <c r="Q7" s="124" t="s">
        <v>3165</v>
      </c>
      <c r="R7" s="123"/>
      <c r="S7" s="123"/>
      <c r="T7" s="123"/>
      <c r="U7" s="123"/>
      <c r="V7" s="123"/>
      <c r="W7" s="123"/>
      <c r="X7" s="129"/>
      <c r="Y7" s="123"/>
      <c r="Z7" s="123"/>
      <c r="AA7" s="129"/>
      <c r="AB7" s="123"/>
      <c r="AC7" s="123"/>
      <c r="AD7" s="123"/>
      <c r="AE7" s="123"/>
      <c r="AF7" s="123"/>
      <c r="AG7" s="123"/>
      <c r="AH7" s="123"/>
      <c r="AI7" s="123"/>
      <c r="AJ7" s="123" t="s">
        <v>3166</v>
      </c>
    </row>
    <row r="8" ht="15.75" customHeight="1">
      <c r="A8" s="123">
        <v>7.0</v>
      </c>
      <c r="B8" s="124" t="s">
        <v>1230</v>
      </c>
      <c r="C8" s="124" t="s">
        <v>106</v>
      </c>
      <c r="D8" s="124" t="s">
        <v>64</v>
      </c>
      <c r="E8" s="124" t="s">
        <v>574</v>
      </c>
      <c r="F8" s="125">
        <v>4.0</v>
      </c>
      <c r="G8" s="124" t="s">
        <v>3159</v>
      </c>
      <c r="H8" s="124" t="s">
        <v>169</v>
      </c>
      <c r="I8" s="125">
        <v>20000.0</v>
      </c>
      <c r="J8" s="123"/>
      <c r="K8" s="124" t="s">
        <v>111</v>
      </c>
      <c r="L8" s="125">
        <v>41.0</v>
      </c>
      <c r="M8" s="124" t="s">
        <v>3897</v>
      </c>
      <c r="N8" s="124" t="s">
        <v>3898</v>
      </c>
      <c r="O8" s="124" t="s">
        <v>3899</v>
      </c>
      <c r="P8" s="124">
        <v>2012.0</v>
      </c>
      <c r="Q8" s="124" t="s">
        <v>3901</v>
      </c>
      <c r="R8" s="123"/>
      <c r="S8" s="123"/>
      <c r="T8" s="123"/>
      <c r="U8" s="123"/>
      <c r="V8" s="123" t="s">
        <v>3403</v>
      </c>
      <c r="W8" s="123"/>
      <c r="X8" s="123"/>
      <c r="Y8" s="123"/>
      <c r="Z8" s="123"/>
      <c r="AA8" s="123"/>
      <c r="AB8" s="123"/>
      <c r="AC8" s="123"/>
      <c r="AD8" s="123"/>
      <c r="AE8" s="123"/>
      <c r="AF8" s="123"/>
      <c r="AG8" s="123"/>
      <c r="AH8" s="123"/>
      <c r="AI8" s="123"/>
      <c r="AJ8" s="123"/>
    </row>
    <row r="9" ht="15.75" customHeight="1">
      <c r="A9" s="123">
        <v>8.0</v>
      </c>
      <c r="B9" s="124" t="s">
        <v>1230</v>
      </c>
      <c r="C9" s="124" t="s">
        <v>106</v>
      </c>
      <c r="D9" s="124" t="s">
        <v>64</v>
      </c>
      <c r="E9" s="124" t="s">
        <v>574</v>
      </c>
      <c r="F9" s="125">
        <v>4.0</v>
      </c>
      <c r="G9" s="124" t="s">
        <v>3159</v>
      </c>
      <c r="H9" s="124" t="s">
        <v>3903</v>
      </c>
      <c r="I9" s="125" t="s">
        <v>3904</v>
      </c>
      <c r="J9" s="123"/>
      <c r="K9" s="124" t="s">
        <v>111</v>
      </c>
      <c r="L9" s="125">
        <v>41.0</v>
      </c>
      <c r="M9" s="124" t="s">
        <v>3905</v>
      </c>
      <c r="N9" s="124" t="s">
        <v>3898</v>
      </c>
      <c r="O9" s="124" t="s">
        <v>3906</v>
      </c>
      <c r="P9" s="124">
        <v>2013.0</v>
      </c>
      <c r="Q9" s="124" t="s">
        <v>3907</v>
      </c>
      <c r="R9" s="123"/>
      <c r="S9" s="123"/>
      <c r="T9" s="123"/>
      <c r="U9" s="123"/>
      <c r="V9" s="123"/>
      <c r="W9" s="123"/>
      <c r="X9" s="123"/>
      <c r="Y9" s="123"/>
      <c r="Z9" s="123"/>
      <c r="AA9" s="123"/>
      <c r="AB9" s="123"/>
      <c r="AC9" s="123"/>
      <c r="AD9" s="123"/>
      <c r="AE9" s="123"/>
      <c r="AF9" s="123"/>
      <c r="AG9" s="123"/>
      <c r="AH9" s="123"/>
      <c r="AI9" s="123"/>
      <c r="AJ9" s="123"/>
    </row>
    <row r="10" ht="15.75" customHeight="1">
      <c r="A10" s="123">
        <v>9.0</v>
      </c>
      <c r="B10" s="124" t="s">
        <v>1230</v>
      </c>
      <c r="C10" s="124" t="s">
        <v>106</v>
      </c>
      <c r="D10" s="124" t="s">
        <v>64</v>
      </c>
      <c r="E10" s="124" t="s">
        <v>574</v>
      </c>
      <c r="F10" s="125">
        <v>4.0</v>
      </c>
      <c r="G10" s="124" t="s">
        <v>3159</v>
      </c>
      <c r="H10" s="124" t="s">
        <v>3908</v>
      </c>
      <c r="I10" s="125">
        <v>23000.0</v>
      </c>
      <c r="J10" s="123"/>
      <c r="K10" s="124" t="s">
        <v>111</v>
      </c>
      <c r="L10" s="125">
        <v>41.0</v>
      </c>
      <c r="M10" s="124" t="s">
        <v>3909</v>
      </c>
      <c r="N10" s="124" t="s">
        <v>3911</v>
      </c>
      <c r="O10" s="124" t="s">
        <v>3913</v>
      </c>
      <c r="P10" s="124">
        <v>2013.0</v>
      </c>
      <c r="Q10" s="124" t="s">
        <v>3914</v>
      </c>
      <c r="R10" s="123"/>
      <c r="S10" s="123"/>
      <c r="T10" s="123"/>
      <c r="U10" s="123"/>
      <c r="V10" s="123" t="s">
        <v>3403</v>
      </c>
      <c r="W10" s="123"/>
      <c r="X10" s="123"/>
      <c r="Y10" s="123"/>
      <c r="Z10" s="123"/>
      <c r="AA10" s="123"/>
      <c r="AB10" s="123"/>
      <c r="AC10" s="123"/>
      <c r="AD10" s="123"/>
      <c r="AE10" s="123"/>
      <c r="AF10" s="123"/>
      <c r="AG10" s="123"/>
      <c r="AH10" s="123"/>
      <c r="AI10" s="123"/>
      <c r="AJ10" s="123"/>
    </row>
    <row r="11" ht="15.75" customHeight="1">
      <c r="A11" s="123">
        <v>10.0</v>
      </c>
      <c r="B11" s="124" t="s">
        <v>1230</v>
      </c>
      <c r="C11" s="124" t="s">
        <v>106</v>
      </c>
      <c r="D11" s="124" t="s">
        <v>64</v>
      </c>
      <c r="E11" s="124" t="s">
        <v>574</v>
      </c>
      <c r="F11" s="125">
        <v>4.0</v>
      </c>
      <c r="G11" s="124" t="s">
        <v>3159</v>
      </c>
      <c r="H11" s="124" t="s">
        <v>538</v>
      </c>
      <c r="I11" s="125">
        <v>11000.0</v>
      </c>
      <c r="J11" s="123"/>
      <c r="K11" s="124" t="s">
        <v>111</v>
      </c>
      <c r="L11" s="125">
        <v>41.0</v>
      </c>
      <c r="M11" s="124" t="s">
        <v>3620</v>
      </c>
      <c r="N11" s="130" t="s">
        <v>3621</v>
      </c>
      <c r="O11" s="124" t="s">
        <v>3622</v>
      </c>
      <c r="P11" s="124">
        <v>2013.0</v>
      </c>
      <c r="Q11" s="124" t="s">
        <v>3623</v>
      </c>
      <c r="R11" s="123"/>
      <c r="S11" s="123"/>
      <c r="T11" s="123"/>
      <c r="U11" s="123"/>
      <c r="V11" s="123"/>
      <c r="W11" s="123"/>
      <c r="X11" s="123"/>
      <c r="Y11" s="123"/>
      <c r="Z11" s="123"/>
      <c r="AA11" s="123"/>
      <c r="AB11" s="123"/>
      <c r="AC11" s="123"/>
      <c r="AD11" s="123"/>
      <c r="AE11" s="123"/>
      <c r="AF11" s="123"/>
      <c r="AG11" s="123"/>
      <c r="AH11" s="123"/>
      <c r="AI11" s="123"/>
      <c r="AJ11" s="123"/>
    </row>
    <row r="12" ht="15.75" customHeight="1">
      <c r="A12" s="123">
        <v>11.0</v>
      </c>
      <c r="B12" s="124" t="s">
        <v>1230</v>
      </c>
      <c r="C12" s="124" t="s">
        <v>106</v>
      </c>
      <c r="D12" s="124" t="s">
        <v>64</v>
      </c>
      <c r="E12" s="124" t="s">
        <v>574</v>
      </c>
      <c r="F12" s="125">
        <v>4.0</v>
      </c>
      <c r="G12" s="124" t="s">
        <v>3159</v>
      </c>
      <c r="H12" s="124" t="s">
        <v>1643</v>
      </c>
      <c r="I12" s="125" t="s">
        <v>1642</v>
      </c>
      <c r="J12" s="123"/>
      <c r="K12" s="124" t="s">
        <v>289</v>
      </c>
      <c r="L12" s="125">
        <v>40.0</v>
      </c>
      <c r="M12" s="124" t="s">
        <v>3711</v>
      </c>
      <c r="N12" s="124" t="s">
        <v>3712</v>
      </c>
      <c r="O12" s="124" t="s">
        <v>2249</v>
      </c>
      <c r="P12" s="124">
        <v>2014.0</v>
      </c>
      <c r="Q12" s="124" t="s">
        <v>753</v>
      </c>
      <c r="R12" s="127" t="str">
        <f>HYPERLINK("http://www.frameworksinstitute.org/assets/files/occ_values.pdf","http://www.frameworksinstitute.org/assets/files/occ_values.pdf")</f>
        <v>http://www.frameworksinstitute.org/assets/files/occ_values.pdf</v>
      </c>
      <c r="S12" s="123"/>
      <c r="T12" s="123" t="s">
        <v>428</v>
      </c>
      <c r="U12" s="123" t="s">
        <v>462</v>
      </c>
      <c r="V12" s="123"/>
      <c r="W12" s="123"/>
      <c r="X12" s="123" t="s">
        <v>561</v>
      </c>
      <c r="Y12" s="123" t="s">
        <v>3716</v>
      </c>
      <c r="Z12" s="129">
        <v>42416.0</v>
      </c>
      <c r="AA12" s="123"/>
      <c r="AB12" s="129">
        <v>42590.0</v>
      </c>
      <c r="AC12" s="123"/>
      <c r="AD12" s="123"/>
      <c r="AE12" s="123"/>
      <c r="AF12" s="123"/>
      <c r="AG12" s="123"/>
      <c r="AH12" s="123"/>
      <c r="AI12" s="123"/>
      <c r="AJ12" s="123"/>
    </row>
    <row r="13" ht="15.75" customHeight="1">
      <c r="A13" s="123">
        <v>12.0</v>
      </c>
      <c r="B13" s="124" t="s">
        <v>1230</v>
      </c>
      <c r="C13" s="124" t="s">
        <v>106</v>
      </c>
      <c r="D13" s="124" t="s">
        <v>64</v>
      </c>
      <c r="E13" s="124" t="s">
        <v>574</v>
      </c>
      <c r="F13" s="125">
        <v>4.0</v>
      </c>
      <c r="G13" s="124" t="s">
        <v>879</v>
      </c>
      <c r="H13" s="124" t="s">
        <v>388</v>
      </c>
      <c r="I13" s="125">
        <v>14000.0</v>
      </c>
      <c r="J13" s="123"/>
      <c r="K13" s="124" t="s">
        <v>289</v>
      </c>
      <c r="L13" s="125">
        <v>40.0</v>
      </c>
      <c r="M13" s="131" t="str">
        <f>HYPERLINK("http://pss.sagepub.com/content/early/2012/03/16/0956797611429579","Cuing Consumerism: Situational Materialism Undermines Relatable and Social Well-Being")</f>
        <v>Cuing Consumerism: Situational Materialism Undermines Relatable and Social Well-Being</v>
      </c>
      <c r="N13" s="124" t="s">
        <v>3952</v>
      </c>
      <c r="O13" s="124" t="s">
        <v>3953</v>
      </c>
      <c r="P13" s="124">
        <v>2012.0</v>
      </c>
      <c r="Q13" s="124" t="s">
        <v>3954</v>
      </c>
      <c r="R13" s="123" t="s">
        <v>3955</v>
      </c>
      <c r="S13" s="123" t="s">
        <v>3956</v>
      </c>
      <c r="T13" s="123" t="s">
        <v>2437</v>
      </c>
      <c r="U13" s="123" t="s">
        <v>2438</v>
      </c>
      <c r="V13" s="123"/>
      <c r="W13" s="123"/>
      <c r="X13" s="123"/>
      <c r="Y13" s="123"/>
      <c r="Z13" s="129"/>
      <c r="AA13" s="123"/>
      <c r="AB13" s="129"/>
      <c r="AC13" s="123"/>
      <c r="AD13" s="123"/>
      <c r="AE13" s="123"/>
      <c r="AF13" s="123"/>
      <c r="AG13" s="123"/>
      <c r="AH13" s="123"/>
      <c r="AI13" s="123"/>
      <c r="AJ13" s="123"/>
    </row>
    <row r="14" ht="15.75" customHeight="1">
      <c r="A14" s="123">
        <v>13.0</v>
      </c>
      <c r="B14" s="124" t="s">
        <v>1230</v>
      </c>
      <c r="C14" s="124" t="s">
        <v>106</v>
      </c>
      <c r="D14" s="124" t="s">
        <v>64</v>
      </c>
      <c r="E14" s="124" t="s">
        <v>574</v>
      </c>
      <c r="F14" s="125">
        <v>4.0</v>
      </c>
      <c r="G14" s="124" t="s">
        <v>879</v>
      </c>
      <c r="H14" s="124" t="s">
        <v>2095</v>
      </c>
      <c r="I14" s="125" t="s">
        <v>1045</v>
      </c>
      <c r="J14" s="123"/>
      <c r="K14" s="124" t="s">
        <v>289</v>
      </c>
      <c r="L14" s="125">
        <v>40.0</v>
      </c>
      <c r="M14" s="124" t="s">
        <v>2950</v>
      </c>
      <c r="N14" s="124" t="s">
        <v>2951</v>
      </c>
      <c r="O14" s="124" t="s">
        <v>2952</v>
      </c>
      <c r="P14" s="124">
        <v>2011.0</v>
      </c>
      <c r="Q14" s="124" t="s">
        <v>2953</v>
      </c>
      <c r="R14" s="123" t="s">
        <v>2954</v>
      </c>
      <c r="S14" s="123"/>
      <c r="T14" s="123" t="s">
        <v>428</v>
      </c>
      <c r="U14" s="123" t="s">
        <v>462</v>
      </c>
      <c r="V14" s="123"/>
      <c r="W14" s="123"/>
      <c r="X14" s="123"/>
      <c r="Y14" s="123"/>
      <c r="Z14" s="123"/>
      <c r="AA14" s="123"/>
      <c r="AB14" s="123"/>
      <c r="AC14" s="123"/>
      <c r="AD14" s="123"/>
      <c r="AE14" s="123"/>
      <c r="AF14" s="123"/>
      <c r="AG14" s="123"/>
      <c r="AH14" s="123"/>
      <c r="AI14" s="123"/>
      <c r="AJ14" s="123"/>
    </row>
    <row r="15" ht="15.75" customHeight="1">
      <c r="A15" s="123">
        <v>14.0</v>
      </c>
      <c r="B15" s="124" t="s">
        <v>1230</v>
      </c>
      <c r="C15" s="124" t="s">
        <v>106</v>
      </c>
      <c r="D15" s="124" t="s">
        <v>64</v>
      </c>
      <c r="E15" s="124" t="s">
        <v>574</v>
      </c>
      <c r="F15" s="125">
        <v>4.0</v>
      </c>
      <c r="G15" s="124" t="s">
        <v>879</v>
      </c>
      <c r="H15" s="124" t="s">
        <v>644</v>
      </c>
      <c r="I15" s="125">
        <v>2000.0</v>
      </c>
      <c r="J15" s="123"/>
      <c r="K15" s="124" t="s">
        <v>289</v>
      </c>
      <c r="L15" s="125">
        <v>40.0</v>
      </c>
      <c r="M15" s="124" t="s">
        <v>3963</v>
      </c>
      <c r="N15" s="124" t="s">
        <v>3964</v>
      </c>
      <c r="O15" s="124" t="s">
        <v>3953</v>
      </c>
      <c r="P15" s="124">
        <v>2015.0</v>
      </c>
      <c r="Q15" s="124" t="s">
        <v>3967</v>
      </c>
      <c r="R15" s="123" t="s">
        <v>3968</v>
      </c>
      <c r="S15" s="123"/>
      <c r="T15" s="123" t="s">
        <v>2437</v>
      </c>
      <c r="U15" s="123" t="s">
        <v>2438</v>
      </c>
      <c r="V15" s="123"/>
      <c r="W15" s="123"/>
      <c r="X15" s="123"/>
      <c r="Y15" s="123"/>
      <c r="Z15" s="123"/>
      <c r="AA15" s="123"/>
      <c r="AB15" s="123"/>
      <c r="AC15" s="123"/>
      <c r="AD15" s="123"/>
      <c r="AE15" s="123"/>
      <c r="AF15" s="123"/>
      <c r="AG15" s="123"/>
      <c r="AH15" s="123"/>
      <c r="AI15" s="123"/>
      <c r="AJ15" s="123"/>
    </row>
    <row r="16" ht="15.75" customHeight="1">
      <c r="A16" s="123">
        <v>15.0</v>
      </c>
      <c r="B16" s="124" t="s">
        <v>1230</v>
      </c>
      <c r="C16" s="124" t="s">
        <v>106</v>
      </c>
      <c r="D16" s="124" t="s">
        <v>64</v>
      </c>
      <c r="E16" s="124" t="s">
        <v>574</v>
      </c>
      <c r="F16" s="125">
        <v>4.0</v>
      </c>
      <c r="G16" s="124" t="s">
        <v>879</v>
      </c>
      <c r="H16" s="124" t="s">
        <v>880</v>
      </c>
      <c r="I16" s="125">
        <v>20000.0</v>
      </c>
      <c r="J16" s="123"/>
      <c r="K16" s="124" t="s">
        <v>111</v>
      </c>
      <c r="L16" s="125">
        <v>41.0</v>
      </c>
      <c r="M16" s="124" t="s">
        <v>881</v>
      </c>
      <c r="N16" s="124" t="s">
        <v>882</v>
      </c>
      <c r="O16" s="124" t="s">
        <v>883</v>
      </c>
      <c r="P16" s="124">
        <v>2011.0</v>
      </c>
      <c r="Q16" s="124" t="s">
        <v>884</v>
      </c>
      <c r="R16" s="123" t="s">
        <v>885</v>
      </c>
      <c r="S16" s="123" t="s">
        <v>886</v>
      </c>
      <c r="T16" s="123" t="s">
        <v>428</v>
      </c>
      <c r="U16" s="123" t="s">
        <v>462</v>
      </c>
      <c r="V16" s="123"/>
      <c r="W16" s="123"/>
      <c r="X16" s="123"/>
      <c r="Y16" s="123"/>
      <c r="Z16" s="123"/>
      <c r="AA16" s="123"/>
      <c r="AB16" s="123"/>
      <c r="AC16" s="123"/>
      <c r="AD16" s="123"/>
      <c r="AE16" s="123"/>
      <c r="AF16" s="123"/>
      <c r="AG16" s="123"/>
      <c r="AH16" s="123"/>
      <c r="AI16" s="123"/>
      <c r="AJ16" s="123"/>
    </row>
    <row r="17" ht="15.75" customHeight="1">
      <c r="A17" s="123">
        <v>16.0</v>
      </c>
      <c r="B17" s="124" t="s">
        <v>1230</v>
      </c>
      <c r="C17" s="124" t="s">
        <v>106</v>
      </c>
      <c r="D17" s="124" t="s">
        <v>64</v>
      </c>
      <c r="E17" s="124" t="s">
        <v>574</v>
      </c>
      <c r="F17" s="125">
        <v>4.0</v>
      </c>
      <c r="G17" s="124" t="s">
        <v>879</v>
      </c>
      <c r="H17" s="124" t="s">
        <v>1312</v>
      </c>
      <c r="I17" s="125">
        <v>3000.0</v>
      </c>
      <c r="J17" s="123"/>
      <c r="K17" s="124" t="s">
        <v>111</v>
      </c>
      <c r="L17" s="125">
        <v>41.0</v>
      </c>
      <c r="M17" s="124" t="s">
        <v>3979</v>
      </c>
      <c r="N17" s="124" t="s">
        <v>3981</v>
      </c>
      <c r="O17" s="124" t="s">
        <v>3982</v>
      </c>
      <c r="P17" s="124">
        <v>2014.0</v>
      </c>
      <c r="Q17" s="124" t="s">
        <v>3984</v>
      </c>
      <c r="R17" s="123"/>
      <c r="S17" s="123"/>
      <c r="T17" s="123"/>
      <c r="U17" s="123"/>
      <c r="V17" s="123"/>
      <c r="W17" s="123"/>
      <c r="X17" s="123"/>
      <c r="Y17" s="123"/>
      <c r="Z17" s="123"/>
      <c r="AA17" s="123"/>
      <c r="AB17" s="123"/>
      <c r="AC17" s="123"/>
      <c r="AD17" s="123"/>
      <c r="AE17" s="123"/>
      <c r="AF17" s="123"/>
      <c r="AG17" s="123"/>
      <c r="AH17" s="123"/>
      <c r="AI17" s="123"/>
      <c r="AJ17" s="123"/>
    </row>
    <row r="18" ht="15.75" customHeight="1">
      <c r="A18" s="123">
        <v>17.0</v>
      </c>
      <c r="B18" s="124" t="s">
        <v>1230</v>
      </c>
      <c r="C18" s="124" t="s">
        <v>106</v>
      </c>
      <c r="D18" s="124" t="s">
        <v>64</v>
      </c>
      <c r="E18" s="124" t="s">
        <v>574</v>
      </c>
      <c r="F18" s="125">
        <v>4.0</v>
      </c>
      <c r="G18" s="124" t="s">
        <v>879</v>
      </c>
      <c r="H18" s="124" t="s">
        <v>1052</v>
      </c>
      <c r="I18" s="125">
        <v>21000.0</v>
      </c>
      <c r="J18" s="123"/>
      <c r="K18" s="124" t="s">
        <v>289</v>
      </c>
      <c r="L18" s="125">
        <v>40.0</v>
      </c>
      <c r="M18" s="124" t="s">
        <v>3988</v>
      </c>
      <c r="N18" s="124" t="s">
        <v>3990</v>
      </c>
      <c r="O18" s="124" t="s">
        <v>3992</v>
      </c>
      <c r="P18" s="124">
        <v>2009.0</v>
      </c>
      <c r="Q18" s="124" t="s">
        <v>3999</v>
      </c>
      <c r="R18" s="123"/>
      <c r="S18" s="123"/>
      <c r="T18" s="123" t="s">
        <v>462</v>
      </c>
      <c r="U18" s="123" t="s">
        <v>462</v>
      </c>
      <c r="V18" s="123"/>
      <c r="W18" s="123"/>
      <c r="X18" s="123"/>
      <c r="Y18" s="123"/>
      <c r="Z18" s="123"/>
      <c r="AA18" s="123"/>
      <c r="AB18" s="123"/>
      <c r="AC18" s="123"/>
      <c r="AD18" s="123"/>
      <c r="AE18" s="123"/>
      <c r="AF18" s="123"/>
      <c r="AG18" s="123"/>
      <c r="AH18" s="123"/>
      <c r="AI18" s="123"/>
      <c r="AJ18" s="123"/>
    </row>
    <row r="19" ht="15.75" customHeight="1">
      <c r="A19" s="123">
        <v>18.0</v>
      </c>
      <c r="B19" s="124" t="s">
        <v>1230</v>
      </c>
      <c r="C19" s="124" t="s">
        <v>106</v>
      </c>
      <c r="D19" s="124" t="s">
        <v>64</v>
      </c>
      <c r="E19" s="124" t="s">
        <v>574</v>
      </c>
      <c r="F19" s="125">
        <v>4.0</v>
      </c>
      <c r="G19" s="124" t="s">
        <v>3706</v>
      </c>
      <c r="H19" s="124" t="s">
        <v>4006</v>
      </c>
      <c r="I19" s="125">
        <v>2000.0</v>
      </c>
      <c r="J19" s="123"/>
      <c r="K19" s="124" t="s">
        <v>289</v>
      </c>
      <c r="L19" s="125">
        <v>40.0</v>
      </c>
      <c r="M19" s="124" t="s">
        <v>4007</v>
      </c>
      <c r="N19" s="124" t="s">
        <v>4008</v>
      </c>
      <c r="O19" s="124" t="s">
        <v>3953</v>
      </c>
      <c r="P19" s="124">
        <v>2013.0</v>
      </c>
      <c r="Q19" s="124" t="s">
        <v>4010</v>
      </c>
      <c r="R19" s="123" t="s">
        <v>4011</v>
      </c>
      <c r="S19" s="123"/>
      <c r="T19" s="123" t="s">
        <v>428</v>
      </c>
      <c r="U19" s="123" t="s">
        <v>462</v>
      </c>
      <c r="V19" s="123"/>
      <c r="W19" s="123"/>
      <c r="X19" s="123"/>
      <c r="Y19" s="123"/>
      <c r="Z19" s="123"/>
      <c r="AA19" s="123"/>
      <c r="AB19" s="123"/>
      <c r="AC19" s="123"/>
      <c r="AD19" s="123"/>
      <c r="AE19" s="123"/>
      <c r="AF19" s="123"/>
      <c r="AG19" s="123"/>
      <c r="AH19" s="123"/>
      <c r="AI19" s="123"/>
      <c r="AJ19" s="123"/>
    </row>
    <row r="20" ht="15.75" customHeight="1">
      <c r="A20" s="123">
        <v>19.0</v>
      </c>
      <c r="B20" s="124" t="s">
        <v>1230</v>
      </c>
      <c r="C20" s="124" t="s">
        <v>106</v>
      </c>
      <c r="D20" s="124" t="s">
        <v>64</v>
      </c>
      <c r="E20" s="124" t="s">
        <v>574</v>
      </c>
      <c r="F20" s="125">
        <v>4.0</v>
      </c>
      <c r="G20" s="124" t="s">
        <v>3706</v>
      </c>
      <c r="H20" s="124" t="s">
        <v>644</v>
      </c>
      <c r="I20" s="125">
        <v>2000.0</v>
      </c>
      <c r="J20" s="123"/>
      <c r="K20" s="124" t="s">
        <v>289</v>
      </c>
      <c r="L20" s="125">
        <v>40.0</v>
      </c>
      <c r="M20" s="124" t="s">
        <v>3707</v>
      </c>
      <c r="N20" s="124" t="s">
        <v>3708</v>
      </c>
      <c r="O20" s="124" t="s">
        <v>2249</v>
      </c>
      <c r="P20" s="124">
        <v>2013.0</v>
      </c>
      <c r="Q20" s="124" t="s">
        <v>753</v>
      </c>
      <c r="R20" s="123" t="s">
        <v>3709</v>
      </c>
      <c r="S20" s="123"/>
      <c r="T20" s="123" t="s">
        <v>428</v>
      </c>
      <c r="U20" s="123" t="s">
        <v>462</v>
      </c>
      <c r="V20" s="123"/>
      <c r="W20" s="123" t="s">
        <v>663</v>
      </c>
      <c r="X20" s="123" t="s">
        <v>561</v>
      </c>
      <c r="Y20" s="123" t="s">
        <v>3710</v>
      </c>
      <c r="Z20" s="129">
        <v>42408.0</v>
      </c>
      <c r="AA20" s="123"/>
      <c r="AB20" s="123"/>
      <c r="AC20" s="123"/>
      <c r="AD20" s="123"/>
      <c r="AE20" s="123"/>
      <c r="AF20" s="123"/>
      <c r="AG20" s="123"/>
      <c r="AH20" s="123"/>
      <c r="AI20" s="123"/>
      <c r="AJ20" s="123"/>
    </row>
    <row r="21" ht="15.75" customHeight="1">
      <c r="A21" s="123">
        <v>20.0</v>
      </c>
      <c r="B21" s="124" t="s">
        <v>1230</v>
      </c>
      <c r="C21" s="124" t="s">
        <v>106</v>
      </c>
      <c r="D21" s="124" t="s">
        <v>64</v>
      </c>
      <c r="E21" s="124" t="s">
        <v>574</v>
      </c>
      <c r="F21" s="125">
        <v>4.0</v>
      </c>
      <c r="G21" s="124" t="s">
        <v>3706</v>
      </c>
      <c r="H21" s="124" t="s">
        <v>623</v>
      </c>
      <c r="I21" s="125">
        <v>4000.0</v>
      </c>
      <c r="J21" s="123"/>
      <c r="K21" s="124" t="s">
        <v>289</v>
      </c>
      <c r="L21" s="125">
        <v>40.0</v>
      </c>
      <c r="M21" s="124" t="s">
        <v>4019</v>
      </c>
      <c r="N21" s="124" t="s">
        <v>4020</v>
      </c>
      <c r="O21" s="124" t="s">
        <v>4021</v>
      </c>
      <c r="P21" s="124">
        <v>2013.0</v>
      </c>
      <c r="Q21" s="124" t="s">
        <v>4022</v>
      </c>
      <c r="R21" s="123" t="s">
        <v>4023</v>
      </c>
      <c r="S21" s="123"/>
      <c r="T21" s="123" t="s">
        <v>428</v>
      </c>
      <c r="U21" s="123" t="s">
        <v>462</v>
      </c>
      <c r="V21" s="123"/>
      <c r="W21" s="123"/>
      <c r="X21" s="123"/>
      <c r="Y21" s="123"/>
      <c r="Z21" s="123"/>
      <c r="AA21" s="123"/>
      <c r="AB21" s="123"/>
      <c r="AC21" s="123"/>
      <c r="AD21" s="123"/>
      <c r="AE21" s="123"/>
      <c r="AF21" s="123"/>
      <c r="AG21" s="123"/>
      <c r="AH21" s="123"/>
      <c r="AI21" s="123"/>
      <c r="AJ21" s="123" t="s">
        <v>4024</v>
      </c>
    </row>
    <row r="22" ht="15.75" customHeight="1">
      <c r="A22" s="123">
        <v>21.0</v>
      </c>
      <c r="B22" s="124" t="s">
        <v>1230</v>
      </c>
      <c r="C22" s="124" t="s">
        <v>106</v>
      </c>
      <c r="D22" s="124" t="s">
        <v>64</v>
      </c>
      <c r="E22" s="124" t="s">
        <v>574</v>
      </c>
      <c r="F22" s="125">
        <v>4.0</v>
      </c>
      <c r="G22" s="124" t="s">
        <v>3706</v>
      </c>
      <c r="H22" s="124" t="s">
        <v>470</v>
      </c>
      <c r="I22" s="125">
        <v>3000.0</v>
      </c>
      <c r="J22" s="123"/>
      <c r="K22" s="124" t="s">
        <v>111</v>
      </c>
      <c r="L22" s="125">
        <v>41.0</v>
      </c>
      <c r="M22" s="124" t="s">
        <v>4025</v>
      </c>
      <c r="N22" s="124" t="s">
        <v>4026</v>
      </c>
      <c r="O22" s="124" t="s">
        <v>4027</v>
      </c>
      <c r="P22" s="124">
        <v>2014.0</v>
      </c>
      <c r="Q22" s="124" t="s">
        <v>4030</v>
      </c>
      <c r="R22" s="123" t="s">
        <v>4031</v>
      </c>
      <c r="S22" s="123"/>
      <c r="T22" s="123" t="s">
        <v>462</v>
      </c>
      <c r="U22" s="123" t="s">
        <v>462</v>
      </c>
      <c r="V22" s="123"/>
      <c r="W22" s="123"/>
      <c r="X22" s="123"/>
      <c r="Y22" s="123"/>
      <c r="Z22" s="123"/>
      <c r="AA22" s="123"/>
      <c r="AB22" s="123"/>
      <c r="AC22" s="123"/>
      <c r="AD22" s="123"/>
      <c r="AE22" s="123"/>
      <c r="AF22" s="123"/>
      <c r="AG22" s="123"/>
      <c r="AH22" s="123"/>
      <c r="AI22" s="123"/>
      <c r="AJ22" s="123"/>
    </row>
    <row r="23" ht="15.75" customHeight="1">
      <c r="A23" s="123">
        <v>22.0</v>
      </c>
      <c r="B23" s="124" t="s">
        <v>1230</v>
      </c>
      <c r="C23" s="124" t="s">
        <v>106</v>
      </c>
      <c r="D23" s="124" t="s">
        <v>4032</v>
      </c>
      <c r="E23" s="124" t="s">
        <v>574</v>
      </c>
      <c r="F23" s="125">
        <v>4.0</v>
      </c>
      <c r="G23" s="124" t="s">
        <v>3706</v>
      </c>
      <c r="H23" s="124" t="s">
        <v>2373</v>
      </c>
      <c r="I23" s="125">
        <v>2000.0</v>
      </c>
      <c r="J23" s="123"/>
      <c r="K23" s="124" t="s">
        <v>289</v>
      </c>
      <c r="L23" s="125">
        <v>40.0</v>
      </c>
      <c r="M23" s="124" t="s">
        <v>4033</v>
      </c>
      <c r="N23" s="124" t="s">
        <v>4034</v>
      </c>
      <c r="O23" s="124" t="s">
        <v>4035</v>
      </c>
      <c r="P23" s="124">
        <v>2012.0</v>
      </c>
      <c r="Q23" s="124" t="s">
        <v>4036</v>
      </c>
      <c r="R23" s="127" t="str">
        <f>HYPERLINK("http://www.nature.com/nclimate/journal/v2/n10/full/nclimate1547.html","http://www.nature.com/nclimate/journal/v2/n10/full/nclimate1547.html")</f>
        <v>http://www.nature.com/nclimate/journal/v2/n10/full/nclimate1547.html</v>
      </c>
      <c r="S23" s="123" t="s">
        <v>4040</v>
      </c>
      <c r="T23" s="123" t="s">
        <v>4041</v>
      </c>
      <c r="U23" s="123" t="s">
        <v>4042</v>
      </c>
      <c r="V23" s="123" t="s">
        <v>4044</v>
      </c>
      <c r="W23" s="123"/>
      <c r="X23" s="123" t="s">
        <v>561</v>
      </c>
      <c r="Y23" s="123" t="s">
        <v>4045</v>
      </c>
      <c r="Z23" s="129">
        <v>42436.0</v>
      </c>
      <c r="AA23" s="123"/>
      <c r="AB23" s="129">
        <v>42598.0</v>
      </c>
      <c r="AC23" s="123"/>
      <c r="AD23" s="123"/>
      <c r="AE23" s="123"/>
      <c r="AF23" s="123"/>
      <c r="AG23" s="123"/>
      <c r="AH23" s="123"/>
      <c r="AI23" s="123"/>
      <c r="AJ23" s="123"/>
    </row>
    <row r="24" ht="15.75" customHeight="1">
      <c r="A24" s="123">
        <v>23.0</v>
      </c>
      <c r="B24" s="124" t="s">
        <v>1230</v>
      </c>
      <c r="C24" s="124" t="s">
        <v>106</v>
      </c>
      <c r="D24" s="124" t="s">
        <v>173</v>
      </c>
      <c r="E24" s="124" t="s">
        <v>574</v>
      </c>
      <c r="F24" s="125">
        <v>4.0</v>
      </c>
      <c r="G24" s="124" t="s">
        <v>3706</v>
      </c>
      <c r="H24" s="124" t="s">
        <v>4047</v>
      </c>
      <c r="I24" s="125">
        <v>22000.0</v>
      </c>
      <c r="J24" s="123"/>
      <c r="K24" s="124" t="s">
        <v>289</v>
      </c>
      <c r="L24" s="125">
        <v>40.0</v>
      </c>
      <c r="M24" s="124" t="s">
        <v>4048</v>
      </c>
      <c r="N24" s="124" t="s">
        <v>4049</v>
      </c>
      <c r="O24" s="124" t="s">
        <v>4050</v>
      </c>
      <c r="P24" s="124">
        <v>2013.0</v>
      </c>
      <c r="Q24" s="124" t="s">
        <v>4054</v>
      </c>
      <c r="R24" s="123" t="s">
        <v>4055</v>
      </c>
      <c r="S24" s="123"/>
      <c r="T24" s="123" t="s">
        <v>428</v>
      </c>
      <c r="U24" s="123" t="s">
        <v>462</v>
      </c>
      <c r="V24" s="123"/>
      <c r="W24" s="123"/>
      <c r="X24" s="129"/>
      <c r="Y24" s="123"/>
      <c r="Z24" s="123"/>
      <c r="AA24" s="129"/>
      <c r="AB24" s="123"/>
      <c r="AC24" s="123"/>
      <c r="AD24" s="123"/>
      <c r="AE24" s="123"/>
      <c r="AF24" s="123"/>
      <c r="AG24" s="123"/>
      <c r="AH24" s="123"/>
      <c r="AI24" s="123"/>
      <c r="AJ24" s="123"/>
    </row>
    <row r="25" ht="15.75" customHeight="1">
      <c r="A25" s="123">
        <v>24.0</v>
      </c>
      <c r="B25" s="124" t="s">
        <v>1230</v>
      </c>
      <c r="C25" s="124" t="s">
        <v>106</v>
      </c>
      <c r="D25" s="124" t="s">
        <v>173</v>
      </c>
      <c r="E25" s="124" t="s">
        <v>574</v>
      </c>
      <c r="F25" s="125">
        <v>4.0</v>
      </c>
      <c r="G25" s="124" t="s">
        <v>3706</v>
      </c>
      <c r="H25" s="124" t="s">
        <v>4056</v>
      </c>
      <c r="I25" s="125">
        <v>2000.0</v>
      </c>
      <c r="J25" s="123"/>
      <c r="K25" s="124" t="s">
        <v>324</v>
      </c>
      <c r="L25" s="125" t="s">
        <v>325</v>
      </c>
      <c r="M25" s="124" t="s">
        <v>4057</v>
      </c>
      <c r="N25" s="124" t="s">
        <v>4058</v>
      </c>
      <c r="O25" s="124" t="s">
        <v>4059</v>
      </c>
      <c r="P25" s="124">
        <v>2012.0</v>
      </c>
      <c r="Q25" s="124" t="s">
        <v>4062</v>
      </c>
      <c r="R25" s="123" t="s">
        <v>4063</v>
      </c>
      <c r="S25" s="123"/>
      <c r="T25" s="123" t="s">
        <v>4064</v>
      </c>
      <c r="U25" s="123" t="s">
        <v>4065</v>
      </c>
      <c r="V25" s="123"/>
      <c r="W25" s="123"/>
      <c r="X25" s="123"/>
      <c r="Y25" s="123"/>
      <c r="Z25" s="123"/>
      <c r="AA25" s="123"/>
      <c r="AB25" s="123"/>
      <c r="AC25" s="123"/>
      <c r="AD25" s="123"/>
      <c r="AE25" s="123"/>
      <c r="AF25" s="123"/>
      <c r="AG25" s="123"/>
      <c r="AH25" s="123"/>
      <c r="AI25" s="123"/>
      <c r="AJ25" s="123"/>
    </row>
    <row r="26" ht="15.75" customHeight="1">
      <c r="A26" s="123">
        <v>25.0</v>
      </c>
      <c r="B26" s="124" t="s">
        <v>1230</v>
      </c>
      <c r="C26" s="124" t="s">
        <v>106</v>
      </c>
      <c r="D26" s="124" t="s">
        <v>64</v>
      </c>
      <c r="E26" s="124" t="s">
        <v>574</v>
      </c>
      <c r="F26" s="125">
        <v>4.0</v>
      </c>
      <c r="G26" s="124" t="s">
        <v>1744</v>
      </c>
      <c r="H26" s="124" t="s">
        <v>578</v>
      </c>
      <c r="I26" s="125">
        <v>2000.0</v>
      </c>
      <c r="J26" s="123"/>
      <c r="K26" s="124" t="s">
        <v>111</v>
      </c>
      <c r="L26" s="125">
        <v>41.0</v>
      </c>
      <c r="M26" s="124" t="s">
        <v>4067</v>
      </c>
      <c r="N26" s="124" t="s">
        <v>4068</v>
      </c>
      <c r="O26" s="124" t="s">
        <v>4069</v>
      </c>
      <c r="P26" s="124">
        <v>2008.0</v>
      </c>
      <c r="Q26" s="124" t="s">
        <v>4071</v>
      </c>
      <c r="R26" s="123"/>
      <c r="S26" s="123"/>
      <c r="T26" s="123"/>
      <c r="U26" s="123"/>
      <c r="V26" s="123"/>
      <c r="W26" s="123"/>
      <c r="X26" s="123"/>
      <c r="Y26" s="123"/>
      <c r="Z26" s="123"/>
      <c r="AA26" s="123"/>
      <c r="AB26" s="123"/>
      <c r="AC26" s="123"/>
      <c r="AD26" s="123"/>
      <c r="AE26" s="123"/>
      <c r="AF26" s="123"/>
      <c r="AG26" s="123"/>
      <c r="AH26" s="123"/>
      <c r="AI26" s="123"/>
      <c r="AJ26" s="123"/>
    </row>
    <row r="27" ht="15.75" customHeight="1">
      <c r="A27" s="123">
        <v>26.0</v>
      </c>
      <c r="B27" s="124" t="s">
        <v>1230</v>
      </c>
      <c r="C27" s="124" t="s">
        <v>106</v>
      </c>
      <c r="D27" s="124" t="s">
        <v>64</v>
      </c>
      <c r="E27" s="124" t="s">
        <v>574</v>
      </c>
      <c r="F27" s="125">
        <v>4.0</v>
      </c>
      <c r="G27" s="124" t="s">
        <v>1744</v>
      </c>
      <c r="H27" s="124" t="s">
        <v>644</v>
      </c>
      <c r="I27" s="125">
        <v>2000.0</v>
      </c>
      <c r="J27" s="123"/>
      <c r="K27" s="124" t="s">
        <v>324</v>
      </c>
      <c r="L27" s="125" t="s">
        <v>325</v>
      </c>
      <c r="M27" s="124" t="s">
        <v>1748</v>
      </c>
      <c r="N27" s="124" t="s">
        <v>1749</v>
      </c>
      <c r="O27" s="124" t="s">
        <v>1750</v>
      </c>
      <c r="P27" s="126">
        <v>2015.0</v>
      </c>
      <c r="Q27" s="124" t="s">
        <v>753</v>
      </c>
      <c r="R27" s="123"/>
      <c r="S27" s="123"/>
      <c r="T27" s="123"/>
      <c r="U27" s="123"/>
      <c r="V27" s="123"/>
      <c r="W27" s="123"/>
      <c r="X27" s="129"/>
      <c r="Y27" s="123"/>
      <c r="Z27" s="123"/>
      <c r="AA27" s="129"/>
      <c r="AB27" s="123"/>
      <c r="AC27" s="123"/>
      <c r="AD27" s="123"/>
      <c r="AE27" s="123"/>
      <c r="AF27" s="123"/>
      <c r="AG27" s="123"/>
      <c r="AH27" s="123"/>
      <c r="AI27" s="123"/>
      <c r="AJ27" s="123"/>
    </row>
    <row r="28" ht="15.75" customHeight="1">
      <c r="A28" s="123">
        <v>27.0</v>
      </c>
      <c r="B28" s="124" t="s">
        <v>1230</v>
      </c>
      <c r="C28" s="124" t="s">
        <v>106</v>
      </c>
      <c r="D28" s="124" t="s">
        <v>4032</v>
      </c>
      <c r="E28" s="124" t="s">
        <v>574</v>
      </c>
      <c r="F28" s="125">
        <v>4.0</v>
      </c>
      <c r="G28" s="124" t="s">
        <v>1896</v>
      </c>
      <c r="H28" s="124" t="s">
        <v>644</v>
      </c>
      <c r="I28" s="125">
        <v>2000.0</v>
      </c>
      <c r="J28" s="123"/>
      <c r="K28" s="124" t="s">
        <v>4074</v>
      </c>
      <c r="L28" s="125" t="s">
        <v>4075</v>
      </c>
      <c r="M28" s="124" t="s">
        <v>4076</v>
      </c>
      <c r="N28" s="124" t="s">
        <v>4077</v>
      </c>
      <c r="O28" s="124" t="s">
        <v>3953</v>
      </c>
      <c r="P28" s="124">
        <v>2014.0</v>
      </c>
      <c r="Q28" s="124" t="s">
        <v>4078</v>
      </c>
      <c r="R28" s="123" t="s">
        <v>4079</v>
      </c>
      <c r="S28" s="123"/>
      <c r="T28" s="123" t="s">
        <v>2437</v>
      </c>
      <c r="U28" s="123" t="s">
        <v>2438</v>
      </c>
      <c r="V28" s="123"/>
      <c r="W28" s="123"/>
      <c r="X28" s="123"/>
      <c r="Y28" s="123"/>
      <c r="Z28" s="123"/>
      <c r="AA28" s="123"/>
      <c r="AB28" s="123"/>
      <c r="AC28" s="123"/>
      <c r="AD28" s="123"/>
      <c r="AE28" s="123"/>
      <c r="AF28" s="123"/>
      <c r="AG28" s="123"/>
      <c r="AH28" s="123"/>
      <c r="AI28" s="123"/>
      <c r="AJ28" s="123"/>
    </row>
    <row r="29" ht="15.75" customHeight="1">
      <c r="A29" s="123">
        <v>28.0</v>
      </c>
      <c r="B29" s="124" t="s">
        <v>1230</v>
      </c>
      <c r="C29" s="124" t="s">
        <v>106</v>
      </c>
      <c r="D29" s="124" t="s">
        <v>64</v>
      </c>
      <c r="E29" s="124" t="s">
        <v>574</v>
      </c>
      <c r="F29" s="125">
        <v>4.0</v>
      </c>
      <c r="G29" s="124" t="s">
        <v>1896</v>
      </c>
      <c r="H29" s="124" t="s">
        <v>578</v>
      </c>
      <c r="I29" s="125">
        <v>2000.0</v>
      </c>
      <c r="J29" s="123"/>
      <c r="K29" s="124" t="s">
        <v>111</v>
      </c>
      <c r="L29" s="125">
        <v>41.0</v>
      </c>
      <c r="M29" s="124" t="s">
        <v>4081</v>
      </c>
      <c r="N29" s="124" t="s">
        <v>4082</v>
      </c>
      <c r="O29" s="124" t="s">
        <v>4083</v>
      </c>
      <c r="P29" s="124">
        <v>2009.0</v>
      </c>
      <c r="Q29" s="124" t="s">
        <v>4084</v>
      </c>
      <c r="R29" s="123"/>
      <c r="S29" s="123"/>
      <c r="T29" s="123" t="s">
        <v>462</v>
      </c>
      <c r="U29" s="123" t="s">
        <v>462</v>
      </c>
      <c r="V29" s="123"/>
      <c r="W29" s="123"/>
      <c r="X29" s="123"/>
      <c r="Y29" s="123"/>
      <c r="Z29" s="123"/>
      <c r="AA29" s="123"/>
      <c r="AB29" s="123"/>
      <c r="AC29" s="123"/>
      <c r="AD29" s="123"/>
      <c r="AE29" s="123"/>
      <c r="AF29" s="123"/>
      <c r="AG29" s="123"/>
      <c r="AH29" s="123"/>
      <c r="AI29" s="123"/>
      <c r="AJ29" s="123"/>
    </row>
    <row r="30" ht="15.75" customHeight="1">
      <c r="A30" s="123">
        <v>29.0</v>
      </c>
      <c r="B30" s="124" t="s">
        <v>1230</v>
      </c>
      <c r="C30" s="124" t="s">
        <v>106</v>
      </c>
      <c r="D30" s="124" t="s">
        <v>64</v>
      </c>
      <c r="E30" s="124" t="s">
        <v>574</v>
      </c>
      <c r="F30" s="125">
        <v>4.0</v>
      </c>
      <c r="G30" s="124" t="s">
        <v>1896</v>
      </c>
      <c r="H30" s="124" t="s">
        <v>3717</v>
      </c>
      <c r="I30" s="125" t="s">
        <v>1642</v>
      </c>
      <c r="J30" s="123"/>
      <c r="K30" s="124" t="s">
        <v>289</v>
      </c>
      <c r="L30" s="125">
        <v>40.0</v>
      </c>
      <c r="M30" s="124" t="s">
        <v>3718</v>
      </c>
      <c r="N30" s="124" t="s">
        <v>3719</v>
      </c>
      <c r="O30" s="124" t="s">
        <v>1526</v>
      </c>
      <c r="P30" s="124">
        <v>2015.0</v>
      </c>
      <c r="Q30" s="124" t="s">
        <v>753</v>
      </c>
      <c r="R30" s="127" t="str">
        <f>HYPERLINK("http://www.frameworksinstitute.org/assets/files/PDF_oceansclimate/climatechangeandtheocean_mm_final_2015.pdf","http://www.frameworksinstitute.org/assets/files/PDF_oceansclimate/climatechangeandtheocean_mm_final_2015.pdf")</f>
        <v>http://www.frameworksinstitute.org/assets/files/PDF_oceansclimate/climatechangeandtheocean_mm_final_2015.pdf</v>
      </c>
      <c r="S30" s="123"/>
      <c r="T30" s="123"/>
      <c r="U30" s="123"/>
      <c r="V30" s="123"/>
      <c r="W30" s="123"/>
      <c r="X30" s="123" t="s">
        <v>677</v>
      </c>
      <c r="Y30" s="123"/>
      <c r="Z30" s="123"/>
      <c r="AA30" s="123"/>
      <c r="AB30" s="123"/>
      <c r="AC30" s="123"/>
      <c r="AD30" s="123"/>
      <c r="AE30" s="123"/>
      <c r="AF30" s="123"/>
      <c r="AG30" s="123"/>
      <c r="AH30" s="123"/>
      <c r="AI30" s="123"/>
      <c r="AJ30" s="123"/>
    </row>
    <row r="31" ht="15.75" customHeight="1">
      <c r="A31" s="123">
        <v>30.0</v>
      </c>
      <c r="B31" s="124" t="s">
        <v>1230</v>
      </c>
      <c r="C31" s="124" t="s">
        <v>106</v>
      </c>
      <c r="D31" s="124" t="s">
        <v>64</v>
      </c>
      <c r="E31" s="124" t="s">
        <v>574</v>
      </c>
      <c r="F31" s="125">
        <v>4.0</v>
      </c>
      <c r="G31" s="124" t="s">
        <v>1896</v>
      </c>
      <c r="H31" s="124" t="s">
        <v>1114</v>
      </c>
      <c r="I31" s="125">
        <v>2000.0</v>
      </c>
      <c r="J31" s="123"/>
      <c r="K31" s="124" t="s">
        <v>111</v>
      </c>
      <c r="L31" s="125">
        <v>41.0</v>
      </c>
      <c r="M31" s="124" t="s">
        <v>1897</v>
      </c>
      <c r="N31" s="124" t="s">
        <v>188</v>
      </c>
      <c r="O31" s="124" t="s">
        <v>1898</v>
      </c>
      <c r="P31" s="126">
        <v>2013.0</v>
      </c>
      <c r="Q31" s="124" t="s">
        <v>753</v>
      </c>
      <c r="R31" s="123" t="s">
        <v>1899</v>
      </c>
      <c r="S31" s="123"/>
      <c r="T31" s="123"/>
      <c r="U31" s="123"/>
      <c r="V31" s="123" t="s">
        <v>1900</v>
      </c>
      <c r="W31" s="123"/>
      <c r="X31" s="123"/>
      <c r="Y31" s="123"/>
      <c r="Z31" s="123"/>
      <c r="AA31" s="123"/>
      <c r="AB31" s="123"/>
      <c r="AC31" s="123"/>
      <c r="AD31" s="123"/>
      <c r="AE31" s="123"/>
      <c r="AF31" s="123"/>
      <c r="AG31" s="123"/>
      <c r="AH31" s="123"/>
      <c r="AI31" s="123"/>
      <c r="AJ31" s="123"/>
    </row>
    <row r="32" ht="15.75" customHeight="1">
      <c r="A32" s="123">
        <v>31.0</v>
      </c>
      <c r="B32" s="124" t="s">
        <v>1230</v>
      </c>
      <c r="C32" s="124" t="s">
        <v>106</v>
      </c>
      <c r="D32" s="124" t="s">
        <v>64</v>
      </c>
      <c r="E32" s="124" t="s">
        <v>574</v>
      </c>
      <c r="F32" s="125">
        <v>4.0</v>
      </c>
      <c r="G32" s="124" t="s">
        <v>1896</v>
      </c>
      <c r="H32" s="124" t="s">
        <v>3740</v>
      </c>
      <c r="I32" s="125">
        <v>3000.0</v>
      </c>
      <c r="J32" s="123"/>
      <c r="K32" s="124" t="s">
        <v>289</v>
      </c>
      <c r="L32" s="125">
        <v>40.0</v>
      </c>
      <c r="M32" s="124" t="s">
        <v>3741</v>
      </c>
      <c r="N32" s="124" t="s">
        <v>3742</v>
      </c>
      <c r="O32" s="124" t="s">
        <v>2249</v>
      </c>
      <c r="P32" s="124">
        <v>2014.0</v>
      </c>
      <c r="Q32" s="124" t="s">
        <v>753</v>
      </c>
      <c r="R32" s="123" t="s">
        <v>3743</v>
      </c>
      <c r="S32" s="123"/>
      <c r="T32" s="123" t="s">
        <v>462</v>
      </c>
      <c r="U32" s="123" t="s">
        <v>462</v>
      </c>
      <c r="V32" s="123" t="s">
        <v>3403</v>
      </c>
      <c r="W32" s="123"/>
      <c r="X32" s="123" t="s">
        <v>561</v>
      </c>
      <c r="Y32" s="123" t="s">
        <v>3744</v>
      </c>
      <c r="Z32" s="129">
        <v>42404.0</v>
      </c>
      <c r="AA32" s="123"/>
      <c r="AB32" s="129">
        <v>42591.0</v>
      </c>
      <c r="AC32" s="123"/>
      <c r="AD32" s="123"/>
      <c r="AE32" s="123"/>
      <c r="AF32" s="123"/>
      <c r="AG32" s="123"/>
      <c r="AH32" s="123"/>
      <c r="AI32" s="123"/>
      <c r="AJ32" s="123"/>
    </row>
    <row r="33" ht="15.75" customHeight="1">
      <c r="A33" s="123">
        <v>32.0</v>
      </c>
      <c r="B33" s="124" t="s">
        <v>1230</v>
      </c>
      <c r="C33" s="124" t="s">
        <v>106</v>
      </c>
      <c r="D33" s="124" t="s">
        <v>64</v>
      </c>
      <c r="E33" s="124" t="s">
        <v>574</v>
      </c>
      <c r="F33" s="125">
        <v>4.0</v>
      </c>
      <c r="G33" s="124" t="s">
        <v>1896</v>
      </c>
      <c r="H33" s="124" t="s">
        <v>1643</v>
      </c>
      <c r="I33" s="125" t="s">
        <v>1642</v>
      </c>
      <c r="J33" s="123"/>
      <c r="K33" s="124" t="s">
        <v>289</v>
      </c>
      <c r="L33" s="125">
        <v>40.0</v>
      </c>
      <c r="M33" s="124" t="s">
        <v>3723</v>
      </c>
      <c r="N33" s="124" t="s">
        <v>3724</v>
      </c>
      <c r="O33" s="124" t="s">
        <v>2249</v>
      </c>
      <c r="P33" s="124">
        <v>2013.0</v>
      </c>
      <c r="Q33" s="124" t="s">
        <v>753</v>
      </c>
      <c r="R33" s="123" t="s">
        <v>3725</v>
      </c>
      <c r="S33" s="123"/>
      <c r="T33" s="123" t="s">
        <v>462</v>
      </c>
      <c r="U33" s="123" t="s">
        <v>462</v>
      </c>
      <c r="V33" s="123" t="s">
        <v>39</v>
      </c>
      <c r="W33" s="123" t="s">
        <v>663</v>
      </c>
      <c r="X33" s="123" t="s">
        <v>561</v>
      </c>
      <c r="Y33" s="123" t="s">
        <v>3726</v>
      </c>
      <c r="Z33" s="129">
        <v>42401.0</v>
      </c>
      <c r="AA33" s="129"/>
      <c r="AB33" s="129">
        <v>42586.0</v>
      </c>
      <c r="AC33" s="123"/>
      <c r="AD33" s="123"/>
      <c r="AE33" s="123"/>
      <c r="AF33" s="123"/>
      <c r="AG33" s="123"/>
      <c r="AH33" s="123"/>
      <c r="AI33" s="123"/>
      <c r="AJ33" s="123"/>
    </row>
    <row r="34" ht="15.75" customHeight="1">
      <c r="A34" s="123">
        <v>33.0</v>
      </c>
      <c r="B34" s="124" t="s">
        <v>1230</v>
      </c>
      <c r="C34" s="124" t="s">
        <v>106</v>
      </c>
      <c r="D34" s="124" t="s">
        <v>115</v>
      </c>
      <c r="E34" s="124" t="s">
        <v>574</v>
      </c>
      <c r="F34" s="125">
        <v>4.0</v>
      </c>
      <c r="G34" s="124" t="s">
        <v>224</v>
      </c>
      <c r="H34" s="124" t="s">
        <v>388</v>
      </c>
      <c r="I34" s="125">
        <v>14000.0</v>
      </c>
      <c r="J34" s="123"/>
      <c r="K34" s="124" t="s">
        <v>687</v>
      </c>
      <c r="L34" s="125" t="s">
        <v>688</v>
      </c>
      <c r="M34" s="124" t="s">
        <v>4094</v>
      </c>
      <c r="N34" s="124" t="s">
        <v>4095</v>
      </c>
      <c r="O34" s="124" t="s">
        <v>4096</v>
      </c>
      <c r="P34" s="124">
        <v>2007.0</v>
      </c>
      <c r="Q34" s="124" t="s">
        <v>4100</v>
      </c>
      <c r="R34" s="123" t="s">
        <v>4101</v>
      </c>
      <c r="S34" s="123"/>
      <c r="T34" s="123" t="s">
        <v>462</v>
      </c>
      <c r="U34" s="123" t="s">
        <v>462</v>
      </c>
      <c r="V34" s="123" t="s">
        <v>4102</v>
      </c>
      <c r="W34" s="123"/>
      <c r="X34" s="123"/>
      <c r="Y34" s="123"/>
      <c r="Z34" s="123"/>
      <c r="AA34" s="123"/>
      <c r="AB34" s="123"/>
      <c r="AC34" s="123"/>
      <c r="AD34" s="123"/>
      <c r="AE34" s="123"/>
      <c r="AF34" s="123"/>
      <c r="AG34" s="123"/>
      <c r="AH34" s="123"/>
      <c r="AI34" s="123"/>
      <c r="AJ34" s="123"/>
    </row>
    <row r="35" ht="15.75" customHeight="1">
      <c r="A35" s="123">
        <v>34.0</v>
      </c>
      <c r="B35" s="124" t="s">
        <v>1230</v>
      </c>
      <c r="C35" s="124" t="s">
        <v>106</v>
      </c>
      <c r="D35" s="124" t="s">
        <v>64</v>
      </c>
      <c r="E35" s="124" t="s">
        <v>574</v>
      </c>
      <c r="F35" s="125">
        <v>4.0</v>
      </c>
      <c r="G35" s="124" t="s">
        <v>224</v>
      </c>
      <c r="H35" s="124" t="s">
        <v>578</v>
      </c>
      <c r="I35" s="125">
        <v>2000.0</v>
      </c>
      <c r="J35" s="123"/>
      <c r="K35" s="124" t="s">
        <v>3326</v>
      </c>
      <c r="L35" s="125">
        <v>45.0</v>
      </c>
      <c r="M35" s="124" t="s">
        <v>4104</v>
      </c>
      <c r="N35" s="124" t="s">
        <v>4105</v>
      </c>
      <c r="O35" s="124" t="s">
        <v>4083</v>
      </c>
      <c r="P35" s="124">
        <v>2010.0</v>
      </c>
      <c r="Q35" s="124" t="s">
        <v>4109</v>
      </c>
      <c r="R35" s="123"/>
      <c r="S35" s="123"/>
      <c r="T35" s="123" t="s">
        <v>462</v>
      </c>
      <c r="U35" s="123" t="s">
        <v>462</v>
      </c>
      <c r="V35" s="123"/>
      <c r="W35" s="123"/>
      <c r="X35" s="123"/>
      <c r="Y35" s="123"/>
      <c r="Z35" s="123"/>
      <c r="AA35" s="123"/>
      <c r="AB35" s="123"/>
      <c r="AC35" s="123"/>
      <c r="AD35" s="123"/>
      <c r="AE35" s="123"/>
      <c r="AF35" s="123"/>
      <c r="AG35" s="123"/>
      <c r="AH35" s="123"/>
      <c r="AI35" s="123"/>
      <c r="AJ35" s="123"/>
    </row>
    <row r="36" ht="15.75" customHeight="1">
      <c r="A36" s="123">
        <v>35.0</v>
      </c>
      <c r="B36" s="124" t="s">
        <v>1230</v>
      </c>
      <c r="C36" s="124" t="s">
        <v>106</v>
      </c>
      <c r="D36" s="124" t="s">
        <v>64</v>
      </c>
      <c r="E36" s="124" t="s">
        <v>574</v>
      </c>
      <c r="F36" s="125">
        <v>4.0</v>
      </c>
      <c r="G36" s="124" t="s">
        <v>224</v>
      </c>
      <c r="H36" s="124" t="s">
        <v>578</v>
      </c>
      <c r="I36" s="125">
        <v>2000.0</v>
      </c>
      <c r="J36" s="123"/>
      <c r="K36" s="124" t="s">
        <v>289</v>
      </c>
      <c r="L36" s="125">
        <v>40.0</v>
      </c>
      <c r="M36" s="124" t="s">
        <v>4110</v>
      </c>
      <c r="N36" s="124" t="s">
        <v>4111</v>
      </c>
      <c r="O36" s="124" t="s">
        <v>4112</v>
      </c>
      <c r="P36" s="124">
        <v>2009.0</v>
      </c>
      <c r="Q36" s="124" t="s">
        <v>4114</v>
      </c>
      <c r="R36" s="123"/>
      <c r="S36" s="123"/>
      <c r="T36" s="123"/>
      <c r="U36" s="123"/>
      <c r="V36" s="123"/>
      <c r="W36" s="123"/>
      <c r="X36" s="123"/>
      <c r="Y36" s="123"/>
      <c r="Z36" s="123"/>
      <c r="AA36" s="123"/>
      <c r="AB36" s="123"/>
      <c r="AC36" s="123"/>
      <c r="AD36" s="123"/>
      <c r="AE36" s="123"/>
      <c r="AF36" s="123"/>
      <c r="AG36" s="123"/>
      <c r="AH36" s="123"/>
      <c r="AI36" s="123"/>
      <c r="AJ36" s="123"/>
    </row>
    <row r="37" ht="15.75" customHeight="1">
      <c r="A37" s="123">
        <v>36.0</v>
      </c>
      <c r="B37" s="124" t="s">
        <v>1230</v>
      </c>
      <c r="C37" s="124" t="s">
        <v>106</v>
      </c>
      <c r="D37" s="124" t="s">
        <v>64</v>
      </c>
      <c r="E37" s="124" t="s">
        <v>574</v>
      </c>
      <c r="F37" s="125">
        <v>4.0</v>
      </c>
      <c r="G37" s="124" t="s">
        <v>224</v>
      </c>
      <c r="H37" s="124" t="s">
        <v>644</v>
      </c>
      <c r="I37" s="125">
        <v>2000.0</v>
      </c>
      <c r="J37" s="123"/>
      <c r="K37" s="124" t="s">
        <v>289</v>
      </c>
      <c r="L37" s="125">
        <v>40.0</v>
      </c>
      <c r="M37" s="124" t="s">
        <v>3554</v>
      </c>
      <c r="N37" s="124" t="s">
        <v>1599</v>
      </c>
      <c r="O37" s="124" t="s">
        <v>3555</v>
      </c>
      <c r="P37" s="124">
        <v>2010.0</v>
      </c>
      <c r="Q37" s="124" t="s">
        <v>753</v>
      </c>
      <c r="R37" s="123" t="s">
        <v>3556</v>
      </c>
      <c r="S37" s="123"/>
      <c r="T37" s="123"/>
      <c r="U37" s="123"/>
      <c r="V37" s="123" t="s">
        <v>3557</v>
      </c>
      <c r="W37" s="123"/>
      <c r="X37" s="123"/>
      <c r="Y37" s="123"/>
      <c r="Z37" s="123"/>
      <c r="AA37" s="123"/>
      <c r="AB37" s="123"/>
      <c r="AC37" s="123"/>
      <c r="AD37" s="123"/>
      <c r="AE37" s="123"/>
      <c r="AF37" s="123"/>
      <c r="AG37" s="123"/>
      <c r="AH37" s="123"/>
      <c r="AI37" s="123"/>
      <c r="AJ37" s="123"/>
    </row>
    <row r="38" ht="15.75" customHeight="1">
      <c r="A38" s="123">
        <v>37.0</v>
      </c>
      <c r="B38" s="124" t="s">
        <v>1230</v>
      </c>
      <c r="C38" s="124" t="s">
        <v>106</v>
      </c>
      <c r="D38" s="124" t="s">
        <v>64</v>
      </c>
      <c r="E38" s="124" t="s">
        <v>574</v>
      </c>
      <c r="F38" s="125">
        <v>4.0</v>
      </c>
      <c r="G38" s="124" t="s">
        <v>224</v>
      </c>
      <c r="H38" s="124" t="s">
        <v>3511</v>
      </c>
      <c r="I38" s="125">
        <v>5000.0</v>
      </c>
      <c r="J38" s="123"/>
      <c r="K38" s="124" t="s">
        <v>324</v>
      </c>
      <c r="L38" s="125" t="s">
        <v>325</v>
      </c>
      <c r="M38" s="124" t="s">
        <v>3512</v>
      </c>
      <c r="N38" s="124" t="s">
        <v>3513</v>
      </c>
      <c r="O38" s="124" t="s">
        <v>3509</v>
      </c>
      <c r="P38" s="124">
        <v>2009.0</v>
      </c>
      <c r="Q38" s="124" t="s">
        <v>753</v>
      </c>
      <c r="R38" s="123"/>
      <c r="S38" s="123" t="s">
        <v>3514</v>
      </c>
      <c r="T38" s="123" t="s">
        <v>462</v>
      </c>
      <c r="U38" s="123" t="s">
        <v>428</v>
      </c>
      <c r="V38" s="123" t="s">
        <v>3515</v>
      </c>
      <c r="W38" s="123"/>
      <c r="X38" s="123"/>
      <c r="Y38" s="123"/>
      <c r="Z38" s="123"/>
      <c r="AA38" s="123"/>
      <c r="AB38" s="123"/>
      <c r="AC38" s="123"/>
      <c r="AD38" s="123"/>
      <c r="AE38" s="123"/>
      <c r="AF38" s="123"/>
      <c r="AG38" s="123"/>
      <c r="AH38" s="123"/>
      <c r="AI38" s="123"/>
      <c r="AJ38" s="123"/>
    </row>
    <row r="39" ht="15.75" customHeight="1">
      <c r="A39" s="123">
        <v>38.0</v>
      </c>
      <c r="B39" s="124" t="s">
        <v>1230</v>
      </c>
      <c r="C39" s="124" t="s">
        <v>106</v>
      </c>
      <c r="D39" s="124" t="s">
        <v>64</v>
      </c>
      <c r="E39" s="124" t="s">
        <v>574</v>
      </c>
      <c r="F39" s="125">
        <v>4.0</v>
      </c>
      <c r="G39" s="124" t="s">
        <v>879</v>
      </c>
      <c r="H39" s="124" t="s">
        <v>644</v>
      </c>
      <c r="I39" s="125">
        <v>2000.0</v>
      </c>
      <c r="J39" s="123"/>
      <c r="K39" s="124" t="s">
        <v>111</v>
      </c>
      <c r="L39" s="125">
        <v>41.0</v>
      </c>
      <c r="M39" s="124" t="s">
        <v>4125</v>
      </c>
      <c r="N39" s="124" t="s">
        <v>4126</v>
      </c>
      <c r="O39" s="124" t="s">
        <v>4127</v>
      </c>
      <c r="P39" s="124">
        <v>2009.0</v>
      </c>
      <c r="Q39" s="124" t="s">
        <v>4128</v>
      </c>
      <c r="R39" s="123" t="s">
        <v>4129</v>
      </c>
      <c r="S39" s="123"/>
      <c r="T39" s="123" t="s">
        <v>926</v>
      </c>
      <c r="U39" s="123" t="s">
        <v>462</v>
      </c>
      <c r="V39" s="123"/>
      <c r="W39" s="123"/>
      <c r="X39" s="123"/>
      <c r="Y39" s="123"/>
      <c r="Z39" s="123"/>
      <c r="AA39" s="123"/>
      <c r="AB39" s="123"/>
      <c r="AC39" s="123"/>
      <c r="AD39" s="123"/>
      <c r="AE39" s="123"/>
      <c r="AF39" s="123"/>
      <c r="AG39" s="123"/>
      <c r="AH39" s="123"/>
      <c r="AI39" s="123"/>
      <c r="AJ39" s="123"/>
    </row>
    <row r="40" ht="15.75" customHeight="1">
      <c r="A40" s="123">
        <v>39.0</v>
      </c>
      <c r="B40" s="124" t="s">
        <v>1230</v>
      </c>
      <c r="C40" s="124" t="s">
        <v>106</v>
      </c>
      <c r="D40" s="124" t="s">
        <v>173</v>
      </c>
      <c r="E40" s="124" t="s">
        <v>2516</v>
      </c>
      <c r="F40" s="125" t="s">
        <v>2517</v>
      </c>
      <c r="G40" s="124" t="s">
        <v>224</v>
      </c>
      <c r="H40" s="124" t="s">
        <v>3259</v>
      </c>
      <c r="I40" s="125">
        <v>2000.0</v>
      </c>
      <c r="J40" s="123"/>
      <c r="K40" s="124" t="s">
        <v>289</v>
      </c>
      <c r="L40" s="125">
        <v>40.0</v>
      </c>
      <c r="M40" s="124" t="s">
        <v>3261</v>
      </c>
      <c r="N40" s="124" t="s">
        <v>3262</v>
      </c>
      <c r="O40" s="124" t="s">
        <v>3263</v>
      </c>
      <c r="P40" s="126">
        <v>2016.0</v>
      </c>
      <c r="Q40" s="124" t="s">
        <v>3265</v>
      </c>
      <c r="R40" s="123"/>
      <c r="S40" s="123"/>
      <c r="T40" s="123" t="s">
        <v>462</v>
      </c>
      <c r="U40" s="123" t="s">
        <v>462</v>
      </c>
      <c r="V40" s="123" t="s">
        <v>39</v>
      </c>
      <c r="W40" s="123"/>
      <c r="X40" s="123"/>
      <c r="Y40" s="123"/>
      <c r="Z40" s="123"/>
      <c r="AA40" s="123"/>
      <c r="AB40" s="123"/>
      <c r="AC40" s="123"/>
      <c r="AD40" s="123"/>
      <c r="AE40" s="123"/>
      <c r="AF40" s="123"/>
      <c r="AG40" s="123"/>
      <c r="AH40" s="123"/>
      <c r="AI40" s="123"/>
      <c r="AJ40" s="123"/>
    </row>
    <row r="41" ht="15.75" customHeight="1">
      <c r="A41" s="123">
        <v>40.0</v>
      </c>
      <c r="B41" s="124" t="s">
        <v>1230</v>
      </c>
      <c r="C41" s="124" t="s">
        <v>106</v>
      </c>
      <c r="D41" s="124" t="s">
        <v>64</v>
      </c>
      <c r="E41" s="124" t="s">
        <v>4130</v>
      </c>
      <c r="F41" s="125" t="s">
        <v>2534</v>
      </c>
      <c r="G41" s="124" t="s">
        <v>4131</v>
      </c>
      <c r="H41" s="124" t="s">
        <v>3334</v>
      </c>
      <c r="I41" s="125">
        <v>3000.0</v>
      </c>
      <c r="J41" s="123"/>
      <c r="K41" s="124" t="s">
        <v>289</v>
      </c>
      <c r="L41" s="125">
        <v>40.0</v>
      </c>
      <c r="M41" s="124" t="s">
        <v>4132</v>
      </c>
      <c r="N41" s="124" t="s">
        <v>4133</v>
      </c>
      <c r="O41" s="124" t="s">
        <v>4134</v>
      </c>
      <c r="P41" s="124">
        <v>2013.0</v>
      </c>
      <c r="Q41" s="124" t="s">
        <v>4135</v>
      </c>
      <c r="R41" s="123" t="s">
        <v>4136</v>
      </c>
      <c r="S41" s="123"/>
      <c r="T41" s="123" t="s">
        <v>769</v>
      </c>
      <c r="U41" s="123"/>
      <c r="V41" s="123"/>
      <c r="W41" s="123"/>
      <c r="X41" s="123"/>
      <c r="Y41" s="123"/>
      <c r="Z41" s="123"/>
      <c r="AA41" s="123"/>
      <c r="AB41" s="123"/>
      <c r="AC41" s="123"/>
      <c r="AD41" s="123"/>
      <c r="AE41" s="123"/>
      <c r="AF41" s="123"/>
      <c r="AG41" s="123"/>
      <c r="AH41" s="123"/>
      <c r="AI41" s="123"/>
      <c r="AJ41" s="123" t="s">
        <v>4137</v>
      </c>
    </row>
    <row r="42" ht="15.75" customHeight="1">
      <c r="A42" s="123">
        <v>41.0</v>
      </c>
      <c r="B42" s="124" t="s">
        <v>1230</v>
      </c>
      <c r="C42" s="124" t="s">
        <v>106</v>
      </c>
      <c r="D42" s="124" t="s">
        <v>64</v>
      </c>
      <c r="E42" s="124" t="s">
        <v>619</v>
      </c>
      <c r="F42" s="125" t="s">
        <v>620</v>
      </c>
      <c r="G42" s="124" t="s">
        <v>621</v>
      </c>
      <c r="H42" s="124" t="s">
        <v>623</v>
      </c>
      <c r="I42" s="125">
        <v>4000.0</v>
      </c>
      <c r="J42" s="123"/>
      <c r="K42" s="124" t="s">
        <v>289</v>
      </c>
      <c r="L42" s="125">
        <v>40.0</v>
      </c>
      <c r="M42" s="124" t="s">
        <v>624</v>
      </c>
      <c r="N42" s="124" t="s">
        <v>625</v>
      </c>
      <c r="O42" s="124" t="s">
        <v>609</v>
      </c>
      <c r="P42" s="124">
        <v>2012.0</v>
      </c>
      <c r="Q42" s="124" t="s">
        <v>626</v>
      </c>
      <c r="R42" s="123" t="s">
        <v>627</v>
      </c>
      <c r="S42" s="123" t="s">
        <v>628</v>
      </c>
      <c r="T42" s="123" t="s">
        <v>613</v>
      </c>
      <c r="U42" s="123" t="s">
        <v>613</v>
      </c>
      <c r="V42" s="123"/>
      <c r="W42" s="123"/>
      <c r="X42" s="123" t="s">
        <v>561</v>
      </c>
      <c r="Y42" s="123" t="s">
        <v>630</v>
      </c>
      <c r="Z42" s="129">
        <v>42417.0</v>
      </c>
      <c r="AA42" s="123"/>
      <c r="AB42" s="129">
        <v>42592.0</v>
      </c>
      <c r="AC42" s="123"/>
      <c r="AD42" s="123"/>
      <c r="AE42" s="123"/>
      <c r="AF42" s="123"/>
      <c r="AG42" s="123"/>
      <c r="AH42" s="123"/>
      <c r="AI42" s="123"/>
      <c r="AJ42" s="123"/>
    </row>
    <row r="43" ht="15.75" customHeight="1">
      <c r="A43" s="123">
        <v>42.0</v>
      </c>
      <c r="B43" s="124" t="s">
        <v>1230</v>
      </c>
      <c r="C43" s="124" t="s">
        <v>106</v>
      </c>
      <c r="D43" s="124" t="s">
        <v>64</v>
      </c>
      <c r="E43" s="124" t="s">
        <v>1956</v>
      </c>
      <c r="F43" s="125" t="s">
        <v>1957</v>
      </c>
      <c r="G43" s="124" t="s">
        <v>224</v>
      </c>
      <c r="H43" s="124" t="s">
        <v>644</v>
      </c>
      <c r="I43" s="125">
        <v>2000.0</v>
      </c>
      <c r="J43" s="123"/>
      <c r="K43" s="124" t="s">
        <v>289</v>
      </c>
      <c r="L43" s="125">
        <v>40.0</v>
      </c>
      <c r="M43" s="124" t="s">
        <v>2818</v>
      </c>
      <c r="N43" s="124" t="s">
        <v>188</v>
      </c>
      <c r="O43" s="124" t="s">
        <v>2811</v>
      </c>
      <c r="P43" s="126">
        <v>2016.0</v>
      </c>
      <c r="Q43" s="124" t="s">
        <v>753</v>
      </c>
      <c r="R43" s="127" t="str">
        <f>HYPERLINK("http://ecoamerica.org/wp-content/uploads/2016/06/ecoAmerica-15-Steps-To-Create-Effective-Climate-Communications.pdf","http://ecoamerica.org/wp-content/uploads/2016/06/ecoAmerica-15-Steps-To-Create-Effective-Climate-Communications.pdf")</f>
        <v>http://ecoamerica.org/wp-content/uploads/2016/06/ecoAmerica-15-Steps-To-Create-Effective-Climate-Communications.pdf</v>
      </c>
      <c r="S43" s="123"/>
      <c r="T43" s="123"/>
      <c r="U43" s="123"/>
      <c r="V43" s="123"/>
      <c r="W43" s="123"/>
      <c r="X43" s="123"/>
      <c r="Y43" s="123"/>
      <c r="Z43" s="129"/>
      <c r="AA43" s="123"/>
      <c r="AB43" s="129"/>
      <c r="AC43" s="123"/>
      <c r="AD43" s="123"/>
      <c r="AE43" s="123"/>
      <c r="AF43" s="123"/>
      <c r="AG43" s="123"/>
      <c r="AH43" s="123"/>
      <c r="AI43" s="123"/>
      <c r="AJ43" s="123"/>
    </row>
    <row r="44" ht="15.75" customHeight="1">
      <c r="A44" s="123">
        <v>43.0</v>
      </c>
      <c r="B44" s="124" t="s">
        <v>1230</v>
      </c>
      <c r="C44" s="124" t="s">
        <v>106</v>
      </c>
      <c r="D44" s="124" t="s">
        <v>64</v>
      </c>
      <c r="E44" s="124" t="s">
        <v>1956</v>
      </c>
      <c r="F44" s="125" t="s">
        <v>1957</v>
      </c>
      <c r="G44" s="124" t="s">
        <v>224</v>
      </c>
      <c r="H44" s="124" t="s">
        <v>644</v>
      </c>
      <c r="I44" s="125">
        <v>2000.0</v>
      </c>
      <c r="J44" s="123"/>
      <c r="K44" s="124" t="s">
        <v>289</v>
      </c>
      <c r="L44" s="125">
        <v>40.0</v>
      </c>
      <c r="M44" s="124" t="s">
        <v>2825</v>
      </c>
      <c r="N44" s="124" t="s">
        <v>188</v>
      </c>
      <c r="O44" s="124" t="s">
        <v>2811</v>
      </c>
      <c r="P44" s="126">
        <v>2015.0</v>
      </c>
      <c r="Q44" s="124" t="s">
        <v>753</v>
      </c>
      <c r="R44" s="127" t="str">
        <f>HYPERLINK("http://ecoamerica.org/wp-content/uploads/2015/11/eA-lets-talk-climate.pdf","http://ecoamerica.org/wp-content/uploads/2015/11/eA-lets-talk-climate.pdf")</f>
        <v>http://ecoamerica.org/wp-content/uploads/2015/11/eA-lets-talk-climate.pdf</v>
      </c>
      <c r="S44" s="123"/>
      <c r="T44" s="123"/>
      <c r="U44" s="123"/>
      <c r="V44" s="123"/>
      <c r="W44" s="123"/>
      <c r="X44" s="123"/>
      <c r="Y44" s="123"/>
      <c r="Z44" s="129"/>
      <c r="AA44" s="123"/>
      <c r="AB44" s="129"/>
      <c r="AC44" s="123"/>
      <c r="AD44" s="123"/>
      <c r="AE44" s="123"/>
      <c r="AF44" s="123"/>
      <c r="AG44" s="123"/>
      <c r="AH44" s="123"/>
      <c r="AI44" s="123"/>
      <c r="AJ44" s="123"/>
    </row>
    <row r="45" ht="15.75" customHeight="1">
      <c r="A45" s="123">
        <v>44.0</v>
      </c>
      <c r="B45" s="124" t="s">
        <v>1230</v>
      </c>
      <c r="C45" s="124" t="s">
        <v>106</v>
      </c>
      <c r="D45" s="124" t="s">
        <v>64</v>
      </c>
      <c r="E45" s="124" t="s">
        <v>2057</v>
      </c>
      <c r="F45" s="125" t="s">
        <v>973</v>
      </c>
      <c r="G45" s="124" t="s">
        <v>2058</v>
      </c>
      <c r="H45" s="124" t="s">
        <v>2059</v>
      </c>
      <c r="I45" s="125">
        <v>2000.0</v>
      </c>
      <c r="J45" s="123"/>
      <c r="K45" s="124" t="s">
        <v>289</v>
      </c>
      <c r="L45" s="125">
        <v>40.0</v>
      </c>
      <c r="M45" s="124" t="s">
        <v>2062</v>
      </c>
      <c r="N45" s="124" t="s">
        <v>2064</v>
      </c>
      <c r="O45" s="124" t="s">
        <v>2052</v>
      </c>
      <c r="P45" s="124">
        <v>2011.0</v>
      </c>
      <c r="Q45" s="124" t="s">
        <v>2070</v>
      </c>
      <c r="R45" s="123"/>
      <c r="S45" s="123"/>
      <c r="T45" s="123"/>
      <c r="U45" s="123"/>
      <c r="V45" s="123" t="s">
        <v>39</v>
      </c>
      <c r="W45" s="123"/>
      <c r="X45" s="123"/>
      <c r="Y45" s="123"/>
      <c r="Z45" s="123"/>
      <c r="AA45" s="123"/>
      <c r="AB45" s="123"/>
      <c r="AC45" s="123"/>
      <c r="AD45" s="123"/>
      <c r="AE45" s="123"/>
      <c r="AF45" s="123"/>
      <c r="AG45" s="123"/>
      <c r="AH45" s="123"/>
      <c r="AI45" s="123"/>
      <c r="AJ45" s="123"/>
    </row>
    <row r="46" ht="15.75" customHeight="1">
      <c r="A46" s="123">
        <v>45.0</v>
      </c>
      <c r="B46" s="124" t="s">
        <v>1230</v>
      </c>
      <c r="C46" s="124" t="s">
        <v>106</v>
      </c>
      <c r="D46" s="124" t="s">
        <v>64</v>
      </c>
      <c r="E46" s="124" t="s">
        <v>4158</v>
      </c>
      <c r="F46" s="125" t="s">
        <v>4159</v>
      </c>
      <c r="G46" s="124" t="s">
        <v>4160</v>
      </c>
      <c r="H46" s="124" t="s">
        <v>169</v>
      </c>
      <c r="I46" s="125">
        <v>20000.0</v>
      </c>
      <c r="J46" s="123"/>
      <c r="K46" s="124" t="s">
        <v>111</v>
      </c>
      <c r="L46" s="125">
        <v>41.0</v>
      </c>
      <c r="M46" s="124" t="s">
        <v>4165</v>
      </c>
      <c r="N46" s="124" t="s">
        <v>4167</v>
      </c>
      <c r="O46" s="124" t="s">
        <v>4168</v>
      </c>
      <c r="P46" s="124">
        <v>2012.0</v>
      </c>
      <c r="Q46" s="124" t="s">
        <v>4169</v>
      </c>
      <c r="R46" s="123"/>
      <c r="S46" s="123"/>
      <c r="T46" s="123"/>
      <c r="U46" s="123"/>
      <c r="V46" s="123"/>
      <c r="W46" s="123"/>
      <c r="X46" s="123"/>
      <c r="Y46" s="123"/>
      <c r="Z46" s="123"/>
      <c r="AA46" s="123"/>
      <c r="AB46" s="123"/>
      <c r="AC46" s="123"/>
      <c r="AD46" s="123"/>
      <c r="AE46" s="123"/>
      <c r="AF46" s="123"/>
      <c r="AG46" s="123"/>
      <c r="AH46" s="123"/>
      <c r="AI46" s="123"/>
      <c r="AJ46" s="123"/>
    </row>
    <row r="47" ht="15.75" customHeight="1">
      <c r="A47" s="123">
        <v>46.0</v>
      </c>
      <c r="B47" s="124" t="s">
        <v>1230</v>
      </c>
      <c r="C47" s="124" t="s">
        <v>106</v>
      </c>
      <c r="D47" s="124" t="s">
        <v>64</v>
      </c>
      <c r="E47" s="124" t="s">
        <v>1901</v>
      </c>
      <c r="F47" s="125" t="s">
        <v>1902</v>
      </c>
      <c r="G47" s="124" t="s">
        <v>224</v>
      </c>
      <c r="H47" s="124" t="s">
        <v>644</v>
      </c>
      <c r="I47" s="125">
        <v>2000.0</v>
      </c>
      <c r="J47" s="123"/>
      <c r="K47" s="124" t="s">
        <v>111</v>
      </c>
      <c r="L47" s="125">
        <v>41.0</v>
      </c>
      <c r="M47" s="131" t="str">
        <f>HYPERLINK("http://www.climateoutreach.org.uk/download/3803/","How do young people engage with climate change? Towards more effective communication with 18-25 year olds.")</f>
        <v>How do young people engage with climate change? Towards more effective communication with 18-25 year olds.</v>
      </c>
      <c r="N47" s="124" t="s">
        <v>1906</v>
      </c>
      <c r="O47" s="124" t="s">
        <v>1898</v>
      </c>
      <c r="P47" s="124">
        <v>2015.0</v>
      </c>
      <c r="Q47" s="124" t="s">
        <v>610</v>
      </c>
      <c r="R47" s="123" t="s">
        <v>1907</v>
      </c>
      <c r="S47" s="123"/>
      <c r="T47" s="123" t="s">
        <v>428</v>
      </c>
      <c r="U47" s="123" t="s">
        <v>462</v>
      </c>
      <c r="V47" s="123" t="s">
        <v>1911</v>
      </c>
      <c r="W47" s="123"/>
      <c r="X47" s="123"/>
      <c r="Y47" s="123"/>
      <c r="Z47" s="123"/>
      <c r="AA47" s="123"/>
      <c r="AB47" s="123"/>
      <c r="AC47" s="123"/>
      <c r="AD47" s="123"/>
      <c r="AE47" s="123"/>
      <c r="AF47" s="123"/>
      <c r="AG47" s="123"/>
      <c r="AH47" s="123"/>
      <c r="AI47" s="123"/>
      <c r="AJ47" s="123"/>
    </row>
    <row r="48" ht="15.75" customHeight="1">
      <c r="A48" s="123">
        <v>47.0</v>
      </c>
      <c r="B48" s="124" t="s">
        <v>1230</v>
      </c>
      <c r="C48" s="124" t="s">
        <v>106</v>
      </c>
      <c r="D48" s="124" t="s">
        <v>64</v>
      </c>
      <c r="E48" s="124" t="s">
        <v>4183</v>
      </c>
      <c r="F48" s="125" t="s">
        <v>4184</v>
      </c>
      <c r="G48" s="124" t="s">
        <v>224</v>
      </c>
      <c r="H48" s="124" t="s">
        <v>4185</v>
      </c>
      <c r="I48" s="125" t="s">
        <v>4186</v>
      </c>
      <c r="J48" s="123"/>
      <c r="K48" s="124" t="s">
        <v>289</v>
      </c>
      <c r="L48" s="125">
        <v>40.0</v>
      </c>
      <c r="M48" s="124" t="s">
        <v>4187</v>
      </c>
      <c r="N48" s="124" t="s">
        <v>4188</v>
      </c>
      <c r="O48" s="124" t="s">
        <v>4189</v>
      </c>
      <c r="P48" s="124">
        <v>2003.0</v>
      </c>
      <c r="Q48" s="124" t="s">
        <v>4191</v>
      </c>
      <c r="R48" s="123"/>
      <c r="S48" s="123"/>
      <c r="T48" s="123"/>
      <c r="U48" s="123"/>
      <c r="V48" s="123"/>
      <c r="W48" s="123"/>
      <c r="X48" s="123"/>
      <c r="Y48" s="123"/>
      <c r="Z48" s="123"/>
      <c r="AA48" s="123"/>
      <c r="AB48" s="123"/>
      <c r="AC48" s="123"/>
      <c r="AD48" s="123"/>
      <c r="AE48" s="123"/>
      <c r="AF48" s="123"/>
      <c r="AG48" s="123"/>
      <c r="AH48" s="123"/>
      <c r="AI48" s="123"/>
      <c r="AJ48" s="123"/>
    </row>
    <row r="49" ht="15.75" customHeight="1">
      <c r="A49" s="123">
        <v>48.0</v>
      </c>
      <c r="B49" s="124" t="s">
        <v>1230</v>
      </c>
      <c r="C49" s="124" t="s">
        <v>106</v>
      </c>
      <c r="D49" s="124" t="s">
        <v>64</v>
      </c>
      <c r="E49" s="124" t="s">
        <v>3289</v>
      </c>
      <c r="F49" s="125" t="s">
        <v>3290</v>
      </c>
      <c r="G49" s="124" t="s">
        <v>3291</v>
      </c>
      <c r="H49" s="124" t="s">
        <v>644</v>
      </c>
      <c r="I49" s="125">
        <v>2000.0</v>
      </c>
      <c r="J49" s="123"/>
      <c r="K49" s="124" t="s">
        <v>324</v>
      </c>
      <c r="L49" s="125" t="s">
        <v>325</v>
      </c>
      <c r="M49" s="124" t="s">
        <v>3294</v>
      </c>
      <c r="N49" s="124" t="s">
        <v>3296</v>
      </c>
      <c r="O49" s="124" t="s">
        <v>3263</v>
      </c>
      <c r="P49" s="124">
        <v>2011.0</v>
      </c>
      <c r="Q49" s="124" t="s">
        <v>3298</v>
      </c>
      <c r="R49" s="123" t="s">
        <v>3299</v>
      </c>
      <c r="S49" s="123"/>
      <c r="T49" s="123" t="s">
        <v>462</v>
      </c>
      <c r="U49" s="123" t="s">
        <v>462</v>
      </c>
      <c r="V49" s="123"/>
      <c r="W49" s="123"/>
      <c r="X49" s="123"/>
      <c r="Y49" s="123"/>
      <c r="Z49" s="123"/>
      <c r="AA49" s="123"/>
      <c r="AB49" s="123"/>
      <c r="AC49" s="123"/>
      <c r="AD49" s="123"/>
      <c r="AE49" s="123"/>
      <c r="AF49" s="123"/>
      <c r="AG49" s="123"/>
      <c r="AH49" s="123"/>
      <c r="AI49" s="123"/>
      <c r="AJ49" s="123"/>
    </row>
    <row r="50" ht="15.75" customHeight="1">
      <c r="A50" s="123">
        <v>49.0</v>
      </c>
      <c r="B50" s="124" t="s">
        <v>1230</v>
      </c>
      <c r="C50" s="124" t="s">
        <v>106</v>
      </c>
      <c r="D50" s="124" t="s">
        <v>64</v>
      </c>
      <c r="E50" s="124" t="s">
        <v>3169</v>
      </c>
      <c r="F50" s="125" t="s">
        <v>2695</v>
      </c>
      <c r="G50" s="124" t="s">
        <v>4196</v>
      </c>
      <c r="H50" s="124" t="s">
        <v>2293</v>
      </c>
      <c r="I50" s="125">
        <v>23000.0</v>
      </c>
      <c r="J50" s="123"/>
      <c r="K50" s="124" t="s">
        <v>289</v>
      </c>
      <c r="L50" s="125">
        <v>40.0</v>
      </c>
      <c r="M50" s="124" t="s">
        <v>4197</v>
      </c>
      <c r="N50" s="124" t="s">
        <v>4198</v>
      </c>
      <c r="O50" s="124" t="s">
        <v>4199</v>
      </c>
      <c r="P50" s="124">
        <v>2009.0</v>
      </c>
      <c r="Q50" s="124" t="s">
        <v>4200</v>
      </c>
      <c r="R50" s="123" t="s">
        <v>4201</v>
      </c>
      <c r="S50" s="123"/>
      <c r="T50" s="123" t="s">
        <v>462</v>
      </c>
      <c r="U50" s="123" t="s">
        <v>462</v>
      </c>
      <c r="V50" s="123"/>
      <c r="W50" s="123"/>
      <c r="X50" s="123"/>
      <c r="Y50" s="123"/>
      <c r="Z50" s="123"/>
      <c r="AA50" s="123"/>
      <c r="AB50" s="123"/>
      <c r="AC50" s="123"/>
      <c r="AD50" s="123"/>
      <c r="AE50" s="123"/>
      <c r="AF50" s="123"/>
      <c r="AG50" s="123"/>
      <c r="AH50" s="123"/>
      <c r="AI50" s="123"/>
      <c r="AJ50" s="123" t="s">
        <v>2312</v>
      </c>
    </row>
    <row r="51" ht="15.75" customHeight="1">
      <c r="A51" s="123">
        <v>50.0</v>
      </c>
      <c r="B51" s="124" t="s">
        <v>1230</v>
      </c>
      <c r="C51" s="124" t="s">
        <v>106</v>
      </c>
      <c r="D51" s="124" t="s">
        <v>64</v>
      </c>
      <c r="E51" s="124" t="s">
        <v>3169</v>
      </c>
      <c r="F51" s="125" t="s">
        <v>2695</v>
      </c>
      <c r="G51" s="124" t="s">
        <v>3170</v>
      </c>
      <c r="H51" s="124" t="s">
        <v>470</v>
      </c>
      <c r="I51" s="125">
        <v>3000.0</v>
      </c>
      <c r="J51" s="123"/>
      <c r="K51" s="124" t="s">
        <v>111</v>
      </c>
      <c r="L51" s="125">
        <v>41.0</v>
      </c>
      <c r="M51" s="124" t="s">
        <v>3171</v>
      </c>
      <c r="N51" s="124" t="s">
        <v>3172</v>
      </c>
      <c r="O51" s="126" t="s">
        <v>3123</v>
      </c>
      <c r="P51" s="124">
        <v>2010.0</v>
      </c>
      <c r="Q51" s="124" t="s">
        <v>3173</v>
      </c>
      <c r="R51" s="123"/>
      <c r="S51" s="123"/>
      <c r="T51" s="123"/>
      <c r="U51" s="123"/>
      <c r="V51" s="123"/>
      <c r="W51" s="123"/>
      <c r="X51" s="123"/>
      <c r="Y51" s="123"/>
      <c r="Z51" s="123"/>
      <c r="AA51" s="123"/>
      <c r="AB51" s="123"/>
      <c r="AC51" s="123"/>
      <c r="AD51" s="123"/>
      <c r="AE51" s="123"/>
      <c r="AF51" s="123"/>
      <c r="AG51" s="123"/>
      <c r="AH51" s="123"/>
      <c r="AI51" s="123"/>
      <c r="AJ51" s="123"/>
    </row>
    <row r="52" ht="15.75" customHeight="1">
      <c r="A52" s="123">
        <v>51.0</v>
      </c>
      <c r="B52" s="124" t="s">
        <v>1230</v>
      </c>
      <c r="C52" s="124" t="s">
        <v>106</v>
      </c>
      <c r="D52" s="124" t="s">
        <v>64</v>
      </c>
      <c r="E52" s="124" t="s">
        <v>3169</v>
      </c>
      <c r="F52" s="125" t="s">
        <v>2695</v>
      </c>
      <c r="G52" s="124" t="s">
        <v>4202</v>
      </c>
      <c r="H52" s="124" t="s">
        <v>644</v>
      </c>
      <c r="I52" s="125">
        <v>2000.0</v>
      </c>
      <c r="J52" s="123"/>
      <c r="K52" s="124" t="s">
        <v>111</v>
      </c>
      <c r="L52" s="125">
        <v>41.0</v>
      </c>
      <c r="M52" s="124" t="s">
        <v>4203</v>
      </c>
      <c r="N52" s="124" t="s">
        <v>4204</v>
      </c>
      <c r="O52" s="124" t="s">
        <v>4205</v>
      </c>
      <c r="P52" s="124">
        <v>2013.0</v>
      </c>
      <c r="Q52" s="124" t="s">
        <v>610</v>
      </c>
      <c r="R52" s="123" t="s">
        <v>4206</v>
      </c>
      <c r="S52" s="123"/>
      <c r="T52" s="123" t="s">
        <v>462</v>
      </c>
      <c r="U52" s="123" t="s">
        <v>428</v>
      </c>
      <c r="V52" s="123" t="s">
        <v>4207</v>
      </c>
      <c r="W52" s="123"/>
      <c r="X52" s="123"/>
      <c r="Y52" s="123"/>
      <c r="Z52" s="123"/>
      <c r="AA52" s="123"/>
      <c r="AB52" s="123"/>
      <c r="AC52" s="123"/>
      <c r="AD52" s="123"/>
      <c r="AE52" s="123"/>
      <c r="AF52" s="123"/>
      <c r="AG52" s="123"/>
      <c r="AH52" s="123"/>
      <c r="AI52" s="123"/>
      <c r="AJ52" s="123"/>
    </row>
    <row r="53" ht="15.75" customHeight="1">
      <c r="A53" s="123">
        <v>52.0</v>
      </c>
      <c r="B53" s="124" t="s">
        <v>1230</v>
      </c>
      <c r="C53" s="124" t="s">
        <v>106</v>
      </c>
      <c r="D53" s="124" t="s">
        <v>64</v>
      </c>
      <c r="E53" s="124" t="s">
        <v>4208</v>
      </c>
      <c r="F53" s="125" t="s">
        <v>4209</v>
      </c>
      <c r="G53" s="124" t="s">
        <v>224</v>
      </c>
      <c r="H53" s="124" t="s">
        <v>1114</v>
      </c>
      <c r="I53" s="125">
        <v>2000.0</v>
      </c>
      <c r="J53" s="123"/>
      <c r="K53" s="124" t="s">
        <v>289</v>
      </c>
      <c r="L53" s="125">
        <v>40.0</v>
      </c>
      <c r="M53" s="124" t="s">
        <v>4210</v>
      </c>
      <c r="N53" s="124" t="s">
        <v>4211</v>
      </c>
      <c r="O53" s="124" t="s">
        <v>4212</v>
      </c>
      <c r="P53" s="126">
        <v>2009.0</v>
      </c>
      <c r="Q53" s="124" t="s">
        <v>4213</v>
      </c>
      <c r="R53" s="123" t="s">
        <v>4214</v>
      </c>
      <c r="S53" s="123"/>
      <c r="T53" s="123"/>
      <c r="U53" s="123"/>
      <c r="V53" s="123" t="s">
        <v>3233</v>
      </c>
      <c r="W53" s="123"/>
      <c r="X53" s="123"/>
      <c r="Y53" s="123"/>
      <c r="Z53" s="123"/>
      <c r="AA53" s="123"/>
      <c r="AB53" s="123"/>
      <c r="AC53" s="123"/>
      <c r="AD53" s="123"/>
      <c r="AE53" s="123"/>
      <c r="AF53" s="123"/>
      <c r="AG53" s="123"/>
      <c r="AH53" s="123"/>
      <c r="AI53" s="123"/>
      <c r="AJ53" s="123"/>
    </row>
    <row r="54" ht="15.75" customHeight="1">
      <c r="A54" s="123">
        <v>53.0</v>
      </c>
      <c r="B54" s="124" t="s">
        <v>1230</v>
      </c>
      <c r="C54" s="124" t="s">
        <v>106</v>
      </c>
      <c r="D54" s="124" t="s">
        <v>64</v>
      </c>
      <c r="E54" s="124" t="s">
        <v>510</v>
      </c>
      <c r="F54" s="125" t="s">
        <v>511</v>
      </c>
      <c r="G54" s="124" t="s">
        <v>513</v>
      </c>
      <c r="H54" s="124" t="s">
        <v>388</v>
      </c>
      <c r="I54" s="125">
        <v>14000.0</v>
      </c>
      <c r="J54" s="123"/>
      <c r="K54" s="124" t="s">
        <v>289</v>
      </c>
      <c r="L54" s="125">
        <v>40.0</v>
      </c>
      <c r="M54" s="124" t="s">
        <v>515</v>
      </c>
      <c r="N54" s="124" t="s">
        <v>517</v>
      </c>
      <c r="O54" s="124" t="s">
        <v>518</v>
      </c>
      <c r="P54" s="124">
        <v>2006.0</v>
      </c>
      <c r="Q54" s="124" t="s">
        <v>525</v>
      </c>
      <c r="R54" s="123" t="s">
        <v>527</v>
      </c>
      <c r="S54" s="132" t="s">
        <v>529</v>
      </c>
      <c r="T54" s="123" t="s">
        <v>530</v>
      </c>
      <c r="U54" s="123" t="s">
        <v>530</v>
      </c>
      <c r="V54" s="123"/>
      <c r="W54" s="123"/>
      <c r="X54" s="123"/>
      <c r="Y54" s="123"/>
      <c r="Z54" s="123"/>
      <c r="AA54" s="123"/>
      <c r="AB54" s="123"/>
      <c r="AC54" s="123"/>
      <c r="AD54" s="123"/>
      <c r="AE54" s="123"/>
      <c r="AF54" s="123"/>
      <c r="AG54" s="123"/>
      <c r="AH54" s="123"/>
      <c r="AI54" s="123"/>
      <c r="AJ54" s="123"/>
    </row>
    <row r="55" ht="15.75" customHeight="1">
      <c r="A55" s="123">
        <v>54.0</v>
      </c>
      <c r="B55" s="124" t="s">
        <v>1230</v>
      </c>
      <c r="C55" s="124" t="s">
        <v>106</v>
      </c>
      <c r="D55" s="124" t="s">
        <v>64</v>
      </c>
      <c r="E55" s="124" t="s">
        <v>867</v>
      </c>
      <c r="F55" s="125" t="s">
        <v>868</v>
      </c>
      <c r="G55" s="124" t="s">
        <v>869</v>
      </c>
      <c r="H55" s="124" t="s">
        <v>388</v>
      </c>
      <c r="I55" s="125">
        <v>14000.0</v>
      </c>
      <c r="J55" s="123"/>
      <c r="K55" s="124" t="s">
        <v>289</v>
      </c>
      <c r="L55" s="125">
        <v>40.0</v>
      </c>
      <c r="M55" s="124" t="s">
        <v>871</v>
      </c>
      <c r="N55" s="124" t="s">
        <v>872</v>
      </c>
      <c r="O55" s="124" t="s">
        <v>873</v>
      </c>
      <c r="P55" s="124">
        <v>2002.0</v>
      </c>
      <c r="Q55" s="124" t="s">
        <v>874</v>
      </c>
      <c r="R55" s="123" t="s">
        <v>875</v>
      </c>
      <c r="S55" s="123" t="s">
        <v>876</v>
      </c>
      <c r="T55" s="123" t="s">
        <v>877</v>
      </c>
      <c r="U55" s="123" t="s">
        <v>878</v>
      </c>
      <c r="V55" s="123"/>
      <c r="W55" s="123"/>
      <c r="X55" s="123"/>
      <c r="Y55" s="123"/>
      <c r="Z55" s="123"/>
      <c r="AA55" s="123"/>
      <c r="AB55" s="123"/>
      <c r="AC55" s="123"/>
      <c r="AD55" s="123"/>
      <c r="AE55" s="123"/>
      <c r="AF55" s="123"/>
      <c r="AG55" s="123"/>
      <c r="AH55" s="123"/>
      <c r="AI55" s="123"/>
      <c r="AJ55" s="123"/>
    </row>
    <row r="56" ht="15.75" customHeight="1">
      <c r="A56" s="123">
        <v>55.0</v>
      </c>
      <c r="B56" s="124" t="s">
        <v>1230</v>
      </c>
      <c r="C56" s="124" t="s">
        <v>106</v>
      </c>
      <c r="D56" s="124" t="s">
        <v>64</v>
      </c>
      <c r="E56" s="124" t="s">
        <v>1248</v>
      </c>
      <c r="F56" s="125" t="s">
        <v>1249</v>
      </c>
      <c r="G56" s="124" t="s">
        <v>1250</v>
      </c>
      <c r="H56" s="124" t="s">
        <v>644</v>
      </c>
      <c r="I56" s="125">
        <v>2000.0</v>
      </c>
      <c r="J56" s="123"/>
      <c r="K56" s="124" t="s">
        <v>289</v>
      </c>
      <c r="L56" s="125">
        <v>40.0</v>
      </c>
      <c r="M56" s="124" t="s">
        <v>1253</v>
      </c>
      <c r="N56" s="124" t="s">
        <v>188</v>
      </c>
      <c r="O56" s="124" t="s">
        <v>1254</v>
      </c>
      <c r="P56" s="126">
        <v>2009.0</v>
      </c>
      <c r="Q56" s="124" t="s">
        <v>610</v>
      </c>
      <c r="R56" s="127" t="str">
        <f>HYPERLINK("http://guide.cred.columbia.edu/pdfs/CREDguide_full-res.pdf","http://guide.cred.columbia.edu/pdfs/CREDguide_full-res.pdf")</f>
        <v>http://guide.cred.columbia.edu/pdfs/CREDguide_full-res.pdf</v>
      </c>
      <c r="S56" s="123"/>
      <c r="T56" s="123"/>
      <c r="U56" s="123"/>
      <c r="V56" s="123"/>
      <c r="W56" s="123"/>
      <c r="X56" s="123"/>
      <c r="Y56" s="123"/>
      <c r="Z56" s="123"/>
      <c r="AA56" s="123"/>
      <c r="AB56" s="123"/>
      <c r="AC56" s="123"/>
      <c r="AD56" s="123"/>
      <c r="AE56" s="123"/>
      <c r="AF56" s="123"/>
      <c r="AG56" s="123"/>
      <c r="AH56" s="123"/>
      <c r="AI56" s="123"/>
      <c r="AJ56" s="123"/>
    </row>
    <row r="57" ht="15.75" customHeight="1">
      <c r="A57" s="123">
        <v>56.0</v>
      </c>
      <c r="B57" s="124" t="s">
        <v>1230</v>
      </c>
      <c r="C57" s="124" t="s">
        <v>106</v>
      </c>
      <c r="D57" s="124" t="s">
        <v>64</v>
      </c>
      <c r="E57" s="124" t="s">
        <v>1635</v>
      </c>
      <c r="F57" s="125" t="s">
        <v>3406</v>
      </c>
      <c r="G57" s="124" t="s">
        <v>4238</v>
      </c>
      <c r="H57" s="124" t="s">
        <v>1052</v>
      </c>
      <c r="I57" s="125">
        <v>21000.0</v>
      </c>
      <c r="J57" s="123"/>
      <c r="K57" s="124" t="s">
        <v>289</v>
      </c>
      <c r="L57" s="125">
        <v>40.0</v>
      </c>
      <c r="M57" s="124" t="s">
        <v>4239</v>
      </c>
      <c r="N57" s="124" t="s">
        <v>4240</v>
      </c>
      <c r="O57" s="124" t="s">
        <v>3992</v>
      </c>
      <c r="P57" s="124">
        <v>2014.0</v>
      </c>
      <c r="Q57" s="124" t="s">
        <v>4243</v>
      </c>
      <c r="R57" s="123"/>
      <c r="S57" s="123"/>
      <c r="T57" s="123"/>
      <c r="U57" s="123"/>
      <c r="V57" s="123"/>
      <c r="W57" s="123"/>
      <c r="X57" s="123"/>
      <c r="Y57" s="123"/>
      <c r="Z57" s="123"/>
      <c r="AA57" s="123"/>
      <c r="AB57" s="123"/>
      <c r="AC57" s="123"/>
      <c r="AD57" s="123"/>
      <c r="AE57" s="123"/>
      <c r="AF57" s="123"/>
      <c r="AG57" s="123"/>
      <c r="AH57" s="123"/>
      <c r="AI57" s="123"/>
      <c r="AJ57" s="123"/>
    </row>
    <row r="58" ht="15.75" customHeight="1">
      <c r="A58" s="123">
        <v>57.0</v>
      </c>
      <c r="B58" s="124" t="s">
        <v>1230</v>
      </c>
      <c r="C58" s="124" t="s">
        <v>106</v>
      </c>
      <c r="D58" s="124" t="s">
        <v>64</v>
      </c>
      <c r="E58" s="124" t="s">
        <v>1331</v>
      </c>
      <c r="F58" s="125" t="s">
        <v>1371</v>
      </c>
      <c r="G58" s="124" t="s">
        <v>1916</v>
      </c>
      <c r="H58" s="124" t="s">
        <v>644</v>
      </c>
      <c r="I58" s="125">
        <v>2000.0</v>
      </c>
      <c r="J58" s="123"/>
      <c r="K58" s="124" t="s">
        <v>111</v>
      </c>
      <c r="L58" s="125">
        <v>41.0</v>
      </c>
      <c r="M58" s="124" t="s">
        <v>1919</v>
      </c>
      <c r="N58" s="124" t="s">
        <v>1920</v>
      </c>
      <c r="O58" s="124" t="s">
        <v>1898</v>
      </c>
      <c r="P58" s="124">
        <v>2014.0</v>
      </c>
      <c r="Q58" s="130" t="s">
        <v>1930</v>
      </c>
      <c r="R58" s="123" t="s">
        <v>1931</v>
      </c>
      <c r="S58" s="123" t="s">
        <v>1534</v>
      </c>
      <c r="T58" s="123" t="s">
        <v>462</v>
      </c>
      <c r="U58" s="123" t="s">
        <v>428</v>
      </c>
      <c r="V58" s="123"/>
      <c r="W58" s="123"/>
      <c r="X58" s="129"/>
      <c r="Y58" s="123"/>
      <c r="Z58" s="123"/>
      <c r="AA58" s="129"/>
      <c r="AB58" s="129"/>
      <c r="AC58" s="123"/>
      <c r="AD58" s="123"/>
      <c r="AE58" s="123"/>
      <c r="AF58" s="123"/>
      <c r="AG58" s="123"/>
      <c r="AH58" s="123"/>
      <c r="AI58" s="123"/>
      <c r="AJ58" s="123"/>
    </row>
    <row r="59" ht="15.75" customHeight="1">
      <c r="A59" s="123">
        <v>58.0</v>
      </c>
      <c r="B59" s="124" t="s">
        <v>1230</v>
      </c>
      <c r="C59" s="124" t="s">
        <v>106</v>
      </c>
      <c r="D59" s="124" t="s">
        <v>64</v>
      </c>
      <c r="E59" s="124" t="s">
        <v>1331</v>
      </c>
      <c r="F59" s="125" t="s">
        <v>1371</v>
      </c>
      <c r="G59" s="124" t="s">
        <v>3915</v>
      </c>
      <c r="H59" s="124" t="s">
        <v>578</v>
      </c>
      <c r="I59" s="125">
        <v>2000.0</v>
      </c>
      <c r="J59" s="123"/>
      <c r="K59" s="124" t="s">
        <v>111</v>
      </c>
      <c r="L59" s="125">
        <v>41.0</v>
      </c>
      <c r="M59" s="124" t="s">
        <v>3917</v>
      </c>
      <c r="N59" s="124" t="s">
        <v>3918</v>
      </c>
      <c r="O59" s="124" t="s">
        <v>3874</v>
      </c>
      <c r="P59" s="124">
        <v>2010.0</v>
      </c>
      <c r="Q59" s="124" t="s">
        <v>3922</v>
      </c>
      <c r="R59" s="123" t="s">
        <v>3923</v>
      </c>
      <c r="S59" s="123" t="s">
        <v>3924</v>
      </c>
      <c r="T59" s="123" t="s">
        <v>3925</v>
      </c>
      <c r="U59" s="123" t="s">
        <v>3926</v>
      </c>
      <c r="V59" s="123"/>
      <c r="W59" s="123"/>
      <c r="X59" s="123" t="s">
        <v>561</v>
      </c>
      <c r="Y59" s="123" t="s">
        <v>3927</v>
      </c>
      <c r="Z59" s="129">
        <v>42425.0</v>
      </c>
      <c r="AA59" s="123"/>
      <c r="AB59" s="129">
        <v>42593.0</v>
      </c>
      <c r="AC59" s="123"/>
      <c r="AD59" s="123"/>
      <c r="AE59" s="123"/>
      <c r="AF59" s="123"/>
      <c r="AG59" s="123"/>
      <c r="AH59" s="123"/>
      <c r="AI59" s="123"/>
      <c r="AJ59" s="123"/>
    </row>
    <row r="60" ht="15.75" customHeight="1">
      <c r="A60" s="123">
        <v>59.0</v>
      </c>
      <c r="B60" s="124" t="s">
        <v>1230</v>
      </c>
      <c r="C60" s="124" t="s">
        <v>106</v>
      </c>
      <c r="D60" s="124" t="s">
        <v>64</v>
      </c>
      <c r="E60" s="124" t="s">
        <v>1331</v>
      </c>
      <c r="F60" s="125" t="s">
        <v>1371</v>
      </c>
      <c r="G60" s="124" t="s">
        <v>2832</v>
      </c>
      <c r="H60" s="124" t="s">
        <v>644</v>
      </c>
      <c r="I60" s="125">
        <v>2000.0</v>
      </c>
      <c r="J60" s="123"/>
      <c r="K60" s="124" t="s">
        <v>289</v>
      </c>
      <c r="L60" s="125">
        <v>40.0</v>
      </c>
      <c r="M60" s="124" t="s">
        <v>2834</v>
      </c>
      <c r="N60" s="124" t="s">
        <v>2835</v>
      </c>
      <c r="O60" s="124" t="s">
        <v>2811</v>
      </c>
      <c r="P60" s="126">
        <v>2015.0</v>
      </c>
      <c r="Q60" s="124" t="s">
        <v>2836</v>
      </c>
      <c r="R60" s="127" t="str">
        <f>HYPERLINK("http://ecoamerica.org/wp-content/uploads/2015/05/ecoAmerica-ACV-Faith-2015.pdf","http://ecoamerica.org/wp-content/uploads/2015/05/ecoAmerica-ACV-Faith-2015.pdf")</f>
        <v>http://ecoamerica.org/wp-content/uploads/2015/05/ecoAmerica-ACV-Faith-2015.pdf</v>
      </c>
      <c r="S60" s="123"/>
      <c r="T60" s="123"/>
      <c r="U60" s="123"/>
      <c r="V60" s="123" t="s">
        <v>2842</v>
      </c>
      <c r="W60" s="123"/>
      <c r="X60" s="123"/>
      <c r="Y60" s="123"/>
      <c r="Z60" s="129"/>
      <c r="AA60" s="129"/>
      <c r="AB60" s="129"/>
      <c r="AC60" s="123"/>
      <c r="AD60" s="123"/>
      <c r="AE60" s="123"/>
      <c r="AF60" s="123"/>
      <c r="AG60" s="123"/>
      <c r="AH60" s="123"/>
      <c r="AI60" s="123"/>
      <c r="AJ60" s="123"/>
    </row>
    <row r="61" ht="15.75" customHeight="1">
      <c r="A61" s="123">
        <v>60.0</v>
      </c>
      <c r="B61" s="124" t="s">
        <v>1230</v>
      </c>
      <c r="C61" s="124" t="s">
        <v>106</v>
      </c>
      <c r="D61" s="124" t="s">
        <v>64</v>
      </c>
      <c r="E61" s="124" t="s">
        <v>1331</v>
      </c>
      <c r="F61" s="125" t="s">
        <v>1371</v>
      </c>
      <c r="G61" s="124" t="s">
        <v>3730</v>
      </c>
      <c r="H61" s="124" t="s">
        <v>4262</v>
      </c>
      <c r="I61" s="125" t="s">
        <v>3733</v>
      </c>
      <c r="J61" s="123"/>
      <c r="K61" s="124" t="s">
        <v>289</v>
      </c>
      <c r="L61" s="125">
        <v>40.0</v>
      </c>
      <c r="M61" s="124" t="s">
        <v>3735</v>
      </c>
      <c r="N61" s="124" t="s">
        <v>3736</v>
      </c>
      <c r="O61" s="124" t="s">
        <v>2249</v>
      </c>
      <c r="P61" s="124">
        <v>2014.0</v>
      </c>
      <c r="Q61" s="124" t="s">
        <v>610</v>
      </c>
      <c r="R61" s="123" t="s">
        <v>3737</v>
      </c>
      <c r="S61" s="123"/>
      <c r="T61" s="123" t="s">
        <v>3492</v>
      </c>
      <c r="U61" s="123" t="s">
        <v>3493</v>
      </c>
      <c r="V61" s="123"/>
      <c r="W61" s="123"/>
      <c r="X61" s="123" t="s">
        <v>561</v>
      </c>
      <c r="Y61" s="123" t="s">
        <v>3738</v>
      </c>
      <c r="Z61" s="129">
        <v>42403.0</v>
      </c>
      <c r="AA61" s="123"/>
      <c r="AB61" s="129">
        <v>42590.0</v>
      </c>
      <c r="AC61" s="123"/>
      <c r="AD61" s="123"/>
      <c r="AE61" s="123"/>
      <c r="AF61" s="123"/>
      <c r="AG61" s="123"/>
      <c r="AH61" s="123"/>
      <c r="AI61" s="123"/>
      <c r="AJ61" s="123"/>
    </row>
    <row r="62" ht="15.75" customHeight="1">
      <c r="A62" s="123">
        <v>61.0</v>
      </c>
      <c r="B62" s="124" t="s">
        <v>1230</v>
      </c>
      <c r="C62" s="124" t="s">
        <v>106</v>
      </c>
      <c r="D62" s="124" t="s">
        <v>64</v>
      </c>
      <c r="E62" s="124" t="s">
        <v>387</v>
      </c>
      <c r="F62" s="125">
        <v>8.0</v>
      </c>
      <c r="G62" s="124" t="s">
        <v>389</v>
      </c>
      <c r="H62" s="124" t="s">
        <v>3932</v>
      </c>
      <c r="I62" s="125" t="s">
        <v>3931</v>
      </c>
      <c r="J62" s="123"/>
      <c r="K62" s="124" t="s">
        <v>289</v>
      </c>
      <c r="L62" s="125">
        <v>40.0</v>
      </c>
      <c r="M62" s="124" t="s">
        <v>3933</v>
      </c>
      <c r="N62" s="124" t="s">
        <v>3935</v>
      </c>
      <c r="O62" s="124" t="s">
        <v>3937</v>
      </c>
      <c r="P62" s="124">
        <v>2013.0</v>
      </c>
      <c r="Q62" s="124" t="s">
        <v>3939</v>
      </c>
      <c r="R62" s="123" t="s">
        <v>3940</v>
      </c>
      <c r="S62" s="123"/>
      <c r="T62" s="123"/>
      <c r="U62" s="123" t="s">
        <v>3941</v>
      </c>
      <c r="V62" s="123"/>
      <c r="W62" s="123"/>
      <c r="X62" s="123"/>
      <c r="Y62" s="123"/>
      <c r="Z62" s="129"/>
      <c r="AA62" s="123"/>
      <c r="AB62" s="123"/>
      <c r="AC62" s="123"/>
      <c r="AD62" s="123"/>
      <c r="AE62" s="123"/>
      <c r="AF62" s="123"/>
      <c r="AG62" s="123"/>
      <c r="AH62" s="123"/>
      <c r="AI62" s="123"/>
      <c r="AJ62" s="123"/>
    </row>
    <row r="63" ht="15.75" customHeight="1">
      <c r="A63" s="123">
        <v>62.0</v>
      </c>
      <c r="B63" s="124" t="s">
        <v>1230</v>
      </c>
      <c r="C63" s="124" t="s">
        <v>106</v>
      </c>
      <c r="D63" s="124" t="s">
        <v>64</v>
      </c>
      <c r="E63" s="124" t="s">
        <v>387</v>
      </c>
      <c r="F63" s="125">
        <v>8.0</v>
      </c>
      <c r="G63" s="124" t="s">
        <v>3482</v>
      </c>
      <c r="H63" s="124" t="s">
        <v>837</v>
      </c>
      <c r="I63" s="125">
        <v>2000.0</v>
      </c>
      <c r="J63" s="123"/>
      <c r="K63" s="124" t="s">
        <v>289</v>
      </c>
      <c r="L63" s="125">
        <v>40.0</v>
      </c>
      <c r="M63" s="124" t="s">
        <v>3483</v>
      </c>
      <c r="N63" s="124" t="s">
        <v>3484</v>
      </c>
      <c r="O63" s="124" t="s">
        <v>3485</v>
      </c>
      <c r="P63" s="124">
        <v>2013.0</v>
      </c>
      <c r="Q63" s="124" t="s">
        <v>3488</v>
      </c>
      <c r="R63" s="123" t="s">
        <v>3489</v>
      </c>
      <c r="S63" s="123"/>
      <c r="T63" s="123" t="s">
        <v>3492</v>
      </c>
      <c r="U63" s="123" t="s">
        <v>3493</v>
      </c>
      <c r="V63" s="123"/>
      <c r="W63" s="123"/>
      <c r="X63" s="123"/>
      <c r="Y63" s="123"/>
      <c r="Z63" s="123"/>
      <c r="AA63" s="123"/>
      <c r="AB63" s="123"/>
      <c r="AC63" s="123"/>
      <c r="AD63" s="123"/>
      <c r="AE63" s="123"/>
      <c r="AF63" s="123"/>
      <c r="AG63" s="123"/>
      <c r="AH63" s="123"/>
      <c r="AI63" s="123"/>
      <c r="AJ63" s="123"/>
    </row>
    <row r="64" ht="15.75" customHeight="1">
      <c r="A64" s="123">
        <v>63.0</v>
      </c>
      <c r="B64" s="124" t="s">
        <v>1230</v>
      </c>
      <c r="C64" s="124" t="s">
        <v>106</v>
      </c>
      <c r="D64" s="124" t="s">
        <v>64</v>
      </c>
      <c r="E64" s="124" t="s">
        <v>1331</v>
      </c>
      <c r="F64" s="125" t="s">
        <v>1371</v>
      </c>
      <c r="G64" s="124" t="s">
        <v>3193</v>
      </c>
      <c r="H64" s="124" t="s">
        <v>4115</v>
      </c>
      <c r="I64" s="125">
        <v>2000.0</v>
      </c>
      <c r="J64" s="123"/>
      <c r="K64" s="124" t="s">
        <v>289</v>
      </c>
      <c r="L64" s="125">
        <v>40.0</v>
      </c>
      <c r="M64" s="124" t="s">
        <v>4275</v>
      </c>
      <c r="N64" s="124" t="s">
        <v>4277</v>
      </c>
      <c r="O64" s="124" t="s">
        <v>4035</v>
      </c>
      <c r="P64" s="124">
        <v>2015.0</v>
      </c>
      <c r="Q64" s="124" t="s">
        <v>4278</v>
      </c>
      <c r="R64" s="123"/>
      <c r="S64" s="123"/>
      <c r="T64" s="123" t="s">
        <v>462</v>
      </c>
      <c r="U64" s="123" t="s">
        <v>462</v>
      </c>
      <c r="V64" s="123" t="s">
        <v>4281</v>
      </c>
      <c r="W64" s="123"/>
      <c r="X64" s="123"/>
      <c r="Y64" s="123"/>
      <c r="Z64" s="123"/>
      <c r="AA64" s="123"/>
      <c r="AB64" s="123"/>
      <c r="AC64" s="123"/>
      <c r="AD64" s="123"/>
      <c r="AE64" s="123"/>
      <c r="AF64" s="123"/>
      <c r="AG64" s="123"/>
      <c r="AH64" s="123"/>
      <c r="AI64" s="123"/>
      <c r="AJ64" s="123"/>
    </row>
    <row r="65" ht="15.75" customHeight="1">
      <c r="A65" s="123">
        <v>64.0</v>
      </c>
      <c r="B65" s="124" t="s">
        <v>1230</v>
      </c>
      <c r="C65" s="124" t="s">
        <v>106</v>
      </c>
      <c r="D65" s="124" t="s">
        <v>64</v>
      </c>
      <c r="E65" s="124" t="s">
        <v>2893</v>
      </c>
      <c r="F65" s="125" t="s">
        <v>1371</v>
      </c>
      <c r="G65" s="124" t="s">
        <v>2894</v>
      </c>
      <c r="H65" s="124" t="s">
        <v>1114</v>
      </c>
      <c r="I65" s="125">
        <v>2000.0</v>
      </c>
      <c r="J65" s="123"/>
      <c r="K65" s="124" t="s">
        <v>289</v>
      </c>
      <c r="L65" s="125">
        <v>40.0</v>
      </c>
      <c r="M65" s="124" t="s">
        <v>2896</v>
      </c>
      <c r="N65" s="124" t="s">
        <v>188</v>
      </c>
      <c r="O65" s="124" t="s">
        <v>2897</v>
      </c>
      <c r="P65" s="126">
        <v>2012.0</v>
      </c>
      <c r="Q65" s="124" t="s">
        <v>2898</v>
      </c>
      <c r="R65" s="127" t="str">
        <f>HYPERLINK("http://ecoamerica.org/wp-content/uploads/2012/12/ecoAmericaClimateImpactsReportAug2012a.pdf","http://ecoamerica.org/wp-content/uploads/2012/12/ecoAmericaClimateImpactsReportAug2012a.pdf")</f>
        <v>http://ecoamerica.org/wp-content/uploads/2012/12/ecoAmericaClimateImpactsReportAug2012a.pdf</v>
      </c>
      <c r="S65" s="123"/>
      <c r="T65" s="123"/>
      <c r="U65" s="123"/>
      <c r="V65" s="123"/>
      <c r="W65" s="123"/>
      <c r="X65" s="123"/>
      <c r="Y65" s="124"/>
      <c r="Z65" s="124"/>
      <c r="AA65" s="124"/>
      <c r="AB65" s="124"/>
      <c r="AC65" s="124"/>
      <c r="AD65" s="124"/>
      <c r="AE65" s="124"/>
      <c r="AF65" s="124"/>
      <c r="AG65" s="124"/>
      <c r="AH65" s="124"/>
      <c r="AI65" s="124"/>
      <c r="AJ65" s="124"/>
    </row>
    <row r="66" ht="15.75" customHeight="1">
      <c r="A66" s="123">
        <v>65.0</v>
      </c>
      <c r="B66" s="124" t="s">
        <v>1230</v>
      </c>
      <c r="C66" s="124" t="s">
        <v>106</v>
      </c>
      <c r="D66" s="124" t="s">
        <v>64</v>
      </c>
      <c r="E66" s="124" t="s">
        <v>1361</v>
      </c>
      <c r="F66" s="125" t="s">
        <v>1383</v>
      </c>
      <c r="G66" s="124" t="s">
        <v>4290</v>
      </c>
      <c r="H66" s="124" t="s">
        <v>4291</v>
      </c>
      <c r="I66" s="125" t="s">
        <v>4292</v>
      </c>
      <c r="J66" s="123"/>
      <c r="K66" s="124" t="s">
        <v>111</v>
      </c>
      <c r="L66" s="125">
        <v>41.0</v>
      </c>
      <c r="M66" s="124" t="s">
        <v>4293</v>
      </c>
      <c r="N66" s="124" t="s">
        <v>4294</v>
      </c>
      <c r="O66" s="124" t="s">
        <v>4295</v>
      </c>
      <c r="P66" s="124">
        <v>2009.0</v>
      </c>
      <c r="Q66" s="124" t="s">
        <v>4300</v>
      </c>
      <c r="R66" s="123" t="s">
        <v>4301</v>
      </c>
      <c r="S66" s="128"/>
      <c r="T66" s="123" t="s">
        <v>462</v>
      </c>
      <c r="U66" s="123" t="s">
        <v>462</v>
      </c>
      <c r="V66" s="123"/>
      <c r="W66" s="123"/>
      <c r="X66" s="123"/>
      <c r="Y66" s="124"/>
      <c r="Z66" s="124"/>
      <c r="AA66" s="124"/>
      <c r="AB66" s="124"/>
      <c r="AC66" s="124"/>
      <c r="AD66" s="124"/>
      <c r="AE66" s="124"/>
      <c r="AF66" s="124"/>
      <c r="AG66" s="124"/>
      <c r="AH66" s="124"/>
      <c r="AI66" s="124"/>
      <c r="AJ66" s="124"/>
    </row>
    <row r="67" ht="15.75" customHeight="1">
      <c r="A67" s="123">
        <v>66.0</v>
      </c>
      <c r="B67" s="124" t="s">
        <v>1230</v>
      </c>
      <c r="C67" s="124" t="s">
        <v>106</v>
      </c>
      <c r="D67" s="124" t="s">
        <v>64</v>
      </c>
      <c r="E67" s="124" t="s">
        <v>1361</v>
      </c>
      <c r="F67" s="125" t="s">
        <v>1383</v>
      </c>
      <c r="G67" s="124" t="s">
        <v>3193</v>
      </c>
      <c r="H67" s="124" t="s">
        <v>4304</v>
      </c>
      <c r="I67" s="125" t="s">
        <v>4305</v>
      </c>
      <c r="J67" s="123"/>
      <c r="K67" s="124" t="s">
        <v>111</v>
      </c>
      <c r="L67" s="125">
        <v>41.0</v>
      </c>
      <c r="M67" s="124" t="s">
        <v>4306</v>
      </c>
      <c r="N67" s="124" t="s">
        <v>4307</v>
      </c>
      <c r="O67" s="124" t="s">
        <v>3992</v>
      </c>
      <c r="P67" s="124">
        <v>2014.0</v>
      </c>
      <c r="Q67" s="124" t="s">
        <v>4312</v>
      </c>
      <c r="R67" s="123" t="s">
        <v>4315</v>
      </c>
      <c r="S67" s="123"/>
      <c r="T67" s="123" t="s">
        <v>462</v>
      </c>
      <c r="U67" s="123" t="s">
        <v>462</v>
      </c>
      <c r="V67" s="123"/>
      <c r="W67" s="123"/>
      <c r="X67" s="123"/>
      <c r="Y67" s="124"/>
      <c r="Z67" s="124"/>
      <c r="AA67" s="124"/>
      <c r="AB67" s="124"/>
      <c r="AC67" s="124"/>
      <c r="AD67" s="124"/>
      <c r="AE67" s="124"/>
      <c r="AF67" s="124"/>
      <c r="AG67" s="124"/>
      <c r="AH67" s="124"/>
      <c r="AI67" s="124"/>
      <c r="AJ67" s="124"/>
    </row>
    <row r="68" ht="15.75" customHeight="1">
      <c r="A68" s="123">
        <v>67.0</v>
      </c>
      <c r="B68" s="124" t="s">
        <v>1230</v>
      </c>
      <c r="C68" s="124" t="s">
        <v>106</v>
      </c>
      <c r="D68" s="124" t="s">
        <v>64</v>
      </c>
      <c r="E68" s="124" t="s">
        <v>887</v>
      </c>
      <c r="F68" s="125">
        <v>9.0</v>
      </c>
      <c r="G68" s="124" t="s">
        <v>3385</v>
      </c>
      <c r="H68" s="124" t="s">
        <v>3754</v>
      </c>
      <c r="I68" s="125">
        <v>10000.0</v>
      </c>
      <c r="J68" s="123"/>
      <c r="K68" s="124" t="s">
        <v>289</v>
      </c>
      <c r="L68" s="125">
        <v>40.0</v>
      </c>
      <c r="M68" s="124" t="s">
        <v>3755</v>
      </c>
      <c r="N68" s="124" t="s">
        <v>3756</v>
      </c>
      <c r="O68" s="124" t="s">
        <v>1526</v>
      </c>
      <c r="P68" s="124">
        <v>2015.0</v>
      </c>
      <c r="Q68" s="124" t="s">
        <v>610</v>
      </c>
      <c r="R68" s="127" t="str">
        <f>HYPERLINK("http://www.frameworksinstitute.org/assets/files/Employment/TKF_mtg_fullreport_final_2015.pdf","http://www.frameworksinstitute.org/assets/files/Employment/TKF_mtg_fullreport_final_2015.pdf")</f>
        <v>http://www.frameworksinstitute.org/assets/files/Employment/TKF_mtg_fullreport_final_2015.pdf</v>
      </c>
      <c r="S68" s="123"/>
      <c r="T68" s="123"/>
      <c r="U68" s="123"/>
      <c r="V68" s="123"/>
      <c r="W68" s="123"/>
      <c r="X68" s="123" t="s">
        <v>677</v>
      </c>
      <c r="Y68" s="124"/>
      <c r="Z68" s="124"/>
      <c r="AA68" s="124"/>
      <c r="AB68" s="124"/>
      <c r="AC68" s="124"/>
      <c r="AD68" s="124"/>
      <c r="AE68" s="124"/>
      <c r="AF68" s="124"/>
      <c r="AG68" s="124"/>
      <c r="AH68" s="124"/>
      <c r="AI68" s="124"/>
      <c r="AJ68" s="124"/>
    </row>
    <row r="69" ht="15.75" customHeight="1">
      <c r="A69" s="123">
        <v>68.0</v>
      </c>
      <c r="B69" s="124" t="s">
        <v>1230</v>
      </c>
      <c r="C69" s="124" t="s">
        <v>106</v>
      </c>
      <c r="D69" s="124" t="s">
        <v>64</v>
      </c>
      <c r="E69" s="124" t="s">
        <v>887</v>
      </c>
      <c r="F69" s="125">
        <v>9.0</v>
      </c>
      <c r="G69" s="124" t="s">
        <v>3385</v>
      </c>
      <c r="H69" s="124" t="s">
        <v>3495</v>
      </c>
      <c r="I69" s="125">
        <v>22000.0</v>
      </c>
      <c r="J69" s="123"/>
      <c r="K69" s="124" t="s">
        <v>117</v>
      </c>
      <c r="L69" s="125">
        <v>40.0</v>
      </c>
      <c r="M69" s="124" t="s">
        <v>4323</v>
      </c>
      <c r="N69" s="124" t="s">
        <v>4324</v>
      </c>
      <c r="O69" s="124" t="s">
        <v>4325</v>
      </c>
      <c r="P69" s="124">
        <v>2005.0</v>
      </c>
      <c r="Q69" s="124" t="s">
        <v>4327</v>
      </c>
      <c r="R69" s="123"/>
      <c r="S69" s="123"/>
      <c r="T69" s="123" t="s">
        <v>462</v>
      </c>
      <c r="U69" s="123" t="s">
        <v>462</v>
      </c>
      <c r="V69" s="123"/>
      <c r="W69" s="123"/>
      <c r="X69" s="123"/>
      <c r="Y69" s="124"/>
      <c r="Z69" s="124"/>
      <c r="AA69" s="124"/>
      <c r="AB69" s="124"/>
      <c r="AC69" s="124"/>
      <c r="AD69" s="124"/>
      <c r="AE69" s="124"/>
      <c r="AF69" s="124"/>
      <c r="AG69" s="124"/>
      <c r="AH69" s="124"/>
      <c r="AI69" s="124"/>
      <c r="AJ69" s="124"/>
    </row>
    <row r="70" ht="15.75" customHeight="1">
      <c r="A70" s="123">
        <v>69.0</v>
      </c>
      <c r="B70" s="124" t="s">
        <v>1230</v>
      </c>
      <c r="C70" s="124" t="s">
        <v>106</v>
      </c>
      <c r="D70" s="124" t="s">
        <v>64</v>
      </c>
      <c r="E70" s="124" t="s">
        <v>887</v>
      </c>
      <c r="F70" s="125">
        <v>9.0</v>
      </c>
      <c r="G70" s="124" t="s">
        <v>960</v>
      </c>
      <c r="H70" s="124" t="s">
        <v>388</v>
      </c>
      <c r="I70" s="125">
        <v>14000.0</v>
      </c>
      <c r="J70" s="123"/>
      <c r="K70" s="124" t="s">
        <v>289</v>
      </c>
      <c r="L70" s="125">
        <v>40.0</v>
      </c>
      <c r="M70" s="124" t="s">
        <v>4335</v>
      </c>
      <c r="N70" s="124" t="s">
        <v>4336</v>
      </c>
      <c r="O70" s="124" t="s">
        <v>4338</v>
      </c>
      <c r="P70" s="124">
        <v>2010.0</v>
      </c>
      <c r="Q70" s="124" t="s">
        <v>4342</v>
      </c>
      <c r="R70" s="123"/>
      <c r="S70" s="123"/>
      <c r="T70" s="123" t="s">
        <v>462</v>
      </c>
      <c r="U70" s="123" t="s">
        <v>462</v>
      </c>
      <c r="V70" s="123" t="s">
        <v>4344</v>
      </c>
      <c r="W70" s="123"/>
      <c r="X70" s="123"/>
      <c r="Y70" s="124"/>
      <c r="Z70" s="124"/>
      <c r="AA70" s="124"/>
      <c r="AB70" s="124"/>
      <c r="AC70" s="124"/>
      <c r="AD70" s="124"/>
      <c r="AE70" s="124"/>
      <c r="AF70" s="124"/>
      <c r="AG70" s="124"/>
      <c r="AH70" s="124"/>
      <c r="AI70" s="124"/>
      <c r="AJ70" s="124"/>
    </row>
    <row r="71" ht="15.75" customHeight="1">
      <c r="A71" s="123">
        <v>70.0</v>
      </c>
      <c r="B71" s="124" t="s">
        <v>1230</v>
      </c>
      <c r="C71" s="124" t="s">
        <v>106</v>
      </c>
      <c r="D71" s="124" t="s">
        <v>64</v>
      </c>
      <c r="E71" s="124" t="s">
        <v>887</v>
      </c>
      <c r="F71" s="125">
        <v>9.0</v>
      </c>
      <c r="G71" s="124" t="s">
        <v>960</v>
      </c>
      <c r="H71" s="124" t="s">
        <v>70</v>
      </c>
      <c r="I71" s="125">
        <v>4000.0</v>
      </c>
      <c r="J71" s="123"/>
      <c r="K71" s="124" t="s">
        <v>298</v>
      </c>
      <c r="L71" s="125">
        <v>44.0</v>
      </c>
      <c r="M71" s="124" t="s">
        <v>961</v>
      </c>
      <c r="N71" s="124" t="s">
        <v>962</v>
      </c>
      <c r="O71" s="124" t="s">
        <v>963</v>
      </c>
      <c r="P71" s="124">
        <v>2012.0</v>
      </c>
      <c r="Q71" s="124" t="s">
        <v>964</v>
      </c>
      <c r="R71" s="123"/>
      <c r="S71" s="123"/>
      <c r="T71" s="123" t="s">
        <v>39</v>
      </c>
      <c r="U71" s="123" t="s">
        <v>462</v>
      </c>
      <c r="V71" s="123" t="s">
        <v>39</v>
      </c>
      <c r="W71" s="123"/>
      <c r="X71" s="123"/>
      <c r="Y71" s="124"/>
      <c r="Z71" s="124"/>
      <c r="AA71" s="124"/>
      <c r="AB71" s="124"/>
      <c r="AC71" s="124"/>
      <c r="AD71" s="124"/>
      <c r="AE71" s="124"/>
      <c r="AF71" s="124"/>
      <c r="AG71" s="124"/>
      <c r="AH71" s="124"/>
      <c r="AI71" s="124"/>
      <c r="AJ71" s="124"/>
    </row>
    <row r="72" ht="15.75" customHeight="1">
      <c r="A72" s="123">
        <v>71.0</v>
      </c>
      <c r="B72" s="124" t="s">
        <v>1230</v>
      </c>
      <c r="C72" s="124" t="s">
        <v>106</v>
      </c>
      <c r="D72" s="124" t="s">
        <v>64</v>
      </c>
      <c r="E72" s="124" t="s">
        <v>887</v>
      </c>
      <c r="F72" s="125">
        <v>9.0</v>
      </c>
      <c r="G72" s="124" t="s">
        <v>960</v>
      </c>
      <c r="H72" s="124" t="s">
        <v>470</v>
      </c>
      <c r="I72" s="125">
        <v>3000.0</v>
      </c>
      <c r="J72" s="123"/>
      <c r="K72" s="124" t="s">
        <v>289</v>
      </c>
      <c r="L72" s="125">
        <v>40.0</v>
      </c>
      <c r="M72" s="124" t="s">
        <v>4352</v>
      </c>
      <c r="N72" s="124" t="s">
        <v>4353</v>
      </c>
      <c r="O72" s="124" t="s">
        <v>4355</v>
      </c>
      <c r="P72" s="124" t="s">
        <v>4356</v>
      </c>
      <c r="Q72" s="124" t="s">
        <v>4359</v>
      </c>
      <c r="R72" s="123" t="s">
        <v>4361</v>
      </c>
      <c r="S72" s="123" t="s">
        <v>4364</v>
      </c>
      <c r="T72" s="123"/>
      <c r="U72" s="123"/>
      <c r="V72" s="123"/>
      <c r="W72" s="123"/>
      <c r="X72" s="123"/>
      <c r="Y72" s="124"/>
      <c r="Z72" s="124"/>
      <c r="AA72" s="124"/>
      <c r="AB72" s="124"/>
      <c r="AC72" s="124"/>
      <c r="AD72" s="124"/>
      <c r="AE72" s="124"/>
      <c r="AF72" s="124"/>
      <c r="AG72" s="124"/>
      <c r="AH72" s="124"/>
      <c r="AI72" s="124"/>
      <c r="AJ72" s="124"/>
    </row>
    <row r="73" ht="15.75" customHeight="1">
      <c r="A73" s="123">
        <v>72.0</v>
      </c>
      <c r="B73" s="124" t="s">
        <v>1230</v>
      </c>
      <c r="C73" s="124" t="s">
        <v>106</v>
      </c>
      <c r="D73" s="124" t="s">
        <v>64</v>
      </c>
      <c r="E73" s="124" t="s">
        <v>887</v>
      </c>
      <c r="F73" s="125">
        <v>9.0</v>
      </c>
      <c r="G73" s="124" t="s">
        <v>4366</v>
      </c>
      <c r="H73" s="124" t="s">
        <v>267</v>
      </c>
      <c r="I73" s="125">
        <v>14000.0</v>
      </c>
      <c r="J73" s="123"/>
      <c r="K73" s="124" t="s">
        <v>95</v>
      </c>
      <c r="L73" s="125">
        <v>41.0</v>
      </c>
      <c r="M73" s="124" t="s">
        <v>4368</v>
      </c>
      <c r="N73" s="124" t="s">
        <v>4369</v>
      </c>
      <c r="O73" s="124" t="s">
        <v>4370</v>
      </c>
      <c r="P73" s="124">
        <v>2009.0</v>
      </c>
      <c r="Q73" s="124" t="s">
        <v>4371</v>
      </c>
      <c r="R73" s="123"/>
      <c r="S73" s="123"/>
      <c r="T73" s="123" t="s">
        <v>462</v>
      </c>
      <c r="U73" s="123" t="s">
        <v>462</v>
      </c>
      <c r="V73" s="123" t="s">
        <v>4344</v>
      </c>
      <c r="W73" s="123"/>
      <c r="X73" s="123"/>
      <c r="Y73" s="124"/>
      <c r="Z73" s="124"/>
      <c r="AA73" s="124"/>
      <c r="AB73" s="124"/>
      <c r="AC73" s="124"/>
      <c r="AD73" s="124"/>
      <c r="AE73" s="124"/>
      <c r="AF73" s="124"/>
      <c r="AG73" s="124"/>
      <c r="AH73" s="124"/>
      <c r="AI73" s="124"/>
      <c r="AJ73" s="124"/>
    </row>
    <row r="74" ht="15.75" customHeight="1">
      <c r="A74" s="123">
        <v>73.0</v>
      </c>
      <c r="B74" s="124" t="s">
        <v>1230</v>
      </c>
      <c r="C74" s="124" t="s">
        <v>106</v>
      </c>
      <c r="D74" s="124" t="s">
        <v>64</v>
      </c>
      <c r="E74" s="124" t="s">
        <v>887</v>
      </c>
      <c r="F74" s="125">
        <v>9.0</v>
      </c>
      <c r="G74" s="124" t="s">
        <v>4372</v>
      </c>
      <c r="H74" s="124" t="s">
        <v>388</v>
      </c>
      <c r="I74" s="125">
        <v>14000.0</v>
      </c>
      <c r="J74" s="123"/>
      <c r="K74" s="124" t="s">
        <v>289</v>
      </c>
      <c r="L74" s="125">
        <v>40.0</v>
      </c>
      <c r="M74" s="124" t="s">
        <v>4373</v>
      </c>
      <c r="N74" s="124" t="s">
        <v>4374</v>
      </c>
      <c r="O74" s="124" t="s">
        <v>4375</v>
      </c>
      <c r="P74" s="124">
        <v>2010.0</v>
      </c>
      <c r="Q74" s="130" t="s">
        <v>4376</v>
      </c>
      <c r="R74" s="123"/>
      <c r="S74" s="123"/>
      <c r="T74" s="123" t="s">
        <v>39</v>
      </c>
      <c r="U74" s="123" t="s">
        <v>462</v>
      </c>
      <c r="V74" s="123"/>
      <c r="W74" s="123"/>
      <c r="X74" s="123"/>
      <c r="Y74" s="124"/>
      <c r="Z74" s="124"/>
      <c r="AA74" s="124"/>
      <c r="AB74" s="124"/>
      <c r="AC74" s="124"/>
      <c r="AD74" s="124"/>
      <c r="AE74" s="124"/>
      <c r="AF74" s="124"/>
      <c r="AG74" s="124"/>
      <c r="AH74" s="124"/>
      <c r="AI74" s="124"/>
      <c r="AJ74" s="124"/>
    </row>
    <row r="75" ht="15.75" customHeight="1">
      <c r="A75" s="123">
        <v>74.0</v>
      </c>
      <c r="B75" s="124" t="s">
        <v>1230</v>
      </c>
      <c r="C75" s="124" t="s">
        <v>106</v>
      </c>
      <c r="D75" s="124" t="s">
        <v>64</v>
      </c>
      <c r="E75" s="124" t="s">
        <v>887</v>
      </c>
      <c r="F75" s="125">
        <v>9.0</v>
      </c>
      <c r="G75" s="124" t="s">
        <v>4372</v>
      </c>
      <c r="H75" s="124" t="s">
        <v>388</v>
      </c>
      <c r="I75" s="125">
        <v>14000.0</v>
      </c>
      <c r="J75" s="123"/>
      <c r="K75" s="124" t="s">
        <v>289</v>
      </c>
      <c r="L75" s="125">
        <v>40.0</v>
      </c>
      <c r="M75" s="124" t="s">
        <v>4379</v>
      </c>
      <c r="N75" s="124" t="s">
        <v>4380</v>
      </c>
      <c r="O75" s="124" t="s">
        <v>4381</v>
      </c>
      <c r="P75" s="124">
        <v>2007.0</v>
      </c>
      <c r="Q75" s="124" t="s">
        <v>4382</v>
      </c>
      <c r="R75" s="123"/>
      <c r="S75" s="123"/>
      <c r="T75" s="123" t="s">
        <v>39</v>
      </c>
      <c r="U75" s="123" t="s">
        <v>462</v>
      </c>
      <c r="V75" s="123"/>
      <c r="W75" s="123"/>
      <c r="X75" s="123"/>
      <c r="Y75" s="124"/>
      <c r="Z75" s="124"/>
      <c r="AA75" s="124"/>
      <c r="AB75" s="124"/>
      <c r="AC75" s="124"/>
      <c r="AD75" s="124"/>
      <c r="AE75" s="124"/>
      <c r="AF75" s="124"/>
      <c r="AG75" s="124"/>
      <c r="AH75" s="124"/>
      <c r="AI75" s="124"/>
      <c r="AJ75" s="124"/>
    </row>
    <row r="76" ht="15.75" customHeight="1">
      <c r="A76" s="123">
        <v>75.0</v>
      </c>
      <c r="B76" s="124" t="s">
        <v>1230</v>
      </c>
      <c r="C76" s="124" t="s">
        <v>106</v>
      </c>
      <c r="D76" s="124" t="s">
        <v>64</v>
      </c>
      <c r="E76" s="124" t="s">
        <v>887</v>
      </c>
      <c r="F76" s="125">
        <v>9.0</v>
      </c>
      <c r="G76" s="124" t="s">
        <v>4372</v>
      </c>
      <c r="H76" s="124" t="s">
        <v>388</v>
      </c>
      <c r="I76" s="125">
        <v>14000.0</v>
      </c>
      <c r="J76" s="123"/>
      <c r="K76" s="124" t="s">
        <v>152</v>
      </c>
      <c r="L76" s="125">
        <v>42.0</v>
      </c>
      <c r="M76" s="124" t="s">
        <v>4383</v>
      </c>
      <c r="N76" s="124" t="s">
        <v>4384</v>
      </c>
      <c r="O76" s="124" t="s">
        <v>4385</v>
      </c>
      <c r="P76" s="124">
        <v>2011.0</v>
      </c>
      <c r="Q76" s="124" t="s">
        <v>4397</v>
      </c>
      <c r="R76" s="123"/>
      <c r="S76" s="123"/>
      <c r="T76" s="123" t="s">
        <v>462</v>
      </c>
      <c r="U76" s="123" t="s">
        <v>462</v>
      </c>
      <c r="V76" s="123" t="s">
        <v>4344</v>
      </c>
      <c r="W76" s="123"/>
      <c r="X76" s="123"/>
      <c r="Y76" s="124"/>
      <c r="Z76" s="124"/>
      <c r="AA76" s="124"/>
      <c r="AB76" s="124"/>
      <c r="AC76" s="124"/>
      <c r="AD76" s="124"/>
      <c r="AE76" s="124"/>
      <c r="AF76" s="124"/>
      <c r="AG76" s="124"/>
      <c r="AH76" s="124"/>
      <c r="AI76" s="124"/>
      <c r="AJ76" s="124"/>
    </row>
    <row r="77" ht="15.75" customHeight="1">
      <c r="A77" s="123">
        <v>76.0</v>
      </c>
      <c r="B77" s="124" t="s">
        <v>1230</v>
      </c>
      <c r="C77" s="124" t="s">
        <v>106</v>
      </c>
      <c r="D77" s="124" t="s">
        <v>115</v>
      </c>
      <c r="E77" s="124" t="s">
        <v>887</v>
      </c>
      <c r="F77" s="125">
        <v>9.0</v>
      </c>
      <c r="G77" s="124" t="s">
        <v>2137</v>
      </c>
      <c r="H77" s="124" t="s">
        <v>1223</v>
      </c>
      <c r="I77" s="125">
        <v>3000.0</v>
      </c>
      <c r="J77" s="123"/>
      <c r="K77" s="124" t="s">
        <v>117</v>
      </c>
      <c r="L77" s="125">
        <v>40.0</v>
      </c>
      <c r="M77" s="124" t="s">
        <v>2955</v>
      </c>
      <c r="N77" s="124" t="s">
        <v>2956</v>
      </c>
      <c r="O77" s="124" t="s">
        <v>2952</v>
      </c>
      <c r="P77" s="124">
        <v>2009.0</v>
      </c>
      <c r="Q77" s="124" t="s">
        <v>2959</v>
      </c>
      <c r="R77" s="123"/>
      <c r="S77" s="123"/>
      <c r="T77" s="123"/>
      <c r="U77" s="123"/>
      <c r="V77" s="123"/>
      <c r="W77" s="123"/>
      <c r="X77" s="123"/>
      <c r="Y77" s="124"/>
      <c r="Z77" s="124"/>
      <c r="AA77" s="124"/>
      <c r="AB77" s="124"/>
      <c r="AC77" s="124"/>
      <c r="AD77" s="124"/>
      <c r="AE77" s="124"/>
      <c r="AF77" s="124"/>
      <c r="AG77" s="124"/>
      <c r="AH77" s="124"/>
      <c r="AI77" s="124"/>
      <c r="AJ77" s="124"/>
    </row>
    <row r="78" ht="15.75" customHeight="1">
      <c r="A78" s="123">
        <v>77.0</v>
      </c>
      <c r="B78" s="124" t="s">
        <v>1230</v>
      </c>
      <c r="C78" s="124" t="s">
        <v>106</v>
      </c>
      <c r="D78" s="124" t="s">
        <v>64</v>
      </c>
      <c r="E78" s="124" t="s">
        <v>887</v>
      </c>
      <c r="F78" s="125">
        <v>9.0</v>
      </c>
      <c r="G78" s="124" t="s">
        <v>2137</v>
      </c>
      <c r="H78" s="124" t="s">
        <v>388</v>
      </c>
      <c r="I78" s="125">
        <v>14000.0</v>
      </c>
      <c r="J78" s="123"/>
      <c r="K78" s="124" t="s">
        <v>289</v>
      </c>
      <c r="L78" s="125">
        <v>40.0</v>
      </c>
      <c r="M78" s="124" t="s">
        <v>2142</v>
      </c>
      <c r="N78" s="124" t="s">
        <v>2143</v>
      </c>
      <c r="O78" s="124" t="s">
        <v>2144</v>
      </c>
      <c r="P78" s="124">
        <v>2007.0</v>
      </c>
      <c r="Q78" s="124" t="s">
        <v>2150</v>
      </c>
      <c r="R78" s="123"/>
      <c r="S78" s="123"/>
      <c r="T78" s="123" t="s">
        <v>428</v>
      </c>
      <c r="U78" s="123" t="s">
        <v>462</v>
      </c>
      <c r="V78" s="123"/>
      <c r="W78" s="123"/>
      <c r="X78" s="123"/>
      <c r="Y78" s="124"/>
      <c r="Z78" s="124"/>
      <c r="AA78" s="124"/>
      <c r="AB78" s="124"/>
      <c r="AC78" s="124"/>
      <c r="AD78" s="124"/>
      <c r="AE78" s="124"/>
      <c r="AF78" s="124"/>
      <c r="AG78" s="124"/>
      <c r="AH78" s="124"/>
      <c r="AI78" s="124"/>
      <c r="AJ78" s="124"/>
    </row>
    <row r="79" ht="15.75" customHeight="1">
      <c r="A79" s="123">
        <v>78.0</v>
      </c>
      <c r="B79" s="124" t="s">
        <v>1230</v>
      </c>
      <c r="C79" s="124" t="s">
        <v>106</v>
      </c>
      <c r="D79" s="124" t="s">
        <v>64</v>
      </c>
      <c r="E79" s="124" t="s">
        <v>887</v>
      </c>
      <c r="F79" s="125">
        <v>9.0</v>
      </c>
      <c r="G79" s="124" t="s">
        <v>3007</v>
      </c>
      <c r="H79" s="124" t="s">
        <v>388</v>
      </c>
      <c r="I79" s="125">
        <v>14000.0</v>
      </c>
      <c r="J79" s="123"/>
      <c r="K79" s="124" t="s">
        <v>289</v>
      </c>
      <c r="L79" s="125">
        <v>40.0</v>
      </c>
      <c r="M79" s="124" t="s">
        <v>3008</v>
      </c>
      <c r="N79" s="124" t="s">
        <v>3009</v>
      </c>
      <c r="O79" s="124" t="s">
        <v>3010</v>
      </c>
      <c r="P79" s="124">
        <v>2016.0</v>
      </c>
      <c r="Q79" s="124" t="s">
        <v>3012</v>
      </c>
      <c r="R79" s="123"/>
      <c r="S79" s="123"/>
      <c r="T79" s="123" t="s">
        <v>462</v>
      </c>
      <c r="U79" s="123" t="s">
        <v>462</v>
      </c>
      <c r="V79" s="123"/>
      <c r="W79" s="123"/>
      <c r="X79" s="123"/>
      <c r="Y79" s="124"/>
      <c r="Z79" s="124"/>
      <c r="AA79" s="124"/>
      <c r="AB79" s="124"/>
      <c r="AC79" s="124"/>
      <c r="AD79" s="124"/>
      <c r="AE79" s="124"/>
      <c r="AF79" s="124"/>
      <c r="AG79" s="124"/>
      <c r="AH79" s="124"/>
      <c r="AI79" s="124"/>
      <c r="AJ79" s="124"/>
    </row>
    <row r="80" ht="15.75" customHeight="1">
      <c r="A80" s="123">
        <v>79.0</v>
      </c>
      <c r="B80" s="124" t="s">
        <v>1230</v>
      </c>
      <c r="C80" s="124" t="s">
        <v>106</v>
      </c>
      <c r="D80" s="124" t="s">
        <v>64</v>
      </c>
      <c r="E80" s="124" t="s">
        <v>887</v>
      </c>
      <c r="F80" s="125">
        <v>9.0</v>
      </c>
      <c r="G80" s="124" t="s">
        <v>3007</v>
      </c>
      <c r="H80" s="124" t="s">
        <v>388</v>
      </c>
      <c r="I80" s="125">
        <v>14000.0</v>
      </c>
      <c r="J80" s="123"/>
      <c r="K80" s="124" t="s">
        <v>289</v>
      </c>
      <c r="L80" s="125">
        <v>40.0</v>
      </c>
      <c r="M80" s="124" t="s">
        <v>4428</v>
      </c>
      <c r="N80" s="124" t="s">
        <v>4430</v>
      </c>
      <c r="O80" s="124" t="s">
        <v>4431</v>
      </c>
      <c r="P80" s="124">
        <v>2008.0</v>
      </c>
      <c r="Q80" s="124" t="s">
        <v>4435</v>
      </c>
      <c r="R80" s="123"/>
      <c r="S80" s="123"/>
      <c r="T80" s="123" t="s">
        <v>462</v>
      </c>
      <c r="U80" s="123" t="s">
        <v>462</v>
      </c>
      <c r="V80" s="123"/>
      <c r="W80" s="123"/>
      <c r="X80" s="123"/>
      <c r="Y80" s="124"/>
      <c r="Z80" s="124"/>
      <c r="AA80" s="124"/>
      <c r="AB80" s="124"/>
      <c r="AC80" s="124"/>
      <c r="AD80" s="124"/>
      <c r="AE80" s="124"/>
      <c r="AF80" s="124"/>
      <c r="AG80" s="124"/>
      <c r="AH80" s="124"/>
      <c r="AI80" s="124"/>
      <c r="AJ80" s="124"/>
    </row>
    <row r="81" ht="15.75" customHeight="1">
      <c r="A81" s="123">
        <v>80.0</v>
      </c>
      <c r="B81" s="124" t="s">
        <v>1230</v>
      </c>
      <c r="C81" s="124" t="s">
        <v>106</v>
      </c>
      <c r="D81" s="124" t="s">
        <v>173</v>
      </c>
      <c r="E81" s="124" t="s">
        <v>887</v>
      </c>
      <c r="F81" s="125">
        <v>9.0</v>
      </c>
      <c r="G81" s="124" t="s">
        <v>224</v>
      </c>
      <c r="H81" s="124" t="s">
        <v>2282</v>
      </c>
      <c r="I81" s="125">
        <v>3000.0</v>
      </c>
      <c r="J81" s="123"/>
      <c r="K81" s="124" t="s">
        <v>289</v>
      </c>
      <c r="L81" s="125">
        <v>40.0</v>
      </c>
      <c r="M81" s="124" t="s">
        <v>4437</v>
      </c>
      <c r="N81" s="124" t="s">
        <v>4438</v>
      </c>
      <c r="O81" s="124" t="s">
        <v>4440</v>
      </c>
      <c r="P81" s="124">
        <v>2002.0</v>
      </c>
      <c r="Q81" s="124" t="s">
        <v>4443</v>
      </c>
      <c r="R81" s="123"/>
      <c r="S81" s="123"/>
      <c r="T81" s="123" t="s">
        <v>462</v>
      </c>
      <c r="U81" s="123" t="s">
        <v>462</v>
      </c>
      <c r="V81" s="123" t="s">
        <v>4444</v>
      </c>
      <c r="W81" s="123"/>
      <c r="X81" s="123"/>
      <c r="Y81" s="123"/>
      <c r="Z81" s="123"/>
      <c r="AA81" s="123"/>
      <c r="AB81" s="123"/>
      <c r="AC81" s="123"/>
      <c r="AD81" s="123"/>
      <c r="AE81" s="123"/>
      <c r="AF81" s="123"/>
      <c r="AG81" s="123"/>
      <c r="AH81" s="123"/>
      <c r="AI81" s="123"/>
      <c r="AJ81" s="123"/>
    </row>
    <row r="82" ht="15.75" customHeight="1">
      <c r="A82" s="123">
        <v>81.0</v>
      </c>
      <c r="B82" s="124" t="s">
        <v>1230</v>
      </c>
      <c r="C82" s="124" t="s">
        <v>106</v>
      </c>
      <c r="D82" s="124" t="s">
        <v>64</v>
      </c>
      <c r="E82" s="124" t="s">
        <v>887</v>
      </c>
      <c r="F82" s="125">
        <v>9.0</v>
      </c>
      <c r="G82" s="124" t="s">
        <v>224</v>
      </c>
      <c r="H82" s="124" t="s">
        <v>2921</v>
      </c>
      <c r="I82" s="125">
        <v>17000.0</v>
      </c>
      <c r="J82" s="123"/>
      <c r="K82" s="124" t="s">
        <v>289</v>
      </c>
      <c r="L82" s="125">
        <v>40.0</v>
      </c>
      <c r="M82" s="124" t="s">
        <v>2922</v>
      </c>
      <c r="N82" s="124" t="s">
        <v>2923</v>
      </c>
      <c r="O82" s="124" t="s">
        <v>2901</v>
      </c>
      <c r="P82" s="124">
        <v>2014.0</v>
      </c>
      <c r="Q82" s="124" t="s">
        <v>2924</v>
      </c>
      <c r="R82" s="127" t="str">
        <f>HYPERLINK("http://www.sciencedirect.com/science/article/pii/S0921800914001165","http://www.sciencedirect.com/science/article/pii/S0921800914001165")</f>
        <v>http://www.sciencedirect.com/science/article/pii/S0921800914001165</v>
      </c>
      <c r="S82" s="123" t="s">
        <v>2925</v>
      </c>
      <c r="T82" s="123" t="s">
        <v>462</v>
      </c>
      <c r="U82" s="123" t="s">
        <v>769</v>
      </c>
      <c r="V82" s="123"/>
      <c r="W82" s="123"/>
      <c r="X82" s="123" t="s">
        <v>561</v>
      </c>
      <c r="Y82" s="123" t="s">
        <v>2926</v>
      </c>
      <c r="Z82" s="129">
        <v>42472.0</v>
      </c>
      <c r="AA82" s="123"/>
      <c r="AB82" s="123"/>
      <c r="AC82" s="123" t="s">
        <v>561</v>
      </c>
      <c r="AD82" s="129">
        <v>42482.0</v>
      </c>
      <c r="AE82" s="123"/>
      <c r="AF82" s="123"/>
      <c r="AG82" s="123"/>
      <c r="AH82" s="123"/>
      <c r="AI82" s="123"/>
      <c r="AJ82" s="123"/>
    </row>
    <row r="83" ht="15.75" customHeight="1">
      <c r="A83" s="123">
        <v>82.0</v>
      </c>
      <c r="B83" s="124" t="s">
        <v>1230</v>
      </c>
      <c r="C83" s="124" t="s">
        <v>106</v>
      </c>
      <c r="D83" s="124" t="s">
        <v>64</v>
      </c>
      <c r="E83" s="124" t="s">
        <v>887</v>
      </c>
      <c r="F83" s="125">
        <v>9.0</v>
      </c>
      <c r="G83" s="124" t="s">
        <v>224</v>
      </c>
      <c r="H83" s="124" t="s">
        <v>3495</v>
      </c>
      <c r="I83" s="125">
        <v>22000.0</v>
      </c>
      <c r="J83" s="123"/>
      <c r="K83" s="124" t="s">
        <v>289</v>
      </c>
      <c r="L83" s="125">
        <v>40.0</v>
      </c>
      <c r="M83" s="124" t="s">
        <v>4459</v>
      </c>
      <c r="N83" s="124" t="s">
        <v>4460</v>
      </c>
      <c r="O83" s="124" t="s">
        <v>4461</v>
      </c>
      <c r="P83" s="124">
        <v>2000.0</v>
      </c>
      <c r="Q83" s="130" t="s">
        <v>4462</v>
      </c>
      <c r="R83" s="123"/>
      <c r="S83" s="123"/>
      <c r="T83" s="123" t="s">
        <v>462</v>
      </c>
      <c r="U83" s="123" t="s">
        <v>462</v>
      </c>
      <c r="V83" s="123" t="s">
        <v>4444</v>
      </c>
      <c r="W83" s="123"/>
      <c r="X83" s="123"/>
      <c r="Y83" s="123"/>
      <c r="Z83" s="123"/>
      <c r="AA83" s="123"/>
      <c r="AB83" s="123"/>
      <c r="AC83" s="123"/>
      <c r="AD83" s="123"/>
      <c r="AE83" s="123"/>
      <c r="AF83" s="123"/>
      <c r="AG83" s="123"/>
      <c r="AH83" s="123"/>
      <c r="AI83" s="123"/>
      <c r="AJ83" s="123"/>
    </row>
    <row r="84" ht="15.75" customHeight="1">
      <c r="A84" s="123">
        <v>83.0</v>
      </c>
      <c r="B84" s="124" t="s">
        <v>1230</v>
      </c>
      <c r="C84" s="124" t="s">
        <v>106</v>
      </c>
      <c r="D84" s="124" t="s">
        <v>64</v>
      </c>
      <c r="E84" s="124" t="s">
        <v>887</v>
      </c>
      <c r="F84" s="125">
        <v>9.0</v>
      </c>
      <c r="G84" s="124" t="s">
        <v>224</v>
      </c>
      <c r="H84" s="124" t="s">
        <v>388</v>
      </c>
      <c r="I84" s="125">
        <v>14000.0</v>
      </c>
      <c r="J84" s="123"/>
      <c r="K84" s="124" t="s">
        <v>117</v>
      </c>
      <c r="L84" s="125">
        <v>40.0</v>
      </c>
      <c r="M84" s="124" t="s">
        <v>4465</v>
      </c>
      <c r="N84" s="124" t="s">
        <v>4466</v>
      </c>
      <c r="O84" s="124" t="s">
        <v>4467</v>
      </c>
      <c r="P84" s="124">
        <v>1992.0</v>
      </c>
      <c r="Q84" s="124" t="s">
        <v>4468</v>
      </c>
      <c r="R84" s="123"/>
      <c r="S84" s="123"/>
      <c r="T84" s="123" t="s">
        <v>462</v>
      </c>
      <c r="U84" s="123" t="s">
        <v>462</v>
      </c>
      <c r="V84" s="123"/>
      <c r="W84" s="123"/>
      <c r="X84" s="123"/>
      <c r="Y84" s="123"/>
      <c r="Z84" s="123"/>
      <c r="AA84" s="123"/>
      <c r="AB84" s="123"/>
      <c r="AC84" s="123"/>
      <c r="AD84" s="123"/>
      <c r="AE84" s="123"/>
      <c r="AF84" s="123"/>
      <c r="AG84" s="123"/>
      <c r="AH84" s="123"/>
      <c r="AI84" s="123"/>
      <c r="AJ84" s="123"/>
    </row>
    <row r="85" ht="15.75" customHeight="1">
      <c r="A85" s="123">
        <v>84.0</v>
      </c>
      <c r="B85" s="124" t="s">
        <v>1230</v>
      </c>
      <c r="C85" s="124" t="s">
        <v>106</v>
      </c>
      <c r="D85" s="124" t="s">
        <v>64</v>
      </c>
      <c r="E85" s="124" t="s">
        <v>887</v>
      </c>
      <c r="F85" s="125">
        <v>9.0</v>
      </c>
      <c r="G85" s="124" t="s">
        <v>224</v>
      </c>
      <c r="H85" s="124" t="s">
        <v>2282</v>
      </c>
      <c r="I85" s="125">
        <v>3000.0</v>
      </c>
      <c r="J85" s="123"/>
      <c r="K85" s="124" t="s">
        <v>117</v>
      </c>
      <c r="L85" s="125">
        <v>40.0</v>
      </c>
      <c r="M85" s="124" t="s">
        <v>2284</v>
      </c>
      <c r="N85" s="124" t="s">
        <v>2286</v>
      </c>
      <c r="O85" s="124" t="s">
        <v>2288</v>
      </c>
      <c r="P85" s="124">
        <v>2014.0</v>
      </c>
      <c r="Q85" s="124" t="s">
        <v>2291</v>
      </c>
      <c r="R85" s="123"/>
      <c r="S85" s="123"/>
      <c r="T85" s="123" t="s">
        <v>462</v>
      </c>
      <c r="U85" s="123" t="s">
        <v>462</v>
      </c>
      <c r="V85" s="123"/>
      <c r="W85" s="123"/>
      <c r="X85" s="123"/>
      <c r="Y85" s="123"/>
      <c r="Z85" s="123"/>
      <c r="AA85" s="123"/>
      <c r="AB85" s="123"/>
      <c r="AC85" s="123"/>
      <c r="AD85" s="123"/>
      <c r="AE85" s="123"/>
      <c r="AF85" s="123"/>
      <c r="AG85" s="123"/>
      <c r="AH85" s="123"/>
      <c r="AI85" s="123"/>
      <c r="AJ85" s="123"/>
    </row>
    <row r="86" ht="15.75" customHeight="1">
      <c r="A86" s="123">
        <v>85.0</v>
      </c>
      <c r="B86" s="124" t="s">
        <v>1230</v>
      </c>
      <c r="C86" s="124" t="s">
        <v>106</v>
      </c>
      <c r="D86" s="124" t="s">
        <v>64</v>
      </c>
      <c r="E86" s="124" t="s">
        <v>887</v>
      </c>
      <c r="F86" s="125">
        <v>9.0</v>
      </c>
      <c r="G86" s="124" t="s">
        <v>224</v>
      </c>
      <c r="H86" s="124" t="s">
        <v>388</v>
      </c>
      <c r="I86" s="125">
        <v>14000.0</v>
      </c>
      <c r="J86" s="123"/>
      <c r="K86" s="124" t="s">
        <v>298</v>
      </c>
      <c r="L86" s="125">
        <v>44.0</v>
      </c>
      <c r="M86" s="124" t="s">
        <v>888</v>
      </c>
      <c r="N86" s="124" t="s">
        <v>889</v>
      </c>
      <c r="O86" s="124" t="s">
        <v>890</v>
      </c>
      <c r="P86" s="124">
        <v>1996.0</v>
      </c>
      <c r="Q86" s="124" t="s">
        <v>891</v>
      </c>
      <c r="R86" s="123"/>
      <c r="S86" s="123"/>
      <c r="T86" s="123" t="s">
        <v>462</v>
      </c>
      <c r="U86" s="123" t="s">
        <v>462</v>
      </c>
      <c r="V86" s="123"/>
      <c r="W86" s="123"/>
      <c r="X86" s="123"/>
      <c r="Y86" s="123"/>
      <c r="Z86" s="123"/>
      <c r="AA86" s="123"/>
      <c r="AB86" s="123"/>
      <c r="AC86" s="123"/>
      <c r="AD86" s="123"/>
      <c r="AE86" s="123"/>
      <c r="AF86" s="123"/>
      <c r="AG86" s="123"/>
      <c r="AH86" s="123"/>
      <c r="AI86" s="123"/>
      <c r="AJ86" s="123"/>
    </row>
    <row r="87" ht="15.75" customHeight="1">
      <c r="A87" s="123">
        <v>86.0</v>
      </c>
      <c r="B87" s="124" t="s">
        <v>1230</v>
      </c>
      <c r="C87" s="124" t="s">
        <v>106</v>
      </c>
      <c r="D87" s="124" t="s">
        <v>64</v>
      </c>
      <c r="E87" s="124" t="s">
        <v>4479</v>
      </c>
      <c r="F87" s="125" t="s">
        <v>4480</v>
      </c>
      <c r="G87" s="124" t="s">
        <v>4481</v>
      </c>
      <c r="H87" s="124" t="s">
        <v>116</v>
      </c>
      <c r="I87" s="125">
        <v>3000.0</v>
      </c>
      <c r="J87" s="123"/>
      <c r="K87" s="124" t="s">
        <v>289</v>
      </c>
      <c r="L87" s="125">
        <v>40.0</v>
      </c>
      <c r="M87" s="124" t="s">
        <v>4487</v>
      </c>
      <c r="N87" s="124" t="s">
        <v>4488</v>
      </c>
      <c r="O87" s="124" t="s">
        <v>4490</v>
      </c>
      <c r="P87" s="124">
        <v>1992.0</v>
      </c>
      <c r="Q87" s="124" t="s">
        <v>4494</v>
      </c>
      <c r="R87" s="123" t="s">
        <v>4495</v>
      </c>
      <c r="S87" s="123" t="s">
        <v>4496</v>
      </c>
      <c r="T87" s="123" t="s">
        <v>4497</v>
      </c>
      <c r="U87" s="123" t="s">
        <v>4498</v>
      </c>
      <c r="V87" s="123"/>
      <c r="W87" s="123" t="s">
        <v>663</v>
      </c>
      <c r="X87" s="123" t="s">
        <v>561</v>
      </c>
      <c r="Y87" s="123" t="s">
        <v>4499</v>
      </c>
      <c r="Z87" s="129">
        <v>42464.0</v>
      </c>
      <c r="AA87" s="123"/>
      <c r="AB87" s="123"/>
      <c r="AC87" s="123"/>
      <c r="AD87" s="123"/>
      <c r="AE87" s="123"/>
      <c r="AF87" s="123"/>
      <c r="AG87" s="123"/>
      <c r="AH87" s="123"/>
      <c r="AI87" s="123"/>
      <c r="AJ87" s="123"/>
    </row>
    <row r="88" ht="15.75" customHeight="1">
      <c r="A88" s="123">
        <v>87.0</v>
      </c>
      <c r="B88" s="124" t="s">
        <v>1230</v>
      </c>
      <c r="C88" s="124" t="s">
        <v>106</v>
      </c>
      <c r="D88" s="124" t="s">
        <v>64</v>
      </c>
      <c r="E88" s="124" t="s">
        <v>265</v>
      </c>
      <c r="F88" s="125">
        <v>9.0</v>
      </c>
      <c r="G88" s="124" t="s">
        <v>960</v>
      </c>
      <c r="H88" s="124" t="s">
        <v>4500</v>
      </c>
      <c r="I88" s="125">
        <v>4000.0</v>
      </c>
      <c r="J88" s="123"/>
      <c r="K88" s="124" t="s">
        <v>289</v>
      </c>
      <c r="L88" s="125">
        <v>40.0</v>
      </c>
      <c r="M88" s="124" t="s">
        <v>4503</v>
      </c>
      <c r="N88" s="124" t="s">
        <v>4504</v>
      </c>
      <c r="O88" s="124" t="s">
        <v>4506</v>
      </c>
      <c r="P88" s="124">
        <v>2006.0</v>
      </c>
      <c r="Q88" s="124" t="s">
        <v>4507</v>
      </c>
      <c r="R88" s="123" t="s">
        <v>4508</v>
      </c>
      <c r="S88" s="123"/>
      <c r="T88" s="123" t="s">
        <v>428</v>
      </c>
      <c r="U88" s="123" t="s">
        <v>462</v>
      </c>
      <c r="V88" s="123"/>
      <c r="W88" s="123"/>
      <c r="X88" s="123"/>
      <c r="Y88" s="123"/>
      <c r="Z88" s="123"/>
      <c r="AA88" s="123"/>
      <c r="AB88" s="123"/>
      <c r="AC88" s="123"/>
      <c r="AD88" s="123"/>
      <c r="AE88" s="123"/>
      <c r="AF88" s="123"/>
      <c r="AG88" s="123"/>
      <c r="AH88" s="123"/>
      <c r="AI88" s="123"/>
      <c r="AJ88" s="123"/>
    </row>
    <row r="89" ht="15.75" customHeight="1">
      <c r="A89" s="123">
        <v>88.0</v>
      </c>
      <c r="B89" s="124" t="s">
        <v>1230</v>
      </c>
      <c r="C89" s="124" t="s">
        <v>106</v>
      </c>
      <c r="D89" s="124" t="s">
        <v>64</v>
      </c>
      <c r="E89" s="124" t="s">
        <v>1857</v>
      </c>
      <c r="F89" s="125">
        <v>1.0</v>
      </c>
      <c r="G89" s="124" t="s">
        <v>2526</v>
      </c>
      <c r="H89" s="124" t="s">
        <v>605</v>
      </c>
      <c r="I89" s="125">
        <v>4000.0</v>
      </c>
      <c r="J89" s="123"/>
      <c r="K89" s="124" t="s">
        <v>272</v>
      </c>
      <c r="L89" s="125">
        <v>42.0</v>
      </c>
      <c r="M89" s="124" t="s">
        <v>2528</v>
      </c>
      <c r="N89" s="124" t="s">
        <v>2529</v>
      </c>
      <c r="O89" s="124" t="s">
        <v>2530</v>
      </c>
      <c r="P89" s="124">
        <v>2015.0</v>
      </c>
      <c r="Q89" s="130" t="s">
        <v>2536</v>
      </c>
      <c r="R89" s="123" t="s">
        <v>2538</v>
      </c>
      <c r="S89" s="123"/>
      <c r="T89" s="123" t="s">
        <v>462</v>
      </c>
      <c r="U89" s="123" t="s">
        <v>428</v>
      </c>
      <c r="V89" s="123"/>
      <c r="W89" s="123"/>
      <c r="X89" s="123"/>
      <c r="Y89" s="123"/>
      <c r="Z89" s="123"/>
      <c r="AA89" s="123"/>
      <c r="AB89" s="123"/>
      <c r="AC89" s="123"/>
      <c r="AD89" s="123"/>
      <c r="AE89" s="123"/>
      <c r="AF89" s="123"/>
      <c r="AG89" s="123"/>
      <c r="AH89" s="123"/>
      <c r="AI89" s="123"/>
      <c r="AJ89" s="123" t="s">
        <v>1023</v>
      </c>
    </row>
    <row r="90" ht="15.75" customHeight="1">
      <c r="A90" s="123">
        <v>89.0</v>
      </c>
      <c r="B90" s="124" t="s">
        <v>1230</v>
      </c>
      <c r="C90" s="124" t="s">
        <v>106</v>
      </c>
      <c r="D90" s="124" t="s">
        <v>64</v>
      </c>
      <c r="E90" s="124" t="s">
        <v>1857</v>
      </c>
      <c r="F90" s="125">
        <v>1.0</v>
      </c>
      <c r="G90" s="124" t="s">
        <v>224</v>
      </c>
      <c r="H90" s="124" t="s">
        <v>552</v>
      </c>
      <c r="I90" s="125">
        <v>6000.0</v>
      </c>
      <c r="J90" s="123"/>
      <c r="K90" s="124" t="s">
        <v>289</v>
      </c>
      <c r="L90" s="125">
        <v>40.0</v>
      </c>
      <c r="M90" s="124" t="s">
        <v>4523</v>
      </c>
      <c r="N90" s="124" t="s">
        <v>4524</v>
      </c>
      <c r="O90" s="124" t="s">
        <v>4525</v>
      </c>
      <c r="P90" s="124">
        <v>2012.0</v>
      </c>
      <c r="Q90" s="124" t="s">
        <v>4526</v>
      </c>
      <c r="R90" s="123"/>
      <c r="S90" s="123"/>
      <c r="T90" s="123"/>
      <c r="U90" s="123"/>
      <c r="V90" s="123"/>
      <c r="W90" s="123"/>
      <c r="X90" s="123"/>
      <c r="Y90" s="123"/>
      <c r="Z90" s="123"/>
      <c r="AA90" s="123"/>
      <c r="AB90" s="123"/>
      <c r="AC90" s="123"/>
      <c r="AD90" s="123"/>
      <c r="AE90" s="123"/>
      <c r="AF90" s="123"/>
      <c r="AG90" s="123"/>
      <c r="AH90" s="123"/>
      <c r="AI90" s="123"/>
      <c r="AJ90" s="123"/>
    </row>
    <row r="91" ht="15.75" customHeight="1">
      <c r="A91" s="123">
        <v>90.0</v>
      </c>
      <c r="B91" s="124" t="s">
        <v>1230</v>
      </c>
      <c r="C91" s="124" t="s">
        <v>106</v>
      </c>
      <c r="D91" s="124" t="s">
        <v>4032</v>
      </c>
      <c r="E91" s="124" t="s">
        <v>196</v>
      </c>
      <c r="F91" s="125">
        <v>1.0</v>
      </c>
      <c r="G91" s="124" t="s">
        <v>1126</v>
      </c>
      <c r="H91" s="124" t="s">
        <v>552</v>
      </c>
      <c r="I91" s="125">
        <v>6000.0</v>
      </c>
      <c r="J91" s="123"/>
      <c r="K91" s="124" t="s">
        <v>431</v>
      </c>
      <c r="L91" s="125">
        <v>40.0</v>
      </c>
      <c r="M91" s="124" t="s">
        <v>1127</v>
      </c>
      <c r="N91" s="124" t="s">
        <v>1128</v>
      </c>
      <c r="O91" s="124" t="s">
        <v>1129</v>
      </c>
      <c r="P91" s="124">
        <v>2012.0</v>
      </c>
      <c r="Q91" s="124" t="s">
        <v>1130</v>
      </c>
      <c r="R91" s="123"/>
      <c r="S91" s="123"/>
      <c r="T91" s="123"/>
      <c r="U91" s="123"/>
      <c r="V91" s="123" t="s">
        <v>39</v>
      </c>
      <c r="W91" s="123"/>
      <c r="X91" s="123"/>
      <c r="Y91" s="123"/>
      <c r="Z91" s="123"/>
      <c r="AA91" s="123"/>
      <c r="AB91" s="123"/>
      <c r="AC91" s="123"/>
      <c r="AD91" s="123"/>
      <c r="AE91" s="123"/>
      <c r="AF91" s="123"/>
      <c r="AG91" s="123"/>
      <c r="AH91" s="123"/>
      <c r="AI91" s="123"/>
      <c r="AJ91" s="123"/>
    </row>
    <row r="92" ht="15.75" customHeight="1">
      <c r="A92" s="123">
        <v>91.0</v>
      </c>
      <c r="B92" s="124" t="s">
        <v>1230</v>
      </c>
      <c r="C92" s="124" t="s">
        <v>106</v>
      </c>
      <c r="D92" s="124" t="s">
        <v>64</v>
      </c>
      <c r="E92" s="124" t="s">
        <v>196</v>
      </c>
      <c r="F92" s="125">
        <v>1.0</v>
      </c>
      <c r="G92" s="124" t="s">
        <v>224</v>
      </c>
      <c r="H92" s="124" t="s">
        <v>2251</v>
      </c>
      <c r="I92" s="125">
        <v>11000.0</v>
      </c>
      <c r="J92" s="123"/>
      <c r="K92" s="124" t="s">
        <v>2253</v>
      </c>
      <c r="L92" s="125" t="s">
        <v>2254</v>
      </c>
      <c r="M92" s="124" t="s">
        <v>2258</v>
      </c>
      <c r="N92" s="124" t="s">
        <v>2260</v>
      </c>
      <c r="O92" s="124" t="s">
        <v>2261</v>
      </c>
      <c r="P92" s="124">
        <v>2009.0</v>
      </c>
      <c r="Q92" s="124" t="s">
        <v>2262</v>
      </c>
      <c r="R92" s="123"/>
      <c r="S92" s="123"/>
      <c r="T92" s="123"/>
      <c r="U92" s="123"/>
      <c r="V92" s="123"/>
      <c r="W92" s="123"/>
      <c r="X92" s="123"/>
      <c r="Y92" s="123"/>
      <c r="Z92" s="123"/>
      <c r="AA92" s="123"/>
      <c r="AB92" s="123"/>
      <c r="AC92" s="123"/>
      <c r="AD92" s="123"/>
      <c r="AE92" s="123"/>
      <c r="AF92" s="123"/>
      <c r="AG92" s="123"/>
      <c r="AH92" s="123"/>
      <c r="AI92" s="123"/>
      <c r="AJ92" s="123"/>
    </row>
    <row r="93" ht="15.75" customHeight="1">
      <c r="A93" s="123">
        <v>92.0</v>
      </c>
      <c r="B93" s="124" t="s">
        <v>1230</v>
      </c>
      <c r="C93" s="124" t="s">
        <v>106</v>
      </c>
      <c r="D93" s="124" t="s">
        <v>64</v>
      </c>
      <c r="E93" s="124" t="s">
        <v>4528</v>
      </c>
      <c r="F93" s="125" t="s">
        <v>4529</v>
      </c>
      <c r="G93" s="124" t="s">
        <v>4530</v>
      </c>
      <c r="H93" s="124" t="s">
        <v>2059</v>
      </c>
      <c r="I93" s="125">
        <v>2000.0</v>
      </c>
      <c r="J93" s="123"/>
      <c r="K93" s="124" t="s">
        <v>289</v>
      </c>
      <c r="L93" s="125">
        <v>40.0</v>
      </c>
      <c r="M93" s="124" t="s">
        <v>4531</v>
      </c>
      <c r="N93" s="124" t="s">
        <v>4532</v>
      </c>
      <c r="O93" s="124" t="s">
        <v>4533</v>
      </c>
      <c r="P93" s="124">
        <v>2015.0</v>
      </c>
      <c r="Q93" s="130" t="s">
        <v>4540</v>
      </c>
      <c r="R93" s="123"/>
      <c r="S93" s="123"/>
      <c r="T93" s="123" t="s">
        <v>462</v>
      </c>
      <c r="U93" s="123" t="s">
        <v>462</v>
      </c>
      <c r="V93" s="123" t="s">
        <v>3403</v>
      </c>
      <c r="W93" s="123"/>
      <c r="X93" s="123"/>
      <c r="Y93" s="123"/>
      <c r="Z93" s="123"/>
      <c r="AA93" s="123"/>
      <c r="AB93" s="123"/>
      <c r="AC93" s="123"/>
      <c r="AD93" s="123"/>
      <c r="AE93" s="123"/>
      <c r="AF93" s="123"/>
      <c r="AG93" s="123"/>
      <c r="AH93" s="123"/>
      <c r="AI93" s="123"/>
      <c r="AJ93" s="123"/>
    </row>
    <row r="94" ht="15.75" customHeight="1">
      <c r="A94" s="123">
        <v>93.0</v>
      </c>
      <c r="B94" s="124" t="s">
        <v>1230</v>
      </c>
      <c r="C94" s="124" t="s">
        <v>106</v>
      </c>
      <c r="D94" s="124" t="s">
        <v>64</v>
      </c>
      <c r="E94" s="124" t="s">
        <v>756</v>
      </c>
      <c r="F94" s="125" t="s">
        <v>757</v>
      </c>
      <c r="G94" s="124" t="s">
        <v>758</v>
      </c>
      <c r="H94" s="124" t="s">
        <v>538</v>
      </c>
      <c r="I94" s="125">
        <v>11000.0</v>
      </c>
      <c r="J94" s="123"/>
      <c r="K94" s="124" t="s">
        <v>761</v>
      </c>
      <c r="L94" s="125">
        <v>43.0</v>
      </c>
      <c r="M94" s="124" t="s">
        <v>763</v>
      </c>
      <c r="N94" s="124" t="s">
        <v>764</v>
      </c>
      <c r="O94" s="124" t="s">
        <v>699</v>
      </c>
      <c r="P94" s="124">
        <v>2011.0</v>
      </c>
      <c r="Q94" s="124" t="s">
        <v>765</v>
      </c>
      <c r="R94" s="123" t="s">
        <v>767</v>
      </c>
      <c r="S94" s="123"/>
      <c r="T94" s="123" t="s">
        <v>769</v>
      </c>
      <c r="U94" s="123"/>
      <c r="V94" s="123"/>
      <c r="W94" s="123"/>
      <c r="X94" s="123"/>
      <c r="Y94" s="123"/>
      <c r="Z94" s="123"/>
      <c r="AA94" s="123"/>
      <c r="AB94" s="123"/>
      <c r="AC94" s="123"/>
      <c r="AD94" s="123"/>
      <c r="AE94" s="123"/>
      <c r="AF94" s="123"/>
      <c r="AG94" s="123"/>
      <c r="AH94" s="123"/>
      <c r="AI94" s="123"/>
      <c r="AJ94" s="123" t="s">
        <v>771</v>
      </c>
    </row>
    <row r="95" ht="15.75" customHeight="1">
      <c r="A95" s="123">
        <v>94.0</v>
      </c>
      <c r="B95" s="124" t="s">
        <v>1230</v>
      </c>
      <c r="C95" s="124" t="s">
        <v>106</v>
      </c>
      <c r="D95" s="124" t="s">
        <v>64</v>
      </c>
      <c r="E95" s="124" t="s">
        <v>756</v>
      </c>
      <c r="F95" s="125" t="s">
        <v>757</v>
      </c>
      <c r="G95" s="124" t="s">
        <v>224</v>
      </c>
      <c r="H95" s="124" t="s">
        <v>470</v>
      </c>
      <c r="I95" s="125">
        <v>3000.0</v>
      </c>
      <c r="J95" s="123"/>
      <c r="K95" s="124" t="s">
        <v>289</v>
      </c>
      <c r="L95" s="125">
        <v>40.0</v>
      </c>
      <c r="M95" s="124" t="s">
        <v>4543</v>
      </c>
      <c r="N95" s="124" t="s">
        <v>4544</v>
      </c>
      <c r="O95" s="124" t="s">
        <v>4545</v>
      </c>
      <c r="P95" s="126">
        <v>2008.0</v>
      </c>
      <c r="Q95" s="124" t="s">
        <v>4547</v>
      </c>
      <c r="R95" s="123" t="s">
        <v>4549</v>
      </c>
      <c r="S95" s="123"/>
      <c r="T95" s="123"/>
      <c r="U95" s="123"/>
      <c r="V95" s="123"/>
      <c r="W95" s="123"/>
      <c r="X95" s="123"/>
      <c r="Y95" s="123"/>
      <c r="Z95" s="123"/>
      <c r="AA95" s="123"/>
      <c r="AB95" s="123"/>
      <c r="AC95" s="123"/>
      <c r="AD95" s="123"/>
      <c r="AE95" s="123"/>
      <c r="AF95" s="123"/>
      <c r="AG95" s="123"/>
      <c r="AH95" s="123"/>
      <c r="AI95" s="123"/>
      <c r="AJ95" s="123"/>
    </row>
    <row r="96" ht="15.75" customHeight="1">
      <c r="A96" s="123">
        <v>95.0</v>
      </c>
      <c r="B96" s="124" t="s">
        <v>1230</v>
      </c>
      <c r="C96" s="124" t="s">
        <v>106</v>
      </c>
      <c r="D96" s="124" t="s">
        <v>64</v>
      </c>
      <c r="E96" s="124" t="s">
        <v>1443</v>
      </c>
      <c r="F96" s="125" t="s">
        <v>757</v>
      </c>
      <c r="G96" s="124" t="s">
        <v>4556</v>
      </c>
      <c r="H96" s="124" t="s">
        <v>1052</v>
      </c>
      <c r="I96" s="125">
        <v>21000.0</v>
      </c>
      <c r="J96" s="123"/>
      <c r="K96" s="124" t="s">
        <v>289</v>
      </c>
      <c r="L96" s="125">
        <v>40.0</v>
      </c>
      <c r="M96" s="124" t="s">
        <v>4559</v>
      </c>
      <c r="N96" s="124" t="s">
        <v>4560</v>
      </c>
      <c r="O96" s="124" t="s">
        <v>4561</v>
      </c>
      <c r="P96" s="124">
        <v>1981.0</v>
      </c>
      <c r="Q96" s="124" t="s">
        <v>4562</v>
      </c>
      <c r="R96" s="123" t="s">
        <v>4564</v>
      </c>
      <c r="S96" s="123"/>
      <c r="T96" s="123" t="s">
        <v>842</v>
      </c>
      <c r="U96" s="123" t="s">
        <v>462</v>
      </c>
      <c r="V96" s="123"/>
      <c r="W96" s="123"/>
      <c r="X96" s="123"/>
      <c r="Y96" s="123"/>
      <c r="Z96" s="123"/>
      <c r="AA96" s="123"/>
      <c r="AB96" s="123"/>
      <c r="AC96" s="123"/>
      <c r="AD96" s="123"/>
      <c r="AE96" s="123"/>
      <c r="AF96" s="123"/>
      <c r="AG96" s="123"/>
      <c r="AH96" s="123"/>
      <c r="AI96" s="123"/>
      <c r="AJ96" s="123"/>
    </row>
    <row r="97" ht="15.75" customHeight="1">
      <c r="A97" s="123">
        <v>96.0</v>
      </c>
      <c r="B97" s="124" t="s">
        <v>1230</v>
      </c>
      <c r="C97" s="124" t="s">
        <v>106</v>
      </c>
      <c r="D97" s="124" t="s">
        <v>64</v>
      </c>
      <c r="E97" s="124" t="s">
        <v>4566</v>
      </c>
      <c r="F97" s="125" t="s">
        <v>4567</v>
      </c>
      <c r="G97" s="124" t="s">
        <v>224</v>
      </c>
      <c r="H97" s="124" t="s">
        <v>169</v>
      </c>
      <c r="I97" s="125">
        <v>20000.0</v>
      </c>
      <c r="J97" s="123"/>
      <c r="K97" s="124" t="s">
        <v>289</v>
      </c>
      <c r="L97" s="125">
        <v>40.0</v>
      </c>
      <c r="M97" s="124" t="s">
        <v>4568</v>
      </c>
      <c r="N97" s="124" t="s">
        <v>4569</v>
      </c>
      <c r="O97" s="124" t="s">
        <v>4570</v>
      </c>
      <c r="P97" s="124">
        <v>2006.0</v>
      </c>
      <c r="Q97" s="124" t="s">
        <v>753</v>
      </c>
      <c r="R97" s="123"/>
      <c r="S97" s="123"/>
      <c r="T97" s="123" t="s">
        <v>462</v>
      </c>
      <c r="U97" s="123" t="s">
        <v>462</v>
      </c>
      <c r="V97" s="123"/>
      <c r="W97" s="123"/>
      <c r="X97" s="123"/>
      <c r="Y97" s="123"/>
      <c r="Z97" s="123"/>
      <c r="AA97" s="123"/>
      <c r="AB97" s="123"/>
      <c r="AC97" s="123"/>
      <c r="AD97" s="123"/>
      <c r="AE97" s="123"/>
      <c r="AF97" s="123"/>
      <c r="AG97" s="123"/>
      <c r="AH97" s="123"/>
      <c r="AI97" s="123"/>
      <c r="AJ97" s="123"/>
    </row>
    <row r="98" ht="15.75" customHeight="1">
      <c r="A98" s="123">
        <v>97.0</v>
      </c>
      <c r="B98" s="124" t="s">
        <v>1230</v>
      </c>
      <c r="C98" s="124" t="s">
        <v>106</v>
      </c>
      <c r="D98" s="124" t="s">
        <v>64</v>
      </c>
      <c r="E98" s="124" t="s">
        <v>3499</v>
      </c>
      <c r="F98" s="125" t="s">
        <v>3500</v>
      </c>
      <c r="G98" s="124" t="s">
        <v>4575</v>
      </c>
      <c r="H98" s="124" t="s">
        <v>605</v>
      </c>
      <c r="I98" s="125">
        <v>4000.0</v>
      </c>
      <c r="J98" s="123"/>
      <c r="K98" s="124" t="s">
        <v>289</v>
      </c>
      <c r="L98" s="125">
        <v>40.0</v>
      </c>
      <c r="M98" s="124" t="s">
        <v>4576</v>
      </c>
      <c r="N98" s="124" t="s">
        <v>4577</v>
      </c>
      <c r="O98" s="124" t="s">
        <v>4578</v>
      </c>
      <c r="P98" s="124">
        <v>1989.0</v>
      </c>
      <c r="Q98" s="124" t="s">
        <v>4580</v>
      </c>
      <c r="R98" s="127" t="str">
        <f>HYPERLINK("http://www.nrel.gov/docs/legosti/old/3386.pdf","http://www.nrel.gov/docs/legosti/old/3386.pdf")</f>
        <v>http://www.nrel.gov/docs/legosti/old/3386.pdf</v>
      </c>
      <c r="S98" s="123"/>
      <c r="T98" s="123" t="s">
        <v>613</v>
      </c>
      <c r="U98" s="123" t="s">
        <v>613</v>
      </c>
      <c r="V98" s="123"/>
      <c r="W98" s="123"/>
      <c r="X98" s="123"/>
      <c r="Y98" s="123"/>
      <c r="Z98" s="123"/>
      <c r="AA98" s="123"/>
      <c r="AB98" s="123"/>
      <c r="AC98" s="123"/>
      <c r="AD98" s="123"/>
      <c r="AE98" s="123"/>
      <c r="AF98" s="123"/>
      <c r="AG98" s="123"/>
      <c r="AH98" s="123"/>
      <c r="AI98" s="123"/>
      <c r="AJ98" s="123" t="s">
        <v>1023</v>
      </c>
    </row>
    <row r="99" ht="15.75" customHeight="1">
      <c r="A99" s="123">
        <v>98.0</v>
      </c>
      <c r="B99" s="124" t="s">
        <v>1230</v>
      </c>
      <c r="C99" s="124" t="s">
        <v>106</v>
      </c>
      <c r="D99" s="124" t="s">
        <v>64</v>
      </c>
      <c r="E99" s="124" t="s">
        <v>4584</v>
      </c>
      <c r="F99" s="125" t="s">
        <v>4585</v>
      </c>
      <c r="G99" s="124" t="s">
        <v>4586</v>
      </c>
      <c r="H99" s="124" t="s">
        <v>4588</v>
      </c>
      <c r="I99" s="125" t="s">
        <v>4589</v>
      </c>
      <c r="J99" s="123"/>
      <c r="K99" s="124" t="s">
        <v>111</v>
      </c>
      <c r="L99" s="125">
        <v>41.0</v>
      </c>
      <c r="M99" s="124" t="s">
        <v>4592</v>
      </c>
      <c r="N99" s="124" t="s">
        <v>3395</v>
      </c>
      <c r="O99" s="124" t="s">
        <v>3992</v>
      </c>
      <c r="P99" s="124">
        <v>2002.0</v>
      </c>
      <c r="Q99" s="124" t="s">
        <v>4595</v>
      </c>
      <c r="R99" s="123" t="s">
        <v>4596</v>
      </c>
      <c r="S99" s="123" t="s">
        <v>4597</v>
      </c>
      <c r="T99" s="123" t="s">
        <v>4598</v>
      </c>
      <c r="U99" s="123" t="s">
        <v>4599</v>
      </c>
      <c r="V99" s="123"/>
      <c r="W99" s="123" t="s">
        <v>663</v>
      </c>
      <c r="X99" s="123" t="s">
        <v>561</v>
      </c>
      <c r="Y99" s="123" t="s">
        <v>4600</v>
      </c>
      <c r="Z99" s="129">
        <v>42467.0</v>
      </c>
      <c r="AA99" s="123"/>
      <c r="AB99" s="123"/>
      <c r="AC99" s="123"/>
      <c r="AD99" s="123"/>
      <c r="AE99" s="123"/>
      <c r="AF99" s="123"/>
      <c r="AG99" s="123"/>
      <c r="AH99" s="123"/>
      <c r="AI99" s="123"/>
      <c r="AJ99" s="123" t="s">
        <v>4601</v>
      </c>
    </row>
    <row r="100" ht="15.75" customHeight="1">
      <c r="A100" s="123">
        <v>99.0</v>
      </c>
      <c r="B100" s="124" t="s">
        <v>1230</v>
      </c>
      <c r="C100" s="124" t="s">
        <v>106</v>
      </c>
      <c r="D100" s="124" t="s">
        <v>64</v>
      </c>
      <c r="E100" s="124" t="s">
        <v>1006</v>
      </c>
      <c r="F100" s="125" t="s">
        <v>1007</v>
      </c>
      <c r="G100" s="124" t="s">
        <v>1008</v>
      </c>
      <c r="H100" s="124" t="s">
        <v>169</v>
      </c>
      <c r="I100" s="125">
        <v>20000.0</v>
      </c>
      <c r="J100" s="123"/>
      <c r="K100" s="124" t="s">
        <v>111</v>
      </c>
      <c r="L100" s="125">
        <v>41.0</v>
      </c>
      <c r="M100" s="124" t="s">
        <v>1009</v>
      </c>
      <c r="N100" s="124" t="s">
        <v>1010</v>
      </c>
      <c r="O100" s="124" t="s">
        <v>1004</v>
      </c>
      <c r="P100" s="124">
        <v>2003.0</v>
      </c>
      <c r="Q100" s="124" t="s">
        <v>1011</v>
      </c>
      <c r="R100" s="123" t="s">
        <v>1012</v>
      </c>
      <c r="S100" s="123" t="s">
        <v>1013</v>
      </c>
      <c r="T100" s="123" t="s">
        <v>428</v>
      </c>
      <c r="U100" s="123"/>
      <c r="V100" s="123"/>
      <c r="W100" s="123"/>
      <c r="X100" s="123"/>
      <c r="Y100" s="123"/>
      <c r="Z100" s="123"/>
      <c r="AA100" s="123"/>
      <c r="AB100" s="123"/>
      <c r="AC100" s="123"/>
      <c r="AD100" s="123"/>
      <c r="AE100" s="123"/>
      <c r="AF100" s="123"/>
      <c r="AG100" s="123"/>
      <c r="AH100" s="123"/>
      <c r="AI100" s="123"/>
      <c r="AJ100" s="123"/>
    </row>
    <row r="101" ht="15.75" customHeight="1">
      <c r="A101" s="123">
        <v>100.0</v>
      </c>
      <c r="B101" s="124" t="s">
        <v>1230</v>
      </c>
      <c r="C101" s="124" t="s">
        <v>106</v>
      </c>
      <c r="D101" s="124" t="s">
        <v>64</v>
      </c>
      <c r="E101" s="124" t="s">
        <v>1006</v>
      </c>
      <c r="F101" s="125" t="s">
        <v>1007</v>
      </c>
      <c r="G101" s="124" t="s">
        <v>1008</v>
      </c>
      <c r="H101" s="124" t="s">
        <v>185</v>
      </c>
      <c r="I101" s="125">
        <v>3000.0</v>
      </c>
      <c r="J101" s="123"/>
      <c r="K101" s="124" t="s">
        <v>289</v>
      </c>
      <c r="L101" s="125">
        <v>40.0</v>
      </c>
      <c r="M101" s="124" t="s">
        <v>4608</v>
      </c>
      <c r="N101" s="79" t="s">
        <v>4609</v>
      </c>
      <c r="O101" s="124" t="s">
        <v>4610</v>
      </c>
      <c r="P101" s="124">
        <v>1979.0</v>
      </c>
      <c r="Q101" s="124" t="s">
        <v>4611</v>
      </c>
      <c r="R101" s="127" t="str">
        <f>HYPERLINK("http://triggered.clockss.org/ServeContent?url=http://baywood.stanford.clockss.org%2FBWES%2FBAWOOD_BWES_9_1%2F9W4J7LPPXGBKY8XU.pdf","http://triggered.clockss.org/ServeContent?url=http://baywood.stanford.clockss.org%2FBWES%2FBAWOOD_BWES_9_1%2F9W4J7LPPXGBKY8XU.pdf")</f>
        <v>http://triggered.clockss.org/ServeContent?url=http://baywood.stanford.clockss.org%2FBWES%2FBAWOOD_BWES_9_1%2F9W4J7LPPXGBKY8XU.pdf</v>
      </c>
      <c r="S101" s="123" t="s">
        <v>4624</v>
      </c>
      <c r="T101" s="123"/>
      <c r="U101" s="123"/>
      <c r="V101" s="123"/>
      <c r="W101" s="123"/>
      <c r="X101" s="123"/>
      <c r="Y101" s="123"/>
      <c r="Z101" s="123"/>
      <c r="AA101" s="123"/>
      <c r="AB101" s="123"/>
      <c r="AC101" s="123"/>
      <c r="AD101" s="123"/>
      <c r="AE101" s="123"/>
      <c r="AF101" s="123"/>
      <c r="AG101" s="123"/>
      <c r="AH101" s="123"/>
      <c r="AI101" s="123"/>
      <c r="AJ101" s="123"/>
    </row>
    <row r="102" ht="15.75" customHeight="1">
      <c r="A102" s="123">
        <v>101.0</v>
      </c>
      <c r="B102" s="124" t="s">
        <v>1230</v>
      </c>
      <c r="C102" s="124" t="s">
        <v>106</v>
      </c>
      <c r="D102" s="124" t="s">
        <v>64</v>
      </c>
      <c r="E102" s="124" t="s">
        <v>1014</v>
      </c>
      <c r="F102" s="125" t="s">
        <v>1015</v>
      </c>
      <c r="G102" s="124" t="s">
        <v>4625</v>
      </c>
      <c r="H102" s="124" t="s">
        <v>3259</v>
      </c>
      <c r="I102" s="125">
        <v>2000.0</v>
      </c>
      <c r="J102" s="123"/>
      <c r="K102" s="124" t="s">
        <v>289</v>
      </c>
      <c r="L102" s="125">
        <v>40.0</v>
      </c>
      <c r="M102" s="124" t="s">
        <v>4626</v>
      </c>
      <c r="N102" s="124" t="s">
        <v>4627</v>
      </c>
      <c r="O102" s="124" t="s">
        <v>4381</v>
      </c>
      <c r="P102" s="124">
        <v>2009.0</v>
      </c>
      <c r="Q102" s="124" t="s">
        <v>4631</v>
      </c>
      <c r="R102" s="123"/>
      <c r="S102" s="123"/>
      <c r="T102" s="123" t="s">
        <v>462</v>
      </c>
      <c r="U102" s="123" t="s">
        <v>462</v>
      </c>
      <c r="V102" s="123" t="s">
        <v>39</v>
      </c>
      <c r="W102" s="123"/>
      <c r="X102" s="123"/>
      <c r="Y102" s="123"/>
      <c r="Z102" s="123"/>
      <c r="AA102" s="123"/>
      <c r="AB102" s="123"/>
      <c r="AC102" s="123"/>
      <c r="AD102" s="123"/>
      <c r="AE102" s="123"/>
      <c r="AF102" s="123"/>
      <c r="AG102" s="123"/>
      <c r="AH102" s="123"/>
      <c r="AI102" s="123"/>
      <c r="AJ102" s="123"/>
    </row>
    <row r="103" ht="15.75" customHeight="1">
      <c r="A103" s="123">
        <v>102.0</v>
      </c>
      <c r="B103" s="124" t="s">
        <v>1230</v>
      </c>
      <c r="C103" s="124" t="s">
        <v>106</v>
      </c>
      <c r="D103" s="124" t="s">
        <v>64</v>
      </c>
      <c r="E103" s="124" t="s">
        <v>1014</v>
      </c>
      <c r="F103" s="125" t="s">
        <v>1015</v>
      </c>
      <c r="G103" s="124" t="s">
        <v>1016</v>
      </c>
      <c r="H103" s="124" t="s">
        <v>605</v>
      </c>
      <c r="I103" s="125">
        <v>4000.0</v>
      </c>
      <c r="J103" s="123"/>
      <c r="K103" s="124" t="s">
        <v>111</v>
      </c>
      <c r="L103" s="125">
        <v>41.0</v>
      </c>
      <c r="M103" s="124" t="s">
        <v>1018</v>
      </c>
      <c r="N103" s="124" t="s">
        <v>1019</v>
      </c>
      <c r="O103" s="124" t="s">
        <v>1020</v>
      </c>
      <c r="P103" s="124">
        <v>2015.0</v>
      </c>
      <c r="Q103" s="124" t="s">
        <v>1021</v>
      </c>
      <c r="R103" s="123" t="s">
        <v>1022</v>
      </c>
      <c r="S103" s="123"/>
      <c r="T103" s="123" t="s">
        <v>462</v>
      </c>
      <c r="U103" s="123" t="s">
        <v>428</v>
      </c>
      <c r="V103" s="123"/>
      <c r="W103" s="123"/>
      <c r="X103" s="123"/>
      <c r="Y103" s="123"/>
      <c r="Z103" s="123"/>
      <c r="AA103" s="123"/>
      <c r="AB103" s="123"/>
      <c r="AC103" s="123"/>
      <c r="AD103" s="123"/>
      <c r="AE103" s="123"/>
      <c r="AF103" s="123"/>
      <c r="AG103" s="123"/>
      <c r="AH103" s="123"/>
      <c r="AI103" s="123"/>
      <c r="AJ103" s="123" t="s">
        <v>1023</v>
      </c>
    </row>
    <row r="104" ht="15.75" customHeight="1">
      <c r="A104" s="123">
        <v>103.0</v>
      </c>
      <c r="B104" s="124" t="s">
        <v>1230</v>
      </c>
      <c r="C104" s="124" t="s">
        <v>106</v>
      </c>
      <c r="D104" s="124" t="s">
        <v>64</v>
      </c>
      <c r="E104" s="124" t="s">
        <v>2843</v>
      </c>
      <c r="F104" s="125" t="s">
        <v>1083</v>
      </c>
      <c r="G104" s="124" t="s">
        <v>2848</v>
      </c>
      <c r="H104" s="124" t="s">
        <v>644</v>
      </c>
      <c r="I104" s="125">
        <v>2000.0</v>
      </c>
      <c r="J104" s="123"/>
      <c r="K104" s="124" t="s">
        <v>289</v>
      </c>
      <c r="L104" s="125">
        <v>40.0</v>
      </c>
      <c r="M104" s="124" t="s">
        <v>2853</v>
      </c>
      <c r="N104" s="124" t="s">
        <v>2854</v>
      </c>
      <c r="O104" s="124" t="s">
        <v>2811</v>
      </c>
      <c r="P104" s="126">
        <v>2015.0</v>
      </c>
      <c r="Q104" s="124" t="s">
        <v>2855</v>
      </c>
      <c r="R104" s="127" t="str">
        <f>HYPERLINK("http://ecoamerica.org/wp-content/uploads/2015/09/ecoAmerica-ACV-supplement.pdf","http://ecoamerica.org/wp-content/uploads/2015/09/ecoAmerica-ACV-supplement.pdf")</f>
        <v>http://ecoamerica.org/wp-content/uploads/2015/09/ecoAmerica-ACV-supplement.pdf</v>
      </c>
      <c r="S104" s="123"/>
      <c r="T104" s="123"/>
      <c r="U104" s="123"/>
      <c r="V104" s="123"/>
      <c r="W104" s="123"/>
      <c r="X104" s="123"/>
      <c r="Y104" s="123"/>
      <c r="Z104" s="129"/>
      <c r="AA104" s="123"/>
      <c r="AB104" s="123"/>
      <c r="AC104" s="123"/>
      <c r="AD104" s="123"/>
      <c r="AE104" s="123"/>
      <c r="AF104" s="123"/>
      <c r="AG104" s="123"/>
      <c r="AH104" s="123"/>
      <c r="AI104" s="123"/>
      <c r="AJ104" s="123"/>
    </row>
    <row r="105" ht="15.75" customHeight="1">
      <c r="A105" s="123">
        <v>104.0</v>
      </c>
      <c r="B105" s="124" t="s">
        <v>1230</v>
      </c>
      <c r="C105" s="124" t="s">
        <v>106</v>
      </c>
      <c r="D105" s="124" t="s">
        <v>64</v>
      </c>
      <c r="E105" s="124" t="s">
        <v>1559</v>
      </c>
      <c r="F105" s="125" t="s">
        <v>1560</v>
      </c>
      <c r="G105" s="124" t="s">
        <v>224</v>
      </c>
      <c r="H105" s="124" t="s">
        <v>644</v>
      </c>
      <c r="I105" s="125">
        <v>2000.0</v>
      </c>
      <c r="J105" s="123"/>
      <c r="K105" s="124" t="s">
        <v>289</v>
      </c>
      <c r="L105" s="125">
        <v>40.0</v>
      </c>
      <c r="M105" s="124" t="s">
        <v>2865</v>
      </c>
      <c r="N105" s="124" t="s">
        <v>188</v>
      </c>
      <c r="O105" s="124" t="s">
        <v>2811</v>
      </c>
      <c r="P105" s="126">
        <v>2014.0</v>
      </c>
      <c r="Q105" s="124" t="s">
        <v>2866</v>
      </c>
      <c r="R105" s="127" t="str">
        <f>HYPERLINK("http://ecoamerica.org/wp-content/uploads/2014/06/eA_Beyond_Storms_and_Droughts_Psych_Impacts_of_Climate_Change.pdf","http://ecoamerica.org/wp-content/uploads/2014/06/eA_Beyond_Storms_and_Droughts_Psych_Impacts_of_Climate_Change.pdf")</f>
        <v>http://ecoamerica.org/wp-content/uploads/2014/06/eA_Beyond_Storms_and_Droughts_Psych_Impacts_of_Climate_Change.pdf</v>
      </c>
      <c r="S105" s="123"/>
      <c r="T105" s="123"/>
      <c r="U105" s="123"/>
      <c r="V105" s="123"/>
      <c r="W105" s="123"/>
      <c r="X105" s="123"/>
      <c r="Y105" s="123"/>
      <c r="Z105" s="123"/>
      <c r="AA105" s="123"/>
      <c r="AB105" s="123"/>
      <c r="AC105" s="123"/>
      <c r="AD105" s="123"/>
      <c r="AE105" s="123"/>
      <c r="AF105" s="123"/>
      <c r="AG105" s="123"/>
      <c r="AH105" s="123"/>
      <c r="AI105" s="123"/>
      <c r="AJ105" s="123"/>
    </row>
    <row r="106" ht="15.75" customHeight="1">
      <c r="A106" s="123">
        <v>105.0</v>
      </c>
      <c r="B106" s="124" t="s">
        <v>1230</v>
      </c>
      <c r="C106" s="124" t="s">
        <v>106</v>
      </c>
      <c r="D106" s="124" t="s">
        <v>173</v>
      </c>
      <c r="E106" s="124" t="s">
        <v>4649</v>
      </c>
      <c r="F106" s="125"/>
      <c r="G106" s="124" t="s">
        <v>224</v>
      </c>
      <c r="H106" s="124" t="s">
        <v>605</v>
      </c>
      <c r="I106" s="125">
        <v>4000.0</v>
      </c>
      <c r="J106" s="123"/>
      <c r="K106" s="124" t="s">
        <v>289</v>
      </c>
      <c r="L106" s="125">
        <v>40.0</v>
      </c>
      <c r="M106" s="124" t="s">
        <v>4652</v>
      </c>
      <c r="N106" s="124" t="s">
        <v>4653</v>
      </c>
      <c r="O106" s="124" t="s">
        <v>4381</v>
      </c>
      <c r="P106" s="124">
        <v>2011.0</v>
      </c>
      <c r="Q106" s="124" t="s">
        <v>610</v>
      </c>
      <c r="R106" s="123"/>
      <c r="S106" s="123"/>
      <c r="T106" s="123" t="s">
        <v>530</v>
      </c>
      <c r="U106" s="123" t="s">
        <v>530</v>
      </c>
      <c r="V106" s="123"/>
      <c r="W106" s="123"/>
      <c r="X106" s="123"/>
      <c r="Y106" s="123"/>
      <c r="Z106" s="123"/>
      <c r="AA106" s="123"/>
      <c r="AB106" s="123"/>
      <c r="AC106" s="123"/>
      <c r="AD106" s="123"/>
      <c r="AE106" s="123"/>
      <c r="AF106" s="123"/>
      <c r="AG106" s="123"/>
      <c r="AH106" s="123"/>
      <c r="AI106" s="123"/>
      <c r="AJ106" s="123"/>
    </row>
    <row r="107" ht="15.75" customHeight="1">
      <c r="A107" s="123">
        <v>106.0</v>
      </c>
      <c r="B107" s="124" t="s">
        <v>1230</v>
      </c>
      <c r="C107" s="124" t="s">
        <v>106</v>
      </c>
      <c r="D107" s="124" t="s">
        <v>173</v>
      </c>
      <c r="E107" s="124" t="s">
        <v>4654</v>
      </c>
      <c r="F107" s="125"/>
      <c r="G107" s="124" t="s">
        <v>224</v>
      </c>
      <c r="H107" s="124" t="s">
        <v>388</v>
      </c>
      <c r="I107" s="125">
        <v>14000.0</v>
      </c>
      <c r="J107" s="123"/>
      <c r="K107" s="124" t="s">
        <v>289</v>
      </c>
      <c r="L107" s="125">
        <v>40.0</v>
      </c>
      <c r="M107" s="124" t="s">
        <v>4655</v>
      </c>
      <c r="N107" s="124" t="s">
        <v>4656</v>
      </c>
      <c r="O107" s="124" t="s">
        <v>4657</v>
      </c>
      <c r="P107" s="124">
        <v>2010.0</v>
      </c>
      <c r="Q107" s="124" t="s">
        <v>4658</v>
      </c>
      <c r="R107" s="123" t="s">
        <v>4659</v>
      </c>
      <c r="S107" s="123" t="s">
        <v>4660</v>
      </c>
      <c r="T107" s="123" t="s">
        <v>462</v>
      </c>
      <c r="U107" s="123" t="s">
        <v>462</v>
      </c>
      <c r="V107" s="123"/>
      <c r="W107" s="123"/>
      <c r="X107" s="123"/>
      <c r="Y107" s="123"/>
      <c r="Z107" s="123"/>
      <c r="AA107" s="123"/>
      <c r="AB107" s="123"/>
      <c r="AC107" s="123"/>
      <c r="AD107" s="123"/>
      <c r="AE107" s="123"/>
      <c r="AF107" s="123"/>
      <c r="AG107" s="123"/>
      <c r="AH107" s="123"/>
      <c r="AI107" s="123"/>
      <c r="AJ107" s="123"/>
    </row>
    <row r="108" ht="15.75" customHeight="1">
      <c r="A108" s="123">
        <v>107.0</v>
      </c>
      <c r="B108" s="124" t="s">
        <v>1230</v>
      </c>
      <c r="C108" s="124" t="s">
        <v>106</v>
      </c>
      <c r="D108" s="124" t="s">
        <v>173</v>
      </c>
      <c r="E108" s="124" t="s">
        <v>4654</v>
      </c>
      <c r="F108" s="125"/>
      <c r="G108" s="124" t="s">
        <v>224</v>
      </c>
      <c r="H108" s="124" t="s">
        <v>837</v>
      </c>
      <c r="I108" s="125">
        <v>2000.0</v>
      </c>
      <c r="J108" s="123"/>
      <c r="K108" s="124" t="s">
        <v>289</v>
      </c>
      <c r="L108" s="125">
        <v>40.0</v>
      </c>
      <c r="M108" s="124" t="s">
        <v>4661</v>
      </c>
      <c r="N108" s="124" t="s">
        <v>4663</v>
      </c>
      <c r="O108" s="124" t="s">
        <v>4664</v>
      </c>
      <c r="P108" s="124">
        <v>2011.0</v>
      </c>
      <c r="Q108" s="124" t="s">
        <v>4671</v>
      </c>
      <c r="R108" s="127" t="str">
        <f>HYPERLINK("http://papers.ssrn.com/sol3/papers.cfm?abstract_id=1871503","http://papers.ssrn.com/sol3/papers.cfm?abstract_id=1871503")</f>
        <v>http://papers.ssrn.com/sol3/papers.cfm?abstract_id=1871503</v>
      </c>
      <c r="S108" s="123" t="s">
        <v>4679</v>
      </c>
      <c r="T108" s="123" t="s">
        <v>842</v>
      </c>
      <c r="U108" s="123" t="s">
        <v>462</v>
      </c>
      <c r="V108" s="123"/>
      <c r="W108" s="123"/>
      <c r="X108" s="123" t="s">
        <v>561</v>
      </c>
      <c r="Y108" s="123" t="s">
        <v>4680</v>
      </c>
      <c r="Z108" s="129">
        <v>42437.0</v>
      </c>
      <c r="AA108" s="123"/>
      <c r="AB108" s="129">
        <v>42598.0</v>
      </c>
      <c r="AC108" s="123"/>
      <c r="AD108" s="123"/>
      <c r="AE108" s="123"/>
      <c r="AF108" s="123"/>
      <c r="AG108" s="123"/>
      <c r="AH108" s="123"/>
      <c r="AI108" s="123"/>
      <c r="AJ108" s="123"/>
    </row>
    <row r="109" ht="15.75" customHeight="1">
      <c r="A109" s="123">
        <v>108.0</v>
      </c>
      <c r="B109" s="124" t="s">
        <v>1230</v>
      </c>
      <c r="C109" s="124" t="s">
        <v>106</v>
      </c>
      <c r="D109" s="124" t="s">
        <v>173</v>
      </c>
      <c r="E109" s="124" t="s">
        <v>4654</v>
      </c>
      <c r="F109" s="125"/>
      <c r="G109" s="124" t="s">
        <v>224</v>
      </c>
      <c r="H109" s="124" t="s">
        <v>388</v>
      </c>
      <c r="I109" s="125">
        <v>14000.0</v>
      </c>
      <c r="J109" s="123"/>
      <c r="K109" s="124" t="s">
        <v>289</v>
      </c>
      <c r="L109" s="125">
        <v>40.0</v>
      </c>
      <c r="M109" s="124" t="s">
        <v>4682</v>
      </c>
      <c r="N109" s="124" t="s">
        <v>4683</v>
      </c>
      <c r="O109" s="124" t="s">
        <v>4684</v>
      </c>
      <c r="P109" s="124">
        <v>1996.0</v>
      </c>
      <c r="Q109" s="124" t="s">
        <v>4687</v>
      </c>
      <c r="R109" s="123" t="s">
        <v>4688</v>
      </c>
      <c r="S109" s="123" t="s">
        <v>4689</v>
      </c>
      <c r="T109" s="123" t="s">
        <v>428</v>
      </c>
      <c r="U109" s="123" t="s">
        <v>462</v>
      </c>
      <c r="V109" s="123"/>
      <c r="W109" s="123"/>
      <c r="X109" s="123"/>
      <c r="Y109" s="123"/>
      <c r="Z109" s="123"/>
      <c r="AA109" s="123"/>
      <c r="AB109" s="123"/>
      <c r="AC109" s="123"/>
      <c r="AD109" s="123"/>
      <c r="AE109" s="123"/>
      <c r="AF109" s="123"/>
      <c r="AG109" s="123"/>
      <c r="AH109" s="123"/>
      <c r="AI109" s="123"/>
      <c r="AJ109" s="123"/>
    </row>
    <row r="110" ht="15.75" customHeight="1">
      <c r="A110" s="123">
        <v>109.0</v>
      </c>
      <c r="B110" s="124" t="s">
        <v>1230</v>
      </c>
      <c r="C110" s="124" t="s">
        <v>106</v>
      </c>
      <c r="D110" s="124" t="s">
        <v>173</v>
      </c>
      <c r="E110" s="124" t="s">
        <v>1322</v>
      </c>
      <c r="F110" s="125">
        <v>4.0</v>
      </c>
      <c r="G110" s="124" t="s">
        <v>4690</v>
      </c>
      <c r="H110" s="124" t="s">
        <v>644</v>
      </c>
      <c r="I110" s="125">
        <v>2000.0</v>
      </c>
      <c r="J110" s="123"/>
      <c r="K110" s="124" t="s">
        <v>289</v>
      </c>
      <c r="L110" s="125">
        <v>40.0</v>
      </c>
      <c r="M110" s="124" t="s">
        <v>4691</v>
      </c>
      <c r="N110" s="124" t="s">
        <v>4692</v>
      </c>
      <c r="O110" s="124" t="s">
        <v>4694</v>
      </c>
      <c r="P110" s="124">
        <v>2014.0</v>
      </c>
      <c r="Q110" s="124" t="s">
        <v>4698</v>
      </c>
      <c r="R110" s="123" t="s">
        <v>4699</v>
      </c>
      <c r="S110" s="123"/>
      <c r="T110" s="123" t="s">
        <v>2437</v>
      </c>
      <c r="U110" s="123" t="s">
        <v>2438</v>
      </c>
      <c r="V110" s="123"/>
      <c r="W110" s="123"/>
      <c r="X110" s="123"/>
      <c r="Y110" s="123"/>
      <c r="Z110" s="123"/>
      <c r="AA110" s="123"/>
      <c r="AB110" s="123"/>
      <c r="AC110" s="123"/>
      <c r="AD110" s="123"/>
      <c r="AE110" s="123"/>
      <c r="AF110" s="123"/>
      <c r="AG110" s="123"/>
      <c r="AH110" s="123"/>
      <c r="AI110" s="123"/>
      <c r="AJ110" s="123"/>
    </row>
    <row r="111" ht="15.75" customHeight="1">
      <c r="A111" s="123">
        <v>110.0</v>
      </c>
      <c r="B111" s="124" t="s">
        <v>1230</v>
      </c>
      <c r="C111" s="124" t="s">
        <v>106</v>
      </c>
      <c r="D111" s="124" t="s">
        <v>4032</v>
      </c>
      <c r="E111" s="124" t="s">
        <v>4701</v>
      </c>
      <c r="F111" s="125"/>
      <c r="G111" s="124" t="s">
        <v>4436</v>
      </c>
      <c r="H111" s="124" t="s">
        <v>4702</v>
      </c>
      <c r="I111" s="125" t="s">
        <v>4703</v>
      </c>
      <c r="J111" s="123"/>
      <c r="K111" s="124" t="s">
        <v>289</v>
      </c>
      <c r="L111" s="125">
        <v>40.0</v>
      </c>
      <c r="M111" s="124" t="s">
        <v>4704</v>
      </c>
      <c r="N111" s="124" t="s">
        <v>4705</v>
      </c>
      <c r="O111" s="124" t="s">
        <v>4706</v>
      </c>
      <c r="P111" s="124">
        <v>2011.0</v>
      </c>
      <c r="Q111" s="124" t="s">
        <v>4711</v>
      </c>
      <c r="R111" s="123" t="s">
        <v>4712</v>
      </c>
      <c r="S111" s="123" t="s">
        <v>2925</v>
      </c>
      <c r="T111" s="123" t="s">
        <v>769</v>
      </c>
      <c r="U111" s="123" t="s">
        <v>462</v>
      </c>
      <c r="V111" s="123" t="s">
        <v>428</v>
      </c>
      <c r="W111" s="123"/>
      <c r="X111" s="123"/>
      <c r="Y111" s="123"/>
      <c r="Z111" s="123"/>
      <c r="AA111" s="123"/>
      <c r="AB111" s="123"/>
      <c r="AC111" s="123"/>
      <c r="AD111" s="123"/>
      <c r="AE111" s="123"/>
      <c r="AF111" s="123"/>
      <c r="AG111" s="123"/>
      <c r="AH111" s="123"/>
      <c r="AI111" s="123"/>
      <c r="AJ111" s="123"/>
    </row>
    <row r="112" ht="15.75" customHeight="1">
      <c r="A112" s="123">
        <v>111.0</v>
      </c>
      <c r="B112" s="124" t="s">
        <v>1230</v>
      </c>
      <c r="C112" s="124" t="s">
        <v>106</v>
      </c>
      <c r="D112" s="124" t="s">
        <v>173</v>
      </c>
      <c r="E112" s="124" t="s">
        <v>4714</v>
      </c>
      <c r="F112" s="125"/>
      <c r="G112" s="124" t="s">
        <v>224</v>
      </c>
      <c r="H112" s="124" t="s">
        <v>4716</v>
      </c>
      <c r="I112" s="125">
        <v>2000.0</v>
      </c>
      <c r="J112" s="123"/>
      <c r="K112" s="124" t="s">
        <v>289</v>
      </c>
      <c r="L112" s="125">
        <v>40.0</v>
      </c>
      <c r="M112" s="124" t="s">
        <v>4721</v>
      </c>
      <c r="N112" s="124" t="s">
        <v>4723</v>
      </c>
      <c r="O112" s="124" t="s">
        <v>4724</v>
      </c>
      <c r="P112" s="124">
        <v>2007.0</v>
      </c>
      <c r="Q112" s="124" t="s">
        <v>4727</v>
      </c>
      <c r="R112" s="127" t="str">
        <f>HYPERLINK("https://www.google.com/url?sa=t&amp;rct=j&amp;q=&amp;esrc=s&amp;source=web&amp;cd=4&amp;ved=0ahUKEwiU9deG1-zOAhUFymMKHZRKAH8QFggzMAM&amp;url=http%3A%2F%2Fhesg.org.uk%2Fwp-content%2Fplugins%2Fpapers-listing%2Fpublic%2Fdownload.php%3Fid%3D462%26fn%3DBakerNewcastle2005.pdf%26fl%3D00%2F00&amp;usg=AFQjCNFM4xZ6zgALFv7nq7It4as7ObNvTA&amp;sig2=_TnhQ4EeQQ57CTmOG-Fg0w","https://www.google.com/url?sa=t&amp;rct=j&amp;q=&amp;esrc=s&amp;source=web&amp;cd=4&amp;ved=0ahUKEwiU9deG1-zOAhUFymMKHZRKAH8QFggzMAM&amp;url=http%3A%2F%2Fhesg.org.uk%2Fwp-content%2Fplugins%2Fpapers-listing%2Fpublic%2Fdownload.php%3Fid%3D462%26fn%3DBakerNewcastle2005.pdf%26fl%3D00%2F00&amp;usg=AFQjCNFM4xZ6zgALFv7nq7It4as7ObNvTA&amp;sig2=_TnhQ4EeQQ57CTmOG-Fg0w")</f>
        <v>https://www.google.com/url?sa=t&amp;rct=j&amp;q=&amp;esrc=s&amp;source=web&amp;cd=4&amp;ved=0ahUKEwiU9deG1-zOAhUFymMKHZRKAH8QFggzMAM&amp;url=http%3A%2F%2Fhesg.org.uk%2Fwp-content%2Fplugins%2Fpapers-listing%2Fpublic%2Fdownload.php%3Fid%3D462%26fn%3DBakerNewcastle2005.pdf%26fl%3D00%2F00&amp;usg=AFQjCNFM4xZ6zgALFv7nq7It4as7ObNvTA&amp;sig2=_TnhQ4EeQQ57CTmOG-Fg0w</v>
      </c>
      <c r="S112" s="123"/>
      <c r="T112" s="123"/>
      <c r="U112" s="123"/>
      <c r="V112" s="123"/>
      <c r="W112" s="123"/>
      <c r="X112" s="123"/>
      <c r="Y112" s="123"/>
      <c r="Z112" s="123"/>
      <c r="AA112" s="123"/>
      <c r="AB112" s="123"/>
      <c r="AC112" s="123"/>
      <c r="AD112" s="123"/>
      <c r="AE112" s="123"/>
      <c r="AF112" s="123"/>
      <c r="AG112" s="123"/>
      <c r="AH112" s="123"/>
      <c r="AI112" s="123"/>
      <c r="AJ112" s="123"/>
    </row>
    <row r="113" ht="15.75" customHeight="1">
      <c r="A113" s="123">
        <v>112.0</v>
      </c>
      <c r="B113" s="124" t="s">
        <v>1230</v>
      </c>
      <c r="C113" s="124" t="s">
        <v>106</v>
      </c>
      <c r="D113" s="124" t="s">
        <v>173</v>
      </c>
      <c r="E113" s="124" t="s">
        <v>4714</v>
      </c>
      <c r="F113" s="125"/>
      <c r="G113" s="124" t="s">
        <v>224</v>
      </c>
      <c r="H113" s="124" t="s">
        <v>4731</v>
      </c>
      <c r="I113" s="125" t="s">
        <v>4732</v>
      </c>
      <c r="J113" s="123"/>
      <c r="K113" s="124" t="s">
        <v>289</v>
      </c>
      <c r="L113" s="125">
        <v>40.0</v>
      </c>
      <c r="M113" s="124" t="s">
        <v>4733</v>
      </c>
      <c r="N113" s="124" t="s">
        <v>4734</v>
      </c>
      <c r="O113" s="124" t="s">
        <v>4735</v>
      </c>
      <c r="P113" s="124">
        <v>1998.0</v>
      </c>
      <c r="Q113" s="124" t="s">
        <v>4737</v>
      </c>
      <c r="R113" s="123" t="s">
        <v>4739</v>
      </c>
      <c r="S113" s="123"/>
      <c r="T113" s="123" t="s">
        <v>462</v>
      </c>
      <c r="U113" s="123" t="s">
        <v>462</v>
      </c>
      <c r="V113" s="123"/>
      <c r="W113" s="123" t="s">
        <v>3156</v>
      </c>
      <c r="X113" s="123"/>
      <c r="Y113" s="123"/>
      <c r="Z113" s="129"/>
      <c r="AA113" s="123"/>
      <c r="AB113" s="123"/>
      <c r="AC113" s="129"/>
      <c r="AD113" s="123"/>
      <c r="AE113" s="123"/>
      <c r="AF113" s="123"/>
      <c r="AG113" s="123"/>
      <c r="AH113" s="123"/>
      <c r="AI113" s="123"/>
      <c r="AJ113" s="123" t="s">
        <v>4746</v>
      </c>
    </row>
    <row r="114" ht="15.75" customHeight="1">
      <c r="A114" s="123">
        <v>114.0</v>
      </c>
      <c r="B114" s="124" t="s">
        <v>1230</v>
      </c>
      <c r="C114" s="124" t="s">
        <v>106</v>
      </c>
      <c r="D114" s="124" t="s">
        <v>173</v>
      </c>
      <c r="E114" s="124" t="s">
        <v>4714</v>
      </c>
      <c r="F114" s="125"/>
      <c r="G114" s="124" t="s">
        <v>224</v>
      </c>
      <c r="H114" s="124" t="s">
        <v>3643</v>
      </c>
      <c r="I114" s="125">
        <v>2000.0</v>
      </c>
      <c r="J114" s="123"/>
      <c r="K114" s="124" t="s">
        <v>289</v>
      </c>
      <c r="L114" s="125">
        <v>40.0</v>
      </c>
      <c r="M114" s="124" t="s">
        <v>3644</v>
      </c>
      <c r="N114" s="124" t="s">
        <v>3645</v>
      </c>
      <c r="O114" s="124" t="s">
        <v>3646</v>
      </c>
      <c r="P114" s="124">
        <v>2005.0</v>
      </c>
      <c r="Q114" s="124" t="s">
        <v>3647</v>
      </c>
      <c r="R114" s="123" t="s">
        <v>3648</v>
      </c>
      <c r="S114" s="128" t="s">
        <v>3649</v>
      </c>
      <c r="T114" s="123" t="s">
        <v>428</v>
      </c>
      <c r="U114" s="123" t="s">
        <v>462</v>
      </c>
      <c r="V114" s="123"/>
      <c r="W114" s="123"/>
      <c r="X114" s="123"/>
      <c r="Y114" s="123"/>
      <c r="Z114" s="123"/>
      <c r="AA114" s="123"/>
      <c r="AB114" s="123"/>
      <c r="AC114" s="123"/>
      <c r="AD114" s="123"/>
      <c r="AE114" s="123"/>
      <c r="AF114" s="123"/>
      <c r="AG114" s="123"/>
      <c r="AH114" s="123"/>
      <c r="AI114" s="123"/>
      <c r="AJ114" s="123"/>
    </row>
    <row r="115" ht="15.75" customHeight="1">
      <c r="A115" s="123">
        <v>115.0</v>
      </c>
      <c r="B115" s="124" t="s">
        <v>1230</v>
      </c>
      <c r="C115" s="124" t="s">
        <v>106</v>
      </c>
      <c r="D115" s="124" t="s">
        <v>173</v>
      </c>
      <c r="E115" s="124" t="s">
        <v>4714</v>
      </c>
      <c r="F115" s="125"/>
      <c r="G115" s="124" t="s">
        <v>224</v>
      </c>
      <c r="H115" s="124" t="s">
        <v>4757</v>
      </c>
      <c r="I115" s="125" t="s">
        <v>4758</v>
      </c>
      <c r="J115" s="123"/>
      <c r="K115" s="124" t="s">
        <v>298</v>
      </c>
      <c r="L115" s="125">
        <v>44.0</v>
      </c>
      <c r="M115" s="124" t="s">
        <v>4759</v>
      </c>
      <c r="N115" s="124" t="s">
        <v>4760</v>
      </c>
      <c r="O115" s="124" t="s">
        <v>4761</v>
      </c>
      <c r="P115" s="124">
        <v>2009.0</v>
      </c>
      <c r="Q115" s="124" t="s">
        <v>4762</v>
      </c>
      <c r="R115" s="127" t="str">
        <f>HYPERLINK("http://researchrepository.murdoch.edu.au/2972/","http://researchrepository.murdoch.edu.au/2972/")</f>
        <v>http://researchrepository.murdoch.edu.au/2972/</v>
      </c>
      <c r="S115" s="123"/>
      <c r="T115" s="123"/>
      <c r="U115" s="123"/>
      <c r="V115" s="123"/>
      <c r="W115" s="123"/>
      <c r="X115" s="123"/>
      <c r="Y115" s="123"/>
      <c r="Z115" s="123"/>
      <c r="AA115" s="123"/>
      <c r="AB115" s="123"/>
      <c r="AC115" s="123"/>
      <c r="AD115" s="123"/>
      <c r="AE115" s="123"/>
      <c r="AF115" s="123"/>
      <c r="AG115" s="123"/>
      <c r="AH115" s="123"/>
      <c r="AI115" s="123"/>
      <c r="AJ115" s="123"/>
    </row>
    <row r="116" ht="15.75" customHeight="1">
      <c r="A116" s="123">
        <v>116.0</v>
      </c>
      <c r="B116" s="124" t="s">
        <v>1230</v>
      </c>
      <c r="C116" s="124" t="s">
        <v>106</v>
      </c>
      <c r="D116" s="124" t="s">
        <v>173</v>
      </c>
      <c r="E116" s="124" t="s">
        <v>4714</v>
      </c>
      <c r="F116" s="125"/>
      <c r="G116" s="124" t="s">
        <v>224</v>
      </c>
      <c r="H116" s="124" t="s">
        <v>4778</v>
      </c>
      <c r="I116" s="125" t="s">
        <v>1197</v>
      </c>
      <c r="J116" s="123"/>
      <c r="K116" s="124" t="s">
        <v>289</v>
      </c>
      <c r="L116" s="125">
        <v>40.0</v>
      </c>
      <c r="M116" s="124" t="s">
        <v>4779</v>
      </c>
      <c r="N116" s="124" t="s">
        <v>2162</v>
      </c>
      <c r="O116" s="124" t="s">
        <v>4780</v>
      </c>
      <c r="P116" s="124">
        <v>2005.0</v>
      </c>
      <c r="Q116" s="124" t="s">
        <v>4781</v>
      </c>
      <c r="R116" s="123"/>
      <c r="S116" s="123"/>
      <c r="T116" s="123"/>
      <c r="U116" s="123"/>
      <c r="V116" s="123"/>
      <c r="W116" s="123"/>
      <c r="X116" s="123"/>
      <c r="Y116" s="123"/>
      <c r="Z116" s="123"/>
      <c r="AA116" s="123"/>
      <c r="AB116" s="123"/>
      <c r="AC116" s="123"/>
      <c r="AD116" s="123"/>
      <c r="AE116" s="123"/>
      <c r="AF116" s="123"/>
      <c r="AG116" s="123"/>
      <c r="AH116" s="123"/>
      <c r="AI116" s="123"/>
      <c r="AJ116" s="123"/>
    </row>
    <row r="117" ht="15.75" customHeight="1">
      <c r="A117" s="123">
        <v>117.0</v>
      </c>
      <c r="B117" s="124" t="s">
        <v>1230</v>
      </c>
      <c r="C117" s="124" t="s">
        <v>106</v>
      </c>
      <c r="D117" s="124" t="s">
        <v>173</v>
      </c>
      <c r="E117" s="124" t="s">
        <v>4714</v>
      </c>
      <c r="F117" s="125"/>
      <c r="G117" s="124" t="s">
        <v>224</v>
      </c>
      <c r="H117" s="124" t="s">
        <v>4215</v>
      </c>
      <c r="I117" s="125" t="s">
        <v>1065</v>
      </c>
      <c r="J117" s="123"/>
      <c r="K117" s="124" t="s">
        <v>289</v>
      </c>
      <c r="L117" s="125">
        <v>40.0</v>
      </c>
      <c r="M117" s="124" t="s">
        <v>4216</v>
      </c>
      <c r="N117" s="124" t="s">
        <v>2162</v>
      </c>
      <c r="O117" s="124" t="s">
        <v>4217</v>
      </c>
      <c r="P117" s="124">
        <v>2013.0</v>
      </c>
      <c r="Q117" s="124" t="s">
        <v>4218</v>
      </c>
      <c r="R117" s="127" t="str">
        <f>HYPERLINK("https://www.hks.harvard.edu/index.php/content/download/70830/1256130/version/1/file/RPP_2013_1","https://www.hks.harvard.edu/index.php/content/download/70830/1256130/version/1/file/RPP_2013_1")</f>
        <v>https://www.hks.harvard.edu/index.php/content/download/70830/1256130/version/1/file/RPP_2013_1</v>
      </c>
      <c r="S117" s="123"/>
      <c r="T117" s="123"/>
      <c r="U117" s="123"/>
      <c r="V117" s="123"/>
      <c r="W117" s="123"/>
      <c r="X117" s="123"/>
      <c r="Y117" s="123"/>
      <c r="Z117" s="123"/>
      <c r="AA117" s="123"/>
      <c r="AB117" s="123"/>
      <c r="AC117" s="123"/>
      <c r="AD117" s="123"/>
      <c r="AE117" s="123"/>
      <c r="AF117" s="123"/>
      <c r="AG117" s="123"/>
      <c r="AH117" s="123"/>
      <c r="AI117" s="123"/>
      <c r="AJ117" s="123"/>
    </row>
    <row r="118" ht="15.75" customHeight="1">
      <c r="A118" s="123">
        <v>118.0</v>
      </c>
      <c r="B118" s="124" t="s">
        <v>1230</v>
      </c>
      <c r="C118" s="124" t="s">
        <v>106</v>
      </c>
      <c r="D118" s="124" t="s">
        <v>173</v>
      </c>
      <c r="E118" s="124" t="s">
        <v>4714</v>
      </c>
      <c r="F118" s="125"/>
      <c r="G118" s="124" t="s">
        <v>224</v>
      </c>
      <c r="H118" s="124" t="s">
        <v>942</v>
      </c>
      <c r="I118" s="125">
        <v>2000.0</v>
      </c>
      <c r="J118" s="123"/>
      <c r="K118" s="124" t="s">
        <v>289</v>
      </c>
      <c r="L118" s="125">
        <v>40.0</v>
      </c>
      <c r="M118" s="124" t="s">
        <v>4791</v>
      </c>
      <c r="N118" s="124" t="s">
        <v>4793</v>
      </c>
      <c r="O118" s="124" t="s">
        <v>4794</v>
      </c>
      <c r="P118" s="124">
        <v>2008.0</v>
      </c>
      <c r="Q118" s="124" t="s">
        <v>4798</v>
      </c>
      <c r="R118" s="127" t="str">
        <f>HYPERLINK("http://www.aere.org/meetings/documents/0608Alberini.pdf","http://www.aere.org/meetings/documents/0608Alberini.pdf")</f>
        <v>http://www.aere.org/meetings/documents/0608Alberini.pdf</v>
      </c>
      <c r="S118" s="123"/>
      <c r="T118" s="123"/>
      <c r="U118" s="123"/>
      <c r="V118" s="123"/>
      <c r="W118" s="123"/>
      <c r="X118" s="123"/>
      <c r="Y118" s="123"/>
      <c r="Z118" s="123"/>
      <c r="AA118" s="123"/>
      <c r="AB118" s="123"/>
      <c r="AC118" s="123"/>
      <c r="AD118" s="123"/>
      <c r="AE118" s="123"/>
      <c r="AF118" s="123"/>
      <c r="AG118" s="123"/>
      <c r="AH118" s="123"/>
      <c r="AI118" s="123"/>
      <c r="AJ118" s="123"/>
    </row>
    <row r="119" ht="15.75" customHeight="1">
      <c r="A119" s="123">
        <v>119.0</v>
      </c>
      <c r="B119" s="124" t="s">
        <v>1230</v>
      </c>
      <c r="C119" s="124" t="s">
        <v>106</v>
      </c>
      <c r="D119" s="124" t="s">
        <v>173</v>
      </c>
      <c r="E119" s="124" t="s">
        <v>4714</v>
      </c>
      <c r="F119" s="125"/>
      <c r="G119" s="124" t="s">
        <v>224</v>
      </c>
      <c r="H119" s="124" t="s">
        <v>470</v>
      </c>
      <c r="I119" s="125">
        <v>3000.0</v>
      </c>
      <c r="J119" s="123"/>
      <c r="K119" s="124" t="s">
        <v>111</v>
      </c>
      <c r="L119" s="125">
        <v>41.0</v>
      </c>
      <c r="M119" s="124" t="s">
        <v>3140</v>
      </c>
      <c r="N119" s="124" t="s">
        <v>3141</v>
      </c>
      <c r="O119" s="124" t="s">
        <v>3123</v>
      </c>
      <c r="P119" s="124">
        <v>2013.0</v>
      </c>
      <c r="Q119" s="124" t="s">
        <v>3142</v>
      </c>
      <c r="R119" s="127" t="str">
        <f>HYPERLINK("http://www.sciencedirect.com/science/article/pii/S0301421513006174","http://www.sciencedirect.com/science/article/pii/S0301421513006174")</f>
        <v>http://www.sciencedirect.com/science/article/pii/S0301421513006174</v>
      </c>
      <c r="S119" s="123"/>
      <c r="T119" s="123"/>
      <c r="U119" s="123"/>
      <c r="V119" s="123"/>
      <c r="W119" s="123"/>
      <c r="X119" s="123"/>
      <c r="Y119" s="123"/>
      <c r="Z119" s="123"/>
      <c r="AA119" s="123"/>
      <c r="AB119" s="123"/>
      <c r="AC119" s="123"/>
      <c r="AD119" s="123"/>
      <c r="AE119" s="123"/>
      <c r="AF119" s="123"/>
      <c r="AG119" s="123"/>
      <c r="AH119" s="123"/>
      <c r="AI119" s="123"/>
      <c r="AJ119" s="123"/>
    </row>
    <row r="120" ht="15.75" customHeight="1">
      <c r="A120" s="123">
        <v>120.0</v>
      </c>
      <c r="B120" s="124" t="s">
        <v>1230</v>
      </c>
      <c r="C120" s="124" t="s">
        <v>106</v>
      </c>
      <c r="D120" s="124" t="s">
        <v>173</v>
      </c>
      <c r="E120" s="124" t="s">
        <v>4714</v>
      </c>
      <c r="F120" s="125"/>
      <c r="G120" s="124" t="s">
        <v>224</v>
      </c>
      <c r="H120" s="124" t="s">
        <v>3131</v>
      </c>
      <c r="I120" s="125" t="s">
        <v>3127</v>
      </c>
      <c r="J120" s="123"/>
      <c r="K120" s="124" t="s">
        <v>111</v>
      </c>
      <c r="L120" s="125">
        <v>41.0</v>
      </c>
      <c r="M120" s="124" t="s">
        <v>3132</v>
      </c>
      <c r="N120" s="124" t="s">
        <v>3133</v>
      </c>
      <c r="O120" s="124" t="s">
        <v>3123</v>
      </c>
      <c r="P120" s="124">
        <v>2008.0</v>
      </c>
      <c r="Q120" s="124" t="s">
        <v>3134</v>
      </c>
      <c r="R120" s="127" t="str">
        <f>HYPERLINK("https://www.researchgate.net/publication/23648560_Energy_sustainable_communities_Environmental_psychological_investigations","https://www.researchgate.net/publication/23648560_Energy_sustainable_communities_Environmental_psychological_investigations")</f>
        <v>https://www.researchgate.net/publication/23648560_Energy_sustainable_communities_Environmental_psychological_investigations</v>
      </c>
      <c r="S120" s="123"/>
      <c r="T120" s="123"/>
      <c r="U120" s="123"/>
      <c r="V120" s="123"/>
      <c r="W120" s="123"/>
      <c r="X120" s="123"/>
      <c r="Y120" s="123"/>
      <c r="Z120" s="123"/>
      <c r="AA120" s="123"/>
      <c r="AB120" s="123"/>
      <c r="AC120" s="123"/>
      <c r="AD120" s="123"/>
      <c r="AE120" s="123"/>
      <c r="AF120" s="123"/>
      <c r="AG120" s="123"/>
      <c r="AH120" s="123"/>
      <c r="AI120" s="123"/>
      <c r="AJ120" s="123"/>
    </row>
    <row r="121" ht="15.75" customHeight="1">
      <c r="A121" s="123">
        <v>121.0</v>
      </c>
      <c r="B121" s="124" t="s">
        <v>1230</v>
      </c>
      <c r="C121" s="124" t="s">
        <v>106</v>
      </c>
      <c r="D121" s="124" t="s">
        <v>173</v>
      </c>
      <c r="E121" s="124" t="s">
        <v>4714</v>
      </c>
      <c r="F121" s="125"/>
      <c r="G121" s="124" t="s">
        <v>224</v>
      </c>
      <c r="H121" s="124" t="s">
        <v>4831</v>
      </c>
      <c r="I121" s="125" t="s">
        <v>4832</v>
      </c>
      <c r="J121" s="123"/>
      <c r="K121" s="124" t="s">
        <v>289</v>
      </c>
      <c r="L121" s="125">
        <v>40.0</v>
      </c>
      <c r="M121" s="124" t="s">
        <v>4833</v>
      </c>
      <c r="N121" s="124" t="s">
        <v>4834</v>
      </c>
      <c r="O121" s="124" t="s">
        <v>4835</v>
      </c>
      <c r="P121" s="124">
        <v>2005.0</v>
      </c>
      <c r="Q121" s="124" t="s">
        <v>4840</v>
      </c>
      <c r="R121" s="127" t="str">
        <f>HYPERLINK("https://www.google.com/url?sa=t&amp;rct=j&amp;q=&amp;esrc=s&amp;source=web&amp;cd=1&amp;cad=rja&amp;uact=8&amp;ved=0ahUKEwjm2tHYhe_OAhVEKCYKHQNhBBAQFggeMAA&amp;url=http%3A%2F%2Fetd.lsu.edu%2Fdocs%2Favailable%2Fetd-04142005-104733%2Funrestricted%2FSomers_thesis.pdf&amp;usg=AFQjCNEd_9qSXDBFu1dyxnIHI3Aq_NcSGA&amp;sig2=UzVU__YKggK3vUhevHQhzQ","https://www.google.com/url?sa=t&amp;rct=j&amp;q=&amp;esrc=s&amp;source=web&amp;cd=1&amp;cad=rja&amp;uact=8&amp;ved=0ahUKEwjm2tHYhe_OAhVEKCYKHQNhBBAQFggeMAA&amp;url=http%3A%2F%2Fetd.lsu.edu%2Fdocs%2Favailable%2Fetd-04142005-104733%2Funrestricted%2FSomers_thesis.pdf&amp;usg=AFQjCNEd_9qSXDBFu1dyxnIHI3Aq_NcSGA&amp;sig2=UzVU__YKggK3vUhevHQhzQ")</f>
        <v>https://www.google.com/url?sa=t&amp;rct=j&amp;q=&amp;esrc=s&amp;source=web&amp;cd=1&amp;cad=rja&amp;uact=8&amp;ved=0ahUKEwjm2tHYhe_OAhVEKCYKHQNhBBAQFggeMAA&amp;url=http%3A%2F%2Fetd.lsu.edu%2Fdocs%2Favailable%2Fetd-04142005-104733%2Funrestricted%2FSomers_thesis.pdf&amp;usg=AFQjCNEd_9qSXDBFu1dyxnIHI3Aq_NcSGA&amp;sig2=UzVU__YKggK3vUhevHQhzQ</v>
      </c>
      <c r="S121" s="123"/>
      <c r="T121" s="123"/>
      <c r="U121" s="123"/>
      <c r="V121" s="123"/>
      <c r="W121" s="123"/>
      <c r="X121" s="123"/>
      <c r="Y121" s="123"/>
      <c r="Z121" s="123"/>
      <c r="AA121" s="123"/>
      <c r="AB121" s="123"/>
      <c r="AC121" s="123"/>
      <c r="AD121" s="123"/>
      <c r="AE121" s="123"/>
      <c r="AF121" s="123"/>
      <c r="AG121" s="123"/>
      <c r="AH121" s="123"/>
      <c r="AI121" s="123"/>
      <c r="AJ121" s="123"/>
    </row>
    <row r="122" ht="15.75" customHeight="1">
      <c r="A122" s="123">
        <v>122.0</v>
      </c>
      <c r="B122" s="124" t="s">
        <v>1230</v>
      </c>
      <c r="C122" s="124" t="s">
        <v>106</v>
      </c>
      <c r="D122" s="124" t="s">
        <v>173</v>
      </c>
      <c r="E122" s="124" t="s">
        <v>4714</v>
      </c>
      <c r="F122" s="125"/>
      <c r="G122" s="124" t="s">
        <v>224</v>
      </c>
      <c r="H122" s="124" t="s">
        <v>967</v>
      </c>
      <c r="I122" s="125" t="s">
        <v>966</v>
      </c>
      <c r="J122" s="123"/>
      <c r="K122" s="124" t="s">
        <v>289</v>
      </c>
      <c r="L122" s="125">
        <v>40.0</v>
      </c>
      <c r="M122" s="124" t="s">
        <v>968</v>
      </c>
      <c r="N122" s="124" t="s">
        <v>969</v>
      </c>
      <c r="O122" s="124" t="s">
        <v>970</v>
      </c>
      <c r="P122" s="124">
        <v>2012.0</v>
      </c>
      <c r="Q122" s="124" t="s">
        <v>971</v>
      </c>
      <c r="R122" s="127" t="str">
        <f>HYPERLINK("https://www.researchgate.net/publication/267643657_Seven_Cognitive_Concepts_for_Successful_Sustainable_Design","https://www.researchgate.net/publication/267643657_Seven_Cognitive_Concepts_for_Successful_Sustainable_Design")</f>
        <v>https://www.researchgate.net/publication/267643657_Seven_Cognitive_Concepts_for_Successful_Sustainable_Design</v>
      </c>
      <c r="S122" s="123"/>
      <c r="T122" s="123"/>
      <c r="U122" s="123"/>
      <c r="V122" s="123"/>
      <c r="W122" s="123"/>
      <c r="X122" s="123"/>
      <c r="Y122" s="123"/>
      <c r="Z122" s="123"/>
      <c r="AA122" s="123"/>
      <c r="AB122" s="123"/>
      <c r="AC122" s="123"/>
      <c r="AD122" s="123"/>
      <c r="AE122" s="123"/>
      <c r="AF122" s="123"/>
      <c r="AG122" s="123"/>
      <c r="AH122" s="123"/>
      <c r="AI122" s="123"/>
      <c r="AJ122" s="123"/>
    </row>
    <row r="123" ht="15.75" customHeight="1">
      <c r="A123" s="123">
        <v>123.0</v>
      </c>
      <c r="B123" s="124" t="s">
        <v>1230</v>
      </c>
      <c r="C123" s="124" t="s">
        <v>106</v>
      </c>
      <c r="D123" s="124" t="s">
        <v>173</v>
      </c>
      <c r="E123" s="124" t="s">
        <v>4714</v>
      </c>
      <c r="F123" s="125"/>
      <c r="G123" s="124" t="s">
        <v>224</v>
      </c>
      <c r="H123" s="124" t="s">
        <v>942</v>
      </c>
      <c r="I123" s="125">
        <v>2000.0</v>
      </c>
      <c r="J123" s="123"/>
      <c r="K123" s="124" t="s">
        <v>289</v>
      </c>
      <c r="L123" s="125">
        <v>40.0</v>
      </c>
      <c r="M123" s="124" t="s">
        <v>943</v>
      </c>
      <c r="N123" s="124" t="s">
        <v>944</v>
      </c>
      <c r="O123" s="124" t="s">
        <v>945</v>
      </c>
      <c r="P123" s="124">
        <v>2013.0</v>
      </c>
      <c r="Q123" s="124" t="s">
        <v>946</v>
      </c>
      <c r="R123" s="127" t="str">
        <f>HYPERLINK("https://www.google.com/url?sa=t&amp;rct=j&amp;q=&amp;esrc=s&amp;source=web&amp;cd=1&amp;cad=rja&amp;uact=8&amp;ved=0ahUKEwj_xMLugu_OAhXGKyYKHcTcDVkQFgghMAA&amp;url=http%3A%2F%2Fciteseerx.ist.psu.edu%2Fviewdoc%2Fdownload%3Fdoi%3D10.1.1.659.3377%26rep%3Drep1%26type%3Dpdf&amp;usg=AFQjCNH8DMpfYStCNNaoK6_wmdX9Byva9A&amp;sig2=eYctN5wCYpk3PXCgdWn3aA","https://www.google.com/url?sa=t&amp;rct=j&amp;q=&amp;esrc=s&amp;source=web&amp;cd=1&amp;cad=rja&amp;uact=8&amp;ved=0ahUKEwj_xMLugu_OAhXGKyYKHcTcDVkQFgghMAA&amp;url=http%3A%2F%2Fciteseerx.ist.psu.edu%2Fviewdoc%2Fdownload%3Fdoi%3D10.1.1.659.3377%26rep%3Drep1%26type%3Dpdf&amp;usg=AFQjCNH8DMpfYStCNNaoK6_wmdX9Byva9A&amp;sig2=eYctN5wCYpk3PXCgdWn3aA")</f>
        <v>https://www.google.com/url?sa=t&amp;rct=j&amp;q=&amp;esrc=s&amp;source=web&amp;cd=1&amp;cad=rja&amp;uact=8&amp;ved=0ahUKEwj_xMLugu_OAhXGKyYKHcTcDVkQFgghMAA&amp;url=http%3A%2F%2Fciteseerx.ist.psu.edu%2Fviewdoc%2Fdownload%3Fdoi%3D10.1.1.659.3377%26rep%3Drep1%26type%3Dpdf&amp;usg=AFQjCNH8DMpfYStCNNaoK6_wmdX9Byva9A&amp;sig2=eYctN5wCYpk3PXCgdWn3aA</v>
      </c>
      <c r="S123" s="123"/>
      <c r="T123" s="123"/>
      <c r="U123" s="123"/>
      <c r="V123" s="123"/>
      <c r="W123" s="123"/>
      <c r="X123" s="123"/>
      <c r="Y123" s="123"/>
      <c r="Z123" s="123"/>
      <c r="AA123" s="123"/>
      <c r="AB123" s="123"/>
      <c r="AC123" s="123"/>
      <c r="AD123" s="123"/>
      <c r="AE123" s="123"/>
      <c r="AF123" s="123"/>
      <c r="AG123" s="123"/>
      <c r="AH123" s="123"/>
      <c r="AI123" s="123"/>
      <c r="AJ123" s="123"/>
    </row>
    <row r="124" ht="15.75" customHeight="1">
      <c r="A124" s="123">
        <v>124.0</v>
      </c>
      <c r="B124" s="124" t="s">
        <v>1230</v>
      </c>
      <c r="C124" s="124" t="s">
        <v>106</v>
      </c>
      <c r="D124" s="124" t="s">
        <v>173</v>
      </c>
      <c r="E124" s="124" t="s">
        <v>4714</v>
      </c>
      <c r="F124" s="125"/>
      <c r="G124" s="124" t="s">
        <v>224</v>
      </c>
      <c r="H124" s="124" t="s">
        <v>3969</v>
      </c>
      <c r="I124" s="125" t="s">
        <v>2024</v>
      </c>
      <c r="J124" s="123"/>
      <c r="K124" s="124" t="s">
        <v>289</v>
      </c>
      <c r="L124" s="125">
        <v>40.0</v>
      </c>
      <c r="M124" s="124" t="s">
        <v>3970</v>
      </c>
      <c r="N124" s="124" t="s">
        <v>3971</v>
      </c>
      <c r="O124" s="124" t="s">
        <v>3972</v>
      </c>
      <c r="P124" s="124">
        <v>1991.0</v>
      </c>
      <c r="Q124" s="124" t="s">
        <v>3976</v>
      </c>
      <c r="R124" s="123"/>
      <c r="S124" s="123"/>
      <c r="T124" s="123"/>
      <c r="U124" s="123"/>
      <c r="V124" s="123"/>
      <c r="W124" s="123"/>
      <c r="X124" s="123"/>
      <c r="Y124" s="123"/>
      <c r="Z124" s="123"/>
      <c r="AA124" s="123"/>
      <c r="AB124" s="123"/>
      <c r="AC124" s="123"/>
      <c r="AD124" s="123"/>
      <c r="AE124" s="123"/>
      <c r="AF124" s="123"/>
      <c r="AG124" s="123"/>
      <c r="AH124" s="123"/>
      <c r="AI124" s="123"/>
      <c r="AJ124" s="123"/>
    </row>
    <row r="125" ht="15.75" customHeight="1">
      <c r="A125" s="123">
        <v>125.0</v>
      </c>
      <c r="B125" s="124" t="s">
        <v>1230</v>
      </c>
      <c r="C125" s="124" t="s">
        <v>106</v>
      </c>
      <c r="D125" s="124" t="s">
        <v>173</v>
      </c>
      <c r="E125" s="124" t="s">
        <v>4714</v>
      </c>
      <c r="F125" s="125"/>
      <c r="G125" s="124" t="s">
        <v>224</v>
      </c>
      <c r="H125" s="124" t="s">
        <v>4571</v>
      </c>
      <c r="I125" s="125">
        <v>2000.0</v>
      </c>
      <c r="J125" s="123"/>
      <c r="K125" s="124" t="s">
        <v>95</v>
      </c>
      <c r="L125" s="125">
        <v>41.0</v>
      </c>
      <c r="M125" s="124" t="s">
        <v>4572</v>
      </c>
      <c r="N125" s="124" t="s">
        <v>4573</v>
      </c>
      <c r="O125" s="124" t="s">
        <v>4574</v>
      </c>
      <c r="P125" s="124">
        <v>2012.0</v>
      </c>
      <c r="Q125" s="124" t="s">
        <v>4579</v>
      </c>
      <c r="R125" s="127" t="str">
        <f>HYPERLINK("http://www.sciencedirect.com/science/article/pii/S1750583612000503","http://www.sciencedirect.com/science/article/pii/S1750583612000503")</f>
        <v>http://www.sciencedirect.com/science/article/pii/S1750583612000503</v>
      </c>
      <c r="S125" s="123"/>
      <c r="T125" s="123"/>
      <c r="U125" s="123"/>
      <c r="V125" s="123"/>
      <c r="W125" s="123"/>
      <c r="X125" s="123"/>
      <c r="Y125" s="123"/>
      <c r="Z125" s="123"/>
      <c r="AA125" s="123"/>
      <c r="AB125" s="123"/>
      <c r="AC125" s="123"/>
      <c r="AD125" s="123"/>
      <c r="AE125" s="123"/>
      <c r="AF125" s="123"/>
      <c r="AG125" s="123"/>
      <c r="AH125" s="123"/>
      <c r="AI125" s="123"/>
      <c r="AJ125" s="123"/>
    </row>
    <row r="126" ht="15.75" customHeight="1">
      <c r="A126" s="123">
        <v>126.0</v>
      </c>
      <c r="B126" s="124" t="s">
        <v>1230</v>
      </c>
      <c r="C126" s="124" t="s">
        <v>106</v>
      </c>
      <c r="D126" s="124" t="s">
        <v>173</v>
      </c>
      <c r="E126" s="124" t="s">
        <v>4714</v>
      </c>
      <c r="F126" s="125"/>
      <c r="G126" s="124" t="s">
        <v>224</v>
      </c>
      <c r="H126" s="124" t="s">
        <v>470</v>
      </c>
      <c r="I126" s="125">
        <v>3000.0</v>
      </c>
      <c r="J126" s="123"/>
      <c r="K126" s="124" t="s">
        <v>289</v>
      </c>
      <c r="L126" s="125">
        <v>40.0</v>
      </c>
      <c r="M126" s="124" t="s">
        <v>4886</v>
      </c>
      <c r="N126" s="124" t="s">
        <v>4653</v>
      </c>
      <c r="O126" s="124" t="s">
        <v>4381</v>
      </c>
      <c r="P126" s="124">
        <v>2010.0</v>
      </c>
      <c r="Q126" s="124" t="s">
        <v>4888</v>
      </c>
      <c r="R126" s="127" t="str">
        <f>HYPERLINK("http://www.pnas.org/content/107/37/16054.abstract","http://www.pnas.org/content/107/37/16054.abstract")</f>
        <v>http://www.pnas.org/content/107/37/16054.abstract</v>
      </c>
      <c r="S126" s="123"/>
      <c r="T126" s="123"/>
      <c r="U126" s="123"/>
      <c r="V126" s="123"/>
      <c r="W126" s="123"/>
      <c r="X126" s="123"/>
      <c r="Y126" s="123"/>
      <c r="Z126" s="123"/>
      <c r="AA126" s="123"/>
      <c r="AB126" s="123"/>
      <c r="AC126" s="123"/>
      <c r="AD126" s="123"/>
      <c r="AE126" s="123"/>
      <c r="AF126" s="123"/>
      <c r="AG126" s="123"/>
      <c r="AH126" s="123"/>
      <c r="AI126" s="123"/>
      <c r="AJ126" s="123"/>
    </row>
    <row r="127" ht="15.75" customHeight="1">
      <c r="A127" s="123">
        <v>127.0</v>
      </c>
      <c r="B127" s="124" t="s">
        <v>1230</v>
      </c>
      <c r="C127" s="124" t="s">
        <v>106</v>
      </c>
      <c r="D127" s="124" t="s">
        <v>173</v>
      </c>
      <c r="E127" s="124" t="s">
        <v>4714</v>
      </c>
      <c r="F127" s="125"/>
      <c r="G127" s="124" t="s">
        <v>224</v>
      </c>
      <c r="H127" s="124" t="s">
        <v>1114</v>
      </c>
      <c r="I127" s="125">
        <v>2000.0</v>
      </c>
      <c r="J127" s="123"/>
      <c r="K127" s="124" t="s">
        <v>289</v>
      </c>
      <c r="L127" s="125">
        <v>40.0</v>
      </c>
      <c r="M127" s="124" t="s">
        <v>4234</v>
      </c>
      <c r="N127" s="124" t="s">
        <v>4235</v>
      </c>
      <c r="O127" s="124" t="s">
        <v>4236</v>
      </c>
      <c r="P127" s="124">
        <v>2005.0</v>
      </c>
      <c r="Q127" s="124" t="s">
        <v>4237</v>
      </c>
      <c r="R127" s="123"/>
      <c r="S127" s="123"/>
      <c r="T127" s="123"/>
      <c r="U127" s="123"/>
      <c r="V127" s="123"/>
      <c r="W127" s="123"/>
      <c r="X127" s="123"/>
      <c r="Y127" s="123"/>
      <c r="Z127" s="123"/>
      <c r="AA127" s="123"/>
      <c r="AB127" s="123"/>
      <c r="AC127" s="123"/>
      <c r="AD127" s="123"/>
      <c r="AE127" s="123"/>
      <c r="AF127" s="123"/>
      <c r="AG127" s="123"/>
      <c r="AH127" s="123"/>
      <c r="AI127" s="123"/>
      <c r="AJ127" s="123"/>
    </row>
    <row r="128" ht="15.75" customHeight="1">
      <c r="A128" s="123">
        <v>128.0</v>
      </c>
      <c r="B128" s="124" t="s">
        <v>1230</v>
      </c>
      <c r="C128" s="124" t="s">
        <v>106</v>
      </c>
      <c r="D128" s="124" t="s">
        <v>173</v>
      </c>
      <c r="E128" s="124" t="s">
        <v>4714</v>
      </c>
      <c r="F128" s="125"/>
      <c r="G128" s="124" t="s">
        <v>224</v>
      </c>
      <c r="H128" s="124" t="s">
        <v>1198</v>
      </c>
      <c r="I128" s="125" t="s">
        <v>1197</v>
      </c>
      <c r="J128" s="123"/>
      <c r="K128" s="124" t="s">
        <v>111</v>
      </c>
      <c r="L128" s="125">
        <v>41.0</v>
      </c>
      <c r="M128" s="124" t="s">
        <v>1199</v>
      </c>
      <c r="N128" s="124" t="s">
        <v>1200</v>
      </c>
      <c r="O128" s="124" t="s">
        <v>1201</v>
      </c>
      <c r="P128" s="124">
        <v>2012.0</v>
      </c>
      <c r="Q128" s="124" t="s">
        <v>1202</v>
      </c>
      <c r="R128" s="127" t="str">
        <f>HYPERLINK("http://www.politics.ubc.ca/fileadmin/user_upload/webhome/users/364/Why_Do_Citizens_Discount_the_Future_published.pdf","http://www.politics.ubc.ca/fileadmin/user_upload/webhome/users/364/Why_Do_Citizens_Discount_the_Future_published.pdf")</f>
        <v>http://www.politics.ubc.ca/fileadmin/user_upload/webhome/users/364/Why_Do_Citizens_Discount_the_Future_published.pdf</v>
      </c>
      <c r="S128" s="123"/>
      <c r="T128" s="123"/>
      <c r="U128" s="123"/>
      <c r="V128" s="123"/>
      <c r="W128" s="123"/>
      <c r="X128" s="123"/>
      <c r="Y128" s="123"/>
      <c r="Z128" s="123"/>
      <c r="AA128" s="123"/>
      <c r="AB128" s="123"/>
      <c r="AC128" s="123"/>
      <c r="AD128" s="123"/>
      <c r="AE128" s="123"/>
      <c r="AF128" s="123"/>
      <c r="AG128" s="123"/>
      <c r="AH128" s="123"/>
      <c r="AI128" s="123"/>
      <c r="AJ128" s="123"/>
    </row>
    <row r="129" ht="15.75" customHeight="1">
      <c r="A129" s="123">
        <v>129.0</v>
      </c>
      <c r="B129" s="124" t="s">
        <v>1230</v>
      </c>
      <c r="C129" s="124" t="s">
        <v>106</v>
      </c>
      <c r="D129" s="124" t="s">
        <v>173</v>
      </c>
      <c r="E129" s="124" t="s">
        <v>4714</v>
      </c>
      <c r="F129" s="125"/>
      <c r="G129" s="124" t="s">
        <v>224</v>
      </c>
      <c r="H129" s="124" t="s">
        <v>552</v>
      </c>
      <c r="I129" s="125">
        <v>6000.0</v>
      </c>
      <c r="J129" s="123"/>
      <c r="K129" s="124" t="s">
        <v>289</v>
      </c>
      <c r="L129" s="125">
        <v>40.0</v>
      </c>
      <c r="M129" s="124" t="s">
        <v>4908</v>
      </c>
      <c r="N129" s="124" t="s">
        <v>4909</v>
      </c>
      <c r="O129" s="124" t="s">
        <v>4035</v>
      </c>
      <c r="P129" s="124">
        <v>2014.0</v>
      </c>
      <c r="Q129" s="124" t="s">
        <v>4911</v>
      </c>
      <c r="R129" s="127" t="str">
        <f>HYPERLINK("http://search.proquest.com/openview/c6b68b3a938920008369c605bd2d7193/1?pq-origsite=gscholar&amp;cbl=1056412","http://search.proquest.com/openview/c6b68b3a938920008369c605bd2d7193/1?pq-origsite=gscholar&amp;cbl=1056412")</f>
        <v>http://search.proquest.com/openview/c6b68b3a938920008369c605bd2d7193/1?pq-origsite=gscholar&amp;cbl=1056412</v>
      </c>
      <c r="S129" s="123"/>
      <c r="T129" s="123"/>
      <c r="U129" s="123"/>
      <c r="V129" s="123"/>
      <c r="W129" s="123"/>
      <c r="X129" s="123"/>
      <c r="Y129" s="123"/>
      <c r="Z129" s="123"/>
      <c r="AA129" s="123"/>
      <c r="AB129" s="123"/>
      <c r="AC129" s="123"/>
      <c r="AD129" s="123"/>
      <c r="AE129" s="123"/>
      <c r="AF129" s="123"/>
      <c r="AG129" s="123"/>
      <c r="AH129" s="123"/>
      <c r="AI129" s="123"/>
      <c r="AJ129" s="123"/>
    </row>
    <row r="130" ht="15.75" customHeight="1">
      <c r="A130" s="123">
        <v>130.0</v>
      </c>
      <c r="B130" s="124" t="s">
        <v>1230</v>
      </c>
      <c r="C130" s="124" t="s">
        <v>106</v>
      </c>
      <c r="D130" s="124" t="s">
        <v>173</v>
      </c>
      <c r="E130" s="124" t="s">
        <v>4714</v>
      </c>
      <c r="F130" s="125"/>
      <c r="G130" s="124" t="s">
        <v>224</v>
      </c>
      <c r="H130" s="124" t="s">
        <v>837</v>
      </c>
      <c r="I130" s="125">
        <v>2000.0</v>
      </c>
      <c r="J130" s="123"/>
      <c r="K130" s="124" t="s">
        <v>283</v>
      </c>
      <c r="L130" s="125">
        <v>43.0</v>
      </c>
      <c r="M130" s="124" t="s">
        <v>4916</v>
      </c>
      <c r="N130" s="124" t="s">
        <v>4917</v>
      </c>
      <c r="O130" s="124" t="s">
        <v>4918</v>
      </c>
      <c r="P130" s="124">
        <v>2013.0</v>
      </c>
      <c r="Q130" s="124" t="s">
        <v>4921</v>
      </c>
      <c r="R130" s="127" t="str">
        <f>HYPERLINK("https://www.google.com/url?sa=t&amp;rct=j&amp;q=&amp;esrc=s&amp;source=web&amp;cd=2&amp;ved=0ahUKEwj0-ufj8_vOAhUIwmMKHUFpCFQQFgghMAE&amp;url=http%3A%2F%2Ffulltext.study%2Fpreview%2Fpdf%2F93215.pdf&amp;usg=AFQjCNExNId8noqRRzwJwRr46iyJLKRRmg&amp;sig2=RFgZJ5YJ4OXENqr3xrahHA","https://www.google.com/url?sa=t&amp;rct=j&amp;q=&amp;esrc=s&amp;source=web&amp;cd=2&amp;ved=0ahUKEwj0-ufj8_vOAhUIwmMKHUFpCFQQFgghMAE&amp;url=http%3A%2F%2Ffulltext.study%2Fpreview%2Fpdf%2F93215.pdf&amp;usg=AFQjCNExNId8noqRRzwJwRr46iyJLKRRmg&amp;sig2=RFgZJ5YJ4OXENqr3xrahHA")</f>
        <v>https://www.google.com/url?sa=t&amp;rct=j&amp;q=&amp;esrc=s&amp;source=web&amp;cd=2&amp;ved=0ahUKEwj0-ufj8_vOAhUIwmMKHUFpCFQQFgghMAE&amp;url=http%3A%2F%2Ffulltext.study%2Fpreview%2Fpdf%2F93215.pdf&amp;usg=AFQjCNExNId8noqRRzwJwRr46iyJLKRRmg&amp;sig2=RFgZJ5YJ4OXENqr3xrahHA</v>
      </c>
      <c r="S130" s="123"/>
      <c r="T130" s="123"/>
      <c r="U130" s="123"/>
      <c r="V130" s="123"/>
      <c r="W130" s="123"/>
      <c r="X130" s="123"/>
      <c r="Y130" s="123"/>
      <c r="Z130" s="123"/>
      <c r="AA130" s="123"/>
      <c r="AB130" s="123"/>
      <c r="AC130" s="123"/>
      <c r="AD130" s="123"/>
      <c r="AE130" s="123"/>
      <c r="AF130" s="123"/>
      <c r="AG130" s="123"/>
      <c r="AH130" s="123"/>
      <c r="AI130" s="123"/>
      <c r="AJ130" s="123"/>
    </row>
    <row r="131" ht="15.75" customHeight="1">
      <c r="A131" s="123">
        <v>131.0</v>
      </c>
      <c r="B131" s="124" t="s">
        <v>1230</v>
      </c>
      <c r="C131" s="124" t="s">
        <v>106</v>
      </c>
      <c r="D131" s="124" t="s">
        <v>173</v>
      </c>
      <c r="E131" s="124" t="s">
        <v>4714</v>
      </c>
      <c r="F131" s="125"/>
      <c r="G131" s="124" t="s">
        <v>224</v>
      </c>
      <c r="H131" s="124" t="s">
        <v>1076</v>
      </c>
      <c r="I131" s="125">
        <v>2000.0</v>
      </c>
      <c r="J131" s="123"/>
      <c r="K131" s="124" t="s">
        <v>289</v>
      </c>
      <c r="L131" s="125">
        <v>40.0</v>
      </c>
      <c r="M131" s="124" t="s">
        <v>2498</v>
      </c>
      <c r="N131" s="124" t="s">
        <v>2499</v>
      </c>
      <c r="O131" s="124" t="s">
        <v>2501</v>
      </c>
      <c r="P131" s="124">
        <v>1997.0</v>
      </c>
      <c r="Q131" s="124" t="s">
        <v>753</v>
      </c>
      <c r="R131" s="123"/>
      <c r="S131" s="123"/>
      <c r="T131" s="123"/>
      <c r="U131" s="123"/>
      <c r="V131" s="123"/>
      <c r="W131" s="123"/>
      <c r="X131" s="123"/>
      <c r="Y131" s="123"/>
      <c r="Z131" s="123"/>
      <c r="AA131" s="123"/>
      <c r="AB131" s="123"/>
      <c r="AC131" s="123"/>
      <c r="AD131" s="123"/>
      <c r="AE131" s="123"/>
      <c r="AF131" s="123"/>
      <c r="AG131" s="123"/>
      <c r="AH131" s="123"/>
      <c r="AI131" s="123"/>
      <c r="AJ131" s="123"/>
    </row>
    <row r="132" ht="15.75" customHeight="1">
      <c r="A132" s="123">
        <v>132.0</v>
      </c>
      <c r="B132" s="124" t="s">
        <v>1230</v>
      </c>
      <c r="C132" s="124" t="s">
        <v>106</v>
      </c>
      <c r="D132" s="124" t="s">
        <v>173</v>
      </c>
      <c r="E132" s="124" t="s">
        <v>4714</v>
      </c>
      <c r="F132" s="125"/>
      <c r="G132" s="124" t="s">
        <v>224</v>
      </c>
      <c r="H132" s="124" t="s">
        <v>1198</v>
      </c>
      <c r="I132" s="125" t="s">
        <v>1197</v>
      </c>
      <c r="J132" s="123"/>
      <c r="K132" s="124" t="s">
        <v>298</v>
      </c>
      <c r="L132" s="125">
        <v>44.0</v>
      </c>
      <c r="M132" s="124" t="s">
        <v>4933</v>
      </c>
      <c r="N132" s="124" t="s">
        <v>4934</v>
      </c>
      <c r="O132" s="124" t="s">
        <v>4935</v>
      </c>
      <c r="P132" s="124">
        <v>1995.0</v>
      </c>
      <c r="Q132" s="124" t="s">
        <v>753</v>
      </c>
      <c r="R132" s="123" t="s">
        <v>1255</v>
      </c>
      <c r="S132" s="123"/>
      <c r="T132" s="123"/>
      <c r="U132" s="123"/>
      <c r="V132" s="123"/>
      <c r="W132" s="123"/>
      <c r="X132" s="123"/>
      <c r="Y132" s="123"/>
      <c r="Z132" s="123"/>
      <c r="AA132" s="123"/>
      <c r="AB132" s="123"/>
      <c r="AC132" s="123"/>
      <c r="AD132" s="123"/>
      <c r="AE132" s="123"/>
      <c r="AF132" s="123"/>
      <c r="AG132" s="123"/>
      <c r="AH132" s="123"/>
      <c r="AI132" s="123"/>
      <c r="AJ132" s="123"/>
    </row>
    <row r="133" ht="15.75" customHeight="1">
      <c r="A133" s="123">
        <v>133.0</v>
      </c>
      <c r="B133" s="124" t="s">
        <v>1230</v>
      </c>
      <c r="C133" s="124" t="s">
        <v>106</v>
      </c>
      <c r="D133" s="124" t="s">
        <v>173</v>
      </c>
      <c r="E133" s="124" t="s">
        <v>4714</v>
      </c>
      <c r="F133" s="125"/>
      <c r="G133" s="124" t="s">
        <v>224</v>
      </c>
      <c r="H133" s="124" t="s">
        <v>1076</v>
      </c>
      <c r="I133" s="125">
        <v>2000.0</v>
      </c>
      <c r="J133" s="123"/>
      <c r="K133" s="124" t="s">
        <v>289</v>
      </c>
      <c r="L133" s="125">
        <v>40.0</v>
      </c>
      <c r="M133" s="124" t="s">
        <v>4937</v>
      </c>
      <c r="N133" s="124" t="s">
        <v>4938</v>
      </c>
      <c r="O133" s="124" t="s">
        <v>4939</v>
      </c>
      <c r="P133" s="124">
        <v>2004.0</v>
      </c>
      <c r="Q133" s="124" t="s">
        <v>4943</v>
      </c>
      <c r="R133" s="123"/>
      <c r="S133" s="123"/>
      <c r="T133" s="123"/>
      <c r="U133" s="123"/>
      <c r="V133" s="123"/>
      <c r="W133" s="123"/>
      <c r="X133" s="123"/>
      <c r="Y133" s="123"/>
      <c r="Z133" s="123"/>
      <c r="AA133" s="123"/>
      <c r="AB133" s="123"/>
      <c r="AC133" s="123"/>
      <c r="AD133" s="123"/>
      <c r="AE133" s="123"/>
      <c r="AF133" s="123"/>
      <c r="AG133" s="123"/>
      <c r="AH133" s="123"/>
      <c r="AI133" s="123"/>
      <c r="AJ133" s="123"/>
    </row>
    <row r="134" ht="15.75" customHeight="1">
      <c r="A134" s="123">
        <v>134.0</v>
      </c>
      <c r="B134" s="124" t="s">
        <v>1230</v>
      </c>
      <c r="C134" s="124" t="s">
        <v>106</v>
      </c>
      <c r="D134" s="124" t="s">
        <v>173</v>
      </c>
      <c r="E134" s="124" t="s">
        <v>4714</v>
      </c>
      <c r="F134" s="125"/>
      <c r="G134" s="124" t="s">
        <v>224</v>
      </c>
      <c r="H134" s="124" t="s">
        <v>1076</v>
      </c>
      <c r="I134" s="125">
        <v>2000.0</v>
      </c>
      <c r="J134" s="123"/>
      <c r="K134" s="124" t="s">
        <v>289</v>
      </c>
      <c r="L134" s="125">
        <v>40.0</v>
      </c>
      <c r="M134" s="124" t="s">
        <v>3877</v>
      </c>
      <c r="N134" s="124" t="s">
        <v>3878</v>
      </c>
      <c r="O134" s="124" t="s">
        <v>3874</v>
      </c>
      <c r="P134" s="124">
        <v>2006.0</v>
      </c>
      <c r="Q134" s="124" t="s">
        <v>3879</v>
      </c>
      <c r="R134" s="127" t="str">
        <f>HYPERLINK("http://papers.ssrn.com/sol3/papers.cfm?abstract_id=1304735","http://papers.ssrn.com/sol3/papers.cfm?abstract_id=1304735")</f>
        <v>http://papers.ssrn.com/sol3/papers.cfm?abstract_id=1304735</v>
      </c>
      <c r="S134" s="123"/>
      <c r="T134" s="123"/>
      <c r="U134" s="123"/>
      <c r="V134" s="123"/>
      <c r="W134" s="123"/>
      <c r="X134" s="123"/>
      <c r="Y134" s="123"/>
      <c r="Z134" s="123"/>
      <c r="AA134" s="123"/>
      <c r="AB134" s="123"/>
      <c r="AC134" s="123"/>
      <c r="AD134" s="123"/>
      <c r="AE134" s="123"/>
      <c r="AF134" s="123"/>
      <c r="AG134" s="123"/>
      <c r="AH134" s="123"/>
      <c r="AI134" s="123"/>
      <c r="AJ134" s="123"/>
    </row>
    <row r="135" ht="15.75" customHeight="1">
      <c r="A135" s="123">
        <v>135.0</v>
      </c>
      <c r="B135" s="124" t="s">
        <v>1230</v>
      </c>
      <c r="C135" s="124" t="s">
        <v>106</v>
      </c>
      <c r="D135" s="124" t="s">
        <v>173</v>
      </c>
      <c r="E135" s="124" t="s">
        <v>4714</v>
      </c>
      <c r="F135" s="125"/>
      <c r="G135" s="124" t="s">
        <v>224</v>
      </c>
      <c r="H135" s="124" t="s">
        <v>322</v>
      </c>
      <c r="I135" s="125" t="s">
        <v>320</v>
      </c>
      <c r="J135" s="123"/>
      <c r="K135" s="124" t="s">
        <v>324</v>
      </c>
      <c r="L135" s="125" t="s">
        <v>325</v>
      </c>
      <c r="M135" s="124" t="s">
        <v>327</v>
      </c>
      <c r="N135" s="124" t="s">
        <v>328</v>
      </c>
      <c r="O135" s="124" t="s">
        <v>329</v>
      </c>
      <c r="P135" s="124">
        <v>2011.0</v>
      </c>
      <c r="Q135" s="124" t="s">
        <v>340</v>
      </c>
      <c r="R135" s="123"/>
      <c r="S135" s="123"/>
      <c r="T135" s="123"/>
      <c r="U135" s="123"/>
      <c r="V135" s="123"/>
      <c r="W135" s="123"/>
      <c r="X135" s="123"/>
      <c r="Y135" s="123"/>
      <c r="Z135" s="123"/>
      <c r="AA135" s="123"/>
      <c r="AB135" s="123"/>
      <c r="AC135" s="123"/>
      <c r="AD135" s="123"/>
      <c r="AE135" s="123"/>
      <c r="AF135" s="123"/>
      <c r="AG135" s="123"/>
      <c r="AH135" s="123"/>
      <c r="AI135" s="123"/>
      <c r="AJ135" s="123"/>
    </row>
    <row r="136" ht="15.75" customHeight="1">
      <c r="A136" s="123">
        <v>136.0</v>
      </c>
      <c r="B136" s="124" t="s">
        <v>1230</v>
      </c>
      <c r="C136" s="124" t="s">
        <v>106</v>
      </c>
      <c r="D136" s="124" t="s">
        <v>173</v>
      </c>
      <c r="E136" s="124" t="s">
        <v>4714</v>
      </c>
      <c r="F136" s="125"/>
      <c r="G136" s="124" t="s">
        <v>224</v>
      </c>
      <c r="H136" s="124" t="s">
        <v>1198</v>
      </c>
      <c r="I136" s="125" t="s">
        <v>1197</v>
      </c>
      <c r="J136" s="123"/>
      <c r="K136" s="124" t="s">
        <v>289</v>
      </c>
      <c r="L136" s="125">
        <v>40.0</v>
      </c>
      <c r="M136" s="124" t="s">
        <v>3596</v>
      </c>
      <c r="N136" s="124" t="s">
        <v>3597</v>
      </c>
      <c r="O136" s="124" t="s">
        <v>3598</v>
      </c>
      <c r="P136" s="124">
        <v>1999.0</v>
      </c>
      <c r="Q136" s="124" t="s">
        <v>3600</v>
      </c>
      <c r="R136" s="127" t="str">
        <f>HYPERLINK("http://pubs.acs.org/doi/abs/10.1021/es00010a003","http://pubs.acs.org/doi/abs/10.1021/es00010a003")</f>
        <v>http://pubs.acs.org/doi/abs/10.1021/es00010a003</v>
      </c>
      <c r="S136" s="123"/>
      <c r="T136" s="123"/>
      <c r="U136" s="123"/>
      <c r="V136" s="123"/>
      <c r="W136" s="123"/>
      <c r="X136" s="123"/>
      <c r="Y136" s="123"/>
      <c r="Z136" s="123"/>
      <c r="AA136" s="123"/>
      <c r="AB136" s="123"/>
      <c r="AC136" s="123"/>
      <c r="AD136" s="123"/>
      <c r="AE136" s="123"/>
      <c r="AF136" s="123"/>
      <c r="AG136" s="123"/>
      <c r="AH136" s="123"/>
      <c r="AI136" s="123"/>
      <c r="AJ136" s="123"/>
    </row>
    <row r="137" ht="15.75" customHeight="1">
      <c r="A137" s="123">
        <v>137.0</v>
      </c>
      <c r="B137" s="124" t="s">
        <v>1230</v>
      </c>
      <c r="C137" s="124" t="s">
        <v>106</v>
      </c>
      <c r="D137" s="124" t="s">
        <v>173</v>
      </c>
      <c r="E137" s="124" t="s">
        <v>4714</v>
      </c>
      <c r="F137" s="125"/>
      <c r="G137" s="124" t="s">
        <v>224</v>
      </c>
      <c r="H137" s="124" t="s">
        <v>4972</v>
      </c>
      <c r="I137" s="125">
        <v>16000.0</v>
      </c>
      <c r="J137" s="123"/>
      <c r="K137" s="124" t="s">
        <v>111</v>
      </c>
      <c r="L137" s="125">
        <v>41.0</v>
      </c>
      <c r="M137" s="124" t="s">
        <v>4974</v>
      </c>
      <c r="N137" s="124" t="s">
        <v>4975</v>
      </c>
      <c r="O137" s="124" t="s">
        <v>4976</v>
      </c>
      <c r="P137" s="124">
        <v>2013.0</v>
      </c>
      <c r="Q137" s="124" t="s">
        <v>4980</v>
      </c>
      <c r="R137" s="127" t="str">
        <f>HYPERLINK("https://www.google.com/url?sa=t&amp;rct=j&amp;q=&amp;esrc=s&amp;source=web&amp;cd=2&amp;cad=rja&amp;uact=8&amp;ved=0ahUKEwj2iMTei-_OAhVMHx4KHWEiBxgQFggjMAE&amp;url=https%3A%2F%2Fhalshs.archives-ouvertes.fr%2Fhal-00547701%2Fdocument&amp;usg=AFQjCNEv4NjyfMGOCu4v5tBiVGYEKjlbpg&amp;sig2=yFmBr31wVXuSmZ7z5es1Yw","https://www.google.com/url?sa=t&amp;rct=j&amp;q=&amp;esrc=s&amp;source=web&amp;cd=2&amp;cad=rja&amp;uact=8&amp;ved=0ahUKEwj2iMTei-_OAhVMHx4KHWEiBxgQFggjMAE&amp;url=https%3A%2F%2Fhalshs.archives-ouvertes.fr%2Fhal-00547701%2Fdocument&amp;usg=AFQjCNEv4NjyfMGOCu4v5tBiVGYEKjlbpg&amp;sig2=yFmBr31wVXuSmZ7z5es1Yw")</f>
        <v>https://www.google.com/url?sa=t&amp;rct=j&amp;q=&amp;esrc=s&amp;source=web&amp;cd=2&amp;cad=rja&amp;uact=8&amp;ved=0ahUKEwj2iMTei-_OAhVMHx4KHWEiBxgQFggjMAE&amp;url=https%3A%2F%2Fhalshs.archives-ouvertes.fr%2Fhal-00547701%2Fdocument&amp;usg=AFQjCNEv4NjyfMGOCu4v5tBiVGYEKjlbpg&amp;sig2=yFmBr31wVXuSmZ7z5es1Yw</v>
      </c>
      <c r="S137" s="123"/>
      <c r="T137" s="123"/>
      <c r="U137" s="123"/>
      <c r="V137" s="123"/>
      <c r="W137" s="123"/>
      <c r="X137" s="123"/>
      <c r="Y137" s="123"/>
      <c r="Z137" s="123"/>
      <c r="AA137" s="123"/>
      <c r="AB137" s="123"/>
      <c r="AC137" s="123"/>
      <c r="AD137" s="123"/>
      <c r="AE137" s="123"/>
      <c r="AF137" s="123"/>
      <c r="AG137" s="123"/>
      <c r="AH137" s="123"/>
      <c r="AI137" s="123"/>
      <c r="AJ137" s="123"/>
    </row>
    <row r="138" ht="15.75" customHeight="1">
      <c r="A138" s="123">
        <v>138.0</v>
      </c>
      <c r="B138" s="124" t="s">
        <v>1230</v>
      </c>
      <c r="C138" s="124" t="s">
        <v>106</v>
      </c>
      <c r="D138" s="124" t="s">
        <v>173</v>
      </c>
      <c r="E138" s="124" t="s">
        <v>4714</v>
      </c>
      <c r="F138" s="125"/>
      <c r="G138" s="124" t="s">
        <v>224</v>
      </c>
      <c r="H138" s="124" t="s">
        <v>1114</v>
      </c>
      <c r="I138" s="125">
        <v>2000.0</v>
      </c>
      <c r="J138" s="123"/>
      <c r="K138" s="124" t="s">
        <v>289</v>
      </c>
      <c r="L138" s="125">
        <v>40.0</v>
      </c>
      <c r="M138" s="124" t="s">
        <v>4991</v>
      </c>
      <c r="N138" s="124" t="s">
        <v>4992</v>
      </c>
      <c r="O138" s="124" t="s">
        <v>4993</v>
      </c>
      <c r="P138" s="124">
        <v>2011.0</v>
      </c>
      <c r="Q138" s="124" t="s">
        <v>4999</v>
      </c>
      <c r="R138" s="127" t="str">
        <f>HYPERLINK("https://www.google.com/url?sa=t&amp;rct=j&amp;q=&amp;esrc=s&amp;source=web&amp;cd=3&amp;cad=rja&amp;uact=8&amp;ved=0ahUKEwj9zJv3w_vOAhWD1x4KHeYNA2EQFggsMAI&amp;url=http%3A%2F%2Fspot.colorado.edu%2F~porterka%2FBonstrom-2011-CU-MS-Thesis.pdf&amp;usg=AFQjCNFgmmH9PmzW-sQIWue9oh4CKe9hzA&amp;sig2=bnKdbebrmJCAFwNhvT7Kbg","https://www.google.com/url?sa=t&amp;rct=j&amp;q=&amp;esrc=s&amp;source=web&amp;cd=3&amp;cad=rja&amp;uact=8&amp;ved=0ahUKEwj9zJv3w_vOAhWD1x4KHeYNA2EQFggsMAI&amp;url=http%3A%2F%2Fspot.colorado.edu%2F~porterka%2FBonstrom-2011-CU-MS-Thesis.pdf&amp;usg=AFQjCNFgmmH9PmzW-sQIWue9oh4CKe9hzA&amp;sig2=bnKdbebrmJCAFwNhvT7Kbg")</f>
        <v>https://www.google.com/url?sa=t&amp;rct=j&amp;q=&amp;esrc=s&amp;source=web&amp;cd=3&amp;cad=rja&amp;uact=8&amp;ved=0ahUKEwj9zJv3w_vOAhWD1x4KHeYNA2EQFggsMAI&amp;url=http%3A%2F%2Fspot.colorado.edu%2F~porterka%2FBonstrom-2011-CU-MS-Thesis.pdf&amp;usg=AFQjCNFgmmH9PmzW-sQIWue9oh4CKe9hzA&amp;sig2=bnKdbebrmJCAFwNhvT7Kbg</v>
      </c>
      <c r="S138" s="123"/>
      <c r="T138" s="123"/>
      <c r="U138" s="123"/>
      <c r="V138" s="123"/>
      <c r="W138" s="123"/>
      <c r="X138" s="123"/>
      <c r="Y138" s="123"/>
      <c r="Z138" s="123"/>
      <c r="AA138" s="123"/>
      <c r="AB138" s="123"/>
      <c r="AC138" s="123"/>
      <c r="AD138" s="123"/>
      <c r="AE138" s="123"/>
      <c r="AF138" s="123"/>
      <c r="AG138" s="123"/>
      <c r="AH138" s="123"/>
      <c r="AI138" s="123"/>
      <c r="AJ138" s="123"/>
    </row>
    <row r="139" ht="15.75" customHeight="1">
      <c r="A139" s="123">
        <v>139.0</v>
      </c>
      <c r="B139" s="124" t="s">
        <v>1230</v>
      </c>
      <c r="C139" s="124" t="s">
        <v>106</v>
      </c>
      <c r="D139" s="124" t="s">
        <v>173</v>
      </c>
      <c r="E139" s="124" t="s">
        <v>4714</v>
      </c>
      <c r="F139" s="125"/>
      <c r="G139" s="124" t="s">
        <v>224</v>
      </c>
      <c r="H139" s="124" t="s">
        <v>837</v>
      </c>
      <c r="I139" s="125">
        <v>2000.0</v>
      </c>
      <c r="J139" s="123"/>
      <c r="K139" s="124" t="s">
        <v>289</v>
      </c>
      <c r="L139" s="125">
        <v>40.0</v>
      </c>
      <c r="M139" s="124" t="s">
        <v>1243</v>
      </c>
      <c r="N139" s="124" t="s">
        <v>1244</v>
      </c>
      <c r="O139" s="124" t="s">
        <v>1246</v>
      </c>
      <c r="P139" s="124">
        <v>2007.0</v>
      </c>
      <c r="Q139" s="124" t="s">
        <v>1247</v>
      </c>
      <c r="R139" s="127" t="str">
        <f>HYPERLINK("https://www.google.com/url?sa=t&amp;rct=j&amp;q=&amp;esrc=s&amp;source=web&amp;cd=1&amp;ved=0ahUKEwjmzsLw5_vOAhUEySYKHTYcA0IQFgghMAA&amp;url=http%3A%2F%2Fenvironment.msu.edu%2Fclimatechange%2Fpresentations%2FCCGL.MarxWeber.pdf&amp;usg=AFQjCNH44KyCnTuDth8MKKS-glguJ8Jrpg&amp;sig2=eOYY8iAcFPB2HyzUoqHcyg","https://www.google.com/url?sa=t&amp;rct=j&amp;q=&amp;esrc=s&amp;source=web&amp;cd=1&amp;ved=0ahUKEwjmzsLw5_vOAhUEySYKHTYcA0IQFgghMAA&amp;url=http%3A%2F%2Fenvironment.msu.edu%2Fclimatechange%2Fpresentations%2FCCGL.MarxWeber.pdf&amp;usg=AFQjCNH44KyCnTuDth8MKKS-glguJ8Jrpg&amp;sig2=eOYY8iAcFPB2HyzUoqHcyg")</f>
        <v>https://www.google.com/url?sa=t&amp;rct=j&amp;q=&amp;esrc=s&amp;source=web&amp;cd=1&amp;ved=0ahUKEwjmzsLw5_vOAhUEySYKHTYcA0IQFgghMAA&amp;url=http%3A%2F%2Fenvironment.msu.edu%2Fclimatechange%2Fpresentations%2FCCGL.MarxWeber.pdf&amp;usg=AFQjCNH44KyCnTuDth8MKKS-glguJ8Jrpg&amp;sig2=eOYY8iAcFPB2HyzUoqHcyg</v>
      </c>
      <c r="S139" s="123"/>
      <c r="T139" s="123"/>
      <c r="U139" s="123"/>
      <c r="V139" s="123"/>
      <c r="W139" s="123"/>
      <c r="X139" s="123"/>
      <c r="Y139" s="123"/>
      <c r="Z139" s="123"/>
      <c r="AA139" s="123"/>
      <c r="AB139" s="123"/>
      <c r="AC139" s="123"/>
      <c r="AD139" s="123"/>
      <c r="AE139" s="123"/>
      <c r="AF139" s="123"/>
      <c r="AG139" s="123"/>
      <c r="AH139" s="123"/>
      <c r="AI139" s="123"/>
      <c r="AJ139" s="123"/>
    </row>
    <row r="140" ht="15.75" customHeight="1">
      <c r="A140" s="123">
        <v>140.0</v>
      </c>
      <c r="B140" s="124" t="s">
        <v>1230</v>
      </c>
      <c r="C140" s="124" t="s">
        <v>106</v>
      </c>
      <c r="D140" s="124" t="s">
        <v>173</v>
      </c>
      <c r="E140" s="124" t="s">
        <v>4714</v>
      </c>
      <c r="F140" s="125"/>
      <c r="G140" s="124" t="s">
        <v>224</v>
      </c>
      <c r="H140" s="124" t="s">
        <v>361</v>
      </c>
      <c r="I140" s="125" t="s">
        <v>358</v>
      </c>
      <c r="J140" s="123"/>
      <c r="K140" s="124" t="s">
        <v>324</v>
      </c>
      <c r="L140" s="125" t="s">
        <v>325</v>
      </c>
      <c r="M140" s="124" t="s">
        <v>365</v>
      </c>
      <c r="N140" s="124" t="s">
        <v>366</v>
      </c>
      <c r="O140" s="124" t="s">
        <v>368</v>
      </c>
      <c r="P140" s="124">
        <v>2010.0</v>
      </c>
      <c r="Q140" s="124" t="s">
        <v>380</v>
      </c>
      <c r="R140" s="123"/>
      <c r="S140" s="123"/>
      <c r="T140" s="123"/>
      <c r="U140" s="123"/>
      <c r="V140" s="123"/>
      <c r="W140" s="123"/>
      <c r="X140" s="123"/>
      <c r="Y140" s="123"/>
      <c r="Z140" s="123"/>
      <c r="AA140" s="123"/>
      <c r="AB140" s="123"/>
      <c r="AC140" s="123"/>
      <c r="AD140" s="123"/>
      <c r="AE140" s="123"/>
      <c r="AF140" s="123"/>
      <c r="AG140" s="123"/>
      <c r="AH140" s="123"/>
      <c r="AI140" s="123"/>
      <c r="AJ140" s="123"/>
    </row>
    <row r="141" ht="15.75" customHeight="1">
      <c r="A141" s="123">
        <v>141.0</v>
      </c>
      <c r="B141" s="124" t="s">
        <v>1230</v>
      </c>
      <c r="C141" s="124" t="s">
        <v>106</v>
      </c>
      <c r="D141" s="124" t="s">
        <v>173</v>
      </c>
      <c r="E141" s="124" t="s">
        <v>4714</v>
      </c>
      <c r="F141" s="125"/>
      <c r="G141" s="124" t="s">
        <v>224</v>
      </c>
      <c r="H141" s="124" t="s">
        <v>942</v>
      </c>
      <c r="I141" s="125">
        <v>2000.0</v>
      </c>
      <c r="J141" s="123"/>
      <c r="K141" s="124" t="s">
        <v>289</v>
      </c>
      <c r="L141" s="125">
        <v>40.0</v>
      </c>
      <c r="M141" s="124" t="s">
        <v>5017</v>
      </c>
      <c r="N141" s="124" t="s">
        <v>5018</v>
      </c>
      <c r="O141" s="124" t="s">
        <v>5019</v>
      </c>
      <c r="P141" s="124">
        <v>2012.0</v>
      </c>
      <c r="Q141" s="124" t="s">
        <v>5021</v>
      </c>
      <c r="R141" s="127" t="str">
        <f>HYPERLINK("https://www.ruor.uottawa.ca/handle/10393/23855","https://www.ruor.uottawa.ca/handle/10393/23855")</f>
        <v>https://www.ruor.uottawa.ca/handle/10393/23855</v>
      </c>
      <c r="S141" s="123"/>
      <c r="T141" s="123"/>
      <c r="U141" s="123"/>
      <c r="V141" s="123"/>
      <c r="W141" s="123"/>
      <c r="X141" s="123"/>
      <c r="Y141" s="123"/>
      <c r="Z141" s="123"/>
      <c r="AA141" s="123"/>
      <c r="AB141" s="123"/>
      <c r="AC141" s="123"/>
      <c r="AD141" s="123"/>
      <c r="AE141" s="123"/>
      <c r="AF141" s="123"/>
      <c r="AG141" s="123"/>
      <c r="AH141" s="123"/>
      <c r="AI141" s="123"/>
      <c r="AJ141" s="123"/>
    </row>
    <row r="142" ht="15.75" customHeight="1">
      <c r="A142" s="123">
        <v>142.0</v>
      </c>
      <c r="B142" s="124" t="s">
        <v>1230</v>
      </c>
      <c r="C142" s="124" t="s">
        <v>106</v>
      </c>
      <c r="D142" s="124" t="s">
        <v>173</v>
      </c>
      <c r="E142" s="124" t="s">
        <v>4714</v>
      </c>
      <c r="F142" s="125"/>
      <c r="G142" s="124" t="s">
        <v>224</v>
      </c>
      <c r="H142" s="124" t="s">
        <v>578</v>
      </c>
      <c r="I142" s="125">
        <v>2000.0</v>
      </c>
      <c r="J142" s="123"/>
      <c r="K142" s="124" t="s">
        <v>95</v>
      </c>
      <c r="L142" s="125">
        <v>41.0</v>
      </c>
      <c r="M142" s="124" t="s">
        <v>5026</v>
      </c>
      <c r="N142" s="124" t="s">
        <v>5030</v>
      </c>
      <c r="O142" s="124" t="s">
        <v>5033</v>
      </c>
      <c r="P142" s="124">
        <v>2006.0</v>
      </c>
      <c r="Q142" s="124" t="s">
        <v>5038</v>
      </c>
      <c r="R142" s="127" t="str">
        <f>HYPERLINK("https://www.google.com/url?sa=t&amp;rct=j&amp;q=&amp;esrc=s&amp;source=web&amp;cd=1&amp;cad=rja&amp;uact=8&amp;ved=0ahUKEwjnvO3r2-zOAhVMwWMKHV8ECkEQFggeMAA&amp;url=http%3A%2F%2Ftyndall.ac.uk%2Fsites%2Fdefault%2Ffiles%2Fwp98.pdf&amp;usg=AFQjCNGyhbx4OhZk6SK29ey0XuI7WN64Ag&amp;sig2=3GS9u0CPLMBJs1v3SwrChA","https://www.google.com/url?sa=t&amp;rct=j&amp;q=&amp;esrc=s&amp;source=web&amp;cd=1&amp;cad=rja&amp;uact=8&amp;ved=0ahUKEwjnvO3r2-zOAhVMwWMKHV8ECkEQFggeMAA&amp;url=http%3A%2F%2Ftyndall.ac.uk%2Fsites%2Fdefault%2Ffiles%2Fwp98.pdf&amp;usg=AFQjCNGyhbx4OhZk6SK29ey0XuI7WN64Ag&amp;sig2=3GS9u0CPLMBJs1v3SwrChA")</f>
        <v>https://www.google.com/url?sa=t&amp;rct=j&amp;q=&amp;esrc=s&amp;source=web&amp;cd=1&amp;cad=rja&amp;uact=8&amp;ved=0ahUKEwjnvO3r2-zOAhVMwWMKHV8ECkEQFggeMAA&amp;url=http%3A%2F%2Ftyndall.ac.uk%2Fsites%2Fdefault%2Ffiles%2Fwp98.pdf&amp;usg=AFQjCNGyhbx4OhZk6SK29ey0XuI7WN64Ag&amp;sig2=3GS9u0CPLMBJs1v3SwrChA</v>
      </c>
      <c r="S142" s="123"/>
      <c r="T142" s="123"/>
      <c r="U142" s="123"/>
      <c r="V142" s="123"/>
      <c r="W142" s="123"/>
      <c r="X142" s="123"/>
      <c r="Y142" s="123"/>
      <c r="Z142" s="123"/>
      <c r="AA142" s="123"/>
      <c r="AB142" s="123"/>
      <c r="AC142" s="123"/>
      <c r="AD142" s="123"/>
      <c r="AE142" s="123"/>
      <c r="AF142" s="123"/>
      <c r="AG142" s="123"/>
      <c r="AH142" s="123"/>
      <c r="AI142" s="123"/>
      <c r="AJ142" s="123"/>
    </row>
    <row r="143" ht="15.75" customHeight="1">
      <c r="A143" s="123">
        <v>143.0</v>
      </c>
      <c r="B143" s="124" t="s">
        <v>1230</v>
      </c>
      <c r="C143" s="124" t="s">
        <v>106</v>
      </c>
      <c r="D143" s="124" t="s">
        <v>173</v>
      </c>
      <c r="E143" s="124" t="s">
        <v>4714</v>
      </c>
      <c r="F143" s="125"/>
      <c r="G143" s="124" t="s">
        <v>224</v>
      </c>
      <c r="H143" s="124" t="s">
        <v>470</v>
      </c>
      <c r="I143" s="125">
        <v>3000.0</v>
      </c>
      <c r="J143" s="123"/>
      <c r="K143" s="124" t="s">
        <v>289</v>
      </c>
      <c r="L143" s="125">
        <v>40.0</v>
      </c>
      <c r="M143" s="124" t="s">
        <v>3236</v>
      </c>
      <c r="N143" s="124" t="s">
        <v>3237</v>
      </c>
      <c r="O143" s="124" t="s">
        <v>3238</v>
      </c>
      <c r="P143" s="124">
        <v>2014.0</v>
      </c>
      <c r="Q143" s="124" t="s">
        <v>3244</v>
      </c>
      <c r="R143" s="127" t="str">
        <f>HYPERLINK("https://www.researchgate.net/publication/262879224_Individual_and_household_interactions_with_energy_systems_Toward_integrated_understanding","https://www.researchgate.net/publication/262879224_Individual_and_household_interactions_with_energy_systems_Toward_integrated_understanding")</f>
        <v>https://www.researchgate.net/publication/262879224_Individual_and_household_interactions_with_energy_systems_Toward_integrated_understanding</v>
      </c>
      <c r="S143" s="123"/>
      <c r="T143" s="123"/>
      <c r="U143" s="123"/>
      <c r="V143" s="123"/>
      <c r="W143" s="123"/>
      <c r="X143" s="123"/>
      <c r="Y143" s="123"/>
      <c r="Z143" s="123"/>
      <c r="AA143" s="123"/>
      <c r="AB143" s="123"/>
      <c r="AC143" s="123"/>
      <c r="AD143" s="123"/>
      <c r="AE143" s="123"/>
      <c r="AF143" s="123"/>
      <c r="AG143" s="123"/>
      <c r="AH143" s="123"/>
      <c r="AI143" s="123"/>
      <c r="AJ143" s="123"/>
    </row>
    <row r="144" ht="15.75" customHeight="1">
      <c r="A144" s="123">
        <v>144.0</v>
      </c>
      <c r="B144" s="124" t="s">
        <v>1230</v>
      </c>
      <c r="C144" s="124" t="s">
        <v>106</v>
      </c>
      <c r="D144" s="124" t="s">
        <v>173</v>
      </c>
      <c r="E144" s="124" t="s">
        <v>4714</v>
      </c>
      <c r="F144" s="125"/>
      <c r="G144" s="124" t="s">
        <v>224</v>
      </c>
      <c r="H144" s="124" t="s">
        <v>5056</v>
      </c>
      <c r="I144" s="125" t="s">
        <v>5057</v>
      </c>
      <c r="J144" s="123"/>
      <c r="K144" s="124" t="s">
        <v>289</v>
      </c>
      <c r="L144" s="125">
        <v>40.0</v>
      </c>
      <c r="M144" s="124" t="s">
        <v>5058</v>
      </c>
      <c r="N144" s="124" t="s">
        <v>5060</v>
      </c>
      <c r="O144" s="124" t="s">
        <v>3913</v>
      </c>
      <c r="P144" s="124">
        <v>2003.0</v>
      </c>
      <c r="Q144" s="124" t="s">
        <v>5067</v>
      </c>
      <c r="R144" s="123"/>
      <c r="S144" s="123"/>
      <c r="T144" s="123"/>
      <c r="U144" s="123"/>
      <c r="V144" s="123"/>
      <c r="W144" s="123"/>
      <c r="X144" s="123"/>
      <c r="Y144" s="123"/>
      <c r="Z144" s="123"/>
      <c r="AA144" s="123"/>
      <c r="AB144" s="123"/>
      <c r="AC144" s="123"/>
      <c r="AD144" s="123"/>
      <c r="AE144" s="123"/>
      <c r="AF144" s="123"/>
      <c r="AG144" s="123"/>
      <c r="AH144" s="123"/>
      <c r="AI144" s="123"/>
      <c r="AJ144" s="123"/>
    </row>
    <row r="145" ht="15.75" customHeight="1">
      <c r="A145" s="123">
        <v>145.0</v>
      </c>
      <c r="B145" s="124" t="s">
        <v>1230</v>
      </c>
      <c r="C145" s="124" t="s">
        <v>106</v>
      </c>
      <c r="D145" s="124" t="s">
        <v>173</v>
      </c>
      <c r="E145" s="124" t="s">
        <v>4714</v>
      </c>
      <c r="F145" s="125"/>
      <c r="G145" s="124" t="s">
        <v>224</v>
      </c>
      <c r="H145" s="124" t="s">
        <v>552</v>
      </c>
      <c r="I145" s="125">
        <v>6000.0</v>
      </c>
      <c r="J145" s="123"/>
      <c r="K145" s="124" t="s">
        <v>289</v>
      </c>
      <c r="L145" s="125">
        <v>40.0</v>
      </c>
      <c r="M145" s="124" t="s">
        <v>5071</v>
      </c>
      <c r="N145" s="124" t="s">
        <v>5073</v>
      </c>
      <c r="O145" s="124" t="s">
        <v>5075</v>
      </c>
      <c r="P145" s="124">
        <v>2012.0</v>
      </c>
      <c r="Q145" s="124" t="s">
        <v>5076</v>
      </c>
      <c r="R145" s="127" t="str">
        <f>HYPERLINK("http://onlinelibrary.wiley.com/doi/10.1111/j.1752-1688.2002.tb04367.x/abstract","http://onlinelibrary.wiley.com/doi/10.1111/j.1752-1688.2002.tb04367.x/abstract")</f>
        <v>http://onlinelibrary.wiley.com/doi/10.1111/j.1752-1688.2002.tb04367.x/abstract</v>
      </c>
      <c r="S145" s="123"/>
      <c r="T145" s="123"/>
      <c r="U145" s="123"/>
      <c r="V145" s="123"/>
      <c r="W145" s="123"/>
      <c r="X145" s="123"/>
      <c r="Y145" s="123"/>
      <c r="Z145" s="123"/>
      <c r="AA145" s="123"/>
      <c r="AB145" s="123"/>
      <c r="AC145" s="123"/>
      <c r="AD145" s="123"/>
      <c r="AE145" s="123"/>
      <c r="AF145" s="123"/>
      <c r="AG145" s="123"/>
      <c r="AH145" s="123"/>
      <c r="AI145" s="123"/>
      <c r="AJ145" s="123"/>
    </row>
    <row r="146" ht="15.75" customHeight="1">
      <c r="A146" s="123">
        <v>146.0</v>
      </c>
      <c r="B146" s="124" t="s">
        <v>1230</v>
      </c>
      <c r="C146" s="124" t="s">
        <v>106</v>
      </c>
      <c r="D146" s="124" t="s">
        <v>173</v>
      </c>
      <c r="E146" s="124" t="s">
        <v>4714</v>
      </c>
      <c r="F146" s="125"/>
      <c r="G146" s="124" t="s">
        <v>224</v>
      </c>
      <c r="H146" s="124" t="s">
        <v>3120</v>
      </c>
      <c r="I146" s="125" t="s">
        <v>1045</v>
      </c>
      <c r="J146" s="123"/>
      <c r="K146" s="124" t="s">
        <v>111</v>
      </c>
      <c r="L146" s="125">
        <v>41.0</v>
      </c>
      <c r="M146" s="124" t="s">
        <v>3121</v>
      </c>
      <c r="N146" s="124" t="s">
        <v>3122</v>
      </c>
      <c r="O146" s="124" t="s">
        <v>3123</v>
      </c>
      <c r="P146" s="124">
        <v>2011.0</v>
      </c>
      <c r="Q146" s="124" t="s">
        <v>3124</v>
      </c>
      <c r="R146" s="127" t="str">
        <f>HYPERLINK("https://www.researchgate.net/publication/227415617_Conditional_inevitability_Expert_perceptions_of_carbon_capture_and_storage_uncertainties_in_the_UK_context","https://www.researchgate.net/publication/227415617_Conditional_inevitability_Expert_perceptions_of_carbon_capture_and_storage_uncertainties_in_the_UK_context")</f>
        <v>https://www.researchgate.net/publication/227415617_Conditional_inevitability_Expert_perceptions_of_carbon_capture_and_storage_uncertainties_in_the_UK_context</v>
      </c>
      <c r="S146" s="123"/>
      <c r="T146" s="123"/>
      <c r="U146" s="123"/>
      <c r="V146" s="123"/>
      <c r="W146" s="123"/>
      <c r="X146" s="123"/>
      <c r="Y146" s="123"/>
      <c r="Z146" s="123"/>
      <c r="AA146" s="123"/>
      <c r="AB146" s="123"/>
      <c r="AC146" s="123"/>
      <c r="AD146" s="123"/>
      <c r="AE146" s="123"/>
      <c r="AF146" s="123"/>
      <c r="AG146" s="123"/>
      <c r="AH146" s="123"/>
      <c r="AI146" s="123"/>
      <c r="AJ146" s="123"/>
    </row>
    <row r="147" ht="15.75" customHeight="1">
      <c r="A147" s="123">
        <v>147.0</v>
      </c>
      <c r="B147" s="124" t="s">
        <v>1230</v>
      </c>
      <c r="C147" s="124" t="s">
        <v>106</v>
      </c>
      <c r="D147" s="124" t="s">
        <v>173</v>
      </c>
      <c r="E147" s="124" t="s">
        <v>4714</v>
      </c>
      <c r="F147" s="125"/>
      <c r="G147" s="124" t="s">
        <v>224</v>
      </c>
      <c r="H147" s="124" t="s">
        <v>4311</v>
      </c>
      <c r="I147" s="125" t="s">
        <v>1045</v>
      </c>
      <c r="J147" s="123"/>
      <c r="K147" s="124" t="s">
        <v>289</v>
      </c>
      <c r="L147" s="125">
        <v>40.0</v>
      </c>
      <c r="M147" s="124" t="s">
        <v>4313</v>
      </c>
      <c r="N147" s="124" t="s">
        <v>4314</v>
      </c>
      <c r="O147" s="124" t="s">
        <v>4189</v>
      </c>
      <c r="P147" s="124">
        <v>2000.0</v>
      </c>
      <c r="Q147" s="124" t="s">
        <v>4316</v>
      </c>
      <c r="R147" s="123"/>
      <c r="S147" s="123"/>
      <c r="T147" s="123"/>
      <c r="U147" s="123"/>
      <c r="V147" s="123"/>
      <c r="W147" s="123"/>
      <c r="X147" s="123"/>
      <c r="Y147" s="123"/>
      <c r="Z147" s="123"/>
      <c r="AA147" s="123"/>
      <c r="AB147" s="123"/>
      <c r="AC147" s="123"/>
      <c r="AD147" s="123"/>
      <c r="AE147" s="123"/>
      <c r="AF147" s="123"/>
      <c r="AG147" s="123"/>
      <c r="AH147" s="123"/>
      <c r="AI147" s="123"/>
      <c r="AJ147" s="123"/>
    </row>
    <row r="148" ht="15.75" customHeight="1">
      <c r="A148" s="123">
        <v>148.0</v>
      </c>
      <c r="B148" s="124" t="s">
        <v>1230</v>
      </c>
      <c r="C148" s="124" t="s">
        <v>106</v>
      </c>
      <c r="D148" s="124" t="s">
        <v>173</v>
      </c>
      <c r="E148" s="124" t="s">
        <v>4714</v>
      </c>
      <c r="F148" s="125"/>
      <c r="G148" s="124" t="s">
        <v>224</v>
      </c>
      <c r="H148" s="124" t="s">
        <v>696</v>
      </c>
      <c r="I148" s="125">
        <v>16000.0</v>
      </c>
      <c r="J148" s="123"/>
      <c r="K148" s="124" t="s">
        <v>289</v>
      </c>
      <c r="L148" s="125">
        <v>40.0</v>
      </c>
      <c r="M148" s="124" t="s">
        <v>697</v>
      </c>
      <c r="N148" s="124" t="s">
        <v>698</v>
      </c>
      <c r="O148" s="124" t="s">
        <v>699</v>
      </c>
      <c r="P148" s="124">
        <v>1999.0</v>
      </c>
      <c r="Q148" s="124" t="s">
        <v>702</v>
      </c>
      <c r="R148" s="127" t="str">
        <f>HYPERLINK("https://law.vanderbilt.edu/files/archive/202_Are-Risk-Regulators-Rational_Evidence-from-Hazardous-Waste-Cleanup-Decisions.pdf","https://law.vanderbilt.edu/files/archive/202_Are-Risk-Regulators-Rational_Evidence-from-Hazardous-Waste-Cleanup-Decisions.pdf")</f>
        <v>https://law.vanderbilt.edu/files/archive/202_Are-Risk-Regulators-Rational_Evidence-from-Hazardous-Waste-Cleanup-Decisions.pdf</v>
      </c>
      <c r="S148" s="123"/>
      <c r="T148" s="123"/>
      <c r="U148" s="123"/>
      <c r="V148" s="123"/>
      <c r="W148" s="123"/>
      <c r="X148" s="123"/>
      <c r="Y148" s="123"/>
      <c r="Z148" s="123"/>
      <c r="AA148" s="123"/>
      <c r="AB148" s="123"/>
      <c r="AC148" s="123"/>
      <c r="AD148" s="123"/>
      <c r="AE148" s="123"/>
      <c r="AF148" s="123"/>
      <c r="AG148" s="123"/>
      <c r="AH148" s="123"/>
      <c r="AI148" s="123"/>
      <c r="AJ148" s="123"/>
    </row>
    <row r="149" ht="15.75" customHeight="1">
      <c r="A149" s="123">
        <v>149.0</v>
      </c>
      <c r="B149" s="124" t="s">
        <v>1230</v>
      </c>
      <c r="C149" s="124" t="s">
        <v>106</v>
      </c>
      <c r="D149" s="124" t="s">
        <v>173</v>
      </c>
      <c r="E149" s="124" t="s">
        <v>4714</v>
      </c>
      <c r="F149" s="125"/>
      <c r="G149" s="124" t="s">
        <v>224</v>
      </c>
      <c r="H149" s="124" t="s">
        <v>3522</v>
      </c>
      <c r="I149" s="125">
        <v>16000.0</v>
      </c>
      <c r="J149" s="123"/>
      <c r="K149" s="124" t="s">
        <v>289</v>
      </c>
      <c r="L149" s="125">
        <v>40.0</v>
      </c>
      <c r="M149" s="124" t="s">
        <v>3523</v>
      </c>
      <c r="N149" s="124" t="s">
        <v>3524</v>
      </c>
      <c r="O149" s="124" t="s">
        <v>3525</v>
      </c>
      <c r="P149" s="124">
        <v>2011.0</v>
      </c>
      <c r="Q149" s="124" t="s">
        <v>3526</v>
      </c>
      <c r="R149" s="127" t="str">
        <f>HYPERLINK("http://papers.ssrn.com/sol3/papers.cfm?abstract_id=1319881","http://papers.ssrn.com/sol3/papers.cfm?abstract_id=1319881")</f>
        <v>http://papers.ssrn.com/sol3/papers.cfm?abstract_id=1319881</v>
      </c>
      <c r="S149" s="123"/>
      <c r="T149" s="123"/>
      <c r="U149" s="123"/>
      <c r="V149" s="123"/>
      <c r="W149" s="123"/>
      <c r="X149" s="123"/>
      <c r="Y149" s="123"/>
      <c r="Z149" s="123"/>
      <c r="AA149" s="123"/>
      <c r="AB149" s="123"/>
      <c r="AC149" s="123"/>
      <c r="AD149" s="123"/>
      <c r="AE149" s="123"/>
      <c r="AF149" s="123"/>
      <c r="AG149" s="123"/>
      <c r="AH149" s="123"/>
      <c r="AI149" s="123"/>
      <c r="AJ149" s="123"/>
    </row>
    <row r="150" ht="15.75" customHeight="1">
      <c r="A150" s="123">
        <v>150.0</v>
      </c>
      <c r="B150" s="124" t="s">
        <v>1230</v>
      </c>
      <c r="C150" s="124" t="s">
        <v>106</v>
      </c>
      <c r="D150" s="124" t="s">
        <v>173</v>
      </c>
      <c r="E150" s="124" t="s">
        <v>4714</v>
      </c>
      <c r="F150" s="125"/>
      <c r="G150" s="124" t="s">
        <v>224</v>
      </c>
      <c r="H150" s="124" t="s">
        <v>2293</v>
      </c>
      <c r="I150" s="125">
        <v>23000.0</v>
      </c>
      <c r="J150" s="123"/>
      <c r="K150" s="124" t="s">
        <v>289</v>
      </c>
      <c r="L150" s="125">
        <v>40.0</v>
      </c>
      <c r="M150" s="124" t="s">
        <v>5099</v>
      </c>
      <c r="N150" s="124" t="s">
        <v>5100</v>
      </c>
      <c r="O150" s="124" t="s">
        <v>5101</v>
      </c>
      <c r="P150" s="124">
        <v>2012.0</v>
      </c>
      <c r="Q150" s="124" t="s">
        <v>5103</v>
      </c>
      <c r="R150" s="127" t="str">
        <f>HYPERLINK("https://www.fws.gov/uploadedFiles/myer_thesis_2012.pdf","https://www.fws.gov/uploadedFiles/myer_thesis_2012.pdf")</f>
        <v>https://www.fws.gov/uploadedFiles/myer_thesis_2012.pdf</v>
      </c>
      <c r="S150" s="123"/>
      <c r="T150" s="123"/>
      <c r="U150" s="123"/>
      <c r="V150" s="123"/>
      <c r="W150" s="123"/>
      <c r="X150" s="123"/>
      <c r="Y150" s="123"/>
      <c r="Z150" s="123"/>
      <c r="AA150" s="123"/>
      <c r="AB150" s="123"/>
      <c r="AC150" s="123"/>
      <c r="AD150" s="123"/>
      <c r="AE150" s="123"/>
      <c r="AF150" s="123"/>
      <c r="AG150" s="123"/>
      <c r="AH150" s="123"/>
      <c r="AI150" s="123"/>
      <c r="AJ150" s="123"/>
    </row>
    <row r="151" ht="15.75" customHeight="1">
      <c r="A151" s="123">
        <v>151.0</v>
      </c>
      <c r="B151" s="124" t="s">
        <v>1230</v>
      </c>
      <c r="C151" s="124" t="s">
        <v>106</v>
      </c>
      <c r="D151" s="124" t="s">
        <v>173</v>
      </c>
      <c r="E151" s="124" t="s">
        <v>5113</v>
      </c>
      <c r="F151" s="125"/>
      <c r="G151" s="124" t="s">
        <v>224</v>
      </c>
      <c r="H151" s="124" t="s">
        <v>4215</v>
      </c>
      <c r="I151" s="125" t="s">
        <v>1065</v>
      </c>
      <c r="J151" s="123"/>
      <c r="K151" s="124" t="s">
        <v>289</v>
      </c>
      <c r="L151" s="125">
        <v>40.0</v>
      </c>
      <c r="M151" s="124" t="s">
        <v>4926</v>
      </c>
      <c r="N151" s="124" t="s">
        <v>4927</v>
      </c>
      <c r="O151" s="124" t="s">
        <v>4928</v>
      </c>
      <c r="P151" s="124">
        <v>2006.0</v>
      </c>
      <c r="Q151" s="124" t="s">
        <v>4929</v>
      </c>
      <c r="R151" s="123" t="s">
        <v>4930</v>
      </c>
      <c r="S151" s="123"/>
      <c r="T151" s="123"/>
      <c r="U151" s="123"/>
      <c r="V151" s="123"/>
      <c r="W151" s="123"/>
      <c r="X151" s="123"/>
      <c r="Y151" s="123"/>
      <c r="Z151" s="123"/>
      <c r="AA151" s="123"/>
      <c r="AB151" s="123"/>
      <c r="AC151" s="123"/>
      <c r="AD151" s="123"/>
      <c r="AE151" s="123"/>
      <c r="AF151" s="123"/>
      <c r="AG151" s="123"/>
      <c r="AH151" s="123"/>
      <c r="AI151" s="123"/>
      <c r="AJ151" s="123"/>
    </row>
    <row r="152" ht="15.75" customHeight="1">
      <c r="A152" s="123">
        <v>152.0</v>
      </c>
      <c r="B152" s="124" t="s">
        <v>1230</v>
      </c>
      <c r="C152" s="124" t="s">
        <v>106</v>
      </c>
      <c r="D152" s="124" t="s">
        <v>173</v>
      </c>
      <c r="E152" s="124" t="s">
        <v>5115</v>
      </c>
      <c r="F152" s="125"/>
      <c r="G152" s="124" t="s">
        <v>224</v>
      </c>
      <c r="H152" s="124" t="s">
        <v>578</v>
      </c>
      <c r="I152" s="125">
        <v>2000.0</v>
      </c>
      <c r="J152" s="123"/>
      <c r="K152" s="124" t="s">
        <v>289</v>
      </c>
      <c r="L152" s="125">
        <v>40.0</v>
      </c>
      <c r="M152" s="124" t="s">
        <v>2203</v>
      </c>
      <c r="N152" s="124" t="s">
        <v>2204</v>
      </c>
      <c r="O152" s="124" t="s">
        <v>2206</v>
      </c>
      <c r="P152" s="124">
        <v>2011.0</v>
      </c>
      <c r="Q152" s="124" t="s">
        <v>2209</v>
      </c>
      <c r="R152" s="123"/>
      <c r="S152" s="123"/>
      <c r="T152" s="123"/>
      <c r="U152" s="123"/>
      <c r="V152" s="123"/>
      <c r="W152" s="123"/>
      <c r="X152" s="123"/>
      <c r="Y152" s="123"/>
      <c r="Z152" s="123"/>
      <c r="AA152" s="123"/>
      <c r="AB152" s="123"/>
      <c r="AC152" s="123"/>
      <c r="AD152" s="123"/>
      <c r="AE152" s="123"/>
      <c r="AF152" s="123"/>
      <c r="AG152" s="123"/>
      <c r="AH152" s="123"/>
      <c r="AI152" s="123"/>
      <c r="AJ152" s="123"/>
    </row>
    <row r="153" ht="15.75" customHeight="1">
      <c r="A153" s="123">
        <v>155.0</v>
      </c>
      <c r="B153" s="124" t="s">
        <v>1230</v>
      </c>
      <c r="C153" s="124" t="s">
        <v>106</v>
      </c>
      <c r="D153" s="124" t="s">
        <v>4032</v>
      </c>
      <c r="E153" s="124" t="s">
        <v>5116</v>
      </c>
      <c r="F153" s="125"/>
      <c r="G153" s="124" t="s">
        <v>4436</v>
      </c>
      <c r="H153" s="124" t="s">
        <v>388</v>
      </c>
      <c r="I153" s="125">
        <v>14000.0</v>
      </c>
      <c r="J153" s="123"/>
      <c r="K153" s="124" t="s">
        <v>1106</v>
      </c>
      <c r="L153" s="125" t="s">
        <v>1107</v>
      </c>
      <c r="M153" s="124" t="s">
        <v>4439</v>
      </c>
      <c r="N153" s="124" t="s">
        <v>4441</v>
      </c>
      <c r="O153" s="124" t="s">
        <v>4442</v>
      </c>
      <c r="P153" s="124">
        <v>2014.0</v>
      </c>
      <c r="Q153" s="124" t="s">
        <v>4445</v>
      </c>
      <c r="R153" s="123" t="s">
        <v>4446</v>
      </c>
      <c r="S153" s="123" t="s">
        <v>2925</v>
      </c>
      <c r="T153" s="123" t="s">
        <v>769</v>
      </c>
      <c r="U153" s="123" t="s">
        <v>769</v>
      </c>
      <c r="V153" s="123" t="s">
        <v>1594</v>
      </c>
      <c r="W153" s="123"/>
      <c r="X153" s="123"/>
      <c r="Y153" s="123"/>
      <c r="Z153" s="123"/>
      <c r="AA153" s="123"/>
      <c r="AB153" s="123"/>
      <c r="AC153" s="123"/>
      <c r="AD153" s="123"/>
      <c r="AE153" s="123"/>
      <c r="AF153" s="123"/>
      <c r="AG153" s="123"/>
      <c r="AH153" s="123"/>
      <c r="AI153" s="123"/>
      <c r="AJ153" s="123"/>
    </row>
    <row r="154" ht="15.75" customHeight="1">
      <c r="A154" s="123">
        <v>156.0</v>
      </c>
      <c r="B154" s="124" t="s">
        <v>1230</v>
      </c>
      <c r="C154" s="124" t="s">
        <v>106</v>
      </c>
      <c r="D154" s="124" t="s">
        <v>173</v>
      </c>
      <c r="E154" s="124" t="s">
        <v>5121</v>
      </c>
      <c r="F154" s="125"/>
      <c r="G154" s="124" t="s">
        <v>224</v>
      </c>
      <c r="H154" s="130" t="s">
        <v>1001</v>
      </c>
      <c r="I154" s="125">
        <v>21000.0</v>
      </c>
      <c r="J154" s="123"/>
      <c r="K154" s="124" t="s">
        <v>289</v>
      </c>
      <c r="L154" s="125">
        <v>40.0</v>
      </c>
      <c r="M154" s="124" t="s">
        <v>1002</v>
      </c>
      <c r="N154" s="124" t="s">
        <v>1003</v>
      </c>
      <c r="O154" s="124" t="s">
        <v>1004</v>
      </c>
      <c r="P154" s="124">
        <v>2004.0</v>
      </c>
      <c r="Q154" s="124" t="s">
        <v>1005</v>
      </c>
      <c r="R154" s="123"/>
      <c r="S154" s="123"/>
      <c r="T154" s="123"/>
      <c r="U154" s="123"/>
      <c r="V154" s="123"/>
      <c r="W154" s="123"/>
      <c r="X154" s="123"/>
      <c r="Y154" s="123"/>
      <c r="Z154" s="123"/>
      <c r="AA154" s="123"/>
      <c r="AB154" s="123"/>
      <c r="AC154" s="123"/>
      <c r="AD154" s="123"/>
      <c r="AE154" s="123"/>
      <c r="AF154" s="123"/>
      <c r="AG154" s="123"/>
      <c r="AH154" s="123"/>
      <c r="AI154" s="123"/>
      <c r="AJ154" s="123"/>
    </row>
    <row r="155" ht="15.75" customHeight="1">
      <c r="A155" s="123">
        <v>157.0</v>
      </c>
      <c r="B155" s="124" t="s">
        <v>1230</v>
      </c>
      <c r="C155" s="124" t="s">
        <v>106</v>
      </c>
      <c r="D155" s="124" t="s">
        <v>173</v>
      </c>
      <c r="E155" s="124" t="s">
        <v>5123</v>
      </c>
      <c r="F155" s="125"/>
      <c r="G155" s="124" t="s">
        <v>224</v>
      </c>
      <c r="H155" s="124" t="s">
        <v>1223</v>
      </c>
      <c r="I155" s="125">
        <v>3000.0</v>
      </c>
      <c r="J155" s="123"/>
      <c r="K155" s="124" t="s">
        <v>289</v>
      </c>
      <c r="L155" s="125">
        <v>40.0</v>
      </c>
      <c r="M155" s="124" t="s">
        <v>5125</v>
      </c>
      <c r="N155" s="124" t="s">
        <v>5126</v>
      </c>
      <c r="O155" s="124" t="s">
        <v>3953</v>
      </c>
      <c r="P155" s="124">
        <v>2010.0</v>
      </c>
      <c r="Q155" s="124" t="s">
        <v>5127</v>
      </c>
      <c r="R155" s="123"/>
      <c r="S155" s="123"/>
      <c r="T155" s="123"/>
      <c r="U155" s="123"/>
      <c r="V155" s="123"/>
      <c r="W155" s="123"/>
      <c r="X155" s="123"/>
      <c r="Y155" s="123"/>
      <c r="Z155" s="123"/>
      <c r="AA155" s="123"/>
      <c r="AB155" s="123"/>
      <c r="AC155" s="123"/>
      <c r="AD155" s="123"/>
      <c r="AE155" s="123"/>
      <c r="AF155" s="123"/>
      <c r="AG155" s="123"/>
      <c r="AH155" s="123"/>
      <c r="AI155" s="123"/>
      <c r="AJ155" s="123"/>
    </row>
    <row r="156" ht="15.75" customHeight="1">
      <c r="A156" s="123">
        <v>158.0</v>
      </c>
      <c r="B156" s="124" t="s">
        <v>1230</v>
      </c>
      <c r="C156" s="124" t="s">
        <v>106</v>
      </c>
      <c r="D156" s="124" t="s">
        <v>173</v>
      </c>
      <c r="E156" s="124" t="s">
        <v>5123</v>
      </c>
      <c r="F156" s="125"/>
      <c r="G156" s="124" t="s">
        <v>224</v>
      </c>
      <c r="H156" s="124" t="s">
        <v>3148</v>
      </c>
      <c r="I156" s="125">
        <v>3000.0</v>
      </c>
      <c r="J156" s="123"/>
      <c r="K156" s="124" t="s">
        <v>289</v>
      </c>
      <c r="L156" s="125">
        <v>40.0</v>
      </c>
      <c r="M156" s="124" t="s">
        <v>3149</v>
      </c>
      <c r="N156" s="124" t="s">
        <v>3150</v>
      </c>
      <c r="O156" s="124" t="s">
        <v>3123</v>
      </c>
      <c r="P156" s="124">
        <v>2013.0</v>
      </c>
      <c r="Q156" s="124" t="s">
        <v>3152</v>
      </c>
      <c r="R156" s="127" t="str">
        <f>HYPERLINK("http://www.sciencedirect.com/science/article/pii/S0301421513000281%C2%A0%E2%80%A6","http://www.sciencedirect.com/science/article/pii/S0301421513000281 …")</f>
        <v>http://www.sciencedirect.com/science/article/pii/S0301421513000281 …</v>
      </c>
      <c r="S156" s="123"/>
      <c r="T156" s="123" t="s">
        <v>462</v>
      </c>
      <c r="U156" s="123" t="s">
        <v>462</v>
      </c>
      <c r="V156" s="123"/>
      <c r="W156" s="123" t="s">
        <v>3156</v>
      </c>
      <c r="X156" s="123" t="s">
        <v>428</v>
      </c>
      <c r="Y156" s="123" t="s">
        <v>3157</v>
      </c>
      <c r="Z156" s="129">
        <v>41983.0</v>
      </c>
      <c r="AA156" s="129"/>
      <c r="AB156" s="129">
        <v>42542.0</v>
      </c>
      <c r="AC156" s="129" t="s">
        <v>769</v>
      </c>
      <c r="AD156" s="129">
        <v>42473.0</v>
      </c>
      <c r="AE156" s="123"/>
      <c r="AF156" s="129"/>
      <c r="AG156" s="123"/>
      <c r="AH156" s="123"/>
      <c r="AI156" s="123"/>
      <c r="AJ156" s="123"/>
    </row>
    <row r="157" ht="15.75" customHeight="1">
      <c r="A157" s="123">
        <v>159.0</v>
      </c>
      <c r="B157" s="124" t="s">
        <v>1230</v>
      </c>
      <c r="C157" s="124" t="s">
        <v>106</v>
      </c>
      <c r="D157" s="124" t="s">
        <v>173</v>
      </c>
      <c r="E157" s="124" t="s">
        <v>5123</v>
      </c>
      <c r="F157" s="125"/>
      <c r="G157" s="124" t="s">
        <v>224</v>
      </c>
      <c r="H157" s="124" t="s">
        <v>5132</v>
      </c>
      <c r="I157" s="125" t="s">
        <v>5133</v>
      </c>
      <c r="J157" s="123"/>
      <c r="K157" s="124" t="s">
        <v>289</v>
      </c>
      <c r="L157" s="125">
        <v>40.0</v>
      </c>
      <c r="M157" s="124" t="s">
        <v>5134</v>
      </c>
      <c r="N157" s="124" t="s">
        <v>5135</v>
      </c>
      <c r="O157" s="124" t="s">
        <v>1592</v>
      </c>
      <c r="P157" s="124">
        <v>2013.0</v>
      </c>
      <c r="Q157" s="124" t="s">
        <v>610</v>
      </c>
      <c r="R157" s="123"/>
      <c r="S157" s="123"/>
      <c r="T157" s="123"/>
      <c r="U157" s="123"/>
      <c r="V157" s="123"/>
      <c r="W157" s="123"/>
      <c r="X157" s="123"/>
      <c r="Y157" s="123"/>
      <c r="Z157" s="123"/>
      <c r="AA157" s="123"/>
      <c r="AB157" s="123"/>
      <c r="AC157" s="123"/>
      <c r="AD157" s="123"/>
      <c r="AE157" s="123"/>
      <c r="AF157" s="123"/>
      <c r="AG157" s="123"/>
      <c r="AH157" s="123"/>
      <c r="AI157" s="123"/>
      <c r="AJ157" s="123"/>
    </row>
    <row r="158" ht="15.75" customHeight="1">
      <c r="A158" s="123">
        <v>160.0</v>
      </c>
      <c r="B158" s="124" t="s">
        <v>1230</v>
      </c>
      <c r="C158" s="124" t="s">
        <v>106</v>
      </c>
      <c r="D158" s="124" t="s">
        <v>173</v>
      </c>
      <c r="E158" s="124" t="s">
        <v>5123</v>
      </c>
      <c r="F158" s="125"/>
      <c r="G158" s="124" t="s">
        <v>224</v>
      </c>
      <c r="H158" s="124" t="s">
        <v>1114</v>
      </c>
      <c r="I158" s="125">
        <v>2000.0</v>
      </c>
      <c r="J158" s="123"/>
      <c r="K158" s="124" t="s">
        <v>289</v>
      </c>
      <c r="L158" s="125">
        <v>40.0</v>
      </c>
      <c r="M158" s="124" t="s">
        <v>5137</v>
      </c>
      <c r="N158" s="124" t="s">
        <v>5138</v>
      </c>
      <c r="O158" s="124" t="s">
        <v>3953</v>
      </c>
      <c r="P158" s="124">
        <v>2009.0</v>
      </c>
      <c r="Q158" s="124" t="s">
        <v>5139</v>
      </c>
      <c r="R158" s="123"/>
      <c r="S158" s="123"/>
      <c r="T158" s="123"/>
      <c r="U158" s="123"/>
      <c r="V158" s="123"/>
      <c r="W158" s="123"/>
      <c r="X158" s="123"/>
      <c r="Y158" s="123"/>
      <c r="Z158" s="123"/>
      <c r="AA158" s="123"/>
      <c r="AB158" s="123"/>
      <c r="AC158" s="123"/>
      <c r="AD158" s="123"/>
      <c r="AE158" s="123"/>
      <c r="AF158" s="123"/>
      <c r="AG158" s="123"/>
      <c r="AH158" s="123"/>
      <c r="AI158" s="123"/>
      <c r="AJ158" s="123"/>
    </row>
    <row r="159" ht="15.75" customHeight="1">
      <c r="A159" s="123">
        <v>161.0</v>
      </c>
      <c r="B159" s="124" t="s">
        <v>1230</v>
      </c>
      <c r="C159" s="124" t="s">
        <v>106</v>
      </c>
      <c r="D159" s="124" t="s">
        <v>173</v>
      </c>
      <c r="E159" s="124" t="s">
        <v>5123</v>
      </c>
      <c r="F159" s="125"/>
      <c r="G159" s="124" t="s">
        <v>224</v>
      </c>
      <c r="H159" s="124" t="s">
        <v>798</v>
      </c>
      <c r="I159" s="125" t="s">
        <v>3606</v>
      </c>
      <c r="J159" s="123"/>
      <c r="K159" s="124" t="s">
        <v>289</v>
      </c>
      <c r="L159" s="125">
        <v>40.0</v>
      </c>
      <c r="M159" s="124" t="s">
        <v>3607</v>
      </c>
      <c r="N159" s="124" t="s">
        <v>3608</v>
      </c>
      <c r="O159" s="124" t="s">
        <v>3609</v>
      </c>
      <c r="P159" s="124">
        <v>2012.0</v>
      </c>
      <c r="Q159" s="124" t="s">
        <v>3611</v>
      </c>
      <c r="R159" s="123"/>
      <c r="S159" s="123"/>
      <c r="T159" s="123"/>
      <c r="U159" s="123"/>
      <c r="V159" s="123"/>
      <c r="W159" s="123"/>
      <c r="X159" s="123"/>
      <c r="Y159" s="123"/>
      <c r="Z159" s="123"/>
      <c r="AA159" s="123"/>
      <c r="AB159" s="123"/>
      <c r="AC159" s="123"/>
      <c r="AD159" s="123"/>
      <c r="AE159" s="123"/>
      <c r="AF159" s="123"/>
      <c r="AG159" s="123"/>
      <c r="AH159" s="123"/>
      <c r="AI159" s="123"/>
      <c r="AJ159" s="123"/>
    </row>
    <row r="160" ht="15.75" customHeight="1">
      <c r="A160" s="123">
        <v>162.0</v>
      </c>
      <c r="B160" s="124" t="s">
        <v>1230</v>
      </c>
      <c r="C160" s="124" t="s">
        <v>106</v>
      </c>
      <c r="D160" s="124" t="s">
        <v>173</v>
      </c>
      <c r="E160" s="124" t="s">
        <v>5123</v>
      </c>
      <c r="F160" s="125"/>
      <c r="G160" s="124" t="s">
        <v>224</v>
      </c>
      <c r="H160" s="124" t="s">
        <v>5147</v>
      </c>
      <c r="I160" s="125" t="s">
        <v>5148</v>
      </c>
      <c r="J160" s="123"/>
      <c r="K160" s="124" t="s">
        <v>289</v>
      </c>
      <c r="L160" s="125">
        <v>40.0</v>
      </c>
      <c r="M160" s="124" t="s">
        <v>5149</v>
      </c>
      <c r="N160" s="124" t="s">
        <v>5151</v>
      </c>
      <c r="O160" s="124" t="s">
        <v>5152</v>
      </c>
      <c r="P160" s="124">
        <v>2013.0</v>
      </c>
      <c r="Q160" s="124" t="s">
        <v>5154</v>
      </c>
      <c r="R160" s="123"/>
      <c r="S160" s="123"/>
      <c r="T160" s="123"/>
      <c r="U160" s="123"/>
      <c r="V160" s="123"/>
      <c r="W160" s="123"/>
      <c r="X160" s="123"/>
      <c r="Y160" s="123"/>
      <c r="Z160" s="123"/>
      <c r="AA160" s="123"/>
      <c r="AB160" s="123"/>
      <c r="AC160" s="123"/>
      <c r="AD160" s="123"/>
      <c r="AE160" s="123"/>
      <c r="AF160" s="123"/>
      <c r="AG160" s="123"/>
      <c r="AH160" s="123"/>
      <c r="AI160" s="123"/>
      <c r="AJ160" s="123"/>
    </row>
    <row r="161" ht="15.75" customHeight="1">
      <c r="A161" s="123">
        <v>163.0</v>
      </c>
      <c r="B161" s="124" t="s">
        <v>1230</v>
      </c>
      <c r="C161" s="124" t="s">
        <v>106</v>
      </c>
      <c r="D161" s="124" t="s">
        <v>173</v>
      </c>
      <c r="E161" s="124" t="s">
        <v>1736</v>
      </c>
      <c r="F161" s="125"/>
      <c r="G161" s="124" t="s">
        <v>224</v>
      </c>
      <c r="H161" s="124" t="s">
        <v>837</v>
      </c>
      <c r="I161" s="125">
        <v>2000.0</v>
      </c>
      <c r="J161" s="123"/>
      <c r="K161" s="124" t="s">
        <v>298</v>
      </c>
      <c r="L161" s="125">
        <v>44.0</v>
      </c>
      <c r="M161" s="124" t="s">
        <v>5130</v>
      </c>
      <c r="N161" s="124" t="s">
        <v>5131</v>
      </c>
      <c r="O161" s="124" t="s">
        <v>3992</v>
      </c>
      <c r="P161" s="124">
        <v>2001.0</v>
      </c>
      <c r="Q161" s="124" t="s">
        <v>5136</v>
      </c>
      <c r="R161" s="127" t="str">
        <f>HYPERLINK("http://www.sciencedirect.com/science/article/pii/S0272494400901907","http://www.sciencedirect.com/science/article/pii/S0272494400901907")</f>
        <v>http://www.sciencedirect.com/science/article/pii/S0272494400901907</v>
      </c>
      <c r="S161" s="123"/>
      <c r="T161" s="123" t="s">
        <v>462</v>
      </c>
      <c r="U161" s="123" t="s">
        <v>462</v>
      </c>
      <c r="V161" s="123"/>
      <c r="W161" s="123"/>
      <c r="X161" s="123" t="s">
        <v>677</v>
      </c>
      <c r="Y161" s="123"/>
      <c r="Z161" s="123"/>
      <c r="AA161" s="123"/>
      <c r="AB161" s="129"/>
      <c r="AC161" s="123"/>
      <c r="AD161" s="123"/>
      <c r="AE161" s="123"/>
      <c r="AF161" s="129"/>
      <c r="AG161" s="123"/>
      <c r="AH161" s="123"/>
      <c r="AI161" s="123"/>
      <c r="AJ161" s="123"/>
    </row>
    <row r="162" ht="15.75" customHeight="1">
      <c r="A162" s="123">
        <v>164.0</v>
      </c>
      <c r="B162" s="124" t="s">
        <v>1230</v>
      </c>
      <c r="C162" s="124" t="s">
        <v>106</v>
      </c>
      <c r="D162" s="124" t="s">
        <v>173</v>
      </c>
      <c r="E162" s="124" t="s">
        <v>1771</v>
      </c>
      <c r="F162" s="125"/>
      <c r="G162" s="124" t="s">
        <v>224</v>
      </c>
      <c r="H162" s="124" t="s">
        <v>526</v>
      </c>
      <c r="I162" s="125">
        <v>20000.0</v>
      </c>
      <c r="J162" s="123"/>
      <c r="K162" s="124" t="s">
        <v>111</v>
      </c>
      <c r="L162" s="125">
        <v>41.0</v>
      </c>
      <c r="M162" s="124" t="s">
        <v>5150</v>
      </c>
      <c r="N162" s="124" t="s">
        <v>5153</v>
      </c>
      <c r="O162" s="124" t="s">
        <v>3992</v>
      </c>
      <c r="P162" s="124">
        <v>2012.0</v>
      </c>
      <c r="Q162" s="124" t="s">
        <v>5155</v>
      </c>
      <c r="R162" s="123"/>
      <c r="S162" s="123"/>
      <c r="T162" s="123" t="s">
        <v>462</v>
      </c>
      <c r="U162" s="123" t="s">
        <v>462</v>
      </c>
      <c r="V162" s="123"/>
      <c r="W162" s="123"/>
      <c r="X162" s="123"/>
      <c r="Y162" s="123"/>
      <c r="Z162" s="123"/>
      <c r="AA162" s="123"/>
      <c r="AB162" s="123"/>
      <c r="AC162" s="123"/>
      <c r="AD162" s="123"/>
      <c r="AE162" s="123"/>
      <c r="AF162" s="123"/>
      <c r="AG162" s="123"/>
      <c r="AH162" s="123"/>
      <c r="AI162" s="123"/>
      <c r="AJ162" s="123"/>
    </row>
    <row r="163" ht="15.75" customHeight="1">
      <c r="A163" s="123">
        <v>165.0</v>
      </c>
      <c r="B163" s="124" t="s">
        <v>1230</v>
      </c>
      <c r="C163" s="124" t="s">
        <v>106</v>
      </c>
      <c r="D163" s="124" t="s">
        <v>4032</v>
      </c>
      <c r="E163" s="124" t="s">
        <v>5179</v>
      </c>
      <c r="F163" s="125"/>
      <c r="G163" s="124" t="s">
        <v>224</v>
      </c>
      <c r="H163" s="124" t="s">
        <v>644</v>
      </c>
      <c r="I163" s="125">
        <v>2000.0</v>
      </c>
      <c r="J163" s="123"/>
      <c r="K163" s="124" t="s">
        <v>289</v>
      </c>
      <c r="L163" s="125">
        <v>40.0</v>
      </c>
      <c r="M163" s="124" t="s">
        <v>5180</v>
      </c>
      <c r="N163" s="124" t="s">
        <v>5181</v>
      </c>
      <c r="O163" s="124" t="s">
        <v>4035</v>
      </c>
      <c r="P163" s="124">
        <v>2012.0</v>
      </c>
      <c r="Q163" s="137" t="s">
        <v>5183</v>
      </c>
      <c r="R163" s="127" t="str">
        <f>HYPERLINK("http://www.nature.com/nclimate/journal/v2/n4/full/nclimate1378.htmlhttps:/www.dropbox.com/home/Root%20Solutions/Ayana/Mindfulness%20and%20Global%20Warming?preview=Climate+Change+and+Moral+Judgement.pdf","http://www.nature.com/nclimate/journal/v2/n4/full/nclimate1378.htmlhttps://www.dropbox.com/home/Root%20Solutions/Ayana/Mindfulness%20and%20Global%20Warming?preview=Climate+Change+and+Moral+Judgement.pdf")</f>
        <v>http://www.nature.com/nclimate/journal/v2/n4/full/nclimate1378.htmlhttps://www.dropbox.com/home/Root%20Solutions/Ayana/Mindfulness%20and%20Global%20Warming?preview=Climate+Change+and+Moral+Judgement.pdf</v>
      </c>
      <c r="S163" s="123" t="s">
        <v>5192</v>
      </c>
      <c r="T163" s="123" t="s">
        <v>462</v>
      </c>
      <c r="U163" s="123" t="s">
        <v>769</v>
      </c>
      <c r="V163" s="123"/>
      <c r="W163" s="123"/>
      <c r="X163" s="123" t="s">
        <v>530</v>
      </c>
      <c r="Y163" s="123"/>
      <c r="Z163" s="123"/>
      <c r="AA163" s="123"/>
      <c r="AB163" s="123"/>
      <c r="AC163" s="123"/>
      <c r="AD163" s="123"/>
      <c r="AE163" s="123"/>
      <c r="AF163" s="123"/>
      <c r="AG163" s="123"/>
      <c r="AH163" s="123"/>
      <c r="AI163" s="123"/>
      <c r="AJ163" s="123"/>
    </row>
    <row r="164" ht="15.75" customHeight="1">
      <c r="A164" s="123">
        <v>166.0</v>
      </c>
      <c r="B164" s="124" t="s">
        <v>1230</v>
      </c>
      <c r="C164" s="124" t="s">
        <v>106</v>
      </c>
      <c r="D164" s="124" t="s">
        <v>4032</v>
      </c>
      <c r="E164" s="124" t="s">
        <v>429</v>
      </c>
      <c r="F164" s="125">
        <v>2.0</v>
      </c>
      <c r="G164" s="124" t="s">
        <v>524</v>
      </c>
      <c r="H164" s="124" t="s">
        <v>4331</v>
      </c>
      <c r="I164" s="125" t="s">
        <v>4329</v>
      </c>
      <c r="J164" s="123"/>
      <c r="K164" s="124" t="s">
        <v>289</v>
      </c>
      <c r="L164" s="125">
        <v>40.0</v>
      </c>
      <c r="M164" s="124" t="s">
        <v>4332</v>
      </c>
      <c r="N164" s="124" t="s">
        <v>4333</v>
      </c>
      <c r="O164" s="124" t="s">
        <v>4334</v>
      </c>
      <c r="P164" s="124">
        <v>2014.0</v>
      </c>
      <c r="Q164" s="124" t="s">
        <v>4341</v>
      </c>
      <c r="R164" s="123" t="s">
        <v>4343</v>
      </c>
      <c r="S164" s="123"/>
      <c r="T164" s="123" t="s">
        <v>428</v>
      </c>
      <c r="U164" s="123" t="s">
        <v>462</v>
      </c>
      <c r="V164" s="123"/>
      <c r="W164" s="123"/>
      <c r="X164" s="123"/>
      <c r="Y164" s="123"/>
      <c r="Z164" s="123"/>
      <c r="AA164" s="123"/>
      <c r="AB164" s="123"/>
      <c r="AC164" s="123"/>
      <c r="AD164" s="123"/>
      <c r="AE164" s="123"/>
      <c r="AF164" s="123"/>
      <c r="AG164" s="123"/>
      <c r="AH164" s="123"/>
      <c r="AI164" s="123"/>
      <c r="AJ164" s="123"/>
    </row>
    <row r="165" ht="15.75" customHeight="1">
      <c r="A165" s="123">
        <v>167.0</v>
      </c>
      <c r="B165" s="124" t="s">
        <v>1230</v>
      </c>
      <c r="C165" s="124" t="s">
        <v>106</v>
      </c>
      <c r="D165" s="124" t="s">
        <v>64</v>
      </c>
      <c r="E165" s="124" t="s">
        <v>429</v>
      </c>
      <c r="F165" s="125">
        <v>2.0</v>
      </c>
      <c r="G165" s="124" t="s">
        <v>5196</v>
      </c>
      <c r="H165" s="124" t="s">
        <v>169</v>
      </c>
      <c r="I165" s="125">
        <v>20000.0</v>
      </c>
      <c r="J165" s="123"/>
      <c r="K165" s="124" t="s">
        <v>289</v>
      </c>
      <c r="L165" s="125">
        <v>40.0</v>
      </c>
      <c r="M165" s="124" t="s">
        <v>5197</v>
      </c>
      <c r="N165" s="124" t="s">
        <v>5198</v>
      </c>
      <c r="O165" s="124" t="s">
        <v>5200</v>
      </c>
      <c r="P165" s="124">
        <v>1980.0</v>
      </c>
      <c r="Q165" s="124" t="s">
        <v>5203</v>
      </c>
      <c r="R165" s="123" t="s">
        <v>5204</v>
      </c>
      <c r="S165" s="123"/>
      <c r="T165" s="123" t="s">
        <v>926</v>
      </c>
      <c r="U165" s="123" t="s">
        <v>462</v>
      </c>
      <c r="V165" s="123"/>
      <c r="W165" s="123"/>
      <c r="X165" s="123"/>
      <c r="Y165" s="123"/>
      <c r="Z165" s="123"/>
      <c r="AA165" s="123"/>
      <c r="AB165" s="123"/>
      <c r="AC165" s="123"/>
      <c r="AD165" s="123"/>
      <c r="AE165" s="123"/>
      <c r="AF165" s="123"/>
      <c r="AG165" s="123"/>
      <c r="AH165" s="123"/>
      <c r="AI165" s="123"/>
      <c r="AJ165" s="123" t="s">
        <v>5205</v>
      </c>
    </row>
    <row r="166" ht="15.75" customHeight="1">
      <c r="A166" s="123">
        <v>168.0</v>
      </c>
      <c r="B166" s="124" t="s">
        <v>1230</v>
      </c>
      <c r="C166" s="124" t="s">
        <v>106</v>
      </c>
      <c r="D166" s="124" t="s">
        <v>64</v>
      </c>
      <c r="E166" s="124" t="s">
        <v>429</v>
      </c>
      <c r="F166" s="125">
        <v>2.0</v>
      </c>
      <c r="G166" s="124" t="s">
        <v>1365</v>
      </c>
      <c r="H166" s="124" t="s">
        <v>918</v>
      </c>
      <c r="I166" s="125">
        <v>10000.0</v>
      </c>
      <c r="J166" s="123"/>
      <c r="K166" s="124" t="s">
        <v>289</v>
      </c>
      <c r="L166" s="125">
        <v>40.0</v>
      </c>
      <c r="M166" s="124" t="s">
        <v>1367</v>
      </c>
      <c r="N166" s="124" t="s">
        <v>1368</v>
      </c>
      <c r="O166" s="124" t="s">
        <v>1369</v>
      </c>
      <c r="P166" s="124">
        <v>2012.0</v>
      </c>
      <c r="Q166" s="124" t="s">
        <v>610</v>
      </c>
      <c r="R166" s="127" t="str">
        <f>HYPERLINK("http://smarterlunchrooms.org/SoftChalk_Lessons/NC_Module03/85225017-Smarter-Lunchrooms-Choices-2010.pdf","http://smarterlunchrooms.org/SoftChalk_Lessons/NC_Module03/85225017-Smarter-Lunchrooms-Choices-2010.pdf")</f>
        <v>http://smarterlunchrooms.org/SoftChalk_Lessons/NC_Module03/85225017-Smarter-Lunchrooms-Choices-2010.pdf</v>
      </c>
      <c r="S166" s="123"/>
      <c r="T166" s="123" t="s">
        <v>462</v>
      </c>
      <c r="U166" s="123" t="s">
        <v>462</v>
      </c>
      <c r="V166" s="123"/>
      <c r="W166" s="123"/>
      <c r="X166" s="123"/>
      <c r="Y166" s="123"/>
      <c r="Z166" s="123"/>
      <c r="AA166" s="123"/>
      <c r="AB166" s="123"/>
      <c r="AC166" s="123"/>
      <c r="AD166" s="123"/>
      <c r="AE166" s="123"/>
      <c r="AF166" s="123"/>
      <c r="AG166" s="123"/>
      <c r="AH166" s="123"/>
      <c r="AI166" s="123"/>
      <c r="AJ166" s="123" t="s">
        <v>1382</v>
      </c>
    </row>
    <row r="167" ht="15.75" customHeight="1">
      <c r="A167" s="123">
        <v>169.0</v>
      </c>
      <c r="B167" s="124" t="s">
        <v>1230</v>
      </c>
      <c r="C167" s="124" t="s">
        <v>106</v>
      </c>
      <c r="D167" s="124" t="s">
        <v>64</v>
      </c>
      <c r="E167" s="124" t="s">
        <v>429</v>
      </c>
      <c r="F167" s="125">
        <v>2.0</v>
      </c>
      <c r="G167" s="124" t="s">
        <v>2943</v>
      </c>
      <c r="H167" s="124" t="s">
        <v>445</v>
      </c>
      <c r="I167" s="125">
        <v>7000.0</v>
      </c>
      <c r="J167" s="123"/>
      <c r="K167" s="124" t="s">
        <v>111</v>
      </c>
      <c r="L167" s="125">
        <v>41.0</v>
      </c>
      <c r="M167" s="124" t="s">
        <v>2945</v>
      </c>
      <c r="N167" s="124" t="s">
        <v>2946</v>
      </c>
      <c r="O167" s="124" t="s">
        <v>2947</v>
      </c>
      <c r="P167" s="124">
        <v>2013.0</v>
      </c>
      <c r="Q167" s="124" t="s">
        <v>2948</v>
      </c>
      <c r="R167" s="123" t="s">
        <v>2949</v>
      </c>
      <c r="S167" s="123"/>
      <c r="T167" s="123" t="s">
        <v>1594</v>
      </c>
      <c r="U167" s="123" t="s">
        <v>530</v>
      </c>
      <c r="V167" s="123"/>
      <c r="W167" s="123"/>
      <c r="X167" s="123"/>
      <c r="Y167" s="123"/>
      <c r="Z167" s="123"/>
      <c r="AA167" s="123"/>
      <c r="AB167" s="123"/>
      <c r="AC167" s="123"/>
      <c r="AD167" s="123"/>
      <c r="AE167" s="123"/>
      <c r="AF167" s="123"/>
      <c r="AG167" s="123"/>
      <c r="AH167" s="123"/>
      <c r="AI167" s="123"/>
      <c r="AJ167" s="123"/>
    </row>
    <row r="168" ht="15.75" customHeight="1">
      <c r="A168" s="123">
        <v>170.0</v>
      </c>
      <c r="B168" s="124" t="s">
        <v>1230</v>
      </c>
      <c r="C168" s="124" t="s">
        <v>106</v>
      </c>
      <c r="D168" s="124" t="s">
        <v>64</v>
      </c>
      <c r="E168" s="124" t="s">
        <v>429</v>
      </c>
      <c r="F168" s="125">
        <v>2.0</v>
      </c>
      <c r="G168" s="124" t="s">
        <v>524</v>
      </c>
      <c r="H168" s="124" t="s">
        <v>388</v>
      </c>
      <c r="I168" s="125">
        <v>14000.0</v>
      </c>
      <c r="J168" s="123"/>
      <c r="K168" s="124" t="s">
        <v>289</v>
      </c>
      <c r="L168" s="125">
        <v>40.0</v>
      </c>
      <c r="M168" s="124" t="s">
        <v>5011</v>
      </c>
      <c r="N168" s="124" t="s">
        <v>5012</v>
      </c>
      <c r="O168" s="124" t="s">
        <v>4979</v>
      </c>
      <c r="P168" s="124">
        <v>2004.0</v>
      </c>
      <c r="Q168" s="124" t="s">
        <v>5013</v>
      </c>
      <c r="R168" s="127" t="str">
        <f>HYPERLINK("http://www.chicagobooth.edu/research/workshops/marketing/archive/WorkshopPapers/Skeptical%20Shoppers.pdf","http://www.chicagobooth.edu/research/workshops/marketing/archive/WorkshopPapers/Skeptical%20Shoppers.pdf")</f>
        <v>http://www.chicagobooth.edu/research/workshops/marketing/archive/WorkshopPapers/Skeptical%20Shoppers.pdf</v>
      </c>
      <c r="S168" s="123"/>
      <c r="T168" s="123" t="s">
        <v>462</v>
      </c>
      <c r="U168" s="123" t="s">
        <v>462</v>
      </c>
      <c r="V168" s="123"/>
      <c r="W168" s="123"/>
      <c r="X168" s="123"/>
      <c r="Y168" s="123"/>
      <c r="Z168" s="123"/>
      <c r="AA168" s="123"/>
      <c r="AB168" s="123"/>
      <c r="AC168" s="123"/>
      <c r="AD168" s="123"/>
      <c r="AE168" s="123"/>
      <c r="AF168" s="123"/>
      <c r="AG168" s="123"/>
      <c r="AH168" s="123"/>
      <c r="AI168" s="123"/>
      <c r="AJ168" s="123"/>
    </row>
    <row r="169" ht="15.75" customHeight="1">
      <c r="A169" s="123">
        <v>171.0</v>
      </c>
      <c r="B169" s="124" t="s">
        <v>1230</v>
      </c>
      <c r="C169" s="124" t="s">
        <v>106</v>
      </c>
      <c r="D169" s="124" t="s">
        <v>64</v>
      </c>
      <c r="E169" s="124" t="s">
        <v>429</v>
      </c>
      <c r="F169" s="125">
        <v>2.0</v>
      </c>
      <c r="G169" s="124" t="s">
        <v>524</v>
      </c>
      <c r="H169" s="124" t="s">
        <v>388</v>
      </c>
      <c r="I169" s="125">
        <v>14000.0</v>
      </c>
      <c r="J169" s="123"/>
      <c r="K169" s="124" t="s">
        <v>289</v>
      </c>
      <c r="L169" s="125">
        <v>40.0</v>
      </c>
      <c r="M169" s="124" t="s">
        <v>5234</v>
      </c>
      <c r="N169" s="124" t="s">
        <v>5235</v>
      </c>
      <c r="O169" s="124" t="s">
        <v>5236</v>
      </c>
      <c r="P169" s="124">
        <v>2004.0</v>
      </c>
      <c r="Q169" s="124" t="s">
        <v>5239</v>
      </c>
      <c r="R169" s="127" t="str">
        <f>HYPERLINK("https://faculty.chicagobooth.edu/Richard.Thaler/research/pdf/SMarTJPE.pdf","https://faculty.chicagobooth.edu/Richard.Thaler/research/pdf/SMarTJPE.pdf")</f>
        <v>https://faculty.chicagobooth.edu/Richard.Thaler/research/pdf/SMarTJPE.pdf</v>
      </c>
      <c r="S169" s="123"/>
      <c r="T169" s="123" t="s">
        <v>462</v>
      </c>
      <c r="U169" s="123" t="s">
        <v>462</v>
      </c>
      <c r="V169" s="123"/>
      <c r="W169" s="123"/>
      <c r="X169" s="123"/>
      <c r="Y169" s="123"/>
      <c r="Z169" s="123"/>
      <c r="AA169" s="123"/>
      <c r="AB169" s="123"/>
      <c r="AC169" s="123"/>
      <c r="AD169" s="123"/>
      <c r="AE169" s="123"/>
      <c r="AF169" s="123"/>
      <c r="AG169" s="123"/>
      <c r="AH169" s="123"/>
      <c r="AI169" s="123"/>
      <c r="AJ169" s="123"/>
    </row>
    <row r="170" ht="15.75" customHeight="1">
      <c r="A170" s="123">
        <v>172.0</v>
      </c>
      <c r="B170" s="124" t="s">
        <v>1230</v>
      </c>
      <c r="C170" s="124" t="s">
        <v>106</v>
      </c>
      <c r="D170" s="124" t="s">
        <v>64</v>
      </c>
      <c r="E170" s="124" t="s">
        <v>429</v>
      </c>
      <c r="F170" s="125">
        <v>2.0</v>
      </c>
      <c r="G170" s="124" t="s">
        <v>524</v>
      </c>
      <c r="H170" s="124" t="s">
        <v>4228</v>
      </c>
      <c r="I170" s="125">
        <v>3000.0</v>
      </c>
      <c r="J170" s="123"/>
      <c r="K170" s="124" t="s">
        <v>324</v>
      </c>
      <c r="L170" s="125" t="s">
        <v>325</v>
      </c>
      <c r="M170" s="124" t="s">
        <v>4229</v>
      </c>
      <c r="N170" s="124" t="s">
        <v>4230</v>
      </c>
      <c r="O170" s="124" t="s">
        <v>4231</v>
      </c>
      <c r="P170" s="124">
        <v>2013.0</v>
      </c>
      <c r="Q170" s="124" t="s">
        <v>4232</v>
      </c>
      <c r="R170" s="123" t="s">
        <v>4233</v>
      </c>
      <c r="S170" s="123"/>
      <c r="T170" s="123" t="s">
        <v>462</v>
      </c>
      <c r="U170" s="123" t="s">
        <v>462</v>
      </c>
      <c r="V170" s="123" t="s">
        <v>39</v>
      </c>
      <c r="W170" s="123"/>
      <c r="X170" s="123"/>
      <c r="Y170" s="123"/>
      <c r="Z170" s="123"/>
      <c r="AA170" s="123"/>
      <c r="AB170" s="123"/>
      <c r="AC170" s="123"/>
      <c r="AD170" s="123"/>
      <c r="AE170" s="123"/>
      <c r="AF170" s="123"/>
      <c r="AG170" s="123"/>
      <c r="AH170" s="123"/>
      <c r="AI170" s="123"/>
      <c r="AJ170" s="123"/>
    </row>
    <row r="171" ht="15.75" customHeight="1">
      <c r="A171" s="123">
        <v>173.0</v>
      </c>
      <c r="B171" s="124" t="s">
        <v>1230</v>
      </c>
      <c r="C171" s="124" t="s">
        <v>106</v>
      </c>
      <c r="D171" s="124" t="s">
        <v>64</v>
      </c>
      <c r="E171" s="124" t="s">
        <v>429</v>
      </c>
      <c r="F171" s="125">
        <v>2.0</v>
      </c>
      <c r="G171" s="124" t="s">
        <v>524</v>
      </c>
      <c r="H171" s="124" t="s">
        <v>605</v>
      </c>
      <c r="I171" s="125">
        <v>4000.0</v>
      </c>
      <c r="J171" s="123"/>
      <c r="K171" s="124" t="s">
        <v>289</v>
      </c>
      <c r="L171" s="125">
        <v>40.0</v>
      </c>
      <c r="M171" s="124" t="s">
        <v>5250</v>
      </c>
      <c r="N171" s="124" t="s">
        <v>5251</v>
      </c>
      <c r="O171" s="124" t="s">
        <v>3854</v>
      </c>
      <c r="P171" s="124">
        <v>2011.0</v>
      </c>
      <c r="Q171" s="130" t="s">
        <v>5254</v>
      </c>
      <c r="R171" s="123" t="s">
        <v>5255</v>
      </c>
      <c r="S171" s="123"/>
      <c r="T171" s="123" t="s">
        <v>428</v>
      </c>
      <c r="U171" s="123" t="s">
        <v>462</v>
      </c>
      <c r="V171" s="123"/>
      <c r="W171" s="123"/>
      <c r="X171" s="123"/>
      <c r="Y171" s="123"/>
      <c r="Z171" s="123"/>
      <c r="AA171" s="123"/>
      <c r="AB171" s="123"/>
      <c r="AC171" s="123"/>
      <c r="AD171" s="123"/>
      <c r="AE171" s="123"/>
      <c r="AF171" s="123"/>
      <c r="AG171" s="123"/>
      <c r="AH171" s="123"/>
      <c r="AI171" s="123"/>
      <c r="AJ171" s="123" t="s">
        <v>927</v>
      </c>
    </row>
    <row r="172" ht="15.75" customHeight="1">
      <c r="A172" s="123">
        <v>174.0</v>
      </c>
      <c r="B172" s="124" t="s">
        <v>1230</v>
      </c>
      <c r="C172" s="124" t="s">
        <v>106</v>
      </c>
      <c r="D172" s="124" t="s">
        <v>64</v>
      </c>
      <c r="E172" s="124" t="s">
        <v>429</v>
      </c>
      <c r="F172" s="125">
        <v>2.0</v>
      </c>
      <c r="G172" s="124" t="s">
        <v>524</v>
      </c>
      <c r="H172" s="124" t="s">
        <v>388</v>
      </c>
      <c r="I172" s="125">
        <v>14000.0</v>
      </c>
      <c r="J172" s="123"/>
      <c r="K172" s="124" t="s">
        <v>324</v>
      </c>
      <c r="L172" s="125" t="s">
        <v>325</v>
      </c>
      <c r="M172" s="124" t="s">
        <v>4452</v>
      </c>
      <c r="N172" s="124" t="s">
        <v>4453</v>
      </c>
      <c r="O172" s="124" t="s">
        <v>4442</v>
      </c>
      <c r="P172" s="124">
        <v>2009.0</v>
      </c>
      <c r="Q172" s="124" t="s">
        <v>4457</v>
      </c>
      <c r="R172" s="127" t="str">
        <f>HYPERLINK("http://papers.ssrn.com/sol3/papers.cfm?abstract_id=1116650","http://papers.ssrn.com/sol3/papers.cfm?abstract_id=1116650")</f>
        <v>http://papers.ssrn.com/sol3/papers.cfm?abstract_id=1116650</v>
      </c>
      <c r="S172" s="123"/>
      <c r="T172" s="123" t="s">
        <v>462</v>
      </c>
      <c r="U172" s="123" t="s">
        <v>462</v>
      </c>
      <c r="V172" s="123"/>
      <c r="W172" s="123"/>
      <c r="X172" s="123"/>
      <c r="Y172" s="123"/>
      <c r="Z172" s="123"/>
      <c r="AA172" s="123"/>
      <c r="AB172" s="123"/>
      <c r="AC172" s="123"/>
      <c r="AD172" s="123"/>
      <c r="AE172" s="123"/>
      <c r="AF172" s="123"/>
      <c r="AG172" s="123"/>
      <c r="AH172" s="123"/>
      <c r="AI172" s="123"/>
      <c r="AJ172" s="123"/>
    </row>
    <row r="173" ht="15.75" customHeight="1">
      <c r="A173" s="123">
        <v>175.0</v>
      </c>
      <c r="B173" s="124" t="s">
        <v>1230</v>
      </c>
      <c r="C173" s="124" t="s">
        <v>106</v>
      </c>
      <c r="D173" s="124" t="s">
        <v>64</v>
      </c>
      <c r="E173" s="124" t="s">
        <v>429</v>
      </c>
      <c r="F173" s="125">
        <v>2.0</v>
      </c>
      <c r="G173" s="124" t="s">
        <v>524</v>
      </c>
      <c r="H173" s="124" t="s">
        <v>798</v>
      </c>
      <c r="I173" s="125" t="s">
        <v>3606</v>
      </c>
      <c r="J173" s="123"/>
      <c r="K173" s="124" t="s">
        <v>289</v>
      </c>
      <c r="L173" s="125">
        <v>40.0</v>
      </c>
      <c r="M173" s="124" t="s">
        <v>5276</v>
      </c>
      <c r="N173" s="124" t="s">
        <v>5278</v>
      </c>
      <c r="O173" s="124" t="s">
        <v>5279</v>
      </c>
      <c r="P173" s="124">
        <v>2013.0</v>
      </c>
      <c r="Q173" s="124" t="s">
        <v>5286</v>
      </c>
      <c r="R173" s="123" t="s">
        <v>5287</v>
      </c>
      <c r="S173" s="123"/>
      <c r="T173" s="123"/>
      <c r="U173" s="123"/>
      <c r="V173" s="123"/>
      <c r="W173" s="123"/>
      <c r="X173" s="123"/>
      <c r="Y173" s="123"/>
      <c r="Z173" s="123"/>
      <c r="AA173" s="123"/>
      <c r="AB173" s="123"/>
      <c r="AC173" s="123"/>
      <c r="AD173" s="123"/>
      <c r="AE173" s="123"/>
      <c r="AF173" s="123"/>
      <c r="AG173" s="123"/>
      <c r="AH173" s="123"/>
      <c r="AI173" s="123"/>
      <c r="AJ173" s="123" t="s">
        <v>5289</v>
      </c>
    </row>
    <row r="174" ht="15.75" customHeight="1">
      <c r="A174" s="123">
        <v>176.0</v>
      </c>
      <c r="B174" s="124" t="s">
        <v>1230</v>
      </c>
      <c r="C174" s="124" t="s">
        <v>106</v>
      </c>
      <c r="D174" s="124" t="s">
        <v>64</v>
      </c>
      <c r="E174" s="124" t="s">
        <v>429</v>
      </c>
      <c r="F174" s="125">
        <v>2.0</v>
      </c>
      <c r="G174" s="124" t="s">
        <v>524</v>
      </c>
      <c r="H174" s="124" t="s">
        <v>267</v>
      </c>
      <c r="I174" s="125">
        <v>14000.0</v>
      </c>
      <c r="J174" s="123"/>
      <c r="K174" s="124" t="s">
        <v>289</v>
      </c>
      <c r="L174" s="125">
        <v>40.0</v>
      </c>
      <c r="M174" s="124" t="s">
        <v>5291</v>
      </c>
      <c r="N174" s="124" t="s">
        <v>5292</v>
      </c>
      <c r="O174" s="124" t="s">
        <v>5293</v>
      </c>
      <c r="P174" s="124">
        <v>2012.0</v>
      </c>
      <c r="Q174" s="124" t="s">
        <v>5294</v>
      </c>
      <c r="R174" s="123" t="s">
        <v>5295</v>
      </c>
      <c r="S174" s="123"/>
      <c r="T174" s="123" t="s">
        <v>428</v>
      </c>
      <c r="U174" s="123" t="s">
        <v>462</v>
      </c>
      <c r="V174" s="123"/>
      <c r="W174" s="123"/>
      <c r="X174" s="123"/>
      <c r="Y174" s="123"/>
      <c r="Z174" s="123"/>
      <c r="AA174" s="123"/>
      <c r="AB174" s="123"/>
      <c r="AC174" s="123"/>
      <c r="AD174" s="123"/>
      <c r="AE174" s="123"/>
      <c r="AF174" s="123"/>
      <c r="AG174" s="123"/>
      <c r="AH174" s="123"/>
      <c r="AI174" s="123"/>
      <c r="AJ174" s="123"/>
    </row>
    <row r="175" ht="15.75" customHeight="1">
      <c r="A175" s="123">
        <v>177.0</v>
      </c>
      <c r="B175" s="124" t="s">
        <v>1230</v>
      </c>
      <c r="C175" s="124" t="s">
        <v>106</v>
      </c>
      <c r="D175" s="124" t="s">
        <v>64</v>
      </c>
      <c r="E175" s="124" t="s">
        <v>429</v>
      </c>
      <c r="F175" s="125">
        <v>2.0</v>
      </c>
      <c r="G175" s="124" t="s">
        <v>524</v>
      </c>
      <c r="H175" s="124" t="s">
        <v>2867</v>
      </c>
      <c r="I175" s="125">
        <v>4000.0</v>
      </c>
      <c r="J175" s="123"/>
      <c r="K175" s="124" t="s">
        <v>111</v>
      </c>
      <c r="L175" s="125">
        <v>41.0</v>
      </c>
      <c r="M175" s="124" t="s">
        <v>4717</v>
      </c>
      <c r="N175" s="124" t="s">
        <v>4719</v>
      </c>
      <c r="O175" s="124" t="s">
        <v>4720</v>
      </c>
      <c r="P175" s="124">
        <v>2012.0</v>
      </c>
      <c r="Q175" s="124" t="s">
        <v>4725</v>
      </c>
      <c r="R175" s="123" t="s">
        <v>4726</v>
      </c>
      <c r="S175" s="123"/>
      <c r="T175" s="123" t="s">
        <v>428</v>
      </c>
      <c r="U175" s="123" t="s">
        <v>462</v>
      </c>
      <c r="V175" s="123"/>
      <c r="W175" s="123"/>
      <c r="X175" s="123"/>
      <c r="Y175" s="123"/>
      <c r="Z175" s="123"/>
      <c r="AA175" s="123"/>
      <c r="AB175" s="123"/>
      <c r="AC175" s="123"/>
      <c r="AD175" s="123"/>
      <c r="AE175" s="123"/>
      <c r="AF175" s="123"/>
      <c r="AG175" s="123"/>
      <c r="AH175" s="123"/>
      <c r="AI175" s="123"/>
      <c r="AJ175" s="123" t="s">
        <v>4728</v>
      </c>
    </row>
    <row r="176" ht="15.75" customHeight="1">
      <c r="A176" s="123">
        <v>178.0</v>
      </c>
      <c r="B176" s="124" t="s">
        <v>1230</v>
      </c>
      <c r="C176" s="124" t="s">
        <v>106</v>
      </c>
      <c r="D176" s="124" t="s">
        <v>64</v>
      </c>
      <c r="E176" s="124" t="s">
        <v>429</v>
      </c>
      <c r="F176" s="125">
        <v>2.0</v>
      </c>
      <c r="G176" s="124" t="s">
        <v>524</v>
      </c>
      <c r="H176" s="124" t="s">
        <v>605</v>
      </c>
      <c r="I176" s="125">
        <v>4000.0</v>
      </c>
      <c r="J176" s="123"/>
      <c r="K176" s="124" t="s">
        <v>111</v>
      </c>
      <c r="L176" s="125">
        <v>41.0</v>
      </c>
      <c r="M176" s="124" t="s">
        <v>3205</v>
      </c>
      <c r="N176" s="124" t="s">
        <v>3206</v>
      </c>
      <c r="O176" s="124" t="s">
        <v>3123</v>
      </c>
      <c r="P176" s="124">
        <v>2013.0</v>
      </c>
      <c r="Q176" s="124" t="s">
        <v>3210</v>
      </c>
      <c r="R176" s="123" t="s">
        <v>3211</v>
      </c>
      <c r="S176" s="123"/>
      <c r="T176" s="123" t="s">
        <v>428</v>
      </c>
      <c r="U176" s="123" t="s">
        <v>462</v>
      </c>
      <c r="V176" s="123"/>
      <c r="W176" s="123"/>
      <c r="X176" s="123"/>
      <c r="Y176" s="123"/>
      <c r="Z176" s="123"/>
      <c r="AA176" s="123"/>
      <c r="AB176" s="123"/>
      <c r="AC176" s="123"/>
      <c r="AD176" s="123"/>
      <c r="AE176" s="123"/>
      <c r="AF176" s="123"/>
      <c r="AG176" s="123"/>
      <c r="AH176" s="123"/>
      <c r="AI176" s="123"/>
      <c r="AJ176" s="123" t="s">
        <v>1023</v>
      </c>
    </row>
    <row r="177" ht="15.75" customHeight="1">
      <c r="A177" s="123">
        <v>179.0</v>
      </c>
      <c r="B177" s="124" t="s">
        <v>1230</v>
      </c>
      <c r="C177" s="124" t="s">
        <v>106</v>
      </c>
      <c r="D177" s="124" t="s">
        <v>64</v>
      </c>
      <c r="E177" s="124" t="s">
        <v>429</v>
      </c>
      <c r="F177" s="125">
        <v>2.0</v>
      </c>
      <c r="G177" s="124" t="s">
        <v>524</v>
      </c>
      <c r="H177" s="124" t="s">
        <v>388</v>
      </c>
      <c r="I177" s="125">
        <v>14000.0</v>
      </c>
      <c r="J177" s="123"/>
      <c r="K177" s="124" t="s">
        <v>289</v>
      </c>
      <c r="L177" s="125">
        <v>40.0</v>
      </c>
      <c r="M177" s="124" t="s">
        <v>5303</v>
      </c>
      <c r="N177" s="124" t="s">
        <v>5304</v>
      </c>
      <c r="O177" s="124" t="s">
        <v>5305</v>
      </c>
      <c r="P177" s="124">
        <v>2001.0</v>
      </c>
      <c r="Q177" s="124" t="s">
        <v>5306</v>
      </c>
      <c r="R177" s="127" t="str">
        <f>HYPERLINK("http://www.nber.org/papers/w8651.pdf","http://www.nber.org/papers/w8651.pdf")</f>
        <v>http://www.nber.org/papers/w8651.pdf</v>
      </c>
      <c r="S177" s="123"/>
      <c r="T177" s="123" t="s">
        <v>462</v>
      </c>
      <c r="U177" s="123" t="s">
        <v>462</v>
      </c>
      <c r="V177" s="123"/>
      <c r="W177" s="123"/>
      <c r="X177" s="123"/>
      <c r="Y177" s="123"/>
      <c r="Z177" s="123"/>
      <c r="AA177" s="123"/>
      <c r="AB177" s="123"/>
      <c r="AC177" s="123"/>
      <c r="AD177" s="123"/>
      <c r="AE177" s="123"/>
      <c r="AF177" s="123"/>
      <c r="AG177" s="123"/>
      <c r="AH177" s="123"/>
      <c r="AI177" s="123"/>
      <c r="AJ177" s="123"/>
    </row>
    <row r="178" ht="15.75" customHeight="1">
      <c r="A178" s="123">
        <v>180.0</v>
      </c>
      <c r="B178" s="124" t="s">
        <v>1230</v>
      </c>
      <c r="C178" s="124" t="s">
        <v>106</v>
      </c>
      <c r="D178" s="124" t="s">
        <v>64</v>
      </c>
      <c r="E178" s="124" t="s">
        <v>429</v>
      </c>
      <c r="F178" s="125">
        <v>2.0</v>
      </c>
      <c r="G178" s="124" t="s">
        <v>524</v>
      </c>
      <c r="H178" s="124" t="s">
        <v>3120</v>
      </c>
      <c r="I178" s="125" t="s">
        <v>1045</v>
      </c>
      <c r="J178" s="123"/>
      <c r="K178" s="124" t="s">
        <v>111</v>
      </c>
      <c r="L178" s="125">
        <v>41.0</v>
      </c>
      <c r="M178" s="124" t="s">
        <v>3516</v>
      </c>
      <c r="N178" s="124" t="s">
        <v>3517</v>
      </c>
      <c r="O178" s="124" t="s">
        <v>3518</v>
      </c>
      <c r="P178" s="124">
        <v>2013.0</v>
      </c>
      <c r="Q178" s="124" t="s">
        <v>3519</v>
      </c>
      <c r="R178" s="123" t="s">
        <v>3520</v>
      </c>
      <c r="S178" s="123"/>
      <c r="T178" s="123" t="s">
        <v>428</v>
      </c>
      <c r="U178" s="123" t="s">
        <v>462</v>
      </c>
      <c r="V178" s="123"/>
      <c r="W178" s="123"/>
      <c r="X178" s="123"/>
      <c r="Y178" s="123"/>
      <c r="Z178" s="123"/>
      <c r="AA178" s="123"/>
      <c r="AB178" s="123"/>
      <c r="AC178" s="123"/>
      <c r="AD178" s="123"/>
      <c r="AE178" s="123"/>
      <c r="AF178" s="123"/>
      <c r="AG178" s="123"/>
      <c r="AH178" s="123"/>
      <c r="AI178" s="123"/>
      <c r="AJ178" s="123" t="s">
        <v>3521</v>
      </c>
    </row>
    <row r="179" ht="15.75" customHeight="1">
      <c r="A179" s="123">
        <v>181.0</v>
      </c>
      <c r="B179" s="124" t="s">
        <v>1230</v>
      </c>
      <c r="C179" s="124" t="s">
        <v>106</v>
      </c>
      <c r="D179" s="124" t="s">
        <v>64</v>
      </c>
      <c r="E179" s="124" t="s">
        <v>429</v>
      </c>
      <c r="F179" s="125">
        <v>2.0</v>
      </c>
      <c r="G179" s="124" t="s">
        <v>524</v>
      </c>
      <c r="H179" s="124" t="s">
        <v>388</v>
      </c>
      <c r="I179" s="125">
        <v>14000.0</v>
      </c>
      <c r="J179" s="123"/>
      <c r="K179" s="124" t="s">
        <v>111</v>
      </c>
      <c r="L179" s="125">
        <v>41.0</v>
      </c>
      <c r="M179" s="124" t="s">
        <v>5320</v>
      </c>
      <c r="N179" s="124" t="s">
        <v>5321</v>
      </c>
      <c r="O179" s="124" t="s">
        <v>5322</v>
      </c>
      <c r="P179" s="124">
        <v>2011.0</v>
      </c>
      <c r="Q179" s="124" t="s">
        <v>5323</v>
      </c>
      <c r="R179" s="127" t="str">
        <f>HYPERLINK("http://www.sciencedirect.com/science/article/pii/S0969698911000592","http://www.sciencedirect.com/science/article/pii/S0969698911000592")</f>
        <v>http://www.sciencedirect.com/science/article/pii/S0969698911000592</v>
      </c>
      <c r="S179" s="123"/>
      <c r="T179" s="123" t="s">
        <v>462</v>
      </c>
      <c r="U179" s="123" t="s">
        <v>462</v>
      </c>
      <c r="V179" s="123"/>
      <c r="W179" s="123"/>
      <c r="X179" s="123"/>
      <c r="Y179" s="123"/>
      <c r="Z179" s="123"/>
      <c r="AA179" s="123"/>
      <c r="AB179" s="123"/>
      <c r="AC179" s="123"/>
      <c r="AD179" s="123"/>
      <c r="AE179" s="123"/>
      <c r="AF179" s="123"/>
      <c r="AG179" s="123"/>
      <c r="AH179" s="123"/>
      <c r="AI179" s="123"/>
      <c r="AJ179" s="123"/>
    </row>
    <row r="180" ht="15.75" customHeight="1">
      <c r="A180" s="123">
        <v>182.0</v>
      </c>
      <c r="B180" s="124" t="s">
        <v>1230</v>
      </c>
      <c r="C180" s="124" t="s">
        <v>106</v>
      </c>
      <c r="D180" s="124" t="s">
        <v>64</v>
      </c>
      <c r="E180" s="124" t="s">
        <v>429</v>
      </c>
      <c r="F180" s="125">
        <v>2.0</v>
      </c>
      <c r="G180" s="124" t="s">
        <v>524</v>
      </c>
      <c r="H180" s="124" t="s">
        <v>388</v>
      </c>
      <c r="I180" s="125">
        <v>14000.0</v>
      </c>
      <c r="J180" s="123"/>
      <c r="K180" s="124" t="s">
        <v>289</v>
      </c>
      <c r="L180" s="125">
        <v>40.0</v>
      </c>
      <c r="M180" s="124" t="s">
        <v>5077</v>
      </c>
      <c r="N180" s="124" t="s">
        <v>5078</v>
      </c>
      <c r="O180" s="124" t="s">
        <v>5079</v>
      </c>
      <c r="P180" s="124">
        <v>2009.0</v>
      </c>
      <c r="Q180" s="124" t="s">
        <v>5080</v>
      </c>
      <c r="R180" s="127" t="str">
        <f>HYPERLINK("http://digitalcommons.law.yale.edu/cgi/viewcontent.cgi?article=1554&amp;context=fss_papers","http://digitalcommons.law.yale.edu/cgi/viewcontent.cgi?article=1554&amp;context=fss_papers")</f>
        <v>http://digitalcommons.law.yale.edu/cgi/viewcontent.cgi?article=1554&amp;context=fss_papers</v>
      </c>
      <c r="S180" s="123"/>
      <c r="T180" s="123" t="s">
        <v>462</v>
      </c>
      <c r="U180" s="123" t="s">
        <v>462</v>
      </c>
      <c r="V180" s="123"/>
      <c r="W180" s="123"/>
      <c r="X180" s="123"/>
      <c r="Y180" s="123"/>
      <c r="Z180" s="123"/>
      <c r="AA180" s="123"/>
      <c r="AB180" s="123"/>
      <c r="AC180" s="123"/>
      <c r="AD180" s="123"/>
      <c r="AE180" s="123"/>
      <c r="AF180" s="123"/>
      <c r="AG180" s="123"/>
      <c r="AH180" s="123"/>
      <c r="AI180" s="123"/>
      <c r="AJ180" s="123"/>
    </row>
    <row r="181" ht="15.75" customHeight="1">
      <c r="A181" s="123">
        <v>183.0</v>
      </c>
      <c r="B181" s="124" t="s">
        <v>1230</v>
      </c>
      <c r="C181" s="124" t="s">
        <v>106</v>
      </c>
      <c r="D181" s="124" t="s">
        <v>64</v>
      </c>
      <c r="E181" s="124" t="s">
        <v>429</v>
      </c>
      <c r="F181" s="125">
        <v>2.0</v>
      </c>
      <c r="G181" s="124" t="s">
        <v>524</v>
      </c>
      <c r="H181" s="124" t="s">
        <v>267</v>
      </c>
      <c r="I181" s="125">
        <v>14000.0</v>
      </c>
      <c r="J181" s="123"/>
      <c r="K181" s="124" t="s">
        <v>1106</v>
      </c>
      <c r="L181" s="125" t="s">
        <v>1107</v>
      </c>
      <c r="M181" s="124" t="s">
        <v>1108</v>
      </c>
      <c r="N181" s="124" t="s">
        <v>1109</v>
      </c>
      <c r="O181" s="124" t="s">
        <v>1110</v>
      </c>
      <c r="P181" s="124">
        <v>2014.0</v>
      </c>
      <c r="Q181" s="130" t="s">
        <v>1111</v>
      </c>
      <c r="R181" s="123" t="s">
        <v>1112</v>
      </c>
      <c r="S181" s="123"/>
      <c r="T181" s="123" t="s">
        <v>428</v>
      </c>
      <c r="U181" s="123" t="s">
        <v>462</v>
      </c>
      <c r="V181" s="123"/>
      <c r="W181" s="123"/>
      <c r="X181" s="123"/>
      <c r="Y181" s="123"/>
      <c r="Z181" s="129"/>
      <c r="AA181" s="123"/>
      <c r="AB181" s="123"/>
      <c r="AC181" s="123"/>
      <c r="AD181" s="123"/>
      <c r="AE181" s="123"/>
      <c r="AF181" s="123"/>
      <c r="AG181" s="123"/>
      <c r="AH181" s="123"/>
      <c r="AI181" s="123"/>
      <c r="AJ181" s="123"/>
    </row>
    <row r="182" ht="15.75" customHeight="1">
      <c r="A182" s="123">
        <v>184.0</v>
      </c>
      <c r="B182" s="124" t="s">
        <v>1230</v>
      </c>
      <c r="C182" s="124" t="s">
        <v>106</v>
      </c>
      <c r="D182" s="124" t="s">
        <v>64</v>
      </c>
      <c r="E182" s="124" t="s">
        <v>429</v>
      </c>
      <c r="F182" s="125">
        <v>2.0</v>
      </c>
      <c r="G182" s="124" t="s">
        <v>524</v>
      </c>
      <c r="H182" s="124" t="s">
        <v>388</v>
      </c>
      <c r="I182" s="125">
        <v>14000.0</v>
      </c>
      <c r="J182" s="123"/>
      <c r="K182" s="124" t="s">
        <v>289</v>
      </c>
      <c r="L182" s="125">
        <v>40.0</v>
      </c>
      <c r="M182" s="124" t="s">
        <v>5332</v>
      </c>
      <c r="N182" s="124" t="s">
        <v>5333</v>
      </c>
      <c r="O182" s="124" t="s">
        <v>3953</v>
      </c>
      <c r="P182" s="124">
        <v>2005.0</v>
      </c>
      <c r="Q182" s="124" t="s">
        <v>5336</v>
      </c>
      <c r="R182" s="127" t="str">
        <f>HYPERLINK("http://psy2.ucsd.edu/~mckenzie/McKenzieetal2006PsychSci.pdf","http://psy2.ucsd.edu/~mckenzie/McKenzieetal2006PsychSci.pdf")</f>
        <v>http://psy2.ucsd.edu/~mckenzie/McKenzieetal2006PsychSci.pdf</v>
      </c>
      <c r="S182" s="123"/>
      <c r="T182" s="123" t="s">
        <v>462</v>
      </c>
      <c r="U182" s="123" t="s">
        <v>462</v>
      </c>
      <c r="V182" s="123"/>
      <c r="W182" s="123"/>
      <c r="X182" s="123"/>
      <c r="Y182" s="123"/>
      <c r="Z182" s="123"/>
      <c r="AA182" s="123"/>
      <c r="AB182" s="123"/>
      <c r="AC182" s="123"/>
      <c r="AD182" s="123"/>
      <c r="AE182" s="123"/>
      <c r="AF182" s="123"/>
      <c r="AG182" s="123"/>
      <c r="AH182" s="123"/>
      <c r="AI182" s="123"/>
      <c r="AJ182" s="123"/>
    </row>
    <row r="183" ht="15.75" customHeight="1">
      <c r="A183" s="123">
        <v>185.0</v>
      </c>
      <c r="B183" s="124" t="s">
        <v>1230</v>
      </c>
      <c r="C183" s="124" t="s">
        <v>106</v>
      </c>
      <c r="D183" s="124" t="s">
        <v>64</v>
      </c>
      <c r="E183" s="124" t="s">
        <v>429</v>
      </c>
      <c r="F183" s="125">
        <v>2.0</v>
      </c>
      <c r="G183" s="124" t="s">
        <v>524</v>
      </c>
      <c r="H183" s="124" t="s">
        <v>3355</v>
      </c>
      <c r="I183" s="125">
        <v>7000.0</v>
      </c>
      <c r="J183" s="123"/>
      <c r="K183" s="124" t="s">
        <v>289</v>
      </c>
      <c r="L183" s="125">
        <v>40.0</v>
      </c>
      <c r="M183" s="124" t="s">
        <v>3358</v>
      </c>
      <c r="N183" s="124" t="s">
        <v>3359</v>
      </c>
      <c r="O183" s="124" t="s">
        <v>3263</v>
      </c>
      <c r="P183" s="124">
        <v>2014.0</v>
      </c>
      <c r="Q183" s="124" t="s">
        <v>3361</v>
      </c>
      <c r="R183" s="123" t="s">
        <v>3362</v>
      </c>
      <c r="S183" s="123"/>
      <c r="T183" s="123" t="s">
        <v>462</v>
      </c>
      <c r="U183" s="123" t="s">
        <v>428</v>
      </c>
      <c r="V183" s="123"/>
      <c r="W183" s="123"/>
      <c r="X183" s="123"/>
      <c r="Y183" s="123"/>
      <c r="Z183" s="123"/>
      <c r="AA183" s="123"/>
      <c r="AB183" s="123"/>
      <c r="AC183" s="123"/>
      <c r="AD183" s="123"/>
      <c r="AE183" s="123"/>
      <c r="AF183" s="123"/>
      <c r="AG183" s="123"/>
      <c r="AH183" s="123"/>
      <c r="AI183" s="123"/>
      <c r="AJ183" s="123" t="s">
        <v>3364</v>
      </c>
    </row>
    <row r="184" ht="15.75" customHeight="1">
      <c r="A184" s="123">
        <v>186.0</v>
      </c>
      <c r="B184" s="124" t="s">
        <v>1230</v>
      </c>
      <c r="C184" s="124" t="s">
        <v>106</v>
      </c>
      <c r="D184" s="124" t="s">
        <v>64</v>
      </c>
      <c r="E184" s="124" t="s">
        <v>429</v>
      </c>
      <c r="F184" s="125">
        <v>2.0</v>
      </c>
      <c r="G184" s="124" t="s">
        <v>524</v>
      </c>
      <c r="H184" s="124" t="s">
        <v>267</v>
      </c>
      <c r="I184" s="125">
        <v>14000.0</v>
      </c>
      <c r="J184" s="123"/>
      <c r="K184" s="124" t="s">
        <v>289</v>
      </c>
      <c r="L184" s="125">
        <v>40.0</v>
      </c>
      <c r="M184" s="124" t="s">
        <v>1038</v>
      </c>
      <c r="N184" s="124" t="s">
        <v>1039</v>
      </c>
      <c r="O184" s="124" t="s">
        <v>1040</v>
      </c>
      <c r="P184" s="124">
        <v>2012.0</v>
      </c>
      <c r="Q184" s="124" t="s">
        <v>1041</v>
      </c>
      <c r="R184" s="127" t="str">
        <f>HYPERLINK("http://papers.ssrn.com/sol3/papers.cfm?abstract_id=2173387","http://papers.ssrn.com/sol3/papers.cfm?abstract_id=2173387")</f>
        <v>http://papers.ssrn.com/sol3/papers.cfm?abstract_id=2173387</v>
      </c>
      <c r="S184" s="123"/>
      <c r="T184" s="123" t="s">
        <v>462</v>
      </c>
      <c r="U184" s="123" t="s">
        <v>462</v>
      </c>
      <c r="V184" s="123"/>
      <c r="W184" s="123"/>
      <c r="X184" s="123"/>
      <c r="Y184" s="123"/>
      <c r="Z184" s="123"/>
      <c r="AA184" s="123"/>
      <c r="AB184" s="123"/>
      <c r="AC184" s="123"/>
      <c r="AD184" s="123"/>
      <c r="AE184" s="123"/>
      <c r="AF184" s="123"/>
      <c r="AG184" s="123"/>
      <c r="AH184" s="123"/>
      <c r="AI184" s="123"/>
      <c r="AJ184" s="123"/>
    </row>
    <row r="185" ht="15.75" customHeight="1">
      <c r="A185" s="123">
        <v>187.0</v>
      </c>
      <c r="B185" s="124" t="s">
        <v>1230</v>
      </c>
      <c r="C185" s="124" t="s">
        <v>106</v>
      </c>
      <c r="D185" s="124" t="s">
        <v>64</v>
      </c>
      <c r="E185" s="124" t="s">
        <v>429</v>
      </c>
      <c r="F185" s="125">
        <v>2.0</v>
      </c>
      <c r="G185" s="124" t="s">
        <v>524</v>
      </c>
      <c r="H185" s="124" t="s">
        <v>388</v>
      </c>
      <c r="I185" s="125">
        <v>14000.0</v>
      </c>
      <c r="J185" s="123"/>
      <c r="K185" s="124" t="s">
        <v>111</v>
      </c>
      <c r="L185" s="125">
        <v>41.0</v>
      </c>
      <c r="M185" s="124" t="s">
        <v>5344</v>
      </c>
      <c r="N185" s="124" t="s">
        <v>5345</v>
      </c>
      <c r="O185" s="124" t="s">
        <v>610</v>
      </c>
      <c r="P185" s="124">
        <v>2013.0</v>
      </c>
      <c r="Q185" s="124" t="s">
        <v>5346</v>
      </c>
      <c r="R185" s="127" t="str">
        <f>HYPERLINK("http://ftp.iza.org/dp7610.pdf","http://ftp.iza.org/dp7610.pdf")</f>
        <v>http://ftp.iza.org/dp7610.pdf</v>
      </c>
      <c r="S185" s="123"/>
      <c r="T185" s="123" t="s">
        <v>462</v>
      </c>
      <c r="U185" s="123" t="s">
        <v>462</v>
      </c>
      <c r="V185" s="123"/>
      <c r="W185" s="123"/>
      <c r="X185" s="123"/>
      <c r="Y185" s="123"/>
      <c r="Z185" s="123"/>
      <c r="AA185" s="123"/>
      <c r="AB185" s="123"/>
      <c r="AC185" s="123"/>
      <c r="AD185" s="123"/>
      <c r="AE185" s="123"/>
      <c r="AF185" s="123"/>
      <c r="AG185" s="123"/>
      <c r="AH185" s="123"/>
      <c r="AI185" s="123"/>
      <c r="AJ185" s="123"/>
    </row>
    <row r="186" ht="15.75" customHeight="1">
      <c r="A186" s="123">
        <v>188.0</v>
      </c>
      <c r="B186" s="124" t="s">
        <v>1230</v>
      </c>
      <c r="C186" s="124" t="s">
        <v>106</v>
      </c>
      <c r="D186" s="124" t="s">
        <v>64</v>
      </c>
      <c r="E186" s="124" t="s">
        <v>429</v>
      </c>
      <c r="F186" s="125">
        <v>2.0</v>
      </c>
      <c r="G186" s="124" t="s">
        <v>524</v>
      </c>
      <c r="H186" s="124" t="s">
        <v>388</v>
      </c>
      <c r="I186" s="125">
        <v>14000.0</v>
      </c>
      <c r="J186" s="123"/>
      <c r="K186" s="124" t="s">
        <v>289</v>
      </c>
      <c r="L186" s="125">
        <v>40.0</v>
      </c>
      <c r="M186" s="124" t="s">
        <v>5354</v>
      </c>
      <c r="N186" s="124" t="s">
        <v>5355</v>
      </c>
      <c r="O186" s="124" t="s">
        <v>5356</v>
      </c>
      <c r="P186" s="124">
        <v>2012.0</v>
      </c>
      <c r="Q186" s="124" t="s">
        <v>5358</v>
      </c>
      <c r="R186" s="127" t="str">
        <f>HYPERLINK("http://journal.sjdm.org/10/10831a/jdm10831a.html","http://journal.sjdm.org/10/10831a/jdm10831a.html")</f>
        <v>http://journal.sjdm.org/10/10831a/jdm10831a.html</v>
      </c>
      <c r="S186" s="123"/>
      <c r="T186" s="123" t="s">
        <v>462</v>
      </c>
      <c r="U186" s="123" t="s">
        <v>462</v>
      </c>
      <c r="V186" s="123"/>
      <c r="W186" s="123"/>
      <c r="X186" s="123"/>
      <c r="Y186" s="123"/>
      <c r="Z186" s="123"/>
      <c r="AA186" s="123"/>
      <c r="AB186" s="123"/>
      <c r="AC186" s="123"/>
      <c r="AD186" s="123"/>
      <c r="AE186" s="123"/>
      <c r="AF186" s="123"/>
      <c r="AG186" s="123"/>
      <c r="AH186" s="123"/>
      <c r="AI186" s="123"/>
      <c r="AJ186" s="123"/>
    </row>
    <row r="187" ht="15.75" customHeight="1">
      <c r="A187" s="123">
        <v>189.0</v>
      </c>
      <c r="B187" s="124" t="s">
        <v>1230</v>
      </c>
      <c r="C187" s="124" t="s">
        <v>106</v>
      </c>
      <c r="D187" s="124" t="s">
        <v>64</v>
      </c>
      <c r="E187" s="124" t="s">
        <v>429</v>
      </c>
      <c r="F187" s="125">
        <v>2.0</v>
      </c>
      <c r="G187" s="124" t="s">
        <v>524</v>
      </c>
      <c r="H187" s="124" t="s">
        <v>5086</v>
      </c>
      <c r="I187" s="125" t="s">
        <v>1045</v>
      </c>
      <c r="J187" s="123"/>
      <c r="K187" s="124" t="s">
        <v>111</v>
      </c>
      <c r="L187" s="125">
        <v>41.0</v>
      </c>
      <c r="M187" s="124" t="s">
        <v>5087</v>
      </c>
      <c r="N187" s="124" t="s">
        <v>5088</v>
      </c>
      <c r="O187" s="124" t="s">
        <v>4295</v>
      </c>
      <c r="P187" s="124">
        <v>2012.0</v>
      </c>
      <c r="Q187" s="124" t="s">
        <v>5089</v>
      </c>
      <c r="R187" s="127" t="str">
        <f>HYPERLINK("http://www.sciencedirect.com/science/article/pii/S0095069611000982","http://www.sciencedirect.com/science/article/pii/S0095069611000982")</f>
        <v>http://www.sciencedirect.com/science/article/pii/S0095069611000982</v>
      </c>
      <c r="S187" s="123"/>
      <c r="T187" s="123" t="s">
        <v>462</v>
      </c>
      <c r="U187" s="123" t="s">
        <v>462</v>
      </c>
      <c r="V187" s="123" t="s">
        <v>39</v>
      </c>
      <c r="W187" s="123"/>
      <c r="X187" s="123"/>
      <c r="Y187" s="123"/>
      <c r="Z187" s="123"/>
      <c r="AA187" s="123"/>
      <c r="AB187" s="123"/>
      <c r="AC187" s="123"/>
      <c r="AD187" s="123"/>
      <c r="AE187" s="123"/>
      <c r="AF187" s="123"/>
      <c r="AG187" s="123"/>
      <c r="AH187" s="123"/>
      <c r="AI187" s="123"/>
      <c r="AJ187" s="123"/>
    </row>
    <row r="188" ht="15.75" customHeight="1">
      <c r="A188" s="123">
        <v>190.0</v>
      </c>
      <c r="B188" s="124" t="s">
        <v>1230</v>
      </c>
      <c r="C188" s="124" t="s">
        <v>106</v>
      </c>
      <c r="D188" s="124" t="s">
        <v>64</v>
      </c>
      <c r="E188" s="124" t="s">
        <v>429</v>
      </c>
      <c r="F188" s="125">
        <v>2.0</v>
      </c>
      <c r="G188" s="124" t="s">
        <v>524</v>
      </c>
      <c r="H188" s="124" t="s">
        <v>388</v>
      </c>
      <c r="I188" s="125">
        <v>14000.0</v>
      </c>
      <c r="J188" s="123"/>
      <c r="K188" s="124" t="s">
        <v>111</v>
      </c>
      <c r="L188" s="125">
        <v>41.0</v>
      </c>
      <c r="M188" s="124" t="s">
        <v>5376</v>
      </c>
      <c r="N188" s="124" t="s">
        <v>5377</v>
      </c>
      <c r="O188" s="124" t="s">
        <v>5378</v>
      </c>
      <c r="P188" s="124">
        <v>2005.0</v>
      </c>
      <c r="Q188" s="124" t="s">
        <v>5380</v>
      </c>
      <c r="R188" s="127" t="str">
        <f>HYPERLINK("http://onlinelibrary.wiley.com/doi/10.1111/j.1432-2277.2005.00202.x/abstract","http://onlinelibrary.wiley.com/doi/10.1111/j.1432-2277.2005.00202.x/abstract")</f>
        <v>http://onlinelibrary.wiley.com/doi/10.1111/j.1432-2277.2005.00202.x/abstract</v>
      </c>
      <c r="S188" s="123"/>
      <c r="T188" s="123" t="s">
        <v>462</v>
      </c>
      <c r="U188" s="123" t="s">
        <v>462</v>
      </c>
      <c r="V188" s="123"/>
      <c r="W188" s="123"/>
      <c r="X188" s="123"/>
      <c r="Y188" s="123"/>
      <c r="Z188" s="123"/>
      <c r="AA188" s="123"/>
      <c r="AB188" s="123"/>
      <c r="AC188" s="123"/>
      <c r="AD188" s="123"/>
      <c r="AE188" s="123"/>
      <c r="AF188" s="123"/>
      <c r="AG188" s="123"/>
      <c r="AH188" s="123"/>
      <c r="AI188" s="123"/>
      <c r="AJ188" s="123"/>
    </row>
    <row r="189" ht="15.75" customHeight="1">
      <c r="A189" s="123">
        <v>191.0</v>
      </c>
      <c r="B189" s="124" t="s">
        <v>1230</v>
      </c>
      <c r="C189" s="124" t="s">
        <v>106</v>
      </c>
      <c r="D189" s="124" t="s">
        <v>64</v>
      </c>
      <c r="E189" s="124" t="s">
        <v>429</v>
      </c>
      <c r="F189" s="125">
        <v>2.0</v>
      </c>
      <c r="G189" s="124" t="s">
        <v>524</v>
      </c>
      <c r="H189" s="124" t="s">
        <v>5208</v>
      </c>
      <c r="I189" s="125" t="s">
        <v>3606</v>
      </c>
      <c r="J189" s="123"/>
      <c r="K189" s="124" t="s">
        <v>111</v>
      </c>
      <c r="L189" s="125">
        <v>41.0</v>
      </c>
      <c r="M189" s="124" t="s">
        <v>5209</v>
      </c>
      <c r="N189" s="124" t="s">
        <v>5210</v>
      </c>
      <c r="O189" s="124" t="s">
        <v>3992</v>
      </c>
      <c r="P189" s="124">
        <v>2008.0</v>
      </c>
      <c r="Q189" s="124" t="s">
        <v>5214</v>
      </c>
      <c r="R189" s="123"/>
      <c r="S189" s="123"/>
      <c r="T189" s="123"/>
      <c r="U189" s="123"/>
      <c r="V189" s="123"/>
      <c r="W189" s="123"/>
      <c r="X189" s="123"/>
      <c r="Y189" s="123"/>
      <c r="Z189" s="123"/>
      <c r="AA189" s="123"/>
      <c r="AB189" s="123"/>
      <c r="AC189" s="123"/>
      <c r="AD189" s="123"/>
      <c r="AE189" s="123"/>
      <c r="AF189" s="123"/>
      <c r="AG189" s="123"/>
      <c r="AH189" s="123"/>
      <c r="AI189" s="123"/>
      <c r="AJ189" s="123" t="s">
        <v>615</v>
      </c>
    </row>
    <row r="190" ht="15.75" customHeight="1">
      <c r="A190" s="123">
        <v>192.0</v>
      </c>
      <c r="B190" s="124" t="s">
        <v>1230</v>
      </c>
      <c r="C190" s="124" t="s">
        <v>106</v>
      </c>
      <c r="D190" s="124" t="s">
        <v>64</v>
      </c>
      <c r="E190" s="124" t="s">
        <v>429</v>
      </c>
      <c r="F190" s="125">
        <v>2.0</v>
      </c>
      <c r="G190" s="124" t="s">
        <v>524</v>
      </c>
      <c r="H190" s="124" t="s">
        <v>388</v>
      </c>
      <c r="I190" s="125">
        <v>14000.0</v>
      </c>
      <c r="J190" s="123"/>
      <c r="K190" s="124" t="s">
        <v>2012</v>
      </c>
      <c r="L190" s="125" t="s">
        <v>2013</v>
      </c>
      <c r="M190" s="124" t="s">
        <v>5388</v>
      </c>
      <c r="N190" s="124" t="s">
        <v>5389</v>
      </c>
      <c r="O190" s="124" t="s">
        <v>5390</v>
      </c>
      <c r="P190" s="124">
        <v>2001.0</v>
      </c>
      <c r="Q190" s="124" t="s">
        <v>5406</v>
      </c>
      <c r="R190" s="127" t="str">
        <f>HYPERLINK("http://www.retirementmadesimpler.org/Library/The%20Power%20of%20Suggestion-%20Inertia%20in%20401(k).pdf","http://www.retirementmadesimpler.org/Library/The%20Power%20of%20Suggestion-%20Inertia%20in%20401(k).pdf")</f>
        <v>http://www.retirementmadesimpler.org/Library/The%20Power%20of%20Suggestion-%20Inertia%20in%20401(k).pdf</v>
      </c>
      <c r="S190" s="123"/>
      <c r="T190" s="123" t="s">
        <v>462</v>
      </c>
      <c r="U190" s="123" t="s">
        <v>462</v>
      </c>
      <c r="V190" s="123"/>
      <c r="W190" s="123"/>
      <c r="X190" s="123"/>
      <c r="Y190" s="123"/>
      <c r="Z190" s="123"/>
      <c r="AA190" s="123"/>
      <c r="AB190" s="123"/>
      <c r="AC190" s="123"/>
      <c r="AD190" s="123"/>
      <c r="AE190" s="123"/>
      <c r="AF190" s="123"/>
      <c r="AG190" s="123"/>
      <c r="AH190" s="123"/>
      <c r="AI190" s="123"/>
      <c r="AJ190" s="123"/>
    </row>
    <row r="191" ht="15.75" customHeight="1">
      <c r="A191" s="123">
        <v>193.0</v>
      </c>
      <c r="B191" s="124" t="s">
        <v>1230</v>
      </c>
      <c r="C191" s="124" t="s">
        <v>106</v>
      </c>
      <c r="D191" s="124" t="s">
        <v>64</v>
      </c>
      <c r="E191" s="124" t="s">
        <v>429</v>
      </c>
      <c r="F191" s="125">
        <v>2.0</v>
      </c>
      <c r="G191" s="124" t="s">
        <v>524</v>
      </c>
      <c r="H191" s="124" t="s">
        <v>388</v>
      </c>
      <c r="I191" s="125">
        <v>14000.0</v>
      </c>
      <c r="J191" s="123"/>
      <c r="K191" s="124" t="s">
        <v>111</v>
      </c>
      <c r="L191" s="125">
        <v>41.0</v>
      </c>
      <c r="M191" s="124" t="s">
        <v>5408</v>
      </c>
      <c r="N191" s="124" t="s">
        <v>5409</v>
      </c>
      <c r="O191" s="124" t="s">
        <v>5410</v>
      </c>
      <c r="P191" s="124">
        <v>2009.0</v>
      </c>
      <c r="Q191" s="124" t="s">
        <v>5413</v>
      </c>
      <c r="R191" s="127" t="str">
        <f>HYPERLINK("https://www.google.com/search?q=The+Impact+of+Cooperation+Defaults+on+Voluntary+Contributions+to+Public+Goods&amp;oq=The+Impact+of+Cooperation+Defaults+on+Voluntary+Contributions+to+Public+Goods&amp;aqs=chrome..69i57.207j0j7&amp;sourceid=chrome&amp;es_sm=93&amp;ie=UTF-8","https://www.google.com/search?q=The+Impact+of+Cooperation+Defaults+on+Voluntary+Contributions+to+Public+Goods&amp;oq=The+Impact+of+Cooperation+Defaults+on+Voluntary+Contributions+to+Public+Goods&amp;aqs=chrome..69i57.207j0j7&amp;sourceid=chrome&amp;es_sm=93&amp;ie=UTF-8")</f>
        <v>https://www.google.com/search?q=The+Impact+of+Cooperation+Defaults+on+Voluntary+Contributions+to+Public+Goods&amp;oq=The+Impact+of+Cooperation+Defaults+on+Voluntary+Contributions+to+Public+Goods&amp;aqs=chrome..69i57.207j0j7&amp;sourceid=chrome&amp;es_sm=93&amp;ie=UTF-8</v>
      </c>
      <c r="S191" s="123"/>
      <c r="T191" s="123" t="s">
        <v>462</v>
      </c>
      <c r="U191" s="123" t="s">
        <v>462</v>
      </c>
      <c r="V191" s="123"/>
      <c r="W191" s="123"/>
      <c r="X191" s="123"/>
      <c r="Y191" s="123"/>
      <c r="Z191" s="123"/>
      <c r="AA191" s="123"/>
      <c r="AB191" s="123"/>
      <c r="AC191" s="123"/>
      <c r="AD191" s="123"/>
      <c r="AE191" s="123"/>
      <c r="AF191" s="123"/>
      <c r="AG191" s="123"/>
      <c r="AH191" s="123"/>
      <c r="AI191" s="123"/>
      <c r="AJ191" s="123"/>
    </row>
    <row r="192" ht="15.75" customHeight="1">
      <c r="A192" s="123">
        <v>194.0</v>
      </c>
      <c r="B192" s="124" t="s">
        <v>1230</v>
      </c>
      <c r="C192" s="124" t="s">
        <v>106</v>
      </c>
      <c r="D192" s="124" t="s">
        <v>64</v>
      </c>
      <c r="E192" s="124" t="s">
        <v>429</v>
      </c>
      <c r="F192" s="125">
        <v>2.0</v>
      </c>
      <c r="G192" s="124" t="s">
        <v>524</v>
      </c>
      <c r="H192" s="124" t="s">
        <v>4047</v>
      </c>
      <c r="I192" s="125">
        <v>22000.0</v>
      </c>
      <c r="J192" s="123"/>
      <c r="K192" s="124" t="s">
        <v>5418</v>
      </c>
      <c r="L192" s="125" t="s">
        <v>5419</v>
      </c>
      <c r="M192" s="124" t="s">
        <v>5420</v>
      </c>
      <c r="N192" s="124" t="s">
        <v>5423</v>
      </c>
      <c r="O192" s="124" t="s">
        <v>5425</v>
      </c>
      <c r="P192" s="124">
        <v>2012.0</v>
      </c>
      <c r="Q192" s="124" t="s">
        <v>5430</v>
      </c>
      <c r="R192" s="123" t="s">
        <v>4011</v>
      </c>
      <c r="S192" s="123"/>
      <c r="T192" s="123"/>
      <c r="U192" s="123"/>
      <c r="V192" s="123"/>
      <c r="W192" s="123"/>
      <c r="X192" s="123"/>
      <c r="Y192" s="123"/>
      <c r="Z192" s="123"/>
      <c r="AA192" s="123"/>
      <c r="AB192" s="123"/>
      <c r="AC192" s="123"/>
      <c r="AD192" s="123"/>
      <c r="AE192" s="123"/>
      <c r="AF192" s="123"/>
      <c r="AG192" s="123"/>
      <c r="AH192" s="123"/>
      <c r="AI192" s="123"/>
      <c r="AJ192" s="123"/>
    </row>
    <row r="193" ht="15.75" customHeight="1">
      <c r="A193" s="123">
        <v>195.0</v>
      </c>
      <c r="B193" s="124" t="s">
        <v>1230</v>
      </c>
      <c r="C193" s="124" t="s">
        <v>106</v>
      </c>
      <c r="D193" s="124" t="s">
        <v>64</v>
      </c>
      <c r="E193" s="124" t="s">
        <v>429</v>
      </c>
      <c r="F193" s="125">
        <v>2.0</v>
      </c>
      <c r="G193" s="124" t="s">
        <v>524</v>
      </c>
      <c r="H193" s="124" t="s">
        <v>5432</v>
      </c>
      <c r="I193" s="125">
        <v>3000.0</v>
      </c>
      <c r="J193" s="123"/>
      <c r="K193" s="124" t="s">
        <v>111</v>
      </c>
      <c r="L193" s="125">
        <v>41.0</v>
      </c>
      <c r="M193" s="124" t="s">
        <v>5437</v>
      </c>
      <c r="N193" s="124" t="s">
        <v>4719</v>
      </c>
      <c r="O193" s="124" t="s">
        <v>5439</v>
      </c>
      <c r="P193" s="124">
        <v>2013.0</v>
      </c>
      <c r="Q193" s="124" t="s">
        <v>5444</v>
      </c>
      <c r="R193" s="123"/>
      <c r="S193" s="123"/>
      <c r="T193" s="123"/>
      <c r="U193" s="123"/>
      <c r="V193" s="123"/>
      <c r="W193" s="123"/>
      <c r="X193" s="123"/>
      <c r="Y193" s="123"/>
      <c r="Z193" s="123"/>
      <c r="AA193" s="123"/>
      <c r="AB193" s="123"/>
      <c r="AC193" s="123"/>
      <c r="AD193" s="123"/>
      <c r="AE193" s="123"/>
      <c r="AF193" s="123"/>
      <c r="AG193" s="123"/>
      <c r="AH193" s="123"/>
      <c r="AI193" s="123"/>
      <c r="AJ193" s="123"/>
    </row>
    <row r="194" ht="15.75" customHeight="1">
      <c r="A194" s="123">
        <v>196.0</v>
      </c>
      <c r="B194" s="124" t="s">
        <v>1230</v>
      </c>
      <c r="C194" s="124" t="s">
        <v>106</v>
      </c>
      <c r="D194" s="124" t="s">
        <v>64</v>
      </c>
      <c r="E194" s="124" t="s">
        <v>429</v>
      </c>
      <c r="F194" s="125">
        <v>2.0</v>
      </c>
      <c r="G194" s="124" t="s">
        <v>524</v>
      </c>
      <c r="H194" s="124" t="s">
        <v>5092</v>
      </c>
      <c r="I194" s="125">
        <v>3000.0</v>
      </c>
      <c r="J194" s="123"/>
      <c r="K194" s="124" t="s">
        <v>289</v>
      </c>
      <c r="L194" s="125">
        <v>40.0</v>
      </c>
      <c r="M194" s="124" t="s">
        <v>5093</v>
      </c>
      <c r="N194" s="124" t="s">
        <v>5094</v>
      </c>
      <c r="O194" s="124" t="s">
        <v>4295</v>
      </c>
      <c r="P194" s="124">
        <v>2016.0</v>
      </c>
      <c r="Q194" s="124" t="s">
        <v>5095</v>
      </c>
      <c r="R194" s="123" t="s">
        <v>5096</v>
      </c>
      <c r="S194" s="123"/>
      <c r="T194" s="123" t="s">
        <v>428</v>
      </c>
      <c r="U194" s="123" t="s">
        <v>462</v>
      </c>
      <c r="V194" s="123"/>
      <c r="W194" s="123"/>
      <c r="X194" s="123"/>
      <c r="Y194" s="123"/>
      <c r="Z194" s="123"/>
      <c r="AA194" s="123"/>
      <c r="AB194" s="123"/>
      <c r="AC194" s="123"/>
      <c r="AD194" s="123"/>
      <c r="AE194" s="123"/>
      <c r="AF194" s="123"/>
      <c r="AG194" s="123"/>
      <c r="AH194" s="123"/>
      <c r="AI194" s="123"/>
      <c r="AJ194" s="123" t="s">
        <v>5097</v>
      </c>
    </row>
    <row r="195" ht="15.75" customHeight="1">
      <c r="A195" s="123">
        <v>197.0</v>
      </c>
      <c r="B195" s="124" t="s">
        <v>1230</v>
      </c>
      <c r="C195" s="124" t="s">
        <v>106</v>
      </c>
      <c r="D195" s="124" t="s">
        <v>64</v>
      </c>
      <c r="E195" s="124" t="s">
        <v>429</v>
      </c>
      <c r="F195" s="125">
        <v>2.0</v>
      </c>
      <c r="G195" s="124" t="s">
        <v>524</v>
      </c>
      <c r="H195" s="124" t="s">
        <v>127</v>
      </c>
      <c r="I195" s="125" t="s">
        <v>3073</v>
      </c>
      <c r="J195" s="123"/>
      <c r="K195" s="124" t="s">
        <v>111</v>
      </c>
      <c r="L195" s="125">
        <v>41.0</v>
      </c>
      <c r="M195" s="124" t="s">
        <v>3074</v>
      </c>
      <c r="N195" s="124" t="s">
        <v>3075</v>
      </c>
      <c r="O195" s="124" t="s">
        <v>3076</v>
      </c>
      <c r="P195" s="124">
        <v>2013.0</v>
      </c>
      <c r="Q195" s="124" t="s">
        <v>3077</v>
      </c>
      <c r="R195" s="123" t="s">
        <v>3078</v>
      </c>
      <c r="S195" s="123"/>
      <c r="T195" s="123" t="s">
        <v>428</v>
      </c>
      <c r="U195" s="123" t="s">
        <v>428</v>
      </c>
      <c r="V195" s="123"/>
      <c r="W195" s="123"/>
      <c r="X195" s="123"/>
      <c r="Y195" s="123"/>
      <c r="Z195" s="123"/>
      <c r="AA195" s="123"/>
      <c r="AB195" s="123"/>
      <c r="AC195" s="123"/>
      <c r="AD195" s="123"/>
      <c r="AE195" s="123"/>
      <c r="AF195" s="123"/>
      <c r="AG195" s="123"/>
      <c r="AH195" s="123"/>
      <c r="AI195" s="123"/>
      <c r="AJ195" s="123" t="s">
        <v>3079</v>
      </c>
    </row>
    <row r="196" ht="15.75" customHeight="1">
      <c r="A196" s="123">
        <v>198.0</v>
      </c>
      <c r="B196" s="124" t="s">
        <v>1230</v>
      </c>
      <c r="C196" s="124" t="s">
        <v>106</v>
      </c>
      <c r="D196" s="124" t="s">
        <v>64</v>
      </c>
      <c r="E196" s="124" t="s">
        <v>429</v>
      </c>
      <c r="F196" s="125">
        <v>2.0</v>
      </c>
      <c r="G196" s="124" t="s">
        <v>524</v>
      </c>
      <c r="H196" s="124" t="s">
        <v>267</v>
      </c>
      <c r="I196" s="125">
        <v>14000.0</v>
      </c>
      <c r="J196" s="123"/>
      <c r="K196" s="124" t="s">
        <v>687</v>
      </c>
      <c r="L196" s="125" t="s">
        <v>688</v>
      </c>
      <c r="M196" s="124" t="s">
        <v>689</v>
      </c>
      <c r="N196" s="124" t="s">
        <v>690</v>
      </c>
      <c r="O196" s="124" t="s">
        <v>691</v>
      </c>
      <c r="P196" s="124">
        <v>2014.0</v>
      </c>
      <c r="Q196" s="124" t="s">
        <v>692</v>
      </c>
      <c r="R196" s="127" t="str">
        <f>HYPERLINK("http://home.uchicago.edu/~haggag/Default_Tips.pdf","http://home.uchicago.edu/~haggag/Default_Tips.pdf")</f>
        <v>http://home.uchicago.edu/~haggag/Default_Tips.pdf</v>
      </c>
      <c r="S196" s="123"/>
      <c r="T196" s="123" t="s">
        <v>462</v>
      </c>
      <c r="U196" s="123" t="s">
        <v>462</v>
      </c>
      <c r="V196" s="123"/>
      <c r="W196" s="123"/>
      <c r="X196" s="123"/>
      <c r="Y196" s="123"/>
      <c r="Z196" s="123"/>
      <c r="AA196" s="123"/>
      <c r="AB196" s="123"/>
      <c r="AC196" s="123"/>
      <c r="AD196" s="123"/>
      <c r="AE196" s="123"/>
      <c r="AF196" s="123"/>
      <c r="AG196" s="123"/>
      <c r="AH196" s="123"/>
      <c r="AI196" s="123"/>
      <c r="AJ196" s="123"/>
    </row>
    <row r="197" ht="15.75" customHeight="1">
      <c r="A197" s="123">
        <v>199.0</v>
      </c>
      <c r="B197" s="124" t="s">
        <v>1230</v>
      </c>
      <c r="C197" s="124" t="s">
        <v>106</v>
      </c>
      <c r="D197" s="124" t="s">
        <v>64</v>
      </c>
      <c r="E197" s="124" t="s">
        <v>429</v>
      </c>
      <c r="F197" s="125">
        <v>2.0</v>
      </c>
      <c r="G197" s="124" t="s">
        <v>524</v>
      </c>
      <c r="H197" s="124" t="s">
        <v>388</v>
      </c>
      <c r="I197" s="125">
        <v>14000.0</v>
      </c>
      <c r="J197" s="123"/>
      <c r="K197" s="124" t="s">
        <v>289</v>
      </c>
      <c r="L197" s="125">
        <v>40.0</v>
      </c>
      <c r="M197" s="124" t="s">
        <v>5474</v>
      </c>
      <c r="N197" s="124" t="s">
        <v>5477</v>
      </c>
      <c r="O197" s="124" t="s">
        <v>5390</v>
      </c>
      <c r="P197" s="124">
        <v>2009.0</v>
      </c>
      <c r="Q197" s="124" t="s">
        <v>5479</v>
      </c>
      <c r="R197" s="123" t="s">
        <v>5480</v>
      </c>
      <c r="S197" s="123"/>
      <c r="T197" s="123" t="s">
        <v>462</v>
      </c>
      <c r="U197" s="123" t="s">
        <v>462</v>
      </c>
      <c r="V197" s="123"/>
      <c r="W197" s="123"/>
      <c r="X197" s="123"/>
      <c r="Y197" s="123"/>
      <c r="Z197" s="123"/>
      <c r="AA197" s="123"/>
      <c r="AB197" s="123"/>
      <c r="AC197" s="123"/>
      <c r="AD197" s="123"/>
      <c r="AE197" s="123"/>
      <c r="AF197" s="123"/>
      <c r="AG197" s="123"/>
      <c r="AH197" s="123"/>
      <c r="AI197" s="123"/>
      <c r="AJ197" s="123"/>
    </row>
    <row r="198" ht="15.75" customHeight="1">
      <c r="A198" s="123">
        <v>200.0</v>
      </c>
      <c r="B198" s="124" t="s">
        <v>1230</v>
      </c>
      <c r="C198" s="124" t="s">
        <v>106</v>
      </c>
      <c r="D198" s="124" t="s">
        <v>64</v>
      </c>
      <c r="E198" s="124" t="s">
        <v>429</v>
      </c>
      <c r="F198" s="125">
        <v>2.0</v>
      </c>
      <c r="G198" s="124" t="s">
        <v>524</v>
      </c>
      <c r="H198" s="124" t="s">
        <v>267</v>
      </c>
      <c r="I198" s="125">
        <v>14000.0</v>
      </c>
      <c r="J198" s="123"/>
      <c r="K198" s="124" t="s">
        <v>289</v>
      </c>
      <c r="L198" s="125">
        <v>40.0</v>
      </c>
      <c r="M198" s="124" t="s">
        <v>5485</v>
      </c>
      <c r="N198" s="124" t="s">
        <v>5486</v>
      </c>
      <c r="O198" s="124" t="s">
        <v>5487</v>
      </c>
      <c r="P198" s="124">
        <v>2003.0</v>
      </c>
      <c r="Q198" s="124" t="s">
        <v>5489</v>
      </c>
      <c r="R198" s="123" t="s">
        <v>5490</v>
      </c>
      <c r="S198" s="123"/>
      <c r="T198" s="123" t="s">
        <v>428</v>
      </c>
      <c r="U198" s="123" t="s">
        <v>428</v>
      </c>
      <c r="V198" s="123"/>
      <c r="W198" s="123"/>
      <c r="X198" s="123"/>
      <c r="Y198" s="123"/>
      <c r="Z198" s="123"/>
      <c r="AA198" s="123"/>
      <c r="AB198" s="123"/>
      <c r="AC198" s="123"/>
      <c r="AD198" s="123"/>
      <c r="AE198" s="123"/>
      <c r="AF198" s="123"/>
      <c r="AG198" s="123"/>
      <c r="AH198" s="123"/>
      <c r="AI198" s="123"/>
      <c r="AJ198" s="123"/>
    </row>
    <row r="199" ht="15.75" customHeight="1">
      <c r="A199" s="123">
        <v>201.0</v>
      </c>
      <c r="B199" s="124" t="s">
        <v>1230</v>
      </c>
      <c r="C199" s="124" t="s">
        <v>106</v>
      </c>
      <c r="D199" s="124" t="s">
        <v>64</v>
      </c>
      <c r="E199" s="124" t="s">
        <v>429</v>
      </c>
      <c r="F199" s="125">
        <v>2.0</v>
      </c>
      <c r="G199" s="124" t="s">
        <v>524</v>
      </c>
      <c r="H199" s="124" t="s">
        <v>5491</v>
      </c>
      <c r="I199" s="125">
        <v>3000.0</v>
      </c>
      <c r="J199" s="123"/>
      <c r="K199" s="124" t="s">
        <v>289</v>
      </c>
      <c r="L199" s="125">
        <v>40.0</v>
      </c>
      <c r="M199" s="124" t="s">
        <v>5492</v>
      </c>
      <c r="N199" s="124" t="s">
        <v>4230</v>
      </c>
      <c r="O199" s="124" t="s">
        <v>5493</v>
      </c>
      <c r="P199" s="124">
        <v>2013.0</v>
      </c>
      <c r="Q199" s="124" t="s">
        <v>753</v>
      </c>
      <c r="R199" s="123"/>
      <c r="S199" s="123"/>
      <c r="T199" s="123"/>
      <c r="U199" s="123"/>
      <c r="V199" s="123"/>
      <c r="W199" s="123"/>
      <c r="X199" s="123"/>
      <c r="Y199" s="123"/>
      <c r="Z199" s="123"/>
      <c r="AA199" s="123"/>
      <c r="AB199" s="123"/>
      <c r="AC199" s="123"/>
      <c r="AD199" s="123"/>
      <c r="AE199" s="123"/>
      <c r="AF199" s="123"/>
      <c r="AG199" s="123"/>
      <c r="AH199" s="123"/>
      <c r="AI199" s="123"/>
      <c r="AJ199" s="123"/>
    </row>
    <row r="200" ht="15.75" customHeight="1">
      <c r="A200" s="123">
        <v>202.0</v>
      </c>
      <c r="B200" s="124" t="s">
        <v>1230</v>
      </c>
      <c r="C200" s="124" t="s">
        <v>106</v>
      </c>
      <c r="D200" s="124" t="s">
        <v>64</v>
      </c>
      <c r="E200" s="124" t="s">
        <v>429</v>
      </c>
      <c r="F200" s="125">
        <v>2.0</v>
      </c>
      <c r="G200" s="124" t="s">
        <v>524</v>
      </c>
      <c r="H200" s="124" t="s">
        <v>388</v>
      </c>
      <c r="I200" s="125">
        <v>14000.0</v>
      </c>
      <c r="J200" s="123"/>
      <c r="K200" s="124" t="s">
        <v>289</v>
      </c>
      <c r="L200" s="125">
        <v>40.0</v>
      </c>
      <c r="M200" s="124" t="s">
        <v>5494</v>
      </c>
      <c r="N200" s="124" t="s">
        <v>5495</v>
      </c>
      <c r="O200" s="124" t="s">
        <v>610</v>
      </c>
      <c r="P200" s="124">
        <v>2016.0</v>
      </c>
      <c r="Q200" s="130" t="s">
        <v>5501</v>
      </c>
      <c r="R200" s="127" t="str">
        <f>HYPERLINK("http://home.uchicago.edu/davetannenbaum/documents/default%20information%20asymmetries.pdf","http://home.uchicago.edu/davetannenbaum/documents/default%20information%20asymmetries.pdf")</f>
        <v>http://home.uchicago.edu/davetannenbaum/documents/default%20information%20asymmetries.pdf</v>
      </c>
      <c r="S200" s="123"/>
      <c r="T200" s="123" t="s">
        <v>462</v>
      </c>
      <c r="U200" s="123" t="s">
        <v>462</v>
      </c>
      <c r="V200" s="123"/>
      <c r="W200" s="123"/>
      <c r="X200" s="123"/>
      <c r="Y200" s="123"/>
      <c r="Z200" s="123"/>
      <c r="AA200" s="123"/>
      <c r="AB200" s="123"/>
      <c r="AC200" s="123"/>
      <c r="AD200" s="123"/>
      <c r="AE200" s="123"/>
      <c r="AF200" s="123"/>
      <c r="AG200" s="123"/>
      <c r="AH200" s="123"/>
      <c r="AI200" s="123"/>
      <c r="AJ200" s="123"/>
    </row>
    <row r="201" ht="15.75" customHeight="1">
      <c r="A201" s="123">
        <v>203.0</v>
      </c>
      <c r="B201" s="124" t="s">
        <v>1230</v>
      </c>
      <c r="C201" s="124" t="s">
        <v>106</v>
      </c>
      <c r="D201" s="124" t="s">
        <v>64</v>
      </c>
      <c r="E201" s="124" t="s">
        <v>429</v>
      </c>
      <c r="F201" s="125">
        <v>2.0</v>
      </c>
      <c r="G201" s="130" t="s">
        <v>3415</v>
      </c>
      <c r="H201" s="124" t="s">
        <v>605</v>
      </c>
      <c r="I201" s="125">
        <v>4000.0</v>
      </c>
      <c r="J201" s="123"/>
      <c r="K201" s="124" t="s">
        <v>2012</v>
      </c>
      <c r="L201" s="125" t="s">
        <v>2013</v>
      </c>
      <c r="M201" s="124" t="s">
        <v>4766</v>
      </c>
      <c r="N201" s="124" t="s">
        <v>4767</v>
      </c>
      <c r="O201" s="124" t="s">
        <v>4769</v>
      </c>
      <c r="P201" s="124">
        <v>1980.0</v>
      </c>
      <c r="Q201" s="124" t="s">
        <v>4771</v>
      </c>
      <c r="R201" s="127" t="str">
        <f>HYPERLINK("http://www.ncbi.nlm.nih.gov/pmc/articles/PMC1308167/pdf/jaba00050-0077.pdf","http://www.ncbi.nlm.nih.gov/pmc/articles/PMC1308167/pdf/jaba00050-0077.pdf")</f>
        <v>http://www.ncbi.nlm.nih.gov/pmc/articles/PMC1308167/pdf/jaba00050-0077.pdf</v>
      </c>
      <c r="S201" s="123"/>
      <c r="T201" s="123" t="s">
        <v>428</v>
      </c>
      <c r="U201" s="123" t="s">
        <v>462</v>
      </c>
      <c r="V201" s="123"/>
      <c r="W201" s="123"/>
      <c r="X201" s="123"/>
      <c r="Y201" s="123"/>
      <c r="Z201" s="123"/>
      <c r="AA201" s="123"/>
      <c r="AB201" s="123"/>
      <c r="AC201" s="123"/>
      <c r="AD201" s="123"/>
      <c r="AE201" s="123"/>
      <c r="AF201" s="123"/>
      <c r="AG201" s="123"/>
      <c r="AH201" s="123"/>
      <c r="AI201" s="123"/>
      <c r="AJ201" s="123" t="s">
        <v>4782</v>
      </c>
    </row>
    <row r="202" ht="15.75" customHeight="1">
      <c r="A202" s="123">
        <v>204.0</v>
      </c>
      <c r="B202" s="124" t="s">
        <v>1230</v>
      </c>
      <c r="C202" s="124" t="s">
        <v>106</v>
      </c>
      <c r="D202" s="124" t="s">
        <v>64</v>
      </c>
      <c r="E202" s="124" t="s">
        <v>429</v>
      </c>
      <c r="F202" s="125">
        <v>2.0</v>
      </c>
      <c r="G202" s="130" t="s">
        <v>3415</v>
      </c>
      <c r="H202" s="124" t="s">
        <v>3560</v>
      </c>
      <c r="I202" s="125" t="s">
        <v>3559</v>
      </c>
      <c r="J202" s="123"/>
      <c r="K202" s="124" t="s">
        <v>111</v>
      </c>
      <c r="L202" s="125">
        <v>41.0</v>
      </c>
      <c r="M202" s="124" t="s">
        <v>3561</v>
      </c>
      <c r="N202" s="124" t="s">
        <v>3562</v>
      </c>
      <c r="O202" s="124" t="s">
        <v>3563</v>
      </c>
      <c r="P202" s="124">
        <v>2011.0</v>
      </c>
      <c r="Q202" s="124" t="s">
        <v>3564</v>
      </c>
      <c r="R202" s="123"/>
      <c r="S202" s="123"/>
      <c r="T202" s="123"/>
      <c r="U202" s="123"/>
      <c r="V202" s="123"/>
      <c r="W202" s="123"/>
      <c r="X202" s="123"/>
      <c r="Y202" s="123"/>
      <c r="Z202" s="123"/>
      <c r="AA202" s="123"/>
      <c r="AB202" s="123"/>
      <c r="AC202" s="123"/>
      <c r="AD202" s="123"/>
      <c r="AE202" s="123"/>
      <c r="AF202" s="123"/>
      <c r="AG202" s="123"/>
      <c r="AH202" s="123"/>
      <c r="AI202" s="123"/>
      <c r="AJ202" s="123"/>
    </row>
    <row r="203" ht="15.75" customHeight="1">
      <c r="A203" s="123">
        <v>205.0</v>
      </c>
      <c r="B203" s="124" t="s">
        <v>1230</v>
      </c>
      <c r="C203" s="124" t="s">
        <v>106</v>
      </c>
      <c r="D203" s="124" t="s">
        <v>64</v>
      </c>
      <c r="E203" s="124" t="s">
        <v>429</v>
      </c>
      <c r="F203" s="125">
        <v>2.0</v>
      </c>
      <c r="G203" s="130" t="s">
        <v>3415</v>
      </c>
      <c r="H203" s="124" t="s">
        <v>5527</v>
      </c>
      <c r="I203" s="125" t="s">
        <v>5528</v>
      </c>
      <c r="J203" s="123"/>
      <c r="K203" s="124" t="s">
        <v>4386</v>
      </c>
      <c r="L203" s="125" t="s">
        <v>4387</v>
      </c>
      <c r="M203" s="124" t="s">
        <v>5530</v>
      </c>
      <c r="N203" s="124" t="s">
        <v>5531</v>
      </c>
      <c r="O203" s="124" t="s">
        <v>5533</v>
      </c>
      <c r="P203" s="124">
        <v>2014.0</v>
      </c>
      <c r="Q203" s="79" t="s">
        <v>5535</v>
      </c>
      <c r="R203" s="123" t="s">
        <v>5536</v>
      </c>
      <c r="S203" s="123"/>
      <c r="T203" s="123" t="s">
        <v>462</v>
      </c>
      <c r="U203" s="123" t="s">
        <v>462</v>
      </c>
      <c r="V203" s="123"/>
      <c r="W203" s="123"/>
      <c r="X203" s="123" t="s">
        <v>561</v>
      </c>
      <c r="Y203" s="123" t="s">
        <v>5537</v>
      </c>
      <c r="Z203" s="129">
        <v>42499.0</v>
      </c>
      <c r="AA203" s="123"/>
      <c r="AB203" s="123"/>
      <c r="AC203" s="123"/>
      <c r="AD203" s="123"/>
      <c r="AE203" s="123"/>
      <c r="AF203" s="123"/>
      <c r="AG203" s="123"/>
      <c r="AH203" s="123"/>
      <c r="AI203" s="123"/>
      <c r="AJ203" s="123"/>
    </row>
    <row r="204" ht="15.75" customHeight="1">
      <c r="A204" s="123">
        <v>206.0</v>
      </c>
      <c r="B204" s="124" t="s">
        <v>1230</v>
      </c>
      <c r="C204" s="124" t="s">
        <v>106</v>
      </c>
      <c r="D204" s="124" t="s">
        <v>64</v>
      </c>
      <c r="E204" s="124" t="s">
        <v>429</v>
      </c>
      <c r="F204" s="125">
        <v>2.0</v>
      </c>
      <c r="G204" s="130" t="s">
        <v>3415</v>
      </c>
      <c r="H204" s="124" t="s">
        <v>1052</v>
      </c>
      <c r="I204" s="125">
        <v>21000.0</v>
      </c>
      <c r="J204" s="123"/>
      <c r="K204" s="124" t="s">
        <v>289</v>
      </c>
      <c r="L204" s="125">
        <v>40.0</v>
      </c>
      <c r="M204" s="124" t="s">
        <v>3416</v>
      </c>
      <c r="N204" s="124" t="s">
        <v>3417</v>
      </c>
      <c r="O204" s="124" t="s">
        <v>3263</v>
      </c>
      <c r="P204" s="124">
        <v>2009.0</v>
      </c>
      <c r="Q204" s="124" t="s">
        <v>3418</v>
      </c>
      <c r="R204" s="123" t="s">
        <v>3419</v>
      </c>
      <c r="S204" s="123"/>
      <c r="T204" s="123" t="s">
        <v>926</v>
      </c>
      <c r="U204" s="123" t="s">
        <v>462</v>
      </c>
      <c r="V204" s="123"/>
      <c r="W204" s="123"/>
      <c r="X204" s="123" t="s">
        <v>561</v>
      </c>
      <c r="Y204" s="123" t="s">
        <v>3420</v>
      </c>
      <c r="Z204" s="129">
        <v>42495.0</v>
      </c>
      <c r="AA204" s="123"/>
      <c r="AB204" s="123"/>
      <c r="AC204" s="123"/>
      <c r="AD204" s="123"/>
      <c r="AE204" s="123"/>
      <c r="AF204" s="123"/>
      <c r="AG204" s="123"/>
      <c r="AH204" s="123"/>
      <c r="AI204" s="123"/>
      <c r="AJ204" s="123"/>
    </row>
    <row r="205" ht="15.75" customHeight="1">
      <c r="A205" s="123">
        <v>207.0</v>
      </c>
      <c r="B205" s="124" t="s">
        <v>1230</v>
      </c>
      <c r="C205" s="124" t="s">
        <v>106</v>
      </c>
      <c r="D205" s="124" t="s">
        <v>64</v>
      </c>
      <c r="E205" s="124" t="s">
        <v>429</v>
      </c>
      <c r="F205" s="125">
        <v>2.0</v>
      </c>
      <c r="G205" s="124" t="s">
        <v>3176</v>
      </c>
      <c r="H205" s="124" t="s">
        <v>470</v>
      </c>
      <c r="I205" s="125">
        <v>3000.0</v>
      </c>
      <c r="J205" s="123"/>
      <c r="K205" s="124" t="s">
        <v>111</v>
      </c>
      <c r="L205" s="125">
        <v>41.0</v>
      </c>
      <c r="M205" s="124" t="s">
        <v>3177</v>
      </c>
      <c r="N205" s="124" t="s">
        <v>3178</v>
      </c>
      <c r="O205" s="124" t="s">
        <v>3123</v>
      </c>
      <c r="P205" s="124">
        <v>2007.0</v>
      </c>
      <c r="Q205" s="124" t="s">
        <v>3179</v>
      </c>
      <c r="R205" s="123"/>
      <c r="S205" s="123"/>
      <c r="T205" s="123"/>
      <c r="U205" s="123"/>
      <c r="V205" s="123"/>
      <c r="W205" s="123"/>
      <c r="X205" s="123"/>
      <c r="Y205" s="123"/>
      <c r="Z205" s="123"/>
      <c r="AA205" s="123"/>
      <c r="AB205" s="123"/>
      <c r="AC205" s="123"/>
      <c r="AD205" s="123"/>
      <c r="AE205" s="123"/>
      <c r="AF205" s="123"/>
      <c r="AG205" s="123"/>
      <c r="AH205" s="123"/>
      <c r="AI205" s="123"/>
      <c r="AJ205" s="123"/>
    </row>
    <row r="206" ht="15.75" customHeight="1">
      <c r="A206" s="123">
        <v>208.0</v>
      </c>
      <c r="B206" s="124" t="s">
        <v>1230</v>
      </c>
      <c r="C206" s="124" t="s">
        <v>106</v>
      </c>
      <c r="D206" s="124" t="s">
        <v>64</v>
      </c>
      <c r="E206" s="124" t="s">
        <v>429</v>
      </c>
      <c r="F206" s="125">
        <v>2.0</v>
      </c>
      <c r="G206" s="124" t="s">
        <v>5545</v>
      </c>
      <c r="H206" s="124" t="s">
        <v>5547</v>
      </c>
      <c r="I206" s="125">
        <v>3000.0</v>
      </c>
      <c r="J206" s="123"/>
      <c r="K206" s="124" t="s">
        <v>111</v>
      </c>
      <c r="L206" s="125">
        <v>41.0</v>
      </c>
      <c r="M206" s="124" t="s">
        <v>5550</v>
      </c>
      <c r="N206" s="124" t="s">
        <v>5551</v>
      </c>
      <c r="O206" s="124" t="s">
        <v>5552</v>
      </c>
      <c r="P206" s="124">
        <v>2003.0</v>
      </c>
      <c r="Q206" s="124" t="s">
        <v>5554</v>
      </c>
      <c r="R206" s="123"/>
      <c r="S206" s="123"/>
      <c r="T206" s="123"/>
      <c r="U206" s="123"/>
      <c r="V206" s="123"/>
      <c r="W206" s="123"/>
      <c r="X206" s="123"/>
      <c r="Y206" s="123"/>
      <c r="Z206" s="123"/>
      <c r="AA206" s="123"/>
      <c r="AB206" s="123"/>
      <c r="AC206" s="123"/>
      <c r="AD206" s="123"/>
      <c r="AE206" s="123"/>
      <c r="AF206" s="123"/>
      <c r="AG206" s="123"/>
      <c r="AH206" s="123"/>
      <c r="AI206" s="123"/>
      <c r="AJ206" s="123"/>
    </row>
    <row r="207" ht="15.75" customHeight="1">
      <c r="A207" s="123">
        <v>209.0</v>
      </c>
      <c r="B207" s="124" t="s">
        <v>1230</v>
      </c>
      <c r="C207" s="124" t="s">
        <v>106</v>
      </c>
      <c r="D207" s="124" t="s">
        <v>64</v>
      </c>
      <c r="E207" s="124" t="s">
        <v>429</v>
      </c>
      <c r="F207" s="125">
        <v>2.0</v>
      </c>
      <c r="G207" s="124" t="s">
        <v>3181</v>
      </c>
      <c r="H207" s="124" t="s">
        <v>470</v>
      </c>
      <c r="I207" s="125">
        <v>3000.0</v>
      </c>
      <c r="J207" s="123"/>
      <c r="K207" s="124" t="s">
        <v>2012</v>
      </c>
      <c r="L207" s="125" t="s">
        <v>2013</v>
      </c>
      <c r="M207" s="124" t="s">
        <v>3182</v>
      </c>
      <c r="N207" s="124" t="s">
        <v>3183</v>
      </c>
      <c r="O207" s="124" t="s">
        <v>3123</v>
      </c>
      <c r="P207" s="124">
        <v>2004.0</v>
      </c>
      <c r="Q207" s="124" t="s">
        <v>3188</v>
      </c>
      <c r="R207" s="123"/>
      <c r="S207" s="123"/>
      <c r="T207" s="123"/>
      <c r="U207" s="123"/>
      <c r="V207" s="123"/>
      <c r="W207" s="123"/>
      <c r="X207" s="123"/>
      <c r="Y207" s="123"/>
      <c r="Z207" s="123"/>
      <c r="AA207" s="123"/>
      <c r="AB207" s="123"/>
      <c r="AC207" s="123"/>
      <c r="AD207" s="123"/>
      <c r="AE207" s="123"/>
      <c r="AF207" s="123"/>
      <c r="AG207" s="123"/>
      <c r="AH207" s="123"/>
      <c r="AI207" s="123"/>
      <c r="AJ207" s="123"/>
    </row>
    <row r="208" ht="15.75" customHeight="1">
      <c r="A208" s="123">
        <v>211.0</v>
      </c>
      <c r="B208" s="124" t="s">
        <v>1230</v>
      </c>
      <c r="C208" s="124" t="s">
        <v>106</v>
      </c>
      <c r="D208" s="139" t="s">
        <v>64</v>
      </c>
      <c r="E208" s="124" t="s">
        <v>323</v>
      </c>
      <c r="F208" s="125">
        <v>11.0</v>
      </c>
      <c r="G208" s="124" t="s">
        <v>3193</v>
      </c>
      <c r="H208" s="139" t="s">
        <v>3107</v>
      </c>
      <c r="I208" s="125">
        <v>3000.0</v>
      </c>
      <c r="J208" s="140"/>
      <c r="K208" s="139" t="s">
        <v>324</v>
      </c>
      <c r="L208" s="125" t="s">
        <v>325</v>
      </c>
      <c r="M208" s="139" t="s">
        <v>5563</v>
      </c>
      <c r="N208" s="124" t="s">
        <v>5564</v>
      </c>
      <c r="O208" s="139" t="s">
        <v>5561</v>
      </c>
      <c r="P208" s="139">
        <v>2000.0</v>
      </c>
      <c r="Q208" s="139" t="s">
        <v>5565</v>
      </c>
      <c r="R208" s="139"/>
      <c r="S208" s="139"/>
      <c r="T208" s="139"/>
      <c r="U208" s="139"/>
      <c r="V208" s="139"/>
      <c r="W208" s="139"/>
      <c r="X208" s="139"/>
      <c r="Y208" s="139"/>
      <c r="Z208" s="139"/>
      <c r="AA208" s="139"/>
      <c r="AB208" s="139"/>
      <c r="AC208" s="139"/>
      <c r="AD208" s="139"/>
      <c r="AE208" s="139"/>
      <c r="AF208" s="139"/>
      <c r="AG208" s="139"/>
      <c r="AH208" s="139"/>
      <c r="AI208" s="139"/>
      <c r="AJ208" s="139"/>
    </row>
    <row r="209" ht="15.75" customHeight="1">
      <c r="A209" s="123">
        <v>212.0</v>
      </c>
      <c r="B209" s="124" t="s">
        <v>1230</v>
      </c>
      <c r="C209" s="124" t="s">
        <v>106</v>
      </c>
      <c r="D209" s="124" t="s">
        <v>64</v>
      </c>
      <c r="E209" s="124" t="s">
        <v>5566</v>
      </c>
      <c r="F209" s="125" t="s">
        <v>5567</v>
      </c>
      <c r="G209" s="124" t="s">
        <v>5568</v>
      </c>
      <c r="H209" s="124" t="s">
        <v>5569</v>
      </c>
      <c r="I209" s="125" t="s">
        <v>3606</v>
      </c>
      <c r="J209" s="123"/>
      <c r="K209" s="124" t="s">
        <v>289</v>
      </c>
      <c r="L209" s="125">
        <v>40.0</v>
      </c>
      <c r="M209" s="124" t="s">
        <v>5570</v>
      </c>
      <c r="N209" s="124" t="s">
        <v>5571</v>
      </c>
      <c r="O209" s="124" t="s">
        <v>5572</v>
      </c>
      <c r="P209" s="124">
        <v>1990.0</v>
      </c>
      <c r="Q209" s="124" t="s">
        <v>5575</v>
      </c>
      <c r="R209" s="123"/>
      <c r="S209" s="123"/>
      <c r="T209" s="123"/>
      <c r="U209" s="123"/>
      <c r="V209" s="123"/>
      <c r="W209" s="123"/>
      <c r="X209" s="123"/>
      <c r="Y209" s="123"/>
      <c r="Z209" s="123"/>
      <c r="AA209" s="123"/>
      <c r="AB209" s="123"/>
      <c r="AC209" s="123"/>
      <c r="AD209" s="123"/>
      <c r="AE209" s="123"/>
      <c r="AF209" s="123"/>
      <c r="AG209" s="123"/>
      <c r="AH209" s="123"/>
      <c r="AI209" s="123"/>
      <c r="AJ209" s="123"/>
    </row>
    <row r="210" ht="15.75" customHeight="1">
      <c r="A210" s="123">
        <v>213.0</v>
      </c>
      <c r="B210" s="124" t="s">
        <v>1230</v>
      </c>
      <c r="C210" s="124" t="s">
        <v>106</v>
      </c>
      <c r="D210" s="124" t="s">
        <v>64</v>
      </c>
      <c r="E210" s="124" t="s">
        <v>421</v>
      </c>
      <c r="F210" s="125">
        <v>11.0</v>
      </c>
      <c r="G210" s="124" t="s">
        <v>3193</v>
      </c>
      <c r="H210" s="124" t="s">
        <v>470</v>
      </c>
      <c r="I210" s="125">
        <v>3000.0</v>
      </c>
      <c r="J210" s="123"/>
      <c r="K210" s="124" t="s">
        <v>289</v>
      </c>
      <c r="L210" s="125">
        <v>40.0</v>
      </c>
      <c r="M210" s="124" t="s">
        <v>5573</v>
      </c>
      <c r="N210" s="124" t="s">
        <v>5574</v>
      </c>
      <c r="O210" s="124" t="s">
        <v>5561</v>
      </c>
      <c r="P210" s="124">
        <v>2005.0</v>
      </c>
      <c r="Q210" s="124" t="s">
        <v>5576</v>
      </c>
      <c r="R210" s="123"/>
      <c r="S210" s="123"/>
      <c r="T210" s="123"/>
      <c r="U210" s="123"/>
      <c r="V210" s="123"/>
      <c r="W210" s="123"/>
      <c r="X210" s="123"/>
      <c r="Y210" s="123"/>
      <c r="Z210" s="123"/>
      <c r="AA210" s="123"/>
      <c r="AB210" s="123"/>
      <c r="AC210" s="123"/>
      <c r="AD210" s="123"/>
      <c r="AE210" s="123"/>
      <c r="AF210" s="123"/>
      <c r="AG210" s="123"/>
      <c r="AH210" s="123"/>
      <c r="AI210" s="123"/>
      <c r="AJ210" s="123"/>
    </row>
    <row r="211" ht="15.75" customHeight="1">
      <c r="A211" s="123">
        <v>214.0</v>
      </c>
      <c r="B211" s="124" t="s">
        <v>1230</v>
      </c>
      <c r="C211" s="124" t="s">
        <v>106</v>
      </c>
      <c r="D211" s="124" t="s">
        <v>64</v>
      </c>
      <c r="E211" s="124" t="s">
        <v>5580</v>
      </c>
      <c r="F211" s="125" t="s">
        <v>2595</v>
      </c>
      <c r="G211" s="124" t="s">
        <v>5581</v>
      </c>
      <c r="H211" s="124" t="s">
        <v>5582</v>
      </c>
      <c r="I211" s="125" t="s">
        <v>2905</v>
      </c>
      <c r="J211" s="123"/>
      <c r="K211" s="124" t="s">
        <v>289</v>
      </c>
      <c r="L211" s="125">
        <v>40.0</v>
      </c>
      <c r="M211" s="124" t="s">
        <v>5583</v>
      </c>
      <c r="N211" s="124" t="s">
        <v>5584</v>
      </c>
      <c r="O211" s="124" t="s">
        <v>5585</v>
      </c>
      <c r="P211" s="124">
        <v>2008.0</v>
      </c>
      <c r="Q211" s="124" t="s">
        <v>5586</v>
      </c>
      <c r="R211" s="123"/>
      <c r="S211" s="123"/>
      <c r="T211" s="123"/>
      <c r="U211" s="123"/>
      <c r="V211" s="123"/>
      <c r="W211" s="123"/>
      <c r="X211" s="123"/>
      <c r="Y211" s="123"/>
      <c r="Z211" s="123"/>
      <c r="AA211" s="123"/>
      <c r="AB211" s="123"/>
      <c r="AC211" s="123"/>
      <c r="AD211" s="123"/>
      <c r="AE211" s="123"/>
      <c r="AF211" s="123"/>
      <c r="AG211" s="123"/>
      <c r="AH211" s="123"/>
      <c r="AI211" s="123"/>
      <c r="AJ211" s="123"/>
    </row>
    <row r="212" ht="15.75" customHeight="1">
      <c r="A212" s="123">
        <v>215.0</v>
      </c>
      <c r="B212" s="124" t="s">
        <v>1230</v>
      </c>
      <c r="C212" s="124" t="s">
        <v>106</v>
      </c>
      <c r="D212" s="124" t="s">
        <v>64</v>
      </c>
      <c r="E212" s="124" t="s">
        <v>323</v>
      </c>
      <c r="F212" s="125">
        <v>11.0</v>
      </c>
      <c r="G212" s="124" t="s">
        <v>3193</v>
      </c>
      <c r="H212" s="124" t="s">
        <v>470</v>
      </c>
      <c r="I212" s="125">
        <v>3000.0</v>
      </c>
      <c r="J212" s="123"/>
      <c r="K212" s="124" t="s">
        <v>111</v>
      </c>
      <c r="L212" s="125">
        <v>41.0</v>
      </c>
      <c r="M212" s="124" t="s">
        <v>3194</v>
      </c>
      <c r="N212" s="124" t="s">
        <v>3195</v>
      </c>
      <c r="O212" s="124" t="s">
        <v>3123</v>
      </c>
      <c r="P212" s="124">
        <v>1997.0</v>
      </c>
      <c r="Q212" s="124" t="s">
        <v>3199</v>
      </c>
      <c r="R212" s="123"/>
      <c r="S212" s="123"/>
      <c r="T212" s="123"/>
      <c r="U212" s="123"/>
      <c r="V212" s="123"/>
      <c r="W212" s="123"/>
      <c r="X212" s="123"/>
      <c r="Y212" s="123"/>
      <c r="Z212" s="123"/>
      <c r="AA212" s="123"/>
      <c r="AB212" s="123"/>
      <c r="AC212" s="123"/>
      <c r="AD212" s="123"/>
      <c r="AE212" s="123"/>
      <c r="AF212" s="123"/>
      <c r="AG212" s="123"/>
      <c r="AH212" s="123"/>
      <c r="AI212" s="123"/>
      <c r="AJ212" s="123"/>
    </row>
    <row r="213" ht="15.75" customHeight="1">
      <c r="A213" s="123">
        <v>218.0</v>
      </c>
      <c r="B213" s="124" t="s">
        <v>1230</v>
      </c>
      <c r="C213" s="124" t="s">
        <v>106</v>
      </c>
      <c r="D213" s="124" t="s">
        <v>64</v>
      </c>
      <c r="E213" s="124" t="s">
        <v>429</v>
      </c>
      <c r="F213" s="125">
        <v>2.0</v>
      </c>
      <c r="G213" s="124" t="s">
        <v>378</v>
      </c>
      <c r="H213" s="124" t="s">
        <v>1052</v>
      </c>
      <c r="I213" s="125">
        <v>21000.0</v>
      </c>
      <c r="J213" s="123"/>
      <c r="K213" s="124" t="s">
        <v>4386</v>
      </c>
      <c r="L213" s="125" t="s">
        <v>4387</v>
      </c>
      <c r="M213" s="124" t="s">
        <v>4388</v>
      </c>
      <c r="N213" s="124" t="s">
        <v>4389</v>
      </c>
      <c r="O213" s="124" t="s">
        <v>4390</v>
      </c>
      <c r="P213" s="124">
        <v>1997.0</v>
      </c>
      <c r="Q213" s="124" t="s">
        <v>4393</v>
      </c>
      <c r="R213" s="123" t="s">
        <v>4395</v>
      </c>
      <c r="S213" s="123"/>
      <c r="T213" s="123" t="s">
        <v>926</v>
      </c>
      <c r="U213" s="123" t="s">
        <v>462</v>
      </c>
      <c r="V213" s="123"/>
      <c r="W213" s="123"/>
      <c r="X213" s="123"/>
      <c r="Y213" s="123"/>
      <c r="Z213" s="129"/>
      <c r="AA213" s="123"/>
      <c r="AB213" s="123"/>
      <c r="AC213" s="123"/>
      <c r="AD213" s="123"/>
      <c r="AE213" s="123"/>
      <c r="AF213" s="123"/>
      <c r="AG213" s="123"/>
      <c r="AH213" s="123"/>
      <c r="AI213" s="123"/>
      <c r="AJ213" s="123"/>
    </row>
    <row r="214" ht="15.75" customHeight="1">
      <c r="A214" s="123">
        <v>219.0</v>
      </c>
      <c r="B214" s="124" t="s">
        <v>1230</v>
      </c>
      <c r="C214" s="124" t="s">
        <v>106</v>
      </c>
      <c r="D214" s="124" t="s">
        <v>64</v>
      </c>
      <c r="E214" s="124" t="s">
        <v>429</v>
      </c>
      <c r="F214" s="125">
        <v>2.0</v>
      </c>
      <c r="G214" s="124" t="s">
        <v>378</v>
      </c>
      <c r="H214" s="124" t="s">
        <v>918</v>
      </c>
      <c r="I214" s="125">
        <v>10000.0</v>
      </c>
      <c r="J214" s="123"/>
      <c r="K214" s="124" t="s">
        <v>324</v>
      </c>
      <c r="L214" s="125" t="s">
        <v>325</v>
      </c>
      <c r="M214" s="124" t="s">
        <v>5587</v>
      </c>
      <c r="N214" s="124" t="s">
        <v>5588</v>
      </c>
      <c r="O214" s="124" t="s">
        <v>3953</v>
      </c>
      <c r="P214" s="124">
        <v>2003.0</v>
      </c>
      <c r="Q214" s="124" t="s">
        <v>5589</v>
      </c>
      <c r="R214" s="127" t="str">
        <f>HYPERLINK("http://www.ncbi.nlm.nih.gov/pubmed/12930475","http://www.ncbi.nlm.nih.gov/pubmed/12930475")</f>
        <v>http://www.ncbi.nlm.nih.gov/pubmed/12930475</v>
      </c>
      <c r="S214" s="123"/>
      <c r="T214" s="123" t="s">
        <v>462</v>
      </c>
      <c r="U214" s="123" t="s">
        <v>462</v>
      </c>
      <c r="V214" s="123"/>
      <c r="W214" s="123"/>
      <c r="X214" s="123"/>
      <c r="Y214" s="123"/>
      <c r="Z214" s="123"/>
      <c r="AA214" s="123"/>
      <c r="AB214" s="123"/>
      <c r="AC214" s="123"/>
      <c r="AD214" s="123"/>
      <c r="AE214" s="123"/>
      <c r="AF214" s="123"/>
      <c r="AG214" s="123"/>
      <c r="AH214" s="123"/>
      <c r="AI214" s="123"/>
      <c r="AJ214" s="123"/>
    </row>
    <row r="215" ht="15.75" customHeight="1">
      <c r="A215" s="123">
        <v>220.0</v>
      </c>
      <c r="B215" s="124" t="s">
        <v>1230</v>
      </c>
      <c r="C215" s="124" t="s">
        <v>106</v>
      </c>
      <c r="D215" s="124" t="s">
        <v>64</v>
      </c>
      <c r="E215" s="124" t="s">
        <v>429</v>
      </c>
      <c r="F215" s="125">
        <v>2.0</v>
      </c>
      <c r="G215" s="124" t="s">
        <v>378</v>
      </c>
      <c r="H215" s="124" t="s">
        <v>4551</v>
      </c>
      <c r="I215" s="125">
        <v>21000.0</v>
      </c>
      <c r="J215" s="123"/>
      <c r="K215" s="124" t="s">
        <v>152</v>
      </c>
      <c r="L215" s="125">
        <v>42.0</v>
      </c>
      <c r="M215" s="79" t="s">
        <v>4553</v>
      </c>
      <c r="N215" s="79" t="s">
        <v>4554</v>
      </c>
      <c r="O215" s="124" t="s">
        <v>4557</v>
      </c>
      <c r="P215" s="124">
        <v>2009.0</v>
      </c>
      <c r="Q215" s="117" t="s">
        <v>4563</v>
      </c>
      <c r="R215" s="123" t="s">
        <v>4565</v>
      </c>
      <c r="S215" s="123"/>
      <c r="T215" s="123" t="s">
        <v>428</v>
      </c>
      <c r="U215" s="123" t="s">
        <v>462</v>
      </c>
      <c r="V215" s="123"/>
      <c r="W215" s="123"/>
      <c r="X215" s="123"/>
      <c r="Y215" s="123"/>
      <c r="Z215" s="123"/>
      <c r="AA215" s="123"/>
      <c r="AB215" s="123"/>
      <c r="AC215" s="123"/>
      <c r="AD215" s="123"/>
      <c r="AE215" s="123"/>
      <c r="AF215" s="123"/>
      <c r="AG215" s="123"/>
      <c r="AH215" s="123"/>
      <c r="AI215" s="123"/>
      <c r="AJ215" s="123"/>
    </row>
    <row r="216" ht="15.75" customHeight="1">
      <c r="A216" s="123">
        <v>221.0</v>
      </c>
      <c r="B216" s="124" t="s">
        <v>1230</v>
      </c>
      <c r="C216" s="124" t="s">
        <v>106</v>
      </c>
      <c r="D216" s="124" t="s">
        <v>64</v>
      </c>
      <c r="E216" s="124" t="s">
        <v>376</v>
      </c>
      <c r="F216" s="125">
        <v>2.0</v>
      </c>
      <c r="G216" s="124" t="s">
        <v>5161</v>
      </c>
      <c r="H216" s="124" t="s">
        <v>942</v>
      </c>
      <c r="I216" s="125">
        <v>2000.0</v>
      </c>
      <c r="J216" s="123"/>
      <c r="K216" s="124" t="s">
        <v>111</v>
      </c>
      <c r="L216" s="125">
        <v>41.0</v>
      </c>
      <c r="M216" s="124" t="s">
        <v>5162</v>
      </c>
      <c r="N216" s="124" t="s">
        <v>5163</v>
      </c>
      <c r="O216" s="124" t="s">
        <v>3992</v>
      </c>
      <c r="P216" s="124">
        <v>2014.0</v>
      </c>
      <c r="Q216" s="124" t="s">
        <v>5167</v>
      </c>
      <c r="R216" s="123" t="s">
        <v>5168</v>
      </c>
      <c r="S216" s="123"/>
      <c r="T216" s="123" t="s">
        <v>462</v>
      </c>
      <c r="U216" s="123" t="s">
        <v>462</v>
      </c>
      <c r="V216" s="123"/>
      <c r="W216" s="123"/>
      <c r="X216" s="123"/>
      <c r="Y216" s="123"/>
      <c r="Z216" s="123"/>
      <c r="AA216" s="123"/>
      <c r="AB216" s="123"/>
      <c r="AC216" s="123"/>
      <c r="AD216" s="123"/>
      <c r="AE216" s="123"/>
      <c r="AF216" s="123"/>
      <c r="AG216" s="123"/>
      <c r="AH216" s="123"/>
      <c r="AI216" s="123"/>
      <c r="AJ216" s="123" t="s">
        <v>5169</v>
      </c>
    </row>
    <row r="217" ht="15.75" customHeight="1">
      <c r="A217" s="123">
        <v>222.0</v>
      </c>
      <c r="B217" s="124" t="s">
        <v>1230</v>
      </c>
      <c r="C217" s="124" t="s">
        <v>106</v>
      </c>
      <c r="D217" s="124" t="s">
        <v>64</v>
      </c>
      <c r="E217" s="124" t="s">
        <v>376</v>
      </c>
      <c r="F217" s="125">
        <v>2.0</v>
      </c>
      <c r="G217" s="124" t="s">
        <v>5161</v>
      </c>
      <c r="H217" s="124" t="s">
        <v>3572</v>
      </c>
      <c r="I217" s="125">
        <v>16000.0</v>
      </c>
      <c r="J217" s="123"/>
      <c r="K217" s="124" t="s">
        <v>298</v>
      </c>
      <c r="L217" s="125">
        <v>44.0</v>
      </c>
      <c r="M217" s="124" t="s">
        <v>5296</v>
      </c>
      <c r="N217" s="124" t="s">
        <v>5297</v>
      </c>
      <c r="O217" s="124" t="s">
        <v>3992</v>
      </c>
      <c r="P217" s="124">
        <v>2011.0</v>
      </c>
      <c r="Q217" s="124" t="s">
        <v>5298</v>
      </c>
      <c r="R217" s="123"/>
      <c r="S217" s="123"/>
      <c r="T217" s="123"/>
      <c r="U217" s="123"/>
      <c r="V217" s="123"/>
      <c r="W217" s="123"/>
      <c r="X217" s="123"/>
      <c r="Y217" s="123"/>
      <c r="Z217" s="123"/>
      <c r="AA217" s="123"/>
      <c r="AB217" s="123"/>
      <c r="AC217" s="123"/>
      <c r="AD217" s="123"/>
      <c r="AE217" s="123"/>
      <c r="AF217" s="123"/>
      <c r="AG217" s="123"/>
      <c r="AH217" s="123"/>
      <c r="AI217" s="123"/>
      <c r="AJ217" s="123"/>
    </row>
    <row r="218" ht="15.75" customHeight="1">
      <c r="A218" s="123">
        <v>223.0</v>
      </c>
      <c r="B218" s="124" t="s">
        <v>1230</v>
      </c>
      <c r="C218" s="124" t="s">
        <v>106</v>
      </c>
      <c r="D218" s="124" t="s">
        <v>64</v>
      </c>
      <c r="E218" s="124" t="s">
        <v>376</v>
      </c>
      <c r="F218" s="125">
        <v>2.0</v>
      </c>
      <c r="G218" s="124" t="s">
        <v>5161</v>
      </c>
      <c r="H218" s="124" t="s">
        <v>470</v>
      </c>
      <c r="I218" s="125">
        <v>3000.0</v>
      </c>
      <c r="J218" s="123"/>
      <c r="K218" s="124" t="s">
        <v>289</v>
      </c>
      <c r="L218" s="125">
        <v>40.0</v>
      </c>
      <c r="M218" s="124" t="s">
        <v>5603</v>
      </c>
      <c r="N218" s="124" t="s">
        <v>5604</v>
      </c>
      <c r="O218" s="124" t="s">
        <v>5605</v>
      </c>
      <c r="P218" s="124">
        <v>1989.0</v>
      </c>
      <c r="Q218" s="124" t="s">
        <v>5606</v>
      </c>
      <c r="R218" s="123"/>
      <c r="S218" s="123"/>
      <c r="T218" s="123"/>
      <c r="U218" s="123"/>
      <c r="V218" s="123"/>
      <c r="W218" s="123"/>
      <c r="X218" s="123"/>
      <c r="Y218" s="123"/>
      <c r="Z218" s="123"/>
      <c r="AA218" s="123"/>
      <c r="AB218" s="123"/>
      <c r="AC218" s="123"/>
      <c r="AD218" s="123"/>
      <c r="AE218" s="123"/>
      <c r="AF218" s="123"/>
      <c r="AG218" s="123"/>
      <c r="AH218" s="123"/>
      <c r="AI218" s="123"/>
      <c r="AJ218" s="123"/>
    </row>
    <row r="219" ht="15.75" customHeight="1">
      <c r="A219" s="123">
        <v>224.0</v>
      </c>
      <c r="B219" s="124" t="s">
        <v>1230</v>
      </c>
      <c r="C219" s="124" t="s">
        <v>106</v>
      </c>
      <c r="D219" s="124" t="s">
        <v>64</v>
      </c>
      <c r="E219" s="124" t="s">
        <v>376</v>
      </c>
      <c r="F219" s="125">
        <v>2.0</v>
      </c>
      <c r="G219" s="124" t="s">
        <v>5014</v>
      </c>
      <c r="H219" s="124" t="s">
        <v>267</v>
      </c>
      <c r="I219" s="125">
        <v>14000.0</v>
      </c>
      <c r="J219" s="123"/>
      <c r="K219" s="124" t="s">
        <v>289</v>
      </c>
      <c r="L219" s="125">
        <v>40.0</v>
      </c>
      <c r="M219" s="124" t="s">
        <v>5015</v>
      </c>
      <c r="N219" s="124" t="s">
        <v>5016</v>
      </c>
      <c r="O219" s="124" t="s">
        <v>4979</v>
      </c>
      <c r="P219" s="126">
        <v>2012.0</v>
      </c>
      <c r="Q219" s="124" t="s">
        <v>5020</v>
      </c>
      <c r="R219" s="123"/>
      <c r="S219" s="123"/>
      <c r="T219" s="123" t="s">
        <v>462</v>
      </c>
      <c r="U219" s="123" t="s">
        <v>462</v>
      </c>
      <c r="V219" s="123" t="s">
        <v>39</v>
      </c>
      <c r="W219" s="123"/>
      <c r="X219" s="123"/>
      <c r="Y219" s="123"/>
      <c r="Z219" s="123"/>
      <c r="AA219" s="123"/>
      <c r="AB219" s="123"/>
      <c r="AC219" s="123"/>
      <c r="AD219" s="123"/>
      <c r="AE219" s="123"/>
      <c r="AF219" s="123"/>
      <c r="AG219" s="123"/>
      <c r="AH219" s="123"/>
      <c r="AI219" s="123"/>
      <c r="AJ219" s="123"/>
    </row>
    <row r="220" ht="15.75" customHeight="1">
      <c r="A220" s="123">
        <v>225.0</v>
      </c>
      <c r="B220" s="124" t="s">
        <v>1230</v>
      </c>
      <c r="C220" s="124" t="s">
        <v>106</v>
      </c>
      <c r="D220" s="124" t="s">
        <v>64</v>
      </c>
      <c r="E220" s="124" t="s">
        <v>376</v>
      </c>
      <c r="F220" s="125">
        <v>2.0</v>
      </c>
      <c r="G220" s="124" t="s">
        <v>378</v>
      </c>
      <c r="H220" s="124" t="s">
        <v>1052</v>
      </c>
      <c r="I220" s="125">
        <v>21000.0</v>
      </c>
      <c r="J220" s="123"/>
      <c r="K220" s="124" t="s">
        <v>289</v>
      </c>
      <c r="L220" s="125">
        <v>40.0</v>
      </c>
      <c r="M220" s="124" t="s">
        <v>5611</v>
      </c>
      <c r="N220" s="124" t="s">
        <v>5612</v>
      </c>
      <c r="O220" s="124" t="s">
        <v>5613</v>
      </c>
      <c r="P220" s="124">
        <v>2015.0</v>
      </c>
      <c r="Q220" s="124" t="s">
        <v>5614</v>
      </c>
      <c r="R220" s="123" t="s">
        <v>5615</v>
      </c>
      <c r="S220" s="123" t="s">
        <v>5616</v>
      </c>
      <c r="T220" s="123"/>
      <c r="U220" s="123"/>
      <c r="V220" s="123"/>
      <c r="W220" s="123"/>
      <c r="X220" s="123"/>
      <c r="Y220" s="123"/>
      <c r="Z220" s="123"/>
      <c r="AA220" s="123"/>
      <c r="AB220" s="123"/>
      <c r="AC220" s="123"/>
      <c r="AD220" s="123"/>
      <c r="AE220" s="123"/>
      <c r="AF220" s="123"/>
      <c r="AG220" s="123"/>
      <c r="AH220" s="123"/>
      <c r="AI220" s="123"/>
      <c r="AJ220" s="123"/>
    </row>
    <row r="221" ht="15.75" customHeight="1">
      <c r="A221" s="123">
        <v>226.0</v>
      </c>
      <c r="B221" s="124" t="s">
        <v>1230</v>
      </c>
      <c r="C221" s="124" t="s">
        <v>106</v>
      </c>
      <c r="D221" s="124" t="s">
        <v>64</v>
      </c>
      <c r="E221" s="124" t="s">
        <v>376</v>
      </c>
      <c r="F221" s="125">
        <v>2.0</v>
      </c>
      <c r="G221" s="124" t="s">
        <v>378</v>
      </c>
      <c r="H221" s="124" t="s">
        <v>1052</v>
      </c>
      <c r="I221" s="125">
        <v>21000.0</v>
      </c>
      <c r="J221" s="123"/>
      <c r="K221" s="124" t="s">
        <v>289</v>
      </c>
      <c r="L221" s="125">
        <v>40.0</v>
      </c>
      <c r="M221" s="124" t="s">
        <v>2391</v>
      </c>
      <c r="N221" s="124" t="s">
        <v>2393</v>
      </c>
      <c r="O221" s="124" t="s">
        <v>2394</v>
      </c>
      <c r="P221" s="124">
        <v>2014.0</v>
      </c>
      <c r="Q221" s="130" t="s">
        <v>2402</v>
      </c>
      <c r="R221" s="123" t="s">
        <v>2403</v>
      </c>
      <c r="S221" s="123" t="s">
        <v>2404</v>
      </c>
      <c r="T221" s="123"/>
      <c r="U221" s="123"/>
      <c r="V221" s="123"/>
      <c r="W221" s="123"/>
      <c r="X221" s="123"/>
      <c r="Y221" s="123"/>
      <c r="Z221" s="123"/>
      <c r="AA221" s="123"/>
      <c r="AB221" s="123"/>
      <c r="AC221" s="123"/>
      <c r="AD221" s="123"/>
      <c r="AE221" s="123"/>
      <c r="AF221" s="123"/>
      <c r="AG221" s="123"/>
      <c r="AH221" s="123"/>
      <c r="AI221" s="123"/>
      <c r="AJ221" s="123"/>
    </row>
    <row r="222" ht="15.75" customHeight="1">
      <c r="A222" s="123">
        <v>227.0</v>
      </c>
      <c r="B222" s="124" t="s">
        <v>1230</v>
      </c>
      <c r="C222" s="124" t="s">
        <v>106</v>
      </c>
      <c r="D222" s="124" t="s">
        <v>64</v>
      </c>
      <c r="E222" s="124" t="s">
        <v>376</v>
      </c>
      <c r="F222" s="125">
        <v>2.0</v>
      </c>
      <c r="G222" s="124" t="s">
        <v>892</v>
      </c>
      <c r="H222" s="124" t="s">
        <v>893</v>
      </c>
      <c r="I222" s="125">
        <v>3000.0</v>
      </c>
      <c r="J222" s="123"/>
      <c r="K222" s="124" t="s">
        <v>289</v>
      </c>
      <c r="L222" s="125">
        <v>40.0</v>
      </c>
      <c r="M222" s="124" t="s">
        <v>894</v>
      </c>
      <c r="N222" s="124" t="s">
        <v>895</v>
      </c>
      <c r="O222" s="124" t="s">
        <v>896</v>
      </c>
      <c r="P222" s="124">
        <v>2004.0</v>
      </c>
      <c r="Q222" s="124" t="s">
        <v>897</v>
      </c>
      <c r="R222" s="123" t="s">
        <v>898</v>
      </c>
      <c r="S222" s="123"/>
      <c r="T222" s="123" t="s">
        <v>462</v>
      </c>
      <c r="U222" s="123" t="s">
        <v>462</v>
      </c>
      <c r="V222" s="123"/>
      <c r="W222" s="123"/>
      <c r="X222" s="123"/>
      <c r="Y222" s="123"/>
      <c r="Z222" s="123"/>
      <c r="AA222" s="123"/>
      <c r="AB222" s="123"/>
      <c r="AC222" s="123"/>
      <c r="AD222" s="123"/>
      <c r="AE222" s="123"/>
      <c r="AF222" s="123"/>
      <c r="AG222" s="123"/>
      <c r="AH222" s="123"/>
      <c r="AI222" s="123"/>
      <c r="AJ222" s="123"/>
    </row>
    <row r="223" ht="15.75" customHeight="1">
      <c r="A223" s="123">
        <v>228.0</v>
      </c>
      <c r="B223" s="124" t="s">
        <v>1230</v>
      </c>
      <c r="C223" s="124" t="s">
        <v>106</v>
      </c>
      <c r="D223" s="124" t="s">
        <v>173</v>
      </c>
      <c r="E223" s="124" t="s">
        <v>376</v>
      </c>
      <c r="F223" s="125">
        <v>2.0</v>
      </c>
      <c r="G223" s="124" t="s">
        <v>892</v>
      </c>
      <c r="H223" s="124" t="s">
        <v>1490</v>
      </c>
      <c r="I223" s="125">
        <v>7000.0</v>
      </c>
      <c r="J223" s="123"/>
      <c r="K223" s="124" t="s">
        <v>289</v>
      </c>
      <c r="L223" s="125">
        <v>40.0</v>
      </c>
      <c r="M223" s="124" t="s">
        <v>5621</v>
      </c>
      <c r="N223" s="124" t="s">
        <v>5622</v>
      </c>
      <c r="O223" s="124" t="s">
        <v>3953</v>
      </c>
      <c r="P223" s="124">
        <v>2006.0</v>
      </c>
      <c r="Q223" s="124" t="s">
        <v>5623</v>
      </c>
      <c r="R223" s="127" t="str">
        <f>HYPERLINK("http://www.ncbi.nlm.nih.gov/pubmed/16771803","http://www.ncbi.nlm.nih.gov/pubmed/16771803")</f>
        <v>http://www.ncbi.nlm.nih.gov/pubmed/16771803</v>
      </c>
      <c r="S223" s="123"/>
      <c r="T223" s="123" t="s">
        <v>462</v>
      </c>
      <c r="U223" s="123" t="s">
        <v>462</v>
      </c>
      <c r="V223" s="123" t="s">
        <v>5624</v>
      </c>
      <c r="W223" s="123"/>
      <c r="X223" s="123"/>
      <c r="Y223" s="123"/>
      <c r="Z223" s="123"/>
      <c r="AA223" s="123"/>
      <c r="AB223" s="123"/>
      <c r="AC223" s="123"/>
      <c r="AD223" s="123"/>
      <c r="AE223" s="123"/>
      <c r="AF223" s="123"/>
      <c r="AG223" s="123"/>
      <c r="AH223" s="123"/>
      <c r="AI223" s="123"/>
      <c r="AJ223" s="123"/>
    </row>
    <row r="224" ht="15.75" customHeight="1">
      <c r="A224" s="123">
        <v>229.0</v>
      </c>
      <c r="B224" s="124" t="s">
        <v>1230</v>
      </c>
      <c r="C224" s="124" t="s">
        <v>106</v>
      </c>
      <c r="D224" s="124" t="s">
        <v>64</v>
      </c>
      <c r="E224" s="124" t="s">
        <v>376</v>
      </c>
      <c r="F224" s="125">
        <v>2.0</v>
      </c>
      <c r="G224" s="124" t="s">
        <v>4783</v>
      </c>
      <c r="H224" s="124" t="s">
        <v>1052</v>
      </c>
      <c r="I224" s="125">
        <v>21000.0</v>
      </c>
      <c r="J224" s="123"/>
      <c r="K224" s="124" t="s">
        <v>289</v>
      </c>
      <c r="L224" s="125">
        <v>40.0</v>
      </c>
      <c r="M224" s="79" t="s">
        <v>4784</v>
      </c>
      <c r="N224" s="79" t="s">
        <v>4785</v>
      </c>
      <c r="O224" s="124" t="s">
        <v>4769</v>
      </c>
      <c r="P224" s="124">
        <v>1994.0</v>
      </c>
      <c r="Q224" s="124" t="s">
        <v>4786</v>
      </c>
      <c r="R224" s="123" t="s">
        <v>4787</v>
      </c>
      <c r="S224" s="123"/>
      <c r="T224" s="123" t="s">
        <v>39</v>
      </c>
      <c r="U224" s="123" t="s">
        <v>1358</v>
      </c>
      <c r="V224" s="123"/>
      <c r="W224" s="123"/>
      <c r="X224" s="123"/>
      <c r="Y224" s="123"/>
      <c r="Z224" s="123"/>
      <c r="AA224" s="123"/>
      <c r="AB224" s="123"/>
      <c r="AC224" s="123"/>
      <c r="AD224" s="123"/>
      <c r="AE224" s="123"/>
      <c r="AF224" s="123"/>
      <c r="AG224" s="123"/>
      <c r="AH224" s="123"/>
      <c r="AI224" s="123"/>
      <c r="AJ224" s="123"/>
    </row>
    <row r="225" ht="15.75" customHeight="1">
      <c r="A225" s="123">
        <v>230.0</v>
      </c>
      <c r="B225" s="124" t="s">
        <v>1230</v>
      </c>
      <c r="C225" s="124" t="s">
        <v>106</v>
      </c>
      <c r="D225" s="124" t="s">
        <v>173</v>
      </c>
      <c r="E225" s="124" t="s">
        <v>376</v>
      </c>
      <c r="F225" s="125">
        <v>2.0</v>
      </c>
      <c r="G225" s="124" t="s">
        <v>224</v>
      </c>
      <c r="H225" s="124" t="s">
        <v>578</v>
      </c>
      <c r="I225" s="125">
        <v>2000.0</v>
      </c>
      <c r="J225" s="123"/>
      <c r="K225" s="124" t="s">
        <v>111</v>
      </c>
      <c r="L225" s="125">
        <v>41.0</v>
      </c>
      <c r="M225" s="124" t="s">
        <v>3872</v>
      </c>
      <c r="N225" s="124" t="s">
        <v>3873</v>
      </c>
      <c r="O225" s="124" t="s">
        <v>3874</v>
      </c>
      <c r="P225" s="124">
        <v>2007.0</v>
      </c>
      <c r="Q225" s="124" t="s">
        <v>3875</v>
      </c>
      <c r="R225" s="123"/>
      <c r="S225" s="123"/>
      <c r="T225" s="123"/>
      <c r="U225" s="123"/>
      <c r="V225" s="123"/>
      <c r="W225" s="123"/>
      <c r="X225" s="123"/>
      <c r="Y225" s="123"/>
      <c r="Z225" s="123"/>
      <c r="AA225" s="123"/>
      <c r="AB225" s="123"/>
      <c r="AC225" s="123"/>
      <c r="AD225" s="123"/>
      <c r="AE225" s="123"/>
      <c r="AF225" s="123"/>
      <c r="AG225" s="123"/>
      <c r="AH225" s="123"/>
      <c r="AI225" s="123"/>
      <c r="AJ225" s="123"/>
    </row>
    <row r="226" ht="15.75" customHeight="1">
      <c r="A226" s="123">
        <v>231.0</v>
      </c>
      <c r="B226" s="124" t="s">
        <v>1230</v>
      </c>
      <c r="C226" s="124" t="s">
        <v>106</v>
      </c>
      <c r="D226" s="124" t="s">
        <v>64</v>
      </c>
      <c r="E226" s="124" t="s">
        <v>952</v>
      </c>
      <c r="F226" s="125" t="s">
        <v>953</v>
      </c>
      <c r="G226" s="124" t="s">
        <v>954</v>
      </c>
      <c r="H226" s="124" t="s">
        <v>578</v>
      </c>
      <c r="I226" s="125">
        <v>2000.0</v>
      </c>
      <c r="J226" s="123"/>
      <c r="K226" s="124" t="s">
        <v>111</v>
      </c>
      <c r="L226" s="125">
        <v>41.0</v>
      </c>
      <c r="M226" s="124" t="s">
        <v>955</v>
      </c>
      <c r="N226" s="124" t="s">
        <v>956</v>
      </c>
      <c r="O226" s="124" t="s">
        <v>957</v>
      </c>
      <c r="P226" s="124">
        <v>2014.0</v>
      </c>
      <c r="Q226" s="130" t="s">
        <v>958</v>
      </c>
      <c r="R226" s="123" t="s">
        <v>959</v>
      </c>
      <c r="S226" s="123"/>
      <c r="T226" s="123"/>
      <c r="U226" s="123"/>
      <c r="V226" s="123"/>
      <c r="W226" s="123"/>
      <c r="X226" s="123"/>
      <c r="Y226" s="123"/>
      <c r="Z226" s="129"/>
      <c r="AA226" s="123"/>
      <c r="AB226" s="129"/>
      <c r="AC226" s="123"/>
      <c r="AD226" s="123"/>
      <c r="AE226" s="123"/>
      <c r="AF226" s="123"/>
      <c r="AG226" s="123"/>
      <c r="AH226" s="123"/>
      <c r="AI226" s="123"/>
      <c r="AJ226" s="123"/>
    </row>
    <row r="227" ht="15.75" customHeight="1">
      <c r="A227" s="123">
        <v>232.0</v>
      </c>
      <c r="B227" s="124" t="s">
        <v>1230</v>
      </c>
      <c r="C227" s="124" t="s">
        <v>106</v>
      </c>
      <c r="D227" s="124" t="s">
        <v>64</v>
      </c>
      <c r="E227" s="124" t="s">
        <v>3013</v>
      </c>
      <c r="F227" s="125" t="s">
        <v>3014</v>
      </c>
      <c r="G227" s="124" t="s">
        <v>5625</v>
      </c>
      <c r="H227" s="124" t="s">
        <v>605</v>
      </c>
      <c r="I227" s="125">
        <v>4000.0</v>
      </c>
      <c r="J227" s="123"/>
      <c r="K227" s="124" t="s">
        <v>324</v>
      </c>
      <c r="L227" s="125" t="s">
        <v>325</v>
      </c>
      <c r="M227" s="124" t="s">
        <v>5626</v>
      </c>
      <c r="N227" s="124" t="s">
        <v>5627</v>
      </c>
      <c r="O227" s="124" t="s">
        <v>5628</v>
      </c>
      <c r="P227" s="124">
        <v>2013.0</v>
      </c>
      <c r="Q227" s="124" t="s">
        <v>5629</v>
      </c>
      <c r="R227" s="123" t="s">
        <v>5630</v>
      </c>
      <c r="S227" s="123"/>
      <c r="T227" s="123" t="s">
        <v>462</v>
      </c>
      <c r="U227" s="123" t="s">
        <v>462</v>
      </c>
      <c r="V227" s="123"/>
      <c r="W227" s="123"/>
      <c r="X227" s="123"/>
      <c r="Y227" s="123"/>
      <c r="Z227" s="123"/>
      <c r="AA227" s="123"/>
      <c r="AB227" s="123"/>
      <c r="AC227" s="123"/>
      <c r="AD227" s="123"/>
      <c r="AE227" s="123"/>
      <c r="AF227" s="123"/>
      <c r="AG227" s="123"/>
      <c r="AH227" s="123"/>
      <c r="AI227" s="123"/>
      <c r="AJ227" s="123" t="s">
        <v>1023</v>
      </c>
    </row>
    <row r="228" ht="15.75" customHeight="1">
      <c r="A228" s="123">
        <v>233.0</v>
      </c>
      <c r="B228" s="124" t="s">
        <v>1230</v>
      </c>
      <c r="C228" s="124" t="s">
        <v>106</v>
      </c>
      <c r="D228" s="124" t="s">
        <v>64</v>
      </c>
      <c r="E228" s="124" t="s">
        <v>3013</v>
      </c>
      <c r="F228" s="125" t="s">
        <v>3014</v>
      </c>
      <c r="G228" s="124" t="s">
        <v>5631</v>
      </c>
      <c r="H228" s="124" t="s">
        <v>1052</v>
      </c>
      <c r="I228" s="125">
        <v>21000.0</v>
      </c>
      <c r="J228" s="123"/>
      <c r="K228" s="124" t="s">
        <v>289</v>
      </c>
      <c r="L228" s="125">
        <v>40.0</v>
      </c>
      <c r="M228" s="124" t="s">
        <v>5632</v>
      </c>
      <c r="N228" s="124" t="s">
        <v>5633</v>
      </c>
      <c r="O228" s="124" t="s">
        <v>5634</v>
      </c>
      <c r="P228" s="124">
        <v>2012.0</v>
      </c>
      <c r="Q228" s="124" t="s">
        <v>5635</v>
      </c>
      <c r="R228" s="123" t="s">
        <v>5636</v>
      </c>
      <c r="S228" s="123"/>
      <c r="T228" s="123" t="s">
        <v>613</v>
      </c>
      <c r="U228" s="123" t="s">
        <v>613</v>
      </c>
      <c r="V228" s="123"/>
      <c r="W228" s="123"/>
      <c r="X228" s="123"/>
      <c r="Y228" s="123"/>
      <c r="Z228" s="123"/>
      <c r="AA228" s="123"/>
      <c r="AB228" s="123"/>
      <c r="AC228" s="123"/>
      <c r="AD228" s="123"/>
      <c r="AE228" s="123"/>
      <c r="AF228" s="123"/>
      <c r="AG228" s="123"/>
      <c r="AH228" s="123"/>
      <c r="AI228" s="123"/>
      <c r="AJ228" s="123"/>
    </row>
    <row r="229" ht="15.75" customHeight="1">
      <c r="A229" s="123">
        <v>234.0</v>
      </c>
      <c r="B229" s="124" t="s">
        <v>1230</v>
      </c>
      <c r="C229" s="124" t="s">
        <v>106</v>
      </c>
      <c r="D229" s="124" t="s">
        <v>64</v>
      </c>
      <c r="E229" s="124" t="s">
        <v>3624</v>
      </c>
      <c r="F229" s="125" t="s">
        <v>3625</v>
      </c>
      <c r="G229" s="124" t="s">
        <v>224</v>
      </c>
      <c r="H229" s="124" t="s">
        <v>3628</v>
      </c>
      <c r="I229" s="125" t="s">
        <v>3627</v>
      </c>
      <c r="J229" s="123"/>
      <c r="K229" s="124" t="s">
        <v>324</v>
      </c>
      <c r="L229" s="125" t="s">
        <v>325</v>
      </c>
      <c r="M229" s="124" t="s">
        <v>3629</v>
      </c>
      <c r="N229" s="124" t="s">
        <v>3630</v>
      </c>
      <c r="O229" s="124" t="s">
        <v>3631</v>
      </c>
      <c r="P229" s="124">
        <v>2013.0</v>
      </c>
      <c r="Q229" s="124" t="s">
        <v>610</v>
      </c>
      <c r="R229" s="127" t="str">
        <f>HYPERLINK("http://malmo.se/download/18.1388f79a149845ce3b910cd5/1415624861179/Enabling_sustainable_choices_webb_liten.pdf","http://malmo.se/download/18.1388f79a149845ce3b910cd5/1415624861179/Enabling_sustainable_choices_webb_liten.pdf")</f>
        <v>http://malmo.se/download/18.1388f79a149845ce3b910cd5/1415624861179/Enabling_sustainable_choices_webb_liten.pdf</v>
      </c>
      <c r="S229" s="123"/>
      <c r="T229" s="123" t="s">
        <v>3632</v>
      </c>
      <c r="U229" s="123" t="s">
        <v>3633</v>
      </c>
      <c r="V229" s="123"/>
      <c r="W229" s="123"/>
      <c r="X229" s="123" t="s">
        <v>677</v>
      </c>
      <c r="Y229" s="123"/>
      <c r="Z229" s="123"/>
      <c r="AA229" s="123"/>
      <c r="AB229" s="123"/>
      <c r="AC229" s="123"/>
      <c r="AD229" s="123"/>
      <c r="AE229" s="123" t="s">
        <v>1088</v>
      </c>
      <c r="AF229" s="123"/>
      <c r="AG229" s="123"/>
      <c r="AH229" s="123"/>
      <c r="AI229" s="123"/>
      <c r="AJ229" s="123"/>
    </row>
    <row r="230" ht="15.75" customHeight="1">
      <c r="A230" s="123">
        <v>235.0</v>
      </c>
      <c r="B230" s="124" t="s">
        <v>1230</v>
      </c>
      <c r="C230" s="124" t="s">
        <v>106</v>
      </c>
      <c r="D230" s="124" t="s">
        <v>64</v>
      </c>
      <c r="E230" s="124" t="s">
        <v>5637</v>
      </c>
      <c r="F230" s="125" t="s">
        <v>5558</v>
      </c>
      <c r="G230" s="124" t="s">
        <v>5638</v>
      </c>
      <c r="H230" s="124" t="s">
        <v>605</v>
      </c>
      <c r="I230" s="125">
        <v>4000.0</v>
      </c>
      <c r="J230" s="123"/>
      <c r="K230" s="124" t="s">
        <v>289</v>
      </c>
      <c r="L230" s="125">
        <v>40.0</v>
      </c>
      <c r="M230" s="124" t="s">
        <v>5639</v>
      </c>
      <c r="N230" s="124" t="s">
        <v>5640</v>
      </c>
      <c r="O230" s="124" t="s">
        <v>5641</v>
      </c>
      <c r="P230" s="124">
        <v>2013.0</v>
      </c>
      <c r="Q230" s="124" t="s">
        <v>5642</v>
      </c>
      <c r="R230" s="123" t="s">
        <v>5643</v>
      </c>
      <c r="S230" s="123"/>
      <c r="T230" s="123" t="s">
        <v>613</v>
      </c>
      <c r="U230" s="123" t="s">
        <v>613</v>
      </c>
      <c r="V230" s="123"/>
      <c r="W230" s="123"/>
      <c r="X230" s="123"/>
      <c r="Y230" s="123"/>
      <c r="Z230" s="123"/>
      <c r="AA230" s="123"/>
      <c r="AB230" s="123"/>
      <c r="AC230" s="123"/>
      <c r="AD230" s="123"/>
      <c r="AE230" s="123"/>
      <c r="AF230" s="123"/>
      <c r="AG230" s="123"/>
      <c r="AH230" s="123"/>
      <c r="AI230" s="123"/>
      <c r="AJ230" s="123" t="s">
        <v>4830</v>
      </c>
    </row>
    <row r="231" ht="15.75" customHeight="1">
      <c r="A231" s="123">
        <v>236.0</v>
      </c>
      <c r="B231" s="124" t="s">
        <v>1230</v>
      </c>
      <c r="C231" s="124" t="s">
        <v>106</v>
      </c>
      <c r="D231" s="124" t="s">
        <v>64</v>
      </c>
      <c r="E231" s="124" t="s">
        <v>3842</v>
      </c>
      <c r="F231" s="125" t="s">
        <v>3843</v>
      </c>
      <c r="G231" s="124" t="s">
        <v>224</v>
      </c>
      <c r="H231" s="124" t="s">
        <v>3495</v>
      </c>
      <c r="I231" s="125">
        <v>22000.0</v>
      </c>
      <c r="J231" s="123"/>
      <c r="K231" s="124" t="s">
        <v>289</v>
      </c>
      <c r="L231" s="125">
        <v>40.0</v>
      </c>
      <c r="M231" s="124" t="s">
        <v>3846</v>
      </c>
      <c r="N231" s="124" t="s">
        <v>3847</v>
      </c>
      <c r="O231" s="124" t="s">
        <v>2029</v>
      </c>
      <c r="P231" s="124">
        <v>2013.0</v>
      </c>
      <c r="Q231" s="124" t="s">
        <v>3855</v>
      </c>
      <c r="R231" s="127" t="str">
        <f>HYPERLINK("http://www.issuelab.org/resource/nudging_toward_a_healthy_natural_environment_how_behavioral_change_research_can_inform_conservation","http://www.issuelab.org/resource/nudging_toward_a_healthy_natural_environment_how_behavioral_change_research_can_inform_conservation")</f>
        <v>http://www.issuelab.org/resource/nudging_toward_a_healthy_natural_environment_how_behavioral_change_research_can_inform_conservation</v>
      </c>
      <c r="S231" s="123"/>
      <c r="T231" s="123" t="s">
        <v>428</v>
      </c>
      <c r="U231" s="123" t="s">
        <v>462</v>
      </c>
      <c r="V231" s="123"/>
      <c r="W231" s="123"/>
      <c r="X231" s="123"/>
      <c r="Y231" s="123"/>
      <c r="Z231" s="129"/>
      <c r="AA231" s="123"/>
      <c r="AB231" s="123"/>
      <c r="AC231" s="123"/>
      <c r="AD231" s="123"/>
      <c r="AE231" s="123"/>
      <c r="AF231" s="123"/>
      <c r="AG231" s="123"/>
      <c r="AH231" s="123"/>
      <c r="AI231" s="123"/>
      <c r="AJ231" s="123"/>
    </row>
    <row r="232" ht="15.75" customHeight="1">
      <c r="A232" s="123">
        <v>237.0</v>
      </c>
      <c r="B232" s="124" t="s">
        <v>1230</v>
      </c>
      <c r="C232" s="124" t="s">
        <v>106</v>
      </c>
      <c r="D232" s="124" t="s">
        <v>64</v>
      </c>
      <c r="E232" s="124" t="s">
        <v>3345</v>
      </c>
      <c r="F232" s="125" t="s">
        <v>3347</v>
      </c>
      <c r="G232" s="124" t="s">
        <v>224</v>
      </c>
      <c r="H232" s="124" t="s">
        <v>3349</v>
      </c>
      <c r="I232" s="125" t="s">
        <v>966</v>
      </c>
      <c r="J232" s="123"/>
      <c r="K232" s="124" t="s">
        <v>289</v>
      </c>
      <c r="L232" s="125">
        <v>40.0</v>
      </c>
      <c r="M232" s="124" t="s">
        <v>3350</v>
      </c>
      <c r="N232" s="124" t="s">
        <v>3351</v>
      </c>
      <c r="O232" s="124" t="s">
        <v>3263</v>
      </c>
      <c r="P232" s="124">
        <v>2011.0</v>
      </c>
      <c r="Q232" s="124" t="s">
        <v>3352</v>
      </c>
      <c r="R232" s="123"/>
      <c r="S232" s="123"/>
      <c r="T232" s="123"/>
      <c r="U232" s="123"/>
      <c r="V232" s="123"/>
      <c r="W232" s="123"/>
      <c r="X232" s="123"/>
      <c r="Y232" s="123"/>
      <c r="Z232" s="123"/>
      <c r="AA232" s="123"/>
      <c r="AB232" s="123"/>
      <c r="AC232" s="123"/>
      <c r="AD232" s="123"/>
      <c r="AE232" s="123"/>
      <c r="AF232" s="123"/>
      <c r="AG232" s="123"/>
      <c r="AH232" s="123"/>
      <c r="AI232" s="123"/>
      <c r="AJ232" s="123"/>
    </row>
    <row r="233" ht="15.75" customHeight="1">
      <c r="A233" s="123">
        <v>238.0</v>
      </c>
      <c r="B233" s="124" t="s">
        <v>1230</v>
      </c>
      <c r="C233" s="124" t="s">
        <v>106</v>
      </c>
      <c r="D233" s="124" t="s">
        <v>64</v>
      </c>
      <c r="E233" s="124" t="s">
        <v>5644</v>
      </c>
      <c r="F233" s="125" t="s">
        <v>3347</v>
      </c>
      <c r="G233" s="124" t="s">
        <v>5645</v>
      </c>
      <c r="H233" s="124" t="s">
        <v>3495</v>
      </c>
      <c r="I233" s="125">
        <v>22000.0</v>
      </c>
      <c r="J233" s="123"/>
      <c r="K233" s="124" t="s">
        <v>289</v>
      </c>
      <c r="L233" s="125">
        <v>40.0</v>
      </c>
      <c r="M233" s="124" t="s">
        <v>5646</v>
      </c>
      <c r="N233" s="124" t="s">
        <v>5647</v>
      </c>
      <c r="O233" s="124" t="s">
        <v>5648</v>
      </c>
      <c r="P233" s="124">
        <v>1993.0</v>
      </c>
      <c r="Q233" s="124" t="s">
        <v>5649</v>
      </c>
      <c r="R233" s="123" t="s">
        <v>5650</v>
      </c>
      <c r="S233" s="123"/>
      <c r="T233" s="123" t="s">
        <v>462</v>
      </c>
      <c r="U233" s="123" t="s">
        <v>462</v>
      </c>
      <c r="V233" s="123"/>
      <c r="W233" s="123"/>
      <c r="X233" s="123"/>
      <c r="Y233" s="123"/>
      <c r="Z233" s="123"/>
      <c r="AA233" s="123"/>
      <c r="AB233" s="123"/>
      <c r="AC233" s="123"/>
      <c r="AD233" s="123"/>
      <c r="AE233" s="123"/>
      <c r="AF233" s="123"/>
      <c r="AG233" s="123"/>
      <c r="AH233" s="123"/>
      <c r="AI233" s="123"/>
      <c r="AJ233" s="123"/>
    </row>
    <row r="234" ht="15.75" customHeight="1">
      <c r="A234" s="123">
        <v>239.0</v>
      </c>
      <c r="B234" s="124" t="s">
        <v>1230</v>
      </c>
      <c r="C234" s="124" t="s">
        <v>106</v>
      </c>
      <c r="D234" s="124" t="s">
        <v>4032</v>
      </c>
      <c r="E234" s="124" t="s">
        <v>5651</v>
      </c>
      <c r="F234" s="125" t="s">
        <v>5652</v>
      </c>
      <c r="G234" s="124" t="s">
        <v>5653</v>
      </c>
      <c r="H234" s="124" t="s">
        <v>1312</v>
      </c>
      <c r="I234" s="125">
        <v>3000.0</v>
      </c>
      <c r="J234" s="123"/>
      <c r="K234" s="124" t="s">
        <v>289</v>
      </c>
      <c r="L234" s="125">
        <v>40.0</v>
      </c>
      <c r="M234" s="124" t="s">
        <v>5654</v>
      </c>
      <c r="N234" s="124" t="s">
        <v>5655</v>
      </c>
      <c r="O234" s="124" t="s">
        <v>5656</v>
      </c>
      <c r="P234" s="124">
        <v>2008.0</v>
      </c>
      <c r="Q234" s="124" t="s">
        <v>5658</v>
      </c>
      <c r="R234" s="127" t="str">
        <f>HYPERLINK("http://apps.olin.wustl.edu/workingpapers/pdf/2008-07-014.pdf","http://apps.olin.wustl.edu/workingpapers/pdf/2008-07-014.pdf")</f>
        <v>http://apps.olin.wustl.edu/workingpapers/pdf/2008-07-014.pdf</v>
      </c>
      <c r="S234" s="123"/>
      <c r="T234" s="123" t="s">
        <v>462</v>
      </c>
      <c r="U234" s="123" t="s">
        <v>462</v>
      </c>
      <c r="V234" s="123"/>
      <c r="W234" s="123"/>
      <c r="X234" s="123"/>
      <c r="Y234" s="123"/>
      <c r="Z234" s="123"/>
      <c r="AA234" s="123"/>
      <c r="AB234" s="123"/>
      <c r="AC234" s="123"/>
      <c r="AD234" s="123"/>
      <c r="AE234" s="123"/>
      <c r="AF234" s="123"/>
      <c r="AG234" s="123"/>
      <c r="AH234" s="123"/>
      <c r="AI234" s="123"/>
      <c r="AJ234" s="123"/>
    </row>
    <row r="235" ht="15.75" customHeight="1">
      <c r="A235" s="123">
        <v>240.0</v>
      </c>
      <c r="B235" s="124" t="s">
        <v>1230</v>
      </c>
      <c r="C235" s="124" t="s">
        <v>106</v>
      </c>
      <c r="D235" s="124" t="s">
        <v>173</v>
      </c>
      <c r="E235" s="124" t="s">
        <v>5651</v>
      </c>
      <c r="F235" s="125" t="s">
        <v>5652</v>
      </c>
      <c r="G235" s="124" t="s">
        <v>5659</v>
      </c>
      <c r="H235" s="124" t="s">
        <v>2373</v>
      </c>
      <c r="I235" s="125">
        <v>2000.0</v>
      </c>
      <c r="J235" s="123"/>
      <c r="K235" s="124" t="s">
        <v>289</v>
      </c>
      <c r="L235" s="125">
        <v>40.0</v>
      </c>
      <c r="M235" s="124" t="s">
        <v>5660</v>
      </c>
      <c r="N235" s="124" t="s">
        <v>5618</v>
      </c>
      <c r="O235" s="124" t="s">
        <v>5661</v>
      </c>
      <c r="P235" s="124">
        <v>2013.0</v>
      </c>
      <c r="Q235" s="124" t="s">
        <v>5662</v>
      </c>
      <c r="R235" s="123" t="s">
        <v>5663</v>
      </c>
      <c r="S235" s="123"/>
      <c r="T235" s="123"/>
      <c r="U235" s="123"/>
      <c r="V235" s="123" t="s">
        <v>5664</v>
      </c>
      <c r="W235" s="123"/>
      <c r="X235" s="123"/>
      <c r="Y235" s="123"/>
      <c r="Z235" s="123"/>
      <c r="AA235" s="123"/>
      <c r="AB235" s="123"/>
      <c r="AC235" s="123"/>
      <c r="AD235" s="123"/>
      <c r="AE235" s="123"/>
      <c r="AF235" s="123"/>
      <c r="AG235" s="123"/>
      <c r="AH235" s="123"/>
      <c r="AI235" s="123"/>
      <c r="AJ235" s="123"/>
    </row>
    <row r="236" ht="15.75" customHeight="1">
      <c r="A236" s="123">
        <v>241.0</v>
      </c>
      <c r="B236" s="124" t="s">
        <v>1230</v>
      </c>
      <c r="C236" s="124" t="s">
        <v>106</v>
      </c>
      <c r="D236" s="124" t="s">
        <v>64</v>
      </c>
      <c r="E236" s="124" t="s">
        <v>3930</v>
      </c>
      <c r="F236" s="125" t="s">
        <v>467</v>
      </c>
      <c r="G236" s="124" t="s">
        <v>5665</v>
      </c>
      <c r="H236" s="124" t="s">
        <v>1052</v>
      </c>
      <c r="I236" s="125">
        <v>21000.0</v>
      </c>
      <c r="J236" s="123"/>
      <c r="K236" s="124" t="s">
        <v>111</v>
      </c>
      <c r="L236" s="125">
        <v>41.0</v>
      </c>
      <c r="M236" s="124" t="s">
        <v>5666</v>
      </c>
      <c r="N236" s="124" t="s">
        <v>5667</v>
      </c>
      <c r="O236" s="124" t="s">
        <v>5668</v>
      </c>
      <c r="P236" s="124">
        <v>2013.0</v>
      </c>
      <c r="Q236" s="124" t="s">
        <v>5669</v>
      </c>
      <c r="R236" s="127" t="str">
        <f>HYPERLINK("https://www.cokecce.com/system/file_resources/117/CCE_REPORT_FINAL_V10_hires.pdf","https://www.cokecce.com/system/file_resources/117/CCE_REPORT_FINAL_V10_hires.pdf")</f>
        <v>https://www.cokecce.com/system/file_resources/117/CCE_REPORT_FINAL_V10_hires.pdf</v>
      </c>
      <c r="S236" s="123"/>
      <c r="T236" s="123" t="s">
        <v>428</v>
      </c>
      <c r="U236" s="123" t="s">
        <v>3942</v>
      </c>
      <c r="V236" s="123"/>
      <c r="W236" s="123" t="s">
        <v>677</v>
      </c>
      <c r="X236" s="123"/>
      <c r="Y236" s="123"/>
      <c r="Z236" s="123"/>
      <c r="AA236" s="123"/>
      <c r="AB236" s="123"/>
      <c r="AC236" s="123"/>
      <c r="AD236" s="123"/>
      <c r="AE236" s="123"/>
      <c r="AF236" s="123"/>
      <c r="AG236" s="123"/>
      <c r="AH236" s="123"/>
      <c r="AI236" s="123"/>
      <c r="AJ236" s="123"/>
    </row>
    <row r="237" ht="15.75" customHeight="1">
      <c r="A237" s="123">
        <v>242.0</v>
      </c>
      <c r="B237" s="124" t="s">
        <v>1230</v>
      </c>
      <c r="C237" s="124" t="s">
        <v>106</v>
      </c>
      <c r="D237" s="124" t="s">
        <v>64</v>
      </c>
      <c r="E237" s="124" t="s">
        <v>466</v>
      </c>
      <c r="F237" s="125" t="s">
        <v>467</v>
      </c>
      <c r="G237" s="124" t="s">
        <v>224</v>
      </c>
      <c r="H237" s="124" t="s">
        <v>470</v>
      </c>
      <c r="I237" s="125">
        <v>3000.0</v>
      </c>
      <c r="J237" s="123"/>
      <c r="K237" s="124" t="s">
        <v>289</v>
      </c>
      <c r="L237" s="125">
        <v>40.0</v>
      </c>
      <c r="M237" s="124" t="s">
        <v>473</v>
      </c>
      <c r="N237" s="124" t="s">
        <v>474</v>
      </c>
      <c r="O237" s="124" t="s">
        <v>418</v>
      </c>
      <c r="P237" s="124">
        <v>2010.0</v>
      </c>
      <c r="Q237" s="124" t="s">
        <v>479</v>
      </c>
      <c r="R237" s="123" t="s">
        <v>481</v>
      </c>
      <c r="S237" s="123" t="s">
        <v>484</v>
      </c>
      <c r="T237" s="123"/>
      <c r="U237" s="123"/>
      <c r="V237" s="123"/>
      <c r="W237" s="123"/>
      <c r="X237" s="123"/>
      <c r="Y237" s="123"/>
      <c r="Z237" s="123"/>
      <c r="AA237" s="123"/>
      <c r="AB237" s="123"/>
      <c r="AC237" s="123"/>
      <c r="AD237" s="123"/>
      <c r="AE237" s="123"/>
      <c r="AF237" s="123"/>
      <c r="AG237" s="123"/>
      <c r="AH237" s="123"/>
      <c r="AI237" s="123"/>
      <c r="AJ237" s="123"/>
    </row>
    <row r="238" ht="15.75" customHeight="1">
      <c r="A238" s="123">
        <v>243.0</v>
      </c>
      <c r="B238" s="124" t="s">
        <v>1230</v>
      </c>
      <c r="C238" s="124" t="s">
        <v>106</v>
      </c>
      <c r="D238" s="124" t="s">
        <v>64</v>
      </c>
      <c r="E238" s="124" t="s">
        <v>1270</v>
      </c>
      <c r="F238" s="125" t="s">
        <v>1271</v>
      </c>
      <c r="G238" s="124" t="s">
        <v>1272</v>
      </c>
      <c r="H238" s="124" t="s">
        <v>470</v>
      </c>
      <c r="I238" s="125">
        <v>3000.0</v>
      </c>
      <c r="J238" s="123"/>
      <c r="K238" s="124" t="s">
        <v>324</v>
      </c>
      <c r="L238" s="125" t="s">
        <v>325</v>
      </c>
      <c r="M238" s="126" t="s">
        <v>1274</v>
      </c>
      <c r="N238" s="124" t="s">
        <v>1275</v>
      </c>
      <c r="O238" s="126" t="s">
        <v>1276</v>
      </c>
      <c r="P238" s="124">
        <v>2015.0</v>
      </c>
      <c r="Q238" s="124" t="s">
        <v>1283</v>
      </c>
      <c r="R238" s="127" t="str">
        <f>HYPERLINK("http://changelabs.stanford.edu/sites/default/files/NEF_7_Principles_Behavior_Econ.pdf","http://changelabs.stanford.edu/sites/default/files/NEF_7_Principles_Behavior_Econ.pdf")</f>
        <v>http://changelabs.stanford.edu/sites/default/files/NEF_7_Principles_Behavior_Econ.pdf</v>
      </c>
      <c r="S238" s="123" t="s">
        <v>1289</v>
      </c>
      <c r="T238" s="123"/>
      <c r="U238" s="123"/>
      <c r="V238" s="123"/>
      <c r="W238" s="123" t="s">
        <v>769</v>
      </c>
      <c r="X238" s="123" t="s">
        <v>1290</v>
      </c>
      <c r="Y238" s="129">
        <v>42640.0</v>
      </c>
      <c r="Z238" s="123"/>
      <c r="AA238" s="129"/>
      <c r="AB238" s="123"/>
      <c r="AC238" s="123"/>
      <c r="AD238" s="123"/>
      <c r="AE238" s="123"/>
      <c r="AF238" s="123"/>
      <c r="AG238" s="123"/>
      <c r="AH238" s="123"/>
      <c r="AI238" s="123"/>
      <c r="AJ238" s="123"/>
    </row>
    <row r="239" ht="15.75" customHeight="1">
      <c r="A239" s="123">
        <v>244.0</v>
      </c>
      <c r="B239" s="124" t="s">
        <v>1230</v>
      </c>
      <c r="C239" s="124" t="s">
        <v>106</v>
      </c>
      <c r="D239" s="124" t="s">
        <v>64</v>
      </c>
      <c r="E239" s="124" t="s">
        <v>2664</v>
      </c>
      <c r="F239" s="125" t="s">
        <v>2666</v>
      </c>
      <c r="G239" s="124" t="s">
        <v>5670</v>
      </c>
      <c r="H239" s="124" t="s">
        <v>605</v>
      </c>
      <c r="I239" s="125">
        <v>4000.0</v>
      </c>
      <c r="J239" s="123"/>
      <c r="K239" s="124" t="s">
        <v>289</v>
      </c>
      <c r="L239" s="125">
        <v>40.0</v>
      </c>
      <c r="M239" s="124" t="s">
        <v>5671</v>
      </c>
      <c r="N239" s="124" t="s">
        <v>5672</v>
      </c>
      <c r="O239" s="124" t="s">
        <v>5673</v>
      </c>
      <c r="P239" s="124">
        <v>2008.0</v>
      </c>
      <c r="Q239" s="124" t="s">
        <v>610</v>
      </c>
      <c r="R239" s="127" t="str">
        <f>HYPERLINK("http://elr.info/news-analysis/38/10882/social-norms-and-policies-promote-energy-efficiency-home","http://elr.info/news-analysis/38/10882/social-norms-and-policies-promote-energy-efficiency-home")</f>
        <v>http://elr.info/news-analysis/38/10882/social-norms-and-policies-promote-energy-efficiency-home</v>
      </c>
      <c r="S239" s="123"/>
      <c r="T239" s="123" t="s">
        <v>462</v>
      </c>
      <c r="U239" s="123" t="s">
        <v>462</v>
      </c>
      <c r="V239" s="123"/>
      <c r="W239" s="123"/>
      <c r="X239" s="123" t="s">
        <v>561</v>
      </c>
      <c r="Y239" s="123" t="s">
        <v>5674</v>
      </c>
      <c r="Z239" s="129">
        <v>42494.0</v>
      </c>
      <c r="AA239" s="123"/>
      <c r="AB239" s="123"/>
      <c r="AC239" s="123"/>
      <c r="AD239" s="123"/>
      <c r="AE239" s="123"/>
      <c r="AF239" s="123"/>
      <c r="AG239" s="123"/>
      <c r="AH239" s="123"/>
      <c r="AI239" s="123"/>
      <c r="AJ239" s="123" t="s">
        <v>5675</v>
      </c>
    </row>
    <row r="240" ht="15.75" customHeight="1">
      <c r="A240" s="123">
        <v>245.0</v>
      </c>
      <c r="B240" s="124" t="s">
        <v>1230</v>
      </c>
      <c r="C240" s="124" t="s">
        <v>106</v>
      </c>
      <c r="D240" s="124" t="s">
        <v>64</v>
      </c>
      <c r="E240" s="124" t="s">
        <v>4014</v>
      </c>
      <c r="F240" s="125" t="s">
        <v>4015</v>
      </c>
      <c r="G240" s="124" t="s">
        <v>224</v>
      </c>
      <c r="H240" s="124" t="s">
        <v>552</v>
      </c>
      <c r="I240" s="125">
        <v>6000.0</v>
      </c>
      <c r="J240" s="123"/>
      <c r="K240" s="124" t="s">
        <v>324</v>
      </c>
      <c r="L240" s="125" t="s">
        <v>325</v>
      </c>
      <c r="M240" s="124" t="s">
        <v>5676</v>
      </c>
      <c r="N240" s="124" t="s">
        <v>5677</v>
      </c>
      <c r="O240" s="124" t="s">
        <v>5678</v>
      </c>
      <c r="P240" s="124">
        <v>2016.0</v>
      </c>
      <c r="Q240" s="124" t="s">
        <v>610</v>
      </c>
      <c r="R240" s="123" t="s">
        <v>5680</v>
      </c>
      <c r="S240" s="123"/>
      <c r="T240" s="123"/>
      <c r="U240" s="123"/>
      <c r="V240" s="123"/>
      <c r="W240" s="123"/>
      <c r="X240" s="123"/>
      <c r="Y240" s="123"/>
      <c r="Z240" s="129"/>
      <c r="AA240" s="123"/>
      <c r="AB240" s="129"/>
      <c r="AC240" s="123"/>
      <c r="AD240" s="123"/>
      <c r="AE240" s="123"/>
      <c r="AF240" s="123"/>
      <c r="AG240" s="123"/>
      <c r="AH240" s="123"/>
      <c r="AI240" s="123"/>
      <c r="AJ240" s="123"/>
    </row>
    <row r="241" ht="15.75" customHeight="1">
      <c r="A241" s="123">
        <v>246.0</v>
      </c>
      <c r="B241" s="124" t="s">
        <v>1230</v>
      </c>
      <c r="C241" s="124" t="s">
        <v>106</v>
      </c>
      <c r="D241" s="124" t="s">
        <v>64</v>
      </c>
      <c r="E241" s="124" t="s">
        <v>743</v>
      </c>
      <c r="F241" s="125" t="s">
        <v>744</v>
      </c>
      <c r="G241" s="124" t="s">
        <v>745</v>
      </c>
      <c r="H241" s="124" t="s">
        <v>746</v>
      </c>
      <c r="I241" s="125">
        <v>7000.0</v>
      </c>
      <c r="J241" s="123"/>
      <c r="K241" s="124" t="s">
        <v>289</v>
      </c>
      <c r="L241" s="125">
        <v>40.0</v>
      </c>
      <c r="M241" s="124" t="s">
        <v>748</v>
      </c>
      <c r="N241" s="124" t="s">
        <v>750</v>
      </c>
      <c r="O241" s="124" t="s">
        <v>699</v>
      </c>
      <c r="P241" s="124">
        <v>2009.0</v>
      </c>
      <c r="Q241" s="124" t="s">
        <v>753</v>
      </c>
      <c r="R241" s="123" t="s">
        <v>755</v>
      </c>
      <c r="S241" s="123"/>
      <c r="T241" s="123" t="s">
        <v>428</v>
      </c>
      <c r="U241" s="123" t="s">
        <v>462</v>
      </c>
      <c r="V241" s="123"/>
      <c r="W241" s="123"/>
      <c r="X241" s="123"/>
      <c r="Y241" s="123"/>
      <c r="Z241" s="123"/>
      <c r="AA241" s="123"/>
      <c r="AB241" s="123"/>
      <c r="AC241" s="123"/>
      <c r="AD241" s="123"/>
      <c r="AE241" s="123"/>
      <c r="AF241" s="123"/>
      <c r="AG241" s="123"/>
      <c r="AH241" s="123"/>
      <c r="AI241" s="123"/>
      <c r="AJ241" s="123"/>
    </row>
    <row r="242" ht="15.75" customHeight="1">
      <c r="A242" s="123">
        <v>247.0</v>
      </c>
      <c r="B242" s="124" t="s">
        <v>1230</v>
      </c>
      <c r="C242" s="124" t="s">
        <v>106</v>
      </c>
      <c r="D242" s="124" t="s">
        <v>4032</v>
      </c>
      <c r="E242" s="124" t="s">
        <v>323</v>
      </c>
      <c r="F242" s="125">
        <v>11.0</v>
      </c>
      <c r="G242" s="124" t="s">
        <v>224</v>
      </c>
      <c r="H242" s="124" t="s">
        <v>388</v>
      </c>
      <c r="I242" s="125">
        <v>14000.0</v>
      </c>
      <c r="J242" s="123"/>
      <c r="K242" s="124" t="s">
        <v>4953</v>
      </c>
      <c r="L242" s="125" t="s">
        <v>325</v>
      </c>
      <c r="M242" s="124" t="s">
        <v>5681</v>
      </c>
      <c r="N242" s="124" t="s">
        <v>2162</v>
      </c>
      <c r="O242" s="124" t="s">
        <v>5682</v>
      </c>
      <c r="P242" s="124">
        <v>2015.0</v>
      </c>
      <c r="Q242" s="124" t="s">
        <v>5683</v>
      </c>
      <c r="R242" s="123" t="s">
        <v>5685</v>
      </c>
      <c r="S242" s="123" t="s">
        <v>3928</v>
      </c>
      <c r="T242" s="123" t="s">
        <v>462</v>
      </c>
      <c r="U242" s="123" t="s">
        <v>462</v>
      </c>
      <c r="V242" s="123"/>
      <c r="W242" s="123" t="s">
        <v>978</v>
      </c>
      <c r="X242" s="123" t="s">
        <v>769</v>
      </c>
      <c r="Y242" s="123"/>
      <c r="Z242" s="129"/>
      <c r="AA242" s="123"/>
      <c r="AB242" s="123"/>
      <c r="AC242" s="123"/>
      <c r="AD242" s="129"/>
      <c r="AE242" s="123"/>
      <c r="AF242" s="123"/>
      <c r="AG242" s="123"/>
      <c r="AH242" s="123"/>
      <c r="AI242" s="123"/>
      <c r="AJ242" s="123"/>
    </row>
    <row r="243" ht="15.75" customHeight="1">
      <c r="A243" s="123">
        <v>248.0</v>
      </c>
      <c r="B243" s="124" t="s">
        <v>1230</v>
      </c>
      <c r="C243" s="124" t="s">
        <v>106</v>
      </c>
      <c r="D243" s="124" t="s">
        <v>64</v>
      </c>
      <c r="E243" s="124" t="s">
        <v>323</v>
      </c>
      <c r="F243" s="125">
        <v>11.0</v>
      </c>
      <c r="G243" s="124" t="s">
        <v>224</v>
      </c>
      <c r="H243" s="124" t="s">
        <v>1198</v>
      </c>
      <c r="I243" s="125" t="s">
        <v>1197</v>
      </c>
      <c r="J243" s="123"/>
      <c r="K243" s="124" t="s">
        <v>111</v>
      </c>
      <c r="L243" s="125">
        <v>41.0</v>
      </c>
      <c r="M243" s="124" t="s">
        <v>4470</v>
      </c>
      <c r="N243" s="124" t="s">
        <v>4471</v>
      </c>
      <c r="O243" s="124" t="s">
        <v>4472</v>
      </c>
      <c r="P243" s="124">
        <v>2010.0</v>
      </c>
      <c r="Q243" s="124" t="s">
        <v>610</v>
      </c>
      <c r="R243" s="127" t="str">
        <f>HYPERLINK("http://changelabs.stanford.edu/sites/default/files/Mindspace.pdf","http://changelabs.stanford.edu/sites/default/files/Mindspace.pdf")</f>
        <v>http://changelabs.stanford.edu/sites/default/files/Mindspace.pdf</v>
      </c>
      <c r="S243" s="123"/>
      <c r="T243" s="123"/>
      <c r="U243" s="123"/>
      <c r="V243" s="123"/>
      <c r="W243" s="123" t="s">
        <v>677</v>
      </c>
      <c r="X243" s="123"/>
      <c r="Y243" s="123"/>
      <c r="Z243" s="123"/>
      <c r="AA243" s="123"/>
      <c r="AB243" s="123"/>
      <c r="AC243" s="123"/>
      <c r="AD243" s="123"/>
      <c r="AE243" s="123"/>
      <c r="AF243" s="123"/>
      <c r="AG243" s="123"/>
      <c r="AH243" s="123"/>
      <c r="AI243" s="123"/>
      <c r="AJ243" s="123"/>
    </row>
    <row r="244" ht="15.75" customHeight="1">
      <c r="A244" s="123">
        <v>249.0</v>
      </c>
      <c r="B244" s="124" t="s">
        <v>1230</v>
      </c>
      <c r="C244" s="124" t="s">
        <v>106</v>
      </c>
      <c r="D244" s="124" t="s">
        <v>64</v>
      </c>
      <c r="E244" s="124" t="s">
        <v>323</v>
      </c>
      <c r="F244" s="125">
        <v>11.0</v>
      </c>
      <c r="G244" s="124" t="s">
        <v>224</v>
      </c>
      <c r="H244" s="124" t="s">
        <v>1114</v>
      </c>
      <c r="I244" s="125">
        <v>2000.0</v>
      </c>
      <c r="J244" s="123"/>
      <c r="K244" s="124" t="s">
        <v>111</v>
      </c>
      <c r="L244" s="125">
        <v>41.0</v>
      </c>
      <c r="M244" s="124" t="s">
        <v>5039</v>
      </c>
      <c r="N244" s="124" t="s">
        <v>5040</v>
      </c>
      <c r="O244" s="124" t="s">
        <v>5041</v>
      </c>
      <c r="P244" s="126">
        <v>2012.0</v>
      </c>
      <c r="Q244" s="124" t="s">
        <v>5042</v>
      </c>
      <c r="R244" s="123" t="s">
        <v>5043</v>
      </c>
      <c r="S244" s="123"/>
      <c r="T244" s="123"/>
      <c r="U244" s="123"/>
      <c r="V244" s="123"/>
      <c r="W244" s="123"/>
      <c r="X244" s="123"/>
      <c r="Y244" s="123"/>
      <c r="Z244" s="129"/>
      <c r="AA244" s="123"/>
      <c r="AB244" s="129"/>
      <c r="AC244" s="123"/>
      <c r="AD244" s="123"/>
      <c r="AE244" s="123"/>
      <c r="AF244" s="123"/>
      <c r="AG244" s="123"/>
      <c r="AH244" s="123"/>
      <c r="AI244" s="123"/>
      <c r="AJ244" s="123"/>
    </row>
    <row r="245" ht="15.75" customHeight="1">
      <c r="A245" s="123">
        <v>250.0</v>
      </c>
      <c r="B245" s="124" t="s">
        <v>1230</v>
      </c>
      <c r="C245" s="124" t="s">
        <v>106</v>
      </c>
      <c r="D245" s="124" t="s">
        <v>4032</v>
      </c>
      <c r="E245" s="124" t="s">
        <v>323</v>
      </c>
      <c r="F245" s="125">
        <v>11.0</v>
      </c>
      <c r="G245" s="124" t="s">
        <v>224</v>
      </c>
      <c r="H245" s="124" t="s">
        <v>552</v>
      </c>
      <c r="I245" s="125">
        <v>6000.0</v>
      </c>
      <c r="J245" s="123"/>
      <c r="K245" s="124" t="s">
        <v>289</v>
      </c>
      <c r="L245" s="125">
        <v>40.0</v>
      </c>
      <c r="M245" s="124" t="s">
        <v>553</v>
      </c>
      <c r="N245" s="124" t="s">
        <v>554</v>
      </c>
      <c r="O245" s="124" t="s">
        <v>555</v>
      </c>
      <c r="P245" s="124">
        <v>1966.0</v>
      </c>
      <c r="Q245" s="124" t="s">
        <v>559</v>
      </c>
      <c r="R245" s="123"/>
      <c r="S245" s="123"/>
      <c r="T245" s="123" t="s">
        <v>462</v>
      </c>
      <c r="U245" s="123" t="s">
        <v>462</v>
      </c>
      <c r="V245" s="123"/>
      <c r="W245" s="123"/>
      <c r="X245" s="123" t="s">
        <v>561</v>
      </c>
      <c r="Y245" s="123" t="s">
        <v>562</v>
      </c>
      <c r="Z245" s="123">
        <v>42492.0</v>
      </c>
      <c r="AA245" s="123"/>
      <c r="AB245" s="129"/>
      <c r="AC245" s="123"/>
      <c r="AD245" s="123"/>
      <c r="AE245" s="123"/>
      <c r="AF245" s="129"/>
      <c r="AG245" s="123"/>
      <c r="AH245" s="123"/>
      <c r="AI245" s="123"/>
      <c r="AJ245" s="123"/>
    </row>
    <row r="246" ht="15.75" customHeight="1">
      <c r="A246" s="123">
        <v>251.0</v>
      </c>
      <c r="B246" s="124" t="s">
        <v>1230</v>
      </c>
      <c r="C246" s="124" t="s">
        <v>106</v>
      </c>
      <c r="D246" s="124" t="s">
        <v>173</v>
      </c>
      <c r="E246" s="124" t="s">
        <v>323</v>
      </c>
      <c r="F246" s="125">
        <v>11.0</v>
      </c>
      <c r="G246" s="124" t="s">
        <v>224</v>
      </c>
      <c r="H246" s="124" t="s">
        <v>605</v>
      </c>
      <c r="I246" s="125">
        <v>4000.0</v>
      </c>
      <c r="J246" s="123"/>
      <c r="K246" s="124" t="s">
        <v>298</v>
      </c>
      <c r="L246" s="125">
        <v>44.0</v>
      </c>
      <c r="M246" s="124" t="s">
        <v>1161</v>
      </c>
      <c r="N246" s="124" t="s">
        <v>1162</v>
      </c>
      <c r="O246" s="124" t="s">
        <v>1163</v>
      </c>
      <c r="P246" s="126">
        <v>2011.0</v>
      </c>
      <c r="Q246" s="124" t="s">
        <v>1164</v>
      </c>
      <c r="R246" s="123" t="s">
        <v>1165</v>
      </c>
      <c r="S246" s="128"/>
      <c r="T246" s="123"/>
      <c r="U246" s="123"/>
      <c r="V246" s="123"/>
      <c r="W246" s="123"/>
      <c r="X246" s="123"/>
      <c r="Y246" s="123"/>
      <c r="Z246" s="123"/>
      <c r="AA246" s="123"/>
      <c r="AB246" s="123"/>
      <c r="AC246" s="123"/>
      <c r="AD246" s="123"/>
      <c r="AE246" s="123"/>
      <c r="AF246" s="123"/>
      <c r="AG246" s="123"/>
      <c r="AH246" s="123"/>
      <c r="AI246" s="123"/>
      <c r="AJ246" s="123"/>
    </row>
    <row r="247" ht="15.75" customHeight="1">
      <c r="A247" s="123">
        <v>252.0</v>
      </c>
      <c r="B247" s="124" t="s">
        <v>1230</v>
      </c>
      <c r="C247" s="124" t="s">
        <v>106</v>
      </c>
      <c r="D247" s="124" t="s">
        <v>64</v>
      </c>
      <c r="E247" s="124" t="s">
        <v>421</v>
      </c>
      <c r="F247" s="125">
        <v>11.0</v>
      </c>
      <c r="G247" s="124" t="s">
        <v>224</v>
      </c>
      <c r="H247" s="124" t="s">
        <v>470</v>
      </c>
      <c r="I247" s="125">
        <v>3000.0</v>
      </c>
      <c r="J247" s="123"/>
      <c r="K247" s="124" t="s">
        <v>111</v>
      </c>
      <c r="L247" s="125">
        <v>41.0</v>
      </c>
      <c r="M247" s="124" t="s">
        <v>5686</v>
      </c>
      <c r="N247" s="124" t="s">
        <v>188</v>
      </c>
      <c r="O247" s="124" t="s">
        <v>3567</v>
      </c>
      <c r="P247" s="126">
        <v>2011.0</v>
      </c>
      <c r="Q247" s="124" t="s">
        <v>5687</v>
      </c>
      <c r="R247" s="127" t="str">
        <f>HYPERLINK("http://38r8om2xjhhl25mw24492dir.wpengine.netdna-cdn.com/wp-content/uploads/2015/07/behaviour-change-and-energy-use.pdf","http://38r8om2xjhhl25mw24492dir.wpengine.netdna-cdn.com/wp-content/uploads/2015/07/behaviour-change-and-energy-use.pdf")</f>
        <v>http://38r8om2xjhhl25mw24492dir.wpengine.netdna-cdn.com/wp-content/uploads/2015/07/behaviour-change-and-energy-use.pdf</v>
      </c>
      <c r="S247" s="123"/>
      <c r="T247" s="123"/>
      <c r="U247" s="123"/>
      <c r="V247" s="123" t="s">
        <v>3233</v>
      </c>
      <c r="W247" s="123"/>
      <c r="X247" s="123"/>
      <c r="Y247" s="123"/>
      <c r="Z247" s="129"/>
      <c r="AA247" s="129"/>
      <c r="AB247" s="129"/>
      <c r="AC247" s="129"/>
      <c r="AD247" s="129"/>
      <c r="AE247" s="123"/>
      <c r="AF247" s="129"/>
      <c r="AG247" s="123"/>
      <c r="AH247" s="123"/>
      <c r="AI247" s="123"/>
      <c r="AJ247" s="123"/>
    </row>
    <row r="248" ht="15.75" customHeight="1">
      <c r="A248" s="123">
        <v>253.0</v>
      </c>
      <c r="B248" s="124" t="s">
        <v>1230</v>
      </c>
      <c r="C248" s="124" t="s">
        <v>106</v>
      </c>
      <c r="D248" s="124" t="s">
        <v>64</v>
      </c>
      <c r="E248" s="124" t="s">
        <v>421</v>
      </c>
      <c r="F248" s="125">
        <v>11.0</v>
      </c>
      <c r="G248" s="124" t="s">
        <v>224</v>
      </c>
      <c r="H248" s="124" t="s">
        <v>644</v>
      </c>
      <c r="I248" s="125">
        <v>2000.0</v>
      </c>
      <c r="J248" s="123"/>
      <c r="K248" s="124" t="s">
        <v>289</v>
      </c>
      <c r="L248" s="125">
        <v>40.0</v>
      </c>
      <c r="M248" s="124" t="s">
        <v>2876</v>
      </c>
      <c r="N248" s="124" t="s">
        <v>188</v>
      </c>
      <c r="O248" s="124" t="s">
        <v>2811</v>
      </c>
      <c r="P248" s="126">
        <v>2015.0</v>
      </c>
      <c r="Q248" s="124" t="s">
        <v>2877</v>
      </c>
      <c r="R248" s="127" t="str">
        <f>HYPERLINK("http://ecoamerica.org/wp-content/uploads/2015/11/CRED_final.pdf","http://ecoamerica.org/wp-content/uploads/2015/11/CRED_final.pdf")</f>
        <v>http://ecoamerica.org/wp-content/uploads/2015/11/CRED_final.pdf</v>
      </c>
      <c r="S248" s="123"/>
      <c r="T248" s="123"/>
      <c r="U248" s="123"/>
      <c r="V248" s="123"/>
      <c r="W248" s="123"/>
      <c r="X248" s="123"/>
      <c r="Y248" s="123"/>
      <c r="Z248" s="123"/>
      <c r="AA248" s="123"/>
      <c r="AB248" s="123"/>
      <c r="AC248" s="123"/>
      <c r="AD248" s="123"/>
      <c r="AE248" s="123"/>
      <c r="AF248" s="123"/>
      <c r="AG248" s="123"/>
      <c r="AH248" s="123"/>
      <c r="AI248" s="123"/>
      <c r="AJ248" s="123"/>
    </row>
    <row r="249" ht="15.75" customHeight="1">
      <c r="A249" s="123">
        <v>254.0</v>
      </c>
      <c r="B249" s="124" t="s">
        <v>1230</v>
      </c>
      <c r="C249" s="124" t="s">
        <v>106</v>
      </c>
      <c r="D249" s="124" t="s">
        <v>64</v>
      </c>
      <c r="E249" s="124" t="s">
        <v>421</v>
      </c>
      <c r="F249" s="125">
        <v>11.0</v>
      </c>
      <c r="G249" s="124" t="s">
        <v>224</v>
      </c>
      <c r="H249" s="124" t="s">
        <v>388</v>
      </c>
      <c r="I249" s="125">
        <v>14000.0</v>
      </c>
      <c r="J249" s="123"/>
      <c r="K249" s="124" t="s">
        <v>3835</v>
      </c>
      <c r="L249" s="125" t="s">
        <v>3836</v>
      </c>
      <c r="M249" s="124" t="s">
        <v>5688</v>
      </c>
      <c r="N249" s="124" t="s">
        <v>5689</v>
      </c>
      <c r="O249" s="124" t="s">
        <v>5690</v>
      </c>
      <c r="P249" s="126">
        <v>2014.0</v>
      </c>
      <c r="Q249" s="124" t="s">
        <v>5691</v>
      </c>
      <c r="R249" s="123" t="s">
        <v>5692</v>
      </c>
      <c r="S249" s="123"/>
      <c r="T249" s="123"/>
      <c r="U249" s="123"/>
      <c r="V249" s="123" t="s">
        <v>1594</v>
      </c>
      <c r="W249" s="123"/>
      <c r="X249" s="123"/>
      <c r="Y249" s="123"/>
      <c r="Z249" s="123"/>
      <c r="AA249" s="123"/>
      <c r="AB249" s="123"/>
      <c r="AC249" s="123"/>
      <c r="AD249" s="123"/>
      <c r="AE249" s="123"/>
      <c r="AF249" s="123"/>
      <c r="AG249" s="123"/>
      <c r="AH249" s="123"/>
      <c r="AI249" s="123"/>
      <c r="AJ249" s="123"/>
    </row>
    <row r="250" ht="15.75" customHeight="1">
      <c r="A250" s="123">
        <v>255.0</v>
      </c>
      <c r="B250" s="124" t="s">
        <v>1230</v>
      </c>
      <c r="C250" s="124" t="s">
        <v>106</v>
      </c>
      <c r="D250" s="124" t="s">
        <v>173</v>
      </c>
      <c r="E250" s="124" t="s">
        <v>421</v>
      </c>
      <c r="F250" s="125">
        <v>11.0</v>
      </c>
      <c r="G250" s="124" t="s">
        <v>224</v>
      </c>
      <c r="H250" s="124" t="s">
        <v>552</v>
      </c>
      <c r="I250" s="125">
        <v>6000.0</v>
      </c>
      <c r="J250" s="123"/>
      <c r="K250" s="124" t="s">
        <v>289</v>
      </c>
      <c r="L250" s="125">
        <v>40.0</v>
      </c>
      <c r="M250" s="124" t="s">
        <v>2899</v>
      </c>
      <c r="N250" s="124" t="s">
        <v>2900</v>
      </c>
      <c r="O250" s="124" t="s">
        <v>2901</v>
      </c>
      <c r="P250" s="124">
        <v>2008.0</v>
      </c>
      <c r="Q250" s="124" t="s">
        <v>2902</v>
      </c>
      <c r="R250" s="123"/>
      <c r="S250" s="123"/>
      <c r="T250" s="123"/>
      <c r="U250" s="123"/>
      <c r="V250" s="123"/>
      <c r="W250" s="123"/>
      <c r="X250" s="123"/>
      <c r="Y250" s="123"/>
      <c r="Z250" s="123"/>
      <c r="AA250" s="123"/>
      <c r="AB250" s="129"/>
      <c r="AC250" s="123"/>
      <c r="AD250" s="123"/>
      <c r="AE250" s="123"/>
      <c r="AF250" s="129"/>
      <c r="AG250" s="123"/>
      <c r="AH250" s="123"/>
      <c r="AI250" s="123"/>
      <c r="AJ250" s="123"/>
    </row>
    <row r="251" ht="15.75" customHeight="1">
      <c r="A251" s="123">
        <v>256.0</v>
      </c>
      <c r="B251" s="124" t="s">
        <v>1230</v>
      </c>
      <c r="C251" s="124" t="s">
        <v>106</v>
      </c>
      <c r="D251" s="124" t="s">
        <v>64</v>
      </c>
      <c r="E251" s="124" t="s">
        <v>421</v>
      </c>
      <c r="F251" s="125">
        <v>11.0</v>
      </c>
      <c r="G251" s="124" t="s">
        <v>224</v>
      </c>
      <c r="H251" s="124" t="s">
        <v>552</v>
      </c>
      <c r="I251" s="125">
        <v>6000.0</v>
      </c>
      <c r="J251" s="123"/>
      <c r="K251" s="124" t="s">
        <v>111</v>
      </c>
      <c r="L251" s="125">
        <v>41.0</v>
      </c>
      <c r="M251" s="124" t="s">
        <v>3612</v>
      </c>
      <c r="N251" s="124" t="s">
        <v>3613</v>
      </c>
      <c r="O251" s="124" t="s">
        <v>3614</v>
      </c>
      <c r="P251" s="124">
        <v>2001.0</v>
      </c>
      <c r="Q251" s="124" t="s">
        <v>610</v>
      </c>
      <c r="R251" s="123"/>
      <c r="S251" s="123"/>
      <c r="T251" s="123"/>
      <c r="U251" s="123"/>
      <c r="V251" s="123"/>
      <c r="W251" s="123"/>
      <c r="X251" s="123"/>
      <c r="Y251" s="123"/>
      <c r="Z251" s="123"/>
      <c r="AA251" s="123"/>
      <c r="AB251" s="123"/>
      <c r="AC251" s="123"/>
      <c r="AD251" s="123"/>
      <c r="AE251" s="123"/>
      <c r="AF251" s="123"/>
      <c r="AG251" s="123"/>
      <c r="AH251" s="123"/>
      <c r="AI251" s="123"/>
      <c r="AJ251" s="123"/>
    </row>
    <row r="252" ht="15.75" customHeight="1">
      <c r="A252" s="123">
        <v>257.0</v>
      </c>
      <c r="B252" s="124" t="s">
        <v>1230</v>
      </c>
      <c r="C252" s="124" t="s">
        <v>106</v>
      </c>
      <c r="D252" s="124" t="s">
        <v>173</v>
      </c>
      <c r="E252" s="124" t="s">
        <v>421</v>
      </c>
      <c r="F252" s="125">
        <v>11.0</v>
      </c>
      <c r="G252" s="124" t="s">
        <v>224</v>
      </c>
      <c r="H252" s="124" t="s">
        <v>578</v>
      </c>
      <c r="I252" s="125">
        <v>2000.0</v>
      </c>
      <c r="J252" s="123"/>
      <c r="K252" s="124" t="s">
        <v>289</v>
      </c>
      <c r="L252" s="125">
        <v>40.0</v>
      </c>
      <c r="M252" s="124" t="s">
        <v>849</v>
      </c>
      <c r="N252" s="124" t="s">
        <v>850</v>
      </c>
      <c r="O252" s="124" t="s">
        <v>851</v>
      </c>
      <c r="P252" s="124">
        <v>2009.0</v>
      </c>
      <c r="Q252" s="130" t="s">
        <v>855</v>
      </c>
      <c r="R252" s="123"/>
      <c r="S252" s="123"/>
      <c r="T252" s="123"/>
      <c r="U252" s="123"/>
      <c r="V252" s="123"/>
      <c r="W252" s="123"/>
      <c r="X252" s="123"/>
      <c r="Y252" s="123"/>
      <c r="Z252" s="123"/>
      <c r="AA252" s="123"/>
      <c r="AB252" s="123"/>
      <c r="AC252" s="123"/>
      <c r="AD252" s="123"/>
      <c r="AE252" s="123"/>
      <c r="AF252" s="123"/>
      <c r="AG252" s="123"/>
      <c r="AH252" s="123"/>
      <c r="AI252" s="123"/>
      <c r="AJ252" s="123"/>
    </row>
    <row r="253" ht="15.75" customHeight="1">
      <c r="A253" s="123">
        <v>258.0</v>
      </c>
      <c r="B253" s="124" t="s">
        <v>1230</v>
      </c>
      <c r="C253" s="124" t="s">
        <v>106</v>
      </c>
      <c r="D253" s="124" t="s">
        <v>64</v>
      </c>
      <c r="E253" s="124" t="s">
        <v>1119</v>
      </c>
      <c r="F253" s="125" t="s">
        <v>1120</v>
      </c>
      <c r="G253" s="124" t="s">
        <v>224</v>
      </c>
      <c r="H253" s="124" t="s">
        <v>388</v>
      </c>
      <c r="I253" s="125">
        <v>14000.0</v>
      </c>
      <c r="J253" s="123"/>
      <c r="K253" s="124" t="s">
        <v>111</v>
      </c>
      <c r="L253" s="125">
        <v>41.0</v>
      </c>
      <c r="M253" s="124" t="s">
        <v>1121</v>
      </c>
      <c r="N253" s="124" t="s">
        <v>1122</v>
      </c>
      <c r="O253" s="124" t="s">
        <v>1117</v>
      </c>
      <c r="P253" s="124">
        <v>2015.0</v>
      </c>
      <c r="Q253" s="124" t="s">
        <v>1123</v>
      </c>
      <c r="R253" s="127" t="str">
        <f>HYPERLINK("http://www.biomedcentral.com/content/pdf/s12889-015-1691-8.pdf","http://www.biomedcentral.com/content/pdf/s12889-015-1691-8.pdf")</f>
        <v>http://www.biomedcentral.com/content/pdf/s12889-015-1691-8.pdf</v>
      </c>
      <c r="S253" s="123" t="s">
        <v>1124</v>
      </c>
      <c r="T253" s="123" t="s">
        <v>462</v>
      </c>
      <c r="U253" s="123" t="s">
        <v>462</v>
      </c>
      <c r="V253" s="123"/>
      <c r="W253" s="123" t="s">
        <v>1125</v>
      </c>
      <c r="X253" s="123" t="s">
        <v>769</v>
      </c>
      <c r="Y253" s="123"/>
      <c r="Z253" s="123"/>
      <c r="AA253" s="123"/>
      <c r="AB253" s="123"/>
      <c r="AC253" s="123"/>
      <c r="AD253" s="123"/>
      <c r="AE253" s="123"/>
      <c r="AF253" s="123"/>
      <c r="AG253" s="123"/>
      <c r="AH253" s="123"/>
      <c r="AI253" s="123"/>
      <c r="AJ253" s="123"/>
    </row>
    <row r="254" ht="15.75" customHeight="1">
      <c r="A254" s="123">
        <v>261.0</v>
      </c>
      <c r="B254" s="124" t="s">
        <v>1230</v>
      </c>
      <c r="C254" s="124" t="s">
        <v>106</v>
      </c>
      <c r="D254" s="124" t="s">
        <v>64</v>
      </c>
      <c r="E254" s="124" t="s">
        <v>536</v>
      </c>
      <c r="F254" s="125">
        <v>3.0</v>
      </c>
      <c r="G254" s="124" t="s">
        <v>603</v>
      </c>
      <c r="H254" s="124" t="s">
        <v>470</v>
      </c>
      <c r="I254" s="125">
        <v>3000.0</v>
      </c>
      <c r="J254" s="123"/>
      <c r="K254" s="124" t="s">
        <v>111</v>
      </c>
      <c r="L254" s="125">
        <v>41.0</v>
      </c>
      <c r="M254" s="124" t="s">
        <v>1166</v>
      </c>
      <c r="N254" s="124" t="s">
        <v>1167</v>
      </c>
      <c r="O254" s="124" t="s">
        <v>1168</v>
      </c>
      <c r="P254" s="124">
        <v>2013.0</v>
      </c>
      <c r="Q254" s="124" t="s">
        <v>1169</v>
      </c>
      <c r="R254" s="123"/>
      <c r="S254" s="123"/>
      <c r="T254" s="123"/>
      <c r="U254" s="123"/>
      <c r="V254" s="123"/>
      <c r="W254" s="123"/>
      <c r="X254" s="123"/>
      <c r="Y254" s="123"/>
      <c r="Z254" s="123"/>
      <c r="AA254" s="123"/>
      <c r="AB254" s="123"/>
      <c r="AC254" s="123"/>
      <c r="AD254" s="123"/>
      <c r="AE254" s="123"/>
      <c r="AF254" s="123"/>
      <c r="AG254" s="123"/>
      <c r="AH254" s="123"/>
      <c r="AI254" s="123"/>
      <c r="AJ254" s="123"/>
    </row>
    <row r="255" ht="15.75" customHeight="1">
      <c r="A255" s="123">
        <v>262.0</v>
      </c>
      <c r="B255" s="124" t="s">
        <v>1230</v>
      </c>
      <c r="C255" s="124" t="s">
        <v>106</v>
      </c>
      <c r="D255" s="124" t="s">
        <v>64</v>
      </c>
      <c r="E255" s="124" t="s">
        <v>536</v>
      </c>
      <c r="F255" s="125">
        <v>3.0</v>
      </c>
      <c r="G255" s="124" t="s">
        <v>603</v>
      </c>
      <c r="H255" s="124" t="s">
        <v>70</v>
      </c>
      <c r="I255" s="125">
        <v>4000.0</v>
      </c>
      <c r="J255" s="123"/>
      <c r="K255" s="124" t="s">
        <v>111</v>
      </c>
      <c r="L255" s="125">
        <v>41.0</v>
      </c>
      <c r="M255" s="124" t="s">
        <v>1024</v>
      </c>
      <c r="N255" s="124" t="s">
        <v>1025</v>
      </c>
      <c r="O255" s="124" t="s">
        <v>1026</v>
      </c>
      <c r="P255" s="124">
        <v>2014.0</v>
      </c>
      <c r="Q255" s="124" t="s">
        <v>1027</v>
      </c>
      <c r="R255" s="123" t="s">
        <v>1028</v>
      </c>
      <c r="S255" s="123" t="s">
        <v>1029</v>
      </c>
      <c r="T255" s="123" t="s">
        <v>1030</v>
      </c>
      <c r="U255" s="123" t="s">
        <v>1030</v>
      </c>
      <c r="V255" s="123"/>
      <c r="W255" s="123"/>
      <c r="X255" s="123" t="s">
        <v>561</v>
      </c>
      <c r="Y255" s="123" t="s">
        <v>1031</v>
      </c>
      <c r="Z255" s="129">
        <v>42451.0</v>
      </c>
      <c r="AA255" s="123"/>
      <c r="AB255" s="123"/>
      <c r="AC255" s="123"/>
      <c r="AD255" s="123"/>
      <c r="AE255" s="123"/>
      <c r="AF255" s="123"/>
      <c r="AG255" s="123"/>
      <c r="AH255" s="123"/>
      <c r="AI255" s="123"/>
      <c r="AJ255" s="123"/>
    </row>
    <row r="256" ht="15.75" customHeight="1">
      <c r="A256" s="123">
        <v>263.0</v>
      </c>
      <c r="B256" s="124" t="s">
        <v>1230</v>
      </c>
      <c r="C256" s="124" t="s">
        <v>106</v>
      </c>
      <c r="D256" s="124" t="s">
        <v>64</v>
      </c>
      <c r="E256" s="124" t="s">
        <v>536</v>
      </c>
      <c r="F256" s="125">
        <v>3.0</v>
      </c>
      <c r="G256" s="124" t="s">
        <v>603</v>
      </c>
      <c r="H256" s="124" t="s">
        <v>470</v>
      </c>
      <c r="I256" s="125">
        <v>3000.0</v>
      </c>
      <c r="J256" s="123"/>
      <c r="K256" s="124" t="s">
        <v>289</v>
      </c>
      <c r="L256" s="125">
        <v>40.0</v>
      </c>
      <c r="M256" s="124" t="s">
        <v>5693</v>
      </c>
      <c r="N256" s="124" t="s">
        <v>5694</v>
      </c>
      <c r="O256" s="124" t="s">
        <v>5695</v>
      </c>
      <c r="P256" s="124">
        <v>2011.0</v>
      </c>
      <c r="Q256" s="124" t="s">
        <v>5703</v>
      </c>
      <c r="R256" s="123" t="s">
        <v>5704</v>
      </c>
      <c r="S256" s="123" t="s">
        <v>5705</v>
      </c>
      <c r="T256" s="123"/>
      <c r="U256" s="123"/>
      <c r="V256" s="123"/>
      <c r="W256" s="123"/>
      <c r="X256" s="123"/>
      <c r="Y256" s="123"/>
      <c r="Z256" s="123"/>
      <c r="AA256" s="123"/>
      <c r="AB256" s="123"/>
      <c r="AC256" s="123"/>
      <c r="AD256" s="123"/>
      <c r="AE256" s="123"/>
      <c r="AF256" s="123"/>
      <c r="AG256" s="123"/>
      <c r="AH256" s="123"/>
      <c r="AI256" s="123"/>
      <c r="AJ256" s="123"/>
    </row>
    <row r="257" ht="15.75" customHeight="1">
      <c r="A257" s="123">
        <v>264.0</v>
      </c>
      <c r="B257" s="124" t="s">
        <v>1230</v>
      </c>
      <c r="C257" s="124" t="s">
        <v>106</v>
      </c>
      <c r="D257" s="124" t="s">
        <v>64</v>
      </c>
      <c r="E257" s="124" t="s">
        <v>536</v>
      </c>
      <c r="F257" s="125">
        <v>3.0</v>
      </c>
      <c r="G257" s="124" t="s">
        <v>603</v>
      </c>
      <c r="H257" s="124" t="s">
        <v>116</v>
      </c>
      <c r="I257" s="125">
        <v>3000.0</v>
      </c>
      <c r="J257" s="123"/>
      <c r="K257" s="124" t="s">
        <v>289</v>
      </c>
      <c r="L257" s="125">
        <v>40.0</v>
      </c>
      <c r="M257" s="124" t="s">
        <v>3033</v>
      </c>
      <c r="N257" s="124" t="s">
        <v>3034</v>
      </c>
      <c r="O257" s="124" t="s">
        <v>3035</v>
      </c>
      <c r="P257" s="124">
        <v>2014.0</v>
      </c>
      <c r="Q257" s="124" t="s">
        <v>3038</v>
      </c>
      <c r="R257" s="123" t="s">
        <v>3039</v>
      </c>
      <c r="S257" s="123"/>
      <c r="T257" s="123" t="s">
        <v>428</v>
      </c>
      <c r="U257" s="123" t="s">
        <v>462</v>
      </c>
      <c r="V257" s="123"/>
      <c r="W257" s="123"/>
      <c r="X257" s="123"/>
      <c r="Y257" s="123"/>
      <c r="Z257" s="123"/>
      <c r="AA257" s="123"/>
      <c r="AB257" s="123"/>
      <c r="AC257" s="123"/>
      <c r="AD257" s="123"/>
      <c r="AE257" s="123"/>
      <c r="AF257" s="123"/>
      <c r="AG257" s="123"/>
      <c r="AH257" s="123"/>
      <c r="AI257" s="123"/>
      <c r="AJ257" s="123"/>
    </row>
    <row r="258" ht="15.75" customHeight="1">
      <c r="A258" s="123">
        <v>265.0</v>
      </c>
      <c r="B258" s="124" t="s">
        <v>1230</v>
      </c>
      <c r="C258" s="124" t="s">
        <v>106</v>
      </c>
      <c r="D258" s="124" t="s">
        <v>64</v>
      </c>
      <c r="E258" s="124" t="s">
        <v>536</v>
      </c>
      <c r="F258" s="125">
        <v>3.0</v>
      </c>
      <c r="G258" s="124" t="s">
        <v>603</v>
      </c>
      <c r="H258" s="124" t="s">
        <v>1032</v>
      </c>
      <c r="I258" s="125">
        <v>4000.0</v>
      </c>
      <c r="J258" s="123"/>
      <c r="K258" s="124" t="s">
        <v>289</v>
      </c>
      <c r="L258" s="125">
        <v>40.0</v>
      </c>
      <c r="M258" s="124" t="s">
        <v>1033</v>
      </c>
      <c r="N258" s="124" t="s">
        <v>1034</v>
      </c>
      <c r="O258" s="124" t="s">
        <v>1035</v>
      </c>
      <c r="P258" s="124">
        <v>1980.0</v>
      </c>
      <c r="Q258" s="124" t="s">
        <v>1036</v>
      </c>
      <c r="R258" s="127" t="str">
        <f>HYPERLINK("http://www.sciencedirect.com/science/article/pii/S0005789480800074","http://www.sciencedirect.com/science/article/pii/S0005789480800074")</f>
        <v>http://www.sciencedirect.com/science/article/pii/S0005789480800074</v>
      </c>
      <c r="S258" s="123"/>
      <c r="T258" s="123" t="s">
        <v>428</v>
      </c>
      <c r="U258" s="123" t="s">
        <v>462</v>
      </c>
      <c r="V258" s="123"/>
      <c r="W258" s="123"/>
      <c r="X258" s="123"/>
      <c r="Y258" s="123"/>
      <c r="Z258" s="123"/>
      <c r="AA258" s="123"/>
      <c r="AB258" s="123"/>
      <c r="AC258" s="123"/>
      <c r="AD258" s="123"/>
      <c r="AE258" s="123"/>
      <c r="AF258" s="123"/>
      <c r="AG258" s="123"/>
      <c r="AH258" s="123"/>
      <c r="AI258" s="123"/>
      <c r="AJ258" s="123" t="s">
        <v>1037</v>
      </c>
    </row>
    <row r="259" ht="15.75" customHeight="1">
      <c r="A259" s="123">
        <v>266.0</v>
      </c>
      <c r="B259" s="124" t="s">
        <v>1230</v>
      </c>
      <c r="C259" s="124" t="s">
        <v>106</v>
      </c>
      <c r="D259" s="124" t="s">
        <v>64</v>
      </c>
      <c r="E259" s="124" t="s">
        <v>536</v>
      </c>
      <c r="F259" s="125">
        <v>3.0</v>
      </c>
      <c r="G259" s="124" t="s">
        <v>603</v>
      </c>
      <c r="H259" s="124" t="s">
        <v>116</v>
      </c>
      <c r="I259" s="125">
        <v>3000.0</v>
      </c>
      <c r="J259" s="123"/>
      <c r="K259" s="124" t="s">
        <v>289</v>
      </c>
      <c r="L259" s="125">
        <v>40.0</v>
      </c>
      <c r="M259" s="124" t="s">
        <v>2215</v>
      </c>
      <c r="N259" s="124" t="s">
        <v>2216</v>
      </c>
      <c r="O259" s="124" t="s">
        <v>2218</v>
      </c>
      <c r="P259" s="124">
        <v>2012.0</v>
      </c>
      <c r="Q259" s="124" t="s">
        <v>2222</v>
      </c>
      <c r="R259" s="123" t="s">
        <v>2223</v>
      </c>
      <c r="S259" s="123"/>
      <c r="T259" s="123" t="s">
        <v>428</v>
      </c>
      <c r="U259" s="123" t="s">
        <v>462</v>
      </c>
      <c r="V259" s="123"/>
      <c r="W259" s="123"/>
      <c r="X259" s="123"/>
      <c r="Y259" s="123"/>
      <c r="Z259" s="123"/>
      <c r="AA259" s="123"/>
      <c r="AB259" s="123"/>
      <c r="AC259" s="123"/>
      <c r="AD259" s="123"/>
      <c r="AE259" s="123"/>
      <c r="AF259" s="123"/>
      <c r="AG259" s="123"/>
      <c r="AH259" s="123"/>
      <c r="AI259" s="123"/>
      <c r="AJ259" s="123" t="s">
        <v>2224</v>
      </c>
    </row>
    <row r="260" ht="15.75" customHeight="1">
      <c r="A260" s="123">
        <v>267.0</v>
      </c>
      <c r="B260" s="124" t="s">
        <v>1230</v>
      </c>
      <c r="C260" s="124" t="s">
        <v>106</v>
      </c>
      <c r="D260" s="124" t="s">
        <v>4032</v>
      </c>
      <c r="E260" s="124" t="s">
        <v>536</v>
      </c>
      <c r="F260" s="125">
        <v>3.0</v>
      </c>
      <c r="G260" s="124" t="s">
        <v>603</v>
      </c>
      <c r="H260" s="124" t="s">
        <v>605</v>
      </c>
      <c r="I260" s="125">
        <v>4000.0</v>
      </c>
      <c r="J260" s="123"/>
      <c r="K260" s="124" t="s">
        <v>289</v>
      </c>
      <c r="L260" s="125">
        <v>40.0</v>
      </c>
      <c r="M260" s="124" t="s">
        <v>606</v>
      </c>
      <c r="N260" s="124" t="s">
        <v>608</v>
      </c>
      <c r="O260" s="124" t="s">
        <v>609</v>
      </c>
      <c r="P260" s="124">
        <v>2010.0</v>
      </c>
      <c r="Q260" s="124" t="s">
        <v>610</v>
      </c>
      <c r="R260" s="123" t="s">
        <v>611</v>
      </c>
      <c r="S260" s="123"/>
      <c r="T260" s="123" t="s">
        <v>613</v>
      </c>
      <c r="U260" s="123" t="s">
        <v>613</v>
      </c>
      <c r="V260" s="123"/>
      <c r="W260" s="123"/>
      <c r="X260" s="123"/>
      <c r="Y260" s="123"/>
      <c r="Z260" s="123"/>
      <c r="AA260" s="123"/>
      <c r="AB260" s="123"/>
      <c r="AC260" s="123"/>
      <c r="AD260" s="123"/>
      <c r="AE260" s="123"/>
      <c r="AF260" s="123"/>
      <c r="AG260" s="123"/>
      <c r="AH260" s="123"/>
      <c r="AI260" s="123"/>
      <c r="AJ260" s="123" t="s">
        <v>615</v>
      </c>
    </row>
    <row r="261" ht="15.75" customHeight="1">
      <c r="A261" s="123">
        <v>268.0</v>
      </c>
      <c r="B261" s="124" t="s">
        <v>1230</v>
      </c>
      <c r="C261" s="124" t="s">
        <v>106</v>
      </c>
      <c r="D261" s="124" t="s">
        <v>64</v>
      </c>
      <c r="E261" s="124" t="s">
        <v>536</v>
      </c>
      <c r="F261" s="125">
        <v>3.0</v>
      </c>
      <c r="G261" s="124" t="s">
        <v>603</v>
      </c>
      <c r="H261" s="124" t="s">
        <v>623</v>
      </c>
      <c r="I261" s="125">
        <v>4000.0</v>
      </c>
      <c r="J261" s="123"/>
      <c r="K261" s="124" t="s">
        <v>111</v>
      </c>
      <c r="L261" s="125">
        <v>41.0</v>
      </c>
      <c r="M261" s="124" t="s">
        <v>3082</v>
      </c>
      <c r="N261" s="124" t="s">
        <v>3083</v>
      </c>
      <c r="O261" s="124" t="s">
        <v>3084</v>
      </c>
      <c r="P261" s="124">
        <v>2008.0</v>
      </c>
      <c r="Q261" s="124" t="s">
        <v>3085</v>
      </c>
      <c r="R261" s="123" t="s">
        <v>3086</v>
      </c>
      <c r="S261" s="123"/>
      <c r="T261" s="123" t="s">
        <v>428</v>
      </c>
      <c r="U261" s="123" t="s">
        <v>462</v>
      </c>
      <c r="V261" s="123"/>
      <c r="W261" s="123"/>
      <c r="X261" s="123"/>
      <c r="Y261" s="123"/>
      <c r="Z261" s="123"/>
      <c r="AA261" s="123"/>
      <c r="AB261" s="123"/>
      <c r="AC261" s="123"/>
      <c r="AD261" s="123"/>
      <c r="AE261" s="123"/>
      <c r="AF261" s="123"/>
      <c r="AG261" s="123"/>
      <c r="AH261" s="123"/>
      <c r="AI261" s="123"/>
      <c r="AJ261" s="123"/>
    </row>
    <row r="262" ht="15.75" customHeight="1">
      <c r="A262" s="123">
        <v>269.0</v>
      </c>
      <c r="B262" s="124" t="s">
        <v>1230</v>
      </c>
      <c r="C262" s="124" t="s">
        <v>106</v>
      </c>
      <c r="D262" s="124" t="s">
        <v>64</v>
      </c>
      <c r="E262" s="124" t="s">
        <v>536</v>
      </c>
      <c r="F262" s="125">
        <v>3.0</v>
      </c>
      <c r="G262" s="124" t="s">
        <v>603</v>
      </c>
      <c r="H262" s="124" t="s">
        <v>470</v>
      </c>
      <c r="I262" s="125">
        <v>3000.0</v>
      </c>
      <c r="J262" s="123"/>
      <c r="K262" s="124" t="s">
        <v>111</v>
      </c>
      <c r="L262" s="125">
        <v>41.0</v>
      </c>
      <c r="M262" s="124" t="s">
        <v>3043</v>
      </c>
      <c r="N262" s="124" t="s">
        <v>3044</v>
      </c>
      <c r="O262" s="124" t="s">
        <v>3035</v>
      </c>
      <c r="P262" s="124">
        <v>1995.0</v>
      </c>
      <c r="Q262" s="124" t="s">
        <v>3046</v>
      </c>
      <c r="R262" s="123"/>
      <c r="S262" s="123"/>
      <c r="T262" s="123"/>
      <c r="U262" s="123"/>
      <c r="V262" s="123"/>
      <c r="W262" s="123"/>
      <c r="X262" s="123"/>
      <c r="Y262" s="123"/>
      <c r="Z262" s="129"/>
      <c r="AA262" s="123"/>
      <c r="AB262" s="123"/>
      <c r="AC262" s="123"/>
      <c r="AD262" s="123"/>
      <c r="AE262" s="123"/>
      <c r="AF262" s="123"/>
      <c r="AG262" s="123"/>
      <c r="AH262" s="123"/>
      <c r="AI262" s="123"/>
      <c r="AJ262" s="123"/>
    </row>
    <row r="263" ht="15.75" customHeight="1">
      <c r="A263" s="123">
        <v>270.0</v>
      </c>
      <c r="B263" s="124" t="s">
        <v>1230</v>
      </c>
      <c r="C263" s="124" t="s">
        <v>106</v>
      </c>
      <c r="D263" s="124" t="s">
        <v>64</v>
      </c>
      <c r="E263" s="124" t="s">
        <v>536</v>
      </c>
      <c r="F263" s="125">
        <v>3.0</v>
      </c>
      <c r="G263" s="124" t="s">
        <v>603</v>
      </c>
      <c r="H263" s="124" t="s">
        <v>605</v>
      </c>
      <c r="I263" s="125">
        <v>4000.0</v>
      </c>
      <c r="J263" s="123"/>
      <c r="K263" s="124" t="s">
        <v>289</v>
      </c>
      <c r="L263" s="125">
        <v>40.0</v>
      </c>
      <c r="M263" s="124" t="s">
        <v>5715</v>
      </c>
      <c r="N263" s="124" t="s">
        <v>5716</v>
      </c>
      <c r="O263" s="124" t="s">
        <v>5717</v>
      </c>
      <c r="P263" s="124">
        <v>2012.0</v>
      </c>
      <c r="Q263" s="124" t="s">
        <v>5718</v>
      </c>
      <c r="R263" s="123" t="s">
        <v>5719</v>
      </c>
      <c r="S263" s="123"/>
      <c r="T263" s="123" t="s">
        <v>769</v>
      </c>
      <c r="U263" s="123"/>
      <c r="V263" s="123"/>
      <c r="W263" s="123"/>
      <c r="X263" s="123"/>
      <c r="Y263" s="123"/>
      <c r="Z263" s="123"/>
      <c r="AA263" s="123"/>
      <c r="AB263" s="123"/>
      <c r="AC263" s="123"/>
      <c r="AD263" s="123"/>
      <c r="AE263" s="123"/>
      <c r="AF263" s="123"/>
      <c r="AG263" s="123"/>
      <c r="AH263" s="123"/>
      <c r="AI263" s="123"/>
      <c r="AJ263" s="123" t="s">
        <v>1023</v>
      </c>
    </row>
    <row r="264" ht="15.75" customHeight="1">
      <c r="A264" s="123">
        <v>271.0</v>
      </c>
      <c r="B264" s="124" t="s">
        <v>1230</v>
      </c>
      <c r="C264" s="124" t="s">
        <v>106</v>
      </c>
      <c r="D264" s="124" t="s">
        <v>64</v>
      </c>
      <c r="E264" s="124" t="s">
        <v>536</v>
      </c>
      <c r="F264" s="125">
        <v>3.0</v>
      </c>
      <c r="G264" s="124" t="s">
        <v>603</v>
      </c>
      <c r="H264" s="124" t="s">
        <v>70</v>
      </c>
      <c r="I264" s="125">
        <v>4000.0</v>
      </c>
      <c r="J264" s="123"/>
      <c r="K264" s="124" t="s">
        <v>111</v>
      </c>
      <c r="L264" s="125">
        <v>41.0</v>
      </c>
      <c r="M264" s="124" t="s">
        <v>3215</v>
      </c>
      <c r="N264" s="124" t="s">
        <v>3216</v>
      </c>
      <c r="O264" s="124" t="s">
        <v>3123</v>
      </c>
      <c r="P264" s="124">
        <v>2006.0</v>
      </c>
      <c r="Q264" s="124" t="s">
        <v>3217</v>
      </c>
      <c r="R264" s="127" t="str">
        <f>HYPERLINK("http://www.sciencedirect.com/science/article/pii/S0301421505002077","http://www.sciencedirect.com/science/article/pii/S0301421505002077")</f>
        <v>http://www.sciencedirect.com/science/article/pii/S0301421505002077</v>
      </c>
      <c r="S264" s="123"/>
      <c r="T264" s="123" t="s">
        <v>428</v>
      </c>
      <c r="U264" s="123" t="s">
        <v>462</v>
      </c>
      <c r="V264" s="123"/>
      <c r="W264" s="123"/>
      <c r="X264" s="123"/>
      <c r="Y264" s="123"/>
      <c r="Z264" s="123"/>
      <c r="AA264" s="123"/>
      <c r="AB264" s="123"/>
      <c r="AC264" s="123"/>
      <c r="AD264" s="123"/>
      <c r="AE264" s="123"/>
      <c r="AF264" s="123"/>
      <c r="AG264" s="123"/>
      <c r="AH264" s="123"/>
      <c r="AI264" s="123"/>
      <c r="AJ264" s="123" t="s">
        <v>3224</v>
      </c>
    </row>
    <row r="265" ht="15.75" customHeight="1">
      <c r="A265" s="123">
        <v>272.0</v>
      </c>
      <c r="B265" s="124" t="s">
        <v>1230</v>
      </c>
      <c r="C265" s="124" t="s">
        <v>106</v>
      </c>
      <c r="D265" s="124" t="s">
        <v>64</v>
      </c>
      <c r="E265" s="124" t="s">
        <v>536</v>
      </c>
      <c r="F265" s="125">
        <v>3.0</v>
      </c>
      <c r="G265" s="124" t="s">
        <v>603</v>
      </c>
      <c r="H265" s="124" t="s">
        <v>605</v>
      </c>
      <c r="I265" s="125">
        <v>4000.0</v>
      </c>
      <c r="J265" s="123"/>
      <c r="K265" s="124" t="s">
        <v>289</v>
      </c>
      <c r="L265" s="125">
        <v>40.0</v>
      </c>
      <c r="M265" s="124" t="s">
        <v>2980</v>
      </c>
      <c r="N265" s="124" t="s">
        <v>2981</v>
      </c>
      <c r="O265" s="124" t="s">
        <v>2982</v>
      </c>
      <c r="P265" s="124">
        <v>2009.0</v>
      </c>
      <c r="Q265" s="130" t="s">
        <v>2986</v>
      </c>
      <c r="R265" s="127" t="str">
        <f>HYPERLINK("http://www.epri.com/abstracts/Pages/ProductAbstract.aspx?ProductId=000000000001019319","http://www.epri.com/abstracts/Pages/ProductAbstract.aspx?ProductId=000000000001019319")</f>
        <v>http://www.epri.com/abstracts/Pages/ProductAbstract.aspx?ProductId=000000000001019319</v>
      </c>
      <c r="S265" s="123"/>
      <c r="T265" s="123" t="s">
        <v>428</v>
      </c>
      <c r="U265" s="123" t="s">
        <v>462</v>
      </c>
      <c r="V265" s="123"/>
      <c r="W265" s="123"/>
      <c r="X265" s="123"/>
      <c r="Y265" s="123"/>
      <c r="Z265" s="123"/>
      <c r="AA265" s="123"/>
      <c r="AB265" s="123"/>
      <c r="AC265" s="123"/>
      <c r="AD265" s="123"/>
      <c r="AE265" s="123"/>
      <c r="AF265" s="123"/>
      <c r="AG265" s="123"/>
      <c r="AH265" s="123"/>
      <c r="AI265" s="123"/>
      <c r="AJ265" s="123" t="s">
        <v>2987</v>
      </c>
    </row>
    <row r="266" ht="15.75" customHeight="1">
      <c r="A266" s="123">
        <v>273.0</v>
      </c>
      <c r="B266" s="124" t="s">
        <v>1230</v>
      </c>
      <c r="C266" s="124" t="s">
        <v>106</v>
      </c>
      <c r="D266" s="124" t="s">
        <v>64</v>
      </c>
      <c r="E266" s="124" t="s">
        <v>536</v>
      </c>
      <c r="F266" s="125">
        <v>3.0</v>
      </c>
      <c r="G266" s="124" t="s">
        <v>603</v>
      </c>
      <c r="H266" s="124" t="s">
        <v>623</v>
      </c>
      <c r="I266" s="125">
        <v>4000.0</v>
      </c>
      <c r="J266" s="123"/>
      <c r="K266" s="124" t="s">
        <v>111</v>
      </c>
      <c r="L266" s="125">
        <v>41.0</v>
      </c>
      <c r="M266" s="124" t="s">
        <v>3531</v>
      </c>
      <c r="N266" s="124" t="s">
        <v>3533</v>
      </c>
      <c r="O266" s="124" t="s">
        <v>3535</v>
      </c>
      <c r="P266" s="124">
        <v>2006.0</v>
      </c>
      <c r="Q266" s="124" t="s">
        <v>3537</v>
      </c>
      <c r="R266" s="123" t="s">
        <v>3538</v>
      </c>
      <c r="S266" s="123"/>
      <c r="T266" s="123" t="s">
        <v>428</v>
      </c>
      <c r="U266" s="123" t="s">
        <v>462</v>
      </c>
      <c r="V266" s="123"/>
      <c r="W266" s="123"/>
      <c r="X266" s="123"/>
      <c r="Y266" s="123"/>
      <c r="Z266" s="123"/>
      <c r="AA266" s="123"/>
      <c r="AB266" s="123"/>
      <c r="AC266" s="123"/>
      <c r="AD266" s="123"/>
      <c r="AE266" s="123"/>
      <c r="AF266" s="123"/>
      <c r="AG266" s="123"/>
      <c r="AH266" s="123"/>
      <c r="AI266" s="123"/>
      <c r="AJ266" s="123"/>
    </row>
    <row r="267" ht="15.75" customHeight="1">
      <c r="A267" s="123">
        <v>274.0</v>
      </c>
      <c r="B267" s="124" t="s">
        <v>1230</v>
      </c>
      <c r="C267" s="124" t="s">
        <v>106</v>
      </c>
      <c r="D267" s="124" t="s">
        <v>64</v>
      </c>
      <c r="E267" s="124" t="s">
        <v>536</v>
      </c>
      <c r="F267" s="125">
        <v>3.0</v>
      </c>
      <c r="G267" s="124" t="s">
        <v>603</v>
      </c>
      <c r="H267" s="124" t="s">
        <v>70</v>
      </c>
      <c r="I267" s="125">
        <v>4000.0</v>
      </c>
      <c r="J267" s="123"/>
      <c r="K267" s="124" t="s">
        <v>111</v>
      </c>
      <c r="L267" s="125">
        <v>41.0</v>
      </c>
      <c r="M267" s="124" t="s">
        <v>5241</v>
      </c>
      <c r="N267" s="124" t="s">
        <v>5242</v>
      </c>
      <c r="O267" s="124" t="s">
        <v>3992</v>
      </c>
      <c r="P267" s="124">
        <v>1999.0</v>
      </c>
      <c r="Q267" s="124" t="s">
        <v>5243</v>
      </c>
      <c r="R267" s="127" t="str">
        <f>HYPERLINK("http://www.sciencedirect.com/science/article/pii/S0272494498901050","http://www.sciencedirect.com/science/article/pii/S0272494498901050")</f>
        <v>http://www.sciencedirect.com/science/article/pii/S0272494498901050</v>
      </c>
      <c r="S267" s="123"/>
      <c r="T267" s="123" t="s">
        <v>428</v>
      </c>
      <c r="U267" s="123" t="s">
        <v>462</v>
      </c>
      <c r="V267" s="123"/>
      <c r="W267" s="123"/>
      <c r="X267" s="123"/>
      <c r="Y267" s="123"/>
      <c r="Z267" s="123"/>
      <c r="AA267" s="123"/>
      <c r="AB267" s="123"/>
      <c r="AC267" s="123"/>
      <c r="AD267" s="123"/>
      <c r="AE267" s="123"/>
      <c r="AF267" s="123"/>
      <c r="AG267" s="123"/>
      <c r="AH267" s="123"/>
      <c r="AI267" s="123"/>
      <c r="AJ267" s="123"/>
    </row>
    <row r="268" ht="15.75" customHeight="1">
      <c r="A268" s="123">
        <v>275.0</v>
      </c>
      <c r="B268" s="124" t="s">
        <v>1230</v>
      </c>
      <c r="C268" s="124" t="s">
        <v>106</v>
      </c>
      <c r="D268" s="124" t="s">
        <v>64</v>
      </c>
      <c r="E268" s="124" t="s">
        <v>536</v>
      </c>
      <c r="F268" s="125">
        <v>3.0</v>
      </c>
      <c r="G268" s="124" t="s">
        <v>603</v>
      </c>
      <c r="H268" s="124" t="s">
        <v>70</v>
      </c>
      <c r="I268" s="125">
        <v>4000.0</v>
      </c>
      <c r="J268" s="123"/>
      <c r="K268" s="124" t="s">
        <v>289</v>
      </c>
      <c r="L268" s="125">
        <v>40.0</v>
      </c>
      <c r="M268" s="124" t="s">
        <v>5730</v>
      </c>
      <c r="N268" s="124" t="s">
        <v>5731</v>
      </c>
      <c r="O268" s="124" t="s">
        <v>5732</v>
      </c>
      <c r="P268" s="124">
        <v>1992.0</v>
      </c>
      <c r="Q268" s="124" t="s">
        <v>610</v>
      </c>
      <c r="R268" s="123" t="s">
        <v>5733</v>
      </c>
      <c r="S268" s="123"/>
      <c r="T268" s="123" t="s">
        <v>428</v>
      </c>
      <c r="U268" s="123" t="s">
        <v>462</v>
      </c>
      <c r="V268" s="123"/>
      <c r="W268" s="123"/>
      <c r="X268" s="123"/>
      <c r="Y268" s="123"/>
      <c r="Z268" s="123"/>
      <c r="AA268" s="123"/>
      <c r="AB268" s="123"/>
      <c r="AC268" s="123"/>
      <c r="AD268" s="123"/>
      <c r="AE268" s="123"/>
      <c r="AF268" s="123"/>
      <c r="AG268" s="123"/>
      <c r="AH268" s="123"/>
      <c r="AI268" s="123"/>
      <c r="AJ268" s="123"/>
    </row>
    <row r="269" ht="15.75" customHeight="1">
      <c r="A269" s="123">
        <v>276.0</v>
      </c>
      <c r="B269" s="124" t="s">
        <v>1230</v>
      </c>
      <c r="C269" s="124" t="s">
        <v>106</v>
      </c>
      <c r="D269" s="124" t="s">
        <v>64</v>
      </c>
      <c r="E269" s="124" t="s">
        <v>536</v>
      </c>
      <c r="F269" s="125">
        <v>3.0</v>
      </c>
      <c r="G269" s="124" t="s">
        <v>603</v>
      </c>
      <c r="H269" s="124" t="s">
        <v>4612</v>
      </c>
      <c r="I269" s="125" t="s">
        <v>3606</v>
      </c>
      <c r="J269" s="123"/>
      <c r="K269" s="124" t="s">
        <v>289</v>
      </c>
      <c r="L269" s="125">
        <v>40.0</v>
      </c>
      <c r="M269" s="124" t="s">
        <v>4614</v>
      </c>
      <c r="N269" s="124" t="s">
        <v>4616</v>
      </c>
      <c r="O269" s="124" t="s">
        <v>4618</v>
      </c>
      <c r="P269" s="124">
        <v>2007.0</v>
      </c>
      <c r="Q269" s="130" t="s">
        <v>4620</v>
      </c>
      <c r="R269" s="123" t="s">
        <v>4621</v>
      </c>
      <c r="S269" s="123"/>
      <c r="T269" s="123" t="s">
        <v>428</v>
      </c>
      <c r="U269" s="123" t="s">
        <v>462</v>
      </c>
      <c r="V269" s="123"/>
      <c r="W269" s="123"/>
      <c r="X269" s="123"/>
      <c r="Y269" s="123"/>
      <c r="Z269" s="123"/>
      <c r="AA269" s="123"/>
      <c r="AB269" s="123"/>
      <c r="AC269" s="123"/>
      <c r="AD269" s="123"/>
      <c r="AE269" s="123"/>
      <c r="AF269" s="123"/>
      <c r="AG269" s="123"/>
      <c r="AH269" s="123"/>
      <c r="AI269" s="123"/>
      <c r="AJ269" s="123" t="s">
        <v>4622</v>
      </c>
    </row>
    <row r="270" ht="15.75" customHeight="1">
      <c r="A270" s="123">
        <v>277.0</v>
      </c>
      <c r="B270" s="124" t="s">
        <v>1230</v>
      </c>
      <c r="C270" s="124" t="s">
        <v>106</v>
      </c>
      <c r="D270" s="124" t="s">
        <v>64</v>
      </c>
      <c r="E270" s="124" t="s">
        <v>536</v>
      </c>
      <c r="F270" s="125">
        <v>3.0</v>
      </c>
      <c r="G270" s="124" t="s">
        <v>603</v>
      </c>
      <c r="H270" s="124" t="s">
        <v>4304</v>
      </c>
      <c r="I270" s="125" t="s">
        <v>4305</v>
      </c>
      <c r="J270" s="123"/>
      <c r="K270" s="124" t="s">
        <v>289</v>
      </c>
      <c r="L270" s="125">
        <v>40.0</v>
      </c>
      <c r="M270" s="124" t="s">
        <v>5201</v>
      </c>
      <c r="N270" s="124" t="s">
        <v>5202</v>
      </c>
      <c r="O270" s="124" t="s">
        <v>3992</v>
      </c>
      <c r="P270" s="124">
        <v>2011.0</v>
      </c>
      <c r="Q270" s="124" t="s">
        <v>5206</v>
      </c>
      <c r="R270" s="123"/>
      <c r="S270" s="123"/>
      <c r="T270" s="123"/>
      <c r="U270" s="123"/>
      <c r="V270" s="123"/>
      <c r="W270" s="123"/>
      <c r="X270" s="123"/>
      <c r="Y270" s="123"/>
      <c r="Z270" s="123"/>
      <c r="AA270" s="123"/>
      <c r="AB270" s="123"/>
      <c r="AC270" s="123"/>
      <c r="AD270" s="123"/>
      <c r="AE270" s="123"/>
      <c r="AF270" s="123"/>
      <c r="AG270" s="123"/>
      <c r="AH270" s="123"/>
      <c r="AI270" s="123"/>
      <c r="AJ270" s="123"/>
    </row>
    <row r="271" ht="15.75" customHeight="1">
      <c r="A271" s="123">
        <v>278.0</v>
      </c>
      <c r="B271" s="124" t="s">
        <v>1230</v>
      </c>
      <c r="C271" s="124" t="s">
        <v>106</v>
      </c>
      <c r="D271" s="124" t="s">
        <v>64</v>
      </c>
      <c r="E271" s="124" t="s">
        <v>536</v>
      </c>
      <c r="F271" s="125">
        <v>3.0</v>
      </c>
      <c r="G271" s="124" t="s">
        <v>603</v>
      </c>
      <c r="H271" s="124" t="s">
        <v>470</v>
      </c>
      <c r="I271" s="125">
        <v>3000.0</v>
      </c>
      <c r="J271" s="123"/>
      <c r="K271" s="124" t="s">
        <v>111</v>
      </c>
      <c r="L271" s="125">
        <v>41.0</v>
      </c>
      <c r="M271" s="124" t="s">
        <v>3051</v>
      </c>
      <c r="N271" s="124" t="s">
        <v>3052</v>
      </c>
      <c r="O271" s="124" t="s">
        <v>3035</v>
      </c>
      <c r="P271" s="124">
        <v>2003.0</v>
      </c>
      <c r="Q271" s="124" t="s">
        <v>3053</v>
      </c>
      <c r="R271" s="123" t="s">
        <v>3054</v>
      </c>
      <c r="S271" s="123"/>
      <c r="T271" s="123" t="s">
        <v>428</v>
      </c>
      <c r="U271" s="123" t="s">
        <v>462</v>
      </c>
      <c r="V271" s="123"/>
      <c r="W271" s="123"/>
      <c r="X271" s="123"/>
      <c r="Y271" s="123"/>
      <c r="Z271" s="123"/>
      <c r="AA271" s="123"/>
      <c r="AB271" s="123"/>
      <c r="AC271" s="123"/>
      <c r="AD271" s="123"/>
      <c r="AE271" s="123"/>
      <c r="AF271" s="123"/>
      <c r="AG271" s="123"/>
      <c r="AH271" s="123"/>
      <c r="AI271" s="123"/>
      <c r="AJ271" s="123"/>
    </row>
    <row r="272" ht="15.75" customHeight="1">
      <c r="A272" s="123">
        <v>279.0</v>
      </c>
      <c r="B272" s="124" t="s">
        <v>1230</v>
      </c>
      <c r="C272" s="124" t="s">
        <v>106</v>
      </c>
      <c r="D272" s="124" t="s">
        <v>64</v>
      </c>
      <c r="E272" s="124" t="s">
        <v>536</v>
      </c>
      <c r="F272" s="125">
        <v>3.0</v>
      </c>
      <c r="G272" s="124" t="s">
        <v>603</v>
      </c>
      <c r="H272" s="124" t="s">
        <v>605</v>
      </c>
      <c r="I272" s="125">
        <v>4000.0</v>
      </c>
      <c r="J272" s="123"/>
      <c r="K272" s="124" t="s">
        <v>289</v>
      </c>
      <c r="L272" s="125">
        <v>40.0</v>
      </c>
      <c r="M272" s="124" t="s">
        <v>3058</v>
      </c>
      <c r="N272" s="124" t="s">
        <v>3060</v>
      </c>
      <c r="O272" s="124" t="s">
        <v>3035</v>
      </c>
      <c r="P272" s="124">
        <v>1987.0</v>
      </c>
      <c r="Q272" s="124" t="s">
        <v>3061</v>
      </c>
      <c r="R272" s="127" t="str">
        <f>HYPERLINK("http://www.sciencedirect.com/science/article/pii/0378778878900129","http://www.sciencedirect.com/science/article/pii/0378778878900129")</f>
        <v>http://www.sciencedirect.com/science/article/pii/0378778878900129</v>
      </c>
      <c r="S272" s="123"/>
      <c r="T272" s="123" t="s">
        <v>428</v>
      </c>
      <c r="U272" s="123" t="s">
        <v>462</v>
      </c>
      <c r="V272" s="123"/>
      <c r="W272" s="123"/>
      <c r="X272" s="123"/>
      <c r="Y272" s="123"/>
      <c r="Z272" s="123"/>
      <c r="AA272" s="123"/>
      <c r="AB272" s="123"/>
      <c r="AC272" s="123"/>
      <c r="AD272" s="123"/>
      <c r="AE272" s="123"/>
      <c r="AF272" s="123"/>
      <c r="AG272" s="123"/>
      <c r="AH272" s="123"/>
      <c r="AI272" s="123"/>
      <c r="AJ272" s="123" t="s">
        <v>3063</v>
      </c>
    </row>
    <row r="273" ht="15.75" customHeight="1">
      <c r="A273" s="123">
        <v>280.0</v>
      </c>
      <c r="B273" s="124" t="s">
        <v>1230</v>
      </c>
      <c r="C273" s="124" t="s">
        <v>106</v>
      </c>
      <c r="D273" s="124" t="s">
        <v>64</v>
      </c>
      <c r="E273" s="124" t="s">
        <v>536</v>
      </c>
      <c r="F273" s="125">
        <v>3.0</v>
      </c>
      <c r="G273" s="124" t="s">
        <v>603</v>
      </c>
      <c r="H273" s="124" t="s">
        <v>116</v>
      </c>
      <c r="I273" s="125">
        <v>3000.0</v>
      </c>
      <c r="J273" s="123"/>
      <c r="K273" s="124" t="s">
        <v>289</v>
      </c>
      <c r="L273" s="125">
        <v>40.0</v>
      </c>
      <c r="M273" s="124" t="s">
        <v>1184</v>
      </c>
      <c r="N273" s="124" t="s">
        <v>1185</v>
      </c>
      <c r="O273" s="124" t="s">
        <v>1186</v>
      </c>
      <c r="P273" s="124">
        <v>2013.0</v>
      </c>
      <c r="Q273" s="130" t="s">
        <v>1187</v>
      </c>
      <c r="R273" s="123" t="s">
        <v>1188</v>
      </c>
      <c r="S273" s="123"/>
      <c r="T273" s="123" t="s">
        <v>428</v>
      </c>
      <c r="U273" s="123" t="s">
        <v>462</v>
      </c>
      <c r="V273" s="123"/>
      <c r="W273" s="123"/>
      <c r="X273" s="123"/>
      <c r="Y273" s="123"/>
      <c r="Z273" s="129"/>
      <c r="AA273" s="123"/>
      <c r="AB273" s="123"/>
      <c r="AC273" s="123"/>
      <c r="AD273" s="129"/>
      <c r="AE273" s="123"/>
      <c r="AF273" s="123"/>
      <c r="AG273" s="123"/>
      <c r="AH273" s="123"/>
      <c r="AI273" s="123"/>
      <c r="AJ273" s="123"/>
    </row>
    <row r="274" ht="15.75" customHeight="1">
      <c r="A274" s="123">
        <v>281.0</v>
      </c>
      <c r="B274" s="124" t="s">
        <v>1230</v>
      </c>
      <c r="C274" s="124" t="s">
        <v>106</v>
      </c>
      <c r="D274" s="124" t="s">
        <v>64</v>
      </c>
      <c r="E274" s="124" t="s">
        <v>536</v>
      </c>
      <c r="F274" s="125">
        <v>3.0</v>
      </c>
      <c r="G274" s="124" t="s">
        <v>603</v>
      </c>
      <c r="H274" s="124" t="s">
        <v>70</v>
      </c>
      <c r="I274" s="125">
        <v>4000.0</v>
      </c>
      <c r="J274" s="123"/>
      <c r="K274" s="124" t="s">
        <v>324</v>
      </c>
      <c r="L274" s="125" t="s">
        <v>325</v>
      </c>
      <c r="M274" s="124" t="s">
        <v>635</v>
      </c>
      <c r="N274" s="124" t="s">
        <v>636</v>
      </c>
      <c r="O274" s="124" t="s">
        <v>609</v>
      </c>
      <c r="P274" s="124">
        <v>2012.0</v>
      </c>
      <c r="Q274" s="124" t="s">
        <v>642</v>
      </c>
      <c r="R274" s="123" t="s">
        <v>643</v>
      </c>
      <c r="S274" s="123"/>
      <c r="T274" s="123" t="s">
        <v>613</v>
      </c>
      <c r="U274" s="123" t="s">
        <v>613</v>
      </c>
      <c r="V274" s="123"/>
      <c r="W274" s="123"/>
      <c r="X274" s="123"/>
      <c r="Y274" s="123"/>
      <c r="Z274" s="123"/>
      <c r="AA274" s="123"/>
      <c r="AB274" s="123"/>
      <c r="AC274" s="123"/>
      <c r="AD274" s="123"/>
      <c r="AE274" s="123"/>
      <c r="AF274" s="123"/>
      <c r="AG274" s="123"/>
      <c r="AH274" s="123"/>
      <c r="AI274" s="123"/>
      <c r="AJ274" s="123" t="s">
        <v>615</v>
      </c>
    </row>
    <row r="275" ht="15.75" customHeight="1">
      <c r="A275" s="123">
        <v>282.0</v>
      </c>
      <c r="B275" s="124" t="s">
        <v>1230</v>
      </c>
      <c r="C275" s="124" t="s">
        <v>106</v>
      </c>
      <c r="D275" s="124" t="s">
        <v>64</v>
      </c>
      <c r="E275" s="124" t="s">
        <v>536</v>
      </c>
      <c r="F275" s="125">
        <v>3.0</v>
      </c>
      <c r="G275" s="124" t="s">
        <v>603</v>
      </c>
      <c r="H275" s="124" t="s">
        <v>605</v>
      </c>
      <c r="I275" s="125">
        <v>4000.0</v>
      </c>
      <c r="J275" s="123"/>
      <c r="K275" s="124" t="s">
        <v>289</v>
      </c>
      <c r="L275" s="125">
        <v>40.0</v>
      </c>
      <c r="M275" s="124" t="s">
        <v>5746</v>
      </c>
      <c r="N275" s="124" t="s">
        <v>5748</v>
      </c>
      <c r="O275" s="124" t="s">
        <v>610</v>
      </c>
      <c r="P275" s="124">
        <v>2009.0</v>
      </c>
      <c r="Q275" s="124" t="s">
        <v>610</v>
      </c>
      <c r="R275" s="123" t="s">
        <v>5750</v>
      </c>
      <c r="S275" s="123"/>
      <c r="T275" s="123" t="s">
        <v>428</v>
      </c>
      <c r="U275" s="123" t="s">
        <v>462</v>
      </c>
      <c r="V275" s="123"/>
      <c r="W275" s="123"/>
      <c r="X275" s="123"/>
      <c r="Y275" s="123"/>
      <c r="Z275" s="123"/>
      <c r="AA275" s="123"/>
      <c r="AB275" s="123"/>
      <c r="AC275" s="123"/>
      <c r="AD275" s="123"/>
      <c r="AE275" s="123"/>
      <c r="AF275" s="123"/>
      <c r="AG275" s="123"/>
      <c r="AH275" s="123"/>
      <c r="AI275" s="123"/>
      <c r="AJ275" s="123" t="s">
        <v>1023</v>
      </c>
    </row>
    <row r="276" ht="15.75" customHeight="1">
      <c r="A276" s="123">
        <v>283.0</v>
      </c>
      <c r="B276" s="124" t="s">
        <v>1230</v>
      </c>
      <c r="C276" s="124" t="s">
        <v>106</v>
      </c>
      <c r="D276" s="124" t="s">
        <v>64</v>
      </c>
      <c r="E276" s="124" t="s">
        <v>536</v>
      </c>
      <c r="F276" s="125">
        <v>3.0</v>
      </c>
      <c r="G276" s="124" t="s">
        <v>980</v>
      </c>
      <c r="H276" s="124" t="s">
        <v>981</v>
      </c>
      <c r="I276" s="125">
        <v>21000.0</v>
      </c>
      <c r="J276" s="123"/>
      <c r="K276" s="124" t="s">
        <v>298</v>
      </c>
      <c r="L276" s="125">
        <v>44.0</v>
      </c>
      <c r="M276" s="124" t="s">
        <v>982</v>
      </c>
      <c r="N276" s="124" t="s">
        <v>983</v>
      </c>
      <c r="O276" s="124" t="s">
        <v>984</v>
      </c>
      <c r="P276" s="124">
        <v>2008.0</v>
      </c>
      <c r="Q276" s="124" t="s">
        <v>985</v>
      </c>
      <c r="R276" s="123" t="s">
        <v>986</v>
      </c>
      <c r="S276" s="123"/>
      <c r="T276" s="123"/>
      <c r="U276" s="123"/>
      <c r="V276" s="123"/>
      <c r="W276" s="123"/>
      <c r="X276" s="123"/>
      <c r="Y276" s="123"/>
      <c r="Z276" s="123"/>
      <c r="AA276" s="123"/>
      <c r="AB276" s="123"/>
      <c r="AC276" s="123"/>
      <c r="AD276" s="123"/>
      <c r="AE276" s="123"/>
      <c r="AF276" s="123"/>
      <c r="AG276" s="123"/>
      <c r="AH276" s="123"/>
      <c r="AI276" s="123"/>
      <c r="AJ276" s="123"/>
    </row>
    <row r="277" ht="15.75" customHeight="1">
      <c r="A277" s="123">
        <v>284.0</v>
      </c>
      <c r="B277" s="124" t="s">
        <v>1230</v>
      </c>
      <c r="C277" s="124" t="s">
        <v>106</v>
      </c>
      <c r="D277" s="124" t="s">
        <v>64</v>
      </c>
      <c r="E277" s="124" t="s">
        <v>536</v>
      </c>
      <c r="F277" s="125">
        <v>3.0</v>
      </c>
      <c r="G277" s="124" t="s">
        <v>5757</v>
      </c>
      <c r="H277" s="124" t="s">
        <v>1052</v>
      </c>
      <c r="I277" s="125">
        <v>21000.0</v>
      </c>
      <c r="J277" s="123"/>
      <c r="K277" s="124" t="s">
        <v>431</v>
      </c>
      <c r="L277" s="125">
        <v>40.0</v>
      </c>
      <c r="M277" s="124" t="s">
        <v>5758</v>
      </c>
      <c r="N277" s="124" t="s">
        <v>5759</v>
      </c>
      <c r="O277" s="124" t="s">
        <v>4035</v>
      </c>
      <c r="P277" s="124">
        <v>2012.0</v>
      </c>
      <c r="Q277" s="124" t="s">
        <v>5760</v>
      </c>
      <c r="R277" s="123"/>
      <c r="S277" s="123"/>
      <c r="T277" s="123"/>
      <c r="U277" s="123"/>
      <c r="V277" s="123" t="s">
        <v>5761</v>
      </c>
      <c r="W277" s="123"/>
      <c r="X277" s="129"/>
      <c r="Y277" s="123"/>
      <c r="Z277" s="123"/>
      <c r="AA277" s="129"/>
      <c r="AB277" s="129"/>
      <c r="AC277" s="123"/>
      <c r="AD277" s="123"/>
      <c r="AE277" s="123"/>
      <c r="AF277" s="123"/>
      <c r="AG277" s="123"/>
      <c r="AH277" s="123"/>
      <c r="AI277" s="123"/>
      <c r="AJ277" s="123"/>
    </row>
    <row r="278" ht="15.75" customHeight="1">
      <c r="A278" s="123">
        <v>285.0</v>
      </c>
      <c r="B278" s="124" t="s">
        <v>1230</v>
      </c>
      <c r="C278" s="124" t="s">
        <v>106</v>
      </c>
      <c r="D278" s="124" t="s">
        <v>64</v>
      </c>
      <c r="E278" s="124" t="s">
        <v>536</v>
      </c>
      <c r="F278" s="125">
        <v>3.0</v>
      </c>
      <c r="G278" s="124" t="s">
        <v>5757</v>
      </c>
      <c r="H278" s="124" t="s">
        <v>2293</v>
      </c>
      <c r="I278" s="125">
        <v>23000.0</v>
      </c>
      <c r="J278" s="123"/>
      <c r="K278" s="124" t="s">
        <v>289</v>
      </c>
      <c r="L278" s="125">
        <v>40.0</v>
      </c>
      <c r="M278" s="124" t="s">
        <v>5762</v>
      </c>
      <c r="N278" s="124" t="s">
        <v>5763</v>
      </c>
      <c r="O278" s="124" t="s">
        <v>5764</v>
      </c>
      <c r="P278" s="124">
        <v>2006.0</v>
      </c>
      <c r="Q278" s="124" t="s">
        <v>5765</v>
      </c>
      <c r="R278" s="123"/>
      <c r="S278" s="123"/>
      <c r="T278" s="123"/>
      <c r="U278" s="123"/>
      <c r="V278" s="123"/>
      <c r="W278" s="123"/>
      <c r="X278" s="123"/>
      <c r="Y278" s="123"/>
      <c r="Z278" s="123"/>
      <c r="AA278" s="123"/>
      <c r="AB278" s="123"/>
      <c r="AC278" s="123"/>
      <c r="AD278" s="123"/>
      <c r="AE278" s="123"/>
      <c r="AF278" s="123"/>
      <c r="AG278" s="123"/>
      <c r="AH278" s="123"/>
      <c r="AI278" s="123"/>
      <c r="AJ278" s="123"/>
    </row>
    <row r="279" ht="15.75" customHeight="1">
      <c r="A279" s="123">
        <v>286.0</v>
      </c>
      <c r="B279" s="124" t="s">
        <v>1230</v>
      </c>
      <c r="C279" s="124" t="s">
        <v>106</v>
      </c>
      <c r="D279" s="124" t="s">
        <v>64</v>
      </c>
      <c r="E279" s="124" t="s">
        <v>536</v>
      </c>
      <c r="F279" s="125">
        <v>3.0</v>
      </c>
      <c r="G279" s="124" t="s">
        <v>3745</v>
      </c>
      <c r="H279" s="124" t="s">
        <v>3511</v>
      </c>
      <c r="I279" s="125">
        <v>5000.0</v>
      </c>
      <c r="J279" s="123"/>
      <c r="K279" s="124" t="s">
        <v>289</v>
      </c>
      <c r="L279" s="125">
        <v>40.0</v>
      </c>
      <c r="M279" s="124" t="s">
        <v>3746</v>
      </c>
      <c r="N279" s="124" t="s">
        <v>3747</v>
      </c>
      <c r="O279" s="124" t="s">
        <v>2249</v>
      </c>
      <c r="P279" s="124">
        <v>2013.0</v>
      </c>
      <c r="Q279" s="124" t="s">
        <v>610</v>
      </c>
      <c r="R279" s="123" t="s">
        <v>3748</v>
      </c>
      <c r="S279" s="123"/>
      <c r="T279" s="123" t="s">
        <v>462</v>
      </c>
      <c r="U279" s="123" t="s">
        <v>462</v>
      </c>
      <c r="V279" s="123"/>
      <c r="W279" s="123"/>
      <c r="X279" s="123" t="s">
        <v>561</v>
      </c>
      <c r="Y279" s="123" t="s">
        <v>3752</v>
      </c>
      <c r="Z279" s="129">
        <v>42409.0</v>
      </c>
      <c r="AA279" s="123"/>
      <c r="AB279" s="129">
        <v>42591.0</v>
      </c>
      <c r="AC279" s="123"/>
      <c r="AD279" s="123"/>
      <c r="AE279" s="123"/>
      <c r="AF279" s="123"/>
      <c r="AG279" s="123"/>
      <c r="AH279" s="123"/>
      <c r="AI279" s="123"/>
      <c r="AJ279" s="123"/>
    </row>
    <row r="280" ht="15.75" customHeight="1">
      <c r="A280" s="123">
        <v>287.0</v>
      </c>
      <c r="B280" s="124" t="s">
        <v>1230</v>
      </c>
      <c r="C280" s="124" t="s">
        <v>106</v>
      </c>
      <c r="D280" s="124" t="s">
        <v>64</v>
      </c>
      <c r="E280" s="124" t="s">
        <v>536</v>
      </c>
      <c r="F280" s="125">
        <v>3.0</v>
      </c>
      <c r="G280" s="124" t="s">
        <v>224</v>
      </c>
      <c r="H280" s="124" t="s">
        <v>538</v>
      </c>
      <c r="I280" s="125">
        <v>11000.0</v>
      </c>
      <c r="J280" s="123"/>
      <c r="K280" s="124" t="s">
        <v>298</v>
      </c>
      <c r="L280" s="125">
        <v>44.0</v>
      </c>
      <c r="M280" s="124" t="s">
        <v>539</v>
      </c>
      <c r="N280" s="124" t="s">
        <v>541</v>
      </c>
      <c r="O280" s="155" t="s">
        <v>542</v>
      </c>
      <c r="P280" s="124">
        <v>2002.0</v>
      </c>
      <c r="Q280" s="130" t="s">
        <v>546</v>
      </c>
      <c r="R280" s="127" t="str">
        <f>HYPERLINK("http://www.bob-mccown.com/wp-content/uploads/2011/10/130_Carberry2002FARMSCAPE.pdf","http://www.bob-mccown.com/wp-content/uploads/2011/10/130_Carberry2002FARMSCAPE.pdf")</f>
        <v>http://www.bob-mccown.com/wp-content/uploads/2011/10/130_Carberry2002FARMSCAPE.pdf</v>
      </c>
      <c r="S280" s="123"/>
      <c r="T280" s="123" t="s">
        <v>428</v>
      </c>
      <c r="U280" s="123" t="s">
        <v>462</v>
      </c>
      <c r="V280" s="123"/>
      <c r="W280" s="123"/>
      <c r="X280" s="123"/>
      <c r="Y280" s="123"/>
      <c r="Z280" s="123"/>
      <c r="AA280" s="123"/>
      <c r="AB280" s="123"/>
      <c r="AC280" s="123"/>
      <c r="AD280" s="123"/>
      <c r="AE280" s="123"/>
      <c r="AF280" s="123"/>
      <c r="AG280" s="123"/>
      <c r="AH280" s="123"/>
      <c r="AI280" s="123"/>
      <c r="AJ280" s="123"/>
    </row>
    <row r="281" ht="15.75" customHeight="1">
      <c r="A281" s="123">
        <v>288.0</v>
      </c>
      <c r="B281" s="124" t="s">
        <v>1230</v>
      </c>
      <c r="C281" s="124" t="s">
        <v>106</v>
      </c>
      <c r="D281" s="124" t="s">
        <v>64</v>
      </c>
      <c r="E281" s="124" t="s">
        <v>536</v>
      </c>
      <c r="F281" s="125">
        <v>3.0</v>
      </c>
      <c r="G281" s="124" t="s">
        <v>224</v>
      </c>
      <c r="H281" s="124" t="s">
        <v>388</v>
      </c>
      <c r="I281" s="125">
        <v>14000.0</v>
      </c>
      <c r="J281" s="123"/>
      <c r="K281" s="124" t="s">
        <v>289</v>
      </c>
      <c r="L281" s="125">
        <v>40.0</v>
      </c>
      <c r="M281" s="124" t="s">
        <v>4581</v>
      </c>
      <c r="N281" s="124" t="s">
        <v>4582</v>
      </c>
      <c r="O281" s="124" t="s">
        <v>4583</v>
      </c>
      <c r="P281" s="124">
        <v>2011.0</v>
      </c>
      <c r="Q281" s="124" t="s">
        <v>4587</v>
      </c>
      <c r="R281" s="127" t="str">
        <f>HYPERLINK("http://nationalforum.com/Electronic%20Journal%20Volumes/Lunenburg,%20Fred%20C.%20Self-Efficacy%20in%20the%20Workplace%20IJMBA%20V14%20N1%202011.pdf","http://nationalforum.com/Electronic%20Journal%20Volumes/Lunenburg,%20Fred%20C.%20Self-Efficacy%20in%20the%20Workplace%20IJMBA%20V14%20N1%202011.pdf")</f>
        <v>http://nationalforum.com/Electronic%20Journal%20Volumes/Lunenburg,%20Fred%20C.%20Self-Efficacy%20in%20the%20Workplace%20IJMBA%20V14%20N1%202011.pdf</v>
      </c>
      <c r="S281" s="123"/>
      <c r="T281" s="123" t="s">
        <v>462</v>
      </c>
      <c r="U281" s="123" t="s">
        <v>462</v>
      </c>
      <c r="V281" s="123"/>
      <c r="W281" s="123" t="s">
        <v>1125</v>
      </c>
      <c r="X281" s="123" t="s">
        <v>677</v>
      </c>
      <c r="Y281" s="123"/>
      <c r="Z281" s="123"/>
      <c r="AA281" s="123"/>
      <c r="AB281" s="123"/>
      <c r="AC281" s="123"/>
      <c r="AD281" s="123"/>
      <c r="AE281" s="123"/>
      <c r="AF281" s="123"/>
      <c r="AG281" s="123"/>
      <c r="AH281" s="123"/>
      <c r="AI281" s="123"/>
      <c r="AJ281" s="123"/>
    </row>
    <row r="282" ht="15.75" customHeight="1">
      <c r="A282" s="123">
        <v>289.0</v>
      </c>
      <c r="B282" s="124" t="s">
        <v>1230</v>
      </c>
      <c r="C282" s="124" t="s">
        <v>106</v>
      </c>
      <c r="D282" s="124" t="s">
        <v>64</v>
      </c>
      <c r="E282" s="124" t="s">
        <v>536</v>
      </c>
      <c r="F282" s="125">
        <v>3.0</v>
      </c>
      <c r="G282" s="124" t="s">
        <v>224</v>
      </c>
      <c r="H282" s="124" t="s">
        <v>538</v>
      </c>
      <c r="I282" s="125">
        <v>11000.0</v>
      </c>
      <c r="J282" s="123"/>
      <c r="K282" s="124" t="s">
        <v>298</v>
      </c>
      <c r="L282" s="125">
        <v>44.0</v>
      </c>
      <c r="M282" s="124" t="s">
        <v>2323</v>
      </c>
      <c r="N282" s="124" t="s">
        <v>2324</v>
      </c>
      <c r="O282" s="124" t="s">
        <v>2325</v>
      </c>
      <c r="P282" s="124">
        <v>2011.0</v>
      </c>
      <c r="Q282" s="124" t="s">
        <v>2330</v>
      </c>
      <c r="R282" s="127" t="str">
        <f>HYPERLINK("http://bob-mccown.com/wp-content/uploads/2011/10/124_HochmanEtAl2000FARMSCAPEexperience.pdf","http://bob-mccown.com/wp-content/uploads/2011/10/124_HochmanEtAl2000FARMSCAPEexperience.pdf")</f>
        <v>http://bob-mccown.com/wp-content/uploads/2011/10/124_HochmanEtAl2000FARMSCAPEexperience.pdf</v>
      </c>
      <c r="S282" s="123"/>
      <c r="T282" s="123" t="s">
        <v>428</v>
      </c>
      <c r="U282" s="123" t="s">
        <v>462</v>
      </c>
      <c r="V282" s="123"/>
      <c r="W282" s="123"/>
      <c r="X282" s="123"/>
      <c r="Y282" s="123"/>
      <c r="Z282" s="123"/>
      <c r="AA282" s="123"/>
      <c r="AB282" s="123"/>
      <c r="AC282" s="123"/>
      <c r="AD282" s="123"/>
      <c r="AE282" s="123"/>
      <c r="AF282" s="123"/>
      <c r="AG282" s="123"/>
      <c r="AH282" s="123"/>
      <c r="AI282" s="123"/>
      <c r="AJ282" s="123"/>
    </row>
    <row r="283" ht="15.75" customHeight="1">
      <c r="A283" s="123">
        <v>290.0</v>
      </c>
      <c r="B283" s="124" t="s">
        <v>1230</v>
      </c>
      <c r="C283" s="124" t="s">
        <v>106</v>
      </c>
      <c r="D283" s="124" t="s">
        <v>64</v>
      </c>
      <c r="E283" s="124" t="s">
        <v>3200</v>
      </c>
      <c r="F283" s="125">
        <v>3.0</v>
      </c>
      <c r="G283" s="124" t="s">
        <v>3543</v>
      </c>
      <c r="H283" s="124" t="s">
        <v>3546</v>
      </c>
      <c r="I283" s="125" t="s">
        <v>3545</v>
      </c>
      <c r="J283" s="123"/>
      <c r="K283" s="124" t="s">
        <v>289</v>
      </c>
      <c r="L283" s="125">
        <v>40.0</v>
      </c>
      <c r="M283" s="124" t="s">
        <v>3549</v>
      </c>
      <c r="N283" s="124" t="s">
        <v>3550</v>
      </c>
      <c r="O283" s="124" t="s">
        <v>3542</v>
      </c>
      <c r="P283" s="124">
        <v>2012.0</v>
      </c>
      <c r="Q283" s="124" t="s">
        <v>3552</v>
      </c>
      <c r="R283" s="123"/>
      <c r="S283" s="123"/>
      <c r="T283" s="123"/>
      <c r="U283" s="123"/>
      <c r="V283" s="123"/>
      <c r="W283" s="123"/>
      <c r="X283" s="123"/>
      <c r="Y283" s="123"/>
      <c r="Z283" s="123"/>
      <c r="AA283" s="123"/>
      <c r="AB283" s="123"/>
      <c r="AC283" s="123"/>
      <c r="AD283" s="123"/>
      <c r="AE283" s="123"/>
      <c r="AF283" s="123"/>
      <c r="AG283" s="123"/>
      <c r="AH283" s="123"/>
      <c r="AI283" s="123"/>
      <c r="AJ283" s="123"/>
    </row>
    <row r="284" ht="15.75" customHeight="1">
      <c r="A284" s="123">
        <v>291.0</v>
      </c>
      <c r="B284" s="124" t="s">
        <v>1230</v>
      </c>
      <c r="C284" s="124" t="s">
        <v>106</v>
      </c>
      <c r="D284" s="124" t="s">
        <v>64</v>
      </c>
      <c r="E284" s="124" t="s">
        <v>3200</v>
      </c>
      <c r="F284" s="125">
        <v>3.0</v>
      </c>
      <c r="G284" s="124" t="s">
        <v>603</v>
      </c>
      <c r="H284" s="124" t="s">
        <v>470</v>
      </c>
      <c r="I284" s="125">
        <v>3000.0</v>
      </c>
      <c r="J284" s="123"/>
      <c r="K284" s="124" t="s">
        <v>111</v>
      </c>
      <c r="L284" s="125">
        <v>41.0</v>
      </c>
      <c r="M284" s="124" t="s">
        <v>3201</v>
      </c>
      <c r="N284" s="124" t="s">
        <v>3202</v>
      </c>
      <c r="O284" s="124" t="s">
        <v>3123</v>
      </c>
      <c r="P284" s="124">
        <v>2014.0</v>
      </c>
      <c r="Q284" s="124" t="s">
        <v>3204</v>
      </c>
      <c r="R284" s="123"/>
      <c r="S284" s="123"/>
      <c r="T284" s="123"/>
      <c r="U284" s="123"/>
      <c r="V284" s="123"/>
      <c r="W284" s="123"/>
      <c r="X284" s="123"/>
      <c r="Y284" s="123"/>
      <c r="Z284" s="123"/>
      <c r="AA284" s="123"/>
      <c r="AB284" s="123"/>
      <c r="AC284" s="123"/>
      <c r="AD284" s="123"/>
      <c r="AE284" s="123"/>
      <c r="AF284" s="123"/>
      <c r="AG284" s="123"/>
      <c r="AH284" s="123"/>
      <c r="AI284" s="123"/>
      <c r="AJ284" s="123"/>
    </row>
    <row r="285" ht="15.75" customHeight="1">
      <c r="A285" s="123">
        <v>292.0</v>
      </c>
      <c r="B285" s="124" t="s">
        <v>1230</v>
      </c>
      <c r="C285" s="124" t="s">
        <v>106</v>
      </c>
      <c r="D285" s="124" t="s">
        <v>173</v>
      </c>
      <c r="E285" s="124" t="s">
        <v>3200</v>
      </c>
      <c r="F285" s="125">
        <v>3.0</v>
      </c>
      <c r="G285" s="124" t="s">
        <v>5779</v>
      </c>
      <c r="H285" s="124" t="s">
        <v>644</v>
      </c>
      <c r="I285" s="125">
        <v>2000.0</v>
      </c>
      <c r="J285" s="123"/>
      <c r="K285" s="124" t="s">
        <v>289</v>
      </c>
      <c r="L285" s="125">
        <v>40.0</v>
      </c>
      <c r="M285" s="124" t="s">
        <v>5780</v>
      </c>
      <c r="N285" s="124" t="s">
        <v>4008</v>
      </c>
      <c r="O285" s="124" t="s">
        <v>3953</v>
      </c>
      <c r="P285" s="124">
        <v>2010.0</v>
      </c>
      <c r="Q285" s="124" t="s">
        <v>5781</v>
      </c>
      <c r="R285" s="123" t="s">
        <v>5782</v>
      </c>
      <c r="S285" s="123"/>
      <c r="T285" s="123" t="s">
        <v>926</v>
      </c>
      <c r="U285" s="123" t="s">
        <v>462</v>
      </c>
      <c r="V285" s="123"/>
      <c r="W285" s="123"/>
      <c r="X285" s="123"/>
      <c r="Y285" s="123"/>
      <c r="Z285" s="123"/>
      <c r="AA285" s="123"/>
      <c r="AB285" s="123"/>
      <c r="AC285" s="123"/>
      <c r="AD285" s="123"/>
      <c r="AE285" s="123"/>
      <c r="AF285" s="123"/>
      <c r="AG285" s="123"/>
      <c r="AH285" s="123"/>
      <c r="AI285" s="123"/>
      <c r="AJ285" s="123"/>
    </row>
    <row r="286" ht="15.75" customHeight="1">
      <c r="A286" s="123">
        <v>293.0</v>
      </c>
      <c r="B286" s="124" t="s">
        <v>1230</v>
      </c>
      <c r="C286" s="124" t="s">
        <v>106</v>
      </c>
      <c r="D286" s="124" t="s">
        <v>64</v>
      </c>
      <c r="E286" s="124" t="s">
        <v>510</v>
      </c>
      <c r="F286" s="125" t="s">
        <v>511</v>
      </c>
      <c r="G286" s="124" t="s">
        <v>5590</v>
      </c>
      <c r="H286" s="124" t="s">
        <v>605</v>
      </c>
      <c r="I286" s="125">
        <v>4000.0</v>
      </c>
      <c r="J286" s="123"/>
      <c r="K286" s="124" t="s">
        <v>289</v>
      </c>
      <c r="L286" s="125">
        <v>40.0</v>
      </c>
      <c r="M286" s="124" t="s">
        <v>5592</v>
      </c>
      <c r="N286" s="124" t="s">
        <v>5593</v>
      </c>
      <c r="O286" s="124" t="s">
        <v>5594</v>
      </c>
      <c r="P286" s="124">
        <v>2010.0</v>
      </c>
      <c r="Q286" s="124" t="s">
        <v>5595</v>
      </c>
      <c r="R286" s="123" t="s">
        <v>5596</v>
      </c>
      <c r="S286" s="123"/>
      <c r="T286" s="123" t="s">
        <v>613</v>
      </c>
      <c r="U286" s="123" t="s">
        <v>613</v>
      </c>
      <c r="V286" s="123"/>
      <c r="W286" s="123"/>
      <c r="X286" s="123"/>
      <c r="Y286" s="123"/>
      <c r="Z286" s="123"/>
      <c r="AA286" s="123"/>
      <c r="AB286" s="123"/>
      <c r="AC286" s="123"/>
      <c r="AD286" s="123"/>
      <c r="AE286" s="123"/>
      <c r="AF286" s="123"/>
      <c r="AG286" s="123"/>
      <c r="AH286" s="123"/>
      <c r="AI286" s="123"/>
      <c r="AJ286" s="123" t="s">
        <v>1023</v>
      </c>
    </row>
    <row r="287" ht="15.75" customHeight="1">
      <c r="A287" s="123">
        <v>294.0</v>
      </c>
      <c r="B287" s="124" t="s">
        <v>1230</v>
      </c>
      <c r="C287" s="124" t="s">
        <v>106</v>
      </c>
      <c r="D287" s="124" t="s">
        <v>64</v>
      </c>
      <c r="E287" s="124" t="s">
        <v>510</v>
      </c>
      <c r="F287" s="125" t="s">
        <v>511</v>
      </c>
      <c r="G287" s="124" t="s">
        <v>1340</v>
      </c>
      <c r="H287" s="124" t="s">
        <v>1052</v>
      </c>
      <c r="I287" s="125">
        <v>21000.0</v>
      </c>
      <c r="J287" s="123"/>
      <c r="K287" s="124" t="s">
        <v>289</v>
      </c>
      <c r="L287" s="125">
        <v>40.0</v>
      </c>
      <c r="M287" s="124" t="s">
        <v>3424</v>
      </c>
      <c r="N287" s="124" t="s">
        <v>3426</v>
      </c>
      <c r="O287" s="124" t="s">
        <v>3263</v>
      </c>
      <c r="P287" s="124">
        <v>1995.0</v>
      </c>
      <c r="Q287" s="124" t="s">
        <v>3427</v>
      </c>
      <c r="R287" s="123" t="s">
        <v>3428</v>
      </c>
      <c r="S287" s="123" t="s">
        <v>3429</v>
      </c>
      <c r="T287" s="123" t="s">
        <v>3430</v>
      </c>
      <c r="U287" s="123" t="s">
        <v>877</v>
      </c>
      <c r="V287" s="123"/>
      <c r="W287" s="123" t="s">
        <v>663</v>
      </c>
      <c r="X287" s="123" t="s">
        <v>561</v>
      </c>
      <c r="Y287" s="123" t="s">
        <v>3431</v>
      </c>
      <c r="Z287" s="129">
        <v>42453.0</v>
      </c>
      <c r="AA287" s="123"/>
      <c r="AB287" s="129">
        <v>42604.0</v>
      </c>
      <c r="AC287" s="123"/>
      <c r="AD287" s="123"/>
      <c r="AE287" s="123"/>
      <c r="AF287" s="123"/>
      <c r="AG287" s="123"/>
      <c r="AH287" s="123"/>
      <c r="AI287" s="123"/>
      <c r="AJ287" s="123"/>
    </row>
    <row r="288" ht="15.75" customHeight="1">
      <c r="A288" s="123">
        <v>295.0</v>
      </c>
      <c r="B288" s="124" t="s">
        <v>1230</v>
      </c>
      <c r="C288" s="124" t="s">
        <v>106</v>
      </c>
      <c r="D288" s="124" t="s">
        <v>64</v>
      </c>
      <c r="E288" s="124" t="s">
        <v>510</v>
      </c>
      <c r="F288" s="125" t="s">
        <v>511</v>
      </c>
      <c r="G288" s="124" t="s">
        <v>4802</v>
      </c>
      <c r="H288" s="124" t="s">
        <v>116</v>
      </c>
      <c r="I288" s="125">
        <v>3000.0</v>
      </c>
      <c r="J288" s="123"/>
      <c r="K288" s="124" t="s">
        <v>298</v>
      </c>
      <c r="L288" s="125">
        <v>44.0</v>
      </c>
      <c r="M288" s="124" t="s">
        <v>4805</v>
      </c>
      <c r="N288" s="124" t="s">
        <v>4807</v>
      </c>
      <c r="O288" s="124" t="s">
        <v>4808</v>
      </c>
      <c r="P288" s="124">
        <v>1984.0</v>
      </c>
      <c r="Q288" s="124" t="s">
        <v>4810</v>
      </c>
      <c r="R288" s="123" t="s">
        <v>4811</v>
      </c>
      <c r="S288" s="123" t="s">
        <v>4812</v>
      </c>
      <c r="T288" s="123" t="s">
        <v>428</v>
      </c>
      <c r="U288" s="123" t="s">
        <v>428</v>
      </c>
      <c r="V288" s="123"/>
      <c r="W288" s="123"/>
      <c r="X288" s="123"/>
      <c r="Y288" s="123"/>
      <c r="Z288" s="123"/>
      <c r="AA288" s="123"/>
      <c r="AB288" s="123"/>
      <c r="AC288" s="123"/>
      <c r="AD288" s="123"/>
      <c r="AE288" s="123"/>
      <c r="AF288" s="123"/>
      <c r="AG288" s="123"/>
      <c r="AH288" s="123"/>
      <c r="AI288" s="123"/>
      <c r="AJ288" s="123"/>
    </row>
    <row r="289" ht="15.75" customHeight="1">
      <c r="A289" s="123">
        <v>296.0</v>
      </c>
      <c r="B289" s="124" t="s">
        <v>1230</v>
      </c>
      <c r="C289" s="124" t="s">
        <v>106</v>
      </c>
      <c r="D289" s="124" t="s">
        <v>64</v>
      </c>
      <c r="E289" s="124" t="s">
        <v>510</v>
      </c>
      <c r="F289" s="125" t="s">
        <v>511</v>
      </c>
      <c r="G289" s="124" t="s">
        <v>4802</v>
      </c>
      <c r="H289" s="124" t="s">
        <v>116</v>
      </c>
      <c r="I289" s="125">
        <v>3000.0</v>
      </c>
      <c r="J289" s="123"/>
      <c r="K289" s="124" t="s">
        <v>298</v>
      </c>
      <c r="L289" s="125">
        <v>44.0</v>
      </c>
      <c r="M289" s="124" t="s">
        <v>4880</v>
      </c>
      <c r="N289" s="124" t="s">
        <v>4881</v>
      </c>
      <c r="O289" s="124" t="s">
        <v>4490</v>
      </c>
      <c r="P289" s="124">
        <v>1994.0</v>
      </c>
      <c r="Q289" s="124" t="s">
        <v>4882</v>
      </c>
      <c r="R289" s="123" t="s">
        <v>4883</v>
      </c>
      <c r="S289" s="123" t="s">
        <v>4884</v>
      </c>
      <c r="T289" s="123" t="s">
        <v>462</v>
      </c>
      <c r="U289" s="123" t="s">
        <v>428</v>
      </c>
      <c r="V289" s="123"/>
      <c r="W289" s="123"/>
      <c r="X289" s="123"/>
      <c r="Y289" s="123"/>
      <c r="Z289" s="123"/>
      <c r="AA289" s="123"/>
      <c r="AB289" s="123"/>
      <c r="AC289" s="123"/>
      <c r="AD289" s="123"/>
      <c r="AE289" s="123"/>
      <c r="AF289" s="123"/>
      <c r="AG289" s="123"/>
      <c r="AH289" s="123"/>
      <c r="AI289" s="123"/>
      <c r="AJ289" s="123"/>
    </row>
    <row r="290" ht="15.75" customHeight="1">
      <c r="A290" s="123">
        <v>297.0</v>
      </c>
      <c r="B290" s="124" t="s">
        <v>1230</v>
      </c>
      <c r="C290" s="124" t="s">
        <v>106</v>
      </c>
      <c r="D290" s="124" t="s">
        <v>64</v>
      </c>
      <c r="E290" s="124" t="s">
        <v>510</v>
      </c>
      <c r="F290" s="125" t="s">
        <v>511</v>
      </c>
      <c r="G290" s="124" t="s">
        <v>4814</v>
      </c>
      <c r="H290" s="124" t="s">
        <v>605</v>
      </c>
      <c r="I290" s="125">
        <v>4000.0</v>
      </c>
      <c r="J290" s="123"/>
      <c r="K290" s="124" t="s">
        <v>111</v>
      </c>
      <c r="L290" s="125">
        <v>41.0</v>
      </c>
      <c r="M290" s="124" t="s">
        <v>5005</v>
      </c>
      <c r="N290" s="124" t="s">
        <v>5006</v>
      </c>
      <c r="O290" s="124" t="s">
        <v>4979</v>
      </c>
      <c r="P290" s="124">
        <v>1989.0</v>
      </c>
      <c r="Q290" s="124" t="s">
        <v>5007</v>
      </c>
      <c r="R290" s="123" t="s">
        <v>5008</v>
      </c>
      <c r="S290" s="123" t="s">
        <v>5009</v>
      </c>
      <c r="T290" s="123" t="s">
        <v>428</v>
      </c>
      <c r="U290" s="123" t="s">
        <v>462</v>
      </c>
      <c r="V290" s="123"/>
      <c r="W290" s="123"/>
      <c r="X290" s="123" t="s">
        <v>561</v>
      </c>
      <c r="Y290" s="123" t="s">
        <v>5010</v>
      </c>
      <c r="Z290" s="129">
        <v>42444.0</v>
      </c>
      <c r="AA290" s="123"/>
      <c r="AB290" s="129">
        <v>42600.0</v>
      </c>
      <c r="AC290" s="123"/>
      <c r="AD290" s="123"/>
      <c r="AE290" s="123"/>
      <c r="AF290" s="123"/>
      <c r="AG290" s="123"/>
      <c r="AH290" s="123"/>
      <c r="AI290" s="123"/>
      <c r="AJ290" s="123" t="s">
        <v>1023</v>
      </c>
    </row>
    <row r="291" ht="15.75" customHeight="1">
      <c r="A291" s="123">
        <v>298.0</v>
      </c>
      <c r="B291" s="124" t="s">
        <v>1230</v>
      </c>
      <c r="C291" s="124" t="s">
        <v>106</v>
      </c>
      <c r="D291" s="124" t="s">
        <v>64</v>
      </c>
      <c r="E291" s="124" t="s">
        <v>510</v>
      </c>
      <c r="F291" s="125" t="s">
        <v>511</v>
      </c>
      <c r="G291" s="124" t="s">
        <v>4814</v>
      </c>
      <c r="H291" s="124" t="s">
        <v>798</v>
      </c>
      <c r="I291" s="125" t="s">
        <v>3606</v>
      </c>
      <c r="J291" s="123"/>
      <c r="K291" s="124" t="s">
        <v>111</v>
      </c>
      <c r="L291" s="125">
        <v>41.0</v>
      </c>
      <c r="M291" s="124" t="s">
        <v>5216</v>
      </c>
      <c r="N291" s="124" t="s">
        <v>5217</v>
      </c>
      <c r="O291" s="124" t="s">
        <v>3992</v>
      </c>
      <c r="P291" s="124">
        <v>2007.0</v>
      </c>
      <c r="Q291" s="124" t="s">
        <v>5218</v>
      </c>
      <c r="R291" s="123"/>
      <c r="S291" s="123"/>
      <c r="T291" s="123"/>
      <c r="U291" s="123"/>
      <c r="V291" s="123"/>
      <c r="W291" s="123"/>
      <c r="X291" s="123"/>
      <c r="Y291" s="123"/>
      <c r="Z291" s="123"/>
      <c r="AA291" s="123"/>
      <c r="AB291" s="123"/>
      <c r="AC291" s="123"/>
      <c r="AD291" s="123"/>
      <c r="AE291" s="123"/>
      <c r="AF291" s="123"/>
      <c r="AG291" s="123"/>
      <c r="AH291" s="123"/>
      <c r="AI291" s="123"/>
      <c r="AJ291" s="123" t="s">
        <v>1023</v>
      </c>
    </row>
    <row r="292" ht="15.75" customHeight="1">
      <c r="A292" s="123">
        <v>299.0</v>
      </c>
      <c r="B292" s="124" t="s">
        <v>1230</v>
      </c>
      <c r="C292" s="124" t="s">
        <v>106</v>
      </c>
      <c r="D292" s="124" t="s">
        <v>64</v>
      </c>
      <c r="E292" s="124" t="s">
        <v>510</v>
      </c>
      <c r="F292" s="125" t="s">
        <v>511</v>
      </c>
      <c r="G292" s="124" t="s">
        <v>4814</v>
      </c>
      <c r="H292" s="124" t="s">
        <v>4537</v>
      </c>
      <c r="I292" s="125" t="s">
        <v>4536</v>
      </c>
      <c r="J292" s="123"/>
      <c r="K292" s="124" t="s">
        <v>111</v>
      </c>
      <c r="L292" s="125">
        <v>41.0</v>
      </c>
      <c r="M292" s="124" t="s">
        <v>5810</v>
      </c>
      <c r="N292" s="124" t="s">
        <v>5812</v>
      </c>
      <c r="O292" s="124" t="s">
        <v>5813</v>
      </c>
      <c r="P292" s="124">
        <v>2006.0</v>
      </c>
      <c r="Q292" s="124" t="s">
        <v>753</v>
      </c>
      <c r="R292" s="123" t="s">
        <v>5814</v>
      </c>
      <c r="S292" s="123" t="s">
        <v>5816</v>
      </c>
      <c r="T292" s="123" t="s">
        <v>1030</v>
      </c>
      <c r="U292" s="123" t="s">
        <v>1030</v>
      </c>
      <c r="V292" s="123"/>
      <c r="W292" s="123"/>
      <c r="X292" s="123" t="s">
        <v>561</v>
      </c>
      <c r="Y292" s="123" t="s">
        <v>5817</v>
      </c>
      <c r="Z292" s="129">
        <v>42452.0</v>
      </c>
      <c r="AA292" s="123"/>
      <c r="AB292" s="129">
        <v>42604.0</v>
      </c>
      <c r="AC292" s="123"/>
      <c r="AD292" s="123"/>
      <c r="AE292" s="123"/>
      <c r="AF292" s="123"/>
      <c r="AG292" s="123"/>
      <c r="AH292" s="123"/>
      <c r="AI292" s="123"/>
      <c r="AJ292" s="123"/>
    </row>
    <row r="293" ht="15.75" customHeight="1">
      <c r="A293" s="123">
        <v>300.0</v>
      </c>
      <c r="B293" s="124" t="s">
        <v>1230</v>
      </c>
      <c r="C293" s="124" t="s">
        <v>106</v>
      </c>
      <c r="D293" s="124" t="s">
        <v>64</v>
      </c>
      <c r="E293" s="124" t="s">
        <v>510</v>
      </c>
      <c r="F293" s="125" t="s">
        <v>511</v>
      </c>
      <c r="G293" s="124" t="s">
        <v>4814</v>
      </c>
      <c r="H293" s="124" t="s">
        <v>798</v>
      </c>
      <c r="I293" s="125" t="s">
        <v>3606</v>
      </c>
      <c r="J293" s="123"/>
      <c r="K293" s="124" t="s">
        <v>289</v>
      </c>
      <c r="L293" s="125">
        <v>40.0</v>
      </c>
      <c r="M293" s="124" t="s">
        <v>4818</v>
      </c>
      <c r="N293" s="124" t="s">
        <v>4820</v>
      </c>
      <c r="O293" s="124" t="s">
        <v>4808</v>
      </c>
      <c r="P293" s="124">
        <v>1978.0</v>
      </c>
      <c r="Q293" s="124" t="s">
        <v>4821</v>
      </c>
      <c r="R293" s="123" t="s">
        <v>4822</v>
      </c>
      <c r="S293" s="123" t="s">
        <v>4823</v>
      </c>
      <c r="T293" s="123" t="s">
        <v>428</v>
      </c>
      <c r="U293" s="123" t="s">
        <v>428</v>
      </c>
      <c r="V293" s="123"/>
      <c r="W293" s="123" t="s">
        <v>663</v>
      </c>
      <c r="X293" s="123" t="s">
        <v>530</v>
      </c>
      <c r="Y293" s="123"/>
      <c r="Z293" s="123"/>
      <c r="AA293" s="123"/>
      <c r="AB293" s="123"/>
      <c r="AC293" s="123"/>
      <c r="AD293" s="123"/>
      <c r="AE293" s="123"/>
      <c r="AF293" s="123"/>
      <c r="AG293" s="123"/>
      <c r="AH293" s="123"/>
      <c r="AI293" s="123"/>
      <c r="AJ293" s="123" t="s">
        <v>1023</v>
      </c>
    </row>
    <row r="294" ht="15.75" customHeight="1">
      <c r="A294" s="123">
        <v>301.0</v>
      </c>
      <c r="B294" s="124" t="s">
        <v>1230</v>
      </c>
      <c r="C294" s="124" t="s">
        <v>106</v>
      </c>
      <c r="D294" s="124" t="s">
        <v>64</v>
      </c>
      <c r="E294" s="124" t="s">
        <v>1339</v>
      </c>
      <c r="F294" s="125" t="s">
        <v>511</v>
      </c>
      <c r="G294" s="124" t="s">
        <v>1340</v>
      </c>
      <c r="H294" s="124" t="s">
        <v>116</v>
      </c>
      <c r="I294" s="125">
        <v>3000.0</v>
      </c>
      <c r="J294" s="123"/>
      <c r="K294" s="124" t="s">
        <v>111</v>
      </c>
      <c r="L294" s="125">
        <v>41.0</v>
      </c>
      <c r="M294" s="124" t="s">
        <v>1346</v>
      </c>
      <c r="N294" s="124" t="s">
        <v>1347</v>
      </c>
      <c r="O294" s="139" t="s">
        <v>1348</v>
      </c>
      <c r="P294" s="124">
        <v>2011.0</v>
      </c>
      <c r="Q294" s="124" t="s">
        <v>1350</v>
      </c>
      <c r="R294" s="127" t="str">
        <f>HYPERLINK("http://dl.acm.org/citation.cfm?id=1979659","http://dl.acm.org/citation.cfm?id=1979659")</f>
        <v>http://dl.acm.org/citation.cfm?id=1979659</v>
      </c>
      <c r="S294" s="123" t="s">
        <v>1359</v>
      </c>
      <c r="T294" s="123" t="s">
        <v>428</v>
      </c>
      <c r="U294" s="123"/>
      <c r="V294" s="123"/>
      <c r="W294" s="123" t="s">
        <v>1360</v>
      </c>
      <c r="X294" s="123"/>
      <c r="Y294" s="123"/>
      <c r="Z294" s="123"/>
      <c r="AA294" s="123"/>
      <c r="AB294" s="123"/>
      <c r="AC294" s="123"/>
      <c r="AD294" s="123"/>
      <c r="AE294" s="123"/>
      <c r="AF294" s="123"/>
      <c r="AG294" s="123"/>
      <c r="AH294" s="123"/>
      <c r="AI294" s="123"/>
      <c r="AJ294" s="123"/>
    </row>
    <row r="295" ht="15.75" customHeight="1">
      <c r="A295" s="123">
        <v>302.0</v>
      </c>
      <c r="B295" s="124" t="s">
        <v>1230</v>
      </c>
      <c r="C295" s="124" t="s">
        <v>106</v>
      </c>
      <c r="D295" s="124" t="s">
        <v>64</v>
      </c>
      <c r="E295" s="124" t="s">
        <v>4512</v>
      </c>
      <c r="F295" s="125" t="s">
        <v>4514</v>
      </c>
      <c r="G295" s="124" t="s">
        <v>4515</v>
      </c>
      <c r="H295" s="124" t="s">
        <v>1312</v>
      </c>
      <c r="I295" s="125">
        <v>3000.0</v>
      </c>
      <c r="J295" s="123"/>
      <c r="K295" s="124" t="s">
        <v>289</v>
      </c>
      <c r="L295" s="125">
        <v>40.0</v>
      </c>
      <c r="M295" s="124" t="s">
        <v>4516</v>
      </c>
      <c r="N295" s="124" t="s">
        <v>4517</v>
      </c>
      <c r="O295" s="124" t="s">
        <v>4518</v>
      </c>
      <c r="P295" s="124">
        <v>2012.0</v>
      </c>
      <c r="Q295" s="124" t="s">
        <v>4521</v>
      </c>
      <c r="R295" s="127" t="str">
        <f>HYPERLINK("http://www.iejeegreen.com/index.php/iejeegreen/article/view/58/32","http://www8.umoncton.ca/littoral-vie/Changing%20Family%20Habits.pdf")</f>
        <v>http://www8.umoncton.ca/littoral-vie/Changing%20Family%20Habits.pdf</v>
      </c>
      <c r="S295" s="123" t="s">
        <v>4527</v>
      </c>
      <c r="T295" s="123"/>
      <c r="U295" s="123"/>
      <c r="V295" s="123"/>
      <c r="W295" s="123"/>
      <c r="X295" s="123"/>
      <c r="Y295" s="123"/>
      <c r="Z295" s="123"/>
      <c r="AA295" s="123"/>
      <c r="AB295" s="123"/>
      <c r="AC295" s="123"/>
      <c r="AD295" s="123"/>
      <c r="AE295" s="123"/>
      <c r="AF295" s="123"/>
      <c r="AG295" s="123"/>
      <c r="AH295" s="123"/>
      <c r="AI295" s="123"/>
      <c r="AJ295" s="123"/>
    </row>
    <row r="296" ht="15.75" customHeight="1">
      <c r="A296" s="123">
        <v>304.0</v>
      </c>
      <c r="B296" s="124" t="s">
        <v>1230</v>
      </c>
      <c r="C296" s="124" t="s">
        <v>106</v>
      </c>
      <c r="D296" s="124" t="s">
        <v>64</v>
      </c>
      <c r="E296" s="124" t="s">
        <v>712</v>
      </c>
      <c r="F296" s="125">
        <v>7.0</v>
      </c>
      <c r="G296" s="124" t="s">
        <v>5842</v>
      </c>
      <c r="H296" s="124" t="s">
        <v>2293</v>
      </c>
      <c r="I296" s="125">
        <v>23000.0</v>
      </c>
      <c r="J296" s="123"/>
      <c r="K296" s="124" t="s">
        <v>289</v>
      </c>
      <c r="L296" s="125">
        <v>40.0</v>
      </c>
      <c r="M296" s="124" t="s">
        <v>5843</v>
      </c>
      <c r="N296" s="124" t="s">
        <v>5844</v>
      </c>
      <c r="O296" s="124" t="s">
        <v>5845</v>
      </c>
      <c r="P296" s="124">
        <v>2005.0</v>
      </c>
      <c r="Q296" s="124" t="s">
        <v>610</v>
      </c>
      <c r="R296" s="127" t="str">
        <f>HYPERLINK("http://www.nature.nps.gov/ParkScience/Archive/PDF/Article_PDFs/ParkScience25(1)Summer2008_34-35_Winter_2588.pdf","http://www.nature.nps.gov/ParkScience/Archive/PDF/Article_PDFs/ParkScience25(1)Summer2008_34-35_Winter_2588.pdf")</f>
        <v>http://www.nature.nps.gov/ParkScience/Archive/PDF/Article_PDFs/ParkScience25(1)Summer2008_34-35_Winter_2588.pdf</v>
      </c>
      <c r="S296" s="123" t="s">
        <v>428</v>
      </c>
      <c r="T296" s="123" t="s">
        <v>428</v>
      </c>
      <c r="U296" s="123"/>
      <c r="V296" s="123"/>
      <c r="W296" s="123" t="s">
        <v>600</v>
      </c>
      <c r="X296" s="123"/>
      <c r="Y296" s="123"/>
      <c r="Z296" s="123"/>
      <c r="AA296" s="123"/>
      <c r="AB296" s="123"/>
      <c r="AC296" s="123"/>
      <c r="AD296" s="123"/>
      <c r="AE296" s="123"/>
      <c r="AF296" s="123"/>
      <c r="AG296" s="123"/>
      <c r="AH296" s="123"/>
      <c r="AI296" s="123"/>
      <c r="AJ296" s="123" t="s">
        <v>5850</v>
      </c>
    </row>
    <row r="297" ht="15.75" customHeight="1">
      <c r="A297" s="123">
        <v>305.0</v>
      </c>
      <c r="B297" s="124" t="s">
        <v>1230</v>
      </c>
      <c r="C297" s="124" t="s">
        <v>106</v>
      </c>
      <c r="D297" s="124" t="s">
        <v>64</v>
      </c>
      <c r="E297" s="124" t="s">
        <v>2299</v>
      </c>
      <c r="F297" s="125" t="s">
        <v>2300</v>
      </c>
      <c r="G297" s="124" t="s">
        <v>5245</v>
      </c>
      <c r="H297" s="124" t="s">
        <v>605</v>
      </c>
      <c r="I297" s="125">
        <v>4000.0</v>
      </c>
      <c r="J297" s="123"/>
      <c r="K297" s="124" t="s">
        <v>111</v>
      </c>
      <c r="L297" s="125">
        <v>41.0</v>
      </c>
      <c r="M297" s="124" t="s">
        <v>5248</v>
      </c>
      <c r="N297" s="124" t="s">
        <v>5249</v>
      </c>
      <c r="O297" s="124" t="s">
        <v>3992</v>
      </c>
      <c r="P297" s="124">
        <v>1996.0</v>
      </c>
      <c r="Q297" s="124" t="s">
        <v>5252</v>
      </c>
      <c r="R297" s="123" t="s">
        <v>5253</v>
      </c>
      <c r="S297" s="123"/>
      <c r="T297" s="123" t="s">
        <v>462</v>
      </c>
      <c r="U297" s="123" t="s">
        <v>462</v>
      </c>
      <c r="V297" s="123"/>
      <c r="W297" s="123"/>
      <c r="X297" s="123" t="s">
        <v>561</v>
      </c>
      <c r="Y297" s="123" t="s">
        <v>5256</v>
      </c>
      <c r="Z297" s="129">
        <v>42507.0</v>
      </c>
      <c r="AA297" s="123"/>
      <c r="AB297" s="123"/>
      <c r="AC297" s="123"/>
      <c r="AD297" s="123"/>
      <c r="AE297" s="123"/>
      <c r="AF297" s="123"/>
      <c r="AG297" s="123"/>
      <c r="AH297" s="123"/>
      <c r="AI297" s="123"/>
      <c r="AJ297" s="123"/>
    </row>
    <row r="298" ht="15.75" customHeight="1">
      <c r="A298" s="123">
        <v>306.0</v>
      </c>
      <c r="B298" s="124" t="s">
        <v>1230</v>
      </c>
      <c r="C298" s="124" t="s">
        <v>106</v>
      </c>
      <c r="D298" s="124" t="s">
        <v>64</v>
      </c>
      <c r="E298" s="124" t="s">
        <v>2299</v>
      </c>
      <c r="F298" s="125" t="s">
        <v>2300</v>
      </c>
      <c r="G298" s="124" t="s">
        <v>4890</v>
      </c>
      <c r="H298" s="124" t="s">
        <v>605</v>
      </c>
      <c r="I298" s="125">
        <v>4000.0</v>
      </c>
      <c r="J298" s="123"/>
      <c r="K298" s="124" t="s">
        <v>289</v>
      </c>
      <c r="L298" s="125">
        <v>40.0</v>
      </c>
      <c r="M298" s="124" t="s">
        <v>4892</v>
      </c>
      <c r="N298" s="124" t="s">
        <v>4893</v>
      </c>
      <c r="O298" s="124" t="s">
        <v>4894</v>
      </c>
      <c r="P298" s="124">
        <v>1982.0</v>
      </c>
      <c r="Q298" s="124" t="s">
        <v>4896</v>
      </c>
      <c r="R298" s="123" t="s">
        <v>4897</v>
      </c>
      <c r="S298" s="123"/>
      <c r="T298" s="123" t="s">
        <v>613</v>
      </c>
      <c r="U298" s="123" t="s">
        <v>613</v>
      </c>
      <c r="V298" s="123"/>
      <c r="W298" s="123"/>
      <c r="X298" s="123"/>
      <c r="Y298" s="123"/>
      <c r="Z298" s="123"/>
      <c r="AA298" s="123"/>
      <c r="AB298" s="123"/>
      <c r="AC298" s="123"/>
      <c r="AD298" s="123"/>
      <c r="AE298" s="123"/>
      <c r="AF298" s="123"/>
      <c r="AG298" s="123"/>
      <c r="AH298" s="123"/>
      <c r="AI298" s="123"/>
      <c r="AJ298" s="123" t="s">
        <v>3079</v>
      </c>
    </row>
    <row r="299" ht="15.75" customHeight="1">
      <c r="A299" s="123">
        <v>307.0</v>
      </c>
      <c r="B299" s="124" t="s">
        <v>1230</v>
      </c>
      <c r="C299" s="124" t="s">
        <v>106</v>
      </c>
      <c r="D299" s="124" t="s">
        <v>64</v>
      </c>
      <c r="E299" s="124" t="s">
        <v>2299</v>
      </c>
      <c r="F299" s="125" t="s">
        <v>2300</v>
      </c>
      <c r="G299" s="124" t="s">
        <v>2301</v>
      </c>
      <c r="H299" s="124" t="s">
        <v>798</v>
      </c>
      <c r="I299" s="125" t="s">
        <v>3606</v>
      </c>
      <c r="J299" s="123"/>
      <c r="K299" s="124" t="s">
        <v>289</v>
      </c>
      <c r="L299" s="125">
        <v>40.0</v>
      </c>
      <c r="M299" s="124" t="s">
        <v>5359</v>
      </c>
      <c r="N299" s="124" t="s">
        <v>5360</v>
      </c>
      <c r="O299" s="124" t="s">
        <v>5361</v>
      </c>
      <c r="P299" s="124">
        <v>2013.0</v>
      </c>
      <c r="Q299" s="124" t="s">
        <v>5362</v>
      </c>
      <c r="R299" s="123" t="s">
        <v>5363</v>
      </c>
      <c r="S299" s="123" t="s">
        <v>5364</v>
      </c>
      <c r="T299" s="123" t="s">
        <v>462</v>
      </c>
      <c r="U299" s="123" t="s">
        <v>462</v>
      </c>
      <c r="V299" s="123"/>
      <c r="W299" s="123"/>
      <c r="X299" s="123" t="s">
        <v>561</v>
      </c>
      <c r="Y299" s="123" t="s">
        <v>5365</v>
      </c>
      <c r="Z299" s="129">
        <v>42418.0</v>
      </c>
      <c r="AA299" s="123"/>
      <c r="AB299" s="129">
        <v>42592.0</v>
      </c>
      <c r="AC299" s="123"/>
      <c r="AD299" s="123"/>
      <c r="AE299" s="123"/>
      <c r="AF299" s="123"/>
      <c r="AG299" s="123"/>
      <c r="AH299" s="123"/>
      <c r="AI299" s="123"/>
      <c r="AJ299" s="123" t="s">
        <v>1023</v>
      </c>
    </row>
    <row r="300" ht="15.75" customHeight="1">
      <c r="A300" s="123">
        <v>308.0</v>
      </c>
      <c r="B300" s="124" t="s">
        <v>1230</v>
      </c>
      <c r="C300" s="124" t="s">
        <v>106</v>
      </c>
      <c r="D300" s="124" t="s">
        <v>64</v>
      </c>
      <c r="E300" s="124" t="s">
        <v>2299</v>
      </c>
      <c r="F300" s="125" t="s">
        <v>2300</v>
      </c>
      <c r="G300" s="124" t="s">
        <v>2301</v>
      </c>
      <c r="H300" s="124" t="s">
        <v>470</v>
      </c>
      <c r="I300" s="125">
        <v>3000.0</v>
      </c>
      <c r="J300" s="123"/>
      <c r="K300" s="124" t="s">
        <v>289</v>
      </c>
      <c r="L300" s="125">
        <v>40.0</v>
      </c>
      <c r="M300" s="124" t="s">
        <v>2303</v>
      </c>
      <c r="N300" s="124" t="s">
        <v>2304</v>
      </c>
      <c r="O300" s="124" t="s">
        <v>2288</v>
      </c>
      <c r="P300" s="124">
        <v>2015.0</v>
      </c>
      <c r="Q300" s="124" t="s">
        <v>2313</v>
      </c>
      <c r="R300" s="123" t="s">
        <v>2314</v>
      </c>
      <c r="S300" s="123"/>
      <c r="T300" s="123" t="s">
        <v>428</v>
      </c>
      <c r="U300" s="123" t="s">
        <v>462</v>
      </c>
      <c r="V300" s="123"/>
      <c r="W300" s="123"/>
      <c r="X300" s="123" t="s">
        <v>561</v>
      </c>
      <c r="Y300" s="123" t="s">
        <v>2315</v>
      </c>
      <c r="Z300" s="129">
        <v>42415.0</v>
      </c>
      <c r="AA300" s="123"/>
      <c r="AB300" s="123"/>
      <c r="AC300" s="123"/>
      <c r="AD300" s="123"/>
      <c r="AE300" s="123"/>
      <c r="AF300" s="123"/>
      <c r="AG300" s="123"/>
      <c r="AH300" s="123"/>
      <c r="AI300" s="123"/>
      <c r="AJ300" s="123"/>
    </row>
    <row r="301" ht="15.75" customHeight="1">
      <c r="A301" s="123">
        <v>309.0</v>
      </c>
      <c r="B301" s="124" t="s">
        <v>1230</v>
      </c>
      <c r="C301" s="124" t="s">
        <v>106</v>
      </c>
      <c r="D301" s="124" t="s">
        <v>64</v>
      </c>
      <c r="E301" s="124" t="s">
        <v>2299</v>
      </c>
      <c r="F301" s="125" t="s">
        <v>2300</v>
      </c>
      <c r="G301" s="124" t="s">
        <v>2301</v>
      </c>
      <c r="H301" s="124" t="s">
        <v>116</v>
      </c>
      <c r="I301" s="125">
        <v>3000.0</v>
      </c>
      <c r="J301" s="123"/>
      <c r="K301" s="124" t="s">
        <v>289</v>
      </c>
      <c r="L301" s="125">
        <v>40.0</v>
      </c>
      <c r="M301" s="124" t="s">
        <v>5866</v>
      </c>
      <c r="N301" s="124" t="s">
        <v>5867</v>
      </c>
      <c r="O301" s="124" t="s">
        <v>5868</v>
      </c>
      <c r="P301" s="124">
        <v>2015.0</v>
      </c>
      <c r="Q301" s="124" t="s">
        <v>610</v>
      </c>
      <c r="R301" s="123" t="s">
        <v>5869</v>
      </c>
      <c r="S301" s="123"/>
      <c r="T301" s="123" t="s">
        <v>428</v>
      </c>
      <c r="U301" s="123" t="s">
        <v>462</v>
      </c>
      <c r="V301" s="123"/>
      <c r="W301" s="123"/>
      <c r="X301" s="123"/>
      <c r="Y301" s="123"/>
      <c r="Z301" s="129"/>
      <c r="AA301" s="123"/>
      <c r="AB301" s="129"/>
      <c r="AC301" s="123"/>
      <c r="AD301" s="123"/>
      <c r="AE301" s="123"/>
      <c r="AF301" s="123"/>
      <c r="AG301" s="123"/>
      <c r="AH301" s="123"/>
      <c r="AI301" s="123"/>
      <c r="AJ301" s="123"/>
    </row>
    <row r="302" ht="15.75" customHeight="1">
      <c r="A302" s="123">
        <v>310.0</v>
      </c>
      <c r="B302" s="124" t="s">
        <v>1230</v>
      </c>
      <c r="C302" s="124" t="s">
        <v>106</v>
      </c>
      <c r="D302" s="124" t="s">
        <v>64</v>
      </c>
      <c r="E302" s="124" t="s">
        <v>2696</v>
      </c>
      <c r="F302" s="125" t="s">
        <v>2698</v>
      </c>
      <c r="G302" s="124" t="s">
        <v>224</v>
      </c>
      <c r="H302" s="124" t="s">
        <v>644</v>
      </c>
      <c r="I302" s="125">
        <v>2000.0</v>
      </c>
      <c r="J302" s="123"/>
      <c r="K302" s="124" t="s">
        <v>289</v>
      </c>
      <c r="L302" s="125">
        <v>40.0</v>
      </c>
      <c r="M302" s="124" t="s">
        <v>2882</v>
      </c>
      <c r="N302" s="124" t="s">
        <v>188</v>
      </c>
      <c r="O302" s="124" t="s">
        <v>2811</v>
      </c>
      <c r="P302" s="126">
        <v>2013.0</v>
      </c>
      <c r="Q302" s="124" t="s">
        <v>2883</v>
      </c>
      <c r="R302" s="127" t="str">
        <f>HYPERLINK("http://ecoamerica.org/wp-content/uploads/2013/11/Communicating-on-Climate-13-steps_ecoAmerica.pdf","http://ecoamerica.org/wp-content/uploads/2013/11/Communicating-on-Climate-13-steps_ecoAmerica.pdf")</f>
        <v>http://ecoamerica.org/wp-content/uploads/2013/11/Communicating-on-Climate-13-steps_ecoAmerica.pdf</v>
      </c>
      <c r="S302" s="128"/>
      <c r="T302" s="123"/>
      <c r="U302" s="123"/>
      <c r="V302" s="123"/>
      <c r="W302" s="123"/>
      <c r="X302" s="123"/>
      <c r="Y302" s="123"/>
      <c r="Z302" s="123"/>
      <c r="AA302" s="123"/>
      <c r="AB302" s="123"/>
      <c r="AC302" s="123"/>
      <c r="AD302" s="123"/>
      <c r="AE302" s="123"/>
      <c r="AF302" s="123"/>
      <c r="AG302" s="123"/>
      <c r="AH302" s="123"/>
      <c r="AI302" s="123"/>
      <c r="AJ302" s="123"/>
    </row>
    <row r="303" ht="15.75" customHeight="1">
      <c r="A303" s="123">
        <v>311.0</v>
      </c>
      <c r="B303" s="124" t="s">
        <v>1230</v>
      </c>
      <c r="C303" s="124" t="s">
        <v>106</v>
      </c>
      <c r="D303" s="124" t="s">
        <v>64</v>
      </c>
      <c r="E303" s="124" t="s">
        <v>226</v>
      </c>
      <c r="F303" s="125" t="s">
        <v>228</v>
      </c>
      <c r="G303" s="124" t="s">
        <v>229</v>
      </c>
      <c r="H303" s="124" t="s">
        <v>116</v>
      </c>
      <c r="I303" s="125">
        <v>3000.0</v>
      </c>
      <c r="J303" s="123"/>
      <c r="K303" s="124" t="s">
        <v>111</v>
      </c>
      <c r="L303" s="125">
        <v>41.0</v>
      </c>
      <c r="M303" s="124" t="s">
        <v>248</v>
      </c>
      <c r="N303" s="124" t="s">
        <v>250</v>
      </c>
      <c r="O303" s="124" t="s">
        <v>252</v>
      </c>
      <c r="P303" s="124">
        <v>2014.0</v>
      </c>
      <c r="Q303" s="124" t="s">
        <v>262</v>
      </c>
      <c r="R303" s="123" t="s">
        <v>264</v>
      </c>
      <c r="S303" s="123"/>
      <c r="T303" s="123" t="s">
        <v>269</v>
      </c>
      <c r="U303" s="123" t="s">
        <v>270</v>
      </c>
      <c r="V303" s="123"/>
      <c r="W303" s="123"/>
      <c r="X303" s="123"/>
      <c r="Y303" s="123"/>
      <c r="Z303" s="123"/>
      <c r="AA303" s="123"/>
      <c r="AB303" s="123"/>
      <c r="AC303" s="123"/>
      <c r="AD303" s="123"/>
      <c r="AE303" s="123"/>
      <c r="AF303" s="123"/>
      <c r="AG303" s="123"/>
      <c r="AH303" s="123"/>
      <c r="AI303" s="123"/>
      <c r="AJ303" s="123"/>
    </row>
    <row r="304" ht="15.75" customHeight="1">
      <c r="A304" s="123">
        <v>312.0</v>
      </c>
      <c r="B304" s="124" t="s">
        <v>1230</v>
      </c>
      <c r="C304" s="124" t="s">
        <v>106</v>
      </c>
      <c r="D304" s="124" t="s">
        <v>64</v>
      </c>
      <c r="E304" s="124" t="s">
        <v>226</v>
      </c>
      <c r="F304" s="125" t="s">
        <v>228</v>
      </c>
      <c r="G304" s="124" t="s">
        <v>3064</v>
      </c>
      <c r="H304" s="124" t="s">
        <v>605</v>
      </c>
      <c r="I304" s="125">
        <v>4000.0</v>
      </c>
      <c r="J304" s="123"/>
      <c r="K304" s="124" t="s">
        <v>289</v>
      </c>
      <c r="L304" s="125">
        <v>40.0</v>
      </c>
      <c r="M304" s="124" t="s">
        <v>3066</v>
      </c>
      <c r="N304" s="124" t="s">
        <v>3067</v>
      </c>
      <c r="O304" s="124" t="s">
        <v>3035</v>
      </c>
      <c r="P304" s="124">
        <v>2014.0</v>
      </c>
      <c r="Q304" s="124" t="s">
        <v>3068</v>
      </c>
      <c r="R304" s="123" t="s">
        <v>3069</v>
      </c>
      <c r="S304" s="123"/>
      <c r="T304" s="123" t="s">
        <v>613</v>
      </c>
      <c r="U304" s="123" t="s">
        <v>3070</v>
      </c>
      <c r="V304" s="123"/>
      <c r="W304" s="123"/>
      <c r="X304" s="123" t="s">
        <v>561</v>
      </c>
      <c r="Y304" s="123" t="s">
        <v>3071</v>
      </c>
      <c r="Z304" s="129">
        <v>42422.0</v>
      </c>
      <c r="AA304" s="123"/>
      <c r="AB304" s="129">
        <v>42592.0</v>
      </c>
      <c r="AC304" s="123"/>
      <c r="AD304" s="123"/>
      <c r="AE304" s="123"/>
      <c r="AF304" s="123"/>
      <c r="AG304" s="123"/>
      <c r="AH304" s="123"/>
      <c r="AI304" s="123"/>
      <c r="AJ304" s="123"/>
    </row>
    <row r="305" ht="15.75" customHeight="1">
      <c r="A305" s="123">
        <v>313.0</v>
      </c>
      <c r="B305" s="124" t="s">
        <v>1230</v>
      </c>
      <c r="C305" s="124" t="s">
        <v>106</v>
      </c>
      <c r="D305" s="124" t="s">
        <v>64</v>
      </c>
      <c r="E305" s="124" t="s">
        <v>226</v>
      </c>
      <c r="F305" s="125" t="s">
        <v>228</v>
      </c>
      <c r="G305" s="124" t="s">
        <v>3064</v>
      </c>
      <c r="H305" s="124" t="s">
        <v>70</v>
      </c>
      <c r="I305" s="125">
        <v>4000.0</v>
      </c>
      <c r="J305" s="123"/>
      <c r="K305" s="124" t="s">
        <v>289</v>
      </c>
      <c r="L305" s="125">
        <v>40.0</v>
      </c>
      <c r="M305" s="124" t="s">
        <v>5877</v>
      </c>
      <c r="N305" s="124" t="s">
        <v>5879</v>
      </c>
      <c r="O305" s="124" t="s">
        <v>5880</v>
      </c>
      <c r="P305" s="124">
        <v>2014.0</v>
      </c>
      <c r="Q305" s="124" t="s">
        <v>5881</v>
      </c>
      <c r="R305" s="123" t="s">
        <v>5882</v>
      </c>
      <c r="S305" s="123"/>
      <c r="T305" s="123" t="s">
        <v>613</v>
      </c>
      <c r="U305" s="123" t="s">
        <v>5883</v>
      </c>
      <c r="V305" s="123"/>
      <c r="W305" s="123"/>
      <c r="X305" s="123" t="s">
        <v>5884</v>
      </c>
      <c r="Y305" s="123"/>
      <c r="Z305" s="123"/>
      <c r="AA305" s="123"/>
      <c r="AB305" s="123"/>
      <c r="AC305" s="123"/>
      <c r="AD305" s="123"/>
      <c r="AE305" s="123"/>
      <c r="AF305" s="123"/>
      <c r="AG305" s="123"/>
      <c r="AH305" s="123"/>
      <c r="AI305" s="123"/>
      <c r="AJ305" s="123"/>
    </row>
    <row r="306" ht="15.75" customHeight="1">
      <c r="A306" s="123">
        <v>314.0</v>
      </c>
      <c r="B306" s="124" t="s">
        <v>1230</v>
      </c>
      <c r="C306" s="124" t="s">
        <v>106</v>
      </c>
      <c r="D306" s="124" t="s">
        <v>64</v>
      </c>
      <c r="E306" s="124" t="s">
        <v>536</v>
      </c>
      <c r="F306" s="125">
        <v>3.0</v>
      </c>
      <c r="G306" s="124" t="s">
        <v>603</v>
      </c>
      <c r="H306" s="124" t="s">
        <v>70</v>
      </c>
      <c r="I306" s="125">
        <v>4000.0</v>
      </c>
      <c r="J306" s="123"/>
      <c r="K306" s="124" t="s">
        <v>289</v>
      </c>
      <c r="L306" s="125">
        <v>40.0</v>
      </c>
      <c r="M306" s="124" t="s">
        <v>5000</v>
      </c>
      <c r="N306" s="124" t="s">
        <v>5001</v>
      </c>
      <c r="O306" s="124" t="s">
        <v>4979</v>
      </c>
      <c r="P306" s="124">
        <v>1987.0</v>
      </c>
      <c r="Q306" s="124" t="s">
        <v>5003</v>
      </c>
      <c r="R306" s="123" t="s">
        <v>5004</v>
      </c>
      <c r="S306" s="123"/>
      <c r="T306" s="123" t="s">
        <v>462</v>
      </c>
      <c r="U306" s="123" t="s">
        <v>462</v>
      </c>
      <c r="V306" s="123"/>
      <c r="W306" s="123"/>
      <c r="X306" s="123"/>
      <c r="Y306" s="123"/>
      <c r="Z306" s="123"/>
      <c r="AA306" s="123"/>
      <c r="AB306" s="123"/>
      <c r="AC306" s="123"/>
      <c r="AD306" s="123"/>
      <c r="AE306" s="123"/>
      <c r="AF306" s="123"/>
      <c r="AG306" s="123"/>
      <c r="AH306" s="123"/>
      <c r="AI306" s="123"/>
      <c r="AJ306" s="123" t="s">
        <v>1023</v>
      </c>
    </row>
    <row r="307" ht="15.75" customHeight="1">
      <c r="A307" s="123">
        <v>315.0</v>
      </c>
      <c r="B307" s="124" t="s">
        <v>1230</v>
      </c>
      <c r="C307" s="124" t="s">
        <v>106</v>
      </c>
      <c r="D307" s="124" t="s">
        <v>64</v>
      </c>
      <c r="E307" s="124" t="s">
        <v>536</v>
      </c>
      <c r="F307" s="125">
        <v>3.0</v>
      </c>
      <c r="G307" s="124" t="s">
        <v>603</v>
      </c>
      <c r="H307" s="124" t="s">
        <v>605</v>
      </c>
      <c r="I307" s="125">
        <v>4000.0</v>
      </c>
      <c r="J307" s="123"/>
      <c r="K307" s="124" t="s">
        <v>2012</v>
      </c>
      <c r="L307" s="125" t="s">
        <v>2013</v>
      </c>
      <c r="M307" s="124" t="s">
        <v>2407</v>
      </c>
      <c r="N307" s="124" t="s">
        <v>2408</v>
      </c>
      <c r="O307" s="124" t="s">
        <v>2409</v>
      </c>
      <c r="P307" s="124">
        <v>2012.0</v>
      </c>
      <c r="Q307" s="124" t="s">
        <v>2412</v>
      </c>
      <c r="R307" s="123"/>
      <c r="S307" s="123"/>
      <c r="T307" s="123" t="s">
        <v>613</v>
      </c>
      <c r="U307" s="123" t="s">
        <v>613</v>
      </c>
      <c r="V307" s="123"/>
      <c r="W307" s="123"/>
      <c r="X307" s="123"/>
      <c r="Y307" s="123"/>
      <c r="Z307" s="123"/>
      <c r="AA307" s="123"/>
      <c r="AB307" s="123"/>
      <c r="AC307" s="123"/>
      <c r="AD307" s="123"/>
      <c r="AE307" s="123"/>
      <c r="AF307" s="123"/>
      <c r="AG307" s="123"/>
      <c r="AH307" s="123"/>
      <c r="AI307" s="123"/>
      <c r="AJ307" s="123" t="s">
        <v>615</v>
      </c>
    </row>
    <row r="308" ht="15.75" customHeight="1">
      <c r="A308" s="123">
        <v>318.0</v>
      </c>
      <c r="B308" s="124" t="s">
        <v>1230</v>
      </c>
      <c r="C308" s="124" t="s">
        <v>106</v>
      </c>
      <c r="D308" s="124" t="s">
        <v>64</v>
      </c>
      <c r="E308" s="124" t="s">
        <v>490</v>
      </c>
      <c r="F308" s="125">
        <v>6.0</v>
      </c>
      <c r="G308" s="124" t="s">
        <v>2371</v>
      </c>
      <c r="H308" s="124" t="s">
        <v>2373</v>
      </c>
      <c r="I308" s="125">
        <v>2000.0</v>
      </c>
      <c r="J308" s="123"/>
      <c r="K308" s="124" t="s">
        <v>289</v>
      </c>
      <c r="L308" s="125">
        <v>40.0</v>
      </c>
      <c r="M308" s="124" t="s">
        <v>2374</v>
      </c>
      <c r="N308" s="124" t="s">
        <v>2375</v>
      </c>
      <c r="O308" s="124" t="s">
        <v>2376</v>
      </c>
      <c r="P308" s="124">
        <v>2016.0</v>
      </c>
      <c r="Q308" s="124" t="s">
        <v>2382</v>
      </c>
      <c r="R308" s="123" t="s">
        <v>2386</v>
      </c>
      <c r="S308" s="123"/>
      <c r="T308" s="123" t="s">
        <v>428</v>
      </c>
      <c r="U308" s="123" t="s">
        <v>462</v>
      </c>
      <c r="V308" s="123"/>
      <c r="W308" s="123"/>
      <c r="X308" s="123"/>
      <c r="Y308" s="123"/>
      <c r="Z308" s="129"/>
      <c r="AA308" s="123"/>
      <c r="AB308" s="123"/>
      <c r="AC308" s="123"/>
      <c r="AD308" s="123"/>
      <c r="AE308" s="123"/>
      <c r="AF308" s="123"/>
      <c r="AG308" s="123"/>
      <c r="AH308" s="123"/>
      <c r="AI308" s="123"/>
      <c r="AJ308" s="123"/>
    </row>
    <row r="309" ht="15.75" customHeight="1">
      <c r="A309" s="123">
        <v>319.0</v>
      </c>
      <c r="B309" s="124" t="s">
        <v>1230</v>
      </c>
      <c r="C309" s="124" t="s">
        <v>106</v>
      </c>
      <c r="D309" s="124" t="s">
        <v>64</v>
      </c>
      <c r="E309" s="124" t="s">
        <v>490</v>
      </c>
      <c r="F309" s="125">
        <v>6.0</v>
      </c>
      <c r="G309" s="124" t="s">
        <v>776</v>
      </c>
      <c r="H309" s="124" t="s">
        <v>605</v>
      </c>
      <c r="I309" s="125">
        <v>4000.0</v>
      </c>
      <c r="J309" s="123"/>
      <c r="K309" s="124" t="s">
        <v>289</v>
      </c>
      <c r="L309" s="125">
        <v>40.0</v>
      </c>
      <c r="M309" s="124" t="s">
        <v>778</v>
      </c>
      <c r="N309" s="124" t="s">
        <v>780</v>
      </c>
      <c r="O309" s="124" t="s">
        <v>781</v>
      </c>
      <c r="P309" s="124">
        <v>1982.0</v>
      </c>
      <c r="Q309" s="124" t="s">
        <v>787</v>
      </c>
      <c r="R309" s="123" t="s">
        <v>790</v>
      </c>
      <c r="S309" s="123" t="s">
        <v>792</v>
      </c>
      <c r="T309" s="123" t="s">
        <v>428</v>
      </c>
      <c r="U309" s="123" t="s">
        <v>462</v>
      </c>
      <c r="V309" s="123"/>
      <c r="W309" s="123" t="s">
        <v>663</v>
      </c>
      <c r="X309" s="123"/>
      <c r="Y309" s="123"/>
      <c r="Z309" s="123"/>
      <c r="AA309" s="123"/>
      <c r="AB309" s="123"/>
      <c r="AC309" s="123"/>
      <c r="AD309" s="123"/>
      <c r="AE309" s="123"/>
      <c r="AF309" s="123"/>
      <c r="AG309" s="123"/>
      <c r="AH309" s="123"/>
      <c r="AI309" s="123"/>
      <c r="AJ309" s="123"/>
    </row>
    <row r="310" ht="15.75" customHeight="1">
      <c r="A310" s="123">
        <v>320.0</v>
      </c>
      <c r="B310" s="124" t="s">
        <v>1230</v>
      </c>
      <c r="C310" s="124" t="s">
        <v>106</v>
      </c>
      <c r="D310" s="124" t="s">
        <v>64</v>
      </c>
      <c r="E310" s="124" t="s">
        <v>490</v>
      </c>
      <c r="F310" s="125">
        <v>6.0</v>
      </c>
      <c r="G310" s="124" t="s">
        <v>776</v>
      </c>
      <c r="H310" s="124" t="s">
        <v>4296</v>
      </c>
      <c r="I310" s="125">
        <v>11000.0</v>
      </c>
      <c r="J310" s="123"/>
      <c r="K310" s="124" t="s">
        <v>111</v>
      </c>
      <c r="L310" s="125">
        <v>41.0</v>
      </c>
      <c r="M310" s="124" t="s">
        <v>4297</v>
      </c>
      <c r="N310" s="124" t="s">
        <v>4298</v>
      </c>
      <c r="O310" s="124" t="s">
        <v>4299</v>
      </c>
      <c r="P310" s="124">
        <v>2009.0</v>
      </c>
      <c r="Q310" s="124" t="s">
        <v>4302</v>
      </c>
      <c r="R310" s="123"/>
      <c r="S310" s="123" t="s">
        <v>4303</v>
      </c>
      <c r="T310" s="123"/>
      <c r="U310" s="123"/>
      <c r="V310" s="123" t="s">
        <v>3233</v>
      </c>
      <c r="W310" s="123"/>
      <c r="X310" s="123"/>
      <c r="Y310" s="123"/>
      <c r="Z310" s="123"/>
      <c r="AA310" s="123"/>
      <c r="AB310" s="123"/>
      <c r="AC310" s="123"/>
      <c r="AD310" s="123"/>
      <c r="AE310" s="123"/>
      <c r="AF310" s="123"/>
      <c r="AG310" s="123"/>
      <c r="AH310" s="123"/>
      <c r="AI310" s="123"/>
      <c r="AJ310" s="123"/>
    </row>
    <row r="311" ht="15.75" customHeight="1">
      <c r="A311" s="123">
        <v>321.0</v>
      </c>
      <c r="B311" s="124" t="s">
        <v>1230</v>
      </c>
      <c r="C311" s="124" t="s">
        <v>106</v>
      </c>
      <c r="D311" s="124" t="s">
        <v>64</v>
      </c>
      <c r="E311" s="124" t="s">
        <v>490</v>
      </c>
      <c r="F311" s="125">
        <v>6.0</v>
      </c>
      <c r="G311" s="124" t="s">
        <v>776</v>
      </c>
      <c r="H311" s="124" t="s">
        <v>3464</v>
      </c>
      <c r="I311" s="125" t="s">
        <v>3463</v>
      </c>
      <c r="J311" s="123"/>
      <c r="K311" s="124" t="s">
        <v>111</v>
      </c>
      <c r="L311" s="125">
        <v>41.0</v>
      </c>
      <c r="M311" s="124" t="s">
        <v>3465</v>
      </c>
      <c r="N311" s="124" t="s">
        <v>3466</v>
      </c>
      <c r="O311" s="124" t="s">
        <v>3263</v>
      </c>
      <c r="P311" s="124">
        <v>2011.0</v>
      </c>
      <c r="Q311" s="124" t="s">
        <v>3467</v>
      </c>
      <c r="R311" s="123" t="s">
        <v>3468</v>
      </c>
      <c r="S311" s="123"/>
      <c r="T311" s="123"/>
      <c r="U311" s="123"/>
      <c r="V311" s="123"/>
      <c r="W311" s="123"/>
      <c r="X311" s="123"/>
      <c r="Y311" s="123"/>
      <c r="Z311" s="123"/>
      <c r="AA311" s="123"/>
      <c r="AB311" s="123"/>
      <c r="AC311" s="123"/>
      <c r="AD311" s="123"/>
      <c r="AE311" s="123"/>
      <c r="AF311" s="123"/>
      <c r="AG311" s="123"/>
      <c r="AH311" s="123"/>
      <c r="AI311" s="123"/>
      <c r="AJ311" s="123"/>
    </row>
    <row r="312" ht="15.75" customHeight="1">
      <c r="A312" s="123">
        <v>322.0</v>
      </c>
      <c r="B312" s="124" t="s">
        <v>1230</v>
      </c>
      <c r="C312" s="124" t="s">
        <v>106</v>
      </c>
      <c r="D312" s="124" t="s">
        <v>64</v>
      </c>
      <c r="E312" s="124" t="s">
        <v>490</v>
      </c>
      <c r="F312" s="125">
        <v>6.0</v>
      </c>
      <c r="G312" s="124" t="s">
        <v>776</v>
      </c>
      <c r="H312" s="124" t="s">
        <v>388</v>
      </c>
      <c r="I312" s="125">
        <v>14000.0</v>
      </c>
      <c r="J312" s="123"/>
      <c r="K312" s="124" t="s">
        <v>289</v>
      </c>
      <c r="L312" s="125">
        <v>40.0</v>
      </c>
      <c r="M312" s="124" t="s">
        <v>4836</v>
      </c>
      <c r="N312" s="124" t="s">
        <v>4837</v>
      </c>
      <c r="O312" s="124" t="s">
        <v>4808</v>
      </c>
      <c r="P312" s="124">
        <v>1989.0</v>
      </c>
      <c r="Q312" s="124" t="s">
        <v>4838</v>
      </c>
      <c r="R312" s="123" t="s">
        <v>4839</v>
      </c>
      <c r="S312" s="123" t="s">
        <v>4841</v>
      </c>
      <c r="T312" s="123" t="s">
        <v>428</v>
      </c>
      <c r="U312" s="123" t="s">
        <v>462</v>
      </c>
      <c r="V312" s="123"/>
      <c r="W312" s="123" t="s">
        <v>663</v>
      </c>
      <c r="X312" s="123"/>
      <c r="Y312" s="123"/>
      <c r="Z312" s="123"/>
      <c r="AA312" s="123"/>
      <c r="AB312" s="123"/>
      <c r="AC312" s="123"/>
      <c r="AD312" s="123"/>
      <c r="AE312" s="123"/>
      <c r="AF312" s="123"/>
      <c r="AG312" s="123"/>
      <c r="AH312" s="123"/>
      <c r="AI312" s="123"/>
      <c r="AJ312" s="123"/>
    </row>
    <row r="313" ht="15.75" customHeight="1">
      <c r="A313" s="123">
        <v>323.0</v>
      </c>
      <c r="B313" s="124" t="s">
        <v>1230</v>
      </c>
      <c r="C313" s="124" t="s">
        <v>106</v>
      </c>
      <c r="D313" s="124" t="s">
        <v>64</v>
      </c>
      <c r="E313" s="124" t="s">
        <v>490</v>
      </c>
      <c r="F313" s="125">
        <v>6.0</v>
      </c>
      <c r="G313" s="124" t="s">
        <v>776</v>
      </c>
      <c r="H313" s="124" t="s">
        <v>127</v>
      </c>
      <c r="I313" s="125" t="s">
        <v>3073</v>
      </c>
      <c r="J313" s="123"/>
      <c r="K313" s="124" t="s">
        <v>289</v>
      </c>
      <c r="L313" s="125">
        <v>40.0</v>
      </c>
      <c r="M313" s="124" t="s">
        <v>5911</v>
      </c>
      <c r="N313" s="124" t="s">
        <v>5912</v>
      </c>
      <c r="O313" s="124" t="s">
        <v>5913</v>
      </c>
      <c r="P313" s="124">
        <v>1976.0</v>
      </c>
      <c r="Q313" s="124" t="s">
        <v>5914</v>
      </c>
      <c r="R313" s="123" t="s">
        <v>5915</v>
      </c>
      <c r="S313" s="123" t="s">
        <v>5916</v>
      </c>
      <c r="T313" s="123" t="s">
        <v>428</v>
      </c>
      <c r="U313" s="123" t="s">
        <v>462</v>
      </c>
      <c r="V313" s="123"/>
      <c r="W313" s="123" t="s">
        <v>663</v>
      </c>
      <c r="X313" s="123" t="s">
        <v>561</v>
      </c>
      <c r="Y313" s="123" t="s">
        <v>5917</v>
      </c>
      <c r="Z313" s="129">
        <v>42458.0</v>
      </c>
      <c r="AA313" s="123" t="s">
        <v>5918</v>
      </c>
      <c r="AB313" s="129">
        <v>42032.0</v>
      </c>
      <c r="AC313" s="123"/>
      <c r="AD313" s="123"/>
      <c r="AE313" s="123"/>
      <c r="AF313" s="123"/>
      <c r="AG313" s="123"/>
      <c r="AH313" s="123"/>
      <c r="AI313" s="123"/>
      <c r="AJ313" s="123" t="s">
        <v>1023</v>
      </c>
    </row>
    <row r="314" ht="15.75" customHeight="1">
      <c r="A314" s="123">
        <v>324.0</v>
      </c>
      <c r="B314" s="124" t="s">
        <v>1230</v>
      </c>
      <c r="C314" s="124" t="s">
        <v>106</v>
      </c>
      <c r="D314" s="124" t="s">
        <v>64</v>
      </c>
      <c r="E314" s="124" t="s">
        <v>490</v>
      </c>
      <c r="F314" s="125">
        <v>6.0</v>
      </c>
      <c r="G314" s="124" t="s">
        <v>776</v>
      </c>
      <c r="H314" s="124" t="s">
        <v>388</v>
      </c>
      <c r="I314" s="125">
        <v>14000.0</v>
      </c>
      <c r="J314" s="123"/>
      <c r="K314" s="124" t="s">
        <v>289</v>
      </c>
      <c r="L314" s="125">
        <v>40.0</v>
      </c>
      <c r="M314" s="124" t="s">
        <v>5411</v>
      </c>
      <c r="N314" s="124" t="s">
        <v>5412</v>
      </c>
      <c r="O314" s="124" t="s">
        <v>4694</v>
      </c>
      <c r="P314" s="124">
        <v>1975.0</v>
      </c>
      <c r="Q314" s="124" t="s">
        <v>5414</v>
      </c>
      <c r="R314" s="123" t="s">
        <v>5415</v>
      </c>
      <c r="S314" s="123" t="s">
        <v>5417</v>
      </c>
      <c r="T314" s="123" t="s">
        <v>428</v>
      </c>
      <c r="U314" s="123" t="s">
        <v>462</v>
      </c>
      <c r="V314" s="123"/>
      <c r="W314" s="123"/>
      <c r="X314" s="123"/>
      <c r="Y314" s="123"/>
      <c r="Z314" s="123"/>
      <c r="AA314" s="123"/>
      <c r="AB314" s="123"/>
      <c r="AC314" s="123"/>
      <c r="AD314" s="123"/>
      <c r="AE314" s="123"/>
      <c r="AF314" s="123"/>
      <c r="AG314" s="123"/>
      <c r="AH314" s="123"/>
      <c r="AI314" s="123"/>
      <c r="AJ314" s="123"/>
    </row>
    <row r="315" ht="15.75" customHeight="1">
      <c r="A315" s="123">
        <v>325.0</v>
      </c>
      <c r="B315" s="124" t="s">
        <v>1230</v>
      </c>
      <c r="C315" s="124" t="s">
        <v>106</v>
      </c>
      <c r="D315" s="124" t="s">
        <v>64</v>
      </c>
      <c r="E315" s="124" t="s">
        <v>490</v>
      </c>
      <c r="F315" s="125">
        <v>6.0</v>
      </c>
      <c r="G315" s="124" t="s">
        <v>776</v>
      </c>
      <c r="H315" s="124" t="s">
        <v>4408</v>
      </c>
      <c r="I315" s="125">
        <v>3000.0</v>
      </c>
      <c r="J315" s="123"/>
      <c r="K315" s="124" t="s">
        <v>289</v>
      </c>
      <c r="L315" s="125">
        <v>40.0</v>
      </c>
      <c r="M315" s="124" t="s">
        <v>4409</v>
      </c>
      <c r="N315" s="124" t="s">
        <v>4410</v>
      </c>
      <c r="O315" s="124" t="s">
        <v>4411</v>
      </c>
      <c r="P315" s="124">
        <v>2015.0</v>
      </c>
      <c r="Q315" s="124" t="s">
        <v>4412</v>
      </c>
      <c r="R315" s="123"/>
      <c r="S315" s="123"/>
      <c r="T315" s="123"/>
      <c r="U315" s="123"/>
      <c r="V315" s="123"/>
      <c r="W315" s="123"/>
      <c r="X315" s="123"/>
      <c r="Y315" s="123"/>
      <c r="Z315" s="123"/>
      <c r="AA315" s="123"/>
      <c r="AB315" s="123"/>
      <c r="AC315" s="123"/>
      <c r="AD315" s="123"/>
      <c r="AE315" s="123"/>
      <c r="AF315" s="123"/>
      <c r="AG315" s="123"/>
      <c r="AH315" s="123"/>
      <c r="AI315" s="123"/>
      <c r="AJ315" s="123"/>
    </row>
    <row r="316" ht="15.75" customHeight="1">
      <c r="A316" s="123">
        <v>326.0</v>
      </c>
      <c r="B316" s="124" t="s">
        <v>1230</v>
      </c>
      <c r="C316" s="124" t="s">
        <v>106</v>
      </c>
      <c r="D316" s="124" t="s">
        <v>64</v>
      </c>
      <c r="E316" s="124" t="s">
        <v>490</v>
      </c>
      <c r="F316" s="125">
        <v>6.0</v>
      </c>
      <c r="G316" s="124" t="s">
        <v>776</v>
      </c>
      <c r="H316" s="124" t="s">
        <v>388</v>
      </c>
      <c r="I316" s="125">
        <v>14000.0</v>
      </c>
      <c r="J316" s="123"/>
      <c r="K316" s="124" t="s">
        <v>289</v>
      </c>
      <c r="L316" s="125">
        <v>40.0</v>
      </c>
      <c r="M316" s="124" t="s">
        <v>4844</v>
      </c>
      <c r="N316" s="124" t="s">
        <v>4846</v>
      </c>
      <c r="O316" s="124" t="s">
        <v>4808</v>
      </c>
      <c r="P316" s="124">
        <v>1987.0</v>
      </c>
      <c r="Q316" s="124" t="s">
        <v>4848</v>
      </c>
      <c r="R316" s="123" t="s">
        <v>4849</v>
      </c>
      <c r="S316" s="123" t="s">
        <v>4850</v>
      </c>
      <c r="T316" s="123" t="s">
        <v>462</v>
      </c>
      <c r="U316" s="123" t="s">
        <v>462</v>
      </c>
      <c r="V316" s="123"/>
      <c r="W316" s="123"/>
      <c r="X316" s="123"/>
      <c r="Y316" s="123"/>
      <c r="Z316" s="123"/>
      <c r="AA316" s="123"/>
      <c r="AB316" s="123"/>
      <c r="AC316" s="123"/>
      <c r="AD316" s="123"/>
      <c r="AE316" s="123"/>
      <c r="AF316" s="123"/>
      <c r="AG316" s="123"/>
      <c r="AH316" s="123"/>
      <c r="AI316" s="123"/>
      <c r="AJ316" s="123"/>
    </row>
    <row r="317" ht="15.75" customHeight="1">
      <c r="A317" s="123">
        <v>327.0</v>
      </c>
      <c r="B317" s="124" t="s">
        <v>1230</v>
      </c>
      <c r="C317" s="124" t="s">
        <v>106</v>
      </c>
      <c r="D317" s="124" t="s">
        <v>64</v>
      </c>
      <c r="E317" s="124" t="s">
        <v>490</v>
      </c>
      <c r="F317" s="125">
        <v>6.0</v>
      </c>
      <c r="G317" s="124" t="s">
        <v>776</v>
      </c>
      <c r="H317" s="124" t="s">
        <v>4988</v>
      </c>
      <c r="I317" s="125" t="s">
        <v>4987</v>
      </c>
      <c r="J317" s="123"/>
      <c r="K317" s="124" t="s">
        <v>289</v>
      </c>
      <c r="L317" s="125">
        <v>40.0</v>
      </c>
      <c r="M317" s="124" t="s">
        <v>4989</v>
      </c>
      <c r="N317" s="124" t="s">
        <v>4990</v>
      </c>
      <c r="O317" s="124" t="s">
        <v>4979</v>
      </c>
      <c r="P317" s="124">
        <v>2012.0</v>
      </c>
      <c r="Q317" s="124" t="s">
        <v>4995</v>
      </c>
      <c r="R317" s="123"/>
      <c r="S317" s="123" t="s">
        <v>4997</v>
      </c>
      <c r="T317" s="123" t="s">
        <v>428</v>
      </c>
      <c r="U317" s="123" t="s">
        <v>462</v>
      </c>
      <c r="V317" s="123"/>
      <c r="W317" s="123"/>
      <c r="X317" s="123"/>
      <c r="Y317" s="123"/>
      <c r="Z317" s="123"/>
      <c r="AA317" s="123"/>
      <c r="AB317" s="123"/>
      <c r="AC317" s="123"/>
      <c r="AD317" s="123"/>
      <c r="AE317" s="123"/>
      <c r="AF317" s="123"/>
      <c r="AG317" s="123"/>
      <c r="AH317" s="123"/>
      <c r="AI317" s="123"/>
      <c r="AJ317" s="123"/>
    </row>
    <row r="318" ht="15.75" customHeight="1">
      <c r="A318" s="123">
        <v>328.0</v>
      </c>
      <c r="B318" s="124" t="s">
        <v>1230</v>
      </c>
      <c r="C318" s="124" t="s">
        <v>106</v>
      </c>
      <c r="D318" s="124" t="s">
        <v>64</v>
      </c>
      <c r="E318" s="124" t="s">
        <v>490</v>
      </c>
      <c r="F318" s="125">
        <v>6.0</v>
      </c>
      <c r="G318" s="124" t="s">
        <v>776</v>
      </c>
      <c r="H318" s="124" t="s">
        <v>5924</v>
      </c>
      <c r="I318" s="125">
        <v>4000.0</v>
      </c>
      <c r="J318" s="123"/>
      <c r="K318" s="124" t="s">
        <v>289</v>
      </c>
      <c r="L318" s="125">
        <v>40.0</v>
      </c>
      <c r="M318" s="124" t="s">
        <v>5925</v>
      </c>
      <c r="N318" s="124" t="s">
        <v>5927</v>
      </c>
      <c r="O318" s="124" t="s">
        <v>5928</v>
      </c>
      <c r="P318" s="124">
        <v>1980.0</v>
      </c>
      <c r="Q318" s="124" t="s">
        <v>5914</v>
      </c>
      <c r="R318" s="123" t="s">
        <v>5929</v>
      </c>
      <c r="S318" s="123" t="s">
        <v>5930</v>
      </c>
      <c r="T318" s="123" t="s">
        <v>428</v>
      </c>
      <c r="U318" s="123" t="s">
        <v>462</v>
      </c>
      <c r="V318" s="123"/>
      <c r="W318" s="123"/>
      <c r="X318" s="123" t="s">
        <v>561</v>
      </c>
      <c r="Y318" s="123" t="s">
        <v>5931</v>
      </c>
      <c r="Z318" s="129">
        <v>42460.0</v>
      </c>
      <c r="AA318" s="123"/>
      <c r="AB318" s="123"/>
      <c r="AC318" s="123"/>
      <c r="AD318" s="123"/>
      <c r="AE318" s="123"/>
      <c r="AF318" s="123"/>
      <c r="AG318" s="123"/>
      <c r="AH318" s="123"/>
      <c r="AI318" s="123"/>
      <c r="AJ318" s="123"/>
    </row>
    <row r="319" ht="15.75" customHeight="1">
      <c r="A319" s="123">
        <v>329.0</v>
      </c>
      <c r="B319" s="124" t="s">
        <v>1230</v>
      </c>
      <c r="C319" s="124" t="s">
        <v>106</v>
      </c>
      <c r="D319" s="124" t="s">
        <v>64</v>
      </c>
      <c r="E319" s="124" t="s">
        <v>490</v>
      </c>
      <c r="F319" s="125">
        <v>6.0</v>
      </c>
      <c r="G319" s="124" t="s">
        <v>776</v>
      </c>
      <c r="H319" s="124" t="s">
        <v>5109</v>
      </c>
      <c r="I319" s="125" t="s">
        <v>5108</v>
      </c>
      <c r="J319" s="123"/>
      <c r="K319" s="124" t="s">
        <v>289</v>
      </c>
      <c r="L319" s="125">
        <v>40.0</v>
      </c>
      <c r="M319" s="124" t="s">
        <v>5110</v>
      </c>
      <c r="N319" s="124" t="s">
        <v>5111</v>
      </c>
      <c r="O319" s="124" t="s">
        <v>5112</v>
      </c>
      <c r="P319" s="124">
        <v>2001.0</v>
      </c>
      <c r="Q319" s="124" t="s">
        <v>5128</v>
      </c>
      <c r="R319" s="123" t="s">
        <v>5129</v>
      </c>
      <c r="S319" s="123"/>
      <c r="T319" s="123"/>
      <c r="U319" s="123"/>
      <c r="V319" s="123"/>
      <c r="W319" s="123"/>
      <c r="X319" s="123"/>
      <c r="Y319" s="123"/>
      <c r="Z319" s="123"/>
      <c r="AA319" s="123"/>
      <c r="AB319" s="123"/>
      <c r="AC319" s="123"/>
      <c r="AD319" s="123"/>
      <c r="AE319" s="123"/>
      <c r="AF319" s="123"/>
      <c r="AG319" s="123"/>
      <c r="AH319" s="123"/>
      <c r="AI319" s="123"/>
      <c r="AJ319" s="123"/>
    </row>
    <row r="320" ht="15.75" customHeight="1">
      <c r="A320" s="123">
        <v>330.0</v>
      </c>
      <c r="B320" s="124" t="s">
        <v>1230</v>
      </c>
      <c r="C320" s="124" t="s">
        <v>106</v>
      </c>
      <c r="D320" s="124" t="s">
        <v>64</v>
      </c>
      <c r="E320" s="124" t="s">
        <v>490</v>
      </c>
      <c r="F320" s="125">
        <v>6.0</v>
      </c>
      <c r="G320" s="124" t="s">
        <v>776</v>
      </c>
      <c r="H320" s="124" t="s">
        <v>1052</v>
      </c>
      <c r="I320" s="125">
        <v>21000.0</v>
      </c>
      <c r="J320" s="123"/>
      <c r="K320" s="124" t="s">
        <v>289</v>
      </c>
      <c r="L320" s="125">
        <v>40.0</v>
      </c>
      <c r="M320" s="124" t="s">
        <v>5308</v>
      </c>
      <c r="N320" s="124" t="s">
        <v>5309</v>
      </c>
      <c r="O320" s="124" t="s">
        <v>3992</v>
      </c>
      <c r="P320" s="124">
        <v>1995.0</v>
      </c>
      <c r="Q320" s="124" t="s">
        <v>5312</v>
      </c>
      <c r="R320" s="123" t="s">
        <v>5313</v>
      </c>
      <c r="S320" s="123" t="s">
        <v>5314</v>
      </c>
      <c r="T320" s="123" t="s">
        <v>428</v>
      </c>
      <c r="U320" s="123" t="s">
        <v>428</v>
      </c>
      <c r="V320" s="123"/>
      <c r="W320" s="123" t="s">
        <v>663</v>
      </c>
      <c r="X320" s="123" t="s">
        <v>561</v>
      </c>
      <c r="Y320" s="123" t="s">
        <v>5315</v>
      </c>
      <c r="Z320" s="129">
        <v>42450.0</v>
      </c>
      <c r="AA320" s="123"/>
      <c r="AB320" s="129">
        <v>42600.0</v>
      </c>
      <c r="AC320" s="123"/>
      <c r="AD320" s="123"/>
      <c r="AE320" s="123"/>
      <c r="AF320" s="123"/>
      <c r="AG320" s="123"/>
      <c r="AH320" s="123"/>
      <c r="AI320" s="123"/>
      <c r="AJ320" s="123"/>
    </row>
    <row r="321" ht="15.75" customHeight="1">
      <c r="A321" s="123">
        <v>331.0</v>
      </c>
      <c r="B321" s="124" t="s">
        <v>1230</v>
      </c>
      <c r="C321" s="124" t="s">
        <v>106</v>
      </c>
      <c r="D321" s="124" t="s">
        <v>64</v>
      </c>
      <c r="E321" s="124" t="s">
        <v>490</v>
      </c>
      <c r="F321" s="125">
        <v>6.0</v>
      </c>
      <c r="G321" s="124" t="s">
        <v>776</v>
      </c>
      <c r="H321" s="124" t="s">
        <v>1052</v>
      </c>
      <c r="I321" s="125">
        <v>21000.0</v>
      </c>
      <c r="J321" s="123"/>
      <c r="K321" s="124" t="s">
        <v>289</v>
      </c>
      <c r="L321" s="125">
        <v>40.0</v>
      </c>
      <c r="M321" s="124" t="s">
        <v>4867</v>
      </c>
      <c r="N321" s="124" t="s">
        <v>4868</v>
      </c>
      <c r="O321" s="124" t="s">
        <v>4027</v>
      </c>
      <c r="P321" s="124">
        <v>1990.0</v>
      </c>
      <c r="Q321" s="124" t="s">
        <v>4869</v>
      </c>
      <c r="R321" s="123" t="s">
        <v>4870</v>
      </c>
      <c r="S321" s="123" t="s">
        <v>4871</v>
      </c>
      <c r="T321" s="123" t="s">
        <v>428</v>
      </c>
      <c r="U321" s="123" t="s">
        <v>462</v>
      </c>
      <c r="V321" s="123"/>
      <c r="W321" s="123" t="s">
        <v>663</v>
      </c>
      <c r="X321" s="123" t="s">
        <v>561</v>
      </c>
      <c r="Y321" s="123" t="s">
        <v>4873</v>
      </c>
      <c r="Z321" s="129">
        <v>42465.0</v>
      </c>
      <c r="AA321" s="123"/>
      <c r="AB321" s="123"/>
      <c r="AC321" s="123"/>
      <c r="AD321" s="123"/>
      <c r="AE321" s="123"/>
      <c r="AF321" s="123"/>
      <c r="AG321" s="123"/>
      <c r="AH321" s="123"/>
      <c r="AI321" s="123"/>
      <c r="AJ321" s="123"/>
    </row>
    <row r="322" ht="15.75" customHeight="1">
      <c r="A322" s="123">
        <v>332.0</v>
      </c>
      <c r="B322" s="124" t="s">
        <v>1230</v>
      </c>
      <c r="C322" s="124" t="s">
        <v>106</v>
      </c>
      <c r="D322" s="124" t="s">
        <v>64</v>
      </c>
      <c r="E322" s="124" t="s">
        <v>490</v>
      </c>
      <c r="F322" s="125">
        <v>6.0</v>
      </c>
      <c r="G322" s="124" t="s">
        <v>776</v>
      </c>
      <c r="H322" s="124" t="s">
        <v>388</v>
      </c>
      <c r="I322" s="125">
        <v>14000.0</v>
      </c>
      <c r="J322" s="123"/>
      <c r="K322" s="124" t="s">
        <v>324</v>
      </c>
      <c r="L322" s="125" t="s">
        <v>325</v>
      </c>
      <c r="M322" s="124" t="s">
        <v>5946</v>
      </c>
      <c r="N322" s="124" t="s">
        <v>5947</v>
      </c>
      <c r="O322" s="124" t="s">
        <v>4684</v>
      </c>
      <c r="P322" s="124">
        <v>1999.0</v>
      </c>
      <c r="Q322" s="124" t="s">
        <v>5949</v>
      </c>
      <c r="R322" s="123" t="s">
        <v>5950</v>
      </c>
      <c r="S322" s="123" t="s">
        <v>5951</v>
      </c>
      <c r="T322" s="123" t="s">
        <v>428</v>
      </c>
      <c r="U322" s="123" t="s">
        <v>462</v>
      </c>
      <c r="V322" s="123"/>
      <c r="W322" s="123"/>
      <c r="X322" s="123"/>
      <c r="Y322" s="123"/>
      <c r="Z322" s="123"/>
      <c r="AA322" s="123"/>
      <c r="AB322" s="123"/>
      <c r="AC322" s="123"/>
      <c r="AD322" s="123"/>
      <c r="AE322" s="123"/>
      <c r="AF322" s="123"/>
      <c r="AG322" s="123"/>
      <c r="AH322" s="123"/>
      <c r="AI322" s="123"/>
      <c r="AJ322" s="123"/>
    </row>
    <row r="323" ht="15.75" customHeight="1">
      <c r="A323" s="123">
        <v>333.0</v>
      </c>
      <c r="B323" s="124" t="s">
        <v>1230</v>
      </c>
      <c r="C323" s="124" t="s">
        <v>106</v>
      </c>
      <c r="D323" s="124" t="s">
        <v>64</v>
      </c>
      <c r="E323" s="124" t="s">
        <v>490</v>
      </c>
      <c r="F323" s="125">
        <v>6.0</v>
      </c>
      <c r="G323" s="124" t="s">
        <v>5044</v>
      </c>
      <c r="H323" s="124" t="s">
        <v>70</v>
      </c>
      <c r="I323" s="125">
        <v>4000.0</v>
      </c>
      <c r="J323" s="123"/>
      <c r="K323" s="124" t="s">
        <v>289</v>
      </c>
      <c r="L323" s="125">
        <v>40.0</v>
      </c>
      <c r="M323" s="124" t="s">
        <v>5046</v>
      </c>
      <c r="N323" s="124" t="s">
        <v>5047</v>
      </c>
      <c r="O323" s="124" t="s">
        <v>5041</v>
      </c>
      <c r="P323" s="124">
        <v>1983.0</v>
      </c>
      <c r="Q323" s="124" t="s">
        <v>5048</v>
      </c>
      <c r="R323" s="123" t="s">
        <v>5049</v>
      </c>
      <c r="S323" s="123" t="s">
        <v>5050</v>
      </c>
      <c r="T323" s="123" t="s">
        <v>428</v>
      </c>
      <c r="U323" s="123" t="s">
        <v>462</v>
      </c>
      <c r="V323" s="123"/>
      <c r="W323" s="123"/>
      <c r="X323" s="123" t="s">
        <v>561</v>
      </c>
      <c r="Y323" s="123" t="s">
        <v>5051</v>
      </c>
      <c r="Z323" s="129">
        <v>42466.0</v>
      </c>
      <c r="AA323" s="123"/>
      <c r="AB323" s="123"/>
      <c r="AC323" s="123"/>
      <c r="AD323" s="123"/>
      <c r="AE323" s="123"/>
      <c r="AF323" s="123"/>
      <c r="AG323" s="123"/>
      <c r="AH323" s="123"/>
      <c r="AI323" s="123"/>
      <c r="AJ323" s="123" t="s">
        <v>1023</v>
      </c>
    </row>
    <row r="324" ht="15.75" customHeight="1">
      <c r="A324" s="123">
        <v>334.0</v>
      </c>
      <c r="B324" s="124" t="s">
        <v>1230</v>
      </c>
      <c r="C324" s="124" t="s">
        <v>106</v>
      </c>
      <c r="D324" s="124" t="s">
        <v>4032</v>
      </c>
      <c r="E324" s="124" t="s">
        <v>490</v>
      </c>
      <c r="F324" s="125">
        <v>6.0</v>
      </c>
      <c r="G324" s="124" t="s">
        <v>2996</v>
      </c>
      <c r="H324" s="124" t="s">
        <v>526</v>
      </c>
      <c r="I324" s="125">
        <v>20000.0</v>
      </c>
      <c r="J324" s="123"/>
      <c r="K324" s="124" t="s">
        <v>111</v>
      </c>
      <c r="L324" s="125">
        <v>41.0</v>
      </c>
      <c r="M324" s="124" t="s">
        <v>2998</v>
      </c>
      <c r="N324" s="124" t="s">
        <v>2999</v>
      </c>
      <c r="O324" s="124" t="s">
        <v>3000</v>
      </c>
      <c r="P324" s="124">
        <v>1998.0</v>
      </c>
      <c r="Q324" s="124" t="s">
        <v>3001</v>
      </c>
      <c r="R324" s="123" t="s">
        <v>3002</v>
      </c>
      <c r="S324" s="123"/>
      <c r="T324" s="123" t="s">
        <v>428</v>
      </c>
      <c r="U324" s="123" t="s">
        <v>462</v>
      </c>
      <c r="V324" s="123"/>
      <c r="W324" s="123"/>
      <c r="X324" s="123"/>
      <c r="Y324" s="123"/>
      <c r="Z324" s="123"/>
      <c r="AA324" s="123"/>
      <c r="AB324" s="123"/>
      <c r="AC324" s="123"/>
      <c r="AD324" s="123"/>
      <c r="AE324" s="123"/>
      <c r="AF324" s="123"/>
      <c r="AG324" s="123"/>
      <c r="AH324" s="123"/>
      <c r="AI324" s="123"/>
      <c r="AJ324" s="123"/>
    </row>
    <row r="325" ht="15.75" customHeight="1">
      <c r="A325" s="123">
        <v>335.0</v>
      </c>
      <c r="B325" s="124" t="s">
        <v>1230</v>
      </c>
      <c r="C325" s="124" t="s">
        <v>106</v>
      </c>
      <c r="D325" s="124" t="s">
        <v>64</v>
      </c>
      <c r="E325" s="124" t="s">
        <v>490</v>
      </c>
      <c r="F325" s="125">
        <v>6.0</v>
      </c>
      <c r="G325" s="124" t="s">
        <v>4851</v>
      </c>
      <c r="H325" s="124" t="s">
        <v>1052</v>
      </c>
      <c r="I325" s="125">
        <v>21000.0</v>
      </c>
      <c r="J325" s="123"/>
      <c r="K325" s="124" t="s">
        <v>289</v>
      </c>
      <c r="L325" s="125">
        <v>40.0</v>
      </c>
      <c r="M325" s="124" t="s">
        <v>4852</v>
      </c>
      <c r="N325" s="124" t="s">
        <v>4854</v>
      </c>
      <c r="O325" s="124" t="s">
        <v>4808</v>
      </c>
      <c r="P325" s="124">
        <v>1982.0</v>
      </c>
      <c r="Q325" s="124" t="s">
        <v>4855</v>
      </c>
      <c r="R325" s="123" t="s">
        <v>4856</v>
      </c>
      <c r="S325" s="123" t="s">
        <v>4857</v>
      </c>
      <c r="T325" s="123" t="s">
        <v>428</v>
      </c>
      <c r="U325" s="123" t="s">
        <v>462</v>
      </c>
      <c r="V325" s="123"/>
      <c r="W325" s="123" t="s">
        <v>663</v>
      </c>
      <c r="X325" s="123" t="s">
        <v>561</v>
      </c>
      <c r="Y325" s="123" t="s">
        <v>4858</v>
      </c>
      <c r="Z325" s="129">
        <v>42457.0</v>
      </c>
      <c r="AA325" s="123"/>
      <c r="AB325" s="129">
        <v>42604.0</v>
      </c>
      <c r="AC325" s="123"/>
      <c r="AD325" s="123"/>
      <c r="AE325" s="123"/>
      <c r="AF325" s="123"/>
      <c r="AG325" s="123"/>
      <c r="AH325" s="123"/>
      <c r="AI325" s="123"/>
      <c r="AJ325" s="123"/>
    </row>
    <row r="326" ht="15.75" customHeight="1">
      <c r="A326" s="123">
        <v>336.0</v>
      </c>
      <c r="B326" s="124" t="s">
        <v>1230</v>
      </c>
      <c r="C326" s="124" t="s">
        <v>106</v>
      </c>
      <c r="D326" s="124" t="s">
        <v>64</v>
      </c>
      <c r="E326" s="124" t="s">
        <v>490</v>
      </c>
      <c r="F326" s="125">
        <v>6.0</v>
      </c>
      <c r="G326" s="124" t="s">
        <v>4952</v>
      </c>
      <c r="H326" s="124" t="s">
        <v>388</v>
      </c>
      <c r="I326" s="125">
        <v>14000.0</v>
      </c>
      <c r="J326" s="123"/>
      <c r="K326" s="124" t="s">
        <v>289</v>
      </c>
      <c r="L326" s="125">
        <v>40.0</v>
      </c>
      <c r="M326" s="124" t="s">
        <v>5422</v>
      </c>
      <c r="N326" s="124" t="s">
        <v>5424</v>
      </c>
      <c r="O326" s="124" t="s">
        <v>4694</v>
      </c>
      <c r="P326" s="124">
        <v>1966.0</v>
      </c>
      <c r="Q326" s="124" t="s">
        <v>5427</v>
      </c>
      <c r="R326" s="123" t="s">
        <v>5428</v>
      </c>
      <c r="S326" s="123" t="s">
        <v>5429</v>
      </c>
      <c r="T326" s="123" t="s">
        <v>428</v>
      </c>
      <c r="U326" s="123" t="s">
        <v>462</v>
      </c>
      <c r="V326" s="123"/>
      <c r="W326" s="123" t="s">
        <v>663</v>
      </c>
      <c r="X326" s="123"/>
      <c r="Y326" s="123"/>
      <c r="Z326" s="123"/>
      <c r="AA326" s="123"/>
      <c r="AB326" s="123"/>
      <c r="AC326" s="123"/>
      <c r="AD326" s="123"/>
      <c r="AE326" s="123"/>
      <c r="AF326" s="123"/>
      <c r="AG326" s="123"/>
      <c r="AH326" s="123"/>
      <c r="AI326" s="123"/>
      <c r="AJ326" s="123"/>
    </row>
    <row r="327" ht="15.75" customHeight="1">
      <c r="A327" s="123">
        <v>337.0</v>
      </c>
      <c r="B327" s="124" t="s">
        <v>1230</v>
      </c>
      <c r="C327" s="124" t="s">
        <v>106</v>
      </c>
      <c r="D327" s="124" t="s">
        <v>64</v>
      </c>
      <c r="E327" s="124" t="s">
        <v>490</v>
      </c>
      <c r="F327" s="125">
        <v>6.0</v>
      </c>
      <c r="G327" s="124" t="s">
        <v>4952</v>
      </c>
      <c r="H327" s="124" t="s">
        <v>942</v>
      </c>
      <c r="I327" s="125">
        <v>2000.0</v>
      </c>
      <c r="J327" s="123"/>
      <c r="K327" s="124" t="s">
        <v>4953</v>
      </c>
      <c r="L327" s="125" t="s">
        <v>325</v>
      </c>
      <c r="M327" s="124" t="s">
        <v>4954</v>
      </c>
      <c r="N327" s="124" t="s">
        <v>4955</v>
      </c>
      <c r="O327" s="124" t="s">
        <v>4956</v>
      </c>
      <c r="P327" s="124">
        <v>2009.0</v>
      </c>
      <c r="Q327" s="124" t="s">
        <v>4957</v>
      </c>
      <c r="R327" s="123"/>
      <c r="S327" s="123"/>
      <c r="T327" s="123" t="s">
        <v>462</v>
      </c>
      <c r="U327" s="123" t="s">
        <v>462</v>
      </c>
      <c r="V327" s="123" t="s">
        <v>39</v>
      </c>
      <c r="W327" s="123"/>
      <c r="X327" s="123"/>
      <c r="Y327" s="123"/>
      <c r="Z327" s="123"/>
      <c r="AA327" s="123"/>
      <c r="AB327" s="123"/>
      <c r="AC327" s="123"/>
      <c r="AD327" s="123"/>
      <c r="AE327" s="123"/>
      <c r="AF327" s="123"/>
      <c r="AG327" s="123"/>
      <c r="AH327" s="123"/>
      <c r="AI327" s="123"/>
      <c r="AJ327" s="123"/>
    </row>
    <row r="328" ht="15.75" customHeight="1">
      <c r="A328" s="123">
        <v>338.0</v>
      </c>
      <c r="B328" s="124" t="s">
        <v>1230</v>
      </c>
      <c r="C328" s="124" t="s">
        <v>106</v>
      </c>
      <c r="D328" s="124" t="s">
        <v>64</v>
      </c>
      <c r="E328" s="124" t="s">
        <v>490</v>
      </c>
      <c r="F328" s="125">
        <v>6.0</v>
      </c>
      <c r="G328" s="124" t="s">
        <v>491</v>
      </c>
      <c r="H328" s="124" t="s">
        <v>388</v>
      </c>
      <c r="I328" s="125">
        <v>14000.0</v>
      </c>
      <c r="J328" s="123"/>
      <c r="K328" s="124" t="s">
        <v>289</v>
      </c>
      <c r="L328" s="125">
        <v>40.0</v>
      </c>
      <c r="M328" s="124" t="s">
        <v>802</v>
      </c>
      <c r="N328" s="124" t="s">
        <v>803</v>
      </c>
      <c r="O328" s="124" t="s">
        <v>804</v>
      </c>
      <c r="P328" s="124">
        <v>1991.0</v>
      </c>
      <c r="Q328" s="124" t="s">
        <v>806</v>
      </c>
      <c r="R328" s="123" t="s">
        <v>807</v>
      </c>
      <c r="S328" s="123" t="s">
        <v>810</v>
      </c>
      <c r="T328" s="123" t="s">
        <v>812</v>
      </c>
      <c r="U328" s="123" t="s">
        <v>462</v>
      </c>
      <c r="V328" s="123"/>
      <c r="W328" s="123"/>
      <c r="X328" s="123"/>
      <c r="Y328" s="123"/>
      <c r="Z328" s="123"/>
      <c r="AA328" s="123"/>
      <c r="AB328" s="123"/>
      <c r="AC328" s="123"/>
      <c r="AD328" s="123"/>
      <c r="AE328" s="123"/>
      <c r="AF328" s="123"/>
      <c r="AG328" s="123"/>
      <c r="AH328" s="123"/>
      <c r="AI328" s="123"/>
      <c r="AJ328" s="123"/>
    </row>
    <row r="329" ht="15.75" customHeight="1">
      <c r="A329" s="123">
        <v>339.0</v>
      </c>
      <c r="B329" s="124" t="s">
        <v>1230</v>
      </c>
      <c r="C329" s="124" t="s">
        <v>106</v>
      </c>
      <c r="D329" s="124" t="s">
        <v>64</v>
      </c>
      <c r="E329" s="124" t="s">
        <v>490</v>
      </c>
      <c r="F329" s="125">
        <v>6.0</v>
      </c>
      <c r="G329" s="124" t="s">
        <v>491</v>
      </c>
      <c r="H329" s="124" t="s">
        <v>388</v>
      </c>
      <c r="I329" s="125">
        <v>14000.0</v>
      </c>
      <c r="J329" s="123"/>
      <c r="K329" s="124" t="s">
        <v>111</v>
      </c>
      <c r="L329" s="125">
        <v>41.0</v>
      </c>
      <c r="M329" s="124" t="s">
        <v>5745</v>
      </c>
      <c r="N329" s="124" t="s">
        <v>5747</v>
      </c>
      <c r="O329" s="124" t="s">
        <v>5749</v>
      </c>
      <c r="P329" s="124">
        <v>2006.0</v>
      </c>
      <c r="Q329" s="124" t="s">
        <v>5752</v>
      </c>
      <c r="R329" s="123" t="s">
        <v>5754</v>
      </c>
      <c r="S329" s="123" t="s">
        <v>5755</v>
      </c>
      <c r="T329" s="123" t="s">
        <v>462</v>
      </c>
      <c r="U329" s="123" t="s">
        <v>462</v>
      </c>
      <c r="V329" s="123"/>
      <c r="W329" s="123" t="s">
        <v>663</v>
      </c>
      <c r="X329" s="123"/>
      <c r="Y329" s="123"/>
      <c r="Z329" s="123"/>
      <c r="AA329" s="123"/>
      <c r="AB329" s="123"/>
      <c r="AC329" s="123"/>
      <c r="AD329" s="123"/>
      <c r="AE329" s="123"/>
      <c r="AF329" s="123"/>
      <c r="AG329" s="123"/>
      <c r="AH329" s="123"/>
      <c r="AI329" s="123"/>
      <c r="AJ329" s="123"/>
    </row>
    <row r="330" ht="15.75" customHeight="1">
      <c r="A330" s="123">
        <v>340.0</v>
      </c>
      <c r="B330" s="124" t="s">
        <v>1230</v>
      </c>
      <c r="C330" s="124" t="s">
        <v>106</v>
      </c>
      <c r="D330" s="124" t="s">
        <v>173</v>
      </c>
      <c r="E330" s="124" t="s">
        <v>490</v>
      </c>
      <c r="F330" s="125">
        <v>6.0</v>
      </c>
      <c r="G330" s="124" t="s">
        <v>491</v>
      </c>
      <c r="H330" s="124" t="s">
        <v>388</v>
      </c>
      <c r="I330" s="125">
        <v>14000.0</v>
      </c>
      <c r="J330" s="123"/>
      <c r="K330" s="124" t="s">
        <v>289</v>
      </c>
      <c r="L330" s="125">
        <v>40.0</v>
      </c>
      <c r="M330" s="124" t="s">
        <v>5461</v>
      </c>
      <c r="N330" s="124" t="s">
        <v>5463</v>
      </c>
      <c r="O330" s="124" t="s">
        <v>5465</v>
      </c>
      <c r="P330" s="124">
        <v>1994.0</v>
      </c>
      <c r="Q330" s="124" t="s">
        <v>5468</v>
      </c>
      <c r="R330" s="123" t="s">
        <v>5469</v>
      </c>
      <c r="S330" s="123" t="s">
        <v>5471</v>
      </c>
      <c r="T330" s="123" t="s">
        <v>462</v>
      </c>
      <c r="U330" s="123" t="s">
        <v>462</v>
      </c>
      <c r="V330" s="123"/>
      <c r="W330" s="123" t="s">
        <v>663</v>
      </c>
      <c r="X330" s="123"/>
      <c r="Y330" s="123"/>
      <c r="Z330" s="123"/>
      <c r="AA330" s="123"/>
      <c r="AB330" s="123"/>
      <c r="AC330" s="123"/>
      <c r="AD330" s="123"/>
      <c r="AE330" s="123"/>
      <c r="AF330" s="123"/>
      <c r="AG330" s="123"/>
      <c r="AH330" s="123"/>
      <c r="AI330" s="123"/>
      <c r="AJ330" s="123"/>
    </row>
    <row r="331" ht="15.75" customHeight="1">
      <c r="A331" s="123">
        <v>341.0</v>
      </c>
      <c r="B331" s="124" t="s">
        <v>1230</v>
      </c>
      <c r="C331" s="124" t="s">
        <v>106</v>
      </c>
      <c r="D331" s="124" t="s">
        <v>64</v>
      </c>
      <c r="E331" s="124" t="s">
        <v>490</v>
      </c>
      <c r="F331" s="125">
        <v>6.0</v>
      </c>
      <c r="G331" s="124" t="s">
        <v>491</v>
      </c>
      <c r="H331" s="124" t="s">
        <v>388</v>
      </c>
      <c r="I331" s="125">
        <v>14000.0</v>
      </c>
      <c r="J331" s="123"/>
      <c r="K331" s="124" t="s">
        <v>289</v>
      </c>
      <c r="L331" s="125">
        <v>40.0</v>
      </c>
      <c r="M331" s="124" t="s">
        <v>5967</v>
      </c>
      <c r="N331" s="124" t="s">
        <v>5968</v>
      </c>
      <c r="O331" s="124" t="s">
        <v>5969</v>
      </c>
      <c r="P331" s="124">
        <v>2002.0</v>
      </c>
      <c r="Q331" s="124" t="s">
        <v>610</v>
      </c>
      <c r="R331" s="123" t="s">
        <v>5970</v>
      </c>
      <c r="S331" s="123" t="s">
        <v>5971</v>
      </c>
      <c r="T331" s="123" t="s">
        <v>462</v>
      </c>
      <c r="U331" s="123" t="s">
        <v>462</v>
      </c>
      <c r="V331" s="123"/>
      <c r="W331" s="123" t="s">
        <v>663</v>
      </c>
      <c r="X331" s="123"/>
      <c r="Y331" s="123"/>
      <c r="Z331" s="123"/>
      <c r="AA331" s="123"/>
      <c r="AB331" s="123"/>
      <c r="AC331" s="123"/>
      <c r="AD331" s="123"/>
      <c r="AE331" s="123"/>
      <c r="AF331" s="123"/>
      <c r="AG331" s="123"/>
      <c r="AH331" s="123"/>
      <c r="AI331" s="123"/>
      <c r="AJ331" s="123"/>
    </row>
    <row r="332" ht="15.75" customHeight="1">
      <c r="A332" s="123">
        <v>342.0</v>
      </c>
      <c r="B332" s="124" t="s">
        <v>1230</v>
      </c>
      <c r="C332" s="124" t="s">
        <v>106</v>
      </c>
      <c r="D332" s="124" t="s">
        <v>173</v>
      </c>
      <c r="E332" s="124" t="s">
        <v>490</v>
      </c>
      <c r="F332" s="125">
        <v>6.0</v>
      </c>
      <c r="G332" s="124" t="s">
        <v>491</v>
      </c>
      <c r="H332" s="124" t="s">
        <v>388</v>
      </c>
      <c r="I332" s="125">
        <v>14000.0</v>
      </c>
      <c r="J332" s="123"/>
      <c r="K332" s="124" t="s">
        <v>289</v>
      </c>
      <c r="L332" s="125">
        <v>40.0</v>
      </c>
      <c r="M332" s="124" t="s">
        <v>5972</v>
      </c>
      <c r="N332" s="124" t="s">
        <v>5973</v>
      </c>
      <c r="O332" s="124" t="s">
        <v>5974</v>
      </c>
      <c r="P332" s="124">
        <v>1995.0</v>
      </c>
      <c r="Q332" s="124" t="s">
        <v>5975</v>
      </c>
      <c r="R332" s="123" t="s">
        <v>5976</v>
      </c>
      <c r="S332" s="123" t="s">
        <v>5978</v>
      </c>
      <c r="T332" s="123" t="s">
        <v>428</v>
      </c>
      <c r="U332" s="123" t="s">
        <v>462</v>
      </c>
      <c r="V332" s="123"/>
      <c r="W332" s="123"/>
      <c r="X332" s="123"/>
      <c r="Y332" s="123"/>
      <c r="Z332" s="123"/>
      <c r="AA332" s="123"/>
      <c r="AB332" s="123"/>
      <c r="AC332" s="123"/>
      <c r="AD332" s="123"/>
      <c r="AE332" s="123"/>
      <c r="AF332" s="123"/>
      <c r="AG332" s="123"/>
      <c r="AH332" s="123"/>
      <c r="AI332" s="123"/>
      <c r="AJ332" s="123"/>
    </row>
    <row r="333" ht="15.75" customHeight="1">
      <c r="A333" s="123">
        <v>343.0</v>
      </c>
      <c r="B333" s="124" t="s">
        <v>1230</v>
      </c>
      <c r="C333" s="124" t="s">
        <v>106</v>
      </c>
      <c r="D333" s="124" t="s">
        <v>173</v>
      </c>
      <c r="E333" s="124" t="s">
        <v>490</v>
      </c>
      <c r="F333" s="125">
        <v>6.0</v>
      </c>
      <c r="G333" s="124" t="s">
        <v>491</v>
      </c>
      <c r="H333" s="124" t="s">
        <v>1312</v>
      </c>
      <c r="I333" s="125">
        <v>3000.0</v>
      </c>
      <c r="J333" s="123"/>
      <c r="K333" s="124" t="s">
        <v>111</v>
      </c>
      <c r="L333" s="125">
        <v>41.0</v>
      </c>
      <c r="M333" s="124" t="s">
        <v>5143</v>
      </c>
      <c r="N333" s="124" t="s">
        <v>5144</v>
      </c>
      <c r="O333" s="124" t="s">
        <v>3992</v>
      </c>
      <c r="P333" s="124">
        <v>2003.0</v>
      </c>
      <c r="Q333" s="124" t="s">
        <v>5145</v>
      </c>
      <c r="R333" s="123"/>
      <c r="S333" s="123"/>
      <c r="T333" s="123"/>
      <c r="U333" s="123"/>
      <c r="V333" s="123"/>
      <c r="W333" s="123"/>
      <c r="X333" s="123"/>
      <c r="Y333" s="123"/>
      <c r="Z333" s="123"/>
      <c r="AA333" s="123"/>
      <c r="AB333" s="123"/>
      <c r="AC333" s="123"/>
      <c r="AD333" s="123"/>
      <c r="AE333" s="123"/>
      <c r="AF333" s="123"/>
      <c r="AG333" s="123"/>
      <c r="AH333" s="123"/>
      <c r="AI333" s="123"/>
      <c r="AJ333" s="123"/>
    </row>
    <row r="334" ht="15.75" customHeight="1">
      <c r="A334" s="123">
        <v>344.0</v>
      </c>
      <c r="B334" s="124" t="s">
        <v>1230</v>
      </c>
      <c r="C334" s="124" t="s">
        <v>106</v>
      </c>
      <c r="D334" s="124" t="s">
        <v>4032</v>
      </c>
      <c r="E334" s="124" t="s">
        <v>490</v>
      </c>
      <c r="F334" s="125">
        <v>6.0</v>
      </c>
      <c r="G334" s="124" t="s">
        <v>491</v>
      </c>
      <c r="H334" s="124" t="s">
        <v>493</v>
      </c>
      <c r="I334" s="125">
        <v>10000.0</v>
      </c>
      <c r="J334" s="123"/>
      <c r="K334" s="124" t="s">
        <v>298</v>
      </c>
      <c r="L334" s="125">
        <v>44.0</v>
      </c>
      <c r="M334" s="124" t="s">
        <v>494</v>
      </c>
      <c r="N334" s="124" t="s">
        <v>496</v>
      </c>
      <c r="O334" s="124" t="s">
        <v>497</v>
      </c>
      <c r="P334" s="124">
        <v>1991.0</v>
      </c>
      <c r="Q334" s="124" t="s">
        <v>504</v>
      </c>
      <c r="R334" s="123" t="s">
        <v>505</v>
      </c>
      <c r="S334" s="123" t="s">
        <v>506</v>
      </c>
      <c r="T334" s="123" t="s">
        <v>462</v>
      </c>
      <c r="U334" s="123" t="s">
        <v>462</v>
      </c>
      <c r="V334" s="123"/>
      <c r="W334" s="123"/>
      <c r="X334" s="123"/>
      <c r="Y334" s="123"/>
      <c r="Z334" s="123"/>
      <c r="AA334" s="123"/>
      <c r="AB334" s="123"/>
      <c r="AC334" s="123"/>
      <c r="AD334" s="123"/>
      <c r="AE334" s="123"/>
      <c r="AF334" s="123"/>
      <c r="AG334" s="123"/>
      <c r="AH334" s="123"/>
      <c r="AI334" s="123"/>
      <c r="AJ334" s="123"/>
    </row>
    <row r="335" ht="15.75" customHeight="1">
      <c r="A335" s="123">
        <v>345.0</v>
      </c>
      <c r="B335" s="124" t="s">
        <v>1230</v>
      </c>
      <c r="C335" s="124" t="s">
        <v>106</v>
      </c>
      <c r="D335" s="124" t="s">
        <v>64</v>
      </c>
      <c r="E335" s="124" t="s">
        <v>490</v>
      </c>
      <c r="F335" s="125">
        <v>6.0</v>
      </c>
      <c r="G335" s="124" t="s">
        <v>491</v>
      </c>
      <c r="H335" s="124" t="s">
        <v>388</v>
      </c>
      <c r="I335" s="125">
        <v>14000.0</v>
      </c>
      <c r="J335" s="123"/>
      <c r="K335" s="124" t="s">
        <v>289</v>
      </c>
      <c r="L335" s="125">
        <v>40.0</v>
      </c>
      <c r="M335" s="124" t="s">
        <v>5830</v>
      </c>
      <c r="N335" s="124" t="s">
        <v>5831</v>
      </c>
      <c r="O335" s="124" t="s">
        <v>5832</v>
      </c>
      <c r="P335" s="124">
        <v>2009.0</v>
      </c>
      <c r="Q335" s="124" t="s">
        <v>5834</v>
      </c>
      <c r="R335" s="123" t="s">
        <v>5835</v>
      </c>
      <c r="S335" s="123" t="s">
        <v>5836</v>
      </c>
      <c r="T335" s="123" t="s">
        <v>462</v>
      </c>
      <c r="U335" s="123" t="s">
        <v>462</v>
      </c>
      <c r="V335" s="123"/>
      <c r="W335" s="123" t="s">
        <v>663</v>
      </c>
      <c r="X335" s="123"/>
      <c r="Y335" s="123"/>
      <c r="Z335" s="123"/>
      <c r="AA335" s="123"/>
      <c r="AB335" s="123"/>
      <c r="AC335" s="123"/>
      <c r="AD335" s="123"/>
      <c r="AE335" s="123"/>
      <c r="AF335" s="123"/>
      <c r="AG335" s="123"/>
      <c r="AH335" s="123"/>
      <c r="AI335" s="123"/>
      <c r="AJ335" s="123"/>
    </row>
    <row r="336" ht="15.75" customHeight="1">
      <c r="A336" s="123">
        <v>346.0</v>
      </c>
      <c r="B336" s="124" t="s">
        <v>1230</v>
      </c>
      <c r="C336" s="124" t="s">
        <v>106</v>
      </c>
      <c r="D336" s="124" t="s">
        <v>64</v>
      </c>
      <c r="E336" s="124" t="s">
        <v>490</v>
      </c>
      <c r="F336" s="125">
        <v>6.0</v>
      </c>
      <c r="G336" s="124" t="s">
        <v>491</v>
      </c>
      <c r="H336" s="124" t="s">
        <v>116</v>
      </c>
      <c r="I336" s="125">
        <v>3000.0</v>
      </c>
      <c r="J336" s="123"/>
      <c r="K336" s="124" t="s">
        <v>289</v>
      </c>
      <c r="L336" s="125">
        <v>40.0</v>
      </c>
      <c r="M336" s="124" t="s">
        <v>5996</v>
      </c>
      <c r="N336" s="124" t="s">
        <v>5997</v>
      </c>
      <c r="O336" s="124" t="s">
        <v>5998</v>
      </c>
      <c r="P336" s="124">
        <v>2008.0</v>
      </c>
      <c r="Q336" s="130" t="s">
        <v>5999</v>
      </c>
      <c r="R336" s="123" t="s">
        <v>6000</v>
      </c>
      <c r="S336" s="123" t="s">
        <v>6001</v>
      </c>
      <c r="T336" s="123" t="s">
        <v>428</v>
      </c>
      <c r="U336" s="123" t="s">
        <v>462</v>
      </c>
      <c r="V336" s="123"/>
      <c r="W336" s="123"/>
      <c r="X336" s="123"/>
      <c r="Y336" s="123"/>
      <c r="Z336" s="123"/>
      <c r="AA336" s="123"/>
      <c r="AB336" s="123"/>
      <c r="AC336" s="123"/>
      <c r="AD336" s="123"/>
      <c r="AE336" s="123"/>
      <c r="AF336" s="123"/>
      <c r="AG336" s="123"/>
      <c r="AH336" s="123"/>
      <c r="AI336" s="123"/>
      <c r="AJ336" s="123"/>
    </row>
    <row r="337" ht="15.75" customHeight="1">
      <c r="A337" s="123">
        <v>347.0</v>
      </c>
      <c r="B337" s="124" t="s">
        <v>1230</v>
      </c>
      <c r="C337" s="124" t="s">
        <v>106</v>
      </c>
      <c r="D337" s="124" t="s">
        <v>173</v>
      </c>
      <c r="E337" s="124" t="s">
        <v>490</v>
      </c>
      <c r="F337" s="125">
        <v>6.0</v>
      </c>
      <c r="G337" s="124" t="s">
        <v>491</v>
      </c>
      <c r="H337" s="124" t="s">
        <v>578</v>
      </c>
      <c r="I337" s="125">
        <v>2000.0</v>
      </c>
      <c r="J337" s="123"/>
      <c r="K337" s="124" t="s">
        <v>289</v>
      </c>
      <c r="L337" s="125">
        <v>40.0</v>
      </c>
      <c r="M337" s="124" t="s">
        <v>899</v>
      </c>
      <c r="N337" s="124" t="s">
        <v>900</v>
      </c>
      <c r="O337" s="124" t="s">
        <v>901</v>
      </c>
      <c r="P337" s="124">
        <v>1984.0</v>
      </c>
      <c r="Q337" s="124" t="s">
        <v>610</v>
      </c>
      <c r="R337" s="123"/>
      <c r="S337" s="123"/>
      <c r="T337" s="123"/>
      <c r="U337" s="123"/>
      <c r="V337" s="123"/>
      <c r="W337" s="123"/>
      <c r="X337" s="123"/>
      <c r="Y337" s="123"/>
      <c r="Z337" s="123"/>
      <c r="AA337" s="123"/>
      <c r="AB337" s="123"/>
      <c r="AC337" s="123"/>
      <c r="AD337" s="123"/>
      <c r="AE337" s="123"/>
      <c r="AF337" s="123"/>
      <c r="AG337" s="123"/>
      <c r="AH337" s="123"/>
      <c r="AI337" s="123"/>
      <c r="AJ337" s="123"/>
    </row>
    <row r="338" ht="15.75" customHeight="1">
      <c r="A338" s="123">
        <v>348.0</v>
      </c>
      <c r="B338" s="124" t="s">
        <v>1230</v>
      </c>
      <c r="C338" s="124" t="s">
        <v>106</v>
      </c>
      <c r="D338" s="124" t="s">
        <v>173</v>
      </c>
      <c r="E338" s="124" t="s">
        <v>490</v>
      </c>
      <c r="F338" s="125">
        <v>6.0</v>
      </c>
      <c r="G338" s="124" t="s">
        <v>491</v>
      </c>
      <c r="H338" s="124" t="s">
        <v>388</v>
      </c>
      <c r="I338" s="125">
        <v>14000.0</v>
      </c>
      <c r="J338" s="123"/>
      <c r="K338" s="124" t="s">
        <v>289</v>
      </c>
      <c r="L338" s="125">
        <v>40.0</v>
      </c>
      <c r="M338" s="124" t="s">
        <v>6006</v>
      </c>
      <c r="N338" s="124" t="s">
        <v>6007</v>
      </c>
      <c r="O338" s="124" t="s">
        <v>6008</v>
      </c>
      <c r="P338" s="124">
        <v>1957.0</v>
      </c>
      <c r="Q338" s="124" t="s">
        <v>753</v>
      </c>
      <c r="R338" s="123" t="s">
        <v>6009</v>
      </c>
      <c r="S338" s="123" t="s">
        <v>6010</v>
      </c>
      <c r="T338" s="123" t="s">
        <v>462</v>
      </c>
      <c r="U338" s="123" t="s">
        <v>428</v>
      </c>
      <c r="V338" s="123"/>
      <c r="W338" s="123"/>
      <c r="X338" s="123"/>
      <c r="Y338" s="123"/>
      <c r="Z338" s="123"/>
      <c r="AA338" s="123"/>
      <c r="AB338" s="123"/>
      <c r="AC338" s="123"/>
      <c r="AD338" s="123"/>
      <c r="AE338" s="123"/>
      <c r="AF338" s="123"/>
      <c r="AG338" s="123"/>
      <c r="AH338" s="123"/>
      <c r="AI338" s="123"/>
      <c r="AJ338" s="123"/>
    </row>
    <row r="339" ht="15.75" customHeight="1">
      <c r="A339" s="123">
        <v>349.0</v>
      </c>
      <c r="B339" s="124" t="s">
        <v>1230</v>
      </c>
      <c r="C339" s="124" t="s">
        <v>106</v>
      </c>
      <c r="D339" s="124" t="s">
        <v>173</v>
      </c>
      <c r="E339" s="124" t="s">
        <v>490</v>
      </c>
      <c r="F339" s="125">
        <v>6.0</v>
      </c>
      <c r="G339" s="124" t="s">
        <v>5607</v>
      </c>
      <c r="H339" s="124" t="s">
        <v>1312</v>
      </c>
      <c r="I339" s="125">
        <v>3000.0</v>
      </c>
      <c r="J339" s="123"/>
      <c r="K339" s="124" t="s">
        <v>3326</v>
      </c>
      <c r="L339" s="125">
        <v>45.0</v>
      </c>
      <c r="M339" s="124" t="s">
        <v>5608</v>
      </c>
      <c r="N339" s="124" t="s">
        <v>5609</v>
      </c>
      <c r="O339" s="124" t="s">
        <v>5425</v>
      </c>
      <c r="P339" s="124">
        <v>2014.0</v>
      </c>
      <c r="Q339" s="124" t="s">
        <v>5610</v>
      </c>
      <c r="R339" s="123"/>
      <c r="S339" s="123"/>
      <c r="T339" s="123"/>
      <c r="U339" s="123"/>
      <c r="V339" s="123" t="s">
        <v>3233</v>
      </c>
      <c r="W339" s="123"/>
      <c r="X339" s="123"/>
      <c r="Y339" s="123"/>
      <c r="Z339" s="123"/>
      <c r="AA339" s="123"/>
      <c r="AB339" s="123"/>
      <c r="AC339" s="123"/>
      <c r="AD339" s="123"/>
      <c r="AE339" s="123"/>
      <c r="AF339" s="123"/>
      <c r="AG339" s="123"/>
      <c r="AH339" s="123"/>
      <c r="AI339" s="123"/>
      <c r="AJ339" s="123"/>
    </row>
    <row r="340" ht="15.75" customHeight="1">
      <c r="A340" s="123">
        <v>350.0</v>
      </c>
      <c r="B340" s="124" t="s">
        <v>1230</v>
      </c>
      <c r="C340" s="124" t="s">
        <v>106</v>
      </c>
      <c r="D340" s="124" t="s">
        <v>64</v>
      </c>
      <c r="E340" s="124" t="s">
        <v>490</v>
      </c>
      <c r="F340" s="125">
        <v>6.0</v>
      </c>
      <c r="G340" s="124" t="s">
        <v>5022</v>
      </c>
      <c r="H340" s="124" t="s">
        <v>605</v>
      </c>
      <c r="I340" s="125">
        <v>4000.0</v>
      </c>
      <c r="J340" s="123"/>
      <c r="K340" s="124" t="s">
        <v>324</v>
      </c>
      <c r="L340" s="125" t="s">
        <v>325</v>
      </c>
      <c r="M340" s="124" t="s">
        <v>5054</v>
      </c>
      <c r="N340" s="124" t="s">
        <v>5055</v>
      </c>
      <c r="O340" s="124" t="s">
        <v>5041</v>
      </c>
      <c r="P340" s="124">
        <v>2002.0</v>
      </c>
      <c r="Q340" s="130" t="s">
        <v>5059</v>
      </c>
      <c r="R340" s="123" t="s">
        <v>5061</v>
      </c>
      <c r="S340" s="123" t="s">
        <v>5062</v>
      </c>
      <c r="T340" s="123" t="s">
        <v>428</v>
      </c>
      <c r="U340" s="123" t="s">
        <v>462</v>
      </c>
      <c r="V340" s="123"/>
      <c r="W340" s="123"/>
      <c r="X340" s="123" t="s">
        <v>5063</v>
      </c>
      <c r="Y340" s="123" t="s">
        <v>5064</v>
      </c>
      <c r="Z340" s="129">
        <v>42445.0</v>
      </c>
      <c r="AA340" s="123"/>
      <c r="AB340" s="129">
        <v>42600.0</v>
      </c>
      <c r="AC340" s="123"/>
      <c r="AD340" s="123"/>
      <c r="AE340" s="123"/>
      <c r="AF340" s="123"/>
      <c r="AG340" s="123"/>
      <c r="AH340" s="123"/>
      <c r="AI340" s="123"/>
      <c r="AJ340" s="123" t="s">
        <v>5066</v>
      </c>
    </row>
    <row r="341" ht="15.75" customHeight="1">
      <c r="A341" s="123">
        <v>351.0</v>
      </c>
      <c r="B341" s="124" t="s">
        <v>1230</v>
      </c>
      <c r="C341" s="124" t="s">
        <v>106</v>
      </c>
      <c r="D341" s="124" t="s">
        <v>64</v>
      </c>
      <c r="E341" s="124" t="s">
        <v>490</v>
      </c>
      <c r="F341" s="125">
        <v>6.0</v>
      </c>
      <c r="G341" s="124" t="s">
        <v>5022</v>
      </c>
      <c r="H341" s="124" t="s">
        <v>805</v>
      </c>
      <c r="I341" s="125" t="s">
        <v>3606</v>
      </c>
      <c r="J341" s="123"/>
      <c r="K341" s="124" t="s">
        <v>289</v>
      </c>
      <c r="L341" s="125">
        <v>40.0</v>
      </c>
      <c r="M341" s="124" t="s">
        <v>5023</v>
      </c>
      <c r="N341" s="124" t="s">
        <v>5024</v>
      </c>
      <c r="O341" s="124" t="s">
        <v>5025</v>
      </c>
      <c r="P341" s="124">
        <v>2014.0</v>
      </c>
      <c r="Q341" s="124" t="s">
        <v>5031</v>
      </c>
      <c r="R341" s="123" t="s">
        <v>5034</v>
      </c>
      <c r="S341" s="123" t="s">
        <v>5035</v>
      </c>
      <c r="T341" s="123" t="s">
        <v>428</v>
      </c>
      <c r="U341" s="123" t="s">
        <v>462</v>
      </c>
      <c r="V341" s="123"/>
      <c r="W341" s="123"/>
      <c r="X341" s="123" t="s">
        <v>561</v>
      </c>
      <c r="Y341" s="123" t="s">
        <v>5036</v>
      </c>
      <c r="Z341" s="123" t="s">
        <v>5037</v>
      </c>
      <c r="AA341" s="123"/>
      <c r="AB341" s="123"/>
      <c r="AC341" s="123"/>
      <c r="AD341" s="123"/>
      <c r="AE341" s="123"/>
      <c r="AF341" s="123"/>
      <c r="AG341" s="123"/>
      <c r="AH341" s="123"/>
      <c r="AI341" s="123"/>
      <c r="AJ341" s="123"/>
    </row>
    <row r="342" ht="15.75" customHeight="1">
      <c r="A342" s="123">
        <v>352.0</v>
      </c>
      <c r="B342" s="124" t="s">
        <v>1230</v>
      </c>
      <c r="C342" s="124" t="s">
        <v>106</v>
      </c>
      <c r="D342" s="124" t="s">
        <v>4032</v>
      </c>
      <c r="E342" s="124" t="s">
        <v>490</v>
      </c>
      <c r="F342" s="125">
        <v>6.0</v>
      </c>
      <c r="G342" s="124" t="s">
        <v>3900</v>
      </c>
      <c r="H342" s="124" t="s">
        <v>837</v>
      </c>
      <c r="I342" s="125">
        <v>2000.0</v>
      </c>
      <c r="J342" s="123"/>
      <c r="K342" s="124" t="s">
        <v>298</v>
      </c>
      <c r="L342" s="125">
        <v>44.0</v>
      </c>
      <c r="M342" s="124" t="s">
        <v>3902</v>
      </c>
      <c r="N342" s="131" t="str">
        <f>HYPERLINK("http://www.sciencedirect.com/science/article/pii/S0959378014000909","Unsworth, K. L., &amp; Fielding, K. S.")</f>
        <v>Unsworth, K. L., &amp; Fielding, K. S.</v>
      </c>
      <c r="O342" s="131" t="str">
        <f>HYPERLINK("http://www.sciencedirect.com/science/journal/09593780","Global Environmental Change")</f>
        <v>Global Environmental Change</v>
      </c>
      <c r="P342" s="124">
        <v>2014.0</v>
      </c>
      <c r="Q342" s="124" t="s">
        <v>3910</v>
      </c>
      <c r="R342" s="123" t="s">
        <v>3912</v>
      </c>
      <c r="S342" s="123"/>
      <c r="T342" s="123" t="s">
        <v>462</v>
      </c>
      <c r="U342" s="123" t="s">
        <v>926</v>
      </c>
      <c r="V342" s="123"/>
      <c r="W342" s="123"/>
      <c r="X342" s="123"/>
      <c r="Y342" s="123"/>
      <c r="Z342" s="123"/>
      <c r="AA342" s="123"/>
      <c r="AB342" s="123"/>
      <c r="AC342" s="123"/>
      <c r="AD342" s="123"/>
      <c r="AE342" s="123"/>
      <c r="AF342" s="123"/>
      <c r="AG342" s="123"/>
      <c r="AH342" s="123"/>
      <c r="AI342" s="123"/>
      <c r="AJ342" s="123"/>
    </row>
    <row r="343" ht="15.75" customHeight="1">
      <c r="A343" s="123">
        <v>353.0</v>
      </c>
      <c r="B343" s="124" t="s">
        <v>1230</v>
      </c>
      <c r="C343" s="124" t="s">
        <v>106</v>
      </c>
      <c r="D343" s="124" t="s">
        <v>64</v>
      </c>
      <c r="E343" s="124" t="s">
        <v>490</v>
      </c>
      <c r="F343" s="125">
        <v>6.0</v>
      </c>
      <c r="G343" s="124" t="s">
        <v>3900</v>
      </c>
      <c r="H343" s="124" t="s">
        <v>388</v>
      </c>
      <c r="I343" s="125">
        <v>14000.0</v>
      </c>
      <c r="J343" s="123"/>
      <c r="K343" s="124" t="s">
        <v>289</v>
      </c>
      <c r="L343" s="125">
        <v>40.0</v>
      </c>
      <c r="M343" s="124" t="s">
        <v>6030</v>
      </c>
      <c r="N343" s="124" t="s">
        <v>6032</v>
      </c>
      <c r="O343" s="124" t="s">
        <v>4381</v>
      </c>
      <c r="P343" s="124">
        <v>2011.0</v>
      </c>
      <c r="Q343" s="124" t="s">
        <v>6036</v>
      </c>
      <c r="R343" s="127" t="str">
        <f>HYPERLINK("http://www.pnas.org/content/108/31/12653.full","http://www.pnas.org/content/108/31/12653.full")</f>
        <v>http://www.pnas.org/content/108/31/12653.full</v>
      </c>
      <c r="S343" s="123" t="s">
        <v>6043</v>
      </c>
      <c r="T343" s="123" t="s">
        <v>428</v>
      </c>
      <c r="U343" s="123" t="s">
        <v>462</v>
      </c>
      <c r="V343" s="123"/>
      <c r="W343" s="123"/>
      <c r="X343" s="123"/>
      <c r="Y343" s="123"/>
      <c r="Z343" s="123"/>
      <c r="AA343" s="123"/>
      <c r="AB343" s="123"/>
      <c r="AC343" s="123"/>
      <c r="AD343" s="123"/>
      <c r="AE343" s="123"/>
      <c r="AF343" s="123"/>
      <c r="AG343" s="123"/>
      <c r="AH343" s="123"/>
      <c r="AI343" s="123"/>
      <c r="AJ343" s="123"/>
    </row>
    <row r="344" ht="15.75" customHeight="1">
      <c r="A344" s="123">
        <v>354.0</v>
      </c>
      <c r="B344" s="124" t="s">
        <v>1230</v>
      </c>
      <c r="C344" s="124" t="s">
        <v>106</v>
      </c>
      <c r="D344" s="124" t="s">
        <v>4032</v>
      </c>
      <c r="E344" s="124" t="s">
        <v>490</v>
      </c>
      <c r="F344" s="125">
        <v>6.0</v>
      </c>
      <c r="G344" s="124" t="s">
        <v>1154</v>
      </c>
      <c r="H344" s="124" t="s">
        <v>2373</v>
      </c>
      <c r="I344" s="125">
        <v>2000.0</v>
      </c>
      <c r="J344" s="123"/>
      <c r="K344" s="124" t="s">
        <v>289</v>
      </c>
      <c r="L344" s="125">
        <v>40.0</v>
      </c>
      <c r="M344" s="124" t="s">
        <v>5617</v>
      </c>
      <c r="N344" s="124" t="s">
        <v>5618</v>
      </c>
      <c r="O344" s="124" t="s">
        <v>5356</v>
      </c>
      <c r="P344" s="124">
        <v>2013.0</v>
      </c>
      <c r="Q344" s="124" t="s">
        <v>5619</v>
      </c>
      <c r="R344" s="123" t="s">
        <v>5620</v>
      </c>
      <c r="S344" s="123"/>
      <c r="T344" s="123" t="s">
        <v>428</v>
      </c>
      <c r="U344" s="123" t="s">
        <v>462</v>
      </c>
      <c r="V344" s="123"/>
      <c r="W344" s="123"/>
      <c r="X344" s="123"/>
      <c r="Y344" s="123"/>
      <c r="Z344" s="123"/>
      <c r="AA344" s="123"/>
      <c r="AB344" s="123"/>
      <c r="AC344" s="123"/>
      <c r="AD344" s="123"/>
      <c r="AE344" s="123"/>
      <c r="AF344" s="123"/>
      <c r="AG344" s="123"/>
      <c r="AH344" s="123"/>
      <c r="AI344" s="123"/>
      <c r="AJ344" s="123"/>
    </row>
    <row r="345" ht="15.75" customHeight="1">
      <c r="A345" s="123">
        <v>355.0</v>
      </c>
      <c r="B345" s="124" t="s">
        <v>1230</v>
      </c>
      <c r="C345" s="124" t="s">
        <v>106</v>
      </c>
      <c r="D345" s="124" t="s">
        <v>64</v>
      </c>
      <c r="E345" s="124" t="s">
        <v>490</v>
      </c>
      <c r="F345" s="125">
        <v>6.0</v>
      </c>
      <c r="G345" s="124" t="s">
        <v>1154</v>
      </c>
      <c r="H345" s="124" t="s">
        <v>1312</v>
      </c>
      <c r="I345" s="125">
        <v>3000.0</v>
      </c>
      <c r="J345" s="123"/>
      <c r="K345" s="124" t="s">
        <v>298</v>
      </c>
      <c r="L345" s="125">
        <v>44.0</v>
      </c>
      <c r="M345" s="124" t="s">
        <v>4898</v>
      </c>
      <c r="N345" s="124" t="s">
        <v>4900</v>
      </c>
      <c r="O345" s="124" t="s">
        <v>4375</v>
      </c>
      <c r="P345" s="124">
        <v>2010.0</v>
      </c>
      <c r="Q345" s="124" t="s">
        <v>4904</v>
      </c>
      <c r="R345" s="123" t="s">
        <v>4905</v>
      </c>
      <c r="S345" s="123" t="s">
        <v>4906</v>
      </c>
      <c r="T345" s="123"/>
      <c r="U345" s="123"/>
      <c r="V345" s="123"/>
      <c r="W345" s="123"/>
      <c r="X345" s="123"/>
      <c r="Y345" s="123"/>
      <c r="Z345" s="123"/>
      <c r="AA345" s="123"/>
      <c r="AB345" s="123"/>
      <c r="AC345" s="123"/>
      <c r="AD345" s="123"/>
      <c r="AE345" s="123"/>
      <c r="AF345" s="123"/>
      <c r="AG345" s="123"/>
      <c r="AH345" s="123"/>
      <c r="AI345" s="123"/>
      <c r="AJ345" s="123"/>
    </row>
    <row r="346" ht="15.75" customHeight="1">
      <c r="A346" s="123">
        <v>356.0</v>
      </c>
      <c r="B346" s="124" t="s">
        <v>1230</v>
      </c>
      <c r="C346" s="124" t="s">
        <v>106</v>
      </c>
      <c r="D346" s="124" t="s">
        <v>64</v>
      </c>
      <c r="E346" s="124" t="s">
        <v>490</v>
      </c>
      <c r="F346" s="125">
        <v>6.0</v>
      </c>
      <c r="G346" s="124" t="s">
        <v>1154</v>
      </c>
      <c r="H346" s="124" t="s">
        <v>6020</v>
      </c>
      <c r="I346" s="125">
        <v>2000.0</v>
      </c>
      <c r="J346" s="123"/>
      <c r="K346" s="124" t="s">
        <v>289</v>
      </c>
      <c r="L346" s="125">
        <v>40.0</v>
      </c>
      <c r="M346" s="124" t="s">
        <v>6023</v>
      </c>
      <c r="N346" s="124" t="s">
        <v>6024</v>
      </c>
      <c r="O346" s="124" t="s">
        <v>3883</v>
      </c>
      <c r="P346" s="124">
        <v>2008.0</v>
      </c>
      <c r="Q346" s="130" t="s">
        <v>6026</v>
      </c>
      <c r="R346" s="123" t="s">
        <v>6028</v>
      </c>
      <c r="S346" s="123" t="s">
        <v>6029</v>
      </c>
      <c r="T346" s="123" t="s">
        <v>428</v>
      </c>
      <c r="U346" s="123" t="s">
        <v>462</v>
      </c>
      <c r="V346" s="123"/>
      <c r="W346" s="123"/>
      <c r="X346" s="123"/>
      <c r="Y346" s="123"/>
      <c r="Z346" s="123"/>
      <c r="AA346" s="123"/>
      <c r="AB346" s="123"/>
      <c r="AC346" s="123"/>
      <c r="AD346" s="123"/>
      <c r="AE346" s="123"/>
      <c r="AF346" s="123"/>
      <c r="AG346" s="123"/>
      <c r="AH346" s="123"/>
      <c r="AI346" s="123"/>
      <c r="AJ346" s="123"/>
    </row>
    <row r="347" ht="15.75" customHeight="1">
      <c r="A347" s="123">
        <v>357.0</v>
      </c>
      <c r="B347" s="124" t="s">
        <v>1230</v>
      </c>
      <c r="C347" s="124" t="s">
        <v>106</v>
      </c>
      <c r="D347" s="124" t="s">
        <v>64</v>
      </c>
      <c r="E347" s="124" t="s">
        <v>490</v>
      </c>
      <c r="F347" s="125">
        <v>6.0</v>
      </c>
      <c r="G347" s="124" t="s">
        <v>1154</v>
      </c>
      <c r="H347" s="124" t="s">
        <v>1052</v>
      </c>
      <c r="I347" s="125">
        <v>21000.0</v>
      </c>
      <c r="J347" s="123"/>
      <c r="K347" s="124" t="s">
        <v>111</v>
      </c>
      <c r="L347" s="125">
        <v>41.0</v>
      </c>
      <c r="M347" s="124" t="s">
        <v>5337</v>
      </c>
      <c r="N347" s="124" t="s">
        <v>5339</v>
      </c>
      <c r="O347" s="124" t="s">
        <v>5340</v>
      </c>
      <c r="P347" s="124">
        <v>2006.0</v>
      </c>
      <c r="Q347" s="124" t="s">
        <v>5342</v>
      </c>
      <c r="R347" s="127" t="str">
        <f>HYPERLINK("http://www.sciencedirect.com/science/article/pii/S0022103105001356","http://www.sciencedirect.com/science/article/pii/S0022103105001356")</f>
        <v>http://www.sciencedirect.com/science/article/pii/S0022103105001356</v>
      </c>
      <c r="S347" s="123" t="s">
        <v>5343</v>
      </c>
      <c r="T347" s="123" t="s">
        <v>428</v>
      </c>
      <c r="U347" s="123"/>
      <c r="V347" s="123"/>
      <c r="W347" s="123"/>
      <c r="X347" s="123"/>
      <c r="Y347" s="123"/>
      <c r="Z347" s="123"/>
      <c r="AA347" s="123"/>
      <c r="AB347" s="123"/>
      <c r="AC347" s="123"/>
      <c r="AD347" s="123"/>
      <c r="AE347" s="123"/>
      <c r="AF347" s="123"/>
      <c r="AG347" s="123"/>
      <c r="AH347" s="123"/>
      <c r="AI347" s="123"/>
      <c r="AJ347" s="123"/>
    </row>
    <row r="348" ht="15.75" customHeight="1">
      <c r="A348" s="123">
        <v>358.0</v>
      </c>
      <c r="B348" s="124" t="s">
        <v>1230</v>
      </c>
      <c r="C348" s="124" t="s">
        <v>106</v>
      </c>
      <c r="D348" s="124" t="s">
        <v>64</v>
      </c>
      <c r="E348" s="124" t="s">
        <v>490</v>
      </c>
      <c r="F348" s="125">
        <v>6.0</v>
      </c>
      <c r="G348" s="124" t="s">
        <v>224</v>
      </c>
      <c r="H348" s="124" t="s">
        <v>470</v>
      </c>
      <c r="I348" s="125">
        <v>3000.0</v>
      </c>
      <c r="J348" s="123"/>
      <c r="K348" s="124" t="s">
        <v>117</v>
      </c>
      <c r="L348" s="125">
        <v>40.0</v>
      </c>
      <c r="M348" s="124" t="s">
        <v>6076</v>
      </c>
      <c r="N348" s="124" t="s">
        <v>6077</v>
      </c>
      <c r="O348" s="124" t="s">
        <v>6078</v>
      </c>
      <c r="P348" s="124">
        <v>1980.0</v>
      </c>
      <c r="Q348" s="124" t="s">
        <v>6079</v>
      </c>
      <c r="R348" s="123" t="s">
        <v>6080</v>
      </c>
      <c r="S348" s="123"/>
      <c r="T348" s="123"/>
      <c r="U348" s="123"/>
      <c r="V348" s="123"/>
      <c r="W348" s="123"/>
      <c r="X348" s="123"/>
      <c r="Y348" s="123"/>
      <c r="Z348" s="123"/>
      <c r="AA348" s="123"/>
      <c r="AB348" s="129"/>
      <c r="AC348" s="123"/>
      <c r="AD348" s="123"/>
      <c r="AE348" s="123"/>
      <c r="AF348" s="129"/>
      <c r="AG348" s="123"/>
      <c r="AH348" s="123"/>
      <c r="AI348" s="123"/>
      <c r="AJ348" s="123"/>
    </row>
    <row r="349" ht="15.75" customHeight="1">
      <c r="A349" s="123">
        <v>359.0</v>
      </c>
      <c r="B349" s="124" t="s">
        <v>1230</v>
      </c>
      <c r="C349" s="124" t="s">
        <v>106</v>
      </c>
      <c r="D349" s="124" t="s">
        <v>173</v>
      </c>
      <c r="E349" s="124" t="s">
        <v>490</v>
      </c>
      <c r="F349" s="125">
        <v>6.0</v>
      </c>
      <c r="G349" s="124" t="s">
        <v>224</v>
      </c>
      <c r="H349" s="124" t="s">
        <v>1312</v>
      </c>
      <c r="I349" s="125">
        <v>3000.0</v>
      </c>
      <c r="J349" s="123"/>
      <c r="K349" s="124" t="s">
        <v>289</v>
      </c>
      <c r="L349" s="125">
        <v>40.0</v>
      </c>
      <c r="M349" s="124" t="s">
        <v>5366</v>
      </c>
      <c r="N349" s="124" t="s">
        <v>5367</v>
      </c>
      <c r="O349" s="124" t="s">
        <v>5368</v>
      </c>
      <c r="P349" s="124">
        <v>2013.0</v>
      </c>
      <c r="Q349" s="124" t="s">
        <v>5369</v>
      </c>
      <c r="R349" s="123" t="s">
        <v>5370</v>
      </c>
      <c r="S349" s="123"/>
      <c r="T349" s="123" t="s">
        <v>428</v>
      </c>
      <c r="U349" s="123" t="s">
        <v>462</v>
      </c>
      <c r="V349" s="123"/>
      <c r="W349" s="123"/>
      <c r="X349" s="123" t="s">
        <v>561</v>
      </c>
      <c r="Y349" s="123" t="s">
        <v>5374</v>
      </c>
      <c r="Z349" s="123">
        <v>42402.0</v>
      </c>
      <c r="AA349" s="123"/>
      <c r="AB349" s="123"/>
      <c r="AC349" s="123" t="s">
        <v>561</v>
      </c>
      <c r="AD349" s="123">
        <v>42452.0</v>
      </c>
      <c r="AE349" s="123"/>
      <c r="AF349" s="123"/>
      <c r="AG349" s="123"/>
      <c r="AH349" s="123"/>
      <c r="AI349" s="123"/>
      <c r="AJ349" s="123"/>
    </row>
    <row r="350" ht="15.75" customHeight="1">
      <c r="A350" s="123">
        <v>360.0</v>
      </c>
      <c r="B350" s="124" t="s">
        <v>1230</v>
      </c>
      <c r="C350" s="124" t="s">
        <v>106</v>
      </c>
      <c r="D350" s="124" t="s">
        <v>64</v>
      </c>
      <c r="E350" s="124" t="s">
        <v>5219</v>
      </c>
      <c r="F350" s="125" t="s">
        <v>5220</v>
      </c>
      <c r="G350" s="124" t="s">
        <v>5221</v>
      </c>
      <c r="H350" s="124" t="s">
        <v>798</v>
      </c>
      <c r="I350" s="125" t="s">
        <v>3606</v>
      </c>
      <c r="J350" s="123"/>
      <c r="K350" s="124" t="s">
        <v>324</v>
      </c>
      <c r="L350" s="125" t="s">
        <v>325</v>
      </c>
      <c r="M350" s="124" t="s">
        <v>5223</v>
      </c>
      <c r="N350" s="124" t="s">
        <v>5217</v>
      </c>
      <c r="O350" s="124" t="s">
        <v>3992</v>
      </c>
      <c r="P350" s="124">
        <v>2005.0</v>
      </c>
      <c r="Q350" s="124" t="s">
        <v>5224</v>
      </c>
      <c r="R350" s="123" t="s">
        <v>5225</v>
      </c>
      <c r="S350" s="123" t="s">
        <v>5226</v>
      </c>
      <c r="T350" s="123" t="s">
        <v>5227</v>
      </c>
      <c r="U350" s="123" t="s">
        <v>5228</v>
      </c>
      <c r="V350" s="123"/>
      <c r="W350" s="123" t="s">
        <v>663</v>
      </c>
      <c r="X350" s="123"/>
      <c r="Y350" s="123"/>
      <c r="Z350" s="123"/>
      <c r="AA350" s="123"/>
      <c r="AB350" s="123"/>
      <c r="AC350" s="123"/>
      <c r="AD350" s="123"/>
      <c r="AE350" s="123"/>
      <c r="AF350" s="123"/>
      <c r="AG350" s="123"/>
      <c r="AH350" s="123"/>
      <c r="AI350" s="123"/>
      <c r="AJ350" s="123" t="s">
        <v>1023</v>
      </c>
    </row>
    <row r="351" ht="15.75" customHeight="1">
      <c r="A351" s="123">
        <v>361.0</v>
      </c>
      <c r="B351" s="124" t="s">
        <v>1230</v>
      </c>
      <c r="C351" s="124" t="s">
        <v>106</v>
      </c>
      <c r="D351" s="124" t="s">
        <v>64</v>
      </c>
      <c r="E351" s="124" t="s">
        <v>1292</v>
      </c>
      <c r="F351" s="125" t="s">
        <v>1293</v>
      </c>
      <c r="G351" s="124" t="s">
        <v>4478</v>
      </c>
      <c r="H351" s="124" t="s">
        <v>1052</v>
      </c>
      <c r="I351" s="125">
        <v>21000.0</v>
      </c>
      <c r="J351" s="123"/>
      <c r="K351" s="124" t="s">
        <v>3326</v>
      </c>
      <c r="L351" s="125">
        <v>45.0</v>
      </c>
      <c r="M351" s="124" t="s">
        <v>4483</v>
      </c>
      <c r="N351" s="124" t="s">
        <v>4485</v>
      </c>
      <c r="O351" s="124" t="s">
        <v>4486</v>
      </c>
      <c r="P351" s="124">
        <v>2007.0</v>
      </c>
      <c r="Q351" s="124" t="s">
        <v>4493</v>
      </c>
      <c r="R351" s="123"/>
      <c r="S351" s="123"/>
      <c r="T351" s="123"/>
      <c r="U351" s="123"/>
      <c r="V351" s="123"/>
      <c r="W351" s="123"/>
      <c r="X351" s="123"/>
      <c r="Y351" s="123"/>
      <c r="Z351" s="123"/>
      <c r="AA351" s="123"/>
      <c r="AB351" s="123"/>
      <c r="AC351" s="123"/>
      <c r="AD351" s="123"/>
      <c r="AE351" s="123"/>
      <c r="AF351" s="123"/>
      <c r="AG351" s="123"/>
      <c r="AH351" s="123"/>
      <c r="AI351" s="123"/>
      <c r="AJ351" s="123"/>
    </row>
    <row r="352" ht="15.75" customHeight="1">
      <c r="A352" s="123">
        <v>362.0</v>
      </c>
      <c r="B352" s="124" t="s">
        <v>1230</v>
      </c>
      <c r="C352" s="124" t="s">
        <v>106</v>
      </c>
      <c r="D352" s="124" t="s">
        <v>64</v>
      </c>
      <c r="E352" s="124" t="s">
        <v>1292</v>
      </c>
      <c r="F352" s="125" t="s">
        <v>1293</v>
      </c>
      <c r="G352" s="124" t="s">
        <v>1294</v>
      </c>
      <c r="H352" s="124" t="s">
        <v>1155</v>
      </c>
      <c r="I352" s="125">
        <v>10000.0</v>
      </c>
      <c r="J352" s="123"/>
      <c r="K352" s="124" t="s">
        <v>289</v>
      </c>
      <c r="L352" s="125">
        <v>40.0</v>
      </c>
      <c r="M352" s="124" t="s">
        <v>1302</v>
      </c>
      <c r="N352" s="124" t="s">
        <v>1304</v>
      </c>
      <c r="O352" s="124" t="s">
        <v>1276</v>
      </c>
      <c r="P352" s="124">
        <v>2011.0</v>
      </c>
      <c r="Q352" s="124" t="s">
        <v>1307</v>
      </c>
      <c r="R352" s="127" t="str">
        <f>HYPERLINK("http://changelabs.stanford.edu/sites/default/files/HabitsRoutinesSustainableLifestylesEVO502FinalSummaryReportNov20112.pdf","http://changelabs.stanford.edu/sites/default/files/HabitsRoutinesSustainableLifestylesEVO502FinalSummaryReportNov20112.pdf")</f>
        <v>http://changelabs.stanford.edu/sites/default/files/HabitsRoutinesSustainableLifestylesEVO502FinalSummaryReportNov20112.pdf</v>
      </c>
      <c r="S352" s="123" t="s">
        <v>1319</v>
      </c>
      <c r="T352" s="123"/>
      <c r="U352" s="123"/>
      <c r="V352" s="123"/>
      <c r="W352" s="123" t="s">
        <v>677</v>
      </c>
      <c r="X352" s="123"/>
      <c r="Y352" s="123"/>
      <c r="Z352" s="123"/>
      <c r="AA352" s="123"/>
      <c r="AB352" s="123"/>
      <c r="AC352" s="123"/>
      <c r="AD352" s="123"/>
      <c r="AE352" s="123"/>
      <c r="AF352" s="123"/>
      <c r="AG352" s="123"/>
      <c r="AH352" s="123"/>
      <c r="AI352" s="123"/>
      <c r="AJ352" s="123"/>
    </row>
    <row r="353" ht="15.75" customHeight="1">
      <c r="A353" s="123">
        <v>363.0</v>
      </c>
      <c r="B353" s="124" t="s">
        <v>1230</v>
      </c>
      <c r="C353" s="124" t="s">
        <v>106</v>
      </c>
      <c r="D353" s="124" t="s">
        <v>64</v>
      </c>
      <c r="E353" s="124" t="s">
        <v>1292</v>
      </c>
      <c r="F353" s="125" t="s">
        <v>1293</v>
      </c>
      <c r="G353" s="124" t="s">
        <v>6081</v>
      </c>
      <c r="H353" s="124" t="s">
        <v>893</v>
      </c>
      <c r="I353" s="125">
        <v>3000.0</v>
      </c>
      <c r="J353" s="123"/>
      <c r="K353" s="124" t="s">
        <v>111</v>
      </c>
      <c r="L353" s="125">
        <v>41.0</v>
      </c>
      <c r="M353" s="124" t="s">
        <v>6082</v>
      </c>
      <c r="N353" s="124" t="s">
        <v>6083</v>
      </c>
      <c r="O353" s="124" t="s">
        <v>6084</v>
      </c>
      <c r="P353" s="124">
        <v>2007.0</v>
      </c>
      <c r="Q353" s="124" t="s">
        <v>6085</v>
      </c>
      <c r="R353" s="123" t="s">
        <v>6087</v>
      </c>
      <c r="S353" s="123" t="s">
        <v>6089</v>
      </c>
      <c r="T353" s="123"/>
      <c r="U353" s="123"/>
      <c r="V353" s="123"/>
      <c r="W353" s="123"/>
      <c r="X353" s="123"/>
      <c r="Y353" s="123"/>
      <c r="Z353" s="123"/>
      <c r="AA353" s="123"/>
      <c r="AB353" s="123"/>
      <c r="AC353" s="123"/>
      <c r="AD353" s="123"/>
      <c r="AE353" s="123"/>
      <c r="AF353" s="123"/>
      <c r="AG353" s="123"/>
      <c r="AH353" s="123"/>
      <c r="AI353" s="123"/>
      <c r="AJ353" s="123"/>
    </row>
    <row r="354" ht="15.75" customHeight="1">
      <c r="A354" s="123">
        <v>364.0</v>
      </c>
      <c r="B354" s="124" t="s">
        <v>1230</v>
      </c>
      <c r="C354" s="124" t="s">
        <v>106</v>
      </c>
      <c r="D354" s="124" t="s">
        <v>64</v>
      </c>
      <c r="E354" s="124" t="s">
        <v>928</v>
      </c>
      <c r="F354" s="125" t="s">
        <v>929</v>
      </c>
      <c r="G354" s="124" t="s">
        <v>930</v>
      </c>
      <c r="H354" s="124" t="s">
        <v>169</v>
      </c>
      <c r="I354" s="125">
        <v>20000.0</v>
      </c>
      <c r="J354" s="123"/>
      <c r="K354" s="124" t="s">
        <v>111</v>
      </c>
      <c r="L354" s="125">
        <v>41.0</v>
      </c>
      <c r="M354" s="124" t="s">
        <v>932</v>
      </c>
      <c r="N354" s="124" t="s">
        <v>933</v>
      </c>
      <c r="O354" s="124" t="s">
        <v>934</v>
      </c>
      <c r="P354" s="124">
        <v>2006.0</v>
      </c>
      <c r="Q354" s="124" t="s">
        <v>935</v>
      </c>
      <c r="R354" s="123" t="s">
        <v>936</v>
      </c>
      <c r="S354" s="123" t="s">
        <v>937</v>
      </c>
      <c r="T354" s="123" t="s">
        <v>462</v>
      </c>
      <c r="U354" s="123" t="s">
        <v>462</v>
      </c>
      <c r="V354" s="123"/>
      <c r="W354" s="123"/>
      <c r="X354" s="123"/>
      <c r="Y354" s="123"/>
      <c r="Z354" s="123"/>
      <c r="AA354" s="123"/>
      <c r="AB354" s="123"/>
      <c r="AC354" s="123"/>
      <c r="AD354" s="123"/>
      <c r="AE354" s="123"/>
      <c r="AF354" s="123"/>
      <c r="AG354" s="123"/>
      <c r="AH354" s="123"/>
      <c r="AI354" s="123"/>
      <c r="AJ354" s="123"/>
    </row>
    <row r="355" ht="15.75" customHeight="1">
      <c r="A355" s="123">
        <v>365.0</v>
      </c>
      <c r="B355" s="124" t="s">
        <v>1230</v>
      </c>
      <c r="C355" s="124" t="s">
        <v>106</v>
      </c>
      <c r="D355" s="124" t="s">
        <v>64</v>
      </c>
      <c r="E355" s="124" t="s">
        <v>928</v>
      </c>
      <c r="F355" s="125" t="s">
        <v>929</v>
      </c>
      <c r="G355" s="124" t="s">
        <v>6097</v>
      </c>
      <c r="H355" s="124" t="s">
        <v>3451</v>
      </c>
      <c r="I355" s="125">
        <v>21000.0</v>
      </c>
      <c r="J355" s="123"/>
      <c r="K355" s="124" t="s">
        <v>289</v>
      </c>
      <c r="L355" s="125">
        <v>40.0</v>
      </c>
      <c r="M355" s="124" t="s">
        <v>6099</v>
      </c>
      <c r="N355" s="124" t="s">
        <v>6100</v>
      </c>
      <c r="O355" s="124" t="s">
        <v>5974</v>
      </c>
      <c r="P355" s="124">
        <v>2000.0</v>
      </c>
      <c r="Q355" s="124" t="s">
        <v>6101</v>
      </c>
      <c r="R355" s="123" t="s">
        <v>6102</v>
      </c>
      <c r="S355" s="123"/>
      <c r="T355" s="123" t="s">
        <v>428</v>
      </c>
      <c r="U355" s="123" t="s">
        <v>462</v>
      </c>
      <c r="V355" s="123"/>
      <c r="W355" s="123"/>
      <c r="X355" s="123" t="s">
        <v>561</v>
      </c>
      <c r="Y355" s="123" t="s">
        <v>6103</v>
      </c>
      <c r="Z355" s="129">
        <v>42501.0</v>
      </c>
      <c r="AA355" s="123"/>
      <c r="AB355" s="123"/>
      <c r="AC355" s="123"/>
      <c r="AD355" s="123"/>
      <c r="AE355" s="123"/>
      <c r="AF355" s="123"/>
      <c r="AG355" s="123"/>
      <c r="AH355" s="123"/>
      <c r="AI355" s="123"/>
      <c r="AJ355" s="123"/>
    </row>
    <row r="356" ht="15.75" customHeight="1">
      <c r="A356" s="123">
        <v>366.0</v>
      </c>
      <c r="B356" s="124" t="s">
        <v>1230</v>
      </c>
      <c r="C356" s="124" t="s">
        <v>106</v>
      </c>
      <c r="D356" s="124" t="s">
        <v>64</v>
      </c>
      <c r="E356" s="124" t="s">
        <v>928</v>
      </c>
      <c r="F356" s="125" t="s">
        <v>929</v>
      </c>
      <c r="G356" s="124" t="s">
        <v>1259</v>
      </c>
      <c r="H356" s="124" t="s">
        <v>1114</v>
      </c>
      <c r="I356" s="125">
        <v>2000.0</v>
      </c>
      <c r="J356" s="123"/>
      <c r="K356" s="124" t="s">
        <v>111</v>
      </c>
      <c r="L356" s="125">
        <v>41.0</v>
      </c>
      <c r="M356" s="124" t="s">
        <v>1260</v>
      </c>
      <c r="N356" s="124" t="s">
        <v>188</v>
      </c>
      <c r="O356" s="124" t="s">
        <v>1261</v>
      </c>
      <c r="P356" s="126">
        <v>2011.0</v>
      </c>
      <c r="Q356" s="124" t="s">
        <v>610</v>
      </c>
      <c r="R356" s="127" t="str">
        <f>HYPERLINK("http://webarchive.nationalarchives.gov.uk/20130123162956/http:/archive.defra.gov.uk/environment/economy/documents/sustainable-life-framework.pdf","http://webarchive.nationalarchives.gov.uk/20130123162956/http:/archive.defra.gov.uk/environment/economy/documents/sustainable-life-framework.pdf")</f>
        <v>http://webarchive.nationalarchives.gov.uk/20130123162956/http:/archive.defra.gov.uk/environment/economy/documents/sustainable-life-framework.pdf</v>
      </c>
      <c r="S356" s="123"/>
      <c r="T356" s="123"/>
      <c r="U356" s="123"/>
      <c r="V356" s="123"/>
      <c r="W356" s="123"/>
      <c r="X356" s="123"/>
      <c r="Y356" s="123"/>
      <c r="Z356" s="123"/>
      <c r="AA356" s="123"/>
      <c r="AB356" s="123"/>
      <c r="AC356" s="123"/>
      <c r="AD356" s="123"/>
      <c r="AE356" s="123"/>
      <c r="AF356" s="123"/>
      <c r="AG356" s="123"/>
      <c r="AH356" s="123"/>
      <c r="AI356" s="123"/>
      <c r="AJ356" s="123"/>
    </row>
    <row r="357" ht="15.75" customHeight="1">
      <c r="A357" s="123">
        <v>367.0</v>
      </c>
      <c r="B357" s="124" t="s">
        <v>1230</v>
      </c>
      <c r="C357" s="124" t="s">
        <v>106</v>
      </c>
      <c r="D357" s="124" t="s">
        <v>64</v>
      </c>
      <c r="E357" s="124" t="s">
        <v>3469</v>
      </c>
      <c r="F357" s="125" t="s">
        <v>3470</v>
      </c>
      <c r="G357" s="124" t="s">
        <v>3471</v>
      </c>
      <c r="H357" s="124" t="s">
        <v>3475</v>
      </c>
      <c r="I357" s="125" t="s">
        <v>3474</v>
      </c>
      <c r="J357" s="123"/>
      <c r="K357" s="124" t="s">
        <v>289</v>
      </c>
      <c r="L357" s="125">
        <v>40.0</v>
      </c>
      <c r="M357" s="124" t="s">
        <v>3477</v>
      </c>
      <c r="N357" s="124" t="s">
        <v>3478</v>
      </c>
      <c r="O357" s="124" t="s">
        <v>3263</v>
      </c>
      <c r="P357" s="124">
        <v>1987.0</v>
      </c>
      <c r="Q357" s="124" t="s">
        <v>3481</v>
      </c>
      <c r="R357" s="123"/>
      <c r="S357" s="123"/>
      <c r="T357" s="123"/>
      <c r="U357" s="123"/>
      <c r="V357" s="123" t="s">
        <v>3233</v>
      </c>
      <c r="W357" s="123"/>
      <c r="X357" s="123"/>
      <c r="Y357" s="123"/>
      <c r="Z357" s="123"/>
      <c r="AA357" s="123"/>
      <c r="AB357" s="123"/>
      <c r="AC357" s="123"/>
      <c r="AD357" s="123"/>
      <c r="AE357" s="123"/>
      <c r="AF357" s="123"/>
      <c r="AG357" s="123"/>
      <c r="AH357" s="123"/>
      <c r="AI357" s="123"/>
      <c r="AJ357" s="123"/>
    </row>
    <row r="358" ht="15.75" customHeight="1">
      <c r="A358" s="123">
        <v>368.0</v>
      </c>
      <c r="B358" s="124" t="s">
        <v>1230</v>
      </c>
      <c r="C358" s="124" t="s">
        <v>106</v>
      </c>
      <c r="D358" s="124" t="s">
        <v>173</v>
      </c>
      <c r="E358" s="124" t="s">
        <v>779</v>
      </c>
      <c r="F358" s="125">
        <v>5.0</v>
      </c>
      <c r="G358" s="124" t="s">
        <v>917</v>
      </c>
      <c r="H358" s="124" t="s">
        <v>918</v>
      </c>
      <c r="I358" s="125">
        <v>10000.0</v>
      </c>
      <c r="J358" s="123"/>
      <c r="K358" s="124" t="s">
        <v>111</v>
      </c>
      <c r="L358" s="125">
        <v>41.0</v>
      </c>
      <c r="M358" s="124" t="s">
        <v>919</v>
      </c>
      <c r="N358" s="124" t="s">
        <v>920</v>
      </c>
      <c r="O358" s="124" t="s">
        <v>921</v>
      </c>
      <c r="P358" s="124">
        <v>2011.0</v>
      </c>
      <c r="Q358" s="124" t="s">
        <v>922</v>
      </c>
      <c r="R358" s="127" t="str">
        <f>HYPERLINK("http://www.sciencedirect.com/science/article/pii/S0195666311004685","http://www.sciencedirect.com/science/article/pii/S0195666311004685")</f>
        <v>http://www.sciencedirect.com/science/article/pii/S0195666311004685</v>
      </c>
      <c r="S358" s="123"/>
      <c r="T358" s="123" t="s">
        <v>428</v>
      </c>
      <c r="U358" s="123" t="s">
        <v>462</v>
      </c>
      <c r="V358" s="123"/>
      <c r="W358" s="123"/>
      <c r="X358" s="123"/>
      <c r="Y358" s="123"/>
      <c r="Z358" s="123"/>
      <c r="AA358" s="123"/>
      <c r="AB358" s="123"/>
      <c r="AC358" s="123"/>
      <c r="AD358" s="123"/>
      <c r="AE358" s="123"/>
      <c r="AF358" s="123"/>
      <c r="AG358" s="123"/>
      <c r="AH358" s="123"/>
      <c r="AI358" s="123"/>
      <c r="AJ358" s="123"/>
    </row>
    <row r="359" ht="15.75" customHeight="1">
      <c r="A359" s="123">
        <v>369.0</v>
      </c>
      <c r="B359" s="124" t="s">
        <v>1230</v>
      </c>
      <c r="C359" s="124" t="s">
        <v>106</v>
      </c>
      <c r="D359" s="124" t="s">
        <v>64</v>
      </c>
      <c r="E359" s="124" t="s">
        <v>280</v>
      </c>
      <c r="F359" s="125">
        <v>10.0</v>
      </c>
      <c r="G359" s="124" t="s">
        <v>1404</v>
      </c>
      <c r="H359" s="124" t="s">
        <v>169</v>
      </c>
      <c r="I359" s="125">
        <v>20000.0</v>
      </c>
      <c r="J359" s="123"/>
      <c r="K359" s="124" t="s">
        <v>111</v>
      </c>
      <c r="L359" s="125">
        <v>41.0</v>
      </c>
      <c r="M359" s="124" t="s">
        <v>1405</v>
      </c>
      <c r="N359" s="124" t="s">
        <v>1407</v>
      </c>
      <c r="O359" s="124" t="s">
        <v>1408</v>
      </c>
      <c r="P359" s="124">
        <v>2005.0</v>
      </c>
      <c r="Q359" s="124" t="s">
        <v>1410</v>
      </c>
      <c r="R359" s="127" t="str">
        <f>HYPERLINK("http://brage.bibsys.no/xmlui/handle/11250/191992","http://citeseerx.ist.psu.edu/viewdoc/download?doi=10.1.1.545.4039&amp;rep=rep1&amp;type=pdf")</f>
        <v>http://citeseerx.ist.psu.edu/viewdoc/download?doi=10.1.1.545.4039&amp;rep=rep1&amp;type=pdf</v>
      </c>
      <c r="S359" s="123" t="s">
        <v>1414</v>
      </c>
      <c r="T359" s="123"/>
      <c r="U359" s="123"/>
      <c r="V359" s="123"/>
      <c r="W359" s="123"/>
      <c r="X359" s="123"/>
      <c r="Y359" s="123"/>
      <c r="Z359" s="123"/>
      <c r="AA359" s="123"/>
      <c r="AB359" s="123"/>
      <c r="AC359" s="123"/>
      <c r="AD359" s="123"/>
      <c r="AE359" s="123"/>
      <c r="AF359" s="123"/>
      <c r="AG359" s="123"/>
      <c r="AH359" s="123"/>
      <c r="AI359" s="123"/>
      <c r="AJ359" s="123"/>
    </row>
    <row r="360" ht="15.75" customHeight="1">
      <c r="A360" s="123">
        <v>370.0</v>
      </c>
      <c r="B360" s="124" t="s">
        <v>1230</v>
      </c>
      <c r="C360" s="124" t="s">
        <v>106</v>
      </c>
      <c r="D360" s="124" t="s">
        <v>64</v>
      </c>
      <c r="E360" s="124" t="s">
        <v>280</v>
      </c>
      <c r="F360" s="125">
        <v>10.0</v>
      </c>
      <c r="G360" s="124" t="s">
        <v>2903</v>
      </c>
      <c r="H360" s="124" t="s">
        <v>470</v>
      </c>
      <c r="I360" s="125">
        <v>3000.0</v>
      </c>
      <c r="J360" s="123"/>
      <c r="K360" s="124" t="s">
        <v>111</v>
      </c>
      <c r="L360" s="125">
        <v>41.0</v>
      </c>
      <c r="M360" s="124" t="s">
        <v>3323</v>
      </c>
      <c r="N360" s="124" t="s">
        <v>3324</v>
      </c>
      <c r="O360" s="124" t="s">
        <v>3263</v>
      </c>
      <c r="P360" s="124">
        <v>2015.0</v>
      </c>
      <c r="Q360" s="124" t="s">
        <v>3325</v>
      </c>
      <c r="R360" s="127" t="str">
        <f>HYPERLINK("http://eab.sagepub.com/content/43/5/612.short","http://eab.sagepub.com/content/43/5/612.short")</f>
        <v>http://eab.sagepub.com/content/43/5/612.short</v>
      </c>
      <c r="S360" s="123" t="s">
        <v>3330</v>
      </c>
      <c r="T360" s="123"/>
      <c r="U360" s="123"/>
      <c r="V360" s="123" t="s">
        <v>3233</v>
      </c>
      <c r="W360" s="123"/>
      <c r="X360" s="123"/>
      <c r="Y360" s="123"/>
      <c r="Z360" s="123"/>
      <c r="AA360" s="123"/>
      <c r="AB360" s="123"/>
      <c r="AC360" s="123"/>
      <c r="AD360" s="123"/>
      <c r="AE360" s="123"/>
      <c r="AF360" s="123"/>
      <c r="AG360" s="123"/>
      <c r="AH360" s="123"/>
      <c r="AI360" s="123"/>
      <c r="AJ360" s="123"/>
    </row>
    <row r="361" ht="15.75" customHeight="1">
      <c r="A361" s="123">
        <v>371.0</v>
      </c>
      <c r="B361" s="124" t="s">
        <v>1230</v>
      </c>
      <c r="C361" s="124" t="s">
        <v>106</v>
      </c>
      <c r="D361" s="124" t="s">
        <v>64</v>
      </c>
      <c r="E361" s="124" t="s">
        <v>280</v>
      </c>
      <c r="F361" s="125">
        <v>10.0</v>
      </c>
      <c r="G361" s="124" t="s">
        <v>2903</v>
      </c>
      <c r="H361" s="124" t="s">
        <v>2906</v>
      </c>
      <c r="I361" s="125" t="s">
        <v>2905</v>
      </c>
      <c r="J361" s="123"/>
      <c r="K361" s="124" t="s">
        <v>111</v>
      </c>
      <c r="L361" s="125">
        <v>41.0</v>
      </c>
      <c r="M361" s="124" t="s">
        <v>2907</v>
      </c>
      <c r="N361" s="124" t="s">
        <v>2908</v>
      </c>
      <c r="O361" s="124" t="s">
        <v>2901</v>
      </c>
      <c r="P361" s="126">
        <v>2005.0</v>
      </c>
      <c r="Q361" s="124" t="s">
        <v>2909</v>
      </c>
      <c r="R361" s="127" t="str">
        <f>HYPERLINK("https://www.researchgate.net/profile/Andrew_Gilg/publication/222001460_Behavioural_attitudes_towards_water_saving_Evidence_from_a_study_of_environmental_actions/links/0c96052a0485e8d938000000.pdf","https://www.researchgate.net/profile/Andrew_Gilg/publication/222001460_Behavioural_attitudes_towards_water_saving_Evidence_from_a_study_of_environmental_actions/links/0c96052a0485e8d938000000.pdf")</f>
        <v>https://www.researchgate.net/profile/Andrew_Gilg/publication/222001460_Behavioural_attitudes_towards_water_saving_Evidence_from_a_study_of_environmental_actions/links/0c96052a0485e8d938000000.pdf</v>
      </c>
      <c r="S361" s="123" t="s">
        <v>2914</v>
      </c>
      <c r="T361" s="123"/>
      <c r="U361" s="123"/>
      <c r="V361" s="123"/>
      <c r="W361" s="123"/>
      <c r="X361" s="123"/>
      <c r="Y361" s="123"/>
      <c r="Z361" s="123"/>
      <c r="AA361" s="123"/>
      <c r="AB361" s="123"/>
      <c r="AC361" s="123"/>
      <c r="AD361" s="123"/>
      <c r="AE361" s="123"/>
      <c r="AF361" s="123"/>
      <c r="AG361" s="123"/>
      <c r="AH361" s="123"/>
      <c r="AI361" s="123"/>
      <c r="AJ361" s="123"/>
    </row>
    <row r="362" ht="15.75" customHeight="1">
      <c r="A362" s="123">
        <v>372.0</v>
      </c>
      <c r="B362" s="124" t="s">
        <v>1230</v>
      </c>
      <c r="C362" s="124" t="s">
        <v>106</v>
      </c>
      <c r="D362" s="124" t="s">
        <v>64</v>
      </c>
      <c r="E362" s="124" t="s">
        <v>280</v>
      </c>
      <c r="F362" s="125">
        <v>10.0</v>
      </c>
      <c r="G362" s="124" t="s">
        <v>5229</v>
      </c>
      <c r="H362" s="124" t="s">
        <v>5507</v>
      </c>
      <c r="I362" s="125" t="s">
        <v>4589</v>
      </c>
      <c r="J362" s="123"/>
      <c r="K362" s="124" t="s">
        <v>289</v>
      </c>
      <c r="L362" s="125">
        <v>40.0</v>
      </c>
      <c r="M362" s="124" t="s">
        <v>5508</v>
      </c>
      <c r="N362" s="124" t="s">
        <v>5509</v>
      </c>
      <c r="O362" s="124" t="s">
        <v>5510</v>
      </c>
      <c r="P362" s="124">
        <v>2006.0</v>
      </c>
      <c r="Q362" s="124" t="s">
        <v>5516</v>
      </c>
      <c r="R362" s="127" t="str">
        <f>HYPERLINK("http://media.cbsm.com/uploads/1/HabitReview.pdf","http://media.cbsm.com/uploads/1/HabitReview.pdf")</f>
        <v>http://media.cbsm.com/uploads/1/HabitReview.pdf</v>
      </c>
      <c r="S362" s="123" t="s">
        <v>5522</v>
      </c>
      <c r="T362" s="123" t="s">
        <v>462</v>
      </c>
      <c r="U362" s="123" t="s">
        <v>462</v>
      </c>
      <c r="V362" s="123"/>
      <c r="W362" s="123"/>
      <c r="X362" s="123"/>
      <c r="Y362" s="123"/>
      <c r="Z362" s="123"/>
      <c r="AA362" s="123"/>
      <c r="AB362" s="123"/>
      <c r="AC362" s="123"/>
      <c r="AD362" s="123"/>
      <c r="AE362" s="123"/>
      <c r="AF362" s="123"/>
      <c r="AG362" s="123"/>
      <c r="AH362" s="123"/>
      <c r="AI362" s="123"/>
      <c r="AJ362" s="123"/>
    </row>
    <row r="363" ht="15.75" customHeight="1">
      <c r="A363" s="123">
        <v>373.0</v>
      </c>
      <c r="B363" s="124" t="s">
        <v>1230</v>
      </c>
      <c r="C363" s="124" t="s">
        <v>106</v>
      </c>
      <c r="D363" s="124" t="s">
        <v>1988</v>
      </c>
      <c r="E363" s="124" t="s">
        <v>280</v>
      </c>
      <c r="F363" s="125">
        <v>10.0</v>
      </c>
      <c r="G363" s="124" t="s">
        <v>5229</v>
      </c>
      <c r="H363" s="124" t="s">
        <v>2282</v>
      </c>
      <c r="I363" s="125">
        <v>3000.0</v>
      </c>
      <c r="J363" s="123"/>
      <c r="K363" s="124" t="s">
        <v>272</v>
      </c>
      <c r="L363" s="125">
        <v>42.0</v>
      </c>
      <c r="M363" s="124" t="s">
        <v>6117</v>
      </c>
      <c r="N363" s="124" t="s">
        <v>6118</v>
      </c>
      <c r="O363" s="79" t="s">
        <v>6119</v>
      </c>
      <c r="P363" s="124">
        <v>2015.0</v>
      </c>
      <c r="Q363" s="124" t="s">
        <v>6120</v>
      </c>
      <c r="R363" s="127" t="str">
        <f>HYPERLINK("http://search.proquest.com/openview/d5caf50fa62f26a3f4ad06e5015edd92/1?pq-origsite=gscholar&amp;cbl=2030907","http://search.proquest.com/openview/d5caf50fa62f26a3f4ad06e5015edd92/1?pq-origsite=gscholar&amp;cbl=2030907")</f>
        <v>http://search.proquest.com/openview/d5caf50fa62f26a3f4ad06e5015edd92/1?pq-origsite=gscholar&amp;cbl=2030907</v>
      </c>
      <c r="S363" s="123" t="s">
        <v>6122</v>
      </c>
      <c r="T363" s="123"/>
      <c r="U363" s="123"/>
      <c r="V363" s="123"/>
      <c r="W363" s="123"/>
      <c r="X363" s="123"/>
      <c r="Y363" s="123"/>
      <c r="Z363" s="123"/>
      <c r="AA363" s="123"/>
      <c r="AB363" s="123"/>
      <c r="AC363" s="123"/>
      <c r="AD363" s="123"/>
      <c r="AE363" s="123"/>
      <c r="AF363" s="123"/>
      <c r="AG363" s="123"/>
      <c r="AH363" s="123"/>
      <c r="AI363" s="123"/>
      <c r="AJ363" s="123"/>
    </row>
    <row r="364" ht="15.75" customHeight="1">
      <c r="A364" s="123">
        <v>374.0</v>
      </c>
      <c r="B364" s="124" t="s">
        <v>1230</v>
      </c>
      <c r="C364" s="124" t="s">
        <v>106</v>
      </c>
      <c r="D364" s="124" t="s">
        <v>64</v>
      </c>
      <c r="E364" s="124" t="s">
        <v>280</v>
      </c>
      <c r="F364" s="125">
        <v>10.0</v>
      </c>
      <c r="G364" s="124" t="s">
        <v>5229</v>
      </c>
      <c r="H364" s="124" t="s">
        <v>5232</v>
      </c>
      <c r="I364" s="125" t="s">
        <v>5231</v>
      </c>
      <c r="J364" s="123"/>
      <c r="K364" s="124" t="s">
        <v>111</v>
      </c>
      <c r="L364" s="125">
        <v>41.0</v>
      </c>
      <c r="M364" s="124" t="s">
        <v>4414</v>
      </c>
      <c r="N364" s="124" t="s">
        <v>5233</v>
      </c>
      <c r="O364" s="124" t="s">
        <v>3992</v>
      </c>
      <c r="P364" s="124">
        <v>2015.0</v>
      </c>
      <c r="Q364" s="124" t="s">
        <v>5237</v>
      </c>
      <c r="R364" s="123" t="s">
        <v>5238</v>
      </c>
      <c r="S364" s="123" t="s">
        <v>5240</v>
      </c>
      <c r="T364" s="123"/>
      <c r="U364" s="123"/>
      <c r="V364" s="123"/>
      <c r="W364" s="123"/>
      <c r="X364" s="123"/>
      <c r="Y364" s="123"/>
      <c r="Z364" s="123"/>
      <c r="AA364" s="123"/>
      <c r="AB364" s="123"/>
      <c r="AC364" s="123"/>
      <c r="AD364" s="123"/>
      <c r="AE364" s="123"/>
      <c r="AF364" s="123"/>
      <c r="AG364" s="123"/>
      <c r="AH364" s="123"/>
      <c r="AI364" s="123"/>
      <c r="AJ364" s="123"/>
    </row>
    <row r="365" ht="15.75" customHeight="1">
      <c r="A365" s="123">
        <v>375.0</v>
      </c>
      <c r="B365" s="124" t="s">
        <v>1230</v>
      </c>
      <c r="C365" s="124" t="s">
        <v>106</v>
      </c>
      <c r="D365" s="124" t="s">
        <v>64</v>
      </c>
      <c r="E365" s="124" t="s">
        <v>280</v>
      </c>
      <c r="F365" s="125">
        <v>10.0</v>
      </c>
      <c r="G365" s="124" t="s">
        <v>5299</v>
      </c>
      <c r="H365" s="124" t="s">
        <v>169</v>
      </c>
      <c r="I365" s="125">
        <v>20000.0</v>
      </c>
      <c r="J365" s="123"/>
      <c r="K365" s="124" t="s">
        <v>289</v>
      </c>
      <c r="L365" s="125">
        <v>40.0</v>
      </c>
      <c r="M365" s="124" t="s">
        <v>5300</v>
      </c>
      <c r="N365" s="124" t="s">
        <v>5301</v>
      </c>
      <c r="O365" s="124" t="s">
        <v>3992</v>
      </c>
      <c r="P365" s="124">
        <v>2008.0</v>
      </c>
      <c r="Q365" s="124" t="s">
        <v>5302</v>
      </c>
      <c r="R365" s="123"/>
      <c r="S365" s="123"/>
      <c r="T365" s="123"/>
      <c r="U365" s="123"/>
      <c r="V365" s="123" t="s">
        <v>3233</v>
      </c>
      <c r="W365" s="123"/>
      <c r="X365" s="123"/>
      <c r="Y365" s="123"/>
      <c r="Z365" s="123"/>
      <c r="AA365" s="123"/>
      <c r="AB365" s="123"/>
      <c r="AC365" s="123"/>
      <c r="AD365" s="123"/>
      <c r="AE365" s="123"/>
      <c r="AF365" s="123"/>
      <c r="AG365" s="123"/>
      <c r="AH365" s="123"/>
      <c r="AI365" s="123"/>
      <c r="AJ365" s="123"/>
    </row>
    <row r="366" ht="15.75" customHeight="1">
      <c r="A366" s="123">
        <v>376.0</v>
      </c>
      <c r="B366" s="124" t="s">
        <v>1230</v>
      </c>
      <c r="C366" s="124" t="s">
        <v>106</v>
      </c>
      <c r="D366" s="124" t="s">
        <v>64</v>
      </c>
      <c r="E366" s="124" t="s">
        <v>280</v>
      </c>
      <c r="F366" s="125">
        <v>10.0</v>
      </c>
      <c r="G366" s="124" t="s">
        <v>902</v>
      </c>
      <c r="H366" s="124" t="s">
        <v>648</v>
      </c>
      <c r="I366" s="125">
        <v>14000.0</v>
      </c>
      <c r="J366" s="123"/>
      <c r="K366" s="124" t="s">
        <v>289</v>
      </c>
      <c r="L366" s="125">
        <v>40.0</v>
      </c>
      <c r="M366" s="124" t="s">
        <v>904</v>
      </c>
      <c r="N366" s="124" t="s">
        <v>905</v>
      </c>
      <c r="O366" s="124" t="s">
        <v>906</v>
      </c>
      <c r="P366" s="124">
        <v>2015.0</v>
      </c>
      <c r="Q366" s="124" t="s">
        <v>907</v>
      </c>
      <c r="R366" s="123" t="s">
        <v>908</v>
      </c>
      <c r="S366" s="123" t="s">
        <v>909</v>
      </c>
      <c r="T366" s="123"/>
      <c r="U366" s="123"/>
      <c r="V366" s="123"/>
      <c r="W366" s="123"/>
      <c r="X366" s="123"/>
      <c r="Y366" s="123"/>
      <c r="Z366" s="123"/>
      <c r="AA366" s="123"/>
      <c r="AB366" s="123"/>
      <c r="AC366" s="123"/>
      <c r="AD366" s="123"/>
      <c r="AE366" s="123"/>
      <c r="AF366" s="123"/>
      <c r="AG366" s="123"/>
      <c r="AH366" s="123"/>
      <c r="AI366" s="123"/>
      <c r="AJ366" s="123"/>
    </row>
    <row r="367" ht="15.75" customHeight="1">
      <c r="A367" s="123">
        <v>377.0</v>
      </c>
      <c r="B367" s="124" t="s">
        <v>1230</v>
      </c>
      <c r="C367" s="124" t="s">
        <v>106</v>
      </c>
      <c r="D367" s="124" t="s">
        <v>173</v>
      </c>
      <c r="E367" s="124" t="s">
        <v>280</v>
      </c>
      <c r="F367" s="125">
        <v>10.0</v>
      </c>
      <c r="G367" s="124" t="s">
        <v>3266</v>
      </c>
      <c r="H367" s="124" t="s">
        <v>648</v>
      </c>
      <c r="I367" s="125">
        <v>14000.0</v>
      </c>
      <c r="J367" s="123"/>
      <c r="K367" s="124" t="s">
        <v>95</v>
      </c>
      <c r="L367" s="125">
        <v>41.0</v>
      </c>
      <c r="M367" s="124" t="s">
        <v>6131</v>
      </c>
      <c r="N367" s="131" t="str">
        <f>HYPERLINK("http://www.ncbi.nlm.nih.gov/pubmed/?term=Gardner%20B%5Bauth%5D","Gardner, B., Lally, P., &amp; Wardle, J.")</f>
        <v>Gardner, B., Lally, P., &amp; Wardle, J.</v>
      </c>
      <c r="O367" s="124" t="s">
        <v>6133</v>
      </c>
      <c r="P367" s="124">
        <v>2012.0</v>
      </c>
      <c r="Q367" s="124" t="s">
        <v>6134</v>
      </c>
      <c r="R367" s="123" t="s">
        <v>6135</v>
      </c>
      <c r="S367" s="123" t="s">
        <v>6136</v>
      </c>
      <c r="T367" s="123"/>
      <c r="U367" s="123"/>
      <c r="V367" s="123"/>
      <c r="W367" s="123"/>
      <c r="X367" s="123"/>
      <c r="Y367" s="123"/>
      <c r="Z367" s="123"/>
      <c r="AA367" s="123"/>
      <c r="AB367" s="123"/>
      <c r="AC367" s="123"/>
      <c r="AD367" s="123"/>
      <c r="AE367" s="123"/>
      <c r="AF367" s="123"/>
      <c r="AG367" s="123"/>
      <c r="AH367" s="123"/>
      <c r="AI367" s="123"/>
      <c r="AJ367" s="123"/>
    </row>
    <row r="368" ht="15.75" customHeight="1">
      <c r="A368" s="123">
        <v>378.0</v>
      </c>
      <c r="B368" s="124" t="s">
        <v>1230</v>
      </c>
      <c r="C368" s="124" t="s">
        <v>106</v>
      </c>
      <c r="D368" s="124" t="s">
        <v>1988</v>
      </c>
      <c r="E368" s="124" t="s">
        <v>280</v>
      </c>
      <c r="F368" s="125">
        <v>10.0</v>
      </c>
      <c r="G368" s="124" t="s">
        <v>3266</v>
      </c>
      <c r="H368" s="124" t="s">
        <v>1114</v>
      </c>
      <c r="I368" s="125">
        <v>2000.0</v>
      </c>
      <c r="J368" s="123"/>
      <c r="K368" s="124" t="s">
        <v>289</v>
      </c>
      <c r="L368" s="125">
        <v>40.0</v>
      </c>
      <c r="M368" s="124" t="s">
        <v>3267</v>
      </c>
      <c r="N368" s="124" t="s">
        <v>3268</v>
      </c>
      <c r="O368" s="124" t="s">
        <v>3263</v>
      </c>
      <c r="P368" s="126">
        <v>1993.0</v>
      </c>
      <c r="Q368" s="124" t="s">
        <v>610</v>
      </c>
      <c r="R368" s="123" t="s">
        <v>3269</v>
      </c>
      <c r="S368" s="123" t="s">
        <v>3270</v>
      </c>
      <c r="T368" s="123"/>
      <c r="U368" s="123"/>
      <c r="V368" s="123"/>
      <c r="W368" s="123"/>
      <c r="X368" s="123"/>
      <c r="Y368" s="123"/>
      <c r="Z368" s="123"/>
      <c r="AA368" s="123"/>
      <c r="AB368" s="123"/>
      <c r="AC368" s="123"/>
      <c r="AD368" s="123"/>
      <c r="AE368" s="123"/>
      <c r="AF368" s="123"/>
      <c r="AG368" s="123"/>
      <c r="AH368" s="123"/>
      <c r="AI368" s="123"/>
      <c r="AJ368" s="123"/>
    </row>
    <row r="369" ht="15.75" customHeight="1">
      <c r="A369" s="123">
        <v>379.0</v>
      </c>
      <c r="B369" s="124" t="s">
        <v>1230</v>
      </c>
      <c r="C369" s="124" t="s">
        <v>106</v>
      </c>
      <c r="D369" s="124" t="s">
        <v>64</v>
      </c>
      <c r="E369" s="124" t="s">
        <v>280</v>
      </c>
      <c r="F369" s="125">
        <v>10.0</v>
      </c>
      <c r="G369" s="124" t="s">
        <v>3266</v>
      </c>
      <c r="H369" s="124" t="s">
        <v>893</v>
      </c>
      <c r="I369" s="125">
        <v>3000.0</v>
      </c>
      <c r="J369" s="123"/>
      <c r="K369" s="124" t="s">
        <v>111</v>
      </c>
      <c r="L369" s="125">
        <v>41.0</v>
      </c>
      <c r="M369" s="124" t="s">
        <v>3615</v>
      </c>
      <c r="N369" s="124" t="s">
        <v>3616</v>
      </c>
      <c r="O369" s="124" t="s">
        <v>3617</v>
      </c>
      <c r="P369" s="124">
        <v>2009.0</v>
      </c>
      <c r="Q369" s="124" t="s">
        <v>3618</v>
      </c>
      <c r="R369" s="127" t="str">
        <f>HYPERLINK("http://onlinelibrary.wiley.com/enhanced/doi/10.1002/ejsp.674","http://onlinelibrary.wiley.com/enhanced/doi/10.1002/ejsp.674")</f>
        <v>http://onlinelibrary.wiley.com/enhanced/doi/10.1002/ejsp.674</v>
      </c>
      <c r="S369" s="123" t="s">
        <v>3619</v>
      </c>
      <c r="T369" s="123" t="s">
        <v>428</v>
      </c>
      <c r="U369" s="123"/>
      <c r="V369" s="123"/>
      <c r="W369" s="123"/>
      <c r="X369" s="123"/>
      <c r="Y369" s="123"/>
      <c r="Z369" s="123"/>
      <c r="AA369" s="123"/>
      <c r="AB369" s="123"/>
      <c r="AC369" s="123"/>
      <c r="AD369" s="129"/>
      <c r="AE369" s="123"/>
      <c r="AF369" s="123"/>
      <c r="AG369" s="129"/>
      <c r="AH369" s="123"/>
      <c r="AI369" s="123"/>
      <c r="AJ369" s="123"/>
    </row>
    <row r="370" ht="15.75" customHeight="1">
      <c r="A370" s="123">
        <v>380.0</v>
      </c>
      <c r="B370" s="124" t="s">
        <v>1230</v>
      </c>
      <c r="C370" s="124" t="s">
        <v>106</v>
      </c>
      <c r="D370" s="124" t="s">
        <v>64</v>
      </c>
      <c r="E370" s="124" t="s">
        <v>280</v>
      </c>
      <c r="F370" s="125">
        <v>10.0</v>
      </c>
      <c r="G370" s="124" t="s">
        <v>4534</v>
      </c>
      <c r="H370" s="124" t="s">
        <v>4537</v>
      </c>
      <c r="I370" s="125" t="s">
        <v>4536</v>
      </c>
      <c r="J370" s="123"/>
      <c r="K370" s="124" t="s">
        <v>111</v>
      </c>
      <c r="L370" s="125">
        <v>41.0</v>
      </c>
      <c r="M370" s="124" t="s">
        <v>4538</v>
      </c>
      <c r="N370" s="124" t="s">
        <v>4539</v>
      </c>
      <c r="O370" s="124" t="s">
        <v>3982</v>
      </c>
      <c r="P370" s="124">
        <v>2012.0</v>
      </c>
      <c r="Q370" s="124" t="s">
        <v>4541</v>
      </c>
      <c r="R370" s="127" t="str">
        <f>HYPERLINK("http://onlinelibrary.wiley.com/doi/10.1111/j.1470-6431.2011.01081.x/abstract","http://onlinelibrary.wiley.com/doi/10.1111/j.1470-6431.2011.01081.x/abstract")</f>
        <v>http://onlinelibrary.wiley.com/doi/10.1111/j.1470-6431.2011.01081.x/abstract</v>
      </c>
      <c r="S370" s="123" t="s">
        <v>4542</v>
      </c>
      <c r="T370" s="123"/>
      <c r="U370" s="123"/>
      <c r="V370" s="123"/>
      <c r="W370" s="123"/>
      <c r="X370" s="123"/>
      <c r="Y370" s="123"/>
      <c r="Z370" s="123"/>
      <c r="AA370" s="123"/>
      <c r="AB370" s="123"/>
      <c r="AC370" s="123"/>
      <c r="AD370" s="123"/>
      <c r="AE370" s="123"/>
      <c r="AF370" s="123"/>
      <c r="AG370" s="123"/>
      <c r="AH370" s="123"/>
      <c r="AI370" s="123"/>
      <c r="AJ370" s="123"/>
    </row>
    <row r="371" ht="15.75" customHeight="1">
      <c r="A371" s="123">
        <v>381.0</v>
      </c>
      <c r="B371" s="124" t="s">
        <v>1230</v>
      </c>
      <c r="C371" s="124" t="s">
        <v>106</v>
      </c>
      <c r="D371" s="124" t="s">
        <v>64</v>
      </c>
      <c r="E371" s="124" t="s">
        <v>280</v>
      </c>
      <c r="F371" s="125">
        <v>10.0</v>
      </c>
      <c r="G371" s="124" t="s">
        <v>6153</v>
      </c>
      <c r="H371" s="124" t="s">
        <v>169</v>
      </c>
      <c r="I371" s="125">
        <v>20000.0</v>
      </c>
      <c r="J371" s="123"/>
      <c r="K371" s="124" t="s">
        <v>1106</v>
      </c>
      <c r="L371" s="125" t="s">
        <v>1107</v>
      </c>
      <c r="M371" s="124" t="s">
        <v>6154</v>
      </c>
      <c r="N371" s="124" t="s">
        <v>6155</v>
      </c>
      <c r="O371" s="124" t="s">
        <v>6157</v>
      </c>
      <c r="P371" s="124">
        <v>1982.0</v>
      </c>
      <c r="Q371" s="124" t="s">
        <v>6159</v>
      </c>
      <c r="R371" s="127" t="str">
        <f>HYPERLINK("http://www.sciencedirect.com/science/article/pii/0191260782900012","http://www.sciencedirect.com/science/article/pii/0191260782900012")</f>
        <v>http://www.sciencedirect.com/science/article/pii/0191260782900012</v>
      </c>
      <c r="S371" s="123" t="s">
        <v>6164</v>
      </c>
      <c r="T371" s="123"/>
      <c r="U371" s="123"/>
      <c r="V371" s="123"/>
      <c r="W371" s="123"/>
      <c r="X371" s="123"/>
      <c r="Y371" s="123"/>
      <c r="Z371" s="123"/>
      <c r="AA371" s="123"/>
      <c r="AB371" s="123"/>
      <c r="AC371" s="123"/>
      <c r="AD371" s="123"/>
      <c r="AE371" s="123"/>
      <c r="AF371" s="123"/>
      <c r="AG371" s="123"/>
      <c r="AH371" s="123"/>
      <c r="AI371" s="123"/>
      <c r="AJ371" s="123"/>
    </row>
    <row r="372" ht="15.75" customHeight="1">
      <c r="A372" s="123">
        <v>382.0</v>
      </c>
      <c r="B372" s="124" t="s">
        <v>1230</v>
      </c>
      <c r="C372" s="124" t="s">
        <v>106</v>
      </c>
      <c r="D372" s="124" t="s">
        <v>64</v>
      </c>
      <c r="E372" s="124" t="s">
        <v>280</v>
      </c>
      <c r="F372" s="125">
        <v>10.0</v>
      </c>
      <c r="G372" s="124" t="s">
        <v>6167</v>
      </c>
      <c r="H372" s="124" t="s">
        <v>169</v>
      </c>
      <c r="I372" s="125">
        <v>20000.0</v>
      </c>
      <c r="J372" s="123"/>
      <c r="K372" s="124" t="s">
        <v>289</v>
      </c>
      <c r="L372" s="125">
        <v>40.0</v>
      </c>
      <c r="M372" s="124" t="s">
        <v>6170</v>
      </c>
      <c r="N372" s="124" t="s">
        <v>6171</v>
      </c>
      <c r="O372" s="124" t="s">
        <v>408</v>
      </c>
      <c r="P372" s="124">
        <v>2003.0</v>
      </c>
      <c r="Q372" s="124" t="s">
        <v>6176</v>
      </c>
      <c r="R372" s="127" t="str">
        <f>HYPERLINK("http://link.springer.com/article/10.1023/A:1021234607980","http://link.springer.com/article/10.1023/A:1021234607980")</f>
        <v>http://link.springer.com/article/10.1023/A:1021234607980</v>
      </c>
      <c r="S372" s="123" t="s">
        <v>6178</v>
      </c>
      <c r="T372" s="123" t="s">
        <v>428</v>
      </c>
      <c r="U372" s="123"/>
      <c r="V372" s="123"/>
      <c r="W372" s="123"/>
      <c r="X372" s="123"/>
      <c r="Y372" s="123"/>
      <c r="Z372" s="123"/>
      <c r="AA372" s="123"/>
      <c r="AB372" s="123"/>
      <c r="AC372" s="123"/>
      <c r="AD372" s="123"/>
      <c r="AE372" s="123"/>
      <c r="AF372" s="123"/>
      <c r="AG372" s="123"/>
      <c r="AH372" s="123"/>
      <c r="AI372" s="123"/>
      <c r="AJ372" s="123"/>
    </row>
    <row r="373" ht="15.75" customHeight="1">
      <c r="A373" s="123">
        <v>383.0</v>
      </c>
      <c r="B373" s="124" t="s">
        <v>1230</v>
      </c>
      <c r="C373" s="124" t="s">
        <v>106</v>
      </c>
      <c r="D373" s="124" t="s">
        <v>64</v>
      </c>
      <c r="E373" s="124" t="s">
        <v>280</v>
      </c>
      <c r="F373" s="125">
        <v>10.0</v>
      </c>
      <c r="G373" s="124" t="s">
        <v>3392</v>
      </c>
      <c r="H373" s="124" t="s">
        <v>169</v>
      </c>
      <c r="I373" s="125">
        <v>20000.0</v>
      </c>
      <c r="J373" s="123"/>
      <c r="K373" s="124" t="s">
        <v>111</v>
      </c>
      <c r="L373" s="125">
        <v>41.0</v>
      </c>
      <c r="M373" s="124" t="s">
        <v>3394</v>
      </c>
      <c r="N373" s="124" t="s">
        <v>3395</v>
      </c>
      <c r="O373" s="124" t="s">
        <v>3263</v>
      </c>
      <c r="P373" s="124">
        <v>2014.0</v>
      </c>
      <c r="Q373" s="124" t="s">
        <v>3396</v>
      </c>
      <c r="R373" s="127" t="str">
        <f>HYPERLINK("http://eab.sagepub.com/content/38/6/820.short","http://eab.sagepub.com/content/38/6/820.short")</f>
        <v>http://eab.sagepub.com/content/38/6/820.short</v>
      </c>
      <c r="S373" s="123" t="s">
        <v>3402</v>
      </c>
      <c r="T373" s="123"/>
      <c r="U373" s="123"/>
      <c r="V373" s="123" t="s">
        <v>3403</v>
      </c>
      <c r="W373" s="123"/>
      <c r="X373" s="123"/>
      <c r="Y373" s="123"/>
      <c r="Z373" s="123"/>
      <c r="AA373" s="123"/>
      <c r="AB373" s="123"/>
      <c r="AC373" s="123"/>
      <c r="AD373" s="123"/>
      <c r="AE373" s="123"/>
      <c r="AF373" s="123"/>
      <c r="AG373" s="123"/>
      <c r="AH373" s="123"/>
      <c r="AI373" s="123"/>
      <c r="AJ373" s="123"/>
    </row>
    <row r="374" ht="15.75" customHeight="1">
      <c r="A374" s="123">
        <v>384.0</v>
      </c>
      <c r="B374" s="124" t="s">
        <v>1230</v>
      </c>
      <c r="C374" s="124" t="s">
        <v>106</v>
      </c>
      <c r="D374" s="124" t="s">
        <v>64</v>
      </c>
      <c r="E374" s="124" t="s">
        <v>280</v>
      </c>
      <c r="F374" s="125">
        <v>10.0</v>
      </c>
      <c r="G374" s="124" t="s">
        <v>6186</v>
      </c>
      <c r="H374" s="124" t="s">
        <v>526</v>
      </c>
      <c r="I374" s="125">
        <v>20000.0</v>
      </c>
      <c r="J374" s="123"/>
      <c r="K374" s="124" t="s">
        <v>117</v>
      </c>
      <c r="L374" s="125">
        <v>40.0</v>
      </c>
      <c r="M374" s="124" t="s">
        <v>6187</v>
      </c>
      <c r="N374" s="124" t="s">
        <v>6188</v>
      </c>
      <c r="O374" s="79" t="s">
        <v>408</v>
      </c>
      <c r="P374" s="124">
        <v>2008.0</v>
      </c>
      <c r="Q374" s="124" t="s">
        <v>6189</v>
      </c>
      <c r="R374" s="123"/>
      <c r="S374" s="123"/>
      <c r="T374" s="123"/>
      <c r="U374" s="123"/>
      <c r="V374" s="123" t="s">
        <v>3233</v>
      </c>
      <c r="W374" s="123"/>
      <c r="X374" s="123"/>
      <c r="Y374" s="123"/>
      <c r="Z374" s="123"/>
      <c r="AA374" s="123"/>
      <c r="AB374" s="123"/>
      <c r="AC374" s="123"/>
      <c r="AD374" s="123"/>
      <c r="AE374" s="123"/>
      <c r="AF374" s="123"/>
      <c r="AG374" s="123"/>
      <c r="AH374" s="123"/>
      <c r="AI374" s="123"/>
      <c r="AJ374" s="123"/>
    </row>
    <row r="375" ht="15.75" customHeight="1">
      <c r="A375" s="123">
        <v>385.0</v>
      </c>
      <c r="B375" s="124" t="s">
        <v>1230</v>
      </c>
      <c r="C375" s="124" t="s">
        <v>106</v>
      </c>
      <c r="D375" s="124" t="s">
        <v>1988</v>
      </c>
      <c r="E375" s="124" t="s">
        <v>3276</v>
      </c>
      <c r="F375" s="125" t="s">
        <v>3277</v>
      </c>
      <c r="G375" s="124" t="s">
        <v>224</v>
      </c>
      <c r="H375" s="124" t="s">
        <v>169</v>
      </c>
      <c r="I375" s="125">
        <v>20000.0</v>
      </c>
      <c r="J375" s="123"/>
      <c r="K375" s="124" t="s">
        <v>111</v>
      </c>
      <c r="L375" s="125">
        <v>41.0</v>
      </c>
      <c r="M375" s="124" t="s">
        <v>3278</v>
      </c>
      <c r="N375" s="124" t="s">
        <v>3279</v>
      </c>
      <c r="O375" s="124" t="s">
        <v>3263</v>
      </c>
      <c r="P375" s="124">
        <v>2002.0</v>
      </c>
      <c r="Q375" s="124" t="s">
        <v>3280</v>
      </c>
      <c r="R375" s="127" t="str">
        <f>HYPERLINK("http://eab.sagepub.com/content/34/2/163.short","http://eab.sagepub.com/content/34/2/163.short")</f>
        <v>http://eab.sagepub.com/content/34/2/163.short</v>
      </c>
      <c r="S375" s="123" t="s">
        <v>3288</v>
      </c>
      <c r="T375" s="123"/>
      <c r="U375" s="123"/>
      <c r="V375" s="123"/>
      <c r="W375" s="123"/>
      <c r="X375" s="123"/>
      <c r="Y375" s="123"/>
      <c r="Z375" s="123"/>
      <c r="AA375" s="123"/>
      <c r="AB375" s="123"/>
      <c r="AC375" s="123"/>
      <c r="AD375" s="123"/>
      <c r="AE375" s="123"/>
      <c r="AF375" s="123"/>
      <c r="AG375" s="123"/>
      <c r="AH375" s="123"/>
      <c r="AI375" s="123"/>
      <c r="AJ375" s="123"/>
    </row>
    <row r="376" ht="15.75" customHeight="1">
      <c r="A376" s="123">
        <v>386.0</v>
      </c>
      <c r="B376" s="124" t="s">
        <v>1230</v>
      </c>
      <c r="C376" s="124" t="s">
        <v>106</v>
      </c>
      <c r="D376" s="124" t="s">
        <v>64</v>
      </c>
      <c r="E376" s="124" t="s">
        <v>712</v>
      </c>
      <c r="F376" s="125">
        <v>7.0</v>
      </c>
      <c r="G376" s="124" t="s">
        <v>224</v>
      </c>
      <c r="H376" s="124" t="s">
        <v>2103</v>
      </c>
      <c r="I376" s="125">
        <v>7000.0</v>
      </c>
      <c r="J376" s="123"/>
      <c r="K376" s="124" t="s">
        <v>111</v>
      </c>
      <c r="L376" s="125">
        <v>41.0</v>
      </c>
      <c r="M376" s="124" t="s">
        <v>4738</v>
      </c>
      <c r="N376" s="124" t="s">
        <v>4740</v>
      </c>
      <c r="O376" s="124" t="s">
        <v>4742</v>
      </c>
      <c r="P376" s="124">
        <v>2006.0</v>
      </c>
      <c r="Q376" s="124" t="s">
        <v>4748</v>
      </c>
      <c r="R376" s="123"/>
      <c r="S376" s="123"/>
      <c r="T376" s="123"/>
      <c r="U376" s="123"/>
      <c r="V376" s="123"/>
      <c r="W376" s="123"/>
      <c r="X376" s="123"/>
      <c r="Y376" s="123"/>
      <c r="Z376" s="129"/>
      <c r="AA376" s="129"/>
      <c r="AB376" s="129"/>
      <c r="AC376" s="129"/>
      <c r="AD376" s="129"/>
      <c r="AE376" s="123"/>
      <c r="AF376" s="129"/>
      <c r="AG376" s="123"/>
      <c r="AH376" s="123"/>
      <c r="AI376" s="123"/>
      <c r="AJ376" s="123"/>
    </row>
    <row r="377" ht="15.75" customHeight="1">
      <c r="A377" s="123">
        <v>387.0</v>
      </c>
      <c r="B377" s="124" t="s">
        <v>1230</v>
      </c>
      <c r="C377" s="124" t="s">
        <v>106</v>
      </c>
      <c r="D377" s="124" t="s">
        <v>64</v>
      </c>
      <c r="E377" s="124" t="s">
        <v>712</v>
      </c>
      <c r="F377" s="125">
        <v>7.0</v>
      </c>
      <c r="G377" s="124" t="s">
        <v>224</v>
      </c>
      <c r="H377" s="124" t="s">
        <v>470</v>
      </c>
      <c r="I377" s="125">
        <v>3000.0</v>
      </c>
      <c r="J377" s="123"/>
      <c r="K377" s="124" t="s">
        <v>289</v>
      </c>
      <c r="L377" s="125">
        <v>40.0</v>
      </c>
      <c r="M377" s="124" t="s">
        <v>3027</v>
      </c>
      <c r="N377" s="124" t="s">
        <v>3029</v>
      </c>
      <c r="O377" s="124" t="s">
        <v>239</v>
      </c>
      <c r="P377" s="124">
        <v>1980.0</v>
      </c>
      <c r="Q377" s="124" t="s">
        <v>3032</v>
      </c>
      <c r="R377" s="123"/>
      <c r="S377" s="123"/>
      <c r="T377" s="123"/>
      <c r="U377" s="123"/>
      <c r="V377" s="123"/>
      <c r="W377" s="123"/>
      <c r="X377" s="123"/>
      <c r="Y377" s="123"/>
      <c r="Z377" s="123"/>
      <c r="AA377" s="123"/>
      <c r="AB377" s="123"/>
      <c r="AC377" s="123"/>
      <c r="AD377" s="123"/>
      <c r="AE377" s="123"/>
      <c r="AF377" s="123"/>
      <c r="AG377" s="123"/>
      <c r="AH377" s="123"/>
      <c r="AI377" s="123"/>
      <c r="AJ377" s="123"/>
    </row>
    <row r="378" ht="15.75" customHeight="1">
      <c r="A378" s="123">
        <v>388.0</v>
      </c>
      <c r="B378" s="124" t="s">
        <v>1230</v>
      </c>
      <c r="C378" s="124" t="s">
        <v>106</v>
      </c>
      <c r="D378" s="124" t="s">
        <v>64</v>
      </c>
      <c r="E378" s="124" t="s">
        <v>712</v>
      </c>
      <c r="F378" s="125">
        <v>7.0</v>
      </c>
      <c r="G378" s="124" t="s">
        <v>714</v>
      </c>
      <c r="H378" s="124" t="s">
        <v>605</v>
      </c>
      <c r="I378" s="125">
        <v>4000.0</v>
      </c>
      <c r="J378" s="123"/>
      <c r="K378" s="124" t="s">
        <v>289</v>
      </c>
      <c r="L378" s="125">
        <v>40.0</v>
      </c>
      <c r="M378" s="124" t="s">
        <v>6198</v>
      </c>
      <c r="N378" s="124" t="s">
        <v>6199</v>
      </c>
      <c r="O378" s="124" t="s">
        <v>3953</v>
      </c>
      <c r="P378" s="124">
        <v>2007.0</v>
      </c>
      <c r="Q378" s="124" t="s">
        <v>6200</v>
      </c>
      <c r="R378" s="123" t="s">
        <v>6204</v>
      </c>
      <c r="S378" s="123"/>
      <c r="T378" s="123" t="s">
        <v>5456</v>
      </c>
      <c r="U378" s="123" t="s">
        <v>5457</v>
      </c>
      <c r="V378" s="123"/>
      <c r="W378" s="123" t="s">
        <v>663</v>
      </c>
      <c r="X378" s="123"/>
      <c r="Y378" s="123"/>
      <c r="Z378" s="123"/>
      <c r="AA378" s="123"/>
      <c r="AB378" s="123"/>
      <c r="AC378" s="123"/>
      <c r="AD378" s="123"/>
      <c r="AE378" s="123"/>
      <c r="AF378" s="123"/>
      <c r="AG378" s="123"/>
      <c r="AH378" s="123"/>
      <c r="AI378" s="123"/>
      <c r="AJ378" s="123" t="s">
        <v>1023</v>
      </c>
    </row>
    <row r="379" ht="15.75" customHeight="1">
      <c r="A379" s="123">
        <v>389.0</v>
      </c>
      <c r="B379" s="124" t="s">
        <v>1230</v>
      </c>
      <c r="C379" s="124" t="s">
        <v>106</v>
      </c>
      <c r="D379" s="124" t="s">
        <v>64</v>
      </c>
      <c r="E379" s="124" t="s">
        <v>712</v>
      </c>
      <c r="F379" s="125">
        <v>7.0</v>
      </c>
      <c r="G379" s="124" t="s">
        <v>714</v>
      </c>
      <c r="H379" s="124" t="s">
        <v>2293</v>
      </c>
      <c r="I379" s="125">
        <v>23000.0</v>
      </c>
      <c r="J379" s="123"/>
      <c r="K379" s="124" t="s">
        <v>289</v>
      </c>
      <c r="L379" s="125">
        <v>40.0</v>
      </c>
      <c r="M379" s="124" t="s">
        <v>6210</v>
      </c>
      <c r="N379" s="124" t="s">
        <v>6211</v>
      </c>
      <c r="O379" s="124" t="s">
        <v>6212</v>
      </c>
      <c r="P379" s="124">
        <v>2006.0</v>
      </c>
      <c r="Q379" s="124" t="s">
        <v>6216</v>
      </c>
      <c r="R379" s="123" t="s">
        <v>6217</v>
      </c>
      <c r="S379" s="123"/>
      <c r="T379" s="123" t="s">
        <v>462</v>
      </c>
      <c r="U379" s="123" t="s">
        <v>428</v>
      </c>
      <c r="V379" s="123"/>
      <c r="W379" s="123"/>
      <c r="X379" s="123"/>
      <c r="Y379" s="123"/>
      <c r="Z379" s="123"/>
      <c r="AA379" s="123"/>
      <c r="AB379" s="123"/>
      <c r="AC379" s="123"/>
      <c r="AD379" s="123"/>
      <c r="AE379" s="123"/>
      <c r="AF379" s="123"/>
      <c r="AG379" s="123"/>
      <c r="AH379" s="123"/>
      <c r="AI379" s="123"/>
      <c r="AJ379" s="123" t="s">
        <v>5850</v>
      </c>
    </row>
    <row r="380" ht="15.75" customHeight="1">
      <c r="A380" s="123">
        <v>390.0</v>
      </c>
      <c r="B380" s="124" t="s">
        <v>1230</v>
      </c>
      <c r="C380" s="124" t="s">
        <v>106</v>
      </c>
      <c r="D380" s="124" t="s">
        <v>64</v>
      </c>
      <c r="E380" s="124" t="s">
        <v>712</v>
      </c>
      <c r="F380" s="125">
        <v>7.0</v>
      </c>
      <c r="G380" s="124" t="s">
        <v>714</v>
      </c>
      <c r="H380" s="124" t="s">
        <v>470</v>
      </c>
      <c r="I380" s="125">
        <v>3000.0</v>
      </c>
      <c r="J380" s="123"/>
      <c r="K380" s="124" t="s">
        <v>289</v>
      </c>
      <c r="L380" s="125">
        <v>40.0</v>
      </c>
      <c r="M380" s="124" t="s">
        <v>5496</v>
      </c>
      <c r="N380" s="124" t="s">
        <v>5498</v>
      </c>
      <c r="O380" s="124" t="s">
        <v>5499</v>
      </c>
      <c r="P380" s="124">
        <v>2011.0</v>
      </c>
      <c r="Q380" s="124" t="s">
        <v>5503</v>
      </c>
      <c r="R380" s="123"/>
      <c r="S380" s="123"/>
      <c r="T380" s="123"/>
      <c r="U380" s="123"/>
      <c r="V380" s="123"/>
      <c r="W380" s="123"/>
      <c r="X380" s="123"/>
      <c r="Y380" s="123"/>
      <c r="Z380" s="123"/>
      <c r="AA380" s="123"/>
      <c r="AB380" s="123"/>
      <c r="AC380" s="123"/>
      <c r="AD380" s="123"/>
      <c r="AE380" s="123"/>
      <c r="AF380" s="123"/>
      <c r="AG380" s="123"/>
      <c r="AH380" s="123"/>
      <c r="AI380" s="123"/>
      <c r="AJ380" s="123"/>
    </row>
    <row r="381" ht="15.75" customHeight="1">
      <c r="A381" s="123">
        <v>391.0</v>
      </c>
      <c r="B381" s="124" t="s">
        <v>1230</v>
      </c>
      <c r="C381" s="124" t="s">
        <v>106</v>
      </c>
      <c r="D381" s="124" t="s">
        <v>64</v>
      </c>
      <c r="E381" s="124" t="s">
        <v>712</v>
      </c>
      <c r="F381" s="125">
        <v>7.0</v>
      </c>
      <c r="G381" s="124" t="s">
        <v>714</v>
      </c>
      <c r="H381" s="124" t="s">
        <v>116</v>
      </c>
      <c r="I381" s="125">
        <v>3000.0</v>
      </c>
      <c r="J381" s="123"/>
      <c r="K381" s="124" t="s">
        <v>331</v>
      </c>
      <c r="L381" s="125">
        <v>45.0</v>
      </c>
      <c r="M381" s="124" t="s">
        <v>4362</v>
      </c>
      <c r="N381" s="124" t="s">
        <v>4363</v>
      </c>
      <c r="O381" s="124" t="s">
        <v>3766</v>
      </c>
      <c r="P381" s="126">
        <v>2015.0</v>
      </c>
      <c r="Q381" s="124" t="s">
        <v>4367</v>
      </c>
      <c r="R381" s="127" t="str">
        <f>HYPERLINK("http://www.ideas42.org/wp-content/uploads/2015/04/Belen-Paper-Final.pdf","http://www.ideas42.org/wp-content/uploads/2015/04/Belen-Paper-Final.pdf")</f>
        <v>http://www.ideas42.org/wp-content/uploads/2015/04/Belen-Paper-Final.pdf</v>
      </c>
      <c r="S381" s="123"/>
      <c r="T381" s="123"/>
      <c r="U381" s="123"/>
      <c r="V381" s="123"/>
      <c r="W381" s="123"/>
      <c r="X381" s="123"/>
      <c r="Y381" s="123"/>
      <c r="Z381" s="129"/>
      <c r="AA381" s="123"/>
      <c r="AB381" s="129"/>
      <c r="AC381" s="123"/>
      <c r="AD381" s="123"/>
      <c r="AE381" s="123"/>
      <c r="AF381" s="123"/>
      <c r="AG381" s="123"/>
      <c r="AH381" s="123"/>
      <c r="AI381" s="123"/>
      <c r="AJ381" s="123"/>
    </row>
    <row r="382" ht="15.75" customHeight="1">
      <c r="A382" s="123">
        <v>392.0</v>
      </c>
      <c r="B382" s="124" t="s">
        <v>1230</v>
      </c>
      <c r="C382" s="124" t="s">
        <v>106</v>
      </c>
      <c r="D382" s="124" t="s">
        <v>64</v>
      </c>
      <c r="E382" s="124" t="s">
        <v>712</v>
      </c>
      <c r="F382" s="125">
        <v>7.0</v>
      </c>
      <c r="G382" s="124" t="s">
        <v>714</v>
      </c>
      <c r="H382" s="124" t="s">
        <v>470</v>
      </c>
      <c r="I382" s="125">
        <v>3000.0</v>
      </c>
      <c r="J382" s="123"/>
      <c r="K382" s="124" t="s">
        <v>289</v>
      </c>
      <c r="L382" s="125">
        <v>40.0</v>
      </c>
      <c r="M382" s="124" t="s">
        <v>715</v>
      </c>
      <c r="N382" s="124" t="s">
        <v>716</v>
      </c>
      <c r="O382" s="124" t="s">
        <v>699</v>
      </c>
      <c r="P382" s="126">
        <v>2014.0</v>
      </c>
      <c r="Q382" s="124" t="s">
        <v>725</v>
      </c>
      <c r="R382" s="123" t="s">
        <v>726</v>
      </c>
      <c r="S382" s="123"/>
      <c r="T382" s="123"/>
      <c r="U382" s="123"/>
      <c r="V382" s="123"/>
      <c r="W382" s="123"/>
      <c r="X382" s="123"/>
      <c r="Y382" s="123"/>
      <c r="Z382" s="123"/>
      <c r="AA382" s="123"/>
      <c r="AB382" s="123"/>
      <c r="AC382" s="123"/>
      <c r="AD382" s="123"/>
      <c r="AE382" s="123"/>
      <c r="AF382" s="123"/>
      <c r="AG382" s="123"/>
      <c r="AH382" s="123"/>
      <c r="AI382" s="123"/>
      <c r="AJ382" s="123"/>
    </row>
    <row r="383" ht="15.75" customHeight="1">
      <c r="A383" s="123">
        <v>393.0</v>
      </c>
      <c r="B383" s="124" t="s">
        <v>1230</v>
      </c>
      <c r="C383" s="124" t="s">
        <v>106</v>
      </c>
      <c r="D383" s="124" t="s">
        <v>64</v>
      </c>
      <c r="E383" s="124" t="s">
        <v>712</v>
      </c>
      <c r="F383" s="125">
        <v>7.0</v>
      </c>
      <c r="G383" s="124" t="s">
        <v>6233</v>
      </c>
      <c r="H383" s="124" t="s">
        <v>1052</v>
      </c>
      <c r="I383" s="125">
        <v>21000.0</v>
      </c>
      <c r="J383" s="123"/>
      <c r="K383" s="124" t="s">
        <v>431</v>
      </c>
      <c r="L383" s="125">
        <v>40.0</v>
      </c>
      <c r="M383" s="124" t="s">
        <v>6235</v>
      </c>
      <c r="N383" s="124" t="s">
        <v>6236</v>
      </c>
      <c r="O383" s="124" t="s">
        <v>6237</v>
      </c>
      <c r="P383" s="124">
        <v>2014.0</v>
      </c>
      <c r="Q383" s="124" t="s">
        <v>6238</v>
      </c>
      <c r="R383" s="123"/>
      <c r="S383" s="123"/>
      <c r="T383" s="123"/>
      <c r="U383" s="123"/>
      <c r="V383" s="123"/>
      <c r="W383" s="123"/>
      <c r="X383" s="123"/>
      <c r="Y383" s="123"/>
      <c r="Z383" s="129"/>
      <c r="AA383" s="123"/>
      <c r="AB383" s="129"/>
      <c r="AC383" s="123"/>
      <c r="AD383" s="123"/>
      <c r="AE383" s="123"/>
      <c r="AF383" s="123"/>
      <c r="AG383" s="123"/>
      <c r="AH383" s="123"/>
      <c r="AI383" s="123"/>
      <c r="AJ383" s="123"/>
    </row>
    <row r="384" ht="15.75" customHeight="1">
      <c r="A384" s="123">
        <v>394.0</v>
      </c>
      <c r="B384" s="124" t="s">
        <v>1230</v>
      </c>
      <c r="C384" s="124" t="s">
        <v>106</v>
      </c>
      <c r="D384" s="124" t="s">
        <v>64</v>
      </c>
      <c r="E384" s="124" t="s">
        <v>712</v>
      </c>
      <c r="F384" s="125">
        <v>7.0</v>
      </c>
      <c r="G384" s="124" t="s">
        <v>1800</v>
      </c>
      <c r="H384" s="124" t="s">
        <v>470</v>
      </c>
      <c r="I384" s="125">
        <v>3000.0</v>
      </c>
      <c r="J384" s="123"/>
      <c r="K384" s="124" t="s">
        <v>289</v>
      </c>
      <c r="L384" s="125">
        <v>40.0</v>
      </c>
      <c r="M384" s="124" t="s">
        <v>1807</v>
      </c>
      <c r="N384" s="124" t="s">
        <v>188</v>
      </c>
      <c r="O384" s="124" t="s">
        <v>1787</v>
      </c>
      <c r="P384" s="126">
        <v>2013.0</v>
      </c>
      <c r="Q384" s="124" t="s">
        <v>753</v>
      </c>
      <c r="R384" s="123" t="s">
        <v>1808</v>
      </c>
      <c r="S384" s="123"/>
      <c r="T384" s="123"/>
      <c r="U384" s="123"/>
      <c r="V384" s="123"/>
      <c r="W384" s="123"/>
      <c r="X384" s="123"/>
      <c r="Y384" s="123"/>
      <c r="Z384" s="123"/>
      <c r="AA384" s="123"/>
      <c r="AB384" s="123"/>
      <c r="AC384" s="123"/>
      <c r="AD384" s="123"/>
      <c r="AE384" s="123"/>
      <c r="AF384" s="123"/>
      <c r="AG384" s="123"/>
      <c r="AH384" s="123"/>
      <c r="AI384" s="123"/>
      <c r="AJ384" s="123"/>
    </row>
    <row r="385" ht="15.75" customHeight="1">
      <c r="A385" s="123">
        <v>395.0</v>
      </c>
      <c r="B385" s="124" t="s">
        <v>1230</v>
      </c>
      <c r="C385" s="124" t="s">
        <v>106</v>
      </c>
      <c r="D385" s="124" t="s">
        <v>64</v>
      </c>
      <c r="E385" s="124" t="s">
        <v>712</v>
      </c>
      <c r="F385" s="125">
        <v>7.0</v>
      </c>
      <c r="G385" s="124" t="s">
        <v>2342</v>
      </c>
      <c r="H385" s="124" t="s">
        <v>605</v>
      </c>
      <c r="I385" s="125">
        <v>4000.0</v>
      </c>
      <c r="J385" s="123"/>
      <c r="K385" s="124" t="s">
        <v>289</v>
      </c>
      <c r="L385" s="125">
        <v>40.0</v>
      </c>
      <c r="M385" s="124" t="s">
        <v>5259</v>
      </c>
      <c r="N385" s="124" t="s">
        <v>5260</v>
      </c>
      <c r="O385" s="124" t="s">
        <v>3992</v>
      </c>
      <c r="P385" s="124">
        <v>2015.0</v>
      </c>
      <c r="Q385" s="124" t="s">
        <v>5262</v>
      </c>
      <c r="R385" s="123" t="s">
        <v>5263</v>
      </c>
      <c r="S385" s="123"/>
      <c r="T385" s="123" t="s">
        <v>428</v>
      </c>
      <c r="U385" s="123" t="s">
        <v>462</v>
      </c>
      <c r="V385" s="123"/>
      <c r="W385" s="123"/>
      <c r="X385" s="123" t="s">
        <v>561</v>
      </c>
      <c r="Y385" s="123" t="s">
        <v>5264</v>
      </c>
      <c r="Z385" s="129">
        <v>42404.0</v>
      </c>
      <c r="AA385" s="123" t="s">
        <v>5265</v>
      </c>
      <c r="AB385" s="129">
        <v>42514.0</v>
      </c>
      <c r="AC385" s="123"/>
      <c r="AD385" s="123"/>
      <c r="AE385" s="123"/>
      <c r="AF385" s="123"/>
      <c r="AG385" s="123"/>
      <c r="AH385" s="123"/>
      <c r="AI385" s="123"/>
      <c r="AJ385" s="123" t="s">
        <v>927</v>
      </c>
    </row>
    <row r="386" ht="15.75" customHeight="1">
      <c r="A386" s="123">
        <v>396.0</v>
      </c>
      <c r="B386" s="124" t="s">
        <v>1230</v>
      </c>
      <c r="C386" s="124" t="s">
        <v>106</v>
      </c>
      <c r="D386" s="124" t="s">
        <v>64</v>
      </c>
      <c r="E386" s="124" t="s">
        <v>712</v>
      </c>
      <c r="F386" s="125">
        <v>7.0</v>
      </c>
      <c r="G386" s="124" t="s">
        <v>2342</v>
      </c>
      <c r="H386" s="124" t="s">
        <v>2345</v>
      </c>
      <c r="I386" s="125" t="s">
        <v>2344</v>
      </c>
      <c r="J386" s="123"/>
      <c r="K386" s="124" t="s">
        <v>289</v>
      </c>
      <c r="L386" s="125">
        <v>40.0</v>
      </c>
      <c r="M386" s="124" t="s">
        <v>2346</v>
      </c>
      <c r="N386" s="124" t="s">
        <v>2347</v>
      </c>
      <c r="O386" s="124" t="s">
        <v>2348</v>
      </c>
      <c r="P386" s="124">
        <v>2003.0</v>
      </c>
      <c r="Q386" s="124" t="s">
        <v>2351</v>
      </c>
      <c r="R386" s="123" t="s">
        <v>2353</v>
      </c>
      <c r="S386" s="123"/>
      <c r="T386" s="123" t="s">
        <v>2354</v>
      </c>
      <c r="U386" s="123" t="s">
        <v>462</v>
      </c>
      <c r="V386" s="123"/>
      <c r="W386" s="123"/>
      <c r="X386" s="123" t="s">
        <v>561</v>
      </c>
      <c r="Y386" s="123" t="s">
        <v>2355</v>
      </c>
      <c r="Z386" s="129">
        <v>42508.0</v>
      </c>
      <c r="AA386" s="123"/>
      <c r="AB386" s="123"/>
      <c r="AC386" s="123"/>
      <c r="AD386" s="123"/>
      <c r="AE386" s="123"/>
      <c r="AF386" s="123"/>
      <c r="AG386" s="123"/>
      <c r="AH386" s="123"/>
      <c r="AI386" s="123"/>
      <c r="AJ386" s="123"/>
    </row>
    <row r="387" ht="15.75" customHeight="1">
      <c r="A387" s="123">
        <v>397.0</v>
      </c>
      <c r="B387" s="124" t="s">
        <v>1230</v>
      </c>
      <c r="C387" s="124" t="s">
        <v>106</v>
      </c>
      <c r="D387" s="124" t="s">
        <v>64</v>
      </c>
      <c r="E387" s="124" t="s">
        <v>712</v>
      </c>
      <c r="F387" s="125">
        <v>7.0</v>
      </c>
      <c r="G387" s="124" t="s">
        <v>2342</v>
      </c>
      <c r="H387" s="124" t="s">
        <v>3451</v>
      </c>
      <c r="I387" s="125">
        <v>21000.0</v>
      </c>
      <c r="J387" s="123"/>
      <c r="K387" s="124" t="s">
        <v>289</v>
      </c>
      <c r="L387" s="125">
        <v>40.0</v>
      </c>
      <c r="M387" s="124" t="s">
        <v>5448</v>
      </c>
      <c r="N387" s="124" t="s">
        <v>5449</v>
      </c>
      <c r="O387" s="124" t="s">
        <v>4694</v>
      </c>
      <c r="P387" s="124">
        <v>1990.0</v>
      </c>
      <c r="Q387" s="124" t="s">
        <v>5453</v>
      </c>
      <c r="R387" s="123" t="s">
        <v>5455</v>
      </c>
      <c r="S387" s="123"/>
      <c r="T387" s="123" t="s">
        <v>5456</v>
      </c>
      <c r="U387" s="123" t="s">
        <v>5457</v>
      </c>
      <c r="V387" s="123"/>
      <c r="W387" s="123"/>
      <c r="X387" s="123" t="s">
        <v>561</v>
      </c>
      <c r="Y387" s="123" t="s">
        <v>5458</v>
      </c>
      <c r="Z387" s="129">
        <v>42500.0</v>
      </c>
      <c r="AA387" s="123"/>
      <c r="AB387" s="123"/>
      <c r="AC387" s="123"/>
      <c r="AD387" s="123"/>
      <c r="AE387" s="123"/>
      <c r="AF387" s="123"/>
      <c r="AG387" s="123"/>
      <c r="AH387" s="123"/>
      <c r="AI387" s="123"/>
      <c r="AJ387" s="123"/>
    </row>
    <row r="388" ht="15.75" customHeight="1">
      <c r="A388" s="123">
        <v>398.0</v>
      </c>
      <c r="B388" s="124" t="s">
        <v>1230</v>
      </c>
      <c r="C388" s="124" t="s">
        <v>106</v>
      </c>
      <c r="D388" s="124" t="s">
        <v>64</v>
      </c>
      <c r="E388" s="124" t="s">
        <v>712</v>
      </c>
      <c r="F388" s="125">
        <v>7.0</v>
      </c>
      <c r="G388" s="124" t="s">
        <v>2342</v>
      </c>
      <c r="H388" s="124" t="s">
        <v>552</v>
      </c>
      <c r="I388" s="125">
        <v>6000.0</v>
      </c>
      <c r="J388" s="123"/>
      <c r="K388" s="124" t="s">
        <v>111</v>
      </c>
      <c r="L388" s="125">
        <v>41.0</v>
      </c>
      <c r="M388" s="124" t="s">
        <v>3585</v>
      </c>
      <c r="N388" s="124" t="s">
        <v>3586</v>
      </c>
      <c r="O388" s="124" t="s">
        <v>3587</v>
      </c>
      <c r="P388" s="124">
        <v>2012.0</v>
      </c>
      <c r="Q388" s="124" t="s">
        <v>3589</v>
      </c>
      <c r="R388" s="123" t="s">
        <v>3590</v>
      </c>
      <c r="S388" s="123"/>
      <c r="T388" s="123" t="s">
        <v>428</v>
      </c>
      <c r="U388" s="123" t="s">
        <v>462</v>
      </c>
      <c r="V388" s="123"/>
      <c r="W388" s="123"/>
      <c r="X388" s="123" t="s">
        <v>561</v>
      </c>
      <c r="Y388" s="123" t="s">
        <v>3593</v>
      </c>
      <c r="Z388" s="129">
        <v>42401.0</v>
      </c>
      <c r="AA388" s="123"/>
      <c r="AB388" s="123"/>
      <c r="AC388" s="123"/>
      <c r="AD388" s="123"/>
      <c r="AE388" s="123"/>
      <c r="AF388" s="123"/>
      <c r="AG388" s="123"/>
      <c r="AH388" s="123"/>
      <c r="AI388" s="123"/>
      <c r="AJ388" s="123"/>
    </row>
    <row r="389" ht="15.75" customHeight="1">
      <c r="A389" s="123">
        <v>399.0</v>
      </c>
      <c r="B389" s="124" t="s">
        <v>1230</v>
      </c>
      <c r="C389" s="124" t="s">
        <v>106</v>
      </c>
      <c r="D389" s="124" t="s">
        <v>64</v>
      </c>
      <c r="E389" s="124" t="s">
        <v>712</v>
      </c>
      <c r="F389" s="125">
        <v>7.0</v>
      </c>
      <c r="G389" s="124" t="s">
        <v>2342</v>
      </c>
      <c r="H389" s="124" t="s">
        <v>185</v>
      </c>
      <c r="I389" s="125">
        <v>3000.0</v>
      </c>
      <c r="J389" s="123"/>
      <c r="K389" s="124" t="s">
        <v>289</v>
      </c>
      <c r="L389" s="125">
        <v>40.0</v>
      </c>
      <c r="M389" s="124" t="s">
        <v>4977</v>
      </c>
      <c r="N389" s="124" t="s">
        <v>4978</v>
      </c>
      <c r="O389" s="124" t="s">
        <v>4979</v>
      </c>
      <c r="P389" s="124">
        <v>2008.0</v>
      </c>
      <c r="Q389" s="124" t="s">
        <v>4981</v>
      </c>
      <c r="R389" s="123" t="s">
        <v>4982</v>
      </c>
      <c r="S389" s="123"/>
      <c r="T389" s="123" t="s">
        <v>4983</v>
      </c>
      <c r="U389" s="123" t="s">
        <v>4984</v>
      </c>
      <c r="V389" s="123"/>
      <c r="W389" s="123"/>
      <c r="X389" s="123" t="s">
        <v>561</v>
      </c>
      <c r="Y389" s="123" t="s">
        <v>4985</v>
      </c>
      <c r="Z389" s="129">
        <v>42502.0</v>
      </c>
      <c r="AA389" s="123"/>
      <c r="AB389" s="123"/>
      <c r="AC389" s="123"/>
      <c r="AD389" s="123"/>
      <c r="AE389" s="123"/>
      <c r="AF389" s="123"/>
      <c r="AG389" s="123"/>
      <c r="AH389" s="123"/>
      <c r="AI389" s="123"/>
      <c r="AJ389" s="123"/>
    </row>
    <row r="390" ht="15.75" customHeight="1">
      <c r="A390" s="123">
        <v>400.0</v>
      </c>
      <c r="B390" s="124" t="s">
        <v>1230</v>
      </c>
      <c r="C390" s="124" t="s">
        <v>106</v>
      </c>
      <c r="D390" s="124" t="s">
        <v>64</v>
      </c>
      <c r="E390" s="124" t="s">
        <v>712</v>
      </c>
      <c r="F390" s="125">
        <v>7.0</v>
      </c>
      <c r="G390" s="124" t="s">
        <v>731</v>
      </c>
      <c r="H390" s="124" t="s">
        <v>3440</v>
      </c>
      <c r="I390" s="125">
        <v>21000.0</v>
      </c>
      <c r="J390" s="123"/>
      <c r="K390" s="124" t="s">
        <v>289</v>
      </c>
      <c r="L390" s="125">
        <v>40.0</v>
      </c>
      <c r="M390" s="124" t="s">
        <v>3441</v>
      </c>
      <c r="N390" s="124" t="s">
        <v>3442</v>
      </c>
      <c r="O390" s="124" t="s">
        <v>3263</v>
      </c>
      <c r="P390" s="124">
        <v>2013.0</v>
      </c>
      <c r="Q390" s="124" t="s">
        <v>3443</v>
      </c>
      <c r="R390" s="123" t="s">
        <v>3444</v>
      </c>
      <c r="S390" s="123"/>
      <c r="T390" s="123" t="s">
        <v>428</v>
      </c>
      <c r="U390" s="123" t="s">
        <v>462</v>
      </c>
      <c r="V390" s="123"/>
      <c r="W390" s="123"/>
      <c r="X390" s="123" t="s">
        <v>561</v>
      </c>
      <c r="Y390" s="123" t="s">
        <v>3446</v>
      </c>
      <c r="Z390" s="129">
        <v>42506.0</v>
      </c>
      <c r="AA390" s="123"/>
      <c r="AB390" s="123"/>
      <c r="AC390" s="123"/>
      <c r="AD390" s="123"/>
      <c r="AE390" s="123"/>
      <c r="AF390" s="123"/>
      <c r="AG390" s="123"/>
      <c r="AH390" s="123"/>
      <c r="AI390" s="123"/>
      <c r="AJ390" s="123"/>
    </row>
    <row r="391" ht="15.75" customHeight="1">
      <c r="A391" s="123">
        <v>401.0</v>
      </c>
      <c r="B391" s="124" t="s">
        <v>1230</v>
      </c>
      <c r="C391" s="124" t="s">
        <v>106</v>
      </c>
      <c r="D391" s="124" t="s">
        <v>64</v>
      </c>
      <c r="E391" s="124" t="s">
        <v>712</v>
      </c>
      <c r="F391" s="125">
        <v>7.0</v>
      </c>
      <c r="G391" s="124" t="s">
        <v>731</v>
      </c>
      <c r="H391" s="124" t="s">
        <v>1052</v>
      </c>
      <c r="I391" s="125">
        <v>21000.0</v>
      </c>
      <c r="J391" s="123"/>
      <c r="K391" s="124" t="s">
        <v>289</v>
      </c>
      <c r="L391" s="125">
        <v>40.0</v>
      </c>
      <c r="M391" s="124" t="s">
        <v>5906</v>
      </c>
      <c r="N391" s="124" t="s">
        <v>5907</v>
      </c>
      <c r="O391" s="124" t="s">
        <v>753</v>
      </c>
      <c r="P391" s="124">
        <v>2003.0</v>
      </c>
      <c r="Q391" s="124" t="s">
        <v>610</v>
      </c>
      <c r="R391" s="127" t="str">
        <f>HYPERLINK("http://www.acetiassociates.com/pubs/doverreport.pdf","http://www.acetiassociates.com/pubs/doverreport.pdf")</f>
        <v>http://www.acetiassociates.com/pubs/doverreport.pdf</v>
      </c>
      <c r="S391" s="123"/>
      <c r="T391" s="123" t="s">
        <v>428</v>
      </c>
      <c r="U391" s="123" t="s">
        <v>462</v>
      </c>
      <c r="V391" s="123"/>
      <c r="W391" s="123"/>
      <c r="X391" s="123"/>
      <c r="Y391" s="123"/>
      <c r="Z391" s="123"/>
      <c r="AA391" s="123"/>
      <c r="AB391" s="123"/>
      <c r="AC391" s="123"/>
      <c r="AD391" s="123"/>
      <c r="AE391" s="123"/>
      <c r="AF391" s="123"/>
      <c r="AG391" s="123"/>
      <c r="AH391" s="123"/>
      <c r="AI391" s="123"/>
      <c r="AJ391" s="123"/>
    </row>
    <row r="392" ht="15.75" customHeight="1">
      <c r="A392" s="123">
        <v>402.0</v>
      </c>
      <c r="B392" s="124" t="s">
        <v>1230</v>
      </c>
      <c r="C392" s="124" t="s">
        <v>106</v>
      </c>
      <c r="D392" s="124" t="s">
        <v>64</v>
      </c>
      <c r="E392" s="124" t="s">
        <v>712</v>
      </c>
      <c r="F392" s="125">
        <v>7.0</v>
      </c>
      <c r="G392" s="124" t="s">
        <v>731</v>
      </c>
      <c r="H392" s="124" t="s">
        <v>116</v>
      </c>
      <c r="I392" s="125">
        <v>3000.0</v>
      </c>
      <c r="J392" s="123"/>
      <c r="K392" s="124" t="s">
        <v>289</v>
      </c>
      <c r="L392" s="125">
        <v>40.0</v>
      </c>
      <c r="M392" s="124" t="s">
        <v>734</v>
      </c>
      <c r="N392" s="124" t="s">
        <v>735</v>
      </c>
      <c r="O392" s="124" t="s">
        <v>699</v>
      </c>
      <c r="P392" s="124">
        <v>2013.0</v>
      </c>
      <c r="Q392" s="124" t="s">
        <v>736</v>
      </c>
      <c r="R392" s="123" t="s">
        <v>737</v>
      </c>
      <c r="S392" s="123"/>
      <c r="T392" s="123" t="s">
        <v>428</v>
      </c>
      <c r="U392" s="123" t="s">
        <v>462</v>
      </c>
      <c r="V392" s="123"/>
      <c r="W392" s="123"/>
      <c r="X392" s="123" t="s">
        <v>561</v>
      </c>
      <c r="Y392" s="123" t="s">
        <v>738</v>
      </c>
      <c r="Z392" s="129">
        <v>42410.0</v>
      </c>
      <c r="AA392" s="123"/>
      <c r="AB392" s="123"/>
      <c r="AC392" s="123"/>
      <c r="AD392" s="123"/>
      <c r="AE392" s="123"/>
      <c r="AF392" s="123"/>
      <c r="AG392" s="123"/>
      <c r="AH392" s="123"/>
      <c r="AI392" s="123"/>
      <c r="AJ392" s="123"/>
    </row>
    <row r="393" ht="15.75" customHeight="1">
      <c r="A393" s="123">
        <v>403.0</v>
      </c>
      <c r="B393" s="124" t="s">
        <v>1230</v>
      </c>
      <c r="C393" s="124" t="s">
        <v>106</v>
      </c>
      <c r="D393" s="124" t="s">
        <v>64</v>
      </c>
      <c r="E393" s="124" t="s">
        <v>712</v>
      </c>
      <c r="F393" s="125">
        <v>7.0</v>
      </c>
      <c r="G393" s="124" t="s">
        <v>731</v>
      </c>
      <c r="H393" s="124" t="s">
        <v>1052</v>
      </c>
      <c r="I393" s="125">
        <v>21000.0</v>
      </c>
      <c r="J393" s="123"/>
      <c r="K393" s="124" t="s">
        <v>289</v>
      </c>
      <c r="L393" s="125">
        <v>40.0</v>
      </c>
      <c r="M393" s="124" t="s">
        <v>1053</v>
      </c>
      <c r="N393" s="124" t="s">
        <v>1054</v>
      </c>
      <c r="O393" s="124" t="s">
        <v>1055</v>
      </c>
      <c r="P393" s="124">
        <v>2006.0</v>
      </c>
      <c r="Q393" s="124" t="s">
        <v>1056</v>
      </c>
      <c r="R393" s="123" t="s">
        <v>1057</v>
      </c>
      <c r="S393" s="123"/>
      <c r="T393" s="123" t="s">
        <v>428</v>
      </c>
      <c r="U393" s="123" t="s">
        <v>462</v>
      </c>
      <c r="V393" s="123"/>
      <c r="W393" s="123"/>
      <c r="X393" s="123"/>
      <c r="Y393" s="123"/>
      <c r="Z393" s="123"/>
      <c r="AA393" s="123"/>
      <c r="AB393" s="123"/>
      <c r="AC393" s="123"/>
      <c r="AD393" s="123"/>
      <c r="AE393" s="123"/>
      <c r="AF393" s="123"/>
      <c r="AG393" s="123"/>
      <c r="AH393" s="123"/>
      <c r="AI393" s="123"/>
      <c r="AJ393" s="123"/>
    </row>
    <row r="394" ht="15.75" customHeight="1">
      <c r="A394" s="123">
        <v>404.0</v>
      </c>
      <c r="B394" s="124" t="s">
        <v>1230</v>
      </c>
      <c r="C394" s="124" t="s">
        <v>106</v>
      </c>
      <c r="D394" s="124" t="s">
        <v>64</v>
      </c>
      <c r="E394" s="124" t="s">
        <v>712</v>
      </c>
      <c r="F394" s="125">
        <v>7.0</v>
      </c>
      <c r="G394" s="124" t="s">
        <v>731</v>
      </c>
      <c r="H394" s="124" t="s">
        <v>470</v>
      </c>
      <c r="I394" s="125">
        <v>3000.0</v>
      </c>
      <c r="J394" s="123"/>
      <c r="K394" s="124" t="s">
        <v>289</v>
      </c>
      <c r="L394" s="125">
        <v>40.0</v>
      </c>
      <c r="M394" s="124" t="s">
        <v>6086</v>
      </c>
      <c r="N394" s="124" t="s">
        <v>6088</v>
      </c>
      <c r="O394" s="124" t="s">
        <v>5974</v>
      </c>
      <c r="P394" s="124">
        <v>2008.0</v>
      </c>
      <c r="Q394" s="124" t="s">
        <v>6090</v>
      </c>
      <c r="R394" s="123" t="s">
        <v>6091</v>
      </c>
      <c r="S394" s="123"/>
      <c r="T394" s="123" t="s">
        <v>6092</v>
      </c>
      <c r="U394" s="123" t="s">
        <v>6093</v>
      </c>
      <c r="V394" s="123"/>
      <c r="W394" s="123"/>
      <c r="X394" s="123" t="s">
        <v>6094</v>
      </c>
      <c r="Y394" s="123" t="s">
        <v>6095</v>
      </c>
      <c r="Z394" s="129" t="s">
        <v>6096</v>
      </c>
      <c r="AA394" s="123"/>
      <c r="AB394" s="123"/>
      <c r="AC394" s="123"/>
      <c r="AD394" s="123"/>
      <c r="AE394" s="123"/>
      <c r="AF394" s="123"/>
      <c r="AG394" s="123"/>
      <c r="AH394" s="123"/>
      <c r="AI394" s="123"/>
      <c r="AJ394" s="123"/>
    </row>
    <row r="395" ht="15.75" customHeight="1">
      <c r="A395" s="123">
        <v>405.0</v>
      </c>
      <c r="B395" s="124" t="s">
        <v>1230</v>
      </c>
      <c r="C395" s="124" t="s">
        <v>106</v>
      </c>
      <c r="D395" s="124" t="s">
        <v>64</v>
      </c>
      <c r="E395" s="124" t="s">
        <v>712</v>
      </c>
      <c r="F395" s="125">
        <v>7.0</v>
      </c>
      <c r="G395" s="124" t="s">
        <v>731</v>
      </c>
      <c r="H395" s="124" t="s">
        <v>605</v>
      </c>
      <c r="I395" s="125">
        <v>4000.0</v>
      </c>
      <c r="J395" s="123"/>
      <c r="K395" s="124" t="s">
        <v>289</v>
      </c>
      <c r="L395" s="125">
        <v>40.0</v>
      </c>
      <c r="M395" s="124" t="s">
        <v>6274</v>
      </c>
      <c r="N395" s="124" t="s">
        <v>6275</v>
      </c>
      <c r="O395" s="124" t="s">
        <v>5894</v>
      </c>
      <c r="P395" s="124">
        <v>2008.0</v>
      </c>
      <c r="Q395" s="124" t="s">
        <v>6090</v>
      </c>
      <c r="R395" s="127" t="str">
        <f>HYPERLINK("https://www.researchgate.net/publication/5305895_'Normative_Social_Influence_Is_Underdetected","https://www.researchgate.net/publication/5305895_'Normative_Social_Influence_Is_Underdetected")</f>
        <v>https://www.researchgate.net/publication/5305895_'Normative_Social_Influence_Is_Underdetected</v>
      </c>
      <c r="S395" s="123"/>
      <c r="T395" s="123" t="s">
        <v>428</v>
      </c>
      <c r="U395" s="123" t="s">
        <v>462</v>
      </c>
      <c r="V395" s="123"/>
      <c r="W395" s="123"/>
      <c r="X395" s="123"/>
      <c r="Y395" s="123"/>
      <c r="Z395" s="123"/>
      <c r="AA395" s="123"/>
      <c r="AB395" s="123"/>
      <c r="AC395" s="123"/>
      <c r="AD395" s="123"/>
      <c r="AE395" s="123"/>
      <c r="AF395" s="123"/>
      <c r="AG395" s="123"/>
      <c r="AH395" s="123"/>
      <c r="AI395" s="123"/>
      <c r="AJ395" s="123"/>
    </row>
    <row r="396" ht="15.75" customHeight="1">
      <c r="A396" s="123">
        <v>406.0</v>
      </c>
      <c r="B396" s="124" t="s">
        <v>1230</v>
      </c>
      <c r="C396" s="124" t="s">
        <v>106</v>
      </c>
      <c r="D396" s="124" t="s">
        <v>64</v>
      </c>
      <c r="E396" s="124" t="s">
        <v>712</v>
      </c>
      <c r="F396" s="125">
        <v>7.0</v>
      </c>
      <c r="G396" s="124" t="s">
        <v>731</v>
      </c>
      <c r="H396" s="124" t="s">
        <v>1052</v>
      </c>
      <c r="I396" s="125">
        <v>21000.0</v>
      </c>
      <c r="J396" s="123"/>
      <c r="K396" s="124" t="s">
        <v>111</v>
      </c>
      <c r="L396" s="125">
        <v>41.0</v>
      </c>
      <c r="M396" s="124" t="s">
        <v>4944</v>
      </c>
      <c r="N396" s="124" t="s">
        <v>4945</v>
      </c>
      <c r="O396" s="124" t="s">
        <v>4946</v>
      </c>
      <c r="P396" s="124">
        <v>2012.0</v>
      </c>
      <c r="Q396" s="124" t="s">
        <v>4950</v>
      </c>
      <c r="R396" s="123" t="s">
        <v>4951</v>
      </c>
      <c r="S396" s="123"/>
      <c r="T396" s="123" t="s">
        <v>462</v>
      </c>
      <c r="U396" s="123" t="s">
        <v>462</v>
      </c>
      <c r="V396" s="123"/>
      <c r="W396" s="123"/>
      <c r="X396" s="123"/>
      <c r="Y396" s="123"/>
      <c r="Z396" s="123"/>
      <c r="AA396" s="123"/>
      <c r="AB396" s="123"/>
      <c r="AC396" s="123"/>
      <c r="AD396" s="123"/>
      <c r="AE396" s="123"/>
      <c r="AF396" s="123"/>
      <c r="AG396" s="123"/>
      <c r="AH396" s="123"/>
      <c r="AI396" s="123"/>
      <c r="AJ396" s="123"/>
    </row>
    <row r="397" ht="15.75" customHeight="1">
      <c r="A397" s="123">
        <v>407.0</v>
      </c>
      <c r="B397" s="124" t="s">
        <v>1230</v>
      </c>
      <c r="C397" s="124" t="s">
        <v>106</v>
      </c>
      <c r="D397" s="124" t="s">
        <v>64</v>
      </c>
      <c r="E397" s="124" t="s">
        <v>712</v>
      </c>
      <c r="F397" s="125">
        <v>7.0</v>
      </c>
      <c r="G397" s="124" t="s">
        <v>3333</v>
      </c>
      <c r="H397" s="124" t="s">
        <v>3334</v>
      </c>
      <c r="I397" s="125">
        <v>3000.0</v>
      </c>
      <c r="J397" s="123"/>
      <c r="K397" s="124" t="s">
        <v>111</v>
      </c>
      <c r="L397" s="125">
        <v>41.0</v>
      </c>
      <c r="M397" s="124" t="s">
        <v>3336</v>
      </c>
      <c r="N397" s="124" t="s">
        <v>3337</v>
      </c>
      <c r="O397" s="124" t="s">
        <v>3263</v>
      </c>
      <c r="P397" s="124">
        <v>2013.0</v>
      </c>
      <c r="Q397" s="124" t="s">
        <v>3338</v>
      </c>
      <c r="R397" s="123"/>
      <c r="S397" s="123"/>
      <c r="T397" s="123"/>
      <c r="U397" s="123"/>
      <c r="V397" s="123" t="s">
        <v>3233</v>
      </c>
      <c r="W397" s="123"/>
      <c r="X397" s="123"/>
      <c r="Y397" s="123"/>
      <c r="Z397" s="123"/>
      <c r="AA397" s="123"/>
      <c r="AB397" s="123"/>
      <c r="AC397" s="123"/>
      <c r="AD397" s="123"/>
      <c r="AE397" s="123"/>
      <c r="AF397" s="123"/>
      <c r="AG397" s="123"/>
      <c r="AH397" s="123"/>
      <c r="AI397" s="123"/>
      <c r="AJ397" s="123"/>
    </row>
    <row r="398" ht="15.75" customHeight="1">
      <c r="A398" s="123">
        <v>408.0</v>
      </c>
      <c r="B398" s="124" t="s">
        <v>1230</v>
      </c>
      <c r="C398" s="124" t="s">
        <v>106</v>
      </c>
      <c r="D398" s="124" t="s">
        <v>64</v>
      </c>
      <c r="E398" s="124" t="s">
        <v>712</v>
      </c>
      <c r="F398" s="125">
        <v>7.0</v>
      </c>
      <c r="G398" s="124" t="s">
        <v>3333</v>
      </c>
      <c r="H398" s="124" t="s">
        <v>116</v>
      </c>
      <c r="I398" s="125">
        <v>3000.0</v>
      </c>
      <c r="J398" s="123"/>
      <c r="K398" s="124" t="s">
        <v>289</v>
      </c>
      <c r="L398" s="125">
        <v>40.0</v>
      </c>
      <c r="M398" s="124" t="s">
        <v>6287</v>
      </c>
      <c r="N398" s="124" t="s">
        <v>735</v>
      </c>
      <c r="O398" s="124" t="s">
        <v>6288</v>
      </c>
      <c r="P398" s="124">
        <v>2013.0</v>
      </c>
      <c r="Q398" s="124" t="s">
        <v>6290</v>
      </c>
      <c r="R398" s="123" t="s">
        <v>6291</v>
      </c>
      <c r="S398" s="123"/>
      <c r="T398" s="123" t="s">
        <v>428</v>
      </c>
      <c r="U398" s="123" t="s">
        <v>462</v>
      </c>
      <c r="V398" s="123"/>
      <c r="W398" s="123"/>
      <c r="X398" s="123" t="s">
        <v>561</v>
      </c>
      <c r="Y398" s="123" t="s">
        <v>6292</v>
      </c>
      <c r="Z398" s="129">
        <v>42411.0</v>
      </c>
      <c r="AA398" s="123"/>
      <c r="AB398" s="123"/>
      <c r="AC398" s="123"/>
      <c r="AD398" s="123"/>
      <c r="AE398" s="123"/>
      <c r="AF398" s="123"/>
      <c r="AG398" s="123"/>
      <c r="AH398" s="123"/>
      <c r="AI398" s="123"/>
      <c r="AJ398" s="123"/>
    </row>
    <row r="399" ht="15.75" customHeight="1">
      <c r="A399" s="123">
        <v>409.0</v>
      </c>
      <c r="B399" s="124" t="s">
        <v>1230</v>
      </c>
      <c r="C399" s="124" t="s">
        <v>106</v>
      </c>
      <c r="D399" s="124" t="s">
        <v>64</v>
      </c>
      <c r="E399" s="124" t="s">
        <v>712</v>
      </c>
      <c r="F399" s="125">
        <v>7.0</v>
      </c>
      <c r="G399" s="124" t="s">
        <v>6279</v>
      </c>
      <c r="H399" s="124" t="s">
        <v>605</v>
      </c>
      <c r="I399" s="125">
        <v>4000.0</v>
      </c>
      <c r="J399" s="123"/>
      <c r="K399" s="124" t="s">
        <v>289</v>
      </c>
      <c r="L399" s="125">
        <v>40.0</v>
      </c>
      <c r="M399" s="124" t="s">
        <v>6293</v>
      </c>
      <c r="N399" s="124" t="s">
        <v>6294</v>
      </c>
      <c r="O399" s="124" t="s">
        <v>6295</v>
      </c>
      <c r="P399" s="124">
        <v>2004.0</v>
      </c>
      <c r="Q399" s="124" t="s">
        <v>6297</v>
      </c>
      <c r="R399" s="123" t="s">
        <v>6298</v>
      </c>
      <c r="S399" s="123"/>
      <c r="T399" s="123" t="s">
        <v>2354</v>
      </c>
      <c r="U399" s="123" t="s">
        <v>6299</v>
      </c>
      <c r="V399" s="123"/>
      <c r="W399" s="123"/>
      <c r="X399" s="123"/>
      <c r="Y399" s="123"/>
      <c r="Z399" s="129"/>
      <c r="AA399" s="123"/>
      <c r="AB399" s="123"/>
      <c r="AC399" s="123"/>
      <c r="AD399" s="123"/>
      <c r="AE399" s="123"/>
      <c r="AF399" s="123"/>
      <c r="AG399" s="123"/>
      <c r="AH399" s="123"/>
      <c r="AI399" s="123"/>
      <c r="AJ399" s="123" t="s">
        <v>1023</v>
      </c>
    </row>
    <row r="400" ht="15.75" customHeight="1">
      <c r="A400" s="123">
        <v>410.0</v>
      </c>
      <c r="B400" s="124" t="s">
        <v>1230</v>
      </c>
      <c r="C400" s="124" t="s">
        <v>106</v>
      </c>
      <c r="D400" s="124" t="s">
        <v>64</v>
      </c>
      <c r="E400" s="124" t="s">
        <v>712</v>
      </c>
      <c r="F400" s="125">
        <v>7.0</v>
      </c>
      <c r="G400" s="124" t="s">
        <v>6279</v>
      </c>
      <c r="H400" s="124" t="s">
        <v>116</v>
      </c>
      <c r="I400" s="125">
        <v>3000.0</v>
      </c>
      <c r="J400" s="123"/>
      <c r="K400" s="124" t="s">
        <v>289</v>
      </c>
      <c r="L400" s="125">
        <v>40.0</v>
      </c>
      <c r="M400" s="124" t="s">
        <v>6281</v>
      </c>
      <c r="N400" s="124" t="s">
        <v>6282</v>
      </c>
      <c r="O400" s="124" t="s">
        <v>6283</v>
      </c>
      <c r="P400" s="124">
        <v>2008.0</v>
      </c>
      <c r="Q400" s="124" t="s">
        <v>6284</v>
      </c>
      <c r="R400" s="123" t="s">
        <v>6285</v>
      </c>
      <c r="S400" s="123"/>
      <c r="T400" s="123" t="s">
        <v>428</v>
      </c>
      <c r="U400" s="123" t="s">
        <v>462</v>
      </c>
      <c r="V400" s="123"/>
      <c r="W400" s="123"/>
      <c r="X400" s="123"/>
      <c r="Y400" s="123"/>
      <c r="Z400" s="123"/>
      <c r="AA400" s="123"/>
      <c r="AB400" s="123"/>
      <c r="AC400" s="123"/>
      <c r="AD400" s="123"/>
      <c r="AE400" s="123"/>
      <c r="AF400" s="123"/>
      <c r="AG400" s="123"/>
      <c r="AH400" s="123"/>
      <c r="AI400" s="123"/>
      <c r="AJ400" s="123" t="s">
        <v>6286</v>
      </c>
    </row>
    <row r="401" ht="15.75" customHeight="1">
      <c r="A401" s="123">
        <v>411.0</v>
      </c>
      <c r="B401" s="124" t="s">
        <v>1230</v>
      </c>
      <c r="C401" s="124" t="s">
        <v>106</v>
      </c>
      <c r="D401" s="124" t="s">
        <v>64</v>
      </c>
      <c r="E401" s="124" t="s">
        <v>712</v>
      </c>
      <c r="F401" s="125">
        <v>7.0</v>
      </c>
      <c r="G401" s="124" t="s">
        <v>5068</v>
      </c>
      <c r="H401" s="124" t="s">
        <v>3495</v>
      </c>
      <c r="I401" s="125">
        <v>22000.0</v>
      </c>
      <c r="J401" s="123"/>
      <c r="K401" s="124" t="s">
        <v>272</v>
      </c>
      <c r="L401" s="125">
        <v>42.0</v>
      </c>
      <c r="M401" s="124" t="s">
        <v>6195</v>
      </c>
      <c r="N401" s="124" t="s">
        <v>6196</v>
      </c>
      <c r="O401" s="124" t="s">
        <v>4381</v>
      </c>
      <c r="P401" s="124">
        <v>2008.0</v>
      </c>
      <c r="Q401" s="124" t="s">
        <v>6201</v>
      </c>
      <c r="R401" s="123" t="s">
        <v>6203</v>
      </c>
      <c r="S401" s="123"/>
      <c r="T401" s="123" t="s">
        <v>428</v>
      </c>
      <c r="U401" s="123" t="s">
        <v>462</v>
      </c>
      <c r="V401" s="123"/>
      <c r="W401" s="123"/>
      <c r="X401" s="123" t="s">
        <v>561</v>
      </c>
      <c r="Y401" s="123" t="s">
        <v>6205</v>
      </c>
      <c r="Z401" s="129">
        <v>42403.0</v>
      </c>
      <c r="AA401" s="123"/>
      <c r="AB401" s="123"/>
      <c r="AC401" s="123"/>
      <c r="AD401" s="123"/>
      <c r="AE401" s="123"/>
      <c r="AF401" s="123"/>
      <c r="AG401" s="123"/>
      <c r="AH401" s="123"/>
      <c r="AI401" s="123"/>
      <c r="AJ401" s="123" t="s">
        <v>6206</v>
      </c>
    </row>
    <row r="402" ht="15.75" customHeight="1">
      <c r="A402" s="123">
        <v>412.0</v>
      </c>
      <c r="B402" s="124" t="s">
        <v>1230</v>
      </c>
      <c r="C402" s="124" t="s">
        <v>106</v>
      </c>
      <c r="D402" s="124" t="s">
        <v>64</v>
      </c>
      <c r="E402" s="124" t="s">
        <v>712</v>
      </c>
      <c r="F402" s="125">
        <v>7.0</v>
      </c>
      <c r="G402" s="124" t="s">
        <v>5068</v>
      </c>
      <c r="H402" s="124" t="s">
        <v>5316</v>
      </c>
      <c r="I402" s="125">
        <v>21000.0</v>
      </c>
      <c r="J402" s="123"/>
      <c r="K402" s="124" t="s">
        <v>431</v>
      </c>
      <c r="L402" s="125">
        <v>40.0</v>
      </c>
      <c r="M402" s="124" t="s">
        <v>5317</v>
      </c>
      <c r="N402" s="124" t="s">
        <v>5318</v>
      </c>
      <c r="O402" s="124" t="s">
        <v>3992</v>
      </c>
      <c r="P402" s="124">
        <v>2011.0</v>
      </c>
      <c r="Q402" s="124" t="s">
        <v>5319</v>
      </c>
      <c r="R402" s="123"/>
      <c r="S402" s="123"/>
      <c r="T402" s="123"/>
      <c r="U402" s="123"/>
      <c r="V402" s="123" t="s">
        <v>3233</v>
      </c>
      <c r="W402" s="123"/>
      <c r="X402" s="123"/>
      <c r="Y402" s="123"/>
      <c r="Z402" s="129"/>
      <c r="AA402" s="123"/>
      <c r="AB402" s="129"/>
      <c r="AC402" s="123"/>
      <c r="AD402" s="123"/>
      <c r="AE402" s="123"/>
      <c r="AF402" s="123"/>
      <c r="AG402" s="123"/>
      <c r="AH402" s="123"/>
      <c r="AI402" s="123"/>
      <c r="AJ402" s="123"/>
    </row>
    <row r="403" ht="15.75" customHeight="1">
      <c r="A403" s="123">
        <v>413.0</v>
      </c>
      <c r="B403" s="124" t="s">
        <v>1230</v>
      </c>
      <c r="C403" s="124" t="s">
        <v>106</v>
      </c>
      <c r="D403" s="124" t="s">
        <v>64</v>
      </c>
      <c r="E403" s="124" t="s">
        <v>712</v>
      </c>
      <c r="F403" s="125">
        <v>7.0</v>
      </c>
      <c r="G403" s="124" t="s">
        <v>5068</v>
      </c>
      <c r="H403" s="124" t="s">
        <v>470</v>
      </c>
      <c r="I403" s="125">
        <v>3000.0</v>
      </c>
      <c r="J403" s="123"/>
      <c r="K403" s="124" t="s">
        <v>431</v>
      </c>
      <c r="L403" s="125">
        <v>40.0</v>
      </c>
      <c r="M403" s="124" t="s">
        <v>5185</v>
      </c>
      <c r="N403" s="124" t="s">
        <v>5186</v>
      </c>
      <c r="O403" s="124" t="s">
        <v>3992</v>
      </c>
      <c r="P403" s="124">
        <v>2012.0</v>
      </c>
      <c r="Q403" s="124" t="s">
        <v>5187</v>
      </c>
      <c r="R403" s="123" t="s">
        <v>5188</v>
      </c>
      <c r="S403" s="123" t="s">
        <v>5189</v>
      </c>
      <c r="T403" s="123"/>
      <c r="U403" s="123"/>
      <c r="V403" s="123" t="s">
        <v>3233</v>
      </c>
      <c r="W403" s="123"/>
      <c r="X403" s="123"/>
      <c r="Y403" s="123"/>
      <c r="Z403" s="129"/>
      <c r="AA403" s="129"/>
      <c r="AB403" s="129"/>
      <c r="AC403" s="123"/>
      <c r="AD403" s="123"/>
      <c r="AE403" s="123"/>
      <c r="AF403" s="123"/>
      <c r="AG403" s="123"/>
      <c r="AH403" s="123"/>
      <c r="AI403" s="123"/>
      <c r="AJ403" s="123"/>
    </row>
    <row r="404" ht="15.75" customHeight="1">
      <c r="A404" s="123">
        <v>414.0</v>
      </c>
      <c r="B404" s="124" t="s">
        <v>1230</v>
      </c>
      <c r="C404" s="124" t="s">
        <v>106</v>
      </c>
      <c r="D404" s="124" t="s">
        <v>64</v>
      </c>
      <c r="E404" s="124" t="s">
        <v>712</v>
      </c>
      <c r="F404" s="125">
        <v>7.0</v>
      </c>
      <c r="G404" s="124" t="s">
        <v>5068</v>
      </c>
      <c r="H404" s="124" t="s">
        <v>388</v>
      </c>
      <c r="I404" s="125">
        <v>14000.0</v>
      </c>
      <c r="J404" s="123"/>
      <c r="K404" s="124" t="s">
        <v>289</v>
      </c>
      <c r="L404" s="125">
        <v>40.0</v>
      </c>
      <c r="M404" s="124" t="s">
        <v>5069</v>
      </c>
      <c r="N404" s="124" t="s">
        <v>5070</v>
      </c>
      <c r="O404" s="124" t="s">
        <v>5041</v>
      </c>
      <c r="P404" s="124">
        <v>2007.0</v>
      </c>
      <c r="Q404" s="124" t="s">
        <v>5072</v>
      </c>
      <c r="R404" s="123" t="s">
        <v>5074</v>
      </c>
      <c r="S404" s="123"/>
      <c r="T404" s="123" t="s">
        <v>428</v>
      </c>
      <c r="U404" s="123" t="s">
        <v>462</v>
      </c>
      <c r="V404" s="123"/>
      <c r="W404" s="123"/>
      <c r="X404" s="123"/>
      <c r="Y404" s="123"/>
      <c r="Z404" s="123"/>
      <c r="AA404" s="123"/>
      <c r="AB404" s="123"/>
      <c r="AC404" s="123"/>
      <c r="AD404" s="123"/>
      <c r="AE404" s="123"/>
      <c r="AF404" s="123"/>
      <c r="AG404" s="123"/>
      <c r="AH404" s="123"/>
      <c r="AI404" s="123"/>
      <c r="AJ404" s="123"/>
    </row>
    <row r="405" ht="15.75" customHeight="1">
      <c r="A405" s="123">
        <v>415.0</v>
      </c>
      <c r="B405" s="124" t="s">
        <v>1230</v>
      </c>
      <c r="C405" s="124" t="s">
        <v>106</v>
      </c>
      <c r="D405" s="124" t="s">
        <v>64</v>
      </c>
      <c r="E405" s="124" t="s">
        <v>712</v>
      </c>
      <c r="F405" s="125">
        <v>7.0</v>
      </c>
      <c r="G405" s="124" t="s">
        <v>5347</v>
      </c>
      <c r="H405" s="124" t="s">
        <v>3754</v>
      </c>
      <c r="I405" s="125">
        <v>10000.0</v>
      </c>
      <c r="J405" s="123"/>
      <c r="K405" s="124" t="s">
        <v>289</v>
      </c>
      <c r="L405" s="125">
        <v>40.0</v>
      </c>
      <c r="M405" s="124" t="s">
        <v>5349</v>
      </c>
      <c r="N405" s="124" t="s">
        <v>5350</v>
      </c>
      <c r="O405" s="124" t="s">
        <v>5351</v>
      </c>
      <c r="P405" s="124">
        <v>2006.0</v>
      </c>
      <c r="Q405" s="124" t="s">
        <v>5352</v>
      </c>
      <c r="R405" s="123" t="s">
        <v>5353</v>
      </c>
      <c r="S405" s="123"/>
      <c r="T405" s="123" t="s">
        <v>428</v>
      </c>
      <c r="U405" s="123" t="s">
        <v>462</v>
      </c>
      <c r="V405" s="123"/>
      <c r="W405" s="123"/>
      <c r="X405" s="123"/>
      <c r="Y405" s="123"/>
      <c r="Z405" s="123"/>
      <c r="AA405" s="123"/>
      <c r="AB405" s="123"/>
      <c r="AC405" s="123"/>
      <c r="AD405" s="123"/>
      <c r="AE405" s="123"/>
      <c r="AF405" s="123"/>
      <c r="AG405" s="123"/>
      <c r="AH405" s="123"/>
      <c r="AI405" s="123"/>
      <c r="AJ405" s="123" t="s">
        <v>5357</v>
      </c>
    </row>
    <row r="406" ht="15.75" customHeight="1">
      <c r="A406" s="123">
        <v>416.0</v>
      </c>
      <c r="B406" s="124" t="s">
        <v>1230</v>
      </c>
      <c r="C406" s="124" t="s">
        <v>106</v>
      </c>
      <c r="D406" s="124" t="s">
        <v>64</v>
      </c>
      <c r="E406" s="124" t="s">
        <v>68</v>
      </c>
      <c r="F406" s="125">
        <v>7.0</v>
      </c>
      <c r="G406" s="124" t="s">
        <v>1042</v>
      </c>
      <c r="H406" s="124" t="s">
        <v>1046</v>
      </c>
      <c r="I406" s="125" t="s">
        <v>1045</v>
      </c>
      <c r="J406" s="123"/>
      <c r="K406" s="124" t="s">
        <v>324</v>
      </c>
      <c r="L406" s="125" t="s">
        <v>325</v>
      </c>
      <c r="M406" s="124" t="s">
        <v>1047</v>
      </c>
      <c r="N406" s="124" t="s">
        <v>1048</v>
      </c>
      <c r="O406" s="124" t="s">
        <v>1049</v>
      </c>
      <c r="P406" s="124">
        <v>2015.0</v>
      </c>
      <c r="Q406" s="124" t="s">
        <v>1050</v>
      </c>
      <c r="R406" s="123" t="s">
        <v>1051</v>
      </c>
      <c r="S406" s="123"/>
      <c r="T406" s="123" t="s">
        <v>428</v>
      </c>
      <c r="U406" s="123" t="s">
        <v>462</v>
      </c>
      <c r="V406" s="123"/>
      <c r="W406" s="123"/>
      <c r="X406" s="123"/>
      <c r="Y406" s="123"/>
      <c r="Z406" s="123"/>
      <c r="AA406" s="123"/>
      <c r="AB406" s="123"/>
      <c r="AC406" s="123"/>
      <c r="AD406" s="123"/>
      <c r="AE406" s="123"/>
      <c r="AF406" s="123"/>
      <c r="AG406" s="123"/>
      <c r="AH406" s="123"/>
      <c r="AI406" s="123"/>
      <c r="AJ406" s="123"/>
    </row>
    <row r="407" ht="15.75" customHeight="1">
      <c r="A407" s="123">
        <v>417.0</v>
      </c>
      <c r="B407" s="124" t="s">
        <v>1230</v>
      </c>
      <c r="C407" s="124" t="s">
        <v>106</v>
      </c>
      <c r="D407" s="124" t="s">
        <v>64</v>
      </c>
      <c r="E407" s="124" t="s">
        <v>68</v>
      </c>
      <c r="F407" s="125">
        <v>7.0</v>
      </c>
      <c r="G407" s="124" t="s">
        <v>649</v>
      </c>
      <c r="H407" s="124" t="s">
        <v>651</v>
      </c>
      <c r="I407" s="125">
        <v>4000.0</v>
      </c>
      <c r="J407" s="123"/>
      <c r="K407" s="124" t="s">
        <v>289</v>
      </c>
      <c r="L407" s="125">
        <v>40.0</v>
      </c>
      <c r="M407" s="124" t="s">
        <v>653</v>
      </c>
      <c r="N407" s="124" t="s">
        <v>655</v>
      </c>
      <c r="O407" s="124" t="s">
        <v>609</v>
      </c>
      <c r="P407" s="124">
        <v>2012.0</v>
      </c>
      <c r="Q407" s="124" t="s">
        <v>660</v>
      </c>
      <c r="R407" s="123" t="s">
        <v>661</v>
      </c>
      <c r="S407" s="123" t="s">
        <v>662</v>
      </c>
      <c r="T407" s="123" t="s">
        <v>613</v>
      </c>
      <c r="U407" s="123" t="s">
        <v>613</v>
      </c>
      <c r="V407" s="123"/>
      <c r="W407" s="123" t="s">
        <v>663</v>
      </c>
      <c r="X407" s="123" t="s">
        <v>664</v>
      </c>
      <c r="Y407" s="123"/>
      <c r="Z407" s="123"/>
      <c r="AA407" s="123"/>
      <c r="AB407" s="123"/>
      <c r="AC407" s="123"/>
      <c r="AD407" s="123"/>
      <c r="AE407" s="123"/>
      <c r="AF407" s="123"/>
      <c r="AG407" s="123"/>
      <c r="AH407" s="123"/>
      <c r="AI407" s="123"/>
      <c r="AJ407" s="123"/>
    </row>
    <row r="408" ht="15.75" customHeight="1">
      <c r="A408" s="123">
        <v>418.0</v>
      </c>
      <c r="B408" s="124" t="s">
        <v>1230</v>
      </c>
      <c r="C408" s="124" t="s">
        <v>106</v>
      </c>
      <c r="D408" s="124" t="s">
        <v>64</v>
      </c>
      <c r="E408" s="124" t="s">
        <v>3447</v>
      </c>
      <c r="F408" s="125" t="s">
        <v>3448</v>
      </c>
      <c r="G408" s="124" t="s">
        <v>3449</v>
      </c>
      <c r="H408" s="124" t="s">
        <v>3451</v>
      </c>
      <c r="I408" s="125">
        <v>21000.0</v>
      </c>
      <c r="J408" s="123"/>
      <c r="K408" s="124" t="s">
        <v>289</v>
      </c>
      <c r="L408" s="125">
        <v>40.0</v>
      </c>
      <c r="M408" s="124" t="s">
        <v>3452</v>
      </c>
      <c r="N408" s="124" t="s">
        <v>3453</v>
      </c>
      <c r="O408" s="124" t="s">
        <v>3263</v>
      </c>
      <c r="P408" s="124">
        <v>1991.0</v>
      </c>
      <c r="Q408" s="124" t="s">
        <v>3454</v>
      </c>
      <c r="R408" s="123" t="s">
        <v>3455</v>
      </c>
      <c r="S408" s="123"/>
      <c r="T408" s="123" t="s">
        <v>3456</v>
      </c>
      <c r="U408" s="123" t="s">
        <v>3457</v>
      </c>
      <c r="V408" s="123"/>
      <c r="W408" s="123"/>
      <c r="X408" s="123" t="s">
        <v>561</v>
      </c>
      <c r="Y408" s="123" t="s">
        <v>3458</v>
      </c>
      <c r="Z408" s="129">
        <v>42409.0</v>
      </c>
      <c r="AA408" s="123"/>
      <c r="AB408" s="123"/>
      <c r="AC408" s="123"/>
      <c r="AD408" s="123"/>
      <c r="AE408" s="123"/>
      <c r="AF408" s="123"/>
      <c r="AG408" s="123"/>
      <c r="AH408" s="123"/>
      <c r="AI408" s="123"/>
      <c r="AJ408" s="123"/>
    </row>
    <row r="409" ht="15.75" customHeight="1">
      <c r="A409" s="123">
        <v>419.0</v>
      </c>
      <c r="B409" s="124" t="s">
        <v>1230</v>
      </c>
      <c r="C409" s="124" t="s">
        <v>106</v>
      </c>
      <c r="D409" s="124" t="s">
        <v>64</v>
      </c>
      <c r="E409" s="124" t="s">
        <v>387</v>
      </c>
      <c r="F409" s="125">
        <v>8.0</v>
      </c>
      <c r="G409" s="124" t="s">
        <v>224</v>
      </c>
      <c r="H409" s="124" t="s">
        <v>644</v>
      </c>
      <c r="I409" s="125">
        <v>2000.0</v>
      </c>
      <c r="J409" s="123"/>
      <c r="K409" s="124" t="s">
        <v>289</v>
      </c>
      <c r="L409" s="125">
        <v>40.0</v>
      </c>
      <c r="M409" s="124" t="s">
        <v>2884</v>
      </c>
      <c r="N409" s="124" t="s">
        <v>188</v>
      </c>
      <c r="O409" s="124" t="s">
        <v>2811</v>
      </c>
      <c r="P409" s="126">
        <v>2014.0</v>
      </c>
      <c r="Q409" s="124" t="s">
        <v>2888</v>
      </c>
      <c r="R409" s="127" t="str">
        <f>HYPERLINK("http://ecoamerica.org/wp-content/uploads/2014/09/ACV14-Racial-Ethnic-Report-Summary.pdf","http://ecoamerica.org/wp-content/uploads/2014/09/ACV14-Racial-Ethnic-Report-Summary.pdf")</f>
        <v>http://ecoamerica.org/wp-content/uploads/2014/09/ACV14-Racial-Ethnic-Report-Summary.pdf</v>
      </c>
      <c r="S409" s="123"/>
      <c r="T409" s="123"/>
      <c r="U409" s="123"/>
      <c r="V409" s="123"/>
      <c r="W409" s="123"/>
      <c r="X409" s="123"/>
      <c r="Y409" s="123"/>
      <c r="Z409" s="123"/>
      <c r="AA409" s="123"/>
      <c r="AB409" s="123"/>
      <c r="AC409" s="123"/>
      <c r="AD409" s="123"/>
      <c r="AE409" s="123"/>
      <c r="AF409" s="123"/>
      <c r="AG409" s="123"/>
      <c r="AH409" s="123"/>
      <c r="AI409" s="123"/>
      <c r="AJ409" s="123"/>
    </row>
    <row r="410" ht="15.75" customHeight="1">
      <c r="A410" s="123">
        <v>420.0</v>
      </c>
      <c r="B410" s="124" t="s">
        <v>1230</v>
      </c>
      <c r="C410" s="124" t="s">
        <v>106</v>
      </c>
      <c r="D410" s="124" t="s">
        <v>173</v>
      </c>
      <c r="E410" s="124" t="s">
        <v>387</v>
      </c>
      <c r="F410" s="125">
        <v>8.0</v>
      </c>
      <c r="G410" s="124" t="s">
        <v>389</v>
      </c>
      <c r="H410" s="124" t="s">
        <v>578</v>
      </c>
      <c r="I410" s="125">
        <v>2000.0</v>
      </c>
      <c r="J410" s="123"/>
      <c r="K410" s="124" t="s">
        <v>289</v>
      </c>
      <c r="L410" s="125">
        <v>40.0</v>
      </c>
      <c r="M410" s="124" t="s">
        <v>2048</v>
      </c>
      <c r="N410" s="124" t="s">
        <v>2050</v>
      </c>
      <c r="O410" s="124" t="s">
        <v>2052</v>
      </c>
      <c r="P410" s="124">
        <v>2006.0</v>
      </c>
      <c r="Q410" s="124" t="s">
        <v>2053</v>
      </c>
      <c r="R410" s="123"/>
      <c r="S410" s="123"/>
      <c r="T410" s="123"/>
      <c r="U410" s="123"/>
      <c r="V410" s="123"/>
      <c r="W410" s="123"/>
      <c r="X410" s="123"/>
      <c r="Y410" s="123"/>
      <c r="Z410" s="123"/>
      <c r="AA410" s="123"/>
      <c r="AB410" s="123"/>
      <c r="AC410" s="123"/>
      <c r="AD410" s="123"/>
      <c r="AE410" s="123"/>
      <c r="AF410" s="123"/>
      <c r="AG410" s="123"/>
      <c r="AH410" s="123"/>
      <c r="AI410" s="123"/>
      <c r="AJ410" s="123"/>
    </row>
    <row r="411" ht="15.75" customHeight="1">
      <c r="A411" s="123">
        <v>421.0</v>
      </c>
      <c r="B411" s="124" t="s">
        <v>1230</v>
      </c>
      <c r="C411" s="124" t="s">
        <v>106</v>
      </c>
      <c r="D411" s="124" t="s">
        <v>64</v>
      </c>
      <c r="E411" s="124" t="s">
        <v>387</v>
      </c>
      <c r="F411" s="125">
        <v>8.0</v>
      </c>
      <c r="G411" s="124" t="s">
        <v>389</v>
      </c>
      <c r="H411" s="124" t="s">
        <v>2373</v>
      </c>
      <c r="I411" s="125">
        <v>2000.0</v>
      </c>
      <c r="J411" s="123"/>
      <c r="K411" s="124" t="s">
        <v>111</v>
      </c>
      <c r="L411" s="125">
        <v>41.0</v>
      </c>
      <c r="M411" s="124" t="s">
        <v>6325</v>
      </c>
      <c r="N411" s="124" t="s">
        <v>6326</v>
      </c>
      <c r="O411" s="124" t="s">
        <v>6327</v>
      </c>
      <c r="P411" s="124">
        <v>2012.0</v>
      </c>
      <c r="Q411" s="124" t="s">
        <v>6329</v>
      </c>
      <c r="R411" s="127" t="str">
        <f>HYPERLINK("http://onlinelibrary.wiley.com/doi/10.1111/j.1539-6924.2011.01695.x/abstract","http://onlinelibrary.wiley.com/doi/10.1111/j.1539-6924.2011.01695.x/abstract")</f>
        <v>http://onlinelibrary.wiley.com/doi/10.1111/j.1539-6924.2011.01695.x/abstract</v>
      </c>
      <c r="S411" s="123" t="s">
        <v>6331</v>
      </c>
      <c r="T411" s="123" t="s">
        <v>428</v>
      </c>
      <c r="U411" s="123" t="s">
        <v>842</v>
      </c>
      <c r="V411" s="123"/>
      <c r="W411" s="123"/>
      <c r="X411" s="123" t="s">
        <v>561</v>
      </c>
      <c r="Y411" s="123" t="s">
        <v>6332</v>
      </c>
      <c r="Z411" s="129">
        <v>42424.0</v>
      </c>
      <c r="AA411" s="123"/>
      <c r="AB411" s="129">
        <v>42593.0</v>
      </c>
      <c r="AC411" s="123"/>
      <c r="AD411" s="123"/>
      <c r="AE411" s="123"/>
      <c r="AF411" s="123"/>
      <c r="AG411" s="123"/>
      <c r="AH411" s="123"/>
      <c r="AI411" s="123"/>
      <c r="AJ411" s="123"/>
    </row>
    <row r="412" ht="15.75" customHeight="1">
      <c r="A412" s="123">
        <v>422.0</v>
      </c>
      <c r="B412" s="124" t="s">
        <v>1230</v>
      </c>
      <c r="C412" s="124" t="s">
        <v>106</v>
      </c>
      <c r="D412" s="124" t="s">
        <v>173</v>
      </c>
      <c r="E412" s="124" t="s">
        <v>387</v>
      </c>
      <c r="F412" s="125">
        <v>8.0</v>
      </c>
      <c r="G412" s="124" t="s">
        <v>389</v>
      </c>
      <c r="H412" s="124" t="s">
        <v>388</v>
      </c>
      <c r="I412" s="125">
        <v>14000.0</v>
      </c>
      <c r="J412" s="123"/>
      <c r="K412" s="124" t="s">
        <v>289</v>
      </c>
      <c r="L412" s="125">
        <v>40.0</v>
      </c>
      <c r="M412" s="124" t="s">
        <v>416</v>
      </c>
      <c r="N412" s="124" t="s">
        <v>417</v>
      </c>
      <c r="O412" s="124" t="s">
        <v>418</v>
      </c>
      <c r="P412" s="124">
        <v>2002.0</v>
      </c>
      <c r="Q412" s="124" t="s">
        <v>423</v>
      </c>
      <c r="R412" s="127" t="str">
        <f>HYPERLINK("http://dl.acm.org/citation.cfm?doid=587078.587110","http://dl.acm.org/citation.cfm?doid=587078.587110")</f>
        <v>http://dl.acm.org/citation.cfm?doid=587078.587110</v>
      </c>
      <c r="S412" s="123" t="s">
        <v>461</v>
      </c>
      <c r="T412" s="123" t="s">
        <v>428</v>
      </c>
      <c r="U412" s="123" t="s">
        <v>462</v>
      </c>
      <c r="V412" s="123"/>
      <c r="W412" s="123"/>
      <c r="X412" s="123"/>
      <c r="Y412" s="123"/>
      <c r="Z412" s="123"/>
      <c r="AA412" s="123"/>
      <c r="AB412" s="123"/>
      <c r="AC412" s="123"/>
      <c r="AD412" s="123"/>
      <c r="AE412" s="123"/>
      <c r="AF412" s="123"/>
      <c r="AG412" s="123"/>
      <c r="AH412" s="123"/>
      <c r="AI412" s="123"/>
      <c r="AJ412" s="123"/>
    </row>
    <row r="413" ht="15.75" customHeight="1">
      <c r="A413" s="123">
        <v>423.0</v>
      </c>
      <c r="B413" s="124" t="s">
        <v>1230</v>
      </c>
      <c r="C413" s="124" t="s">
        <v>106</v>
      </c>
      <c r="D413" s="124" t="s">
        <v>64</v>
      </c>
      <c r="E413" s="124" t="s">
        <v>387</v>
      </c>
      <c r="F413" s="125">
        <v>8.0</v>
      </c>
      <c r="G413" s="124" t="s">
        <v>6342</v>
      </c>
      <c r="H413" s="124" t="s">
        <v>605</v>
      </c>
      <c r="I413" s="125">
        <v>4000.0</v>
      </c>
      <c r="J413" s="123"/>
      <c r="K413" s="124" t="s">
        <v>289</v>
      </c>
      <c r="L413" s="125">
        <v>40.0</v>
      </c>
      <c r="M413" s="124" t="s">
        <v>6343</v>
      </c>
      <c r="N413" s="124" t="s">
        <v>188</v>
      </c>
      <c r="O413" s="124" t="s">
        <v>2108</v>
      </c>
      <c r="P413" s="124">
        <v>2015.0</v>
      </c>
      <c r="Q413" s="124" t="s">
        <v>753</v>
      </c>
      <c r="R413" s="123" t="s">
        <v>6346</v>
      </c>
      <c r="S413" s="123"/>
      <c r="T413" s="123" t="s">
        <v>6347</v>
      </c>
      <c r="U413" s="123"/>
      <c r="V413" s="123"/>
      <c r="W413" s="123" t="s">
        <v>3156</v>
      </c>
      <c r="X413" s="123"/>
      <c r="Y413" s="123"/>
      <c r="Z413" s="123"/>
      <c r="AA413" s="123"/>
      <c r="AB413" s="123"/>
      <c r="AC413" s="123"/>
      <c r="AD413" s="123"/>
      <c r="AE413" s="123"/>
      <c r="AF413" s="123"/>
      <c r="AG413" s="123"/>
      <c r="AH413" s="123"/>
      <c r="AI413" s="123"/>
      <c r="AJ413" s="123"/>
    </row>
    <row r="414" ht="15.75" customHeight="1">
      <c r="A414" s="123">
        <v>424.0</v>
      </c>
      <c r="B414" s="124" t="s">
        <v>1230</v>
      </c>
      <c r="C414" s="124" t="s">
        <v>106</v>
      </c>
      <c r="D414" s="124" t="s">
        <v>64</v>
      </c>
      <c r="E414" s="124" t="s">
        <v>387</v>
      </c>
      <c r="F414" s="125">
        <v>8.0</v>
      </c>
      <c r="G414" s="124" t="s">
        <v>3297</v>
      </c>
      <c r="H414" s="124" t="s">
        <v>2373</v>
      </c>
      <c r="I414" s="125">
        <v>2000.0</v>
      </c>
      <c r="J414" s="123"/>
      <c r="K414" s="124" t="s">
        <v>289</v>
      </c>
      <c r="L414" s="125">
        <v>40.0</v>
      </c>
      <c r="M414" s="124" t="s">
        <v>6349</v>
      </c>
      <c r="N414" s="124" t="s">
        <v>6350</v>
      </c>
      <c r="O414" s="124" t="s">
        <v>5605</v>
      </c>
      <c r="P414" s="124">
        <v>2013.0</v>
      </c>
      <c r="Q414" s="124" t="s">
        <v>6353</v>
      </c>
      <c r="R414" s="123" t="s">
        <v>6355</v>
      </c>
      <c r="S414" s="123"/>
      <c r="T414" s="123" t="s">
        <v>428</v>
      </c>
      <c r="U414" s="123"/>
      <c r="V414" s="123"/>
      <c r="W414" s="123"/>
      <c r="X414" s="123"/>
      <c r="Y414" s="123"/>
      <c r="Z414" s="123"/>
      <c r="AA414" s="123"/>
      <c r="AB414" s="123"/>
      <c r="AC414" s="123"/>
      <c r="AD414" s="123"/>
      <c r="AE414" s="123"/>
      <c r="AF414" s="123"/>
      <c r="AG414" s="123"/>
      <c r="AH414" s="123"/>
      <c r="AI414" s="123"/>
      <c r="AJ414" s="123"/>
    </row>
    <row r="415" ht="15.75" customHeight="1">
      <c r="A415" s="123">
        <v>425.0</v>
      </c>
      <c r="B415" s="124" t="s">
        <v>1230</v>
      </c>
      <c r="C415" s="124" t="s">
        <v>106</v>
      </c>
      <c r="D415" s="124" t="s">
        <v>115</v>
      </c>
      <c r="E415" s="124" t="s">
        <v>387</v>
      </c>
      <c r="F415" s="125">
        <v>8.0</v>
      </c>
      <c r="G415" s="124" t="s">
        <v>3297</v>
      </c>
      <c r="H415" s="124" t="s">
        <v>3495</v>
      </c>
      <c r="I415" s="125">
        <v>22000.0</v>
      </c>
      <c r="J415" s="123"/>
      <c r="K415" s="124" t="s">
        <v>117</v>
      </c>
      <c r="L415" s="125">
        <v>40.0</v>
      </c>
      <c r="M415" s="124" t="s">
        <v>3496</v>
      </c>
      <c r="N415" s="79" t="s">
        <v>3379</v>
      </c>
      <c r="O415" s="124" t="s">
        <v>3497</v>
      </c>
      <c r="P415" s="124">
        <v>2007.0</v>
      </c>
      <c r="Q415" s="124" t="s">
        <v>3383</v>
      </c>
      <c r="R415" s="123"/>
      <c r="S415" s="123"/>
      <c r="T415" s="123" t="s">
        <v>462</v>
      </c>
      <c r="U415" s="123" t="s">
        <v>462</v>
      </c>
      <c r="V415" s="123" t="s">
        <v>39</v>
      </c>
      <c r="W415" s="123"/>
      <c r="X415" s="123"/>
      <c r="Y415" s="123"/>
      <c r="Z415" s="123"/>
      <c r="AA415" s="123"/>
      <c r="AB415" s="123"/>
      <c r="AC415" s="123"/>
      <c r="AD415" s="123"/>
      <c r="AE415" s="123"/>
      <c r="AF415" s="123"/>
      <c r="AG415" s="123"/>
      <c r="AH415" s="123"/>
      <c r="AI415" s="123"/>
      <c r="AJ415" s="123"/>
    </row>
    <row r="416" ht="15.75" customHeight="1">
      <c r="A416" s="123">
        <v>426.0</v>
      </c>
      <c r="B416" s="124" t="s">
        <v>1230</v>
      </c>
      <c r="C416" s="124" t="s">
        <v>106</v>
      </c>
      <c r="D416" s="124" t="s">
        <v>64</v>
      </c>
      <c r="E416" s="124" t="s">
        <v>387</v>
      </c>
      <c r="F416" s="125">
        <v>8.0</v>
      </c>
      <c r="G416" s="124" t="s">
        <v>3297</v>
      </c>
      <c r="H416" s="124" t="s">
        <v>2373</v>
      </c>
      <c r="I416" s="125">
        <v>2000.0</v>
      </c>
      <c r="J416" s="123"/>
      <c r="K416" s="124" t="s">
        <v>111</v>
      </c>
      <c r="L416" s="125">
        <v>41.0</v>
      </c>
      <c r="M416" s="124" t="s">
        <v>3302</v>
      </c>
      <c r="N416" s="124" t="s">
        <v>3303</v>
      </c>
      <c r="O416" s="124" t="s">
        <v>3263</v>
      </c>
      <c r="P416" s="124">
        <v>2015.0</v>
      </c>
      <c r="Q416" s="124" t="s">
        <v>3304</v>
      </c>
      <c r="R416" s="123" t="s">
        <v>3305</v>
      </c>
      <c r="S416" s="123"/>
      <c r="T416" s="123" t="s">
        <v>428</v>
      </c>
      <c r="U416" s="123"/>
      <c r="V416" s="123"/>
      <c r="W416" s="123"/>
      <c r="X416" s="123"/>
      <c r="Y416" s="123"/>
      <c r="Z416" s="123"/>
      <c r="AA416" s="123"/>
      <c r="AB416" s="123"/>
      <c r="AC416" s="123"/>
      <c r="AD416" s="123"/>
      <c r="AE416" s="123"/>
      <c r="AF416" s="123"/>
      <c r="AG416" s="123"/>
      <c r="AH416" s="123"/>
      <c r="AI416" s="123"/>
      <c r="AJ416" s="123"/>
    </row>
    <row r="417" ht="15.75" customHeight="1">
      <c r="A417" s="123">
        <v>427.0</v>
      </c>
      <c r="B417" s="124" t="s">
        <v>1230</v>
      </c>
      <c r="C417" s="124" t="s">
        <v>106</v>
      </c>
      <c r="D417" s="124" t="s">
        <v>64</v>
      </c>
      <c r="E417" s="124" t="s">
        <v>387</v>
      </c>
      <c r="F417" s="125">
        <v>8.0</v>
      </c>
      <c r="G417" s="124" t="s">
        <v>3297</v>
      </c>
      <c r="H417" s="124" t="s">
        <v>6358</v>
      </c>
      <c r="I417" s="125">
        <v>13000.0</v>
      </c>
      <c r="J417" s="123"/>
      <c r="K417" s="124" t="s">
        <v>289</v>
      </c>
      <c r="L417" s="125">
        <v>40.0</v>
      </c>
      <c r="M417" s="124" t="s">
        <v>6359</v>
      </c>
      <c r="N417" s="124" t="s">
        <v>6360</v>
      </c>
      <c r="O417" s="124" t="s">
        <v>6361</v>
      </c>
      <c r="P417" s="124">
        <v>2007.0</v>
      </c>
      <c r="Q417" s="124" t="s">
        <v>6362</v>
      </c>
      <c r="R417" s="127" t="str">
        <f>HYPERLINK("http://papers.ssrn.com/sol3/papers.cfm?abstract_id=1843402","http://papers.ssrn.com/sol3/papers.cfm?abstract_id=1843402")</f>
        <v>http://papers.ssrn.com/sol3/papers.cfm?abstract_id=1843402</v>
      </c>
      <c r="S417" s="123" t="s">
        <v>5849</v>
      </c>
      <c r="T417" s="123" t="s">
        <v>462</v>
      </c>
      <c r="U417" s="123" t="s">
        <v>428</v>
      </c>
      <c r="V417" s="123"/>
      <c r="W417" s="123"/>
      <c r="X417" s="123"/>
      <c r="Y417" s="123"/>
      <c r="Z417" s="123"/>
      <c r="AA417" s="123"/>
      <c r="AB417" s="123"/>
      <c r="AC417" s="123"/>
      <c r="AD417" s="123"/>
      <c r="AE417" s="123"/>
      <c r="AF417" s="123"/>
      <c r="AG417" s="123"/>
      <c r="AH417" s="123"/>
      <c r="AI417" s="123"/>
      <c r="AJ417" s="123"/>
    </row>
    <row r="418" ht="15.75" customHeight="1">
      <c r="A418" s="123">
        <v>428.0</v>
      </c>
      <c r="B418" s="124" t="s">
        <v>1230</v>
      </c>
      <c r="C418" s="124" t="s">
        <v>106</v>
      </c>
      <c r="D418" s="124" t="s">
        <v>4032</v>
      </c>
      <c r="E418" s="124" t="s">
        <v>387</v>
      </c>
      <c r="F418" s="125">
        <v>8.0</v>
      </c>
      <c r="G418" s="124" t="s">
        <v>3297</v>
      </c>
      <c r="H418" s="124" t="s">
        <v>388</v>
      </c>
      <c r="I418" s="125">
        <v>14000.0</v>
      </c>
      <c r="J418" s="123"/>
      <c r="K418" s="124" t="s">
        <v>289</v>
      </c>
      <c r="L418" s="125">
        <v>40.0</v>
      </c>
      <c r="M418" s="124" t="s">
        <v>5839</v>
      </c>
      <c r="N418" s="124" t="s">
        <v>5840</v>
      </c>
      <c r="O418" s="124" t="s">
        <v>5841</v>
      </c>
      <c r="P418" s="124">
        <v>2010.0</v>
      </c>
      <c r="Q418" s="124" t="s">
        <v>753</v>
      </c>
      <c r="R418" s="127" t="str">
        <f>HYPERLINK("http://www.nejm.org/doi/full/10.1056/Nejmp1001784","http://www.nejm.org/doi/full/10.1056/Nejmp1001784")</f>
        <v>http://www.nejm.org/doi/full/10.1056/Nejmp1001784</v>
      </c>
      <c r="S418" s="123" t="s">
        <v>5849</v>
      </c>
      <c r="T418" s="123" t="s">
        <v>462</v>
      </c>
      <c r="U418" s="123" t="s">
        <v>428</v>
      </c>
      <c r="V418" s="123"/>
      <c r="W418" s="123"/>
      <c r="X418" s="123"/>
      <c r="Y418" s="123"/>
      <c r="Z418" s="123"/>
      <c r="AA418" s="123"/>
      <c r="AB418" s="123"/>
      <c r="AC418" s="123"/>
      <c r="AD418" s="123"/>
      <c r="AE418" s="123"/>
      <c r="AF418" s="123"/>
      <c r="AG418" s="123"/>
      <c r="AH418" s="123"/>
      <c r="AI418" s="123"/>
      <c r="AJ418" s="123" t="s">
        <v>5467</v>
      </c>
    </row>
    <row r="419" ht="15.75" customHeight="1">
      <c r="A419" s="123">
        <v>429.0</v>
      </c>
      <c r="B419" s="124" t="s">
        <v>1230</v>
      </c>
      <c r="C419" s="124" t="s">
        <v>106</v>
      </c>
      <c r="D419" s="124" t="s">
        <v>64</v>
      </c>
      <c r="E419" s="124" t="s">
        <v>387</v>
      </c>
      <c r="F419" s="125">
        <v>8.0</v>
      </c>
      <c r="G419" s="124" t="s">
        <v>2072</v>
      </c>
      <c r="H419" s="124" t="s">
        <v>5549</v>
      </c>
      <c r="I419" s="125" t="s">
        <v>5548</v>
      </c>
      <c r="J419" s="123"/>
      <c r="K419" s="124" t="s">
        <v>111</v>
      </c>
      <c r="L419" s="125">
        <v>41.0</v>
      </c>
      <c r="M419" s="124" t="s">
        <v>5553</v>
      </c>
      <c r="N419" s="124" t="s">
        <v>4082</v>
      </c>
      <c r="O419" s="124" t="s">
        <v>5540</v>
      </c>
      <c r="P419" s="124">
        <v>2008.0</v>
      </c>
      <c r="Q419" s="124" t="s">
        <v>5555</v>
      </c>
      <c r="R419" s="127" t="str">
        <f>HYPERLINK("http://www.tandfonline.com/doi/abs/10.1080/13669870701552235","http://www.tandfonline.com/doi/abs/10.1080/13669870701552235")</f>
        <v>http://www.tandfonline.com/doi/abs/10.1080/13669870701552235</v>
      </c>
      <c r="S419" s="123"/>
      <c r="T419" s="123" t="s">
        <v>842</v>
      </c>
      <c r="U419" s="123" t="s">
        <v>842</v>
      </c>
      <c r="V419" s="123"/>
      <c r="W419" s="123"/>
      <c r="X419" s="123" t="s">
        <v>561</v>
      </c>
      <c r="Y419" s="123" t="s">
        <v>5556</v>
      </c>
      <c r="Z419" s="129">
        <v>42429.0</v>
      </c>
      <c r="AA419" s="123"/>
      <c r="AB419" s="129">
        <v>42597.0</v>
      </c>
      <c r="AC419" s="123"/>
      <c r="AD419" s="123"/>
      <c r="AE419" s="123"/>
      <c r="AF419" s="123"/>
      <c r="AG419" s="123"/>
      <c r="AH419" s="123"/>
      <c r="AI419" s="123"/>
      <c r="AJ419" s="123"/>
    </row>
    <row r="420" ht="15.75" customHeight="1">
      <c r="A420" s="123">
        <v>430.0</v>
      </c>
      <c r="B420" s="124" t="s">
        <v>1230</v>
      </c>
      <c r="C420" s="124" t="s">
        <v>106</v>
      </c>
      <c r="D420" s="124" t="s">
        <v>64</v>
      </c>
      <c r="E420" s="124" t="s">
        <v>387</v>
      </c>
      <c r="F420" s="125">
        <v>8.0</v>
      </c>
      <c r="G420" s="124" t="s">
        <v>2072</v>
      </c>
      <c r="H420" s="124" t="s">
        <v>1332</v>
      </c>
      <c r="I420" s="125">
        <v>2000.0</v>
      </c>
      <c r="J420" s="123"/>
      <c r="K420" s="124" t="s">
        <v>289</v>
      </c>
      <c r="L420" s="125">
        <v>40.0</v>
      </c>
      <c r="M420" s="124" t="s">
        <v>6109</v>
      </c>
      <c r="N420" s="124" t="s">
        <v>6110</v>
      </c>
      <c r="O420" s="124" t="s">
        <v>6111</v>
      </c>
      <c r="P420" s="124">
        <v>2012.0</v>
      </c>
      <c r="Q420" s="124" t="s">
        <v>6112</v>
      </c>
      <c r="R420" s="127" t="str">
        <f>HYPERLINK("http://journals.plos.org/plosone/article?id=10.1371/journal.pone.0052882","http://journals.plos.org/plosone/article?id=10.1371/journal.pone.0052882")</f>
        <v>http://journals.plos.org/plosone/article?id=10.1371/journal.pone.0052882</v>
      </c>
      <c r="S420" s="123" t="s">
        <v>6113</v>
      </c>
      <c r="T420" s="123" t="s">
        <v>842</v>
      </c>
      <c r="U420" s="123" t="s">
        <v>428</v>
      </c>
      <c r="V420" s="123"/>
      <c r="W420" s="123"/>
      <c r="X420" s="123" t="s">
        <v>561</v>
      </c>
      <c r="Y420" s="123" t="s">
        <v>6114</v>
      </c>
      <c r="Z420" s="129">
        <v>42432.0</v>
      </c>
      <c r="AA420" s="123"/>
      <c r="AB420" s="129">
        <v>42598.0</v>
      </c>
      <c r="AC420" s="123"/>
      <c r="AD420" s="123"/>
      <c r="AE420" s="123"/>
      <c r="AF420" s="123"/>
      <c r="AG420" s="123"/>
      <c r="AH420" s="123"/>
      <c r="AI420" s="123"/>
      <c r="AJ420" s="123"/>
    </row>
    <row r="421" ht="15.75" customHeight="1">
      <c r="A421" s="123">
        <v>431.0</v>
      </c>
      <c r="B421" s="124" t="s">
        <v>1230</v>
      </c>
      <c r="C421" s="124" t="s">
        <v>106</v>
      </c>
      <c r="D421" s="124" t="s">
        <v>64</v>
      </c>
      <c r="E421" s="124" t="s">
        <v>387</v>
      </c>
      <c r="F421" s="125">
        <v>8.0</v>
      </c>
      <c r="G421" s="124" t="s">
        <v>2072</v>
      </c>
      <c r="H421" s="124" t="s">
        <v>942</v>
      </c>
      <c r="I421" s="125">
        <v>2000.0</v>
      </c>
      <c r="J421" s="123"/>
      <c r="K421" s="124" t="s">
        <v>289</v>
      </c>
      <c r="L421" s="125">
        <v>40.0</v>
      </c>
      <c r="M421" s="124" t="s">
        <v>3308</v>
      </c>
      <c r="N421" s="124" t="s">
        <v>3309</v>
      </c>
      <c r="O421" s="124" t="s">
        <v>3263</v>
      </c>
      <c r="P421" s="124">
        <v>1992.0</v>
      </c>
      <c r="Q421" s="124" t="s">
        <v>3311</v>
      </c>
      <c r="R421" s="127" t="str">
        <f>HYPERLINK("http://eab.sagepub.com/content/24/5/602","http://eab.sagepub.com/content/24/5/602")</f>
        <v>http://eab.sagepub.com/content/24/5/602</v>
      </c>
      <c r="S421" s="123" t="s">
        <v>3313</v>
      </c>
      <c r="T421" s="123" t="s">
        <v>842</v>
      </c>
      <c r="U421" s="123" t="s">
        <v>462</v>
      </c>
      <c r="V421" s="123"/>
      <c r="W421" s="123"/>
      <c r="X421" s="123" t="s">
        <v>561</v>
      </c>
      <c r="Y421" s="123" t="s">
        <v>3314</v>
      </c>
      <c r="Z421" s="129">
        <v>42430.0</v>
      </c>
      <c r="AA421" s="123"/>
      <c r="AB421" s="129">
        <v>42597.0</v>
      </c>
      <c r="AC421" s="123"/>
      <c r="AD421" s="123"/>
      <c r="AE421" s="123"/>
      <c r="AF421" s="123"/>
      <c r="AG421" s="123"/>
      <c r="AH421" s="123"/>
      <c r="AI421" s="123"/>
      <c r="AJ421" s="123" t="s">
        <v>3315</v>
      </c>
    </row>
    <row r="422" ht="15.75" customHeight="1">
      <c r="A422" s="123">
        <v>432.0</v>
      </c>
      <c r="B422" s="124" t="s">
        <v>1230</v>
      </c>
      <c r="C422" s="124" t="s">
        <v>106</v>
      </c>
      <c r="D422" s="124" t="s">
        <v>64</v>
      </c>
      <c r="E422" s="124" t="s">
        <v>387</v>
      </c>
      <c r="F422" s="125">
        <v>8.0</v>
      </c>
      <c r="G422" s="124" t="s">
        <v>2072</v>
      </c>
      <c r="H422" s="124" t="s">
        <v>3572</v>
      </c>
      <c r="I422" s="125">
        <v>16000.0</v>
      </c>
      <c r="J422" s="123"/>
      <c r="K422" s="124" t="s">
        <v>289</v>
      </c>
      <c r="L422" s="125">
        <v>40.0</v>
      </c>
      <c r="M422" s="124" t="s">
        <v>3573</v>
      </c>
      <c r="N422" s="124" t="s">
        <v>3574</v>
      </c>
      <c r="O422" s="124" t="s">
        <v>3575</v>
      </c>
      <c r="P422" s="124">
        <v>1988.0</v>
      </c>
      <c r="Q422" s="124" t="s">
        <v>3577</v>
      </c>
      <c r="R422" s="127" t="str">
        <f>HYPERLINK("http://www.sciencedirect.com/science/article/pii/S0013935188800021?","http://www.sciencedirect.com/science/article/pii/S0013935188800021?")</f>
        <v>http://www.sciencedirect.com/science/article/pii/S0013935188800021?</v>
      </c>
      <c r="S422" s="123" t="s">
        <v>3582</v>
      </c>
      <c r="T422" s="123" t="s">
        <v>842</v>
      </c>
      <c r="U422" s="123" t="s">
        <v>462</v>
      </c>
      <c r="V422" s="123"/>
      <c r="W422" s="123"/>
      <c r="X422" s="123" t="s">
        <v>561</v>
      </c>
      <c r="Y422" s="123" t="s">
        <v>3583</v>
      </c>
      <c r="Z422" s="129">
        <v>42431.0</v>
      </c>
      <c r="AA422" s="123"/>
      <c r="AB422" s="129">
        <v>42597.0</v>
      </c>
      <c r="AC422" s="123"/>
      <c r="AD422" s="123"/>
      <c r="AE422" s="123"/>
      <c r="AF422" s="123"/>
      <c r="AG422" s="123"/>
      <c r="AH422" s="123"/>
      <c r="AI422" s="123"/>
      <c r="AJ422" s="123" t="s">
        <v>3584</v>
      </c>
    </row>
    <row r="423" ht="15.75" customHeight="1">
      <c r="A423" s="123">
        <v>433.0</v>
      </c>
      <c r="B423" s="124" t="s">
        <v>1230</v>
      </c>
      <c r="C423" s="124" t="s">
        <v>106</v>
      </c>
      <c r="D423" s="124" t="s">
        <v>64</v>
      </c>
      <c r="E423" s="124" t="s">
        <v>387</v>
      </c>
      <c r="F423" s="125">
        <v>8.0</v>
      </c>
      <c r="G423" s="124" t="s">
        <v>2072</v>
      </c>
      <c r="H423" s="124" t="s">
        <v>1332</v>
      </c>
      <c r="I423" s="125">
        <v>2000.0</v>
      </c>
      <c r="J423" s="123"/>
      <c r="K423" s="124" t="s">
        <v>289</v>
      </c>
      <c r="L423" s="125">
        <v>40.0</v>
      </c>
      <c r="M423" s="124" t="s">
        <v>2075</v>
      </c>
      <c r="N423" s="124" t="s">
        <v>2077</v>
      </c>
      <c r="O423" s="124" t="s">
        <v>2052</v>
      </c>
      <c r="P423" s="124">
        <v>2006.0</v>
      </c>
      <c r="Q423" s="124" t="s">
        <v>2082</v>
      </c>
      <c r="R423" s="127" t="str">
        <f>HYPERLINK("http://link.springer.com/article/10.1007/s10584-006-9060-3","http://link.springer.com/article/10.1007/s10584-006-9060-3")</f>
        <v>http://link.springer.com/article/10.1007/s10584-006-9060-3</v>
      </c>
      <c r="S423" s="123"/>
      <c r="T423" s="123" t="s">
        <v>462</v>
      </c>
      <c r="U423" s="123" t="s">
        <v>462</v>
      </c>
      <c r="V423" s="123"/>
      <c r="W423" s="123"/>
      <c r="X423" s="123" t="s">
        <v>561</v>
      </c>
      <c r="Y423" s="123" t="s">
        <v>2090</v>
      </c>
      <c r="Z423" s="129">
        <v>42438.0</v>
      </c>
      <c r="AA423" s="123"/>
      <c r="AB423" s="129">
        <v>42599.0</v>
      </c>
      <c r="AC423" s="123"/>
      <c r="AD423" s="123"/>
      <c r="AE423" s="123"/>
      <c r="AF423" s="123"/>
      <c r="AG423" s="123"/>
      <c r="AH423" s="123"/>
      <c r="AI423" s="123"/>
      <c r="AJ423" s="123"/>
    </row>
    <row r="424" ht="15.75" customHeight="1">
      <c r="A424" s="123">
        <v>434.0</v>
      </c>
      <c r="B424" s="124" t="s">
        <v>1230</v>
      </c>
      <c r="C424" s="124" t="s">
        <v>106</v>
      </c>
      <c r="D424" s="124" t="s">
        <v>64</v>
      </c>
      <c r="E424" s="124" t="s">
        <v>387</v>
      </c>
      <c r="F424" s="125">
        <v>8.0</v>
      </c>
      <c r="G424" s="124" t="s">
        <v>2072</v>
      </c>
      <c r="H424" s="124" t="s">
        <v>3887</v>
      </c>
      <c r="I424" s="125">
        <v>2000.0</v>
      </c>
      <c r="J424" s="123"/>
      <c r="K424" s="124" t="s">
        <v>111</v>
      </c>
      <c r="L424" s="125">
        <v>41.0</v>
      </c>
      <c r="M424" s="124" t="s">
        <v>6116</v>
      </c>
      <c r="N424" s="131" t="str">
        <f>HYPERLINK("http://www.ncbi.nlm.nih.gov/pubmed/?term=Blennow%20K%5Bauth%5D","Blennow, K., Persson, J., Tóme, M., &amp; Hanewinkel, M.")</f>
        <v>Blennow, K., Persson, J., Tóme, M., &amp; Hanewinkel, M.</v>
      </c>
      <c r="O424" s="124" t="s">
        <v>6111</v>
      </c>
      <c r="P424" s="124">
        <v>2012.0</v>
      </c>
      <c r="Q424" s="124" t="s">
        <v>6121</v>
      </c>
      <c r="R424" s="127" t="str">
        <f>HYPERLINK("http://www.ncbi.nlm.nih.gov/pmc/articles/PMC3504002/","http://www.ncbi.nlm.nih.gov/pmc/articles/PMC3504002/")</f>
        <v>http://www.ncbi.nlm.nih.gov/pmc/articles/PMC3504002/</v>
      </c>
      <c r="S424" s="123"/>
      <c r="T424" s="123" t="s">
        <v>926</v>
      </c>
      <c r="U424" s="123" t="s">
        <v>462</v>
      </c>
      <c r="V424" s="123"/>
      <c r="W424" s="123"/>
      <c r="X424" s="123"/>
      <c r="Y424" s="123"/>
      <c r="Z424" s="123"/>
      <c r="AA424" s="123"/>
      <c r="AB424" s="123"/>
      <c r="AC424" s="123"/>
      <c r="AD424" s="123"/>
      <c r="AE424" s="123"/>
      <c r="AF424" s="123"/>
      <c r="AG424" s="123"/>
      <c r="AH424" s="123"/>
      <c r="AI424" s="123"/>
      <c r="AJ424" s="123" t="s">
        <v>3315</v>
      </c>
    </row>
    <row r="425" ht="15.75" customHeight="1">
      <c r="A425" s="123">
        <v>435.0</v>
      </c>
      <c r="B425" s="124" t="s">
        <v>1230</v>
      </c>
      <c r="C425" s="124" t="s">
        <v>106</v>
      </c>
      <c r="D425" s="124" t="s">
        <v>4032</v>
      </c>
      <c r="E425" s="124" t="s">
        <v>387</v>
      </c>
      <c r="F425" s="125">
        <v>8.0</v>
      </c>
      <c r="G425" s="124" t="s">
        <v>2072</v>
      </c>
      <c r="H425" s="124" t="s">
        <v>5793</v>
      </c>
      <c r="I425" s="125" t="s">
        <v>1045</v>
      </c>
      <c r="J425" s="123"/>
      <c r="K425" s="124" t="s">
        <v>111</v>
      </c>
      <c r="L425" s="125">
        <v>41.0</v>
      </c>
      <c r="M425" s="124" t="s">
        <v>5795</v>
      </c>
      <c r="N425" s="124" t="s">
        <v>5796</v>
      </c>
      <c r="O425" s="124" t="s">
        <v>4035</v>
      </c>
      <c r="P425" s="124">
        <v>2011.0</v>
      </c>
      <c r="Q425" s="124" t="s">
        <v>5798</v>
      </c>
      <c r="R425" s="123" t="s">
        <v>5799</v>
      </c>
      <c r="S425" s="128"/>
      <c r="T425" s="123" t="s">
        <v>462</v>
      </c>
      <c r="U425" s="123" t="s">
        <v>462</v>
      </c>
      <c r="V425" s="123"/>
      <c r="W425" s="123"/>
      <c r="X425" s="123"/>
      <c r="Y425" s="123"/>
      <c r="Z425" s="123"/>
      <c r="AA425" s="123"/>
      <c r="AB425" s="123"/>
      <c r="AC425" s="123"/>
      <c r="AD425" s="123"/>
      <c r="AE425" s="123"/>
      <c r="AF425" s="123"/>
      <c r="AG425" s="123"/>
      <c r="AH425" s="123"/>
      <c r="AI425" s="123"/>
      <c r="AJ425" s="123"/>
    </row>
    <row r="426" ht="15.75" customHeight="1">
      <c r="A426" s="123">
        <v>436.0</v>
      </c>
      <c r="B426" s="124" t="s">
        <v>1230</v>
      </c>
      <c r="C426" s="124" t="s">
        <v>106</v>
      </c>
      <c r="D426" s="124" t="s">
        <v>1988</v>
      </c>
      <c r="E426" s="124" t="s">
        <v>387</v>
      </c>
      <c r="F426" s="125">
        <v>8.0</v>
      </c>
      <c r="G426" s="124" t="s">
        <v>2072</v>
      </c>
      <c r="H426" s="124" t="s">
        <v>3887</v>
      </c>
      <c r="I426" s="125">
        <v>2000.0</v>
      </c>
      <c r="J426" s="123"/>
      <c r="K426" s="124" t="s">
        <v>3888</v>
      </c>
      <c r="L426" s="125" t="s">
        <v>3889</v>
      </c>
      <c r="M426" s="124" t="s">
        <v>3890</v>
      </c>
      <c r="N426" s="124" t="s">
        <v>3891</v>
      </c>
      <c r="O426" s="124" t="s">
        <v>3874</v>
      </c>
      <c r="P426" s="124">
        <v>2003.0</v>
      </c>
      <c r="Q426" s="124" t="s">
        <v>3896</v>
      </c>
      <c r="R426" s="127" t="str">
        <f>HYPERLINK("http://www.sciencedirect.com/science/article/pii/S095937800500004X","http://www.sciencedirect.com/science/article/pii/S095937800500004X")</f>
        <v>http://www.sciencedirect.com/science/article/pii/S095937800500004X</v>
      </c>
      <c r="S426" s="123"/>
      <c r="T426" s="123" t="s">
        <v>462</v>
      </c>
      <c r="U426" s="123" t="s">
        <v>428</v>
      </c>
      <c r="V426" s="123"/>
      <c r="W426" s="123"/>
      <c r="X426" s="123"/>
      <c r="Y426" s="123"/>
      <c r="Z426" s="123"/>
      <c r="AA426" s="123"/>
      <c r="AB426" s="123"/>
      <c r="AC426" s="123"/>
      <c r="AD426" s="123"/>
      <c r="AE426" s="123"/>
      <c r="AF426" s="123"/>
      <c r="AG426" s="123"/>
      <c r="AH426" s="123"/>
      <c r="AI426" s="123"/>
      <c r="AJ426" s="123"/>
    </row>
    <row r="427" ht="15.75" customHeight="1">
      <c r="A427" s="123">
        <v>437.0</v>
      </c>
      <c r="B427" s="124" t="s">
        <v>1230</v>
      </c>
      <c r="C427" s="124" t="s">
        <v>106</v>
      </c>
      <c r="D427" s="124" t="s">
        <v>64</v>
      </c>
      <c r="E427" s="124" t="s">
        <v>387</v>
      </c>
      <c r="F427" s="125">
        <v>8.0</v>
      </c>
      <c r="G427" s="124" t="s">
        <v>6429</v>
      </c>
      <c r="H427" s="124" t="s">
        <v>2373</v>
      </c>
      <c r="I427" s="125">
        <v>2000.0</v>
      </c>
      <c r="J427" s="123"/>
      <c r="K427" s="124" t="s">
        <v>289</v>
      </c>
      <c r="L427" s="125">
        <v>40.0</v>
      </c>
      <c r="M427" s="124" t="s">
        <v>6430</v>
      </c>
      <c r="N427" s="124" t="s">
        <v>6431</v>
      </c>
      <c r="O427" s="124" t="s">
        <v>6432</v>
      </c>
      <c r="P427" s="124">
        <v>2010.0</v>
      </c>
      <c r="Q427" s="124" t="s">
        <v>6436</v>
      </c>
      <c r="R427" s="123" t="s">
        <v>6437</v>
      </c>
      <c r="S427" s="123"/>
      <c r="T427" s="123"/>
      <c r="U427" s="123"/>
      <c r="V427" s="123"/>
      <c r="W427" s="123"/>
      <c r="X427" s="123"/>
      <c r="Y427" s="123"/>
      <c r="Z427" s="123"/>
      <c r="AA427" s="123"/>
      <c r="AB427" s="123"/>
      <c r="AC427" s="123"/>
      <c r="AD427" s="123"/>
      <c r="AE427" s="123"/>
      <c r="AF427" s="123"/>
      <c r="AG427" s="123"/>
      <c r="AH427" s="123"/>
      <c r="AI427" s="123"/>
      <c r="AJ427" s="123"/>
    </row>
    <row r="428" ht="15.75" customHeight="1">
      <c r="A428" s="123">
        <v>438.0</v>
      </c>
      <c r="B428" s="124" t="s">
        <v>1230</v>
      </c>
      <c r="C428" s="124" t="s">
        <v>106</v>
      </c>
      <c r="D428" s="124" t="s">
        <v>173</v>
      </c>
      <c r="E428" s="124" t="s">
        <v>387</v>
      </c>
      <c r="F428" s="125">
        <v>8.0</v>
      </c>
      <c r="G428" s="124" t="s">
        <v>1113</v>
      </c>
      <c r="H428" s="124" t="s">
        <v>3969</v>
      </c>
      <c r="I428" s="125" t="s">
        <v>2024</v>
      </c>
      <c r="J428" s="123"/>
      <c r="K428" s="124" t="s">
        <v>272</v>
      </c>
      <c r="L428" s="125">
        <v>42.0</v>
      </c>
      <c r="M428" s="124" t="s">
        <v>4602</v>
      </c>
      <c r="N428" s="124" t="s">
        <v>4603</v>
      </c>
      <c r="O428" s="124" t="s">
        <v>4604</v>
      </c>
      <c r="P428" s="124">
        <v>2000.0</v>
      </c>
      <c r="Q428" s="124" t="s">
        <v>4605</v>
      </c>
      <c r="R428" s="123" t="s">
        <v>4606</v>
      </c>
      <c r="S428" s="123"/>
      <c r="T428" s="123" t="s">
        <v>462</v>
      </c>
      <c r="U428" s="123" t="s">
        <v>428</v>
      </c>
      <c r="V428" s="123"/>
      <c r="W428" s="123"/>
      <c r="X428" s="123"/>
      <c r="Y428" s="123"/>
      <c r="Z428" s="129"/>
      <c r="AA428" s="123"/>
      <c r="AB428" s="129"/>
      <c r="AC428" s="123"/>
      <c r="AD428" s="123"/>
      <c r="AE428" s="123"/>
      <c r="AF428" s="123"/>
      <c r="AG428" s="123"/>
      <c r="AH428" s="123"/>
      <c r="AI428" s="123"/>
      <c r="AJ428" s="123"/>
    </row>
    <row r="429" ht="15.75" customHeight="1">
      <c r="A429" s="123">
        <v>439.0</v>
      </c>
      <c r="B429" s="124" t="s">
        <v>1230</v>
      </c>
      <c r="C429" s="124" t="s">
        <v>106</v>
      </c>
      <c r="D429" s="124" t="s">
        <v>64</v>
      </c>
      <c r="E429" s="124" t="s">
        <v>387</v>
      </c>
      <c r="F429" s="125">
        <v>8.0</v>
      </c>
      <c r="G429" s="124" t="s">
        <v>1113</v>
      </c>
      <c r="H429" s="124" t="s">
        <v>470</v>
      </c>
      <c r="I429" s="125">
        <v>3000.0</v>
      </c>
      <c r="J429" s="123"/>
      <c r="K429" s="124" t="s">
        <v>289</v>
      </c>
      <c r="L429" s="125">
        <v>40.0</v>
      </c>
      <c r="M429" s="124" t="s">
        <v>6190</v>
      </c>
      <c r="N429" s="124" t="s">
        <v>6191</v>
      </c>
      <c r="O429" s="124" t="s">
        <v>4381</v>
      </c>
      <c r="P429" s="126">
        <v>2015.0</v>
      </c>
      <c r="Q429" s="124" t="s">
        <v>6192</v>
      </c>
      <c r="R429" s="123"/>
      <c r="S429" s="123"/>
      <c r="T429" s="123"/>
      <c r="U429" s="123"/>
      <c r="V429" s="123" t="s">
        <v>3403</v>
      </c>
      <c r="W429" s="123"/>
      <c r="X429" s="123"/>
      <c r="Y429" s="123"/>
      <c r="Z429" s="123"/>
      <c r="AA429" s="123"/>
      <c r="AB429" s="123"/>
      <c r="AC429" s="123"/>
      <c r="AD429" s="123"/>
      <c r="AE429" s="123"/>
      <c r="AF429" s="123"/>
      <c r="AG429" s="123"/>
      <c r="AH429" s="123"/>
      <c r="AI429" s="123"/>
      <c r="AJ429" s="123"/>
    </row>
    <row r="430" ht="15.75" customHeight="1">
      <c r="A430" s="123">
        <v>440.0</v>
      </c>
      <c r="B430" s="124" t="s">
        <v>1230</v>
      </c>
      <c r="C430" s="124" t="s">
        <v>106</v>
      </c>
      <c r="D430" s="124" t="s">
        <v>64</v>
      </c>
      <c r="E430" s="124" t="s">
        <v>387</v>
      </c>
      <c r="F430" s="125">
        <v>8.0</v>
      </c>
      <c r="G430" s="124" t="s">
        <v>1113</v>
      </c>
      <c r="H430" s="124" t="s">
        <v>1066</v>
      </c>
      <c r="I430" s="125" t="s">
        <v>1065</v>
      </c>
      <c r="J430" s="123"/>
      <c r="K430" s="124" t="s">
        <v>1939</v>
      </c>
      <c r="L430" s="125" t="s">
        <v>1940</v>
      </c>
      <c r="M430" s="124" t="s">
        <v>1941</v>
      </c>
      <c r="N430" s="124" t="s">
        <v>1942</v>
      </c>
      <c r="O430" s="124" t="s">
        <v>1943</v>
      </c>
      <c r="P430" s="124">
        <v>1998.0</v>
      </c>
      <c r="Q430" s="124" t="s">
        <v>1947</v>
      </c>
      <c r="R430" s="123"/>
      <c r="S430" s="123"/>
      <c r="T430" s="123"/>
      <c r="U430" s="123"/>
      <c r="V430" s="123"/>
      <c r="W430" s="123"/>
      <c r="X430" s="123"/>
      <c r="Y430" s="123"/>
      <c r="Z430" s="123"/>
      <c r="AA430" s="123"/>
      <c r="AB430" s="123"/>
      <c r="AC430" s="123"/>
      <c r="AD430" s="123"/>
      <c r="AE430" s="123"/>
      <c r="AF430" s="123"/>
      <c r="AG430" s="123"/>
      <c r="AH430" s="123"/>
      <c r="AI430" s="123"/>
      <c r="AJ430" s="123"/>
    </row>
    <row r="431" ht="15.75" customHeight="1">
      <c r="A431" s="123">
        <v>441.0</v>
      </c>
      <c r="B431" s="124" t="s">
        <v>1230</v>
      </c>
      <c r="C431" s="124" t="s">
        <v>106</v>
      </c>
      <c r="D431" s="124" t="s">
        <v>64</v>
      </c>
      <c r="E431" s="124" t="s">
        <v>387</v>
      </c>
      <c r="F431" s="125">
        <v>8.0</v>
      </c>
      <c r="G431" s="124" t="s">
        <v>1113</v>
      </c>
      <c r="H431" s="124" t="s">
        <v>2373</v>
      </c>
      <c r="I431" s="125">
        <v>2000.0</v>
      </c>
      <c r="J431" s="123"/>
      <c r="K431" s="124" t="s">
        <v>272</v>
      </c>
      <c r="L431" s="125">
        <v>42.0</v>
      </c>
      <c r="M431" s="124" t="s">
        <v>3961</v>
      </c>
      <c r="N431" s="124" t="s">
        <v>188</v>
      </c>
      <c r="O431" s="124" t="s">
        <v>3962</v>
      </c>
      <c r="P431" s="124">
        <v>2008.0</v>
      </c>
      <c r="Q431" s="124" t="s">
        <v>3965</v>
      </c>
      <c r="R431" s="123" t="s">
        <v>3966</v>
      </c>
      <c r="S431" s="123"/>
      <c r="T431" s="123" t="s">
        <v>462</v>
      </c>
      <c r="U431" s="123" t="s">
        <v>428</v>
      </c>
      <c r="V431" s="123"/>
      <c r="W431" s="123"/>
      <c r="X431" s="123"/>
      <c r="Y431" s="123"/>
      <c r="Z431" s="129"/>
      <c r="AA431" s="123"/>
      <c r="AB431" s="123"/>
      <c r="AC431" s="123"/>
      <c r="AD431" s="123"/>
      <c r="AE431" s="123"/>
      <c r="AF431" s="123"/>
      <c r="AG431" s="123"/>
      <c r="AH431" s="123"/>
      <c r="AI431" s="123"/>
      <c r="AJ431" s="123"/>
    </row>
    <row r="432" ht="15.75" customHeight="1">
      <c r="A432" s="123">
        <v>442.0</v>
      </c>
      <c r="B432" s="124" t="s">
        <v>1230</v>
      </c>
      <c r="C432" s="124" t="s">
        <v>106</v>
      </c>
      <c r="D432" s="124" t="s">
        <v>64</v>
      </c>
      <c r="E432" s="124" t="s">
        <v>387</v>
      </c>
      <c r="F432" s="125">
        <v>8.0</v>
      </c>
      <c r="G432" s="124" t="s">
        <v>1113</v>
      </c>
      <c r="H432" s="124" t="s">
        <v>2917</v>
      </c>
      <c r="I432" s="125" t="s">
        <v>2916</v>
      </c>
      <c r="J432" s="123"/>
      <c r="K432" s="124" t="s">
        <v>111</v>
      </c>
      <c r="L432" s="125">
        <v>41.0</v>
      </c>
      <c r="M432" s="124" t="s">
        <v>2918</v>
      </c>
      <c r="N432" s="124" t="s">
        <v>2919</v>
      </c>
      <c r="O432" s="124" t="s">
        <v>2901</v>
      </c>
      <c r="P432" s="124">
        <v>2006.0</v>
      </c>
      <c r="Q432" s="124" t="s">
        <v>2920</v>
      </c>
      <c r="R432" s="123"/>
      <c r="S432" s="123"/>
      <c r="T432" s="123"/>
      <c r="U432" s="123"/>
      <c r="V432" s="123"/>
      <c r="W432" s="123"/>
      <c r="X432" s="123"/>
      <c r="Y432" s="123"/>
      <c r="Z432" s="123"/>
      <c r="AA432" s="123"/>
      <c r="AB432" s="123"/>
      <c r="AC432" s="123"/>
      <c r="AD432" s="123"/>
      <c r="AE432" s="123"/>
      <c r="AF432" s="123"/>
      <c r="AG432" s="123"/>
      <c r="AH432" s="123"/>
      <c r="AI432" s="123"/>
      <c r="AJ432" s="123"/>
    </row>
    <row r="433" ht="15.75" customHeight="1">
      <c r="A433" s="123">
        <v>443.0</v>
      </c>
      <c r="B433" s="124" t="s">
        <v>1230</v>
      </c>
      <c r="C433" s="124" t="s">
        <v>106</v>
      </c>
      <c r="D433" s="124" t="s">
        <v>64</v>
      </c>
      <c r="E433" s="124" t="s">
        <v>387</v>
      </c>
      <c r="F433" s="125">
        <v>8.0</v>
      </c>
      <c r="G433" s="124" t="s">
        <v>1113</v>
      </c>
      <c r="H433" s="124" t="s">
        <v>837</v>
      </c>
      <c r="I433" s="125">
        <v>2000.0</v>
      </c>
      <c r="J433" s="123"/>
      <c r="K433" s="124" t="s">
        <v>6467</v>
      </c>
      <c r="L433" s="125" t="s">
        <v>6469</v>
      </c>
      <c r="M433" s="124" t="s">
        <v>6471</v>
      </c>
      <c r="N433" s="124" t="s">
        <v>6472</v>
      </c>
      <c r="O433" s="124" t="s">
        <v>3400</v>
      </c>
      <c r="P433" s="124">
        <v>2002.0</v>
      </c>
      <c r="Q433" s="130" t="s">
        <v>6476</v>
      </c>
      <c r="R433" s="127" t="str">
        <f>HYPERLINK("http://www-wds.worldbank.org/external/default/WDSContentServer/WDSP/IB/2003/07/26/000094946_03071512065261/Rendered/PDF/multi0page.pdf","http://www-wds.worldbank.org/external/default/WDSContentServer/WDSP/IB/2003/07/26/000094946_03071512065261/Rendered/PDF/multi0page.pdf")</f>
        <v>http://www-wds.worldbank.org/external/default/WDSContentServer/WDSP/IB/2003/07/26/000094946_03071512065261/Rendered/PDF/multi0page.pdf</v>
      </c>
      <c r="S433" s="123"/>
      <c r="T433" s="123" t="s">
        <v>462</v>
      </c>
      <c r="U433" s="123" t="s">
        <v>428</v>
      </c>
      <c r="V433" s="123"/>
      <c r="W433" s="123"/>
      <c r="X433" s="123"/>
      <c r="Y433" s="123"/>
      <c r="Z433" s="129"/>
      <c r="AA433" s="123"/>
      <c r="AB433" s="123"/>
      <c r="AC433" s="123"/>
      <c r="AD433" s="123"/>
      <c r="AE433" s="123"/>
      <c r="AF433" s="123"/>
      <c r="AG433" s="123"/>
      <c r="AH433" s="123"/>
      <c r="AI433" s="123"/>
      <c r="AJ433" s="123" t="s">
        <v>1338</v>
      </c>
    </row>
    <row r="434" ht="15.75" customHeight="1">
      <c r="A434" s="123">
        <v>444.0</v>
      </c>
      <c r="B434" s="124" t="s">
        <v>1230</v>
      </c>
      <c r="C434" s="124" t="s">
        <v>106</v>
      </c>
      <c r="D434" s="124" t="s">
        <v>64</v>
      </c>
      <c r="E434" s="124" t="s">
        <v>387</v>
      </c>
      <c r="F434" s="125">
        <v>8.0</v>
      </c>
      <c r="G434" s="124" t="s">
        <v>822</v>
      </c>
      <c r="H434" s="124" t="s">
        <v>388</v>
      </c>
      <c r="I434" s="125">
        <v>14000.0</v>
      </c>
      <c r="J434" s="123"/>
      <c r="K434" s="124" t="s">
        <v>289</v>
      </c>
      <c r="L434" s="125">
        <v>40.0</v>
      </c>
      <c r="M434" s="124" t="s">
        <v>4862</v>
      </c>
      <c r="N434" s="124" t="s">
        <v>4863</v>
      </c>
      <c r="O434" s="124" t="s">
        <v>4027</v>
      </c>
      <c r="P434" s="124">
        <v>2006.0</v>
      </c>
      <c r="Q434" s="124" t="s">
        <v>4865</v>
      </c>
      <c r="R434" s="127" t="str">
        <f>HYPERLINK("http://onlinelibrary.wiley.com/doi/10.1111/j.1559-1816.2002.tb00216.x/abstract","http://onlinelibrary.wiley.com/doi/10.1111/j.1559-1816.2002.tb00216.x/abstract")</f>
        <v>http://onlinelibrary.wiley.com/doi/10.1111/j.1559-1816.2002.tb00216.x/abstract</v>
      </c>
      <c r="S434" s="123" t="s">
        <v>4866</v>
      </c>
      <c r="T434" s="123" t="s">
        <v>842</v>
      </c>
      <c r="U434" s="123" t="s">
        <v>462</v>
      </c>
      <c r="V434" s="123"/>
      <c r="W434" s="123"/>
      <c r="X434" s="123"/>
      <c r="Y434" s="123"/>
      <c r="Z434" s="123"/>
      <c r="AA434" s="123"/>
      <c r="AB434" s="123"/>
      <c r="AC434" s="123"/>
      <c r="AD434" s="123"/>
      <c r="AE434" s="123"/>
      <c r="AF434" s="123"/>
      <c r="AG434" s="123"/>
      <c r="AH434" s="123"/>
      <c r="AI434" s="123"/>
      <c r="AJ434" s="123"/>
    </row>
    <row r="435" ht="15.75" customHeight="1">
      <c r="A435" s="123">
        <v>445.0</v>
      </c>
      <c r="B435" s="124" t="s">
        <v>1230</v>
      </c>
      <c r="C435" s="124" t="s">
        <v>106</v>
      </c>
      <c r="D435" s="124" t="s">
        <v>64</v>
      </c>
      <c r="E435" s="124" t="s">
        <v>387</v>
      </c>
      <c r="F435" s="125">
        <v>8.0</v>
      </c>
      <c r="G435" s="124" t="s">
        <v>822</v>
      </c>
      <c r="H435" s="124" t="s">
        <v>267</v>
      </c>
      <c r="I435" s="125">
        <v>14000.0</v>
      </c>
      <c r="J435" s="123"/>
      <c r="K435" s="124" t="s">
        <v>117</v>
      </c>
      <c r="L435" s="125">
        <v>40.0</v>
      </c>
      <c r="M435" s="124" t="s">
        <v>4967</v>
      </c>
      <c r="N435" s="124" t="s">
        <v>4968</v>
      </c>
      <c r="O435" s="124" t="s">
        <v>4961</v>
      </c>
      <c r="P435" s="124">
        <v>2005.0</v>
      </c>
      <c r="Q435" s="124" t="s">
        <v>4969</v>
      </c>
      <c r="R435" s="123" t="s">
        <v>4970</v>
      </c>
      <c r="S435" s="123"/>
      <c r="T435" s="123" t="s">
        <v>428</v>
      </c>
      <c r="U435" s="123" t="s">
        <v>462</v>
      </c>
      <c r="V435" s="123"/>
      <c r="W435" s="123"/>
      <c r="X435" s="123"/>
      <c r="Y435" s="123"/>
      <c r="Z435" s="123"/>
      <c r="AA435" s="123"/>
      <c r="AB435" s="123"/>
      <c r="AC435" s="123"/>
      <c r="AD435" s="123"/>
      <c r="AE435" s="123"/>
      <c r="AF435" s="123"/>
      <c r="AG435" s="123"/>
      <c r="AH435" s="123"/>
      <c r="AI435" s="123"/>
      <c r="AJ435" s="123"/>
    </row>
    <row r="436" ht="15.75" customHeight="1">
      <c r="A436" s="123">
        <v>446.0</v>
      </c>
      <c r="B436" s="124" t="s">
        <v>1230</v>
      </c>
      <c r="C436" s="124" t="s">
        <v>106</v>
      </c>
      <c r="D436" s="124" t="s">
        <v>64</v>
      </c>
      <c r="E436" s="124" t="s">
        <v>387</v>
      </c>
      <c r="F436" s="125">
        <v>8.0</v>
      </c>
      <c r="G436" s="124" t="s">
        <v>822</v>
      </c>
      <c r="H436" s="124" t="s">
        <v>388</v>
      </c>
      <c r="I436" s="125">
        <v>14000.0</v>
      </c>
      <c r="J436" s="123"/>
      <c r="K436" s="124" t="s">
        <v>289</v>
      </c>
      <c r="L436" s="125">
        <v>40.0</v>
      </c>
      <c r="M436" s="124" t="s">
        <v>6149</v>
      </c>
      <c r="N436" s="124" t="s">
        <v>6151</v>
      </c>
      <c r="O436" s="124" t="s">
        <v>6152</v>
      </c>
      <c r="P436" s="124">
        <v>2007.0</v>
      </c>
      <c r="Q436" s="124" t="s">
        <v>6156</v>
      </c>
      <c r="R436" s="127" t="str">
        <f>HYPERLINK("http://www.sciencedirect.com/science/article/pii/S0091743507002502","http://www.sciencedirect.com/science/article/pii/S0091743507002502")</f>
        <v>http://www.sciencedirect.com/science/article/pii/S0091743507002502</v>
      </c>
      <c r="S436" s="123" t="s">
        <v>841</v>
      </c>
      <c r="T436" s="123" t="s">
        <v>842</v>
      </c>
      <c r="U436" s="123" t="s">
        <v>462</v>
      </c>
      <c r="V436" s="123"/>
      <c r="W436" s="123"/>
      <c r="X436" s="123"/>
      <c r="Y436" s="123"/>
      <c r="Z436" s="123"/>
      <c r="AA436" s="123"/>
      <c r="AB436" s="123"/>
      <c r="AC436" s="123"/>
      <c r="AD436" s="123"/>
      <c r="AE436" s="123"/>
      <c r="AF436" s="123"/>
      <c r="AG436" s="123"/>
      <c r="AH436" s="123"/>
      <c r="AI436" s="123"/>
      <c r="AJ436" s="123"/>
    </row>
    <row r="437" ht="15.75" customHeight="1">
      <c r="A437" s="123">
        <v>447.0</v>
      </c>
      <c r="B437" s="124" t="s">
        <v>1230</v>
      </c>
      <c r="C437" s="124" t="s">
        <v>106</v>
      </c>
      <c r="D437" s="124" t="s">
        <v>64</v>
      </c>
      <c r="E437" s="124" t="s">
        <v>387</v>
      </c>
      <c r="F437" s="125">
        <v>8.0</v>
      </c>
      <c r="G437" s="124" t="s">
        <v>822</v>
      </c>
      <c r="H437" s="124" t="s">
        <v>388</v>
      </c>
      <c r="I437" s="125">
        <v>14000.0</v>
      </c>
      <c r="J437" s="123"/>
      <c r="K437" s="124" t="s">
        <v>289</v>
      </c>
      <c r="L437" s="125">
        <v>40.0</v>
      </c>
      <c r="M437" s="124" t="s">
        <v>831</v>
      </c>
      <c r="N437" s="124" t="s">
        <v>832</v>
      </c>
      <c r="O437" s="124" t="s">
        <v>833</v>
      </c>
      <c r="P437" s="124">
        <v>1994.0</v>
      </c>
      <c r="Q437" s="124" t="s">
        <v>834</v>
      </c>
      <c r="R437" s="127" t="str">
        <f>HYPERLINK("http://ajph.aphapublications.org/doi/abs/10.2105/AJPH.84.1.43","http://ajph.aphapublications.org/doi/abs/10.2105/AJPH.84.1.43")</f>
        <v>http://ajph.aphapublications.org/doi/abs/10.2105/AJPH.84.1.43</v>
      </c>
      <c r="S437" s="123" t="s">
        <v>841</v>
      </c>
      <c r="T437" s="123" t="s">
        <v>842</v>
      </c>
      <c r="U437" s="123" t="s">
        <v>462</v>
      </c>
      <c r="V437" s="123"/>
      <c r="W437" s="123"/>
      <c r="X437" s="123"/>
      <c r="Y437" s="123"/>
      <c r="Z437" s="123"/>
      <c r="AA437" s="123"/>
      <c r="AB437" s="123"/>
      <c r="AC437" s="123"/>
      <c r="AD437" s="123"/>
      <c r="AE437" s="123"/>
      <c r="AF437" s="123"/>
      <c r="AG437" s="123"/>
      <c r="AH437" s="123"/>
      <c r="AI437" s="123"/>
      <c r="AJ437" s="123"/>
    </row>
    <row r="438" ht="15.75" customHeight="1">
      <c r="A438" s="123">
        <v>450.0</v>
      </c>
      <c r="B438" s="124" t="s">
        <v>1230</v>
      </c>
      <c r="C438" s="124" t="s">
        <v>106</v>
      </c>
      <c r="D438" s="124" t="s">
        <v>64</v>
      </c>
      <c r="E438" s="124" t="s">
        <v>387</v>
      </c>
      <c r="F438" s="125">
        <v>8.0</v>
      </c>
      <c r="G438" s="124" t="s">
        <v>6375</v>
      </c>
      <c r="H438" s="124" t="s">
        <v>388</v>
      </c>
      <c r="I438" s="125">
        <v>14000.0</v>
      </c>
      <c r="J438" s="123"/>
      <c r="K438" s="124" t="s">
        <v>289</v>
      </c>
      <c r="L438" s="125">
        <v>40.0</v>
      </c>
      <c r="M438" s="124" t="s">
        <v>6376</v>
      </c>
      <c r="N438" s="124" t="s">
        <v>188</v>
      </c>
      <c r="O438" s="124" t="s">
        <v>2108</v>
      </c>
      <c r="P438" s="126">
        <v>2013.0</v>
      </c>
      <c r="Q438" s="124" t="s">
        <v>6377</v>
      </c>
      <c r="R438" s="123" t="s">
        <v>6378</v>
      </c>
      <c r="S438" s="123"/>
      <c r="T438" s="123"/>
      <c r="U438" s="123"/>
      <c r="V438" s="123"/>
      <c r="W438" s="123"/>
      <c r="X438" s="123"/>
      <c r="Y438" s="123"/>
      <c r="Z438" s="123"/>
      <c r="AA438" s="123"/>
      <c r="AB438" s="123"/>
      <c r="AC438" s="123"/>
      <c r="AD438" s="123"/>
      <c r="AE438" s="123"/>
      <c r="AF438" s="123"/>
      <c r="AG438" s="123"/>
      <c r="AH438" s="123"/>
      <c r="AI438" s="123"/>
      <c r="AJ438" s="123"/>
    </row>
    <row r="439" ht="15.75" customHeight="1">
      <c r="A439" s="123">
        <v>451.0</v>
      </c>
      <c r="B439" s="124" t="s">
        <v>1230</v>
      </c>
      <c r="C439" s="124" t="s">
        <v>106</v>
      </c>
      <c r="D439" s="124" t="s">
        <v>64</v>
      </c>
      <c r="E439" s="124" t="s">
        <v>387</v>
      </c>
      <c r="F439" s="125">
        <v>8.0</v>
      </c>
      <c r="G439" s="124" t="s">
        <v>3862</v>
      </c>
      <c r="H439" s="124" t="s">
        <v>1332</v>
      </c>
      <c r="I439" s="125">
        <v>2000.0</v>
      </c>
      <c r="J439" s="123"/>
      <c r="K439" s="124" t="s">
        <v>289</v>
      </c>
      <c r="L439" s="125">
        <v>40.0</v>
      </c>
      <c r="M439" s="126" t="s">
        <v>6519</v>
      </c>
      <c r="N439" s="124" t="s">
        <v>6521</v>
      </c>
      <c r="O439" s="124" t="s">
        <v>6522</v>
      </c>
      <c r="P439" s="124">
        <v>2011.0</v>
      </c>
      <c r="Q439" s="124" t="s">
        <v>6530</v>
      </c>
      <c r="R439" s="123" t="s">
        <v>6531</v>
      </c>
      <c r="S439" s="123"/>
      <c r="T439" s="123" t="s">
        <v>428</v>
      </c>
      <c r="U439" s="123"/>
      <c r="V439" s="123"/>
      <c r="W439" s="123"/>
      <c r="X439" s="123"/>
      <c r="Y439" s="123"/>
      <c r="Z439" s="123"/>
      <c r="AA439" s="123"/>
      <c r="AB439" s="123"/>
      <c r="AC439" s="123"/>
      <c r="AD439" s="123"/>
      <c r="AE439" s="123"/>
      <c r="AF439" s="123"/>
      <c r="AG439" s="123"/>
      <c r="AH439" s="123"/>
      <c r="AI439" s="123"/>
      <c r="AJ439" s="123"/>
    </row>
    <row r="440" ht="15.75" customHeight="1">
      <c r="A440" s="123">
        <v>452.0</v>
      </c>
      <c r="B440" s="124" t="s">
        <v>1230</v>
      </c>
      <c r="C440" s="124" t="s">
        <v>106</v>
      </c>
      <c r="D440" s="124" t="s">
        <v>64</v>
      </c>
      <c r="E440" s="124" t="s">
        <v>387</v>
      </c>
      <c r="F440" s="125">
        <v>8.0</v>
      </c>
      <c r="G440" s="124" t="s">
        <v>3862</v>
      </c>
      <c r="H440" s="124" t="s">
        <v>1332</v>
      </c>
      <c r="I440" s="125">
        <v>2000.0</v>
      </c>
      <c r="J440" s="123"/>
      <c r="K440" s="124" t="s">
        <v>289</v>
      </c>
      <c r="L440" s="125">
        <v>40.0</v>
      </c>
      <c r="M440" s="126" t="s">
        <v>6532</v>
      </c>
      <c r="N440" s="124" t="s">
        <v>6533</v>
      </c>
      <c r="O440" s="124" t="s">
        <v>4127</v>
      </c>
      <c r="P440" s="124">
        <v>2015.0</v>
      </c>
      <c r="Q440" s="124" t="s">
        <v>6535</v>
      </c>
      <c r="R440" s="123" t="s">
        <v>6538</v>
      </c>
      <c r="S440" s="123"/>
      <c r="T440" s="123" t="s">
        <v>428</v>
      </c>
      <c r="U440" s="123"/>
      <c r="V440" s="123"/>
      <c r="W440" s="123"/>
      <c r="X440" s="123"/>
      <c r="Y440" s="123"/>
      <c r="Z440" s="123"/>
      <c r="AA440" s="123"/>
      <c r="AB440" s="123"/>
      <c r="AC440" s="123"/>
      <c r="AD440" s="123"/>
      <c r="AE440" s="123"/>
      <c r="AF440" s="123"/>
      <c r="AG440" s="123"/>
      <c r="AH440" s="123"/>
      <c r="AI440" s="123"/>
      <c r="AJ440" s="123"/>
    </row>
    <row r="441" ht="15.75" customHeight="1">
      <c r="A441" s="123">
        <v>453.0</v>
      </c>
      <c r="B441" s="124" t="s">
        <v>1230</v>
      </c>
      <c r="C441" s="124" t="s">
        <v>106</v>
      </c>
      <c r="D441" s="124" t="s">
        <v>64</v>
      </c>
      <c r="E441" s="124" t="s">
        <v>387</v>
      </c>
      <c r="F441" s="125">
        <v>8.0</v>
      </c>
      <c r="G441" s="124" t="s">
        <v>3862</v>
      </c>
      <c r="H441" s="124" t="s">
        <v>837</v>
      </c>
      <c r="I441" s="125">
        <v>2000.0</v>
      </c>
      <c r="J441" s="123"/>
      <c r="K441" s="124" t="s">
        <v>289</v>
      </c>
      <c r="L441" s="125">
        <v>40.0</v>
      </c>
      <c r="M441" s="124" t="s">
        <v>3863</v>
      </c>
      <c r="N441" s="124" t="s">
        <v>3864</v>
      </c>
      <c r="O441" s="124" t="s">
        <v>3865</v>
      </c>
      <c r="P441" s="124">
        <v>2015.0</v>
      </c>
      <c r="Q441" s="124" t="s">
        <v>610</v>
      </c>
      <c r="R441" s="123" t="s">
        <v>3866</v>
      </c>
      <c r="S441" s="123" t="s">
        <v>3867</v>
      </c>
      <c r="T441" s="123" t="s">
        <v>462</v>
      </c>
      <c r="U441" s="123" t="s">
        <v>462</v>
      </c>
      <c r="V441" s="123" t="s">
        <v>39</v>
      </c>
      <c r="W441" s="123"/>
      <c r="X441" s="123"/>
      <c r="Y441" s="123"/>
      <c r="Z441" s="129"/>
      <c r="AA441" s="123"/>
      <c r="AB441" s="123"/>
      <c r="AC441" s="123"/>
      <c r="AD441" s="123"/>
      <c r="AE441" s="123"/>
      <c r="AF441" s="123"/>
      <c r="AG441" s="123"/>
      <c r="AH441" s="123"/>
      <c r="AI441" s="123"/>
      <c r="AJ441" s="123"/>
    </row>
    <row r="442" ht="15.75" customHeight="1">
      <c r="A442" s="123">
        <v>454.0</v>
      </c>
      <c r="B442" s="124" t="s">
        <v>1230</v>
      </c>
      <c r="C442" s="124" t="s">
        <v>106</v>
      </c>
      <c r="D442" s="124" t="s">
        <v>64</v>
      </c>
      <c r="E442" s="124" t="s">
        <v>387</v>
      </c>
      <c r="F442" s="125">
        <v>8.0</v>
      </c>
      <c r="G442" s="124" t="s">
        <v>1779</v>
      </c>
      <c r="H442" s="124" t="s">
        <v>1783</v>
      </c>
      <c r="I442" s="125" t="s">
        <v>1782</v>
      </c>
      <c r="J442" s="123"/>
      <c r="K442" s="124" t="s">
        <v>111</v>
      </c>
      <c r="L442" s="125">
        <v>41.0</v>
      </c>
      <c r="M442" s="124" t="s">
        <v>1784</v>
      </c>
      <c r="N442" s="124" t="s">
        <v>1785</v>
      </c>
      <c r="O442" s="124" t="s">
        <v>1787</v>
      </c>
      <c r="P442" s="124">
        <v>2016.0</v>
      </c>
      <c r="Q442" s="124" t="s">
        <v>610</v>
      </c>
      <c r="R442" s="127" t="str">
        <f>HYPERLINK("http://climateoutreach.org/resources/centre-right-renewable-energy/","http://climateoutreach.org/resources/centre-right-renewable-energy/")</f>
        <v>http://climateoutreach.org/resources/centre-right-renewable-energy/</v>
      </c>
      <c r="S442" s="123"/>
      <c r="T442" s="123"/>
      <c r="U442" s="123"/>
      <c r="V442" s="123"/>
      <c r="W442" s="123"/>
      <c r="X442" s="123"/>
      <c r="Y442" s="123"/>
      <c r="Z442" s="123"/>
      <c r="AA442" s="123"/>
      <c r="AB442" s="123"/>
      <c r="AC442" s="123"/>
      <c r="AD442" s="123"/>
      <c r="AE442" s="123"/>
      <c r="AF442" s="123"/>
      <c r="AG442" s="123"/>
      <c r="AH442" s="123"/>
      <c r="AI442" s="123"/>
      <c r="AJ442" s="123"/>
    </row>
    <row r="443" ht="15.75" customHeight="1">
      <c r="A443" s="123">
        <v>455.0</v>
      </c>
      <c r="B443" s="124" t="s">
        <v>1230</v>
      </c>
      <c r="C443" s="124" t="s">
        <v>106</v>
      </c>
      <c r="D443" s="124" t="s">
        <v>64</v>
      </c>
      <c r="E443" s="124" t="s">
        <v>1715</v>
      </c>
      <c r="F443" s="125" t="s">
        <v>1724</v>
      </c>
      <c r="G443" s="124" t="s">
        <v>2104</v>
      </c>
      <c r="H443" s="124" t="s">
        <v>837</v>
      </c>
      <c r="I443" s="125">
        <v>2000.0</v>
      </c>
      <c r="J443" s="123"/>
      <c r="K443" s="124" t="s">
        <v>289</v>
      </c>
      <c r="L443" s="125">
        <v>40.0</v>
      </c>
      <c r="M443" s="124" t="s">
        <v>2110</v>
      </c>
      <c r="N443" s="124" t="s">
        <v>2111</v>
      </c>
      <c r="O443" s="124" t="s">
        <v>2052</v>
      </c>
      <c r="P443" s="124">
        <v>2013.0</v>
      </c>
      <c r="Q443" s="124" t="s">
        <v>2117</v>
      </c>
      <c r="R443" s="123" t="s">
        <v>2118</v>
      </c>
      <c r="S443" s="123"/>
      <c r="T443" s="123" t="s">
        <v>462</v>
      </c>
      <c r="U443" s="123" t="s">
        <v>462</v>
      </c>
      <c r="V443" s="123"/>
      <c r="W443" s="123"/>
      <c r="X443" s="123"/>
      <c r="Y443" s="123"/>
      <c r="Z443" s="123"/>
      <c r="AA443" s="123"/>
      <c r="AB443" s="123"/>
      <c r="AC443" s="123"/>
      <c r="AD443" s="123"/>
      <c r="AE443" s="123"/>
      <c r="AF443" s="123"/>
      <c r="AG443" s="123"/>
      <c r="AH443" s="123"/>
      <c r="AI443" s="123"/>
      <c r="AJ443" s="123"/>
    </row>
    <row r="444" ht="15.75" customHeight="1">
      <c r="A444" s="123">
        <v>456.0</v>
      </c>
      <c r="B444" s="124" t="s">
        <v>1230</v>
      </c>
      <c r="C444" s="124" t="s">
        <v>106</v>
      </c>
      <c r="D444" s="124" t="s">
        <v>64</v>
      </c>
      <c r="E444" s="124" t="s">
        <v>1715</v>
      </c>
      <c r="F444" s="125" t="s">
        <v>1724</v>
      </c>
      <c r="G444" s="124" t="s">
        <v>5394</v>
      </c>
      <c r="H444" s="124" t="s">
        <v>2373</v>
      </c>
      <c r="I444" s="125">
        <v>2000.0</v>
      </c>
      <c r="J444" s="123"/>
      <c r="K444" s="124" t="s">
        <v>289</v>
      </c>
      <c r="L444" s="125">
        <v>40.0</v>
      </c>
      <c r="M444" s="124" t="s">
        <v>5397</v>
      </c>
      <c r="N444" s="124" t="s">
        <v>5398</v>
      </c>
      <c r="O444" s="124" t="s">
        <v>4694</v>
      </c>
      <c r="P444" s="124">
        <v>2011.0</v>
      </c>
      <c r="Q444" s="124" t="s">
        <v>5402</v>
      </c>
      <c r="R444" s="123" t="s">
        <v>5403</v>
      </c>
      <c r="S444" s="123"/>
      <c r="T444" s="123" t="s">
        <v>428</v>
      </c>
      <c r="U444" s="123" t="s">
        <v>462</v>
      </c>
      <c r="V444" s="123"/>
      <c r="W444" s="123"/>
      <c r="X444" s="123"/>
      <c r="Y444" s="123"/>
      <c r="Z444" s="123"/>
      <c r="AA444" s="123"/>
      <c r="AB444" s="123"/>
      <c r="AC444" s="123"/>
      <c r="AD444" s="123"/>
      <c r="AE444" s="123"/>
      <c r="AF444" s="123"/>
      <c r="AG444" s="123"/>
      <c r="AH444" s="123"/>
      <c r="AI444" s="123"/>
      <c r="AJ444" s="123"/>
    </row>
    <row r="445" ht="15.75" customHeight="1">
      <c r="A445" s="123">
        <v>457.0</v>
      </c>
      <c r="B445" s="124" t="s">
        <v>1230</v>
      </c>
      <c r="C445" s="124" t="s">
        <v>106</v>
      </c>
      <c r="D445" s="124" t="s">
        <v>64</v>
      </c>
      <c r="E445" s="124" t="s">
        <v>1715</v>
      </c>
      <c r="F445" s="125" t="s">
        <v>1724</v>
      </c>
      <c r="G445" s="124" t="s">
        <v>6584</v>
      </c>
      <c r="H445" s="124" t="s">
        <v>552</v>
      </c>
      <c r="I445" s="125">
        <v>6000.0</v>
      </c>
      <c r="J445" s="123"/>
      <c r="K445" s="124" t="s">
        <v>6585</v>
      </c>
      <c r="L445" s="125" t="s">
        <v>6586</v>
      </c>
      <c r="M445" s="124" t="s">
        <v>6587</v>
      </c>
      <c r="N445" s="124" t="s">
        <v>6588</v>
      </c>
      <c r="O445" s="124" t="s">
        <v>6237</v>
      </c>
      <c r="P445" s="124">
        <v>2002.0</v>
      </c>
      <c r="Q445" s="124" t="s">
        <v>6590</v>
      </c>
      <c r="R445" s="123"/>
      <c r="S445" s="123"/>
      <c r="T445" s="123"/>
      <c r="U445" s="123"/>
      <c r="V445" s="123"/>
      <c r="W445" s="123"/>
      <c r="X445" s="123"/>
      <c r="Y445" s="123"/>
      <c r="Z445" s="123"/>
      <c r="AA445" s="123"/>
      <c r="AB445" s="123"/>
      <c r="AC445" s="123"/>
      <c r="AD445" s="123"/>
      <c r="AE445" s="123"/>
      <c r="AF445" s="123"/>
      <c r="AG445" s="123"/>
      <c r="AH445" s="123"/>
      <c r="AI445" s="123"/>
      <c r="AJ445" s="123"/>
    </row>
    <row r="446" ht="15.75" customHeight="1">
      <c r="A446" s="123">
        <v>458.0</v>
      </c>
      <c r="B446" s="124" t="s">
        <v>1230</v>
      </c>
      <c r="C446" s="124" t="s">
        <v>106</v>
      </c>
      <c r="D446" s="124" t="s">
        <v>64</v>
      </c>
      <c r="E446" s="124" t="s">
        <v>772</v>
      </c>
      <c r="F446" s="125">
        <v>5.0</v>
      </c>
      <c r="G446" s="124" t="s">
        <v>5170</v>
      </c>
      <c r="H446" s="124" t="s">
        <v>837</v>
      </c>
      <c r="I446" s="125">
        <v>2000.0</v>
      </c>
      <c r="J446" s="123"/>
      <c r="K446" s="124" t="s">
        <v>289</v>
      </c>
      <c r="L446" s="125">
        <v>40.0</v>
      </c>
      <c r="M446" s="124" t="s">
        <v>5172</v>
      </c>
      <c r="N446" s="124" t="s">
        <v>5173</v>
      </c>
      <c r="O446" s="124" t="s">
        <v>3992</v>
      </c>
      <c r="P446" s="124">
        <v>2010.0</v>
      </c>
      <c r="Q446" s="124" t="s">
        <v>5178</v>
      </c>
      <c r="R446" s="127" t="str">
        <f>HYPERLINK("http://www.sciencedirect.com/science/article/pii/S0272494410000319","http://www.sciencedirect.com/science/article/pii/S0272494410000319")</f>
        <v>http://www.sciencedirect.com/science/article/pii/S0272494410000319</v>
      </c>
      <c r="S446" s="123" t="s">
        <v>5182</v>
      </c>
      <c r="T446" s="123" t="s">
        <v>428</v>
      </c>
      <c r="U446" s="123" t="s">
        <v>462</v>
      </c>
      <c r="V446" s="123"/>
      <c r="W446" s="123"/>
      <c r="X446" s="123" t="s">
        <v>561</v>
      </c>
      <c r="Y446" s="123" t="s">
        <v>5184</v>
      </c>
      <c r="Z446" s="129">
        <v>42443.0</v>
      </c>
      <c r="AA446" s="123"/>
      <c r="AB446" s="129">
        <v>42599.0</v>
      </c>
      <c r="AC446" s="123"/>
      <c r="AD446" s="123"/>
      <c r="AE446" s="123"/>
      <c r="AF446" s="123"/>
      <c r="AG446" s="123"/>
      <c r="AH446" s="123"/>
      <c r="AI446" s="123"/>
      <c r="AJ446" s="123"/>
    </row>
    <row r="447" ht="15.75" customHeight="1">
      <c r="A447" s="123">
        <v>459.0</v>
      </c>
      <c r="B447" s="124" t="s">
        <v>1230</v>
      </c>
      <c r="C447" s="124" t="s">
        <v>106</v>
      </c>
      <c r="D447" s="124" t="s">
        <v>64</v>
      </c>
      <c r="E447" s="124" t="s">
        <v>772</v>
      </c>
      <c r="F447" s="125">
        <v>5.0</v>
      </c>
      <c r="G447" s="124" t="s">
        <v>4788</v>
      </c>
      <c r="H447" s="124" t="s">
        <v>1052</v>
      </c>
      <c r="I447" s="125">
        <v>21000.0</v>
      </c>
      <c r="J447" s="123"/>
      <c r="K447" s="124" t="s">
        <v>289</v>
      </c>
      <c r="L447" s="125">
        <v>40.0</v>
      </c>
      <c r="M447" s="124" t="s">
        <v>4789</v>
      </c>
      <c r="N447" s="124" t="s">
        <v>4790</v>
      </c>
      <c r="O447" s="124" t="s">
        <v>4769</v>
      </c>
      <c r="P447" s="124">
        <v>1993.0</v>
      </c>
      <c r="Q447" s="130" t="s">
        <v>4792</v>
      </c>
      <c r="R447" s="127" t="str">
        <f>HYPERLINK("http://www.ncbi.nlm.nih.gov/pmc/articles/PMC1297743/pdf/jaba00012-0109.pdf","http://www.ncbi.nlm.nih.gov/pmc/articles/PMC1297743/pdf/jaba00012-0109.pdf")</f>
        <v>http://www.ncbi.nlm.nih.gov/pmc/articles/PMC1297743/pdf/jaba00012-0109.pdf</v>
      </c>
      <c r="S447" s="123"/>
      <c r="T447" s="123" t="s">
        <v>428</v>
      </c>
      <c r="U447" s="123" t="s">
        <v>462</v>
      </c>
      <c r="V447" s="123"/>
      <c r="W447" s="123"/>
      <c r="X447" s="123"/>
      <c r="Y447" s="123"/>
      <c r="Z447" s="123"/>
      <c r="AA447" s="123"/>
      <c r="AB447" s="123"/>
      <c r="AC447" s="123"/>
      <c r="AD447" s="123"/>
      <c r="AE447" s="123"/>
      <c r="AF447" s="123"/>
      <c r="AG447" s="123"/>
      <c r="AH447" s="123"/>
      <c r="AI447" s="123"/>
      <c r="AJ447" s="123"/>
    </row>
    <row r="448" ht="15.75" customHeight="1">
      <c r="A448" s="123">
        <v>460.0</v>
      </c>
      <c r="B448" s="124" t="s">
        <v>1230</v>
      </c>
      <c r="C448" s="124" t="s">
        <v>106</v>
      </c>
      <c r="D448" s="124" t="s">
        <v>64</v>
      </c>
      <c r="E448" s="124" t="s">
        <v>772</v>
      </c>
      <c r="F448" s="125">
        <v>5.0</v>
      </c>
      <c r="G448" s="124" t="s">
        <v>2156</v>
      </c>
      <c r="H448" s="124" t="s">
        <v>552</v>
      </c>
      <c r="I448" s="125">
        <v>6000.0</v>
      </c>
      <c r="J448" s="123"/>
      <c r="K448" s="124" t="s">
        <v>289</v>
      </c>
      <c r="L448" s="125">
        <v>40.0</v>
      </c>
      <c r="M448" s="124" t="s">
        <v>2934</v>
      </c>
      <c r="N448" s="124" t="s">
        <v>2935</v>
      </c>
      <c r="O448" s="124" t="s">
        <v>2936</v>
      </c>
      <c r="P448" s="124">
        <v>2009.0</v>
      </c>
      <c r="Q448" s="124" t="s">
        <v>2937</v>
      </c>
      <c r="R448" s="123"/>
      <c r="S448" s="123"/>
      <c r="T448" s="123"/>
      <c r="U448" s="123"/>
      <c r="V448" s="123"/>
      <c r="W448" s="123"/>
      <c r="X448" s="123"/>
      <c r="Y448" s="123"/>
      <c r="Z448" s="123"/>
      <c r="AA448" s="123"/>
      <c r="AB448" s="123"/>
      <c r="AC448" s="123"/>
      <c r="AD448" s="123"/>
      <c r="AE448" s="123"/>
      <c r="AF448" s="123"/>
      <c r="AG448" s="123"/>
      <c r="AH448" s="123"/>
      <c r="AI448" s="123"/>
      <c r="AJ448" s="123"/>
    </row>
    <row r="449" ht="15.75" customHeight="1">
      <c r="A449" s="123">
        <v>461.0</v>
      </c>
      <c r="B449" s="124" t="s">
        <v>1230</v>
      </c>
      <c r="C449" s="124" t="s">
        <v>106</v>
      </c>
      <c r="D449" s="124" t="s">
        <v>64</v>
      </c>
      <c r="E449" s="124" t="s">
        <v>772</v>
      </c>
      <c r="F449" s="125">
        <v>5.0</v>
      </c>
      <c r="G449" s="124" t="s">
        <v>2156</v>
      </c>
      <c r="H449" s="124" t="s">
        <v>578</v>
      </c>
      <c r="I449" s="125">
        <v>2000.0</v>
      </c>
      <c r="J449" s="123"/>
      <c r="K449" s="124" t="s">
        <v>289</v>
      </c>
      <c r="L449" s="125">
        <v>40.0</v>
      </c>
      <c r="M449" s="124" t="s">
        <v>2160</v>
      </c>
      <c r="N449" s="124" t="s">
        <v>2162</v>
      </c>
      <c r="O449" s="124" t="s">
        <v>2164</v>
      </c>
      <c r="P449" s="124">
        <v>2006.0</v>
      </c>
      <c r="Q449" s="124" t="s">
        <v>2167</v>
      </c>
      <c r="R449" s="123"/>
      <c r="S449" s="123" t="s">
        <v>2169</v>
      </c>
      <c r="T449" s="123"/>
      <c r="U449" s="123"/>
      <c r="V449" s="123"/>
      <c r="W449" s="123"/>
      <c r="X449" s="123"/>
      <c r="Y449" s="123"/>
      <c r="Z449" s="123"/>
      <c r="AA449" s="123"/>
      <c r="AB449" s="123"/>
      <c r="AC449" s="123"/>
      <c r="AD449" s="123"/>
      <c r="AE449" s="123"/>
      <c r="AF449" s="123"/>
      <c r="AG449" s="123"/>
      <c r="AH449" s="123"/>
      <c r="AI449" s="123"/>
      <c r="AJ449" s="123"/>
    </row>
    <row r="450" ht="15.75" customHeight="1">
      <c r="A450" s="123">
        <v>462.0</v>
      </c>
      <c r="B450" s="124" t="s">
        <v>1230</v>
      </c>
      <c r="C450" s="124" t="s">
        <v>106</v>
      </c>
      <c r="D450" s="124" t="s">
        <v>64</v>
      </c>
      <c r="E450" s="124" t="s">
        <v>772</v>
      </c>
      <c r="F450" s="125">
        <v>5.0</v>
      </c>
      <c r="G450" s="124" t="s">
        <v>2232</v>
      </c>
      <c r="H450" s="124" t="s">
        <v>2235</v>
      </c>
      <c r="I450" s="125" t="s">
        <v>2234</v>
      </c>
      <c r="J450" s="123"/>
      <c r="K450" s="124" t="s">
        <v>289</v>
      </c>
      <c r="L450" s="125">
        <v>40.0</v>
      </c>
      <c r="M450" s="124" t="s">
        <v>2236</v>
      </c>
      <c r="N450" s="124" t="s">
        <v>2237</v>
      </c>
      <c r="O450" s="124" t="s">
        <v>2239</v>
      </c>
      <c r="P450" s="124">
        <v>2014.0</v>
      </c>
      <c r="Q450" s="124" t="s">
        <v>2247</v>
      </c>
      <c r="R450" s="123" t="s">
        <v>2250</v>
      </c>
      <c r="S450" s="123"/>
      <c r="T450" s="123" t="s">
        <v>926</v>
      </c>
      <c r="U450" s="123" t="s">
        <v>462</v>
      </c>
      <c r="V450" s="123"/>
      <c r="W450" s="123"/>
      <c r="X450" s="123"/>
      <c r="Y450" s="123"/>
      <c r="Z450" s="123"/>
      <c r="AA450" s="123"/>
      <c r="AB450" s="123"/>
      <c r="AC450" s="123"/>
      <c r="AD450" s="123"/>
      <c r="AE450" s="123"/>
      <c r="AF450" s="123"/>
      <c r="AG450" s="123"/>
      <c r="AH450" s="123"/>
      <c r="AI450" s="123"/>
      <c r="AJ450" s="123"/>
    </row>
    <row r="451" ht="15.75" customHeight="1">
      <c r="A451" s="123">
        <v>464.0</v>
      </c>
      <c r="B451" s="124" t="s">
        <v>1230</v>
      </c>
      <c r="C451" s="124" t="s">
        <v>106</v>
      </c>
      <c r="D451" s="124" t="s">
        <v>64</v>
      </c>
      <c r="E451" s="124" t="s">
        <v>772</v>
      </c>
      <c r="F451" s="125">
        <v>5.0</v>
      </c>
      <c r="G451" s="109" t="s">
        <v>2927</v>
      </c>
      <c r="H451" s="124" t="s">
        <v>578</v>
      </c>
      <c r="I451" s="125">
        <v>2000.0</v>
      </c>
      <c r="J451" s="123"/>
      <c r="K451" s="124" t="s">
        <v>289</v>
      </c>
      <c r="L451" s="125">
        <v>40.0</v>
      </c>
      <c r="M451" s="124" t="s">
        <v>2928</v>
      </c>
      <c r="N451" s="124" t="s">
        <v>2929</v>
      </c>
      <c r="O451" s="124" t="s">
        <v>2930</v>
      </c>
      <c r="P451" s="124">
        <v>2009.0</v>
      </c>
      <c r="Q451" s="124" t="s">
        <v>2931</v>
      </c>
      <c r="R451" s="123"/>
      <c r="S451" s="123"/>
      <c r="T451" s="123"/>
      <c r="U451" s="123"/>
      <c r="V451" s="123"/>
      <c r="W451" s="123"/>
      <c r="X451" s="123"/>
      <c r="Y451" s="123"/>
      <c r="Z451" s="123"/>
      <c r="AA451" s="123"/>
      <c r="AB451" s="123"/>
      <c r="AC451" s="123"/>
      <c r="AD451" s="123"/>
      <c r="AE451" s="123"/>
      <c r="AF451" s="123"/>
      <c r="AG451" s="123"/>
      <c r="AH451" s="123"/>
      <c r="AI451" s="123"/>
      <c r="AJ451" s="123"/>
    </row>
    <row r="452" ht="15.75" customHeight="1">
      <c r="A452" s="123">
        <v>465.0</v>
      </c>
      <c r="B452" s="124" t="s">
        <v>1230</v>
      </c>
      <c r="C452" s="124" t="s">
        <v>106</v>
      </c>
      <c r="D452" s="124" t="s">
        <v>64</v>
      </c>
      <c r="E452" s="124" t="s">
        <v>772</v>
      </c>
      <c r="F452" s="125">
        <v>5.0</v>
      </c>
      <c r="G452" s="124" t="s">
        <v>3504</v>
      </c>
      <c r="H452" s="124" t="s">
        <v>388</v>
      </c>
      <c r="I452" s="125">
        <v>14000.0</v>
      </c>
      <c r="J452" s="123"/>
      <c r="K452" s="124" t="s">
        <v>289</v>
      </c>
      <c r="L452" s="125">
        <v>40.0</v>
      </c>
      <c r="M452" s="124" t="s">
        <v>5435</v>
      </c>
      <c r="N452" s="79" t="s">
        <v>5436</v>
      </c>
      <c r="O452" s="124" t="s">
        <v>4694</v>
      </c>
      <c r="P452" s="124">
        <v>1987.0</v>
      </c>
      <c r="Q452" s="79" t="s">
        <v>5445</v>
      </c>
      <c r="R452" s="123" t="s">
        <v>5446</v>
      </c>
      <c r="S452" s="123"/>
      <c r="T452" s="123" t="s">
        <v>428</v>
      </c>
      <c r="U452" s="123" t="s">
        <v>462</v>
      </c>
      <c r="V452" s="123"/>
      <c r="W452" s="123"/>
      <c r="X452" s="123"/>
      <c r="Y452" s="123"/>
      <c r="Z452" s="129"/>
      <c r="AA452" s="123"/>
      <c r="AB452" s="123"/>
      <c r="AC452" s="129"/>
      <c r="AD452" s="123"/>
      <c r="AE452" s="123"/>
      <c r="AF452" s="123"/>
      <c r="AG452" s="123"/>
      <c r="AH452" s="123"/>
      <c r="AI452" s="123"/>
      <c r="AJ452" s="123"/>
    </row>
    <row r="453" ht="15.75" customHeight="1">
      <c r="A453" s="123">
        <v>466.0</v>
      </c>
      <c r="B453" s="124" t="s">
        <v>1230</v>
      </c>
      <c r="C453" s="124" t="s">
        <v>106</v>
      </c>
      <c r="D453" s="124" t="s">
        <v>64</v>
      </c>
      <c r="E453" s="124" t="s">
        <v>772</v>
      </c>
      <c r="F453" s="125">
        <v>5.0</v>
      </c>
      <c r="G453" s="124" t="s">
        <v>3504</v>
      </c>
      <c r="H453" s="124" t="s">
        <v>578</v>
      </c>
      <c r="I453" s="125">
        <v>2000.0</v>
      </c>
      <c r="J453" s="123"/>
      <c r="K453" s="124" t="s">
        <v>111</v>
      </c>
      <c r="L453" s="125">
        <v>41.0</v>
      </c>
      <c r="M453" s="124" t="s">
        <v>5542</v>
      </c>
      <c r="N453" s="124" t="s">
        <v>5543</v>
      </c>
      <c r="O453" s="124" t="s">
        <v>5540</v>
      </c>
      <c r="P453" s="124">
        <v>2009.0</v>
      </c>
      <c r="Q453" s="124" t="s">
        <v>5544</v>
      </c>
      <c r="R453" s="123"/>
      <c r="S453" s="123"/>
      <c r="T453" s="123"/>
      <c r="U453" s="123"/>
      <c r="V453" s="123"/>
      <c r="W453" s="123"/>
      <c r="X453" s="123"/>
      <c r="Y453" s="123"/>
      <c r="Z453" s="123"/>
      <c r="AA453" s="123"/>
      <c r="AB453" s="123"/>
      <c r="AC453" s="123"/>
      <c r="AD453" s="123"/>
      <c r="AE453" s="123"/>
      <c r="AF453" s="123"/>
      <c r="AG453" s="123"/>
      <c r="AH453" s="123"/>
      <c r="AI453" s="123"/>
      <c r="AJ453" s="123"/>
    </row>
    <row r="454" ht="15.75" customHeight="1">
      <c r="A454" s="123">
        <v>467.0</v>
      </c>
      <c r="B454" s="124" t="s">
        <v>1230</v>
      </c>
      <c r="C454" s="124" t="s">
        <v>106</v>
      </c>
      <c r="D454" s="124" t="s">
        <v>64</v>
      </c>
      <c r="E454" s="124" t="s">
        <v>772</v>
      </c>
      <c r="F454" s="125">
        <v>5.0</v>
      </c>
      <c r="G454" s="124" t="s">
        <v>3504</v>
      </c>
      <c r="H454" s="124" t="s">
        <v>1312</v>
      </c>
      <c r="I454" s="125">
        <v>3000.0</v>
      </c>
      <c r="J454" s="123"/>
      <c r="K454" s="124" t="s">
        <v>111</v>
      </c>
      <c r="L454" s="125">
        <v>41.0</v>
      </c>
      <c r="M454" s="124" t="s">
        <v>5190</v>
      </c>
      <c r="N454" s="124" t="s">
        <v>5191</v>
      </c>
      <c r="O454" s="124" t="s">
        <v>3992</v>
      </c>
      <c r="P454" s="124">
        <v>2014.0</v>
      </c>
      <c r="Q454" s="124" t="s">
        <v>5193</v>
      </c>
      <c r="R454" s="123" t="s">
        <v>5194</v>
      </c>
      <c r="S454" s="123"/>
      <c r="T454" s="123" t="s">
        <v>462</v>
      </c>
      <c r="U454" s="123" t="s">
        <v>462</v>
      </c>
      <c r="V454" s="123"/>
      <c r="W454" s="123"/>
      <c r="X454" s="123"/>
      <c r="Y454" s="123"/>
      <c r="Z454" s="123"/>
      <c r="AA454" s="123"/>
      <c r="AB454" s="123"/>
      <c r="AC454" s="123"/>
      <c r="AD454" s="123"/>
      <c r="AE454" s="123"/>
      <c r="AF454" s="123"/>
      <c r="AG454" s="123"/>
      <c r="AH454" s="123"/>
      <c r="AI454" s="123"/>
      <c r="AJ454" s="123"/>
    </row>
    <row r="455" ht="15.75" customHeight="1">
      <c r="A455" s="123">
        <v>468.0</v>
      </c>
      <c r="B455" s="124" t="s">
        <v>1230</v>
      </c>
      <c r="C455" s="124" t="s">
        <v>106</v>
      </c>
      <c r="D455" s="124" t="s">
        <v>64</v>
      </c>
      <c r="E455" s="124" t="s">
        <v>772</v>
      </c>
      <c r="F455" s="125">
        <v>5.0</v>
      </c>
      <c r="G455" s="124" t="s">
        <v>3504</v>
      </c>
      <c r="H455" s="124" t="s">
        <v>578</v>
      </c>
      <c r="I455" s="125">
        <v>2000.0</v>
      </c>
      <c r="J455" s="123"/>
      <c r="K455" s="124" t="s">
        <v>289</v>
      </c>
      <c r="L455" s="125">
        <v>40.0</v>
      </c>
      <c r="M455" s="124" t="s">
        <v>3506</v>
      </c>
      <c r="N455" s="124" t="s">
        <v>3507</v>
      </c>
      <c r="O455" s="124" t="s">
        <v>3509</v>
      </c>
      <c r="P455" s="124">
        <v>2008.0</v>
      </c>
      <c r="Q455" s="124" t="s">
        <v>753</v>
      </c>
      <c r="R455" s="123"/>
      <c r="S455" s="123"/>
      <c r="T455" s="123"/>
      <c r="U455" s="123"/>
      <c r="V455" s="123"/>
      <c r="W455" s="123"/>
      <c r="X455" s="123"/>
      <c r="Y455" s="123"/>
      <c r="Z455" s="123"/>
      <c r="AA455" s="123"/>
      <c r="AB455" s="123"/>
      <c r="AC455" s="123"/>
      <c r="AD455" s="123"/>
      <c r="AE455" s="123"/>
      <c r="AF455" s="123"/>
      <c r="AG455" s="123"/>
      <c r="AH455" s="123"/>
      <c r="AI455" s="123"/>
      <c r="AJ455" s="123"/>
    </row>
    <row r="456" ht="15.75" customHeight="1">
      <c r="A456" s="123">
        <v>469.0</v>
      </c>
      <c r="B456" s="124" t="s">
        <v>1230</v>
      </c>
      <c r="C456" s="124" t="s">
        <v>106</v>
      </c>
      <c r="D456" s="124" t="s">
        <v>173</v>
      </c>
      <c r="E456" s="124" t="s">
        <v>772</v>
      </c>
      <c r="F456" s="125">
        <v>5.0</v>
      </c>
      <c r="G456" s="124" t="s">
        <v>4958</v>
      </c>
      <c r="H456" s="124" t="s">
        <v>388</v>
      </c>
      <c r="I456" s="125">
        <v>14000.0</v>
      </c>
      <c r="J456" s="123"/>
      <c r="K456" s="124" t="s">
        <v>111</v>
      </c>
      <c r="L456" s="125">
        <v>41.0</v>
      </c>
      <c r="M456" s="126" t="s">
        <v>4959</v>
      </c>
      <c r="N456" s="124" t="s">
        <v>4960</v>
      </c>
      <c r="O456" s="124" t="s">
        <v>4961</v>
      </c>
      <c r="P456" s="124">
        <v>2010.0</v>
      </c>
      <c r="Q456" s="124" t="s">
        <v>4962</v>
      </c>
      <c r="R456" s="123" t="s">
        <v>4963</v>
      </c>
      <c r="S456" s="123"/>
      <c r="T456" s="123" t="s">
        <v>428</v>
      </c>
      <c r="U456" s="123"/>
      <c r="V456" s="123"/>
      <c r="W456" s="123"/>
      <c r="X456" s="123"/>
      <c r="Y456" s="123"/>
      <c r="Z456" s="123"/>
      <c r="AA456" s="123"/>
      <c r="AB456" s="123"/>
      <c r="AC456" s="123"/>
      <c r="AD456" s="123"/>
      <c r="AE456" s="123"/>
      <c r="AF456" s="123"/>
      <c r="AG456" s="123"/>
      <c r="AH456" s="123"/>
      <c r="AI456" s="123"/>
      <c r="AJ456" s="123"/>
    </row>
    <row r="457" ht="15.75" customHeight="1">
      <c r="A457" s="123">
        <v>470.0</v>
      </c>
      <c r="B457" s="124" t="s">
        <v>1230</v>
      </c>
      <c r="C457" s="124" t="s">
        <v>106</v>
      </c>
      <c r="D457" s="124" t="s">
        <v>64</v>
      </c>
      <c r="E457" s="124" t="s">
        <v>772</v>
      </c>
      <c r="F457" s="125">
        <v>5.0</v>
      </c>
      <c r="G457" s="124" t="s">
        <v>6433</v>
      </c>
      <c r="H457" s="124" t="s">
        <v>605</v>
      </c>
      <c r="I457" s="125">
        <v>4000.0</v>
      </c>
      <c r="J457" s="123"/>
      <c r="K457" s="124" t="s">
        <v>289</v>
      </c>
      <c r="L457" s="125">
        <v>40.0</v>
      </c>
      <c r="M457" s="124" t="s">
        <v>6714</v>
      </c>
      <c r="N457" s="124" t="s">
        <v>6715</v>
      </c>
      <c r="O457" s="124" t="s">
        <v>6717</v>
      </c>
      <c r="P457" s="124">
        <v>2013.0</v>
      </c>
      <c r="Q457" s="124" t="s">
        <v>6722</v>
      </c>
      <c r="R457" s="127" t="str">
        <f>HYPERLINK("http://www.nber.org/papers/w19510","http://www.nber.org/papers/w19510")</f>
        <v>http://www.nber.org/papers/w19510</v>
      </c>
      <c r="S457" s="123"/>
      <c r="T457" s="123" t="s">
        <v>269</v>
      </c>
      <c r="U457" s="123" t="s">
        <v>270</v>
      </c>
      <c r="V457" s="123"/>
      <c r="W457" s="123"/>
      <c r="X457" s="123"/>
      <c r="Y457" s="123"/>
      <c r="Z457" s="123"/>
      <c r="AA457" s="123"/>
      <c r="AB457" s="123"/>
      <c r="AC457" s="123"/>
      <c r="AD457" s="123"/>
      <c r="AE457" s="123"/>
      <c r="AF457" s="123"/>
      <c r="AG457" s="123"/>
      <c r="AH457" s="123"/>
      <c r="AI457" s="123"/>
      <c r="AJ457" s="123" t="s">
        <v>1023</v>
      </c>
    </row>
    <row r="458" ht="15.75" customHeight="1">
      <c r="A458" s="123">
        <v>471.0</v>
      </c>
      <c r="B458" s="124" t="s">
        <v>1230</v>
      </c>
      <c r="C458" s="124" t="s">
        <v>106</v>
      </c>
      <c r="D458" s="124" t="s">
        <v>64</v>
      </c>
      <c r="E458" s="124" t="s">
        <v>772</v>
      </c>
      <c r="F458" s="125">
        <v>5.0</v>
      </c>
      <c r="G458" s="124" t="s">
        <v>6433</v>
      </c>
      <c r="H458" s="124" t="s">
        <v>116</v>
      </c>
      <c r="I458" s="125">
        <v>3000.0</v>
      </c>
      <c r="J458" s="123"/>
      <c r="K458" s="124" t="s">
        <v>298</v>
      </c>
      <c r="L458" s="125">
        <v>44.0</v>
      </c>
      <c r="M458" s="124" t="s">
        <v>6434</v>
      </c>
      <c r="N458" s="124" t="s">
        <v>6435</v>
      </c>
      <c r="O458" s="131" t="str">
        <f>HYPERLINK("http://www.sciencedirect.com/science/journal/09213449","Resources, Conservation and Recycling")</f>
        <v>Resources, Conservation and Recycling</v>
      </c>
      <c r="P458" s="124">
        <v>2010.0</v>
      </c>
      <c r="Q458" s="124" t="s">
        <v>6439</v>
      </c>
      <c r="R458" s="123" t="s">
        <v>6440</v>
      </c>
      <c r="S458" s="123"/>
      <c r="T458" s="123" t="s">
        <v>926</v>
      </c>
      <c r="U458" s="123" t="s">
        <v>462</v>
      </c>
      <c r="V458" s="123"/>
      <c r="W458" s="123"/>
      <c r="X458" s="123"/>
      <c r="Y458" s="123"/>
      <c r="Z458" s="123"/>
      <c r="AA458" s="123"/>
      <c r="AB458" s="123"/>
      <c r="AC458" s="123"/>
      <c r="AD458" s="123"/>
      <c r="AE458" s="123"/>
      <c r="AF458" s="123"/>
      <c r="AG458" s="123"/>
      <c r="AH458" s="123"/>
      <c r="AI458" s="123"/>
      <c r="AJ458" s="123"/>
    </row>
    <row r="459" ht="15.75" customHeight="1">
      <c r="A459" s="123">
        <v>473.0</v>
      </c>
      <c r="B459" s="124" t="s">
        <v>1230</v>
      </c>
      <c r="C459" s="124" t="s">
        <v>106</v>
      </c>
      <c r="D459" s="124" t="s">
        <v>64</v>
      </c>
      <c r="E459" s="124" t="s">
        <v>772</v>
      </c>
      <c r="F459" s="125">
        <v>5.0</v>
      </c>
      <c r="G459" s="124" t="s">
        <v>773</v>
      </c>
      <c r="H459" s="124" t="s">
        <v>116</v>
      </c>
      <c r="I459" s="125">
        <v>3000.0</v>
      </c>
      <c r="J459" s="123"/>
      <c r="K459" s="124" t="s">
        <v>289</v>
      </c>
      <c r="L459" s="125">
        <v>40.0</v>
      </c>
      <c r="M459" s="124" t="s">
        <v>3340</v>
      </c>
      <c r="N459" s="124" t="s">
        <v>3341</v>
      </c>
      <c r="O459" s="124" t="s">
        <v>3263</v>
      </c>
      <c r="P459" s="124">
        <v>2015.0</v>
      </c>
      <c r="Q459" s="124" t="s">
        <v>3342</v>
      </c>
      <c r="R459" s="123" t="s">
        <v>3343</v>
      </c>
      <c r="S459" s="123"/>
      <c r="T459" s="123" t="s">
        <v>926</v>
      </c>
      <c r="U459" s="123" t="s">
        <v>462</v>
      </c>
      <c r="V459" s="123"/>
      <c r="W459" s="123"/>
      <c r="X459" s="123"/>
      <c r="Y459" s="123"/>
      <c r="Z459" s="123"/>
      <c r="AA459" s="123"/>
      <c r="AB459" s="123"/>
      <c r="AC459" s="123"/>
      <c r="AD459" s="123"/>
      <c r="AE459" s="123"/>
      <c r="AF459" s="123"/>
      <c r="AG459" s="123"/>
      <c r="AH459" s="123"/>
      <c r="AI459" s="123"/>
      <c r="AJ459" s="123"/>
    </row>
    <row r="460" ht="15.75" customHeight="1">
      <c r="A460" s="123">
        <v>474.0</v>
      </c>
      <c r="B460" s="124" t="s">
        <v>1230</v>
      </c>
      <c r="C460" s="124" t="s">
        <v>106</v>
      </c>
      <c r="D460" s="124" t="s">
        <v>64</v>
      </c>
      <c r="E460" s="124" t="s">
        <v>772</v>
      </c>
      <c r="F460" s="125">
        <v>5.0</v>
      </c>
      <c r="G460" s="124" t="s">
        <v>773</v>
      </c>
      <c r="H460" s="124" t="s">
        <v>1052</v>
      </c>
      <c r="I460" s="125">
        <v>21000.0</v>
      </c>
      <c r="J460" s="123"/>
      <c r="K460" s="124" t="s">
        <v>289</v>
      </c>
      <c r="L460" s="125">
        <v>40.0</v>
      </c>
      <c r="M460" s="124" t="s">
        <v>4501</v>
      </c>
      <c r="N460" s="124" t="s">
        <v>4502</v>
      </c>
      <c r="O460" s="124" t="s">
        <v>4505</v>
      </c>
      <c r="P460" s="124">
        <v>2012.0</v>
      </c>
      <c r="Q460" s="79" t="s">
        <v>4509</v>
      </c>
      <c r="R460" s="123" t="s">
        <v>4510</v>
      </c>
      <c r="S460" s="123"/>
      <c r="T460" s="123" t="s">
        <v>926</v>
      </c>
      <c r="U460" s="123" t="s">
        <v>462</v>
      </c>
      <c r="V460" s="123"/>
      <c r="W460" s="123"/>
      <c r="X460" s="123"/>
      <c r="Y460" s="123"/>
      <c r="Z460" s="123"/>
      <c r="AA460" s="123"/>
      <c r="AB460" s="123"/>
      <c r="AC460" s="123"/>
      <c r="AD460" s="123"/>
      <c r="AE460" s="123"/>
      <c r="AF460" s="123"/>
      <c r="AG460" s="123"/>
      <c r="AH460" s="123"/>
      <c r="AI460" s="123"/>
      <c r="AJ460" s="123"/>
    </row>
    <row r="461" ht="15.75" customHeight="1">
      <c r="A461" s="123">
        <v>475.0</v>
      </c>
      <c r="B461" s="124" t="s">
        <v>1230</v>
      </c>
      <c r="C461" s="124" t="s">
        <v>106</v>
      </c>
      <c r="D461" s="124" t="s">
        <v>64</v>
      </c>
      <c r="E461" s="124" t="s">
        <v>772</v>
      </c>
      <c r="F461" s="125">
        <v>5.0</v>
      </c>
      <c r="G461" s="124" t="s">
        <v>773</v>
      </c>
      <c r="H461" s="124" t="s">
        <v>605</v>
      </c>
      <c r="I461" s="125">
        <v>4000.0</v>
      </c>
      <c r="J461" s="123"/>
      <c r="K461" s="124" t="s">
        <v>289</v>
      </c>
      <c r="L461" s="125">
        <v>40.0</v>
      </c>
      <c r="M461" s="124" t="s">
        <v>923</v>
      </c>
      <c r="N461" s="131" t="str">
        <f>HYPERLINK("http://www.sciencedirect.com/science/article/pii/S0003687011001499","Sussman, R., &amp; Gifford, R.")</f>
        <v>Sussman, R., &amp; Gifford, R.</v>
      </c>
      <c r="O461" s="131" t="str">
        <f>HYPERLINK("http://www.sciencedirect.com/science/journal/00036870","Applied Ergonomics")</f>
        <v>Applied Ergonomics</v>
      </c>
      <c r="P461" s="124">
        <v>2012.0</v>
      </c>
      <c r="Q461" s="124" t="s">
        <v>924</v>
      </c>
      <c r="R461" s="123" t="s">
        <v>925</v>
      </c>
      <c r="S461" s="123"/>
      <c r="T461" s="123" t="s">
        <v>926</v>
      </c>
      <c r="U461" s="123" t="s">
        <v>462</v>
      </c>
      <c r="V461" s="123"/>
      <c r="W461" s="123"/>
      <c r="X461" s="123"/>
      <c r="Y461" s="123"/>
      <c r="Z461" s="123"/>
      <c r="AA461" s="123"/>
      <c r="AB461" s="123"/>
      <c r="AC461" s="123"/>
      <c r="AD461" s="123"/>
      <c r="AE461" s="123"/>
      <c r="AF461" s="123"/>
      <c r="AG461" s="123"/>
      <c r="AH461" s="123"/>
      <c r="AI461" s="123"/>
      <c r="AJ461" s="123" t="s">
        <v>927</v>
      </c>
    </row>
    <row r="462" ht="15.75" customHeight="1">
      <c r="A462" s="123">
        <v>476.0</v>
      </c>
      <c r="B462" s="124" t="s">
        <v>1230</v>
      </c>
      <c r="C462" s="124" t="s">
        <v>106</v>
      </c>
      <c r="D462" s="124" t="s">
        <v>64</v>
      </c>
      <c r="E462" s="124" t="s">
        <v>772</v>
      </c>
      <c r="F462" s="125">
        <v>5.0</v>
      </c>
      <c r="G462" s="124" t="s">
        <v>1063</v>
      </c>
      <c r="H462" s="124" t="s">
        <v>837</v>
      </c>
      <c r="I462" s="125">
        <v>2000.0</v>
      </c>
      <c r="J462" s="123"/>
      <c r="K462" s="124" t="s">
        <v>3028</v>
      </c>
      <c r="L462" s="125" t="s">
        <v>3030</v>
      </c>
      <c r="M462" s="124" t="s">
        <v>6242</v>
      </c>
      <c r="N462" s="124" t="s">
        <v>6243</v>
      </c>
      <c r="O462" s="124" t="s">
        <v>3953</v>
      </c>
      <c r="P462" s="124">
        <v>2011.0</v>
      </c>
      <c r="Q462" s="124" t="s">
        <v>6245</v>
      </c>
      <c r="R462" s="127" t="str">
        <f>HYPERLINK("http://pss.sagepub.com/content/22/4/454","http://pss.sagepub.com/content/22/4/454")</f>
        <v>http://pss.sagepub.com/content/22/4/454</v>
      </c>
      <c r="S462" s="123" t="s">
        <v>5182</v>
      </c>
      <c r="T462" s="123" t="s">
        <v>428</v>
      </c>
      <c r="U462" s="123" t="s">
        <v>462</v>
      </c>
      <c r="V462" s="123"/>
      <c r="W462" s="123"/>
      <c r="X462" s="123" t="s">
        <v>561</v>
      </c>
      <c r="Y462" s="123" t="s">
        <v>6249</v>
      </c>
      <c r="Z462" s="129">
        <v>42438.0</v>
      </c>
      <c r="AA462" s="123"/>
      <c r="AB462" s="129">
        <v>42599.0</v>
      </c>
      <c r="AC462" s="123"/>
      <c r="AD462" s="123"/>
      <c r="AE462" s="123"/>
      <c r="AF462" s="123"/>
      <c r="AG462" s="123"/>
      <c r="AH462" s="123"/>
      <c r="AI462" s="123"/>
      <c r="AJ462" s="123"/>
    </row>
    <row r="463" ht="15.75" customHeight="1">
      <c r="A463" s="123">
        <v>477.0</v>
      </c>
      <c r="B463" s="124" t="s">
        <v>1230</v>
      </c>
      <c r="C463" s="124" t="s">
        <v>106</v>
      </c>
      <c r="D463" s="124" t="s">
        <v>64</v>
      </c>
      <c r="E463" s="124" t="s">
        <v>772</v>
      </c>
      <c r="F463" s="125">
        <v>5.0</v>
      </c>
      <c r="G463" s="124" t="s">
        <v>1063</v>
      </c>
      <c r="H463" s="124" t="s">
        <v>1066</v>
      </c>
      <c r="I463" s="125" t="s">
        <v>1065</v>
      </c>
      <c r="J463" s="123"/>
      <c r="K463" s="124" t="s">
        <v>289</v>
      </c>
      <c r="L463" s="125">
        <v>40.0</v>
      </c>
      <c r="M463" s="124" t="s">
        <v>1067</v>
      </c>
      <c r="N463" s="124" t="s">
        <v>1068</v>
      </c>
      <c r="O463" s="124" t="s">
        <v>1069</v>
      </c>
      <c r="P463" s="124">
        <v>2006.0</v>
      </c>
      <c r="Q463" s="124" t="s">
        <v>1070</v>
      </c>
      <c r="R463" s="123" t="s">
        <v>1071</v>
      </c>
      <c r="S463" s="123"/>
      <c r="T463" s="123"/>
      <c r="U463" s="123"/>
      <c r="V463" s="123"/>
      <c r="W463" s="123"/>
      <c r="X463" s="123"/>
      <c r="Y463" s="123"/>
      <c r="Z463" s="123"/>
      <c r="AA463" s="123"/>
      <c r="AB463" s="123"/>
      <c r="AC463" s="123"/>
      <c r="AD463" s="123"/>
      <c r="AE463" s="123"/>
      <c r="AF463" s="123"/>
      <c r="AG463" s="123"/>
      <c r="AH463" s="123"/>
      <c r="AI463" s="123"/>
      <c r="AJ463" s="123"/>
    </row>
    <row r="464" ht="15.75" customHeight="1">
      <c r="A464" s="123">
        <v>478.0</v>
      </c>
      <c r="B464" s="124" t="s">
        <v>1230</v>
      </c>
      <c r="C464" s="124" t="s">
        <v>106</v>
      </c>
      <c r="D464" s="124" t="s">
        <v>64</v>
      </c>
      <c r="E464" s="124" t="s">
        <v>772</v>
      </c>
      <c r="F464" s="125">
        <v>5.0</v>
      </c>
      <c r="G464" s="124" t="s">
        <v>1063</v>
      </c>
      <c r="H464" s="124" t="s">
        <v>578</v>
      </c>
      <c r="I464" s="125">
        <v>2000.0</v>
      </c>
      <c r="J464" s="123"/>
      <c r="K464" s="124" t="s">
        <v>289</v>
      </c>
      <c r="L464" s="125">
        <v>40.0</v>
      </c>
      <c r="M464" s="124" t="s">
        <v>6698</v>
      </c>
      <c r="N464" s="124" t="s">
        <v>6699</v>
      </c>
      <c r="O464" s="124" t="s">
        <v>6700</v>
      </c>
      <c r="P464" s="124">
        <v>2012.0</v>
      </c>
      <c r="Q464" s="124" t="s">
        <v>6702</v>
      </c>
      <c r="R464" s="123"/>
      <c r="S464" s="123"/>
      <c r="T464" s="123"/>
      <c r="U464" s="123"/>
      <c r="V464" s="123"/>
      <c r="W464" s="123"/>
      <c r="X464" s="123"/>
      <c r="Y464" s="123"/>
      <c r="Z464" s="123"/>
      <c r="AA464" s="123"/>
      <c r="AB464" s="123"/>
      <c r="AC464" s="123"/>
      <c r="AD464" s="123"/>
      <c r="AE464" s="123"/>
      <c r="AF464" s="123"/>
      <c r="AG464" s="123"/>
      <c r="AH464" s="123"/>
      <c r="AI464" s="123"/>
      <c r="AJ464" s="123"/>
    </row>
    <row r="465" ht="15.75" customHeight="1">
      <c r="A465" s="123">
        <v>479.0</v>
      </c>
      <c r="B465" s="124" t="s">
        <v>1230</v>
      </c>
      <c r="C465" s="124" t="s">
        <v>106</v>
      </c>
      <c r="D465" s="124" t="s">
        <v>64</v>
      </c>
      <c r="E465" s="124" t="s">
        <v>772</v>
      </c>
      <c r="F465" s="125">
        <v>5.0</v>
      </c>
      <c r="G465" s="124" t="s">
        <v>2927</v>
      </c>
      <c r="H465" s="124" t="s">
        <v>578</v>
      </c>
      <c r="I465" s="125">
        <v>2000.0</v>
      </c>
      <c r="J465" s="123"/>
      <c r="K465" s="124" t="s">
        <v>289</v>
      </c>
      <c r="L465" s="125">
        <v>40.0</v>
      </c>
      <c r="M465" s="124" t="s">
        <v>5082</v>
      </c>
      <c r="N465" s="124" t="s">
        <v>5083</v>
      </c>
      <c r="O465" s="124" t="s">
        <v>4295</v>
      </c>
      <c r="P465" s="124">
        <v>2014.0</v>
      </c>
      <c r="Q465" s="124" t="s">
        <v>5084</v>
      </c>
      <c r="R465" s="123"/>
      <c r="S465" s="123"/>
      <c r="T465" s="123"/>
      <c r="U465" s="123"/>
      <c r="V465" s="123"/>
      <c r="W465" s="123"/>
      <c r="X465" s="123"/>
      <c r="Y465" s="123"/>
      <c r="Z465" s="123"/>
      <c r="AA465" s="123"/>
      <c r="AB465" s="123"/>
      <c r="AC465" s="123"/>
      <c r="AD465" s="123"/>
      <c r="AE465" s="123"/>
      <c r="AF465" s="123"/>
      <c r="AG465" s="123"/>
      <c r="AH465" s="123"/>
      <c r="AI465" s="123"/>
      <c r="AJ465" s="123"/>
    </row>
    <row r="466" ht="15.75" customHeight="1">
      <c r="A466" s="123">
        <v>480.0</v>
      </c>
      <c r="B466" s="124" t="s">
        <v>1230</v>
      </c>
      <c r="C466" s="124" t="s">
        <v>106</v>
      </c>
      <c r="D466" s="124" t="s">
        <v>64</v>
      </c>
      <c r="E466" s="124" t="s">
        <v>772</v>
      </c>
      <c r="F466" s="125">
        <v>5.0</v>
      </c>
      <c r="G466" s="124" t="s">
        <v>2927</v>
      </c>
      <c r="H466" s="124" t="s">
        <v>578</v>
      </c>
      <c r="I466" s="125">
        <v>2000.0</v>
      </c>
      <c r="J466" s="123"/>
      <c r="K466" s="124" t="s">
        <v>289</v>
      </c>
      <c r="L466" s="125">
        <v>40.0</v>
      </c>
      <c r="M466" s="124" t="s">
        <v>5822</v>
      </c>
      <c r="N466" s="124" t="s">
        <v>5823</v>
      </c>
      <c r="O466" s="124" t="s">
        <v>4035</v>
      </c>
      <c r="P466" s="124">
        <v>2014.0</v>
      </c>
      <c r="Q466" s="124" t="s">
        <v>5824</v>
      </c>
      <c r="R466" s="123"/>
      <c r="S466" s="123"/>
      <c r="T466" s="123"/>
      <c r="U466" s="123"/>
      <c r="V466" s="123"/>
      <c r="W466" s="123"/>
      <c r="X466" s="123"/>
      <c r="Y466" s="123"/>
      <c r="Z466" s="123"/>
      <c r="AA466" s="123"/>
      <c r="AB466" s="123"/>
      <c r="AC466" s="123"/>
      <c r="AD466" s="123"/>
      <c r="AE466" s="123"/>
      <c r="AF466" s="123"/>
      <c r="AG466" s="123"/>
      <c r="AH466" s="123"/>
      <c r="AI466" s="123"/>
      <c r="AJ466" s="123"/>
    </row>
    <row r="467" ht="15.75" customHeight="1">
      <c r="A467" s="123">
        <v>481.0</v>
      </c>
      <c r="B467" s="124" t="s">
        <v>1230</v>
      </c>
      <c r="C467" s="124" t="s">
        <v>106</v>
      </c>
      <c r="D467" s="124" t="s">
        <v>64</v>
      </c>
      <c r="E467" s="124" t="s">
        <v>772</v>
      </c>
      <c r="F467" s="125">
        <v>5.0</v>
      </c>
      <c r="G467" s="124" t="s">
        <v>2927</v>
      </c>
      <c r="H467" s="124" t="s">
        <v>578</v>
      </c>
      <c r="I467" s="125">
        <v>2000.0</v>
      </c>
      <c r="J467" s="123"/>
      <c r="K467" s="124" t="s">
        <v>289</v>
      </c>
      <c r="L467" s="125">
        <v>40.0</v>
      </c>
      <c r="M467" s="124" t="s">
        <v>5597</v>
      </c>
      <c r="N467" s="87" t="s">
        <v>5598</v>
      </c>
      <c r="O467" s="124" t="s">
        <v>5599</v>
      </c>
      <c r="P467" s="124">
        <v>2013.0</v>
      </c>
      <c r="Q467" s="124" t="s">
        <v>5600</v>
      </c>
      <c r="R467" s="123" t="s">
        <v>5601</v>
      </c>
      <c r="S467" s="123"/>
      <c r="T467" s="123" t="s">
        <v>462</v>
      </c>
      <c r="U467" s="123" t="s">
        <v>926</v>
      </c>
      <c r="V467" s="123"/>
      <c r="W467" s="123"/>
      <c r="X467" s="123"/>
      <c r="Y467" s="123"/>
      <c r="Z467" s="123"/>
      <c r="AA467" s="123"/>
      <c r="AB467" s="123"/>
      <c r="AC467" s="123"/>
      <c r="AD467" s="123"/>
      <c r="AE467" s="123"/>
      <c r="AF467" s="123"/>
      <c r="AG467" s="123"/>
      <c r="AH467" s="123"/>
      <c r="AI467" s="123"/>
      <c r="AJ467" s="123"/>
    </row>
    <row r="468" ht="15.75" customHeight="1">
      <c r="A468" s="123">
        <v>482.0</v>
      </c>
      <c r="B468" s="124" t="s">
        <v>1230</v>
      </c>
      <c r="C468" s="124" t="s">
        <v>106</v>
      </c>
      <c r="D468" s="124" t="s">
        <v>64</v>
      </c>
      <c r="E468" s="124" t="s">
        <v>772</v>
      </c>
      <c r="F468" s="125">
        <v>5.0</v>
      </c>
      <c r="G468" s="124" t="s">
        <v>2927</v>
      </c>
      <c r="H468" s="124" t="s">
        <v>5569</v>
      </c>
      <c r="I468" s="125" t="s">
        <v>3606</v>
      </c>
      <c r="J468" s="123"/>
      <c r="K468" s="124" t="s">
        <v>289</v>
      </c>
      <c r="L468" s="125">
        <v>40.0</v>
      </c>
      <c r="M468" s="124" t="s">
        <v>6459</v>
      </c>
      <c r="N468" s="124" t="s">
        <v>6461</v>
      </c>
      <c r="O468" s="124" t="s">
        <v>6462</v>
      </c>
      <c r="P468" s="124">
        <v>2014.0</v>
      </c>
      <c r="Q468" s="124" t="s">
        <v>6464</v>
      </c>
      <c r="R468" s="123"/>
      <c r="S468" s="123"/>
      <c r="T468" s="123"/>
      <c r="U468" s="123"/>
      <c r="V468" s="123"/>
      <c r="W468" s="123"/>
      <c r="X468" s="123"/>
      <c r="Y468" s="123"/>
      <c r="Z468" s="123"/>
      <c r="AA468" s="123"/>
      <c r="AB468" s="123"/>
      <c r="AC468" s="123"/>
      <c r="AD468" s="123"/>
      <c r="AE468" s="123"/>
      <c r="AF468" s="123"/>
      <c r="AG468" s="123"/>
      <c r="AH468" s="123"/>
      <c r="AI468" s="123"/>
      <c r="AJ468" s="123"/>
    </row>
    <row r="469" ht="15.75" customHeight="1">
      <c r="A469" s="123">
        <v>483.0</v>
      </c>
      <c r="B469" s="124" t="s">
        <v>1230</v>
      </c>
      <c r="C469" s="124" t="s">
        <v>106</v>
      </c>
      <c r="D469" s="124" t="s">
        <v>64</v>
      </c>
      <c r="E469" s="124" t="s">
        <v>772</v>
      </c>
      <c r="F469" s="125">
        <v>5.0</v>
      </c>
      <c r="G469" s="124" t="s">
        <v>2927</v>
      </c>
      <c r="H469" s="124" t="s">
        <v>388</v>
      </c>
      <c r="I469" s="125">
        <v>14000.0</v>
      </c>
      <c r="J469" s="123"/>
      <c r="K469" s="124" t="s">
        <v>111</v>
      </c>
      <c r="L469" s="125">
        <v>41.0</v>
      </c>
      <c r="M469" s="124" t="s">
        <v>6124</v>
      </c>
      <c r="N469" s="124" t="s">
        <v>6125</v>
      </c>
      <c r="O469" s="124" t="s">
        <v>6111</v>
      </c>
      <c r="P469" s="124">
        <v>2012.0</v>
      </c>
      <c r="Q469" s="124" t="s">
        <v>6126</v>
      </c>
      <c r="R469" s="123" t="s">
        <v>6127</v>
      </c>
      <c r="S469" s="123" t="s">
        <v>6128</v>
      </c>
      <c r="T469" s="123" t="s">
        <v>1648</v>
      </c>
      <c r="U469" s="123" t="s">
        <v>1648</v>
      </c>
      <c r="V469" s="123"/>
      <c r="W469" s="123"/>
      <c r="X469" s="123"/>
      <c r="Y469" s="123"/>
      <c r="Z469" s="123"/>
      <c r="AA469" s="123"/>
      <c r="AB469" s="123"/>
      <c r="AC469" s="123"/>
      <c r="AD469" s="123"/>
      <c r="AE469" s="123"/>
      <c r="AF469" s="123"/>
      <c r="AG469" s="123"/>
      <c r="AH469" s="123"/>
      <c r="AI469" s="123"/>
      <c r="AJ469" s="123"/>
    </row>
    <row r="470" ht="15.75" customHeight="1">
      <c r="A470" s="123">
        <v>484.0</v>
      </c>
      <c r="B470" s="124" t="s">
        <v>1230</v>
      </c>
      <c r="C470" s="124" t="s">
        <v>106</v>
      </c>
      <c r="D470" s="124" t="s">
        <v>64</v>
      </c>
      <c r="E470" s="124" t="s">
        <v>772</v>
      </c>
      <c r="F470" s="125">
        <v>5.0</v>
      </c>
      <c r="G470" s="124" t="s">
        <v>4825</v>
      </c>
      <c r="H470" s="124" t="s">
        <v>70</v>
      </c>
      <c r="I470" s="125">
        <v>4000.0</v>
      </c>
      <c r="J470" s="123"/>
      <c r="K470" s="124" t="s">
        <v>289</v>
      </c>
      <c r="L470" s="125">
        <v>40.0</v>
      </c>
      <c r="M470" s="124" t="s">
        <v>4826</v>
      </c>
      <c r="N470" s="124" t="s">
        <v>4827</v>
      </c>
      <c r="O470" s="124" t="s">
        <v>4808</v>
      </c>
      <c r="P470" s="124">
        <v>1988.0</v>
      </c>
      <c r="Q470" s="124" t="s">
        <v>4828</v>
      </c>
      <c r="R470" s="123" t="s">
        <v>4829</v>
      </c>
      <c r="S470" s="123"/>
      <c r="T470" s="123" t="s">
        <v>926</v>
      </c>
      <c r="U470" s="123" t="s">
        <v>462</v>
      </c>
      <c r="V470" s="123"/>
      <c r="W470" s="123"/>
      <c r="X470" s="123"/>
      <c r="Y470" s="123"/>
      <c r="Z470" s="123"/>
      <c r="AA470" s="123"/>
      <c r="AB470" s="123"/>
      <c r="AC470" s="123"/>
      <c r="AD470" s="123"/>
      <c r="AE470" s="123"/>
      <c r="AF470" s="123"/>
      <c r="AG470" s="123"/>
      <c r="AH470" s="123"/>
      <c r="AI470" s="123"/>
      <c r="AJ470" s="123" t="s">
        <v>4830</v>
      </c>
    </row>
    <row r="471" ht="15.75" customHeight="1">
      <c r="A471" s="123">
        <v>485.0</v>
      </c>
      <c r="B471" s="124" t="s">
        <v>1230</v>
      </c>
      <c r="C471" s="124" t="s">
        <v>106</v>
      </c>
      <c r="D471" s="124" t="s">
        <v>64</v>
      </c>
      <c r="E471" s="124" t="s">
        <v>5696</v>
      </c>
      <c r="F471" s="125" t="s">
        <v>5697</v>
      </c>
      <c r="G471" s="124" t="s">
        <v>5698</v>
      </c>
      <c r="H471" s="124" t="s">
        <v>470</v>
      </c>
      <c r="I471" s="125">
        <v>3000.0</v>
      </c>
      <c r="J471" s="123"/>
      <c r="K471" s="124" t="s">
        <v>289</v>
      </c>
      <c r="L471" s="125">
        <v>40.0</v>
      </c>
      <c r="M471" s="124" t="s">
        <v>5700</v>
      </c>
      <c r="N471" s="124" t="s">
        <v>5701</v>
      </c>
      <c r="O471" s="124" t="s">
        <v>5702</v>
      </c>
      <c r="P471" s="124">
        <v>2009.0</v>
      </c>
      <c r="Q471" s="79" t="s">
        <v>5706</v>
      </c>
      <c r="R471" s="127" t="str">
        <f>HYPERLINK("https://www.pca.state.mn.us/sites/default/files/p-ee1-01.pdf","https://www.pca.state.mn.us/sites/default/files/p-ee1-01.pdf")</f>
        <v>https://www.pca.state.mn.us/sites/default/files/p-ee1-01.pdf</v>
      </c>
      <c r="S471" s="123"/>
      <c r="T471" s="123" t="s">
        <v>5707</v>
      </c>
      <c r="U471" s="123" t="s">
        <v>1358</v>
      </c>
      <c r="V471" s="123"/>
      <c r="W471" s="123"/>
      <c r="X471" s="123" t="s">
        <v>677</v>
      </c>
      <c r="Y471" s="123"/>
      <c r="Z471" s="123"/>
      <c r="AA471" s="123"/>
      <c r="AB471" s="123"/>
      <c r="AC471" s="123"/>
      <c r="AD471" s="123"/>
      <c r="AE471" s="123"/>
      <c r="AF471" s="123"/>
      <c r="AG471" s="123"/>
      <c r="AH471" s="123"/>
      <c r="AI471" s="123"/>
      <c r="AJ471" s="123"/>
    </row>
    <row r="472" ht="15.75" customHeight="1">
      <c r="A472" s="123">
        <v>486.0</v>
      </c>
      <c r="B472" s="124" t="s">
        <v>1985</v>
      </c>
      <c r="C472" s="124" t="s">
        <v>106</v>
      </c>
      <c r="D472" s="124" t="s">
        <v>64</v>
      </c>
      <c r="E472" s="124" t="s">
        <v>1322</v>
      </c>
      <c r="F472" s="125">
        <v>4.0</v>
      </c>
      <c r="G472" s="124"/>
      <c r="H472" s="124" t="s">
        <v>3540</v>
      </c>
      <c r="I472" s="125">
        <v>2000.0</v>
      </c>
      <c r="J472" s="123"/>
      <c r="K472" s="124" t="s">
        <v>117</v>
      </c>
      <c r="L472" s="125">
        <v>40.0</v>
      </c>
      <c r="M472" s="124" t="s">
        <v>3541</v>
      </c>
      <c r="N472" s="124" t="s">
        <v>1599</v>
      </c>
      <c r="O472" s="124" t="s">
        <v>3542</v>
      </c>
      <c r="P472" s="124">
        <v>2010.0</v>
      </c>
      <c r="Q472" s="124"/>
      <c r="R472" s="123"/>
      <c r="S472" s="123"/>
      <c r="T472" s="123"/>
      <c r="U472" s="123"/>
      <c r="V472" s="123" t="s">
        <v>1594</v>
      </c>
      <c r="W472" s="123"/>
      <c r="X472" s="123"/>
      <c r="Y472" s="123"/>
      <c r="Z472" s="123"/>
      <c r="AA472" s="123"/>
      <c r="AB472" s="123"/>
      <c r="AC472" s="123"/>
      <c r="AD472" s="123"/>
      <c r="AE472" s="123"/>
      <c r="AF472" s="123"/>
      <c r="AG472" s="123"/>
      <c r="AH472" s="123"/>
      <c r="AI472" s="123"/>
      <c r="AJ472" s="123"/>
    </row>
    <row r="473" ht="15.75" customHeight="1">
      <c r="A473" s="123">
        <v>487.0</v>
      </c>
      <c r="B473" s="124" t="s">
        <v>1985</v>
      </c>
      <c r="C473" s="124" t="s">
        <v>106</v>
      </c>
      <c r="D473" s="124" t="s">
        <v>64</v>
      </c>
      <c r="E473" s="125" t="s">
        <v>5156</v>
      </c>
      <c r="F473" s="125" t="s">
        <v>2783</v>
      </c>
      <c r="G473" s="124"/>
      <c r="H473" s="124" t="s">
        <v>837</v>
      </c>
      <c r="I473" s="125">
        <v>2000.0</v>
      </c>
      <c r="J473" s="123"/>
      <c r="K473" s="124" t="s">
        <v>289</v>
      </c>
      <c r="L473" s="125">
        <v>40.0</v>
      </c>
      <c r="M473" s="124" t="s">
        <v>5538</v>
      </c>
      <c r="N473" s="124" t="s">
        <v>5539</v>
      </c>
      <c r="O473" s="124" t="s">
        <v>5540</v>
      </c>
      <c r="P473" s="124">
        <v>2011.0</v>
      </c>
      <c r="Q473" s="124" t="s">
        <v>5541</v>
      </c>
      <c r="R473" s="123"/>
      <c r="S473" s="123"/>
      <c r="T473" s="123" t="s">
        <v>462</v>
      </c>
      <c r="U473" s="123" t="s">
        <v>462</v>
      </c>
      <c r="V473" s="123" t="s">
        <v>428</v>
      </c>
      <c r="W473" s="123"/>
      <c r="X473" s="123"/>
      <c r="Y473" s="123"/>
      <c r="Z473" s="123"/>
      <c r="AA473" s="123"/>
      <c r="AB473" s="123"/>
      <c r="AC473" s="123"/>
      <c r="AD473" s="123"/>
      <c r="AE473" s="123"/>
      <c r="AF473" s="123"/>
      <c r="AG473" s="123"/>
      <c r="AH473" s="123"/>
      <c r="AI473" s="123"/>
      <c r="AJ473" s="123"/>
    </row>
    <row r="474" ht="15.75" customHeight="1">
      <c r="A474" s="123">
        <v>488.0</v>
      </c>
      <c r="B474" s="124" t="s">
        <v>1985</v>
      </c>
      <c r="C474" s="124" t="s">
        <v>106</v>
      </c>
      <c r="D474" s="124" t="s">
        <v>64</v>
      </c>
      <c r="E474" s="125" t="s">
        <v>5156</v>
      </c>
      <c r="F474" s="125" t="s">
        <v>2783</v>
      </c>
      <c r="G474" s="124"/>
      <c r="H474" s="124" t="s">
        <v>644</v>
      </c>
      <c r="I474" s="125">
        <v>2000.0</v>
      </c>
      <c r="J474" s="123"/>
      <c r="K474" s="124" t="s">
        <v>289</v>
      </c>
      <c r="L474" s="125">
        <v>40.0</v>
      </c>
      <c r="M474" s="124" t="s">
        <v>5157</v>
      </c>
      <c r="N474" s="124" t="s">
        <v>5158</v>
      </c>
      <c r="O474" s="124" t="s">
        <v>3992</v>
      </c>
      <c r="P474" s="124">
        <v>2016.0</v>
      </c>
      <c r="Q474" s="124" t="s">
        <v>5159</v>
      </c>
      <c r="R474" s="123"/>
      <c r="S474" s="123"/>
      <c r="T474" s="123" t="s">
        <v>462</v>
      </c>
      <c r="U474" s="123" t="s">
        <v>462</v>
      </c>
      <c r="V474" s="123" t="s">
        <v>5160</v>
      </c>
      <c r="W474" s="123"/>
      <c r="X474" s="123"/>
      <c r="Y474" s="123"/>
      <c r="Z474" s="123"/>
      <c r="AA474" s="123"/>
      <c r="AB474" s="123"/>
      <c r="AC474" s="123"/>
      <c r="AD474" s="123"/>
      <c r="AE474" s="123"/>
      <c r="AF474" s="123"/>
      <c r="AG474" s="123"/>
      <c r="AH474" s="123"/>
      <c r="AI474" s="123"/>
      <c r="AJ474" s="123"/>
    </row>
    <row r="475" ht="15.75" customHeight="1">
      <c r="A475" s="123">
        <v>489.0</v>
      </c>
      <c r="B475" s="124" t="s">
        <v>1985</v>
      </c>
      <c r="C475" s="124" t="s">
        <v>106</v>
      </c>
      <c r="D475" s="124" t="s">
        <v>64</v>
      </c>
      <c r="E475" s="124" t="s">
        <v>3405</v>
      </c>
      <c r="F475" s="125" t="s">
        <v>3406</v>
      </c>
      <c r="G475" s="124"/>
      <c r="H475" s="124" t="s">
        <v>1052</v>
      </c>
      <c r="I475" s="125">
        <v>21000.0</v>
      </c>
      <c r="J475" s="123"/>
      <c r="K475" s="124" t="s">
        <v>111</v>
      </c>
      <c r="L475" s="125">
        <v>41.0</v>
      </c>
      <c r="M475" s="124" t="s">
        <v>3408</v>
      </c>
      <c r="N475" s="124" t="s">
        <v>3409</v>
      </c>
      <c r="O475" s="124" t="s">
        <v>3410</v>
      </c>
      <c r="P475" s="124">
        <v>2007.0</v>
      </c>
      <c r="Q475" s="124" t="s">
        <v>3411</v>
      </c>
      <c r="R475" s="123"/>
      <c r="S475" s="123"/>
      <c r="T475" s="123" t="s">
        <v>462</v>
      </c>
      <c r="U475" s="123" t="s">
        <v>462</v>
      </c>
      <c r="V475" s="123"/>
      <c r="W475" s="123"/>
      <c r="X475" s="123"/>
      <c r="Y475" s="123"/>
      <c r="Z475" s="123"/>
      <c r="AA475" s="123"/>
      <c r="AB475" s="123"/>
      <c r="AC475" s="123"/>
      <c r="AD475" s="123"/>
      <c r="AE475" s="123"/>
      <c r="AF475" s="123"/>
      <c r="AG475" s="123"/>
      <c r="AH475" s="123"/>
      <c r="AI475" s="123"/>
      <c r="AJ475" s="123"/>
    </row>
    <row r="476" ht="15.75" customHeight="1">
      <c r="A476" s="123">
        <v>490.0</v>
      </c>
      <c r="B476" s="124" t="s">
        <v>1985</v>
      </c>
      <c r="C476" s="124" t="s">
        <v>106</v>
      </c>
      <c r="D476" s="124" t="s">
        <v>64</v>
      </c>
      <c r="E476" s="124" t="s">
        <v>887</v>
      </c>
      <c r="F476" s="125">
        <v>9.0</v>
      </c>
      <c r="G476" s="124" t="s">
        <v>3385</v>
      </c>
      <c r="H476" s="124" t="s">
        <v>3386</v>
      </c>
      <c r="I476" s="125">
        <v>10000.0</v>
      </c>
      <c r="J476" s="123"/>
      <c r="K476" s="124" t="s">
        <v>289</v>
      </c>
      <c r="L476" s="125">
        <v>40.0</v>
      </c>
      <c r="M476" s="124" t="s">
        <v>3388</v>
      </c>
      <c r="N476" s="124" t="s">
        <v>3389</v>
      </c>
      <c r="O476" s="124" t="s">
        <v>3263</v>
      </c>
      <c r="P476" s="124">
        <v>2001.0</v>
      </c>
      <c r="Q476" s="130" t="s">
        <v>3391</v>
      </c>
      <c r="R476" s="123"/>
      <c r="S476" s="123"/>
      <c r="T476" s="123" t="s">
        <v>462</v>
      </c>
      <c r="U476" s="123" t="s">
        <v>462</v>
      </c>
      <c r="V476" s="123"/>
      <c r="W476" s="123"/>
      <c r="X476" s="123"/>
      <c r="Y476" s="123"/>
      <c r="Z476" s="123"/>
      <c r="AA476" s="123"/>
      <c r="AB476" s="123"/>
      <c r="AC476" s="123"/>
      <c r="AD476" s="123"/>
      <c r="AE476" s="123"/>
      <c r="AF476" s="123"/>
      <c r="AG476" s="123"/>
      <c r="AH476" s="123"/>
      <c r="AI476" s="123"/>
      <c r="AJ476" s="123"/>
    </row>
    <row r="477" ht="15.75" customHeight="1">
      <c r="A477" s="123">
        <v>491.0</v>
      </c>
      <c r="B477" s="124" t="s">
        <v>1985</v>
      </c>
      <c r="C477" s="124" t="s">
        <v>106</v>
      </c>
      <c r="D477" s="124" t="s">
        <v>64</v>
      </c>
      <c r="E477" s="124" t="s">
        <v>265</v>
      </c>
      <c r="F477" s="125">
        <v>9.0</v>
      </c>
      <c r="G477" s="124" t="s">
        <v>3385</v>
      </c>
      <c r="H477" s="124" t="s">
        <v>3754</v>
      </c>
      <c r="I477" s="125">
        <v>10000.0</v>
      </c>
      <c r="J477" s="123"/>
      <c r="K477" s="124" t="s">
        <v>289</v>
      </c>
      <c r="L477" s="125">
        <v>40.0</v>
      </c>
      <c r="M477" s="124" t="s">
        <v>5273</v>
      </c>
      <c r="N477" s="124" t="s">
        <v>5274</v>
      </c>
      <c r="O477" s="124" t="s">
        <v>3992</v>
      </c>
      <c r="P477" s="124">
        <v>2010.0</v>
      </c>
      <c r="Q477" s="124" t="s">
        <v>5281</v>
      </c>
      <c r="R477" s="123"/>
      <c r="S477" s="123"/>
      <c r="T477" s="123" t="s">
        <v>462</v>
      </c>
      <c r="U477" s="123" t="s">
        <v>462</v>
      </c>
      <c r="V477" s="123" t="s">
        <v>5160</v>
      </c>
      <c r="W477" s="123"/>
      <c r="X477" s="123"/>
      <c r="Y477" s="123"/>
      <c r="Z477" s="123"/>
      <c r="AA477" s="123"/>
      <c r="AB477" s="123"/>
      <c r="AC477" s="123"/>
      <c r="AD477" s="123"/>
      <c r="AE477" s="123"/>
      <c r="AF477" s="123"/>
      <c r="AG477" s="123"/>
      <c r="AH477" s="123"/>
      <c r="AI477" s="123"/>
      <c r="AJ477" s="123"/>
    </row>
    <row r="478" ht="15.75" customHeight="1">
      <c r="A478" s="123">
        <v>492.0</v>
      </c>
      <c r="B478" s="124" t="s">
        <v>1985</v>
      </c>
      <c r="C478" s="124" t="s">
        <v>106</v>
      </c>
      <c r="D478" s="124"/>
      <c r="E478" s="124" t="s">
        <v>196</v>
      </c>
      <c r="F478" s="125">
        <v>1.0</v>
      </c>
      <c r="G478" s="124"/>
      <c r="H478" s="124" t="s">
        <v>651</v>
      </c>
      <c r="I478" s="125">
        <v>4000.0</v>
      </c>
      <c r="J478" s="123"/>
      <c r="K478" s="124" t="s">
        <v>95</v>
      </c>
      <c r="L478" s="125">
        <v>41.0</v>
      </c>
      <c r="M478" s="125" t="s">
        <v>3226</v>
      </c>
      <c r="N478" s="124" t="s">
        <v>3227</v>
      </c>
      <c r="O478" s="124" t="s">
        <v>3123</v>
      </c>
      <c r="P478" s="124">
        <v>2016.0</v>
      </c>
      <c r="Q478" s="124" t="s">
        <v>3229</v>
      </c>
      <c r="R478" s="123"/>
      <c r="S478" s="123"/>
      <c r="T478" s="123" t="s">
        <v>462</v>
      </c>
      <c r="U478" s="123" t="s">
        <v>462</v>
      </c>
      <c r="V478" s="123" t="s">
        <v>3233</v>
      </c>
      <c r="W478" s="123"/>
      <c r="X478" s="123"/>
      <c r="Y478" s="123"/>
      <c r="Z478" s="123"/>
      <c r="AA478" s="123"/>
      <c r="AB478" s="123"/>
      <c r="AC478" s="123"/>
      <c r="AD478" s="123"/>
      <c r="AE478" s="123"/>
      <c r="AF478" s="123"/>
      <c r="AG478" s="123"/>
      <c r="AH478" s="123"/>
      <c r="AI478" s="123"/>
      <c r="AJ478" s="123"/>
    </row>
    <row r="479" ht="15.75" customHeight="1">
      <c r="A479" s="123">
        <v>493.0</v>
      </c>
      <c r="B479" s="124" t="s">
        <v>1985</v>
      </c>
      <c r="C479" s="124" t="s">
        <v>106</v>
      </c>
      <c r="D479" s="124" t="s">
        <v>64</v>
      </c>
      <c r="E479" s="125" t="s">
        <v>196</v>
      </c>
      <c r="F479" s="125">
        <v>1.0</v>
      </c>
      <c r="G479" s="124"/>
      <c r="H479" s="124" t="s">
        <v>421</v>
      </c>
      <c r="I479" s="125">
        <v>24000.0</v>
      </c>
      <c r="J479" s="123"/>
      <c r="K479" s="124" t="s">
        <v>289</v>
      </c>
      <c r="L479" s="125">
        <v>40.0</v>
      </c>
      <c r="M479" s="124" t="s">
        <v>3569</v>
      </c>
      <c r="N479" s="124" t="s">
        <v>3570</v>
      </c>
      <c r="O479" s="124" t="s">
        <v>3571</v>
      </c>
      <c r="P479" s="124">
        <v>2012.0</v>
      </c>
      <c r="Q479" s="124"/>
      <c r="R479" s="123"/>
      <c r="S479" s="123"/>
      <c r="T479" s="123"/>
      <c r="U479" s="123"/>
      <c r="V479" s="123"/>
      <c r="W479" s="123"/>
      <c r="X479" s="123"/>
      <c r="Y479" s="123"/>
      <c r="Z479" s="123"/>
      <c r="AA479" s="123"/>
      <c r="AB479" s="123"/>
      <c r="AC479" s="123"/>
      <c r="AD479" s="123"/>
      <c r="AE479" s="123"/>
      <c r="AF479" s="123"/>
      <c r="AG479" s="123"/>
      <c r="AH479" s="123"/>
      <c r="AI479" s="123"/>
      <c r="AJ479" s="123"/>
    </row>
    <row r="480" ht="15.75" customHeight="1">
      <c r="A480" s="123">
        <v>494.0</v>
      </c>
      <c r="B480" s="124" t="s">
        <v>1985</v>
      </c>
      <c r="C480" s="124" t="s">
        <v>106</v>
      </c>
      <c r="D480" s="124" t="s">
        <v>64</v>
      </c>
      <c r="E480" s="124" t="s">
        <v>5557</v>
      </c>
      <c r="F480" s="125" t="s">
        <v>5558</v>
      </c>
      <c r="G480" s="124"/>
      <c r="H480" s="124" t="s">
        <v>1114</v>
      </c>
      <c r="I480" s="125">
        <v>2000.0</v>
      </c>
      <c r="J480" s="123"/>
      <c r="K480" s="124" t="s">
        <v>289</v>
      </c>
      <c r="L480" s="125">
        <v>40.0</v>
      </c>
      <c r="M480" s="124" t="s">
        <v>5559</v>
      </c>
      <c r="N480" s="124" t="s">
        <v>5560</v>
      </c>
      <c r="O480" s="124" t="s">
        <v>5561</v>
      </c>
      <c r="P480" s="124">
        <v>2000.0</v>
      </c>
      <c r="Q480" s="124" t="s">
        <v>5562</v>
      </c>
      <c r="R480" s="123"/>
      <c r="S480" s="123"/>
      <c r="T480" s="123" t="s">
        <v>462</v>
      </c>
      <c r="U480" s="123" t="s">
        <v>462</v>
      </c>
      <c r="V480" s="123"/>
      <c r="W480" s="123"/>
      <c r="X480" s="123"/>
      <c r="Y480" s="123"/>
      <c r="Z480" s="123"/>
      <c r="AA480" s="123"/>
      <c r="AB480" s="123"/>
      <c r="AC480" s="123"/>
      <c r="AD480" s="123"/>
      <c r="AE480" s="123"/>
      <c r="AF480" s="123"/>
      <c r="AG480" s="123"/>
      <c r="AH480" s="123"/>
      <c r="AI480" s="123"/>
      <c r="AJ480" s="123"/>
    </row>
    <row r="481" ht="15.75" customHeight="1">
      <c r="A481" s="123">
        <v>495.0</v>
      </c>
      <c r="B481" s="124" t="s">
        <v>1985</v>
      </c>
      <c r="C481" s="124" t="s">
        <v>106</v>
      </c>
      <c r="D481" s="124" t="s">
        <v>64</v>
      </c>
      <c r="E481" s="124" t="s">
        <v>743</v>
      </c>
      <c r="F481" s="125" t="s">
        <v>744</v>
      </c>
      <c r="G481" s="124" t="s">
        <v>4413</v>
      </c>
      <c r="H481" s="124" t="s">
        <v>1052</v>
      </c>
      <c r="I481" s="125">
        <v>21000.0</v>
      </c>
      <c r="J481" s="123"/>
      <c r="K481" s="124" t="s">
        <v>111</v>
      </c>
      <c r="L481" s="125">
        <v>41.0</v>
      </c>
      <c r="M481" s="124" t="s">
        <v>4418</v>
      </c>
      <c r="N481" s="124" t="s">
        <v>4419</v>
      </c>
      <c r="O481" s="124" t="s">
        <v>4420</v>
      </c>
      <c r="P481" s="124">
        <v>2011.0</v>
      </c>
      <c r="Q481" s="130" t="s">
        <v>4421</v>
      </c>
      <c r="R481" s="123"/>
      <c r="S481" s="123"/>
      <c r="T481" s="123" t="s">
        <v>462</v>
      </c>
      <c r="U481" s="123" t="s">
        <v>462</v>
      </c>
      <c r="V481" s="123"/>
      <c r="W481" s="123"/>
      <c r="X481" s="123"/>
      <c r="Y481" s="123"/>
      <c r="Z481" s="123"/>
      <c r="AA481" s="123"/>
      <c r="AB481" s="123"/>
      <c r="AC481" s="123"/>
      <c r="AD481" s="123"/>
      <c r="AE481" s="123"/>
      <c r="AF481" s="123"/>
      <c r="AG481" s="123"/>
      <c r="AH481" s="123"/>
      <c r="AI481" s="123"/>
      <c r="AJ481" s="123"/>
    </row>
    <row r="482" ht="15.75" customHeight="1">
      <c r="A482" s="123">
        <v>496.0</v>
      </c>
      <c r="B482" s="124" t="s">
        <v>1985</v>
      </c>
      <c r="C482" s="124" t="s">
        <v>106</v>
      </c>
      <c r="D482" s="124" t="s">
        <v>64</v>
      </c>
      <c r="E482" s="124" t="s">
        <v>421</v>
      </c>
      <c r="F482" s="125">
        <v>11.0</v>
      </c>
      <c r="G482" s="124"/>
      <c r="H482" s="124" t="s">
        <v>421</v>
      </c>
      <c r="I482" s="125">
        <v>24000.0</v>
      </c>
      <c r="J482" s="123"/>
      <c r="K482" s="124" t="s">
        <v>289</v>
      </c>
      <c r="L482" s="125">
        <v>40.0</v>
      </c>
      <c r="M482" s="124" t="s">
        <v>2269</v>
      </c>
      <c r="N482" s="124" t="s">
        <v>2270</v>
      </c>
      <c r="O482" s="124" t="s">
        <v>2271</v>
      </c>
      <c r="P482" s="124">
        <v>2016.0</v>
      </c>
      <c r="Q482" s="124" t="s">
        <v>2277</v>
      </c>
      <c r="R482" s="123"/>
      <c r="S482" s="123"/>
      <c r="T482" s="123" t="s">
        <v>462</v>
      </c>
      <c r="U482" s="123" t="s">
        <v>462</v>
      </c>
      <c r="V482" s="123"/>
      <c r="W482" s="123"/>
      <c r="X482" s="123"/>
      <c r="Y482" s="123"/>
      <c r="Z482" s="123"/>
      <c r="AA482" s="123"/>
      <c r="AB482" s="123"/>
      <c r="AC482" s="123"/>
      <c r="AD482" s="123"/>
      <c r="AE482" s="123"/>
      <c r="AF482" s="123"/>
      <c r="AG482" s="123"/>
      <c r="AH482" s="123"/>
      <c r="AI482" s="123"/>
      <c r="AJ482" s="123"/>
    </row>
    <row r="483" ht="15.75" customHeight="1">
      <c r="A483" s="123">
        <v>497.0</v>
      </c>
      <c r="B483" s="124" t="s">
        <v>1985</v>
      </c>
      <c r="C483" s="124" t="s">
        <v>106</v>
      </c>
      <c r="D483" s="124" t="s">
        <v>64</v>
      </c>
      <c r="E483" s="124" t="s">
        <v>3200</v>
      </c>
      <c r="F483" s="125">
        <v>3.0</v>
      </c>
      <c r="G483" s="124"/>
      <c r="H483" s="124" t="s">
        <v>1155</v>
      </c>
      <c r="I483" s="125">
        <v>10000.0</v>
      </c>
      <c r="J483" s="123"/>
      <c r="K483" s="124" t="s">
        <v>117</v>
      </c>
      <c r="L483" s="125">
        <v>40.0</v>
      </c>
      <c r="M483" s="124" t="s">
        <v>5404</v>
      </c>
      <c r="N483" s="124" t="s">
        <v>5405</v>
      </c>
      <c r="O483" s="124" t="s">
        <v>4694</v>
      </c>
      <c r="P483" s="124">
        <v>1965.0</v>
      </c>
      <c r="Q483" s="124" t="s">
        <v>5407</v>
      </c>
      <c r="R483" s="123"/>
      <c r="S483" s="123"/>
      <c r="T483" s="123" t="s">
        <v>1594</v>
      </c>
      <c r="U483" s="123" t="s">
        <v>462</v>
      </c>
      <c r="V483" s="123" t="s">
        <v>3233</v>
      </c>
      <c r="W483" s="123"/>
      <c r="X483" s="123"/>
      <c r="Y483" s="123"/>
      <c r="Z483" s="123"/>
      <c r="AA483" s="123"/>
      <c r="AB483" s="123"/>
      <c r="AC483" s="123"/>
      <c r="AD483" s="123"/>
      <c r="AE483" s="123"/>
      <c r="AF483" s="123"/>
      <c r="AG483" s="123"/>
      <c r="AH483" s="123"/>
      <c r="AI483" s="123"/>
      <c r="AJ483" s="123"/>
    </row>
    <row r="484" ht="15.75" customHeight="1">
      <c r="A484" s="123">
        <v>498.0</v>
      </c>
      <c r="B484" s="124" t="s">
        <v>1985</v>
      </c>
      <c r="C484" s="124" t="s">
        <v>106</v>
      </c>
      <c r="D484" s="124" t="s">
        <v>64</v>
      </c>
      <c r="E484" s="124" t="s">
        <v>1153</v>
      </c>
      <c r="F484" s="125">
        <v>6.0</v>
      </c>
      <c r="G484" s="124"/>
      <c r="H484" s="124" t="s">
        <v>421</v>
      </c>
      <c r="I484" s="125">
        <v>24000.0</v>
      </c>
      <c r="J484" s="123"/>
      <c r="K484" s="124" t="s">
        <v>289</v>
      </c>
      <c r="L484" s="125">
        <v>40.0</v>
      </c>
      <c r="M484" s="124" t="s">
        <v>3368</v>
      </c>
      <c r="N484" s="124" t="s">
        <v>3369</v>
      </c>
      <c r="O484" s="124" t="s">
        <v>3263</v>
      </c>
      <c r="P484" s="124">
        <v>1995.0</v>
      </c>
      <c r="Q484" s="124" t="s">
        <v>3371</v>
      </c>
      <c r="R484" s="123"/>
      <c r="S484" s="123"/>
      <c r="T484" s="123" t="s">
        <v>462</v>
      </c>
      <c r="U484" s="123" t="s">
        <v>462</v>
      </c>
      <c r="V484" s="123"/>
      <c r="W484" s="123"/>
      <c r="X484" s="123"/>
      <c r="Y484" s="123"/>
      <c r="Z484" s="123"/>
      <c r="AA484" s="123"/>
      <c r="AB484" s="123"/>
      <c r="AC484" s="123"/>
      <c r="AD484" s="123"/>
      <c r="AE484" s="123"/>
      <c r="AF484" s="123"/>
      <c r="AG484" s="123"/>
      <c r="AH484" s="123"/>
      <c r="AI484" s="123"/>
      <c r="AJ484" s="123"/>
    </row>
    <row r="485" ht="15.75" customHeight="1">
      <c r="A485" s="123">
        <v>499.0</v>
      </c>
      <c r="B485" s="124" t="s">
        <v>1985</v>
      </c>
      <c r="C485" s="124" t="s">
        <v>106</v>
      </c>
      <c r="D485" s="124" t="s">
        <v>64</v>
      </c>
      <c r="E485" s="124" t="s">
        <v>1153</v>
      </c>
      <c r="F485" s="125">
        <v>6.0</v>
      </c>
      <c r="G485" s="124" t="s">
        <v>5268</v>
      </c>
      <c r="H485" s="125" t="s">
        <v>421</v>
      </c>
      <c r="I485" s="125">
        <v>24000.0</v>
      </c>
      <c r="J485" s="123"/>
      <c r="K485" s="124" t="s">
        <v>95</v>
      </c>
      <c r="L485" s="125">
        <v>41.0</v>
      </c>
      <c r="M485" s="124" t="s">
        <v>5269</v>
      </c>
      <c r="N485" s="124" t="s">
        <v>5270</v>
      </c>
      <c r="O485" s="124" t="s">
        <v>3992</v>
      </c>
      <c r="P485" s="124"/>
      <c r="Q485" s="124"/>
      <c r="R485" s="123"/>
      <c r="S485" s="123"/>
      <c r="T485" s="123" t="s">
        <v>462</v>
      </c>
      <c r="U485" s="123" t="s">
        <v>462</v>
      </c>
      <c r="V485" s="123"/>
      <c r="W485" s="123"/>
      <c r="X485" s="123"/>
      <c r="Y485" s="123"/>
      <c r="Z485" s="123"/>
      <c r="AA485" s="123"/>
      <c r="AB485" s="123"/>
      <c r="AC485" s="123"/>
      <c r="AD485" s="123"/>
      <c r="AE485" s="123"/>
      <c r="AF485" s="123"/>
      <c r="AG485" s="123"/>
      <c r="AH485" s="123"/>
      <c r="AI485" s="123"/>
      <c r="AJ485" s="123"/>
    </row>
    <row r="486" ht="15.75" customHeight="1">
      <c r="A486" s="123">
        <v>500.0</v>
      </c>
      <c r="B486" s="124" t="s">
        <v>1985</v>
      </c>
      <c r="C486" s="124" t="s">
        <v>106</v>
      </c>
      <c r="D486" s="124" t="s">
        <v>64</v>
      </c>
      <c r="E486" s="124" t="s">
        <v>1153</v>
      </c>
      <c r="F486" s="125">
        <v>6.0</v>
      </c>
      <c r="G486" s="124" t="s">
        <v>1154</v>
      </c>
      <c r="H486" s="124" t="s">
        <v>1155</v>
      </c>
      <c r="I486" s="125">
        <v>10000.0</v>
      </c>
      <c r="J486" s="123"/>
      <c r="K486" s="124" t="s">
        <v>95</v>
      </c>
      <c r="L486" s="125">
        <v>41.0</v>
      </c>
      <c r="M486" s="130" t="s">
        <v>1156</v>
      </c>
      <c r="N486" s="124" t="s">
        <v>1157</v>
      </c>
      <c r="O486" s="124" t="s">
        <v>1158</v>
      </c>
      <c r="P486" s="124">
        <v>2002.0</v>
      </c>
      <c r="Q486" s="130" t="s">
        <v>1159</v>
      </c>
      <c r="R486" s="123" t="s">
        <v>1160</v>
      </c>
      <c r="S486" s="123"/>
      <c r="T486" s="123" t="s">
        <v>462</v>
      </c>
      <c r="U486" s="123" t="s">
        <v>462</v>
      </c>
      <c r="V486" s="123" t="s">
        <v>39</v>
      </c>
      <c r="W486" s="123"/>
      <c r="X486" s="123"/>
      <c r="Y486" s="123"/>
      <c r="Z486" s="123"/>
      <c r="AA486" s="123"/>
      <c r="AB486" s="123"/>
      <c r="AC486" s="123"/>
      <c r="AD486" s="123"/>
      <c r="AE486" s="123"/>
      <c r="AF486" s="123"/>
      <c r="AG486" s="123"/>
      <c r="AH486" s="123"/>
      <c r="AI486" s="123"/>
      <c r="AJ486" s="123"/>
    </row>
    <row r="487" ht="15.75" customHeight="1">
      <c r="A487" s="123">
        <v>501.0</v>
      </c>
      <c r="B487" s="124" t="s">
        <v>1985</v>
      </c>
      <c r="C487" s="124" t="s">
        <v>106</v>
      </c>
      <c r="D487" s="124" t="s">
        <v>64</v>
      </c>
      <c r="E487" s="124" t="s">
        <v>1153</v>
      </c>
      <c r="F487" s="125">
        <v>6.0</v>
      </c>
      <c r="G487" s="124"/>
      <c r="H487" s="124" t="s">
        <v>1052</v>
      </c>
      <c r="I487" s="125">
        <v>21000.0</v>
      </c>
      <c r="J487" s="123"/>
      <c r="K487" s="124" t="s">
        <v>289</v>
      </c>
      <c r="L487" s="125">
        <v>40.0</v>
      </c>
      <c r="M487" s="124" t="s">
        <v>3433</v>
      </c>
      <c r="N487" s="124" t="s">
        <v>3434</v>
      </c>
      <c r="O487" s="124" t="s">
        <v>3263</v>
      </c>
      <c r="P487" s="124">
        <v>2006.0</v>
      </c>
      <c r="Q487" s="124" t="s">
        <v>3437</v>
      </c>
      <c r="R487" s="123"/>
      <c r="S487" s="123"/>
      <c r="T487" s="123" t="s">
        <v>462</v>
      </c>
      <c r="U487" s="123" t="s">
        <v>462</v>
      </c>
      <c r="V487" s="123"/>
      <c r="W487" s="123"/>
      <c r="X487" s="123"/>
      <c r="Y487" s="123"/>
      <c r="Z487" s="123"/>
      <c r="AA487" s="123"/>
      <c r="AB487" s="123"/>
      <c r="AC487" s="123"/>
      <c r="AD487" s="123"/>
      <c r="AE487" s="123"/>
      <c r="AF487" s="123"/>
      <c r="AG487" s="123"/>
      <c r="AH487" s="123"/>
      <c r="AI487" s="123"/>
      <c r="AJ487" s="123"/>
    </row>
    <row r="488" ht="15.75" customHeight="1">
      <c r="A488" s="123">
        <v>502.0</v>
      </c>
      <c r="B488" s="124" t="s">
        <v>1985</v>
      </c>
      <c r="C488" s="124" t="s">
        <v>106</v>
      </c>
      <c r="D488" s="124" t="s">
        <v>115</v>
      </c>
      <c r="E488" s="124" t="s">
        <v>1153</v>
      </c>
      <c r="F488" s="125">
        <v>6.0</v>
      </c>
      <c r="G488" s="124" t="s">
        <v>491</v>
      </c>
      <c r="H488" s="124" t="s">
        <v>1052</v>
      </c>
      <c r="I488" s="125">
        <v>21000.0</v>
      </c>
      <c r="J488" s="123"/>
      <c r="K488" s="124" t="s">
        <v>289</v>
      </c>
      <c r="L488" s="125">
        <v>40.0</v>
      </c>
      <c r="M488" s="124" t="s">
        <v>6207</v>
      </c>
      <c r="N488" s="124" t="s">
        <v>6208</v>
      </c>
      <c r="O488" s="124" t="s">
        <v>6209</v>
      </c>
      <c r="P488" s="124">
        <v>1994.0</v>
      </c>
      <c r="Q488" s="124" t="s">
        <v>6213</v>
      </c>
      <c r="R488" s="123"/>
      <c r="S488" s="123"/>
      <c r="T488" s="123" t="s">
        <v>462</v>
      </c>
      <c r="U488" s="123" t="s">
        <v>462</v>
      </c>
      <c r="V488" s="123" t="s">
        <v>3233</v>
      </c>
      <c r="W488" s="123"/>
      <c r="X488" s="123"/>
      <c r="Y488" s="123"/>
      <c r="Z488" s="123"/>
      <c r="AA488" s="123"/>
      <c r="AB488" s="123"/>
      <c r="AC488" s="123"/>
      <c r="AD488" s="123"/>
      <c r="AE488" s="123"/>
      <c r="AF488" s="123"/>
      <c r="AG488" s="123"/>
      <c r="AH488" s="123"/>
      <c r="AI488" s="123"/>
      <c r="AJ488" s="123"/>
    </row>
    <row r="489" ht="15.75" customHeight="1">
      <c r="A489" s="123">
        <v>503.0</v>
      </c>
      <c r="B489" s="124" t="s">
        <v>1985</v>
      </c>
      <c r="C489" s="124" t="s">
        <v>106</v>
      </c>
      <c r="D489" s="124"/>
      <c r="E489" s="124" t="s">
        <v>167</v>
      </c>
      <c r="F489" s="125">
        <v>10.0</v>
      </c>
      <c r="G489" s="124"/>
      <c r="H489" s="124" t="s">
        <v>651</v>
      </c>
      <c r="I489" s="125">
        <v>4000.0</v>
      </c>
      <c r="J489" s="123"/>
      <c r="K489" s="124" t="s">
        <v>289</v>
      </c>
      <c r="L489" s="125">
        <v>40.0</v>
      </c>
      <c r="M489" s="124" t="s">
        <v>2359</v>
      </c>
      <c r="N489" s="124" t="s">
        <v>2360</v>
      </c>
      <c r="O489" s="124" t="s">
        <v>2361</v>
      </c>
      <c r="P489" s="124">
        <v>2013.0</v>
      </c>
      <c r="Q489" s="124" t="s">
        <v>2364</v>
      </c>
      <c r="R489" s="123"/>
      <c r="S489" s="123"/>
      <c r="T489" s="123" t="s">
        <v>462</v>
      </c>
      <c r="U489" s="123" t="s">
        <v>462</v>
      </c>
      <c r="V489" s="123" t="s">
        <v>39</v>
      </c>
      <c r="W489" s="123"/>
      <c r="X489" s="123"/>
      <c r="Y489" s="123"/>
      <c r="Z489" s="123"/>
      <c r="AA489" s="123"/>
      <c r="AB489" s="123"/>
      <c r="AC489" s="123"/>
      <c r="AD489" s="123"/>
      <c r="AE489" s="123"/>
      <c r="AF489" s="123"/>
      <c r="AG489" s="123"/>
      <c r="AH489" s="123"/>
      <c r="AI489" s="123"/>
      <c r="AJ489" s="123"/>
    </row>
    <row r="490" ht="15.75" customHeight="1">
      <c r="A490" s="123">
        <v>504.0</v>
      </c>
      <c r="B490" s="124" t="s">
        <v>1985</v>
      </c>
      <c r="C490" s="124" t="s">
        <v>106</v>
      </c>
      <c r="D490" s="124" t="s">
        <v>64</v>
      </c>
      <c r="E490" s="124" t="s">
        <v>1072</v>
      </c>
      <c r="F490" s="125" t="s">
        <v>1073</v>
      </c>
      <c r="G490" s="124" t="s">
        <v>1074</v>
      </c>
      <c r="H490" s="124" t="s">
        <v>1076</v>
      </c>
      <c r="I490" s="125">
        <v>2000.0</v>
      </c>
      <c r="J490" s="123"/>
      <c r="K490" s="124" t="s">
        <v>289</v>
      </c>
      <c r="L490" s="125">
        <v>40.0</v>
      </c>
      <c r="M490" s="124" t="s">
        <v>1077</v>
      </c>
      <c r="N490" s="124" t="s">
        <v>1078</v>
      </c>
      <c r="O490" s="124" t="s">
        <v>1079</v>
      </c>
      <c r="P490" s="124">
        <v>2016.0</v>
      </c>
      <c r="Q490" s="130" t="s">
        <v>1080</v>
      </c>
      <c r="R490" s="123"/>
      <c r="S490" s="123"/>
      <c r="T490" s="123" t="s">
        <v>530</v>
      </c>
      <c r="U490" s="123" t="s">
        <v>530</v>
      </c>
      <c r="V490" s="123" t="s">
        <v>1081</v>
      </c>
      <c r="W490" s="123"/>
      <c r="X490" s="123"/>
      <c r="Y490" s="123"/>
      <c r="Z490" s="123"/>
      <c r="AA490" s="123"/>
      <c r="AB490" s="123"/>
      <c r="AC490" s="123"/>
      <c r="AD490" s="123"/>
      <c r="AE490" s="123"/>
      <c r="AF490" s="123"/>
      <c r="AG490" s="123"/>
      <c r="AH490" s="123"/>
      <c r="AI490" s="123"/>
      <c r="AJ490" s="123"/>
    </row>
    <row r="491" ht="15.75" customHeight="1">
      <c r="A491" s="123">
        <v>505.0</v>
      </c>
      <c r="B491" s="124" t="s">
        <v>1985</v>
      </c>
      <c r="C491" s="124" t="s">
        <v>106</v>
      </c>
      <c r="D491" s="124" t="s">
        <v>64</v>
      </c>
      <c r="E491" s="124" t="s">
        <v>387</v>
      </c>
      <c r="F491" s="125">
        <v>8.0</v>
      </c>
      <c r="G491" s="124" t="s">
        <v>2072</v>
      </c>
      <c r="H491" s="124" t="s">
        <v>837</v>
      </c>
      <c r="I491" s="125">
        <v>2000.0</v>
      </c>
      <c r="J491" s="123"/>
      <c r="K491" s="124" t="s">
        <v>289</v>
      </c>
      <c r="L491" s="125">
        <v>40.0</v>
      </c>
      <c r="M491" s="124" t="s">
        <v>5804</v>
      </c>
      <c r="N491" s="124" t="s">
        <v>5805</v>
      </c>
      <c r="O491" s="124" t="s">
        <v>4035</v>
      </c>
      <c r="P491" s="124">
        <v>2013.0</v>
      </c>
      <c r="Q491" s="124" t="s">
        <v>5808</v>
      </c>
      <c r="R491" s="123"/>
      <c r="S491" s="123"/>
      <c r="T491" s="123" t="s">
        <v>462</v>
      </c>
      <c r="U491" s="123" t="s">
        <v>462</v>
      </c>
      <c r="V491" s="123" t="s">
        <v>1594</v>
      </c>
      <c r="W491" s="123"/>
      <c r="X491" s="123"/>
      <c r="Y491" s="123"/>
      <c r="Z491" s="123"/>
      <c r="AA491" s="123"/>
      <c r="AB491" s="123"/>
      <c r="AC491" s="123"/>
      <c r="AD491" s="123"/>
      <c r="AE491" s="123"/>
      <c r="AF491" s="123"/>
      <c r="AG491" s="123"/>
      <c r="AH491" s="123"/>
      <c r="AI491" s="123"/>
      <c r="AJ491" s="123"/>
    </row>
    <row r="492" ht="15.75" customHeight="1">
      <c r="A492" s="123">
        <v>506.0</v>
      </c>
      <c r="B492" s="124" t="s">
        <v>1985</v>
      </c>
      <c r="C492" s="124" t="s">
        <v>106</v>
      </c>
      <c r="D492" s="124" t="s">
        <v>64</v>
      </c>
      <c r="E492" s="124" t="s">
        <v>387</v>
      </c>
      <c r="F492" s="125">
        <v>8.0</v>
      </c>
      <c r="G492" s="124" t="s">
        <v>1113</v>
      </c>
      <c r="H492" s="124" t="s">
        <v>1114</v>
      </c>
      <c r="I492" s="125">
        <v>2000.0</v>
      </c>
      <c r="J492" s="123"/>
      <c r="K492" s="124" t="s">
        <v>289</v>
      </c>
      <c r="L492" s="125">
        <v>40.0</v>
      </c>
      <c r="M492" s="124" t="s">
        <v>1115</v>
      </c>
      <c r="N492" s="124" t="s">
        <v>1116</v>
      </c>
      <c r="O492" s="124" t="s">
        <v>1117</v>
      </c>
      <c r="P492" s="124">
        <v>2010.0</v>
      </c>
      <c r="Q492" s="124" t="s">
        <v>1118</v>
      </c>
      <c r="R492" s="123"/>
      <c r="S492" s="123"/>
      <c r="T492" s="123" t="s">
        <v>39</v>
      </c>
      <c r="U492" s="123"/>
      <c r="V492" s="123"/>
      <c r="W492" s="123"/>
      <c r="X492" s="123"/>
      <c r="Y492" s="123"/>
      <c r="Z492" s="123"/>
      <c r="AA492" s="123"/>
      <c r="AB492" s="123"/>
      <c r="AC492" s="123"/>
      <c r="AD492" s="123"/>
      <c r="AE492" s="123"/>
      <c r="AF492" s="123"/>
      <c r="AG492" s="123"/>
      <c r="AH492" s="123"/>
      <c r="AI492" s="123"/>
      <c r="AJ492" s="123"/>
    </row>
    <row r="493" ht="15.75" customHeight="1">
      <c r="A493" s="123">
        <v>507.0</v>
      </c>
      <c r="B493" s="124" t="s">
        <v>1985</v>
      </c>
      <c r="C493" s="124" t="s">
        <v>106</v>
      </c>
      <c r="D493" s="124" t="s">
        <v>64</v>
      </c>
      <c r="E493" s="124" t="s">
        <v>387</v>
      </c>
      <c r="F493" s="125">
        <v>8.0</v>
      </c>
      <c r="G493" s="124" t="s">
        <v>1113</v>
      </c>
      <c r="H493" s="124" t="s">
        <v>1114</v>
      </c>
      <c r="I493" s="125">
        <v>2000.0</v>
      </c>
      <c r="J493" s="123"/>
      <c r="K493" s="124" t="s">
        <v>289</v>
      </c>
      <c r="L493" s="125">
        <v>40.0</v>
      </c>
      <c r="M493" s="124" t="s">
        <v>2093</v>
      </c>
      <c r="N493" s="124" t="s">
        <v>2094</v>
      </c>
      <c r="O493" s="124" t="s">
        <v>2052</v>
      </c>
      <c r="P493" s="124">
        <v>2012.0</v>
      </c>
      <c r="Q493" s="124" t="s">
        <v>2101</v>
      </c>
      <c r="R493" s="123"/>
      <c r="S493" s="123"/>
      <c r="T493" s="123" t="s">
        <v>39</v>
      </c>
      <c r="U493" s="123"/>
      <c r="V493" s="123"/>
      <c r="W493" s="123"/>
      <c r="X493" s="123"/>
      <c r="Y493" s="123"/>
      <c r="Z493" s="123"/>
      <c r="AA493" s="123"/>
      <c r="AB493" s="123"/>
      <c r="AC493" s="123"/>
      <c r="AD493" s="123"/>
      <c r="AE493" s="123"/>
      <c r="AF493" s="123"/>
      <c r="AG493" s="123"/>
      <c r="AH493" s="123"/>
      <c r="AI493" s="123"/>
      <c r="AJ493" s="123"/>
    </row>
    <row r="494" ht="15.75" customHeight="1">
      <c r="A494" s="123">
        <v>508.0</v>
      </c>
      <c r="B494" s="124" t="s">
        <v>1985</v>
      </c>
      <c r="C494" s="124" t="s">
        <v>106</v>
      </c>
      <c r="D494" s="124" t="s">
        <v>64</v>
      </c>
      <c r="E494" s="124" t="s">
        <v>387</v>
      </c>
      <c r="F494" s="125">
        <v>8.0</v>
      </c>
      <c r="G494" s="124" t="s">
        <v>3297</v>
      </c>
      <c r="H494" s="124" t="s">
        <v>421</v>
      </c>
      <c r="I494" s="125">
        <v>24000.0</v>
      </c>
      <c r="J494" s="123"/>
      <c r="K494" s="124" t="s">
        <v>289</v>
      </c>
      <c r="L494" s="125">
        <v>40.0</v>
      </c>
      <c r="M494" s="124" t="s">
        <v>4459</v>
      </c>
      <c r="N494" s="124" t="s">
        <v>5577</v>
      </c>
      <c r="O494" s="124" t="s">
        <v>5578</v>
      </c>
      <c r="P494" s="124">
        <v>2000.0</v>
      </c>
      <c r="Q494" s="124" t="s">
        <v>5579</v>
      </c>
      <c r="R494" s="123"/>
      <c r="S494" s="123"/>
      <c r="T494" s="123" t="s">
        <v>39</v>
      </c>
      <c r="U494" s="123"/>
      <c r="V494" s="123"/>
      <c r="W494" s="123"/>
      <c r="X494" s="123"/>
      <c r="Y494" s="123"/>
      <c r="Z494" s="123"/>
      <c r="AA494" s="123"/>
      <c r="AB494" s="123"/>
      <c r="AC494" s="123"/>
      <c r="AD494" s="123"/>
      <c r="AE494" s="123"/>
      <c r="AF494" s="123"/>
      <c r="AG494" s="123"/>
      <c r="AH494" s="123"/>
      <c r="AI494" s="123"/>
      <c r="AJ494" s="123"/>
    </row>
    <row r="495" ht="15.75" customHeight="1">
      <c r="A495" s="123">
        <v>509.0</v>
      </c>
      <c r="B495" s="124" t="s">
        <v>1985</v>
      </c>
      <c r="C495" s="124" t="s">
        <v>106</v>
      </c>
      <c r="D495" s="124" t="s">
        <v>64</v>
      </c>
      <c r="E495" s="124" t="s">
        <v>387</v>
      </c>
      <c r="F495" s="125">
        <v>8.0</v>
      </c>
      <c r="G495" s="124" t="s">
        <v>3297</v>
      </c>
      <c r="H495" s="124" t="s">
        <v>421</v>
      </c>
      <c r="I495" s="125">
        <v>24000.0</v>
      </c>
      <c r="J495" s="123"/>
      <c r="K495" s="124" t="s">
        <v>111</v>
      </c>
      <c r="L495" s="125">
        <v>41.0</v>
      </c>
      <c r="M495" s="124" t="s">
        <v>3373</v>
      </c>
      <c r="N495" s="124" t="s">
        <v>3374</v>
      </c>
      <c r="O495" s="124" t="s">
        <v>3263</v>
      </c>
      <c r="P495" s="124">
        <v>2015.0</v>
      </c>
      <c r="Q495" s="124" t="s">
        <v>3377</v>
      </c>
      <c r="R495" s="123"/>
      <c r="S495" s="123"/>
      <c r="T495" s="123" t="s">
        <v>39</v>
      </c>
      <c r="U495" s="123"/>
      <c r="V495" s="123"/>
      <c r="W495" s="123"/>
      <c r="X495" s="123"/>
      <c r="Y495" s="123"/>
      <c r="Z495" s="123"/>
      <c r="AA495" s="123"/>
      <c r="AB495" s="123"/>
      <c r="AC495" s="123"/>
      <c r="AD495" s="123"/>
      <c r="AE495" s="123"/>
      <c r="AF495" s="123"/>
      <c r="AG495" s="123"/>
      <c r="AH495" s="123"/>
      <c r="AI495" s="123"/>
      <c r="AJ495" s="123"/>
    </row>
    <row r="496" ht="15.75" customHeight="1">
      <c r="A496" s="123">
        <v>510.0</v>
      </c>
      <c r="B496" s="124" t="s">
        <v>1985</v>
      </c>
      <c r="C496" s="124" t="s">
        <v>106</v>
      </c>
      <c r="D496" s="124" t="s">
        <v>64</v>
      </c>
      <c r="E496" s="124" t="s">
        <v>387</v>
      </c>
      <c r="F496" s="125">
        <v>8.0</v>
      </c>
      <c r="G496" s="124" t="s">
        <v>3297</v>
      </c>
      <c r="H496" s="124" t="s">
        <v>421</v>
      </c>
      <c r="I496" s="125">
        <v>24000.0</v>
      </c>
      <c r="J496" s="123"/>
      <c r="K496" s="124" t="s">
        <v>111</v>
      </c>
      <c r="L496" s="125">
        <v>41.0</v>
      </c>
      <c r="M496" s="124" t="s">
        <v>3378</v>
      </c>
      <c r="N496" s="124" t="s">
        <v>3379</v>
      </c>
      <c r="O496" s="124" t="s">
        <v>3263</v>
      </c>
      <c r="P496" s="124">
        <v>2008.0</v>
      </c>
      <c r="Q496" s="124" t="s">
        <v>3380</v>
      </c>
      <c r="R496" s="123"/>
      <c r="S496" s="123"/>
      <c r="T496" s="123" t="s">
        <v>39</v>
      </c>
      <c r="U496" s="123"/>
      <c r="V496" s="123"/>
      <c r="W496" s="123"/>
      <c r="X496" s="123"/>
      <c r="Y496" s="123"/>
      <c r="Z496" s="123"/>
      <c r="AA496" s="123"/>
      <c r="AB496" s="123"/>
      <c r="AC496" s="123"/>
      <c r="AD496" s="123"/>
      <c r="AE496" s="123"/>
      <c r="AF496" s="123"/>
      <c r="AG496" s="123"/>
      <c r="AH496" s="123"/>
      <c r="AI496" s="123"/>
      <c r="AJ496" s="123"/>
    </row>
    <row r="497" ht="15.75" customHeight="1">
      <c r="A497" s="123">
        <v>511.0</v>
      </c>
      <c r="B497" s="124" t="s">
        <v>1985</v>
      </c>
      <c r="C497" s="124" t="s">
        <v>106</v>
      </c>
      <c r="D497" s="124" t="s">
        <v>64</v>
      </c>
      <c r="E497" s="124" t="s">
        <v>387</v>
      </c>
      <c r="F497" s="125">
        <v>8.0</v>
      </c>
      <c r="G497" s="124" t="s">
        <v>3297</v>
      </c>
      <c r="H497" s="124" t="s">
        <v>421</v>
      </c>
      <c r="I497" s="125">
        <v>24000.0</v>
      </c>
      <c r="J497" s="123"/>
      <c r="K497" s="124" t="s">
        <v>95</v>
      </c>
      <c r="L497" s="125">
        <v>41.0</v>
      </c>
      <c r="M497" s="124" t="s">
        <v>3382</v>
      </c>
      <c r="N497" s="124" t="s">
        <v>3379</v>
      </c>
      <c r="O497" s="124" t="s">
        <v>3263</v>
      </c>
      <c r="P497" s="124">
        <v>2007.0</v>
      </c>
      <c r="Q497" s="124" t="s">
        <v>3383</v>
      </c>
      <c r="R497" s="123"/>
      <c r="S497" s="123"/>
      <c r="T497" s="123" t="s">
        <v>39</v>
      </c>
      <c r="U497" s="123"/>
      <c r="V497" s="123"/>
      <c r="W497" s="124"/>
      <c r="X497" s="124"/>
      <c r="Y497" s="124"/>
      <c r="Z497" s="124"/>
      <c r="AA497" s="124"/>
      <c r="AB497" s="124"/>
      <c r="AC497" s="124"/>
      <c r="AD497" s="124"/>
      <c r="AE497" s="124"/>
      <c r="AF497" s="124"/>
      <c r="AG497" s="124"/>
      <c r="AH497" s="124"/>
      <c r="AI497" s="124"/>
      <c r="AJ497" s="124"/>
    </row>
    <row r="498" ht="15.75" customHeight="1">
      <c r="A498" s="123">
        <v>512.0</v>
      </c>
      <c r="B498" s="124" t="s">
        <v>1985</v>
      </c>
      <c r="C498" s="124" t="s">
        <v>106</v>
      </c>
      <c r="D498" s="124" t="s">
        <v>64</v>
      </c>
      <c r="E498" s="124" t="s">
        <v>387</v>
      </c>
      <c r="F498" s="125">
        <v>8.0</v>
      </c>
      <c r="G498" s="124" t="s">
        <v>3862</v>
      </c>
      <c r="H498" s="124" t="s">
        <v>388</v>
      </c>
      <c r="I498" s="125">
        <v>14000.0</v>
      </c>
      <c r="J498" s="123"/>
      <c r="K498" s="124" t="s">
        <v>289</v>
      </c>
      <c r="L498" s="125">
        <v>40.0</v>
      </c>
      <c r="M498" s="124" t="s">
        <v>6139</v>
      </c>
      <c r="N498" s="124" t="s">
        <v>6140</v>
      </c>
      <c r="O498" s="124" t="s">
        <v>6141</v>
      </c>
      <c r="P498" s="124">
        <v>2003.0</v>
      </c>
      <c r="Q498" s="124" t="s">
        <v>6143</v>
      </c>
      <c r="R498" s="123"/>
      <c r="S498" s="123"/>
      <c r="T498" s="123" t="s">
        <v>39</v>
      </c>
      <c r="U498" s="123"/>
      <c r="V498" s="123"/>
      <c r="W498" s="124"/>
      <c r="X498" s="124"/>
      <c r="Y498" s="124"/>
      <c r="Z498" s="124"/>
      <c r="AA498" s="124"/>
      <c r="AB498" s="124"/>
      <c r="AC498" s="124"/>
      <c r="AD498" s="124"/>
      <c r="AE498" s="124"/>
      <c r="AF498" s="124"/>
      <c r="AG498" s="124"/>
      <c r="AH498" s="124"/>
      <c r="AI498" s="124"/>
      <c r="AJ498" s="124"/>
    </row>
    <row r="499" ht="15.75" customHeight="1">
      <c r="A499" s="123">
        <v>513.0</v>
      </c>
      <c r="B499" s="124" t="s">
        <v>1985</v>
      </c>
      <c r="C499" s="124" t="s">
        <v>106</v>
      </c>
      <c r="D499" s="124" t="s">
        <v>64</v>
      </c>
      <c r="E499" s="124" t="s">
        <v>7047</v>
      </c>
      <c r="F499" s="125" t="s">
        <v>7048</v>
      </c>
      <c r="G499" s="125" t="s">
        <v>7049</v>
      </c>
      <c r="H499" s="124" t="s">
        <v>837</v>
      </c>
      <c r="I499" s="125">
        <v>2000.0</v>
      </c>
      <c r="J499" s="123"/>
      <c r="K499" s="124" t="s">
        <v>95</v>
      </c>
      <c r="L499" s="125">
        <v>41.0</v>
      </c>
      <c r="M499" s="124" t="s">
        <v>7050</v>
      </c>
      <c r="N499" s="124" t="s">
        <v>7051</v>
      </c>
      <c r="O499" s="124" t="s">
        <v>7052</v>
      </c>
      <c r="P499" s="124">
        <v>2015.0</v>
      </c>
      <c r="Q499" s="124" t="s">
        <v>7057</v>
      </c>
      <c r="R499" s="123"/>
      <c r="S499" s="123"/>
      <c r="T499" s="123"/>
      <c r="U499" s="123"/>
      <c r="V499" s="123" t="s">
        <v>1594</v>
      </c>
      <c r="W499" s="124"/>
      <c r="X499" s="124"/>
      <c r="Y499" s="124"/>
      <c r="Z499" s="124"/>
      <c r="AA499" s="124"/>
      <c r="AB499" s="124"/>
      <c r="AC499" s="124"/>
      <c r="AD499" s="124"/>
      <c r="AE499" s="124"/>
      <c r="AF499" s="124"/>
      <c r="AG499" s="124"/>
      <c r="AH499" s="124"/>
      <c r="AI499" s="124"/>
      <c r="AJ499" s="124"/>
    </row>
    <row r="500" ht="15.75" customHeight="1">
      <c r="A500" s="123"/>
      <c r="B500" s="124"/>
      <c r="C500" s="124"/>
      <c r="D500" s="124"/>
      <c r="E500" s="124"/>
      <c r="F500" s="125"/>
      <c r="G500" s="124"/>
      <c r="H500" s="124"/>
      <c r="I500" s="125"/>
      <c r="J500" s="123"/>
      <c r="K500" s="124"/>
      <c r="L500" s="125"/>
      <c r="M500" s="124"/>
      <c r="N500" s="124"/>
      <c r="O500" s="124"/>
      <c r="P500" s="124"/>
      <c r="Q500" s="124"/>
      <c r="R500" s="123"/>
      <c r="S500" s="123"/>
      <c r="T500" s="123"/>
      <c r="U500" s="123"/>
      <c r="V500" s="123"/>
      <c r="W500" s="123"/>
      <c r="X500" s="123"/>
      <c r="Y500" s="123"/>
      <c r="Z500" s="123"/>
      <c r="AA500" s="123"/>
      <c r="AB500" s="123"/>
      <c r="AC500" s="123"/>
      <c r="AD500" s="123"/>
      <c r="AE500" s="123"/>
      <c r="AF500" s="123"/>
      <c r="AG500" s="123"/>
      <c r="AH500" s="123"/>
      <c r="AI500" s="123"/>
      <c r="AJ500" s="123"/>
    </row>
    <row r="501" ht="15.75" customHeight="1">
      <c r="A501" s="123"/>
      <c r="B501" s="124"/>
      <c r="C501" s="124"/>
      <c r="D501" s="124"/>
      <c r="E501" s="124"/>
      <c r="F501" s="125"/>
      <c r="G501" s="124"/>
      <c r="H501" s="124"/>
      <c r="I501" s="125"/>
      <c r="J501" s="123"/>
      <c r="K501" s="124"/>
      <c r="L501" s="125"/>
      <c r="M501" s="124"/>
      <c r="N501" s="124"/>
      <c r="O501" s="124"/>
      <c r="P501" s="124"/>
      <c r="Q501" s="124"/>
      <c r="R501" s="123"/>
      <c r="S501" s="123"/>
      <c r="T501" s="123"/>
      <c r="U501" s="123"/>
      <c r="V501" s="123"/>
      <c r="W501" s="123"/>
      <c r="X501" s="123"/>
      <c r="Y501" s="123"/>
      <c r="Z501" s="123"/>
      <c r="AA501" s="123"/>
      <c r="AB501" s="123"/>
      <c r="AC501" s="123"/>
      <c r="AD501" s="123"/>
      <c r="AE501" s="123"/>
      <c r="AF501" s="123"/>
      <c r="AG501" s="123"/>
      <c r="AH501" s="123"/>
      <c r="AI501" s="123"/>
      <c r="AJ501" s="123"/>
    </row>
    <row r="502" ht="15.75" customHeight="1">
      <c r="A502" s="123"/>
      <c r="B502" s="124"/>
      <c r="C502" s="124"/>
      <c r="D502" s="124"/>
      <c r="E502" s="124"/>
      <c r="F502" s="125"/>
      <c r="G502" s="124"/>
      <c r="H502" s="124"/>
      <c r="I502" s="125"/>
      <c r="J502" s="123"/>
      <c r="K502" s="124"/>
      <c r="L502" s="125"/>
      <c r="M502" s="124"/>
      <c r="N502" s="124"/>
      <c r="O502" s="124"/>
      <c r="P502" s="124"/>
      <c r="Q502" s="124"/>
      <c r="R502" s="123"/>
      <c r="S502" s="123"/>
      <c r="T502" s="123"/>
      <c r="U502" s="123"/>
      <c r="V502" s="123"/>
      <c r="W502" s="123"/>
      <c r="X502" s="123"/>
      <c r="Y502" s="123"/>
      <c r="Z502" s="123"/>
      <c r="AA502" s="123"/>
      <c r="AB502" s="123"/>
      <c r="AC502" s="123"/>
      <c r="AD502" s="123"/>
      <c r="AE502" s="123"/>
      <c r="AF502" s="123"/>
      <c r="AG502" s="123"/>
      <c r="AH502" s="123"/>
      <c r="AI502" s="123"/>
      <c r="AJ502" s="123"/>
    </row>
    <row r="503" ht="15.75" customHeight="1">
      <c r="A503" s="123"/>
      <c r="B503" s="124"/>
      <c r="C503" s="124"/>
      <c r="D503" s="124"/>
      <c r="E503" s="124"/>
      <c r="F503" s="125"/>
      <c r="G503" s="124"/>
      <c r="H503" s="124"/>
      <c r="I503" s="125"/>
      <c r="J503" s="123"/>
      <c r="K503" s="124"/>
      <c r="L503" s="125"/>
      <c r="M503" s="124"/>
      <c r="N503" s="124"/>
      <c r="O503" s="124"/>
      <c r="P503" s="124"/>
      <c r="Q503" s="124"/>
      <c r="R503" s="123"/>
      <c r="S503" s="123"/>
      <c r="T503" s="123"/>
      <c r="U503" s="123"/>
      <c r="V503" s="123"/>
      <c r="W503" s="123"/>
      <c r="X503" s="123"/>
      <c r="Y503" s="123"/>
      <c r="Z503" s="123"/>
      <c r="AA503" s="123"/>
      <c r="AB503" s="123"/>
      <c r="AC503" s="123"/>
      <c r="AD503" s="123"/>
      <c r="AE503" s="123"/>
      <c r="AF503" s="123"/>
      <c r="AG503" s="123"/>
      <c r="AH503" s="123"/>
      <c r="AI503" s="123"/>
      <c r="AJ503" s="123"/>
    </row>
    <row r="504" ht="15.75" customHeight="1">
      <c r="A504" s="123"/>
      <c r="B504" s="124"/>
      <c r="C504" s="124"/>
      <c r="D504" s="124"/>
      <c r="E504" s="124"/>
      <c r="F504" s="125"/>
      <c r="G504" s="124"/>
      <c r="H504" s="124"/>
      <c r="I504" s="125"/>
      <c r="J504" s="123"/>
      <c r="K504" s="124"/>
      <c r="L504" s="125"/>
      <c r="M504" s="124"/>
      <c r="N504" s="124"/>
      <c r="O504" s="124"/>
      <c r="P504" s="124"/>
      <c r="Q504" s="124"/>
      <c r="R504" s="123"/>
      <c r="S504" s="123"/>
      <c r="T504" s="123"/>
      <c r="U504" s="123"/>
      <c r="V504" s="123"/>
      <c r="W504" s="123"/>
      <c r="X504" s="123"/>
      <c r="Y504" s="123"/>
      <c r="Z504" s="123"/>
      <c r="AA504" s="123"/>
      <c r="AB504" s="123"/>
      <c r="AC504" s="123"/>
      <c r="AD504" s="123"/>
      <c r="AE504" s="123"/>
      <c r="AF504" s="123"/>
      <c r="AG504" s="123"/>
      <c r="AH504" s="123"/>
      <c r="AI504" s="123"/>
      <c r="AJ504" s="123"/>
    </row>
    <row r="505" ht="15.75" customHeight="1">
      <c r="A505" s="123"/>
      <c r="B505" s="124"/>
      <c r="C505" s="124"/>
      <c r="D505" s="124"/>
      <c r="E505" s="124"/>
      <c r="F505" s="125"/>
      <c r="G505" s="124"/>
      <c r="H505" s="124"/>
      <c r="I505" s="125"/>
      <c r="J505" s="123"/>
      <c r="K505" s="124"/>
      <c r="L505" s="125"/>
      <c r="M505" s="124"/>
      <c r="N505" s="124"/>
      <c r="O505" s="124"/>
      <c r="P505" s="124"/>
      <c r="Q505" s="124"/>
      <c r="R505" s="123"/>
      <c r="S505" s="123"/>
      <c r="T505" s="123"/>
      <c r="U505" s="123"/>
      <c r="V505" s="123"/>
      <c r="W505" s="123"/>
      <c r="X505" s="123"/>
      <c r="Y505" s="123"/>
      <c r="Z505" s="123"/>
      <c r="AA505" s="123"/>
      <c r="AB505" s="123"/>
      <c r="AC505" s="123"/>
      <c r="AD505" s="123"/>
      <c r="AE505" s="123"/>
      <c r="AF505" s="123"/>
      <c r="AG505" s="123"/>
      <c r="AH505" s="123"/>
      <c r="AI505" s="123"/>
      <c r="AJ505" s="123"/>
    </row>
    <row r="506" ht="15.75" customHeight="1">
      <c r="A506" s="123"/>
      <c r="B506" s="124"/>
      <c r="C506" s="124"/>
      <c r="D506" s="124"/>
      <c r="E506" s="124"/>
      <c r="F506" s="125"/>
      <c r="G506" s="124"/>
      <c r="H506" s="124"/>
      <c r="I506" s="125"/>
      <c r="J506" s="123"/>
      <c r="K506" s="124"/>
      <c r="L506" s="125"/>
      <c r="M506" s="124"/>
      <c r="N506" s="124"/>
      <c r="O506" s="124"/>
      <c r="P506" s="124"/>
      <c r="Q506" s="124"/>
      <c r="R506" s="123"/>
      <c r="S506" s="123"/>
      <c r="T506" s="123"/>
      <c r="U506" s="123"/>
      <c r="V506" s="123"/>
      <c r="W506" s="123"/>
      <c r="X506" s="123"/>
      <c r="Y506" s="123"/>
      <c r="Z506" s="123"/>
      <c r="AA506" s="123"/>
      <c r="AB506" s="123"/>
      <c r="AC506" s="123"/>
      <c r="AD506" s="123"/>
      <c r="AE506" s="123"/>
      <c r="AF506" s="123"/>
      <c r="AG506" s="123"/>
      <c r="AH506" s="123"/>
      <c r="AI506" s="123"/>
      <c r="AJ506" s="123"/>
    </row>
    <row r="507" ht="15.75" customHeight="1">
      <c r="A507" s="123"/>
      <c r="B507" s="124"/>
      <c r="C507" s="124"/>
      <c r="D507" s="124"/>
      <c r="E507" s="124"/>
      <c r="F507" s="125"/>
      <c r="G507" s="124"/>
      <c r="H507" s="124"/>
      <c r="I507" s="125"/>
      <c r="J507" s="123"/>
      <c r="K507" s="124"/>
      <c r="L507" s="125"/>
      <c r="M507" s="124"/>
      <c r="N507" s="124"/>
      <c r="O507" s="124"/>
      <c r="P507" s="124"/>
      <c r="Q507" s="124"/>
      <c r="R507" s="123"/>
      <c r="S507" s="123"/>
      <c r="T507" s="123"/>
      <c r="U507" s="123"/>
      <c r="V507" s="123"/>
      <c r="W507" s="123"/>
      <c r="X507" s="123"/>
      <c r="Y507" s="123"/>
      <c r="Z507" s="123"/>
      <c r="AA507" s="123"/>
      <c r="AB507" s="123"/>
      <c r="AC507" s="123"/>
      <c r="AD507" s="123"/>
      <c r="AE507" s="123"/>
      <c r="AF507" s="123"/>
      <c r="AG507" s="123"/>
      <c r="AH507" s="123"/>
      <c r="AI507" s="123"/>
      <c r="AJ507" s="123"/>
    </row>
    <row r="508" ht="15.75" customHeight="1">
      <c r="A508" s="123"/>
      <c r="B508" s="124"/>
      <c r="C508" s="124"/>
      <c r="D508" s="124"/>
      <c r="E508" s="124"/>
      <c r="F508" s="125"/>
      <c r="G508" s="124"/>
      <c r="H508" s="124"/>
      <c r="I508" s="125"/>
      <c r="J508" s="123"/>
      <c r="K508" s="124"/>
      <c r="L508" s="125"/>
      <c r="M508" s="124"/>
      <c r="N508" s="124"/>
      <c r="O508" s="124"/>
      <c r="P508" s="124"/>
      <c r="Q508" s="124"/>
      <c r="R508" s="123"/>
      <c r="S508" s="123"/>
      <c r="T508" s="123"/>
      <c r="U508" s="123"/>
      <c r="V508" s="123"/>
      <c r="W508" s="123"/>
      <c r="X508" s="123"/>
      <c r="Y508" s="123"/>
      <c r="Z508" s="123"/>
      <c r="AA508" s="123"/>
      <c r="AB508" s="123"/>
      <c r="AC508" s="123"/>
      <c r="AD508" s="123"/>
      <c r="AE508" s="123"/>
      <c r="AF508" s="123"/>
      <c r="AG508" s="123"/>
      <c r="AH508" s="123"/>
      <c r="AI508" s="123"/>
      <c r="AJ508" s="123"/>
    </row>
    <row r="509" ht="15.75" customHeight="1">
      <c r="A509" s="123"/>
      <c r="B509" s="124"/>
      <c r="C509" s="124"/>
      <c r="D509" s="124"/>
      <c r="E509" s="124"/>
      <c r="F509" s="125"/>
      <c r="G509" s="124"/>
      <c r="H509" s="124"/>
      <c r="I509" s="125"/>
      <c r="J509" s="123"/>
      <c r="K509" s="124"/>
      <c r="L509" s="125"/>
      <c r="M509" s="124"/>
      <c r="N509" s="124"/>
      <c r="O509" s="124"/>
      <c r="P509" s="124"/>
      <c r="Q509" s="124"/>
      <c r="R509" s="123"/>
      <c r="S509" s="123"/>
      <c r="T509" s="123"/>
      <c r="U509" s="123"/>
      <c r="V509" s="123"/>
      <c r="W509" s="123"/>
      <c r="X509" s="123"/>
      <c r="Y509" s="123"/>
      <c r="Z509" s="123"/>
      <c r="AA509" s="123"/>
      <c r="AB509" s="123"/>
      <c r="AC509" s="123"/>
      <c r="AD509" s="123"/>
      <c r="AE509" s="123"/>
      <c r="AF509" s="123"/>
      <c r="AG509" s="123"/>
      <c r="AH509" s="123"/>
      <c r="AI509" s="123"/>
      <c r="AJ509" s="123"/>
    </row>
    <row r="510" ht="15.75" customHeight="1">
      <c r="A510" s="123"/>
      <c r="B510" s="124"/>
      <c r="C510" s="124"/>
      <c r="D510" s="124"/>
      <c r="E510" s="124"/>
      <c r="F510" s="125"/>
      <c r="G510" s="124"/>
      <c r="H510" s="124"/>
      <c r="I510" s="125"/>
      <c r="J510" s="123"/>
      <c r="K510" s="124"/>
      <c r="L510" s="125"/>
      <c r="M510" s="124"/>
      <c r="N510" s="124"/>
      <c r="O510" s="124"/>
      <c r="P510" s="124"/>
      <c r="Q510" s="124"/>
      <c r="R510" s="123"/>
      <c r="S510" s="123"/>
      <c r="T510" s="123"/>
      <c r="U510" s="123"/>
      <c r="V510" s="123"/>
      <c r="W510" s="123"/>
      <c r="X510" s="123"/>
      <c r="Y510" s="123"/>
      <c r="Z510" s="123"/>
      <c r="AA510" s="123"/>
      <c r="AB510" s="123"/>
      <c r="AC510" s="123"/>
      <c r="AD510" s="123"/>
      <c r="AE510" s="123"/>
      <c r="AF510" s="123"/>
      <c r="AG510" s="123"/>
      <c r="AH510" s="123"/>
      <c r="AI510" s="123"/>
      <c r="AJ510" s="123"/>
    </row>
    <row r="511" ht="15.75" customHeight="1">
      <c r="A511" s="123"/>
      <c r="B511" s="124"/>
      <c r="C511" s="124"/>
      <c r="D511" s="124"/>
      <c r="E511" s="124"/>
      <c r="F511" s="125"/>
      <c r="G511" s="124"/>
      <c r="H511" s="124"/>
      <c r="I511" s="125"/>
      <c r="J511" s="123"/>
      <c r="K511" s="124"/>
      <c r="L511" s="125"/>
      <c r="M511" s="124"/>
      <c r="N511" s="124"/>
      <c r="O511" s="124"/>
      <c r="P511" s="124"/>
      <c r="Q511" s="124"/>
      <c r="R511" s="123"/>
      <c r="S511" s="123"/>
      <c r="T511" s="123"/>
      <c r="U511" s="123"/>
      <c r="V511" s="123"/>
      <c r="W511" s="123"/>
      <c r="X511" s="123"/>
      <c r="Y511" s="123"/>
      <c r="Z511" s="123"/>
      <c r="AA511" s="123"/>
      <c r="AB511" s="123"/>
      <c r="AC511" s="123"/>
      <c r="AD511" s="123"/>
      <c r="AE511" s="123"/>
      <c r="AF511" s="123"/>
      <c r="AG511" s="123"/>
      <c r="AH511" s="123"/>
      <c r="AI511" s="123"/>
      <c r="AJ511" s="123"/>
    </row>
    <row r="512" ht="15.75" customHeight="1">
      <c r="A512" s="123"/>
      <c r="B512" s="124"/>
      <c r="C512" s="124"/>
      <c r="D512" s="124"/>
      <c r="E512" s="124"/>
      <c r="F512" s="125"/>
      <c r="G512" s="124"/>
      <c r="H512" s="124"/>
      <c r="I512" s="125"/>
      <c r="J512" s="123"/>
      <c r="K512" s="124"/>
      <c r="L512" s="125"/>
      <c r="M512" s="124"/>
      <c r="N512" s="124"/>
      <c r="O512" s="124"/>
      <c r="P512" s="124"/>
      <c r="Q512" s="124"/>
      <c r="R512" s="123"/>
      <c r="S512" s="123"/>
      <c r="T512" s="123"/>
      <c r="U512" s="123"/>
      <c r="V512" s="123"/>
      <c r="W512" s="123"/>
      <c r="X512" s="123"/>
      <c r="Y512" s="123"/>
      <c r="Z512" s="123"/>
      <c r="AA512" s="123"/>
      <c r="AB512" s="123"/>
      <c r="AC512" s="123"/>
      <c r="AD512" s="123"/>
      <c r="AE512" s="123"/>
      <c r="AF512" s="123"/>
      <c r="AG512" s="123"/>
      <c r="AH512" s="123"/>
      <c r="AI512" s="123"/>
      <c r="AJ512" s="123"/>
    </row>
    <row r="513" ht="15.75" customHeight="1">
      <c r="A513" s="123"/>
      <c r="B513" s="124"/>
      <c r="C513" s="124"/>
      <c r="D513" s="124"/>
      <c r="E513" s="124"/>
      <c r="F513" s="125"/>
      <c r="G513" s="124"/>
      <c r="H513" s="124"/>
      <c r="I513" s="125"/>
      <c r="J513" s="123"/>
      <c r="K513" s="124"/>
      <c r="L513" s="125"/>
      <c r="M513" s="124"/>
      <c r="N513" s="124"/>
      <c r="O513" s="124"/>
      <c r="P513" s="124"/>
      <c r="Q513" s="124"/>
      <c r="R513" s="123"/>
      <c r="S513" s="123"/>
      <c r="T513" s="123"/>
      <c r="U513" s="123"/>
      <c r="V513" s="123"/>
      <c r="W513" s="123"/>
      <c r="X513" s="123"/>
      <c r="Y513" s="123"/>
      <c r="Z513" s="123"/>
      <c r="AA513" s="123"/>
      <c r="AB513" s="123"/>
      <c r="AC513" s="123"/>
      <c r="AD513" s="123"/>
      <c r="AE513" s="123"/>
      <c r="AF513" s="123"/>
      <c r="AG513" s="123"/>
      <c r="AH513" s="123"/>
      <c r="AI513" s="123"/>
      <c r="AJ513" s="123"/>
    </row>
    <row r="514" ht="15.75" customHeight="1">
      <c r="A514" s="123"/>
      <c r="B514" s="124"/>
      <c r="C514" s="124"/>
      <c r="D514" s="124"/>
      <c r="E514" s="124"/>
      <c r="F514" s="125"/>
      <c r="G514" s="124"/>
      <c r="H514" s="124"/>
      <c r="I514" s="125"/>
      <c r="J514" s="123"/>
      <c r="K514" s="124"/>
      <c r="L514" s="125"/>
      <c r="M514" s="124"/>
      <c r="N514" s="124"/>
      <c r="O514" s="124"/>
      <c r="P514" s="124"/>
      <c r="Q514" s="124"/>
      <c r="R514" s="123"/>
      <c r="S514" s="123"/>
      <c r="T514" s="123"/>
      <c r="U514" s="123"/>
      <c r="V514" s="123"/>
      <c r="W514" s="123"/>
      <c r="X514" s="123"/>
      <c r="Y514" s="123"/>
      <c r="Z514" s="123"/>
      <c r="AA514" s="123"/>
      <c r="AB514" s="123"/>
      <c r="AC514" s="123"/>
      <c r="AD514" s="123"/>
      <c r="AE514" s="123"/>
      <c r="AF514" s="123"/>
      <c r="AG514" s="123"/>
      <c r="AH514" s="123"/>
      <c r="AI514" s="123"/>
      <c r="AJ514" s="123"/>
    </row>
    <row r="515" ht="15.75" customHeight="1">
      <c r="A515" s="123"/>
      <c r="B515" s="124"/>
      <c r="C515" s="124"/>
      <c r="D515" s="124"/>
      <c r="E515" s="124"/>
      <c r="F515" s="125"/>
      <c r="G515" s="124"/>
      <c r="H515" s="124"/>
      <c r="I515" s="125"/>
      <c r="J515" s="123"/>
      <c r="K515" s="124"/>
      <c r="L515" s="125"/>
      <c r="M515" s="124"/>
      <c r="N515" s="124"/>
      <c r="O515" s="124"/>
      <c r="P515" s="124"/>
      <c r="Q515" s="124"/>
      <c r="R515" s="123"/>
      <c r="S515" s="123"/>
      <c r="T515" s="123"/>
      <c r="U515" s="123"/>
      <c r="V515" s="123"/>
      <c r="W515" s="123"/>
      <c r="X515" s="123"/>
      <c r="Y515" s="123"/>
      <c r="Z515" s="123"/>
      <c r="AA515" s="123"/>
      <c r="AB515" s="123"/>
      <c r="AC515" s="123"/>
      <c r="AD515" s="123"/>
      <c r="AE515" s="123"/>
      <c r="AF515" s="123"/>
      <c r="AG515" s="123"/>
      <c r="AH515" s="123"/>
      <c r="AI515" s="123"/>
      <c r="AJ515" s="123"/>
    </row>
    <row r="516" ht="15.75" customHeight="1">
      <c r="A516" s="123"/>
      <c r="B516" s="124"/>
      <c r="C516" s="124"/>
      <c r="D516" s="124"/>
      <c r="E516" s="124"/>
      <c r="F516" s="125"/>
      <c r="G516" s="124"/>
      <c r="H516" s="124"/>
      <c r="I516" s="125"/>
      <c r="J516" s="123"/>
      <c r="K516" s="124"/>
      <c r="L516" s="125"/>
      <c r="M516" s="124"/>
      <c r="N516" s="124"/>
      <c r="O516" s="124"/>
      <c r="P516" s="124"/>
      <c r="Q516" s="124"/>
      <c r="R516" s="123"/>
      <c r="S516" s="123"/>
      <c r="T516" s="123"/>
      <c r="U516" s="123"/>
      <c r="V516" s="123"/>
      <c r="W516" s="123"/>
      <c r="X516" s="123"/>
      <c r="Y516" s="123"/>
      <c r="Z516" s="123"/>
      <c r="AA516" s="123"/>
      <c r="AB516" s="123"/>
      <c r="AC516" s="123"/>
      <c r="AD516" s="123"/>
      <c r="AE516" s="123"/>
      <c r="AF516" s="123"/>
      <c r="AG516" s="123"/>
      <c r="AH516" s="123"/>
      <c r="AI516" s="123"/>
      <c r="AJ516" s="123"/>
    </row>
    <row r="517" ht="15.75" customHeight="1">
      <c r="A517" s="123"/>
      <c r="B517" s="124"/>
      <c r="C517" s="124"/>
      <c r="D517" s="124"/>
      <c r="E517" s="124"/>
      <c r="F517" s="125"/>
      <c r="G517" s="124"/>
      <c r="H517" s="124"/>
      <c r="I517" s="125"/>
      <c r="J517" s="123"/>
      <c r="K517" s="124"/>
      <c r="L517" s="125"/>
      <c r="M517" s="124"/>
      <c r="N517" s="124"/>
      <c r="O517" s="124"/>
      <c r="P517" s="124"/>
      <c r="Q517" s="124"/>
      <c r="R517" s="123"/>
      <c r="S517" s="123"/>
      <c r="T517" s="123"/>
      <c r="U517" s="123"/>
      <c r="V517" s="123"/>
      <c r="W517" s="123"/>
      <c r="X517" s="123"/>
      <c r="Y517" s="123"/>
      <c r="Z517" s="123"/>
      <c r="AA517" s="123"/>
      <c r="AB517" s="123"/>
      <c r="AC517" s="123"/>
      <c r="AD517" s="123"/>
      <c r="AE517" s="123"/>
      <c r="AF517" s="123"/>
      <c r="AG517" s="123"/>
      <c r="AH517" s="123"/>
      <c r="AI517" s="123"/>
      <c r="AJ517" s="123"/>
    </row>
    <row r="518" ht="15.75" customHeight="1">
      <c r="A518" s="123"/>
      <c r="B518" s="124"/>
      <c r="C518" s="124"/>
      <c r="D518" s="124"/>
      <c r="E518" s="124"/>
      <c r="F518" s="125"/>
      <c r="G518" s="124"/>
      <c r="H518" s="124"/>
      <c r="I518" s="125"/>
      <c r="J518" s="123"/>
      <c r="K518" s="124"/>
      <c r="L518" s="125"/>
      <c r="M518" s="124"/>
      <c r="N518" s="124"/>
      <c r="O518" s="124"/>
      <c r="P518" s="124"/>
      <c r="Q518" s="124"/>
      <c r="R518" s="123"/>
      <c r="S518" s="123"/>
      <c r="T518" s="123"/>
      <c r="U518" s="123"/>
      <c r="V518" s="123"/>
      <c r="W518" s="123"/>
      <c r="X518" s="123"/>
      <c r="Y518" s="123"/>
      <c r="Z518" s="123"/>
      <c r="AA518" s="123"/>
      <c r="AB518" s="123"/>
      <c r="AC518" s="123"/>
      <c r="AD518" s="123"/>
      <c r="AE518" s="123"/>
      <c r="AF518" s="123"/>
      <c r="AG518" s="123"/>
      <c r="AH518" s="123"/>
      <c r="AI518" s="123"/>
      <c r="AJ518" s="123"/>
    </row>
    <row r="519" ht="15.75" customHeight="1">
      <c r="A519" s="123"/>
      <c r="B519" s="124"/>
      <c r="C519" s="124"/>
      <c r="D519" s="124"/>
      <c r="E519" s="124"/>
      <c r="F519" s="125"/>
      <c r="G519" s="124"/>
      <c r="H519" s="124"/>
      <c r="I519" s="125"/>
      <c r="J519" s="123"/>
      <c r="K519" s="124"/>
      <c r="L519" s="125"/>
      <c r="M519" s="124"/>
      <c r="N519" s="124"/>
      <c r="O519" s="124"/>
      <c r="P519" s="124"/>
      <c r="Q519" s="124"/>
      <c r="R519" s="123"/>
      <c r="S519" s="123"/>
      <c r="T519" s="123"/>
      <c r="U519" s="123"/>
      <c r="V519" s="123"/>
      <c r="W519" s="123"/>
      <c r="X519" s="123"/>
      <c r="Y519" s="123"/>
      <c r="Z519" s="123"/>
      <c r="AA519" s="123"/>
      <c r="AB519" s="123"/>
      <c r="AC519" s="123"/>
      <c r="AD519" s="123"/>
      <c r="AE519" s="123"/>
      <c r="AF519" s="123"/>
      <c r="AG519" s="123"/>
      <c r="AH519" s="123"/>
      <c r="AI519" s="123"/>
      <c r="AJ519" s="123"/>
    </row>
    <row r="520" ht="15.75" customHeight="1">
      <c r="A520" s="123"/>
      <c r="B520" s="124"/>
      <c r="C520" s="124"/>
      <c r="D520" s="124"/>
      <c r="E520" s="124"/>
      <c r="F520" s="125"/>
      <c r="G520" s="124"/>
      <c r="H520" s="124"/>
      <c r="I520" s="125"/>
      <c r="J520" s="123"/>
      <c r="K520" s="124"/>
      <c r="L520" s="125"/>
      <c r="M520" s="124"/>
      <c r="N520" s="124"/>
      <c r="O520" s="124"/>
      <c r="P520" s="124"/>
      <c r="Q520" s="124"/>
      <c r="R520" s="123"/>
      <c r="S520" s="123"/>
      <c r="T520" s="123"/>
      <c r="U520" s="123"/>
      <c r="V520" s="123"/>
      <c r="W520" s="123"/>
      <c r="X520" s="123"/>
      <c r="Y520" s="123"/>
      <c r="Z520" s="123"/>
      <c r="AA520" s="123"/>
      <c r="AB520" s="123"/>
      <c r="AC520" s="123"/>
      <c r="AD520" s="123"/>
      <c r="AE520" s="123"/>
      <c r="AF520" s="123"/>
      <c r="AG520" s="123"/>
      <c r="AH520" s="123"/>
      <c r="AI520" s="123"/>
      <c r="AJ520" s="123"/>
    </row>
    <row r="521" ht="15.75" customHeight="1">
      <c r="A521" s="123"/>
      <c r="B521" s="124"/>
      <c r="C521" s="124"/>
      <c r="D521" s="124"/>
      <c r="E521" s="124"/>
      <c r="F521" s="125"/>
      <c r="G521" s="124"/>
      <c r="H521" s="124"/>
      <c r="I521" s="125"/>
      <c r="J521" s="123"/>
      <c r="K521" s="124"/>
      <c r="L521" s="125"/>
      <c r="M521" s="124"/>
      <c r="N521" s="124"/>
      <c r="O521" s="124"/>
      <c r="P521" s="124"/>
      <c r="Q521" s="124"/>
      <c r="R521" s="123"/>
      <c r="S521" s="123"/>
      <c r="T521" s="123"/>
      <c r="U521" s="123"/>
      <c r="V521" s="123"/>
      <c r="W521" s="123"/>
      <c r="X521" s="123"/>
      <c r="Y521" s="123"/>
      <c r="Z521" s="123"/>
      <c r="AA521" s="123"/>
      <c r="AB521" s="123"/>
      <c r="AC521" s="123"/>
      <c r="AD521" s="123"/>
      <c r="AE521" s="123"/>
      <c r="AF521" s="123"/>
      <c r="AG521" s="123"/>
      <c r="AH521" s="123"/>
      <c r="AI521" s="123"/>
      <c r="AJ521" s="123"/>
    </row>
    <row r="522" ht="15.75" customHeight="1">
      <c r="A522" s="123"/>
      <c r="B522" s="124"/>
      <c r="C522" s="124"/>
      <c r="D522" s="124"/>
      <c r="E522" s="124"/>
      <c r="F522" s="125"/>
      <c r="G522" s="124"/>
      <c r="H522" s="124"/>
      <c r="I522" s="125"/>
      <c r="J522" s="123"/>
      <c r="K522" s="124"/>
      <c r="L522" s="125"/>
      <c r="M522" s="124"/>
      <c r="N522" s="124"/>
      <c r="O522" s="124"/>
      <c r="P522" s="124"/>
      <c r="Q522" s="124"/>
      <c r="R522" s="123"/>
      <c r="S522" s="123"/>
      <c r="T522" s="123"/>
      <c r="U522" s="123"/>
      <c r="V522" s="123"/>
      <c r="W522" s="123"/>
      <c r="X522" s="123"/>
      <c r="Y522" s="123"/>
      <c r="Z522" s="123"/>
      <c r="AA522" s="123"/>
      <c r="AB522" s="123"/>
      <c r="AC522" s="123"/>
      <c r="AD522" s="123"/>
      <c r="AE522" s="123"/>
      <c r="AF522" s="123"/>
      <c r="AG522" s="123"/>
      <c r="AH522" s="123"/>
      <c r="AI522" s="123"/>
      <c r="AJ522" s="123"/>
    </row>
    <row r="523" ht="15.75" customHeight="1">
      <c r="A523" s="123"/>
      <c r="B523" s="124"/>
      <c r="C523" s="124"/>
      <c r="D523" s="124"/>
      <c r="E523" s="124"/>
      <c r="F523" s="125"/>
      <c r="G523" s="124"/>
      <c r="H523" s="124"/>
      <c r="I523" s="125"/>
      <c r="J523" s="123"/>
      <c r="K523" s="124"/>
      <c r="L523" s="125"/>
      <c r="M523" s="124"/>
      <c r="N523" s="124"/>
      <c r="O523" s="124"/>
      <c r="P523" s="124"/>
      <c r="Q523" s="124"/>
      <c r="R523" s="123"/>
      <c r="S523" s="123"/>
      <c r="T523" s="123"/>
      <c r="U523" s="123"/>
      <c r="V523" s="123"/>
      <c r="W523" s="123"/>
      <c r="X523" s="123"/>
      <c r="Y523" s="123"/>
      <c r="Z523" s="123"/>
      <c r="AA523" s="123"/>
      <c r="AB523" s="123"/>
      <c r="AC523" s="123"/>
      <c r="AD523" s="123"/>
      <c r="AE523" s="123"/>
      <c r="AF523" s="123"/>
      <c r="AG523" s="123"/>
      <c r="AH523" s="123"/>
      <c r="AI523" s="123"/>
      <c r="AJ523" s="123"/>
    </row>
    <row r="524" ht="15.75" customHeight="1">
      <c r="A524" s="123"/>
      <c r="B524" s="124"/>
      <c r="C524" s="124"/>
      <c r="D524" s="124"/>
      <c r="E524" s="124"/>
      <c r="F524" s="125"/>
      <c r="G524" s="124"/>
      <c r="H524" s="124"/>
      <c r="I524" s="125"/>
      <c r="J524" s="123"/>
      <c r="K524" s="124"/>
      <c r="L524" s="125"/>
      <c r="M524" s="124"/>
      <c r="N524" s="124"/>
      <c r="O524" s="124"/>
      <c r="P524" s="124"/>
      <c r="Q524" s="124"/>
      <c r="R524" s="123"/>
      <c r="S524" s="123"/>
      <c r="T524" s="123"/>
      <c r="U524" s="123"/>
      <c r="V524" s="123"/>
      <c r="W524" s="123"/>
      <c r="X524" s="123"/>
      <c r="Y524" s="123"/>
      <c r="Z524" s="123"/>
      <c r="AA524" s="123"/>
      <c r="AB524" s="123"/>
      <c r="AC524" s="123"/>
      <c r="AD524" s="123"/>
      <c r="AE524" s="123"/>
      <c r="AF524" s="123"/>
      <c r="AG524" s="123"/>
      <c r="AH524" s="123"/>
      <c r="AI524" s="123"/>
      <c r="AJ524" s="123"/>
    </row>
    <row r="525" ht="15.75" customHeight="1">
      <c r="A525" s="123"/>
      <c r="B525" s="124"/>
      <c r="C525" s="124"/>
      <c r="D525" s="124"/>
      <c r="E525" s="124"/>
      <c r="F525" s="125"/>
      <c r="G525" s="124"/>
      <c r="H525" s="124"/>
      <c r="I525" s="125"/>
      <c r="J525" s="123"/>
      <c r="K525" s="124"/>
      <c r="L525" s="125"/>
      <c r="M525" s="124"/>
      <c r="N525" s="124"/>
      <c r="O525" s="124"/>
      <c r="P525" s="124"/>
      <c r="Q525" s="124"/>
      <c r="R525" s="123"/>
      <c r="S525" s="123"/>
      <c r="T525" s="123"/>
      <c r="U525" s="123"/>
      <c r="V525" s="123"/>
      <c r="W525" s="123"/>
      <c r="X525" s="123"/>
      <c r="Y525" s="123"/>
      <c r="Z525" s="123"/>
      <c r="AA525" s="123"/>
      <c r="AB525" s="123"/>
      <c r="AC525" s="123"/>
      <c r="AD525" s="123"/>
      <c r="AE525" s="123"/>
      <c r="AF525" s="123"/>
      <c r="AG525" s="123"/>
      <c r="AH525" s="123"/>
      <c r="AI525" s="123"/>
      <c r="AJ525" s="123"/>
    </row>
    <row r="526" ht="15.75" customHeight="1">
      <c r="A526" s="123"/>
      <c r="B526" s="124"/>
      <c r="C526" s="124"/>
      <c r="D526" s="124"/>
      <c r="E526" s="124"/>
      <c r="F526" s="125"/>
      <c r="G526" s="124"/>
      <c r="H526" s="124"/>
      <c r="I526" s="125"/>
      <c r="J526" s="123"/>
      <c r="K526" s="124"/>
      <c r="L526" s="125"/>
      <c r="M526" s="124"/>
      <c r="N526" s="124"/>
      <c r="O526" s="124"/>
      <c r="P526" s="124"/>
      <c r="Q526" s="124"/>
      <c r="R526" s="123"/>
      <c r="S526" s="123"/>
      <c r="T526" s="123"/>
      <c r="U526" s="123"/>
      <c r="V526" s="123"/>
      <c r="W526" s="123"/>
      <c r="X526" s="123"/>
      <c r="Y526" s="123"/>
      <c r="Z526" s="123"/>
      <c r="AA526" s="123"/>
      <c r="AB526" s="123"/>
      <c r="AC526" s="123"/>
      <c r="AD526" s="123"/>
      <c r="AE526" s="123"/>
      <c r="AF526" s="123"/>
      <c r="AG526" s="123"/>
      <c r="AH526" s="123"/>
      <c r="AI526" s="123"/>
      <c r="AJ526" s="123"/>
    </row>
    <row r="527" ht="15.75" customHeight="1">
      <c r="A527" s="123"/>
      <c r="B527" s="124"/>
      <c r="C527" s="124"/>
      <c r="D527" s="124"/>
      <c r="E527" s="124"/>
      <c r="F527" s="125"/>
      <c r="G527" s="124"/>
      <c r="H527" s="124"/>
      <c r="I527" s="125"/>
      <c r="J527" s="123"/>
      <c r="K527" s="124"/>
      <c r="L527" s="125"/>
      <c r="M527" s="124"/>
      <c r="N527" s="124"/>
      <c r="O527" s="124"/>
      <c r="P527" s="124"/>
      <c r="Q527" s="124"/>
      <c r="R527" s="123"/>
      <c r="S527" s="123"/>
      <c r="T527" s="123"/>
      <c r="U527" s="123"/>
      <c r="V527" s="123"/>
      <c r="W527" s="123"/>
      <c r="X527" s="123"/>
      <c r="Y527" s="123"/>
      <c r="Z527" s="123"/>
      <c r="AA527" s="123"/>
      <c r="AB527" s="123"/>
      <c r="AC527" s="123"/>
      <c r="AD527" s="123"/>
      <c r="AE527" s="123"/>
      <c r="AF527" s="123"/>
      <c r="AG527" s="123"/>
      <c r="AH527" s="123"/>
      <c r="AI527" s="123"/>
      <c r="AJ527" s="123"/>
    </row>
    <row r="528" ht="15.75" customHeight="1">
      <c r="A528" s="123"/>
      <c r="B528" s="124"/>
      <c r="C528" s="124"/>
      <c r="D528" s="124"/>
      <c r="E528" s="124"/>
      <c r="F528" s="125"/>
      <c r="G528" s="124"/>
      <c r="H528" s="124"/>
      <c r="I528" s="125"/>
      <c r="J528" s="123"/>
      <c r="K528" s="124"/>
      <c r="L528" s="125"/>
      <c r="M528" s="124"/>
      <c r="N528" s="124"/>
      <c r="O528" s="124"/>
      <c r="P528" s="124"/>
      <c r="Q528" s="124"/>
      <c r="R528" s="123"/>
      <c r="S528" s="123"/>
      <c r="T528" s="123"/>
      <c r="U528" s="123"/>
      <c r="V528" s="123"/>
      <c r="W528" s="123"/>
      <c r="X528" s="123"/>
      <c r="Y528" s="123"/>
      <c r="Z528" s="123"/>
      <c r="AA528" s="123"/>
      <c r="AB528" s="123"/>
      <c r="AC528" s="123"/>
      <c r="AD528" s="123"/>
      <c r="AE528" s="123"/>
      <c r="AF528" s="123"/>
      <c r="AG528" s="123"/>
      <c r="AH528" s="123"/>
      <c r="AI528" s="123"/>
      <c r="AJ528" s="123"/>
    </row>
    <row r="529" ht="15.75" customHeight="1">
      <c r="A529" s="123"/>
      <c r="B529" s="124"/>
      <c r="C529" s="124"/>
      <c r="D529" s="124"/>
      <c r="E529" s="124"/>
      <c r="F529" s="125"/>
      <c r="G529" s="124"/>
      <c r="H529" s="124"/>
      <c r="I529" s="125"/>
      <c r="J529" s="123"/>
      <c r="K529" s="124"/>
      <c r="L529" s="125"/>
      <c r="M529" s="124"/>
      <c r="N529" s="124"/>
      <c r="O529" s="124"/>
      <c r="P529" s="124"/>
      <c r="Q529" s="124"/>
      <c r="R529" s="123"/>
      <c r="S529" s="123"/>
      <c r="T529" s="123"/>
      <c r="U529" s="123"/>
      <c r="V529" s="123"/>
      <c r="W529" s="123"/>
      <c r="X529" s="123"/>
      <c r="Y529" s="123"/>
      <c r="Z529" s="123"/>
      <c r="AA529" s="123"/>
      <c r="AB529" s="123"/>
      <c r="AC529" s="123"/>
      <c r="AD529" s="123"/>
      <c r="AE529" s="123"/>
      <c r="AF529" s="123"/>
      <c r="AG529" s="123"/>
      <c r="AH529" s="123"/>
      <c r="AI529" s="123"/>
      <c r="AJ529" s="123"/>
    </row>
    <row r="530" ht="15.75" customHeight="1">
      <c r="A530" s="123"/>
      <c r="B530" s="124"/>
      <c r="C530" s="124"/>
      <c r="D530" s="124"/>
      <c r="E530" s="124"/>
      <c r="F530" s="125"/>
      <c r="G530" s="124"/>
      <c r="H530" s="124"/>
      <c r="I530" s="125"/>
      <c r="J530" s="123"/>
      <c r="K530" s="124"/>
      <c r="L530" s="125"/>
      <c r="M530" s="124"/>
      <c r="N530" s="124"/>
      <c r="O530" s="124"/>
      <c r="P530" s="124"/>
      <c r="Q530" s="124"/>
      <c r="R530" s="123"/>
      <c r="S530" s="123"/>
      <c r="T530" s="123"/>
      <c r="U530" s="123"/>
      <c r="V530" s="123"/>
      <c r="W530" s="123"/>
      <c r="X530" s="123"/>
      <c r="Y530" s="123"/>
      <c r="Z530" s="123"/>
      <c r="AA530" s="123"/>
      <c r="AB530" s="123"/>
      <c r="AC530" s="123"/>
      <c r="AD530" s="123"/>
      <c r="AE530" s="123"/>
      <c r="AF530" s="123"/>
      <c r="AG530" s="123"/>
      <c r="AH530" s="123"/>
      <c r="AI530" s="123"/>
      <c r="AJ530" s="123"/>
    </row>
    <row r="531" ht="15.75" customHeight="1">
      <c r="A531" s="123"/>
      <c r="B531" s="124"/>
      <c r="C531" s="124"/>
      <c r="D531" s="124"/>
      <c r="E531" s="124"/>
      <c r="F531" s="125"/>
      <c r="G531" s="124"/>
      <c r="H531" s="124"/>
      <c r="I531" s="125"/>
      <c r="J531" s="123"/>
      <c r="K531" s="124"/>
      <c r="L531" s="125"/>
      <c r="M531" s="124"/>
      <c r="N531" s="124"/>
      <c r="O531" s="124"/>
      <c r="P531" s="124"/>
      <c r="Q531" s="124"/>
      <c r="R531" s="123"/>
      <c r="S531" s="123"/>
      <c r="T531" s="123"/>
      <c r="U531" s="123"/>
      <c r="V531" s="123"/>
      <c r="W531" s="123"/>
      <c r="X531" s="123"/>
      <c r="Y531" s="123"/>
      <c r="Z531" s="123"/>
      <c r="AA531" s="123"/>
      <c r="AB531" s="123"/>
      <c r="AC531" s="123"/>
      <c r="AD531" s="123"/>
      <c r="AE531" s="123"/>
      <c r="AF531" s="123"/>
      <c r="AG531" s="123"/>
      <c r="AH531" s="123"/>
      <c r="AI531" s="123"/>
      <c r="AJ531" s="123"/>
    </row>
    <row r="532" ht="15.75" customHeight="1">
      <c r="A532" s="123"/>
      <c r="B532" s="124"/>
      <c r="C532" s="124"/>
      <c r="D532" s="124"/>
      <c r="E532" s="124"/>
      <c r="F532" s="125"/>
      <c r="G532" s="124"/>
      <c r="H532" s="124"/>
      <c r="I532" s="125"/>
      <c r="J532" s="123"/>
      <c r="K532" s="124"/>
      <c r="L532" s="125"/>
      <c r="M532" s="124"/>
      <c r="N532" s="124"/>
      <c r="O532" s="124"/>
      <c r="P532" s="124"/>
      <c r="Q532" s="124"/>
      <c r="R532" s="123"/>
      <c r="S532" s="123"/>
      <c r="T532" s="123"/>
      <c r="U532" s="123"/>
      <c r="V532" s="123"/>
      <c r="W532" s="123"/>
      <c r="X532" s="123"/>
      <c r="Y532" s="123"/>
      <c r="Z532" s="123"/>
      <c r="AA532" s="123"/>
      <c r="AB532" s="123"/>
      <c r="AC532" s="123"/>
      <c r="AD532" s="123"/>
      <c r="AE532" s="123"/>
      <c r="AF532" s="123"/>
      <c r="AG532" s="123"/>
      <c r="AH532" s="123"/>
      <c r="AI532" s="123"/>
      <c r="AJ532" s="123"/>
    </row>
    <row r="533" ht="15.75" customHeight="1">
      <c r="A533" s="123"/>
      <c r="B533" s="124"/>
      <c r="C533" s="124"/>
      <c r="D533" s="124"/>
      <c r="E533" s="124"/>
      <c r="F533" s="125"/>
      <c r="G533" s="124"/>
      <c r="H533" s="124"/>
      <c r="I533" s="125"/>
      <c r="J533" s="123"/>
      <c r="K533" s="124"/>
      <c r="L533" s="125"/>
      <c r="M533" s="124"/>
      <c r="N533" s="124"/>
      <c r="O533" s="124"/>
      <c r="P533" s="124"/>
      <c r="Q533" s="124"/>
      <c r="R533" s="123"/>
      <c r="S533" s="123"/>
      <c r="T533" s="123"/>
      <c r="U533" s="123"/>
      <c r="V533" s="123"/>
      <c r="W533" s="123"/>
      <c r="X533" s="123"/>
      <c r="Y533" s="123"/>
      <c r="Z533" s="123"/>
      <c r="AA533" s="123"/>
      <c r="AB533" s="123"/>
      <c r="AC533" s="123"/>
      <c r="AD533" s="123"/>
      <c r="AE533" s="123"/>
      <c r="AF533" s="123"/>
      <c r="AG533" s="123"/>
      <c r="AH533" s="123"/>
      <c r="AI533" s="123"/>
      <c r="AJ533" s="123"/>
    </row>
    <row r="534" ht="15.75" customHeight="1">
      <c r="A534" s="123"/>
      <c r="B534" s="124"/>
      <c r="C534" s="124"/>
      <c r="D534" s="124"/>
      <c r="E534" s="124"/>
      <c r="F534" s="125"/>
      <c r="G534" s="124"/>
      <c r="H534" s="124"/>
      <c r="I534" s="125"/>
      <c r="J534" s="123"/>
      <c r="K534" s="124"/>
      <c r="L534" s="125"/>
      <c r="M534" s="124"/>
      <c r="N534" s="124"/>
      <c r="O534" s="124"/>
      <c r="P534" s="124"/>
      <c r="Q534" s="124"/>
      <c r="R534" s="123"/>
      <c r="S534" s="123"/>
      <c r="T534" s="123"/>
      <c r="U534" s="123"/>
      <c r="V534" s="123"/>
      <c r="W534" s="123"/>
      <c r="X534" s="123"/>
      <c r="Y534" s="123"/>
      <c r="Z534" s="123"/>
      <c r="AA534" s="123"/>
      <c r="AB534" s="123"/>
      <c r="AC534" s="123"/>
      <c r="AD534" s="123"/>
      <c r="AE534" s="123"/>
      <c r="AF534" s="123"/>
      <c r="AG534" s="123"/>
      <c r="AH534" s="123"/>
      <c r="AI534" s="123"/>
      <c r="AJ534" s="123"/>
    </row>
    <row r="535" ht="15.75" customHeight="1">
      <c r="A535" s="123"/>
      <c r="B535" s="124"/>
      <c r="C535" s="124"/>
      <c r="D535" s="124"/>
      <c r="E535" s="124"/>
      <c r="F535" s="125"/>
      <c r="G535" s="124"/>
      <c r="H535" s="124"/>
      <c r="I535" s="125"/>
      <c r="J535" s="123"/>
      <c r="K535" s="124"/>
      <c r="L535" s="125"/>
      <c r="M535" s="124"/>
      <c r="N535" s="124"/>
      <c r="O535" s="124"/>
      <c r="P535" s="124"/>
      <c r="Q535" s="124"/>
      <c r="R535" s="123"/>
      <c r="S535" s="123"/>
      <c r="T535" s="123"/>
      <c r="U535" s="123"/>
      <c r="V535" s="123"/>
      <c r="W535" s="123"/>
      <c r="X535" s="123"/>
      <c r="Y535" s="123"/>
      <c r="Z535" s="123"/>
      <c r="AA535" s="123"/>
      <c r="AB535" s="123"/>
      <c r="AC535" s="123"/>
      <c r="AD535" s="123"/>
      <c r="AE535" s="123"/>
      <c r="AF535" s="123"/>
      <c r="AG535" s="123"/>
      <c r="AH535" s="123"/>
      <c r="AI535" s="123"/>
      <c r="AJ535" s="123"/>
    </row>
    <row r="536" ht="15.75" customHeight="1">
      <c r="A536" s="123"/>
      <c r="B536" s="124"/>
      <c r="C536" s="124"/>
      <c r="D536" s="124"/>
      <c r="E536" s="124"/>
      <c r="F536" s="125"/>
      <c r="G536" s="124"/>
      <c r="H536" s="124"/>
      <c r="I536" s="125"/>
      <c r="J536" s="123"/>
      <c r="K536" s="124"/>
      <c r="L536" s="125"/>
      <c r="M536" s="124"/>
      <c r="N536" s="124"/>
      <c r="O536" s="124"/>
      <c r="P536" s="124"/>
      <c r="Q536" s="124"/>
      <c r="R536" s="123"/>
      <c r="S536" s="123"/>
      <c r="T536" s="123"/>
      <c r="U536" s="123"/>
      <c r="V536" s="123"/>
      <c r="W536" s="123"/>
      <c r="X536" s="123"/>
      <c r="Y536" s="123"/>
      <c r="Z536" s="123"/>
      <c r="AA536" s="123"/>
      <c r="AB536" s="123"/>
      <c r="AC536" s="123"/>
      <c r="AD536" s="123"/>
      <c r="AE536" s="123"/>
      <c r="AF536" s="123"/>
      <c r="AG536" s="123"/>
      <c r="AH536" s="123"/>
      <c r="AI536" s="123"/>
      <c r="AJ536" s="123"/>
    </row>
    <row r="537" ht="15.75" customHeight="1">
      <c r="A537" s="123"/>
      <c r="B537" s="124"/>
      <c r="C537" s="124"/>
      <c r="D537" s="124"/>
      <c r="E537" s="124"/>
      <c r="F537" s="125"/>
      <c r="G537" s="124"/>
      <c r="H537" s="124"/>
      <c r="I537" s="125"/>
      <c r="J537" s="123"/>
      <c r="K537" s="124"/>
      <c r="L537" s="125"/>
      <c r="M537" s="124"/>
      <c r="N537" s="124"/>
      <c r="O537" s="124"/>
      <c r="P537" s="124"/>
      <c r="Q537" s="124"/>
      <c r="R537" s="123"/>
      <c r="S537" s="123"/>
      <c r="T537" s="123"/>
      <c r="U537" s="123"/>
      <c r="V537" s="123"/>
      <c r="W537" s="123"/>
      <c r="X537" s="123"/>
      <c r="Y537" s="123"/>
      <c r="Z537" s="123"/>
      <c r="AA537" s="123"/>
      <c r="AB537" s="123"/>
      <c r="AC537" s="123"/>
      <c r="AD537" s="123"/>
      <c r="AE537" s="123"/>
      <c r="AF537" s="123"/>
      <c r="AG537" s="123"/>
      <c r="AH537" s="123"/>
      <c r="AI537" s="123"/>
      <c r="AJ537" s="123"/>
    </row>
    <row r="538" ht="15.75" customHeight="1">
      <c r="A538" s="123"/>
      <c r="B538" s="124"/>
      <c r="C538" s="124"/>
      <c r="D538" s="124"/>
      <c r="E538" s="124"/>
      <c r="F538" s="125"/>
      <c r="G538" s="124"/>
      <c r="H538" s="124"/>
      <c r="I538" s="125"/>
      <c r="J538" s="123"/>
      <c r="K538" s="124"/>
      <c r="L538" s="125"/>
      <c r="M538" s="124"/>
      <c r="N538" s="124"/>
      <c r="O538" s="124"/>
      <c r="P538" s="124"/>
      <c r="Q538" s="124"/>
      <c r="R538" s="123"/>
      <c r="S538" s="123"/>
      <c r="T538" s="123"/>
      <c r="U538" s="123"/>
      <c r="V538" s="123"/>
      <c r="W538" s="123"/>
      <c r="X538" s="123"/>
      <c r="Y538" s="123"/>
      <c r="Z538" s="123"/>
      <c r="AA538" s="123"/>
      <c r="AB538" s="123"/>
      <c r="AC538" s="123"/>
      <c r="AD538" s="123"/>
      <c r="AE538" s="123"/>
      <c r="AF538" s="123"/>
      <c r="AG538" s="123"/>
      <c r="AH538" s="123"/>
      <c r="AI538" s="123"/>
      <c r="AJ538" s="123"/>
    </row>
    <row r="539" ht="15.75" customHeight="1">
      <c r="A539" s="123"/>
      <c r="B539" s="124"/>
      <c r="C539" s="124"/>
      <c r="D539" s="124"/>
      <c r="E539" s="124"/>
      <c r="F539" s="125"/>
      <c r="G539" s="124"/>
      <c r="H539" s="124"/>
      <c r="I539" s="125"/>
      <c r="J539" s="123"/>
      <c r="K539" s="124"/>
      <c r="L539" s="125"/>
      <c r="M539" s="124"/>
      <c r="N539" s="124"/>
      <c r="O539" s="124"/>
      <c r="P539" s="124"/>
      <c r="Q539" s="124"/>
      <c r="R539" s="123"/>
      <c r="S539" s="123"/>
      <c r="T539" s="123"/>
      <c r="U539" s="123"/>
      <c r="V539" s="123"/>
      <c r="W539" s="123"/>
      <c r="X539" s="123"/>
      <c r="Y539" s="123"/>
      <c r="Z539" s="123"/>
      <c r="AA539" s="123"/>
      <c r="AB539" s="123"/>
      <c r="AC539" s="123"/>
      <c r="AD539" s="123"/>
      <c r="AE539" s="123"/>
      <c r="AF539" s="123"/>
      <c r="AG539" s="123"/>
      <c r="AH539" s="123"/>
      <c r="AI539" s="123"/>
      <c r="AJ539" s="123"/>
    </row>
    <row r="540" ht="15.75" customHeight="1">
      <c r="A540" s="123"/>
      <c r="B540" s="124"/>
      <c r="C540" s="124"/>
      <c r="D540" s="124"/>
      <c r="E540" s="124"/>
      <c r="F540" s="125"/>
      <c r="G540" s="124"/>
      <c r="H540" s="124"/>
      <c r="I540" s="125"/>
      <c r="J540" s="123"/>
      <c r="K540" s="124"/>
      <c r="L540" s="125"/>
      <c r="M540" s="124"/>
      <c r="N540" s="124"/>
      <c r="O540" s="124"/>
      <c r="P540" s="124"/>
      <c r="Q540" s="124"/>
      <c r="R540" s="123"/>
      <c r="S540" s="123"/>
      <c r="T540" s="123"/>
      <c r="U540" s="123"/>
      <c r="V540" s="123"/>
      <c r="W540" s="123"/>
      <c r="X540" s="123"/>
      <c r="Y540" s="123"/>
      <c r="Z540" s="123"/>
      <c r="AA540" s="123"/>
      <c r="AB540" s="123"/>
      <c r="AC540" s="123"/>
      <c r="AD540" s="123"/>
      <c r="AE540" s="123"/>
      <c r="AF540" s="123"/>
      <c r="AG540" s="123"/>
      <c r="AH540" s="123"/>
      <c r="AI540" s="123"/>
      <c r="AJ540" s="123"/>
    </row>
    <row r="541" ht="15.75" customHeight="1">
      <c r="A541" s="123"/>
      <c r="B541" s="124"/>
      <c r="C541" s="124"/>
      <c r="D541" s="124"/>
      <c r="E541" s="124"/>
      <c r="F541" s="125"/>
      <c r="G541" s="124"/>
      <c r="H541" s="124"/>
      <c r="I541" s="125"/>
      <c r="J541" s="123"/>
      <c r="K541" s="124"/>
      <c r="L541" s="125"/>
      <c r="M541" s="124"/>
      <c r="N541" s="124"/>
      <c r="O541" s="124"/>
      <c r="P541" s="124"/>
      <c r="Q541" s="124"/>
      <c r="R541" s="123"/>
      <c r="S541" s="123"/>
      <c r="T541" s="123"/>
      <c r="U541" s="123"/>
      <c r="V541" s="123"/>
      <c r="W541" s="123"/>
      <c r="X541" s="123"/>
      <c r="Y541" s="123"/>
      <c r="Z541" s="123"/>
      <c r="AA541" s="123"/>
      <c r="AB541" s="123"/>
      <c r="AC541" s="123"/>
      <c r="AD541" s="123"/>
      <c r="AE541" s="123"/>
      <c r="AF541" s="123"/>
      <c r="AG541" s="123"/>
      <c r="AH541" s="123"/>
      <c r="AI541" s="123"/>
      <c r="AJ541" s="123"/>
    </row>
    <row r="542" ht="15.75" customHeight="1">
      <c r="A542" s="123"/>
      <c r="B542" s="124"/>
      <c r="C542" s="124"/>
      <c r="D542" s="124"/>
      <c r="E542" s="124"/>
      <c r="F542" s="125"/>
      <c r="G542" s="124"/>
      <c r="H542" s="124"/>
      <c r="I542" s="125"/>
      <c r="J542" s="123"/>
      <c r="K542" s="124"/>
      <c r="L542" s="125"/>
      <c r="M542" s="124"/>
      <c r="N542" s="124"/>
      <c r="O542" s="124"/>
      <c r="P542" s="124"/>
      <c r="Q542" s="124"/>
      <c r="R542" s="123"/>
      <c r="S542" s="123"/>
      <c r="T542" s="123"/>
      <c r="U542" s="123"/>
      <c r="V542" s="123"/>
      <c r="W542" s="123"/>
      <c r="X542" s="123"/>
      <c r="Y542" s="123"/>
      <c r="Z542" s="123"/>
      <c r="AA542" s="123"/>
      <c r="AB542" s="123"/>
      <c r="AC542" s="123"/>
      <c r="AD542" s="123"/>
      <c r="AE542" s="123"/>
      <c r="AF542" s="123"/>
      <c r="AG542" s="123"/>
      <c r="AH542" s="123"/>
      <c r="AI542" s="123"/>
      <c r="AJ542" s="123"/>
    </row>
    <row r="543" ht="15.75" customHeight="1">
      <c r="A543" s="123"/>
      <c r="B543" s="124"/>
      <c r="C543" s="124"/>
      <c r="D543" s="124"/>
      <c r="E543" s="124"/>
      <c r="F543" s="125"/>
      <c r="G543" s="124"/>
      <c r="H543" s="124"/>
      <c r="I543" s="125"/>
      <c r="J543" s="123"/>
      <c r="K543" s="124"/>
      <c r="L543" s="125"/>
      <c r="M543" s="124"/>
      <c r="N543" s="124"/>
      <c r="O543" s="124"/>
      <c r="P543" s="124"/>
      <c r="Q543" s="124"/>
      <c r="R543" s="123"/>
      <c r="S543" s="123"/>
      <c r="T543" s="123"/>
      <c r="U543" s="123"/>
      <c r="V543" s="123"/>
      <c r="W543" s="123"/>
      <c r="X543" s="123"/>
      <c r="Y543" s="123"/>
      <c r="Z543" s="123"/>
      <c r="AA543" s="123"/>
      <c r="AB543" s="123"/>
      <c r="AC543" s="123"/>
      <c r="AD543" s="123"/>
      <c r="AE543" s="123"/>
      <c r="AF543" s="123"/>
      <c r="AG543" s="123"/>
      <c r="AH543" s="123"/>
      <c r="AI543" s="123"/>
      <c r="AJ543" s="123"/>
    </row>
    <row r="544" ht="15.75" customHeight="1">
      <c r="A544" s="123"/>
      <c r="B544" s="124"/>
      <c r="C544" s="124"/>
      <c r="D544" s="124"/>
      <c r="E544" s="124"/>
      <c r="F544" s="125"/>
      <c r="G544" s="124"/>
      <c r="H544" s="124"/>
      <c r="I544" s="125"/>
      <c r="J544" s="123"/>
      <c r="K544" s="124"/>
      <c r="L544" s="125"/>
      <c r="M544" s="124"/>
      <c r="N544" s="124"/>
      <c r="O544" s="124"/>
      <c r="P544" s="124"/>
      <c r="Q544" s="124"/>
      <c r="R544" s="123"/>
      <c r="S544" s="123"/>
      <c r="T544" s="123"/>
      <c r="U544" s="123"/>
      <c r="V544" s="123"/>
      <c r="W544" s="123"/>
      <c r="X544" s="123"/>
      <c r="Y544" s="123"/>
      <c r="Z544" s="123"/>
      <c r="AA544" s="123"/>
      <c r="AB544" s="123"/>
      <c r="AC544" s="123"/>
      <c r="AD544" s="123"/>
      <c r="AE544" s="123"/>
      <c r="AF544" s="123"/>
      <c r="AG544" s="123"/>
      <c r="AH544" s="123"/>
      <c r="AI544" s="123"/>
      <c r="AJ544" s="123"/>
    </row>
    <row r="545" ht="15.75" customHeight="1">
      <c r="A545" s="123"/>
      <c r="B545" s="124"/>
      <c r="C545" s="124"/>
      <c r="D545" s="124"/>
      <c r="E545" s="124"/>
      <c r="F545" s="125"/>
      <c r="G545" s="124"/>
      <c r="H545" s="124"/>
      <c r="I545" s="125"/>
      <c r="J545" s="123"/>
      <c r="K545" s="124"/>
      <c r="L545" s="125"/>
      <c r="M545" s="124"/>
      <c r="N545" s="124"/>
      <c r="O545" s="124"/>
      <c r="P545" s="124"/>
      <c r="Q545" s="124"/>
      <c r="R545" s="123"/>
      <c r="S545" s="123"/>
      <c r="T545" s="123"/>
      <c r="U545" s="123"/>
      <c r="V545" s="123"/>
      <c r="W545" s="123"/>
      <c r="X545" s="123"/>
      <c r="Y545" s="123"/>
      <c r="Z545" s="123"/>
      <c r="AA545" s="123"/>
      <c r="AB545" s="123"/>
      <c r="AC545" s="123"/>
      <c r="AD545" s="123"/>
      <c r="AE545" s="123"/>
      <c r="AF545" s="123"/>
      <c r="AG545" s="123"/>
      <c r="AH545" s="123"/>
      <c r="AI545" s="123"/>
      <c r="AJ545" s="123"/>
    </row>
    <row r="546" ht="15.75" customHeight="1">
      <c r="A546" s="123"/>
      <c r="B546" s="124"/>
      <c r="C546" s="124"/>
      <c r="D546" s="124"/>
      <c r="E546" s="124"/>
      <c r="F546" s="125"/>
      <c r="G546" s="124"/>
      <c r="H546" s="124"/>
      <c r="I546" s="125"/>
      <c r="J546" s="123"/>
      <c r="K546" s="124"/>
      <c r="L546" s="125"/>
      <c r="M546" s="124"/>
      <c r="N546" s="124"/>
      <c r="O546" s="124"/>
      <c r="P546" s="124"/>
      <c r="Q546" s="124"/>
      <c r="R546" s="123"/>
      <c r="S546" s="123"/>
      <c r="T546" s="123"/>
      <c r="U546" s="123"/>
      <c r="V546" s="123"/>
      <c r="W546" s="123"/>
      <c r="X546" s="123"/>
      <c r="Y546" s="123"/>
      <c r="Z546" s="123"/>
      <c r="AA546" s="123"/>
      <c r="AB546" s="123"/>
      <c r="AC546" s="123"/>
      <c r="AD546" s="123"/>
      <c r="AE546" s="123"/>
      <c r="AF546" s="123"/>
      <c r="AG546" s="123"/>
      <c r="AH546" s="123"/>
      <c r="AI546" s="123"/>
      <c r="AJ546" s="123"/>
    </row>
    <row r="547" ht="15.75" customHeight="1">
      <c r="A547" s="123"/>
      <c r="B547" s="124"/>
      <c r="C547" s="124"/>
      <c r="D547" s="124"/>
      <c r="E547" s="124"/>
      <c r="F547" s="125"/>
      <c r="G547" s="124"/>
      <c r="H547" s="124"/>
      <c r="I547" s="125"/>
      <c r="J547" s="123"/>
      <c r="K547" s="124"/>
      <c r="L547" s="125"/>
      <c r="M547" s="124"/>
      <c r="N547" s="124"/>
      <c r="O547" s="124"/>
      <c r="P547" s="124"/>
      <c r="Q547" s="124"/>
      <c r="R547" s="123"/>
      <c r="S547" s="123"/>
      <c r="T547" s="123"/>
      <c r="U547" s="123"/>
      <c r="V547" s="123"/>
      <c r="W547" s="123"/>
      <c r="X547" s="123"/>
      <c r="Y547" s="123"/>
      <c r="Z547" s="123"/>
      <c r="AA547" s="123"/>
      <c r="AB547" s="123"/>
      <c r="AC547" s="123"/>
      <c r="AD547" s="123"/>
      <c r="AE547" s="123"/>
      <c r="AF547" s="123"/>
      <c r="AG547" s="123"/>
      <c r="AH547" s="123"/>
      <c r="AI547" s="123"/>
      <c r="AJ547" s="123"/>
    </row>
    <row r="548" ht="15.75" customHeight="1">
      <c r="A548" s="123"/>
      <c r="B548" s="124"/>
      <c r="C548" s="124"/>
      <c r="D548" s="124"/>
      <c r="E548" s="124"/>
      <c r="F548" s="125"/>
      <c r="G548" s="124"/>
      <c r="H548" s="124"/>
      <c r="I548" s="125"/>
      <c r="J548" s="123"/>
      <c r="K548" s="124"/>
      <c r="L548" s="125"/>
      <c r="M548" s="124"/>
      <c r="N548" s="124"/>
      <c r="O548" s="124"/>
      <c r="P548" s="124"/>
      <c r="Q548" s="124"/>
      <c r="R548" s="123"/>
      <c r="S548" s="123"/>
      <c r="T548" s="123"/>
      <c r="U548" s="123"/>
      <c r="V548" s="123"/>
      <c r="W548" s="123"/>
      <c r="X548" s="123"/>
      <c r="Y548" s="123"/>
      <c r="Z548" s="123"/>
      <c r="AA548" s="123"/>
      <c r="AB548" s="123"/>
      <c r="AC548" s="123"/>
      <c r="AD548" s="123"/>
      <c r="AE548" s="123"/>
      <c r="AF548" s="123"/>
      <c r="AG548" s="123"/>
      <c r="AH548" s="123"/>
      <c r="AI548" s="123"/>
      <c r="AJ548" s="123"/>
    </row>
    <row r="549" ht="15.75" customHeight="1">
      <c r="A549" s="123"/>
      <c r="B549" s="124"/>
      <c r="C549" s="124"/>
      <c r="D549" s="124"/>
      <c r="E549" s="124"/>
      <c r="F549" s="125"/>
      <c r="G549" s="124"/>
      <c r="H549" s="124"/>
      <c r="I549" s="125"/>
      <c r="J549" s="123"/>
      <c r="K549" s="124"/>
      <c r="L549" s="125"/>
      <c r="M549" s="124"/>
      <c r="N549" s="124"/>
      <c r="O549" s="124"/>
      <c r="P549" s="124"/>
      <c r="Q549" s="124"/>
      <c r="R549" s="123"/>
      <c r="S549" s="123"/>
      <c r="T549" s="123"/>
      <c r="U549" s="123"/>
      <c r="V549" s="123"/>
      <c r="W549" s="123"/>
      <c r="X549" s="123"/>
      <c r="Y549" s="123"/>
      <c r="Z549" s="123"/>
      <c r="AA549" s="123"/>
      <c r="AB549" s="123"/>
      <c r="AC549" s="123"/>
      <c r="AD549" s="123"/>
      <c r="AE549" s="123"/>
      <c r="AF549" s="123"/>
      <c r="AG549" s="123"/>
      <c r="AH549" s="123"/>
      <c r="AI549" s="123"/>
      <c r="AJ549" s="123"/>
    </row>
    <row r="550" ht="15.75" customHeight="1">
      <c r="A550" s="123"/>
      <c r="B550" s="124"/>
      <c r="C550" s="124"/>
      <c r="D550" s="124"/>
      <c r="E550" s="124"/>
      <c r="F550" s="125"/>
      <c r="G550" s="124"/>
      <c r="H550" s="124"/>
      <c r="I550" s="125"/>
      <c r="J550" s="123"/>
      <c r="K550" s="124"/>
      <c r="L550" s="125"/>
      <c r="M550" s="124"/>
      <c r="N550" s="124"/>
      <c r="O550" s="124"/>
      <c r="P550" s="124"/>
      <c r="Q550" s="124"/>
      <c r="R550" s="123"/>
      <c r="S550" s="123"/>
      <c r="T550" s="123"/>
      <c r="U550" s="123"/>
      <c r="V550" s="123"/>
      <c r="W550" s="123"/>
      <c r="X550" s="123"/>
      <c r="Y550" s="123"/>
      <c r="Z550" s="123"/>
      <c r="AA550" s="123"/>
      <c r="AB550" s="123"/>
      <c r="AC550" s="123"/>
      <c r="AD550" s="123"/>
      <c r="AE550" s="123"/>
      <c r="AF550" s="123"/>
      <c r="AG550" s="123"/>
      <c r="AH550" s="123"/>
      <c r="AI550" s="123"/>
      <c r="AJ550" s="123"/>
    </row>
    <row r="551" ht="15.75" customHeight="1">
      <c r="A551" s="123"/>
      <c r="B551" s="124"/>
      <c r="C551" s="124"/>
      <c r="D551" s="124"/>
      <c r="E551" s="124"/>
      <c r="F551" s="125"/>
      <c r="G551" s="124"/>
      <c r="H551" s="124"/>
      <c r="I551" s="125"/>
      <c r="J551" s="123"/>
      <c r="K551" s="124"/>
      <c r="L551" s="125"/>
      <c r="M551" s="124"/>
      <c r="N551" s="124"/>
      <c r="O551" s="124"/>
      <c r="P551" s="124"/>
      <c r="Q551" s="124"/>
      <c r="R551" s="123"/>
      <c r="S551" s="123"/>
      <c r="T551" s="123"/>
      <c r="U551" s="123"/>
      <c r="V551" s="123"/>
      <c r="W551" s="123"/>
      <c r="X551" s="123"/>
      <c r="Y551" s="123"/>
      <c r="Z551" s="123"/>
      <c r="AA551" s="123"/>
      <c r="AB551" s="123"/>
      <c r="AC551" s="123"/>
      <c r="AD551" s="123"/>
      <c r="AE551" s="123"/>
      <c r="AF551" s="123"/>
      <c r="AG551" s="123"/>
      <c r="AH551" s="123"/>
      <c r="AI551" s="123"/>
      <c r="AJ551" s="123"/>
    </row>
    <row r="552" ht="15.75" customHeight="1">
      <c r="A552" s="123"/>
      <c r="B552" s="124"/>
      <c r="C552" s="124"/>
      <c r="D552" s="124"/>
      <c r="E552" s="124"/>
      <c r="F552" s="125"/>
      <c r="G552" s="124"/>
      <c r="H552" s="124"/>
      <c r="I552" s="125"/>
      <c r="J552" s="123"/>
      <c r="K552" s="124"/>
      <c r="L552" s="125"/>
      <c r="M552" s="124"/>
      <c r="N552" s="124"/>
      <c r="O552" s="124"/>
      <c r="P552" s="124"/>
      <c r="Q552" s="124"/>
      <c r="R552" s="123"/>
      <c r="S552" s="123"/>
      <c r="T552" s="123"/>
      <c r="U552" s="123"/>
      <c r="V552" s="123"/>
      <c r="W552" s="123"/>
      <c r="X552" s="123"/>
      <c r="Y552" s="123"/>
      <c r="Z552" s="123"/>
      <c r="AA552" s="123"/>
      <c r="AB552" s="123"/>
      <c r="AC552" s="123"/>
      <c r="AD552" s="123"/>
      <c r="AE552" s="123"/>
      <c r="AF552" s="123"/>
      <c r="AG552" s="123"/>
      <c r="AH552" s="123"/>
      <c r="AI552" s="123"/>
      <c r="AJ552" s="123"/>
    </row>
    <row r="553" ht="15.75" customHeight="1">
      <c r="A553" s="123"/>
      <c r="B553" s="124"/>
      <c r="C553" s="124"/>
      <c r="D553" s="124"/>
      <c r="E553" s="124"/>
      <c r="F553" s="125"/>
      <c r="G553" s="124"/>
      <c r="H553" s="124"/>
      <c r="I553" s="125"/>
      <c r="J553" s="123"/>
      <c r="K553" s="124"/>
      <c r="L553" s="125"/>
      <c r="M553" s="124"/>
      <c r="N553" s="124"/>
      <c r="O553" s="124"/>
      <c r="P553" s="124"/>
      <c r="Q553" s="124"/>
      <c r="R553" s="123"/>
      <c r="S553" s="123"/>
      <c r="T553" s="123"/>
      <c r="U553" s="123"/>
      <c r="V553" s="123"/>
      <c r="W553" s="123"/>
      <c r="X553" s="123"/>
      <c r="Y553" s="123"/>
      <c r="Z553" s="123"/>
      <c r="AA553" s="123"/>
      <c r="AB553" s="123"/>
      <c r="AC553" s="123"/>
      <c r="AD553" s="123"/>
      <c r="AE553" s="123"/>
      <c r="AF553" s="123"/>
      <c r="AG553" s="123"/>
      <c r="AH553" s="123"/>
      <c r="AI553" s="123"/>
      <c r="AJ553" s="123"/>
    </row>
    <row r="554" ht="15.75" customHeight="1">
      <c r="A554" s="123"/>
      <c r="B554" s="124"/>
      <c r="C554" s="124"/>
      <c r="D554" s="124"/>
      <c r="E554" s="124"/>
      <c r="F554" s="125"/>
      <c r="G554" s="124"/>
      <c r="H554" s="124"/>
      <c r="I554" s="125"/>
      <c r="J554" s="123"/>
      <c r="K554" s="124"/>
      <c r="L554" s="125"/>
      <c r="M554" s="124"/>
      <c r="N554" s="124"/>
      <c r="O554" s="124"/>
      <c r="P554" s="124"/>
      <c r="Q554" s="124"/>
      <c r="R554" s="123"/>
      <c r="S554" s="123"/>
      <c r="T554" s="123"/>
      <c r="U554" s="123"/>
      <c r="V554" s="123"/>
      <c r="W554" s="123"/>
      <c r="X554" s="123"/>
      <c r="Y554" s="123"/>
      <c r="Z554" s="123"/>
      <c r="AA554" s="123"/>
      <c r="AB554" s="123"/>
      <c r="AC554" s="123"/>
      <c r="AD554" s="123"/>
      <c r="AE554" s="123"/>
      <c r="AF554" s="123"/>
      <c r="AG554" s="123"/>
      <c r="AH554" s="123"/>
      <c r="AI554" s="123"/>
      <c r="AJ554" s="123"/>
    </row>
    <row r="555" ht="15.75" customHeight="1">
      <c r="A555" s="123"/>
      <c r="B555" s="124"/>
      <c r="C555" s="124"/>
      <c r="D555" s="124"/>
      <c r="E555" s="124"/>
      <c r="F555" s="125"/>
      <c r="G555" s="124"/>
      <c r="H555" s="124"/>
      <c r="I555" s="125"/>
      <c r="J555" s="123"/>
      <c r="K555" s="124"/>
      <c r="L555" s="125"/>
      <c r="M555" s="124"/>
      <c r="N555" s="124"/>
      <c r="O555" s="124"/>
      <c r="P555" s="124"/>
      <c r="Q555" s="124"/>
      <c r="R555" s="123"/>
      <c r="S555" s="123"/>
      <c r="T555" s="123"/>
      <c r="U555" s="123"/>
      <c r="V555" s="123"/>
      <c r="W555" s="123"/>
      <c r="X555" s="123"/>
      <c r="Y555" s="123"/>
      <c r="Z555" s="123"/>
      <c r="AA555" s="123"/>
      <c r="AB555" s="123"/>
      <c r="AC555" s="123"/>
      <c r="AD555" s="123"/>
      <c r="AE555" s="123"/>
      <c r="AF555" s="123"/>
      <c r="AG555" s="123"/>
      <c r="AH555" s="123"/>
      <c r="AI555" s="123"/>
      <c r="AJ555" s="123"/>
    </row>
    <row r="556" ht="15.75" customHeight="1">
      <c r="A556" s="123"/>
      <c r="B556" s="124"/>
      <c r="C556" s="124"/>
      <c r="D556" s="124"/>
      <c r="E556" s="124"/>
      <c r="F556" s="125"/>
      <c r="G556" s="124"/>
      <c r="H556" s="124"/>
      <c r="I556" s="125"/>
      <c r="J556" s="123"/>
      <c r="K556" s="124"/>
      <c r="L556" s="125"/>
      <c r="M556" s="124"/>
      <c r="N556" s="124"/>
      <c r="O556" s="124"/>
      <c r="P556" s="124"/>
      <c r="Q556" s="124"/>
      <c r="R556" s="123"/>
      <c r="S556" s="123"/>
      <c r="T556" s="123"/>
      <c r="U556" s="123"/>
      <c r="V556" s="123"/>
      <c r="W556" s="123"/>
      <c r="X556" s="123"/>
      <c r="Y556" s="123"/>
      <c r="Z556" s="123"/>
      <c r="AA556" s="123"/>
      <c r="AB556" s="123"/>
      <c r="AC556" s="123"/>
      <c r="AD556" s="123"/>
      <c r="AE556" s="123"/>
      <c r="AF556" s="123"/>
      <c r="AG556" s="123"/>
      <c r="AH556" s="123"/>
      <c r="AI556" s="123"/>
      <c r="AJ556" s="123"/>
    </row>
    <row r="557" ht="15.75" customHeight="1">
      <c r="A557" s="123"/>
      <c r="B557" s="124"/>
      <c r="C557" s="124"/>
      <c r="D557" s="124"/>
      <c r="E557" s="124"/>
      <c r="F557" s="125"/>
      <c r="G557" s="124"/>
      <c r="H557" s="124"/>
      <c r="I557" s="125"/>
      <c r="J557" s="123"/>
      <c r="K557" s="124"/>
      <c r="L557" s="125"/>
      <c r="M557" s="124"/>
      <c r="N557" s="124"/>
      <c r="O557" s="124"/>
      <c r="P557" s="124"/>
      <c r="Q557" s="124"/>
      <c r="R557" s="123"/>
      <c r="S557" s="123"/>
      <c r="T557" s="123"/>
      <c r="U557" s="123"/>
      <c r="V557" s="123"/>
      <c r="W557" s="123"/>
      <c r="X557" s="123"/>
      <c r="Y557" s="123"/>
      <c r="Z557" s="123"/>
      <c r="AA557" s="123"/>
      <c r="AB557" s="123"/>
      <c r="AC557" s="123"/>
      <c r="AD557" s="123"/>
      <c r="AE557" s="123"/>
      <c r="AF557" s="123"/>
      <c r="AG557" s="123"/>
      <c r="AH557" s="123"/>
      <c r="AI557" s="123"/>
      <c r="AJ557" s="123"/>
    </row>
    <row r="558" ht="15.75" customHeight="1">
      <c r="A558" s="123"/>
      <c r="B558" s="124"/>
      <c r="C558" s="124"/>
      <c r="D558" s="124"/>
      <c r="E558" s="124"/>
      <c r="F558" s="125"/>
      <c r="G558" s="124"/>
      <c r="H558" s="124"/>
      <c r="I558" s="125"/>
      <c r="J558" s="123"/>
      <c r="K558" s="124"/>
      <c r="L558" s="125"/>
      <c r="M558" s="124"/>
      <c r="N558" s="124"/>
      <c r="O558" s="124"/>
      <c r="P558" s="124"/>
      <c r="Q558" s="124"/>
      <c r="R558" s="123"/>
      <c r="S558" s="123"/>
      <c r="T558" s="123"/>
      <c r="U558" s="123"/>
      <c r="V558" s="123"/>
      <c r="W558" s="123"/>
      <c r="X558" s="123"/>
      <c r="Y558" s="123"/>
      <c r="Z558" s="123"/>
      <c r="AA558" s="123"/>
      <c r="AB558" s="123"/>
      <c r="AC558" s="123"/>
      <c r="AD558" s="123"/>
      <c r="AE558" s="123"/>
      <c r="AF558" s="123"/>
      <c r="AG558" s="123"/>
      <c r="AH558" s="123"/>
      <c r="AI558" s="123"/>
      <c r="AJ558" s="123"/>
    </row>
    <row r="559" ht="15.75" customHeight="1">
      <c r="A559" s="123"/>
      <c r="B559" s="124"/>
      <c r="C559" s="124"/>
      <c r="D559" s="124"/>
      <c r="E559" s="124"/>
      <c r="F559" s="125"/>
      <c r="G559" s="124"/>
      <c r="H559" s="124"/>
      <c r="I559" s="125"/>
      <c r="J559" s="123"/>
      <c r="K559" s="124"/>
      <c r="L559" s="125"/>
      <c r="M559" s="124"/>
      <c r="N559" s="124"/>
      <c r="O559" s="124"/>
      <c r="P559" s="124"/>
      <c r="Q559" s="124"/>
      <c r="R559" s="123"/>
      <c r="S559" s="123"/>
      <c r="T559" s="123"/>
      <c r="U559" s="123"/>
      <c r="V559" s="123"/>
      <c r="W559" s="123"/>
      <c r="X559" s="123"/>
      <c r="Y559" s="123"/>
      <c r="Z559" s="123"/>
      <c r="AA559" s="123"/>
      <c r="AB559" s="123"/>
      <c r="AC559" s="123"/>
      <c r="AD559" s="123"/>
      <c r="AE559" s="123"/>
      <c r="AF559" s="123"/>
      <c r="AG559" s="123"/>
      <c r="AH559" s="123"/>
      <c r="AI559" s="123"/>
      <c r="AJ559" s="123"/>
    </row>
    <row r="560" ht="15.75" customHeight="1">
      <c r="A560" s="123"/>
      <c r="B560" s="124"/>
      <c r="C560" s="124"/>
      <c r="D560" s="124"/>
      <c r="E560" s="124"/>
      <c r="F560" s="125"/>
      <c r="G560" s="124"/>
      <c r="H560" s="124"/>
      <c r="I560" s="125"/>
      <c r="J560" s="123"/>
      <c r="K560" s="124"/>
      <c r="L560" s="125"/>
      <c r="M560" s="124"/>
      <c r="N560" s="124"/>
      <c r="O560" s="124"/>
      <c r="P560" s="124"/>
      <c r="Q560" s="124"/>
      <c r="R560" s="123"/>
      <c r="S560" s="123"/>
      <c r="T560" s="123"/>
      <c r="U560" s="123"/>
      <c r="V560" s="123"/>
      <c r="W560" s="123"/>
      <c r="X560" s="123"/>
      <c r="Y560" s="123"/>
      <c r="Z560" s="123"/>
      <c r="AA560" s="123"/>
      <c r="AB560" s="123"/>
      <c r="AC560" s="123"/>
      <c r="AD560" s="123"/>
      <c r="AE560" s="123"/>
      <c r="AF560" s="123"/>
      <c r="AG560" s="123"/>
      <c r="AH560" s="123"/>
      <c r="AI560" s="123"/>
      <c r="AJ560" s="123"/>
    </row>
    <row r="561" ht="15.75" customHeight="1">
      <c r="A561" s="123"/>
      <c r="B561" s="124"/>
      <c r="C561" s="124"/>
      <c r="D561" s="124"/>
      <c r="E561" s="124"/>
      <c r="F561" s="125"/>
      <c r="G561" s="124"/>
      <c r="H561" s="124"/>
      <c r="I561" s="125"/>
      <c r="J561" s="123"/>
      <c r="K561" s="124"/>
      <c r="L561" s="125"/>
      <c r="M561" s="124"/>
      <c r="N561" s="124"/>
      <c r="O561" s="124"/>
      <c r="P561" s="124"/>
      <c r="Q561" s="124"/>
      <c r="R561" s="123"/>
      <c r="S561" s="123"/>
      <c r="T561" s="123"/>
      <c r="U561" s="123"/>
      <c r="V561" s="123"/>
      <c r="W561" s="123"/>
      <c r="X561" s="123"/>
      <c r="Y561" s="123"/>
      <c r="Z561" s="123"/>
      <c r="AA561" s="123"/>
      <c r="AB561" s="123"/>
      <c r="AC561" s="123"/>
      <c r="AD561" s="123"/>
      <c r="AE561" s="123"/>
      <c r="AF561" s="123"/>
      <c r="AG561" s="123"/>
      <c r="AH561" s="123"/>
      <c r="AI561" s="123"/>
      <c r="AJ561" s="123"/>
    </row>
    <row r="562" ht="15.75" customHeight="1">
      <c r="A562" s="123"/>
      <c r="B562" s="124"/>
      <c r="C562" s="124"/>
      <c r="D562" s="124"/>
      <c r="E562" s="124"/>
      <c r="F562" s="125"/>
      <c r="G562" s="124"/>
      <c r="H562" s="124"/>
      <c r="I562" s="125"/>
      <c r="J562" s="123"/>
      <c r="K562" s="124"/>
      <c r="L562" s="125"/>
      <c r="M562" s="124"/>
      <c r="N562" s="124"/>
      <c r="O562" s="124"/>
      <c r="P562" s="124"/>
      <c r="Q562" s="124"/>
      <c r="R562" s="123"/>
      <c r="S562" s="123"/>
      <c r="T562" s="123"/>
      <c r="U562" s="123"/>
      <c r="V562" s="123"/>
      <c r="W562" s="123"/>
      <c r="X562" s="123"/>
      <c r="Y562" s="123"/>
      <c r="Z562" s="123"/>
      <c r="AA562" s="123"/>
      <c r="AB562" s="123"/>
      <c r="AC562" s="123"/>
      <c r="AD562" s="123"/>
      <c r="AE562" s="123"/>
      <c r="AF562" s="123"/>
      <c r="AG562" s="123"/>
      <c r="AH562" s="123"/>
      <c r="AI562" s="123"/>
      <c r="AJ562" s="123"/>
    </row>
    <row r="563" ht="15.75" customHeight="1">
      <c r="A563" s="123"/>
      <c r="B563" s="124"/>
      <c r="C563" s="124"/>
      <c r="D563" s="124"/>
      <c r="E563" s="124"/>
      <c r="F563" s="125"/>
      <c r="G563" s="124"/>
      <c r="H563" s="124"/>
      <c r="I563" s="125"/>
      <c r="J563" s="123"/>
      <c r="K563" s="124"/>
      <c r="L563" s="125"/>
      <c r="M563" s="124"/>
      <c r="N563" s="124"/>
      <c r="O563" s="124"/>
      <c r="P563" s="124"/>
      <c r="Q563" s="124"/>
      <c r="R563" s="123"/>
      <c r="S563" s="123"/>
      <c r="T563" s="123"/>
      <c r="U563" s="123"/>
      <c r="V563" s="123"/>
      <c r="W563" s="123"/>
      <c r="X563" s="123"/>
      <c r="Y563" s="123"/>
      <c r="Z563" s="123"/>
      <c r="AA563" s="123"/>
      <c r="AB563" s="123"/>
      <c r="AC563" s="123"/>
      <c r="AD563" s="123"/>
      <c r="AE563" s="123"/>
      <c r="AF563" s="123"/>
      <c r="AG563" s="123"/>
      <c r="AH563" s="123"/>
      <c r="AI563" s="123"/>
      <c r="AJ563" s="123"/>
    </row>
    <row r="564" ht="15.75" customHeight="1">
      <c r="A564" s="123"/>
      <c r="B564" s="124"/>
      <c r="C564" s="124"/>
      <c r="D564" s="124"/>
      <c r="E564" s="124"/>
      <c r="F564" s="125"/>
      <c r="G564" s="124"/>
      <c r="H564" s="124"/>
      <c r="I564" s="125"/>
      <c r="J564" s="123"/>
      <c r="K564" s="124"/>
      <c r="L564" s="125"/>
      <c r="M564" s="124"/>
      <c r="N564" s="124"/>
      <c r="O564" s="124"/>
      <c r="P564" s="124"/>
      <c r="Q564" s="124"/>
      <c r="R564" s="123"/>
      <c r="S564" s="123"/>
      <c r="T564" s="123"/>
      <c r="U564" s="123"/>
      <c r="V564" s="123"/>
      <c r="W564" s="123"/>
      <c r="X564" s="123"/>
      <c r="Y564" s="123"/>
      <c r="Z564" s="123"/>
      <c r="AA564" s="123"/>
      <c r="AB564" s="123"/>
      <c r="AC564" s="123"/>
      <c r="AD564" s="123"/>
      <c r="AE564" s="123"/>
      <c r="AF564" s="123"/>
      <c r="AG564" s="123"/>
      <c r="AH564" s="123"/>
      <c r="AI564" s="123"/>
      <c r="AJ564" s="123"/>
    </row>
    <row r="565" ht="15.75" customHeight="1">
      <c r="A565" s="123"/>
      <c r="B565" s="124"/>
      <c r="C565" s="124"/>
      <c r="D565" s="124"/>
      <c r="E565" s="124"/>
      <c r="F565" s="125"/>
      <c r="G565" s="124"/>
      <c r="H565" s="124"/>
      <c r="I565" s="125"/>
      <c r="J565" s="123"/>
      <c r="K565" s="124"/>
      <c r="L565" s="125"/>
      <c r="M565" s="124"/>
      <c r="N565" s="124"/>
      <c r="O565" s="124"/>
      <c r="P565" s="124"/>
      <c r="Q565" s="124"/>
      <c r="R565" s="123"/>
      <c r="S565" s="123"/>
      <c r="T565" s="123"/>
      <c r="U565" s="123"/>
      <c r="V565" s="123"/>
      <c r="W565" s="123"/>
      <c r="X565" s="123"/>
      <c r="Y565" s="123"/>
      <c r="Z565" s="123"/>
      <c r="AA565" s="123"/>
      <c r="AB565" s="123"/>
      <c r="AC565" s="123"/>
      <c r="AD565" s="123"/>
      <c r="AE565" s="123"/>
      <c r="AF565" s="123"/>
      <c r="AG565" s="123"/>
      <c r="AH565" s="123"/>
      <c r="AI565" s="123"/>
      <c r="AJ565" s="123"/>
    </row>
    <row r="566" ht="15.75" customHeight="1">
      <c r="A566" s="123"/>
      <c r="B566" s="124"/>
      <c r="C566" s="124"/>
      <c r="D566" s="124"/>
      <c r="E566" s="124"/>
      <c r="F566" s="125"/>
      <c r="G566" s="124"/>
      <c r="H566" s="124"/>
      <c r="I566" s="125"/>
      <c r="J566" s="123"/>
      <c r="K566" s="124"/>
      <c r="L566" s="125"/>
      <c r="M566" s="124"/>
      <c r="N566" s="124"/>
      <c r="O566" s="124"/>
      <c r="P566" s="124"/>
      <c r="Q566" s="124"/>
      <c r="R566" s="123"/>
      <c r="S566" s="123"/>
      <c r="T566" s="123"/>
      <c r="U566" s="123"/>
      <c r="V566" s="123"/>
      <c r="W566" s="123"/>
      <c r="X566" s="123"/>
      <c r="Y566" s="123"/>
      <c r="Z566" s="123"/>
      <c r="AA566" s="123"/>
      <c r="AB566" s="123"/>
      <c r="AC566" s="123"/>
      <c r="AD566" s="123"/>
      <c r="AE566" s="123"/>
      <c r="AF566" s="123"/>
      <c r="AG566" s="123"/>
      <c r="AH566" s="123"/>
      <c r="AI566" s="123"/>
      <c r="AJ566" s="123"/>
    </row>
    <row r="567" ht="15.75" customHeight="1">
      <c r="A567" s="123"/>
      <c r="B567" s="124"/>
      <c r="C567" s="124"/>
      <c r="D567" s="124"/>
      <c r="E567" s="124"/>
      <c r="F567" s="125"/>
      <c r="G567" s="124"/>
      <c r="H567" s="124"/>
      <c r="I567" s="125"/>
      <c r="J567" s="123"/>
      <c r="K567" s="124"/>
      <c r="L567" s="125"/>
      <c r="M567" s="124"/>
      <c r="N567" s="124"/>
      <c r="O567" s="124"/>
      <c r="P567" s="124"/>
      <c r="Q567" s="124"/>
      <c r="R567" s="123"/>
      <c r="S567" s="123"/>
      <c r="T567" s="123"/>
      <c r="U567" s="123"/>
      <c r="V567" s="123"/>
      <c r="W567" s="123"/>
      <c r="X567" s="123"/>
      <c r="Y567" s="123"/>
      <c r="Z567" s="123"/>
      <c r="AA567" s="123"/>
      <c r="AB567" s="123"/>
      <c r="AC567" s="123"/>
      <c r="AD567" s="123"/>
      <c r="AE567" s="123"/>
      <c r="AF567" s="123"/>
      <c r="AG567" s="123"/>
      <c r="AH567" s="123"/>
      <c r="AI567" s="123"/>
      <c r="AJ567" s="123"/>
    </row>
    <row r="568" ht="15.75" customHeight="1">
      <c r="A568" s="123"/>
      <c r="B568" s="124"/>
      <c r="C568" s="124"/>
      <c r="D568" s="124"/>
      <c r="E568" s="124"/>
      <c r="F568" s="125"/>
      <c r="G568" s="124"/>
      <c r="H568" s="124"/>
      <c r="I568" s="125"/>
      <c r="J568" s="123"/>
      <c r="K568" s="124"/>
      <c r="L568" s="125"/>
      <c r="M568" s="124"/>
      <c r="N568" s="124"/>
      <c r="O568" s="124"/>
      <c r="P568" s="124"/>
      <c r="Q568" s="124"/>
      <c r="R568" s="123"/>
      <c r="S568" s="123"/>
      <c r="T568" s="123"/>
      <c r="U568" s="123"/>
      <c r="V568" s="123"/>
      <c r="W568" s="123"/>
      <c r="X568" s="123"/>
      <c r="Y568" s="123"/>
      <c r="Z568" s="123"/>
      <c r="AA568" s="123"/>
      <c r="AB568" s="123"/>
      <c r="AC568" s="123"/>
      <c r="AD568" s="123"/>
      <c r="AE568" s="123"/>
      <c r="AF568" s="123"/>
      <c r="AG568" s="123"/>
      <c r="AH568" s="123"/>
      <c r="AI568" s="123"/>
      <c r="AJ568" s="123"/>
    </row>
    <row r="569" ht="15.75" customHeight="1">
      <c r="A569" s="123"/>
      <c r="B569" s="124"/>
      <c r="C569" s="124"/>
      <c r="D569" s="124"/>
      <c r="E569" s="124"/>
      <c r="F569" s="125"/>
      <c r="G569" s="124"/>
      <c r="H569" s="124"/>
      <c r="I569" s="125"/>
      <c r="J569" s="123"/>
      <c r="K569" s="124"/>
      <c r="L569" s="125"/>
      <c r="M569" s="124"/>
      <c r="N569" s="124"/>
      <c r="O569" s="124"/>
      <c r="P569" s="124"/>
      <c r="Q569" s="124"/>
      <c r="R569" s="123"/>
      <c r="S569" s="123"/>
      <c r="T569" s="123"/>
      <c r="U569" s="123"/>
      <c r="V569" s="123"/>
      <c r="W569" s="123"/>
      <c r="X569" s="123"/>
      <c r="Y569" s="123"/>
      <c r="Z569" s="123"/>
      <c r="AA569" s="123"/>
      <c r="AB569" s="123"/>
      <c r="AC569" s="123"/>
      <c r="AD569" s="123"/>
      <c r="AE569" s="123"/>
      <c r="AF569" s="123"/>
      <c r="AG569" s="123"/>
      <c r="AH569" s="123"/>
      <c r="AI569" s="123"/>
      <c r="AJ569" s="123"/>
    </row>
    <row r="570" ht="15.75" customHeight="1">
      <c r="A570" s="123"/>
      <c r="B570" s="124"/>
      <c r="C570" s="124"/>
      <c r="D570" s="124"/>
      <c r="E570" s="124"/>
      <c r="F570" s="125"/>
      <c r="G570" s="124"/>
      <c r="H570" s="124"/>
      <c r="I570" s="125"/>
      <c r="J570" s="123"/>
      <c r="K570" s="124"/>
      <c r="L570" s="125"/>
      <c r="M570" s="124"/>
      <c r="N570" s="124"/>
      <c r="O570" s="124"/>
      <c r="P570" s="124"/>
      <c r="Q570" s="124"/>
      <c r="R570" s="123"/>
      <c r="S570" s="123"/>
      <c r="T570" s="123"/>
      <c r="U570" s="123"/>
      <c r="V570" s="123"/>
      <c r="W570" s="123"/>
      <c r="X570" s="123"/>
      <c r="Y570" s="123"/>
      <c r="Z570" s="123"/>
      <c r="AA570" s="123"/>
      <c r="AB570" s="123"/>
      <c r="AC570" s="123"/>
      <c r="AD570" s="123"/>
      <c r="AE570" s="123"/>
      <c r="AF570" s="123"/>
      <c r="AG570" s="123"/>
      <c r="AH570" s="123"/>
      <c r="AI570" s="123"/>
      <c r="AJ570" s="123"/>
    </row>
    <row r="571" ht="15.75" customHeight="1">
      <c r="A571" s="123"/>
      <c r="B571" s="124"/>
      <c r="C571" s="124"/>
      <c r="D571" s="124"/>
      <c r="E571" s="124"/>
      <c r="F571" s="125"/>
      <c r="G571" s="124"/>
      <c r="H571" s="124"/>
      <c r="I571" s="125"/>
      <c r="J571" s="123"/>
      <c r="K571" s="124"/>
      <c r="L571" s="125"/>
      <c r="M571" s="124"/>
      <c r="N571" s="124"/>
      <c r="O571" s="124"/>
      <c r="P571" s="124"/>
      <c r="Q571" s="124"/>
      <c r="R571" s="123"/>
      <c r="S571" s="123"/>
      <c r="T571" s="123"/>
      <c r="U571" s="123"/>
      <c r="V571" s="123"/>
      <c r="W571" s="123"/>
      <c r="X571" s="123"/>
      <c r="Y571" s="123"/>
      <c r="Z571" s="123"/>
      <c r="AA571" s="123"/>
      <c r="AB571" s="123"/>
      <c r="AC571" s="123"/>
      <c r="AD571" s="123"/>
      <c r="AE571" s="123"/>
      <c r="AF571" s="123"/>
      <c r="AG571" s="123"/>
      <c r="AH571" s="123"/>
      <c r="AI571" s="123"/>
      <c r="AJ571" s="123"/>
    </row>
    <row r="572" ht="15.75" customHeight="1">
      <c r="A572" s="123"/>
      <c r="B572" s="124"/>
      <c r="C572" s="124"/>
      <c r="D572" s="124"/>
      <c r="E572" s="124"/>
      <c r="F572" s="125"/>
      <c r="G572" s="124"/>
      <c r="H572" s="124"/>
      <c r="I572" s="125"/>
      <c r="J572" s="123"/>
      <c r="K572" s="124"/>
      <c r="L572" s="125"/>
      <c r="M572" s="124"/>
      <c r="N572" s="124"/>
      <c r="O572" s="124"/>
      <c r="P572" s="124"/>
      <c r="Q572" s="124"/>
      <c r="R572" s="123"/>
      <c r="S572" s="123"/>
      <c r="T572" s="123"/>
      <c r="U572" s="123"/>
      <c r="V572" s="123"/>
      <c r="W572" s="123"/>
      <c r="X572" s="123"/>
      <c r="Y572" s="123"/>
      <c r="Z572" s="123"/>
      <c r="AA572" s="123"/>
      <c r="AB572" s="123"/>
      <c r="AC572" s="123"/>
      <c r="AD572" s="123"/>
      <c r="AE572" s="123"/>
      <c r="AF572" s="123"/>
      <c r="AG572" s="123"/>
      <c r="AH572" s="123"/>
      <c r="AI572" s="123"/>
      <c r="AJ572" s="123"/>
    </row>
    <row r="573" ht="15.75" customHeight="1">
      <c r="A573" s="123"/>
      <c r="B573" s="124"/>
      <c r="C573" s="124"/>
      <c r="D573" s="124"/>
      <c r="E573" s="124"/>
      <c r="F573" s="125"/>
      <c r="G573" s="124"/>
      <c r="H573" s="124"/>
      <c r="I573" s="125"/>
      <c r="J573" s="123"/>
      <c r="K573" s="124"/>
      <c r="L573" s="125"/>
      <c r="M573" s="124"/>
      <c r="N573" s="124"/>
      <c r="O573" s="124"/>
      <c r="P573" s="124"/>
      <c r="Q573" s="124"/>
      <c r="R573" s="123"/>
      <c r="S573" s="123"/>
      <c r="T573" s="123"/>
      <c r="U573" s="123"/>
      <c r="V573" s="123"/>
      <c r="W573" s="123"/>
      <c r="X573" s="123"/>
      <c r="Y573" s="123"/>
      <c r="Z573" s="123"/>
      <c r="AA573" s="123"/>
      <c r="AB573" s="123"/>
      <c r="AC573" s="123"/>
      <c r="AD573" s="123"/>
      <c r="AE573" s="123"/>
      <c r="AF573" s="123"/>
      <c r="AG573" s="123"/>
      <c r="AH573" s="123"/>
      <c r="AI573" s="123"/>
      <c r="AJ573" s="123"/>
    </row>
    <row r="574" ht="15.75" customHeight="1">
      <c r="A574" s="123"/>
      <c r="B574" s="124"/>
      <c r="C574" s="124"/>
      <c r="D574" s="124"/>
      <c r="E574" s="124"/>
      <c r="F574" s="125"/>
      <c r="G574" s="124"/>
      <c r="H574" s="124"/>
      <c r="I574" s="125"/>
      <c r="J574" s="123"/>
      <c r="K574" s="124"/>
      <c r="L574" s="125"/>
      <c r="M574" s="124"/>
      <c r="N574" s="124"/>
      <c r="O574" s="124"/>
      <c r="P574" s="124"/>
      <c r="Q574" s="124"/>
      <c r="R574" s="123"/>
      <c r="S574" s="123"/>
      <c r="T574" s="123"/>
      <c r="U574" s="123"/>
      <c r="V574" s="123"/>
      <c r="W574" s="123"/>
      <c r="X574" s="123"/>
      <c r="Y574" s="123"/>
      <c r="Z574" s="123"/>
      <c r="AA574" s="123"/>
      <c r="AB574" s="123"/>
      <c r="AC574" s="123"/>
      <c r="AD574" s="123"/>
      <c r="AE574" s="123"/>
      <c r="AF574" s="123"/>
      <c r="AG574" s="123"/>
      <c r="AH574" s="123"/>
      <c r="AI574" s="123"/>
      <c r="AJ574" s="123"/>
    </row>
    <row r="575" ht="15.75" customHeight="1">
      <c r="A575" s="123"/>
      <c r="B575" s="124"/>
      <c r="C575" s="124"/>
      <c r="D575" s="124"/>
      <c r="E575" s="124"/>
      <c r="F575" s="125"/>
      <c r="G575" s="124"/>
      <c r="H575" s="124"/>
      <c r="I575" s="125"/>
      <c r="J575" s="123"/>
      <c r="K575" s="124"/>
      <c r="L575" s="125"/>
      <c r="M575" s="124"/>
      <c r="N575" s="124"/>
      <c r="O575" s="124"/>
      <c r="P575" s="124"/>
      <c r="Q575" s="124"/>
      <c r="R575" s="123"/>
      <c r="S575" s="123"/>
      <c r="T575" s="123"/>
      <c r="U575" s="123"/>
      <c r="V575" s="123"/>
      <c r="W575" s="123"/>
      <c r="X575" s="123"/>
      <c r="Y575" s="123"/>
      <c r="Z575" s="123"/>
      <c r="AA575" s="123"/>
      <c r="AB575" s="123"/>
      <c r="AC575" s="123"/>
      <c r="AD575" s="123"/>
      <c r="AE575" s="123"/>
      <c r="AF575" s="123"/>
      <c r="AG575" s="123"/>
      <c r="AH575" s="123"/>
      <c r="AI575" s="123"/>
      <c r="AJ575" s="123"/>
    </row>
    <row r="576" ht="15.75" customHeight="1">
      <c r="A576" s="123"/>
      <c r="B576" s="124"/>
      <c r="C576" s="124"/>
      <c r="D576" s="124"/>
      <c r="E576" s="124"/>
      <c r="F576" s="125"/>
      <c r="G576" s="124"/>
      <c r="H576" s="124"/>
      <c r="I576" s="125"/>
      <c r="J576" s="123"/>
      <c r="K576" s="124"/>
      <c r="L576" s="125"/>
      <c r="M576" s="124"/>
      <c r="N576" s="124"/>
      <c r="O576" s="124"/>
      <c r="P576" s="124"/>
      <c r="Q576" s="124"/>
      <c r="R576" s="123"/>
      <c r="S576" s="123"/>
      <c r="T576" s="123"/>
      <c r="U576" s="123"/>
      <c r="V576" s="123"/>
      <c r="W576" s="123"/>
      <c r="X576" s="123"/>
      <c r="Y576" s="123"/>
      <c r="Z576" s="123"/>
      <c r="AA576" s="123"/>
      <c r="AB576" s="123"/>
      <c r="AC576" s="123"/>
      <c r="AD576" s="123"/>
      <c r="AE576" s="123"/>
      <c r="AF576" s="123"/>
      <c r="AG576" s="123"/>
      <c r="AH576" s="123"/>
      <c r="AI576" s="123"/>
      <c r="AJ576" s="123"/>
    </row>
    <row r="577" ht="15.75" customHeight="1">
      <c r="A577" s="123"/>
      <c r="B577" s="124"/>
      <c r="C577" s="124"/>
      <c r="D577" s="124"/>
      <c r="E577" s="124"/>
      <c r="F577" s="125"/>
      <c r="G577" s="124"/>
      <c r="H577" s="124"/>
      <c r="I577" s="125"/>
      <c r="J577" s="123"/>
      <c r="K577" s="124"/>
      <c r="L577" s="125"/>
      <c r="M577" s="124"/>
      <c r="N577" s="124"/>
      <c r="O577" s="124"/>
      <c r="P577" s="124"/>
      <c r="Q577" s="124"/>
      <c r="R577" s="123"/>
      <c r="S577" s="123"/>
      <c r="T577" s="123"/>
      <c r="U577" s="123"/>
      <c r="V577" s="123"/>
      <c r="W577" s="123"/>
      <c r="X577" s="123"/>
      <c r="Y577" s="123"/>
      <c r="Z577" s="123"/>
      <c r="AA577" s="123"/>
      <c r="AB577" s="123"/>
      <c r="AC577" s="123"/>
      <c r="AD577" s="123"/>
      <c r="AE577" s="123"/>
      <c r="AF577" s="123"/>
      <c r="AG577" s="123"/>
      <c r="AH577" s="123"/>
      <c r="AI577" s="123"/>
      <c r="AJ577" s="123"/>
    </row>
    <row r="578" ht="15.75" customHeight="1">
      <c r="A578" s="123"/>
      <c r="B578" s="124"/>
      <c r="C578" s="124"/>
      <c r="D578" s="124"/>
      <c r="E578" s="124"/>
      <c r="F578" s="125"/>
      <c r="G578" s="124"/>
      <c r="H578" s="124"/>
      <c r="I578" s="125"/>
      <c r="J578" s="123"/>
      <c r="K578" s="124"/>
      <c r="L578" s="125"/>
      <c r="M578" s="124"/>
      <c r="N578" s="124"/>
      <c r="O578" s="124"/>
      <c r="P578" s="124"/>
      <c r="Q578" s="124"/>
      <c r="R578" s="123"/>
      <c r="S578" s="123"/>
      <c r="T578" s="123"/>
      <c r="U578" s="123"/>
      <c r="V578" s="123"/>
      <c r="W578" s="123"/>
      <c r="X578" s="123"/>
      <c r="Y578" s="123"/>
      <c r="Z578" s="123"/>
      <c r="AA578" s="123"/>
      <c r="AB578" s="123"/>
      <c r="AC578" s="123"/>
      <c r="AD578" s="123"/>
      <c r="AE578" s="123"/>
      <c r="AF578" s="123"/>
      <c r="AG578" s="123"/>
      <c r="AH578" s="123"/>
      <c r="AI578" s="123"/>
      <c r="AJ578" s="123"/>
    </row>
    <row r="579" ht="15.75" customHeight="1">
      <c r="A579" s="123"/>
      <c r="B579" s="124"/>
      <c r="C579" s="124"/>
      <c r="D579" s="124"/>
      <c r="E579" s="124"/>
      <c r="F579" s="125"/>
      <c r="G579" s="124"/>
      <c r="H579" s="124"/>
      <c r="I579" s="125"/>
      <c r="J579" s="123"/>
      <c r="K579" s="124"/>
      <c r="L579" s="125"/>
      <c r="M579" s="124"/>
      <c r="N579" s="124"/>
      <c r="O579" s="124"/>
      <c r="P579" s="124"/>
      <c r="Q579" s="124"/>
      <c r="R579" s="123"/>
      <c r="S579" s="123"/>
      <c r="T579" s="123"/>
      <c r="U579" s="123"/>
      <c r="V579" s="123"/>
      <c r="W579" s="123"/>
      <c r="X579" s="123"/>
      <c r="Y579" s="123"/>
      <c r="Z579" s="123"/>
      <c r="AA579" s="123"/>
      <c r="AB579" s="123"/>
      <c r="AC579" s="123"/>
      <c r="AD579" s="123"/>
      <c r="AE579" s="123"/>
      <c r="AF579" s="123"/>
      <c r="AG579" s="123"/>
      <c r="AH579" s="123"/>
      <c r="AI579" s="123"/>
      <c r="AJ579" s="123"/>
    </row>
    <row r="580" ht="15.75" customHeight="1">
      <c r="A580" s="123"/>
      <c r="B580" s="124"/>
      <c r="C580" s="124"/>
      <c r="D580" s="124"/>
      <c r="E580" s="124"/>
      <c r="F580" s="125"/>
      <c r="G580" s="124"/>
      <c r="H580" s="124"/>
      <c r="I580" s="125"/>
      <c r="J580" s="123"/>
      <c r="K580" s="124"/>
      <c r="L580" s="125"/>
      <c r="M580" s="124"/>
      <c r="N580" s="124"/>
      <c r="O580" s="124"/>
      <c r="P580" s="124"/>
      <c r="Q580" s="124"/>
      <c r="R580" s="123"/>
      <c r="S580" s="123"/>
      <c r="T580" s="123"/>
      <c r="U580" s="123"/>
      <c r="V580" s="123"/>
      <c r="W580" s="123"/>
      <c r="X580" s="123"/>
      <c r="Y580" s="123"/>
      <c r="Z580" s="123"/>
      <c r="AA580" s="123"/>
      <c r="AB580" s="123"/>
      <c r="AC580" s="123"/>
      <c r="AD580" s="123"/>
      <c r="AE580" s="123"/>
      <c r="AF580" s="123"/>
      <c r="AG580" s="123"/>
      <c r="AH580" s="123"/>
      <c r="AI580" s="123"/>
      <c r="AJ580" s="123"/>
    </row>
    <row r="581" ht="15.75" customHeight="1">
      <c r="A581" s="123"/>
      <c r="B581" s="124"/>
      <c r="C581" s="124"/>
      <c r="D581" s="124"/>
      <c r="E581" s="124"/>
      <c r="F581" s="125"/>
      <c r="G581" s="124"/>
      <c r="H581" s="124"/>
      <c r="I581" s="125"/>
      <c r="J581" s="123"/>
      <c r="K581" s="124"/>
      <c r="L581" s="125"/>
      <c r="M581" s="124"/>
      <c r="N581" s="124"/>
      <c r="O581" s="124"/>
      <c r="P581" s="124"/>
      <c r="Q581" s="124"/>
      <c r="R581" s="123"/>
      <c r="S581" s="123"/>
      <c r="T581" s="123"/>
      <c r="U581" s="123"/>
      <c r="V581" s="123"/>
      <c r="W581" s="123"/>
      <c r="X581" s="123"/>
      <c r="Y581" s="123"/>
      <c r="Z581" s="123"/>
      <c r="AA581" s="123"/>
      <c r="AB581" s="123"/>
      <c r="AC581" s="123"/>
      <c r="AD581" s="123"/>
      <c r="AE581" s="123"/>
      <c r="AF581" s="123"/>
      <c r="AG581" s="123"/>
      <c r="AH581" s="123"/>
      <c r="AI581" s="123"/>
      <c r="AJ581" s="123"/>
    </row>
    <row r="582" ht="15.75" customHeight="1">
      <c r="A582" s="123"/>
      <c r="B582" s="124"/>
      <c r="C582" s="124"/>
      <c r="D582" s="124"/>
      <c r="E582" s="124"/>
      <c r="F582" s="125"/>
      <c r="G582" s="124"/>
      <c r="H582" s="124"/>
      <c r="I582" s="125"/>
      <c r="J582" s="123"/>
      <c r="K582" s="124"/>
      <c r="L582" s="125"/>
      <c r="M582" s="124"/>
      <c r="N582" s="124"/>
      <c r="O582" s="124"/>
      <c r="P582" s="124"/>
      <c r="Q582" s="124"/>
      <c r="R582" s="123"/>
      <c r="S582" s="123"/>
      <c r="T582" s="123"/>
      <c r="U582" s="123"/>
      <c r="V582" s="123"/>
      <c r="W582" s="123"/>
      <c r="X582" s="123"/>
      <c r="Y582" s="123"/>
      <c r="Z582" s="123"/>
      <c r="AA582" s="123"/>
      <c r="AB582" s="123"/>
      <c r="AC582" s="123"/>
      <c r="AD582" s="123"/>
      <c r="AE582" s="123"/>
      <c r="AF582" s="123"/>
      <c r="AG582" s="123"/>
      <c r="AH582" s="123"/>
      <c r="AI582" s="123"/>
      <c r="AJ582" s="123"/>
    </row>
    <row r="583" ht="15.75" customHeight="1">
      <c r="A583" s="123"/>
      <c r="B583" s="124"/>
      <c r="C583" s="124"/>
      <c r="D583" s="124"/>
      <c r="E583" s="124"/>
      <c r="F583" s="125"/>
      <c r="G583" s="124"/>
      <c r="H583" s="124"/>
      <c r="I583" s="125"/>
      <c r="J583" s="123"/>
      <c r="K583" s="124"/>
      <c r="L583" s="125"/>
      <c r="M583" s="124"/>
      <c r="N583" s="124"/>
      <c r="O583" s="124"/>
      <c r="P583" s="124"/>
      <c r="Q583" s="124"/>
      <c r="R583" s="123"/>
      <c r="S583" s="123"/>
      <c r="T583" s="123"/>
      <c r="U583" s="123"/>
      <c r="V583" s="123"/>
      <c r="W583" s="123"/>
      <c r="X583" s="123"/>
      <c r="Y583" s="123"/>
      <c r="Z583" s="123"/>
      <c r="AA583" s="123"/>
      <c r="AB583" s="123"/>
      <c r="AC583" s="123"/>
      <c r="AD583" s="123"/>
      <c r="AE583" s="123"/>
      <c r="AF583" s="123"/>
      <c r="AG583" s="123"/>
      <c r="AH583" s="123"/>
      <c r="AI583" s="123"/>
      <c r="AJ583" s="123"/>
    </row>
    <row r="584" ht="15.75" customHeight="1">
      <c r="A584" s="123"/>
      <c r="B584" s="124"/>
      <c r="C584" s="124"/>
      <c r="D584" s="124"/>
      <c r="E584" s="124"/>
      <c r="F584" s="125"/>
      <c r="G584" s="124"/>
      <c r="H584" s="124"/>
      <c r="I584" s="125"/>
      <c r="J584" s="123"/>
      <c r="K584" s="124"/>
      <c r="L584" s="125"/>
      <c r="M584" s="124"/>
      <c r="N584" s="124"/>
      <c r="O584" s="124"/>
      <c r="P584" s="124"/>
      <c r="Q584" s="124"/>
      <c r="R584" s="123"/>
      <c r="S584" s="123"/>
      <c r="T584" s="123"/>
      <c r="U584" s="123"/>
      <c r="V584" s="123"/>
      <c r="W584" s="123"/>
      <c r="X584" s="123"/>
      <c r="Y584" s="123"/>
      <c r="Z584" s="123"/>
      <c r="AA584" s="123"/>
      <c r="AB584" s="123"/>
      <c r="AC584" s="123"/>
      <c r="AD584" s="123"/>
      <c r="AE584" s="123"/>
      <c r="AF584" s="123"/>
      <c r="AG584" s="123"/>
      <c r="AH584" s="123"/>
      <c r="AI584" s="123"/>
      <c r="AJ584" s="123"/>
    </row>
    <row r="585" ht="15.75" customHeight="1">
      <c r="A585" s="123"/>
      <c r="B585" s="124"/>
      <c r="C585" s="124"/>
      <c r="D585" s="124"/>
      <c r="E585" s="124"/>
      <c r="F585" s="125"/>
      <c r="G585" s="124"/>
      <c r="H585" s="124"/>
      <c r="I585" s="125"/>
      <c r="J585" s="123"/>
      <c r="K585" s="124"/>
      <c r="L585" s="125"/>
      <c r="M585" s="124"/>
      <c r="N585" s="124"/>
      <c r="O585" s="124"/>
      <c r="P585" s="124"/>
      <c r="Q585" s="124"/>
      <c r="R585" s="123"/>
      <c r="S585" s="123"/>
      <c r="T585" s="123"/>
      <c r="U585" s="123"/>
      <c r="V585" s="123"/>
      <c r="W585" s="123"/>
      <c r="X585" s="123"/>
      <c r="Y585" s="123"/>
      <c r="Z585" s="123"/>
      <c r="AA585" s="123"/>
      <c r="AB585" s="123"/>
      <c r="AC585" s="123"/>
      <c r="AD585" s="123"/>
      <c r="AE585" s="123"/>
      <c r="AF585" s="123"/>
      <c r="AG585" s="123"/>
      <c r="AH585" s="123"/>
      <c r="AI585" s="123"/>
      <c r="AJ585" s="123"/>
    </row>
    <row r="586" ht="15.75" customHeight="1">
      <c r="A586" s="123"/>
      <c r="B586" s="124"/>
      <c r="C586" s="124"/>
      <c r="D586" s="124"/>
      <c r="E586" s="124"/>
      <c r="F586" s="125"/>
      <c r="G586" s="124"/>
      <c r="H586" s="124"/>
      <c r="I586" s="125"/>
      <c r="J586" s="123"/>
      <c r="K586" s="124"/>
      <c r="L586" s="125"/>
      <c r="M586" s="124"/>
      <c r="N586" s="124"/>
      <c r="O586" s="124"/>
      <c r="P586" s="124"/>
      <c r="Q586" s="124"/>
      <c r="R586" s="123"/>
      <c r="S586" s="123"/>
      <c r="T586" s="123"/>
      <c r="U586" s="123"/>
      <c r="V586" s="123"/>
      <c r="W586" s="123"/>
      <c r="X586" s="123"/>
      <c r="Y586" s="123"/>
      <c r="Z586" s="123"/>
      <c r="AA586" s="123"/>
      <c r="AB586" s="123"/>
      <c r="AC586" s="123"/>
      <c r="AD586" s="123"/>
      <c r="AE586" s="123"/>
      <c r="AF586" s="123"/>
      <c r="AG586" s="123"/>
      <c r="AH586" s="123"/>
      <c r="AI586" s="123"/>
      <c r="AJ586" s="123"/>
    </row>
    <row r="587" ht="15.75" customHeight="1">
      <c r="A587" s="123"/>
      <c r="B587" s="124"/>
      <c r="C587" s="124"/>
      <c r="D587" s="124"/>
      <c r="E587" s="124"/>
      <c r="F587" s="125"/>
      <c r="G587" s="124"/>
      <c r="H587" s="124"/>
      <c r="I587" s="125"/>
      <c r="J587" s="123"/>
      <c r="K587" s="124"/>
      <c r="L587" s="125"/>
      <c r="M587" s="124"/>
      <c r="N587" s="124"/>
      <c r="O587" s="124"/>
      <c r="P587" s="124"/>
      <c r="Q587" s="124"/>
      <c r="R587" s="123"/>
      <c r="S587" s="123"/>
      <c r="T587" s="123"/>
      <c r="U587" s="123"/>
      <c r="V587" s="123"/>
      <c r="W587" s="123"/>
      <c r="X587" s="123"/>
      <c r="Y587" s="123"/>
      <c r="Z587" s="123"/>
      <c r="AA587" s="123"/>
      <c r="AB587" s="123"/>
      <c r="AC587" s="123"/>
      <c r="AD587" s="123"/>
      <c r="AE587" s="123"/>
      <c r="AF587" s="123"/>
      <c r="AG587" s="123"/>
      <c r="AH587" s="123"/>
      <c r="AI587" s="123"/>
      <c r="AJ587" s="123"/>
    </row>
    <row r="588" ht="15.75" customHeight="1">
      <c r="A588" s="123"/>
      <c r="B588" s="124"/>
      <c r="C588" s="124"/>
      <c r="D588" s="124"/>
      <c r="E588" s="124"/>
      <c r="F588" s="125"/>
      <c r="G588" s="124"/>
      <c r="H588" s="124"/>
      <c r="I588" s="125"/>
      <c r="J588" s="123"/>
      <c r="K588" s="124"/>
      <c r="L588" s="125"/>
      <c r="M588" s="124"/>
      <c r="N588" s="124"/>
      <c r="O588" s="124"/>
      <c r="P588" s="124"/>
      <c r="Q588" s="124"/>
      <c r="R588" s="123"/>
      <c r="S588" s="123"/>
      <c r="T588" s="123"/>
      <c r="U588" s="123"/>
      <c r="V588" s="123"/>
      <c r="W588" s="123"/>
      <c r="X588" s="123"/>
      <c r="Y588" s="123"/>
      <c r="Z588" s="123"/>
      <c r="AA588" s="123"/>
      <c r="AB588" s="123"/>
      <c r="AC588" s="123"/>
      <c r="AD588" s="123"/>
      <c r="AE588" s="123"/>
      <c r="AF588" s="123"/>
      <c r="AG588" s="123"/>
      <c r="AH588" s="123"/>
      <c r="AI588" s="123"/>
      <c r="AJ588" s="123"/>
    </row>
    <row r="589" ht="15.75" customHeight="1">
      <c r="A589" s="123"/>
      <c r="B589" s="124"/>
      <c r="C589" s="124"/>
      <c r="D589" s="124"/>
      <c r="E589" s="124"/>
      <c r="F589" s="125"/>
      <c r="G589" s="124"/>
      <c r="H589" s="124"/>
      <c r="I589" s="125"/>
      <c r="J589" s="123"/>
      <c r="K589" s="124"/>
      <c r="L589" s="125"/>
      <c r="M589" s="124"/>
      <c r="N589" s="124"/>
      <c r="O589" s="124"/>
      <c r="P589" s="124"/>
      <c r="Q589" s="124"/>
      <c r="R589" s="123"/>
      <c r="S589" s="123"/>
      <c r="T589" s="123"/>
      <c r="U589" s="123"/>
      <c r="V589" s="123"/>
      <c r="W589" s="123"/>
      <c r="X589" s="123"/>
      <c r="Y589" s="123"/>
      <c r="Z589" s="123"/>
      <c r="AA589" s="123"/>
      <c r="AB589" s="123"/>
      <c r="AC589" s="123"/>
      <c r="AD589" s="123"/>
      <c r="AE589" s="123"/>
      <c r="AF589" s="123"/>
      <c r="AG589" s="123"/>
      <c r="AH589" s="123"/>
      <c r="AI589" s="123"/>
      <c r="AJ589" s="123"/>
    </row>
    <row r="590" ht="15.75" customHeight="1">
      <c r="A590" s="123"/>
      <c r="B590" s="124"/>
      <c r="C590" s="124"/>
      <c r="D590" s="124"/>
      <c r="E590" s="124"/>
      <c r="F590" s="125"/>
      <c r="G590" s="124"/>
      <c r="H590" s="124"/>
      <c r="I590" s="125"/>
      <c r="J590" s="123"/>
      <c r="K590" s="124"/>
      <c r="L590" s="125"/>
      <c r="M590" s="124"/>
      <c r="N590" s="124"/>
      <c r="O590" s="124"/>
      <c r="P590" s="124"/>
      <c r="Q590" s="124"/>
      <c r="R590" s="123"/>
      <c r="S590" s="123"/>
      <c r="T590" s="123"/>
      <c r="U590" s="123"/>
      <c r="V590" s="123"/>
      <c r="W590" s="123"/>
      <c r="X590" s="123"/>
      <c r="Y590" s="123"/>
      <c r="Z590" s="123"/>
      <c r="AA590" s="123"/>
      <c r="AB590" s="123"/>
      <c r="AC590" s="123"/>
      <c r="AD590" s="123"/>
      <c r="AE590" s="123"/>
      <c r="AF590" s="123"/>
      <c r="AG590" s="123"/>
      <c r="AH590" s="123"/>
      <c r="AI590" s="123"/>
      <c r="AJ590" s="123"/>
    </row>
    <row r="591" ht="15.75" customHeight="1">
      <c r="A591" s="123"/>
      <c r="B591" s="124"/>
      <c r="C591" s="124"/>
      <c r="D591" s="124"/>
      <c r="E591" s="124"/>
      <c r="F591" s="125"/>
      <c r="G591" s="124"/>
      <c r="H591" s="124"/>
      <c r="I591" s="125"/>
      <c r="J591" s="123"/>
      <c r="K591" s="124"/>
      <c r="L591" s="125"/>
      <c r="M591" s="124"/>
      <c r="N591" s="124"/>
      <c r="O591" s="124"/>
      <c r="P591" s="124"/>
      <c r="Q591" s="124"/>
      <c r="R591" s="123"/>
      <c r="S591" s="123"/>
      <c r="T591" s="123"/>
      <c r="U591" s="123"/>
      <c r="V591" s="123"/>
      <c r="W591" s="123"/>
      <c r="X591" s="123"/>
      <c r="Y591" s="123"/>
      <c r="Z591" s="123"/>
      <c r="AA591" s="123"/>
      <c r="AB591" s="123"/>
      <c r="AC591" s="123"/>
      <c r="AD591" s="123"/>
      <c r="AE591" s="123"/>
      <c r="AF591" s="123"/>
      <c r="AG591" s="123"/>
      <c r="AH591" s="123"/>
      <c r="AI591" s="123"/>
      <c r="AJ591" s="123"/>
    </row>
    <row r="592" ht="15.75" customHeight="1">
      <c r="A592" s="123"/>
      <c r="B592" s="124"/>
      <c r="C592" s="124"/>
      <c r="D592" s="124"/>
      <c r="E592" s="124"/>
      <c r="F592" s="125"/>
      <c r="G592" s="124"/>
      <c r="H592" s="124"/>
      <c r="I592" s="125"/>
      <c r="J592" s="123"/>
      <c r="K592" s="124"/>
      <c r="L592" s="125"/>
      <c r="M592" s="124"/>
      <c r="N592" s="124"/>
      <c r="O592" s="124"/>
      <c r="P592" s="124"/>
      <c r="Q592" s="124"/>
      <c r="R592" s="123"/>
      <c r="S592" s="123"/>
      <c r="T592" s="123"/>
      <c r="U592" s="123"/>
      <c r="V592" s="123"/>
      <c r="W592" s="123"/>
      <c r="X592" s="123"/>
      <c r="Y592" s="123"/>
      <c r="Z592" s="123"/>
      <c r="AA592" s="123"/>
      <c r="AB592" s="123"/>
      <c r="AC592" s="123"/>
      <c r="AD592" s="123"/>
      <c r="AE592" s="123"/>
      <c r="AF592" s="123"/>
      <c r="AG592" s="123"/>
      <c r="AH592" s="123"/>
      <c r="AI592" s="123"/>
      <c r="AJ592" s="123"/>
    </row>
    <row r="593" ht="15.75" customHeight="1">
      <c r="A593" s="123"/>
      <c r="B593" s="124"/>
      <c r="C593" s="124"/>
      <c r="D593" s="124"/>
      <c r="E593" s="124"/>
      <c r="F593" s="125"/>
      <c r="G593" s="124"/>
      <c r="H593" s="124"/>
      <c r="I593" s="125"/>
      <c r="J593" s="123"/>
      <c r="K593" s="124"/>
      <c r="L593" s="125"/>
      <c r="M593" s="124"/>
      <c r="N593" s="124"/>
      <c r="O593" s="124"/>
      <c r="P593" s="124"/>
      <c r="Q593" s="124"/>
      <c r="R593" s="123"/>
      <c r="S593" s="123"/>
      <c r="T593" s="123"/>
      <c r="U593" s="123"/>
      <c r="V593" s="123"/>
      <c r="W593" s="123"/>
      <c r="X593" s="123"/>
      <c r="Y593" s="123"/>
      <c r="Z593" s="123"/>
      <c r="AA593" s="123"/>
      <c r="AB593" s="123"/>
      <c r="AC593" s="123"/>
      <c r="AD593" s="123"/>
      <c r="AE593" s="123"/>
      <c r="AF593" s="123"/>
      <c r="AG593" s="123"/>
      <c r="AH593" s="123"/>
      <c r="AI593" s="123"/>
      <c r="AJ593" s="123"/>
    </row>
    <row r="594" ht="15.75" customHeight="1">
      <c r="A594" s="123"/>
      <c r="B594" s="124"/>
      <c r="C594" s="124"/>
      <c r="D594" s="124"/>
      <c r="E594" s="124"/>
      <c r="F594" s="125"/>
      <c r="G594" s="124"/>
      <c r="H594" s="124"/>
      <c r="I594" s="125"/>
      <c r="J594" s="123"/>
      <c r="K594" s="124"/>
      <c r="L594" s="125"/>
      <c r="M594" s="124"/>
      <c r="N594" s="124"/>
      <c r="O594" s="124"/>
      <c r="P594" s="124"/>
      <c r="Q594" s="124"/>
      <c r="R594" s="123"/>
      <c r="S594" s="123"/>
      <c r="T594" s="123"/>
      <c r="U594" s="123"/>
      <c r="V594" s="123"/>
      <c r="W594" s="123"/>
      <c r="X594" s="123"/>
      <c r="Y594" s="123"/>
      <c r="Z594" s="123"/>
      <c r="AA594" s="123"/>
      <c r="AB594" s="123"/>
      <c r="AC594" s="123"/>
      <c r="AD594" s="123"/>
      <c r="AE594" s="123"/>
      <c r="AF594" s="123"/>
      <c r="AG594" s="123"/>
      <c r="AH594" s="123"/>
      <c r="AI594" s="123"/>
      <c r="AJ594" s="123"/>
    </row>
    <row r="595" ht="15.75" customHeight="1">
      <c r="A595" s="123"/>
      <c r="B595" s="124"/>
      <c r="C595" s="124"/>
      <c r="D595" s="124"/>
      <c r="E595" s="124"/>
      <c r="F595" s="125"/>
      <c r="G595" s="124"/>
      <c r="H595" s="124"/>
      <c r="I595" s="125"/>
      <c r="J595" s="123"/>
      <c r="K595" s="124"/>
      <c r="L595" s="125"/>
      <c r="M595" s="124"/>
      <c r="N595" s="124"/>
      <c r="O595" s="124"/>
      <c r="P595" s="124"/>
      <c r="Q595" s="124"/>
      <c r="R595" s="123"/>
      <c r="S595" s="123"/>
      <c r="T595" s="123"/>
      <c r="U595" s="123"/>
      <c r="V595" s="123"/>
      <c r="W595" s="123"/>
      <c r="X595" s="123"/>
      <c r="Y595" s="123"/>
      <c r="Z595" s="123"/>
      <c r="AA595" s="123"/>
      <c r="AB595" s="123"/>
      <c r="AC595" s="123"/>
      <c r="AD595" s="123"/>
      <c r="AE595" s="123"/>
      <c r="AF595" s="123"/>
      <c r="AG595" s="123"/>
      <c r="AH595" s="123"/>
      <c r="AI595" s="123"/>
      <c r="AJ595" s="123"/>
    </row>
    <row r="596" ht="15.75" customHeight="1">
      <c r="A596" s="123"/>
      <c r="B596" s="124"/>
      <c r="C596" s="124"/>
      <c r="D596" s="124"/>
      <c r="E596" s="124"/>
      <c r="F596" s="125"/>
      <c r="G596" s="124"/>
      <c r="H596" s="124"/>
      <c r="I596" s="125"/>
      <c r="J596" s="123"/>
      <c r="K596" s="124"/>
      <c r="L596" s="125"/>
      <c r="M596" s="124"/>
      <c r="N596" s="124"/>
      <c r="O596" s="124"/>
      <c r="P596" s="124"/>
      <c r="Q596" s="124"/>
      <c r="R596" s="123"/>
      <c r="S596" s="123"/>
      <c r="T596" s="123"/>
      <c r="U596" s="123"/>
      <c r="V596" s="123"/>
      <c r="W596" s="123"/>
      <c r="X596" s="123"/>
      <c r="Y596" s="123"/>
      <c r="Z596" s="123"/>
      <c r="AA596" s="123"/>
      <c r="AB596" s="123"/>
      <c r="AC596" s="123"/>
      <c r="AD596" s="123"/>
      <c r="AE596" s="123"/>
      <c r="AF596" s="123"/>
      <c r="AG596" s="123"/>
      <c r="AH596" s="123"/>
      <c r="AI596" s="123"/>
      <c r="AJ596" s="123"/>
    </row>
    <row r="597" ht="15.75" customHeight="1">
      <c r="A597" s="123"/>
      <c r="B597" s="124"/>
      <c r="C597" s="124"/>
      <c r="D597" s="124"/>
      <c r="E597" s="124"/>
      <c r="F597" s="125"/>
      <c r="G597" s="124"/>
      <c r="H597" s="124"/>
      <c r="I597" s="125"/>
      <c r="J597" s="123"/>
      <c r="K597" s="124"/>
      <c r="L597" s="125"/>
      <c r="M597" s="124"/>
      <c r="N597" s="124"/>
      <c r="O597" s="124"/>
      <c r="P597" s="124"/>
      <c r="Q597" s="124"/>
      <c r="R597" s="123"/>
      <c r="S597" s="123"/>
      <c r="T597" s="123"/>
      <c r="U597" s="123"/>
      <c r="V597" s="123"/>
      <c r="W597" s="123"/>
      <c r="X597" s="123"/>
      <c r="Y597" s="123"/>
      <c r="Z597" s="123"/>
      <c r="AA597" s="123"/>
      <c r="AB597" s="123"/>
      <c r="AC597" s="123"/>
      <c r="AD597" s="123"/>
      <c r="AE597" s="123"/>
      <c r="AF597" s="123"/>
      <c r="AG597" s="123"/>
      <c r="AH597" s="123"/>
      <c r="AI597" s="123"/>
      <c r="AJ597" s="123"/>
    </row>
    <row r="598" ht="15.75" customHeight="1">
      <c r="A598" s="123"/>
      <c r="B598" s="124"/>
      <c r="C598" s="124"/>
      <c r="D598" s="124"/>
      <c r="E598" s="124"/>
      <c r="F598" s="125"/>
      <c r="G598" s="124"/>
      <c r="H598" s="124"/>
      <c r="I598" s="125"/>
      <c r="J598" s="123"/>
      <c r="K598" s="124"/>
      <c r="L598" s="125"/>
      <c r="M598" s="124"/>
      <c r="N598" s="124"/>
      <c r="O598" s="124"/>
      <c r="P598" s="124"/>
      <c r="Q598" s="124"/>
      <c r="R598" s="123"/>
      <c r="S598" s="123"/>
      <c r="T598" s="123"/>
      <c r="U598" s="123"/>
      <c r="V598" s="123"/>
      <c r="W598" s="123"/>
      <c r="X598" s="123"/>
      <c r="Y598" s="123"/>
      <c r="Z598" s="123"/>
      <c r="AA598" s="123"/>
      <c r="AB598" s="123"/>
      <c r="AC598" s="123"/>
      <c r="AD598" s="123"/>
      <c r="AE598" s="123"/>
      <c r="AF598" s="123"/>
      <c r="AG598" s="123"/>
      <c r="AH598" s="123"/>
      <c r="AI598" s="123"/>
      <c r="AJ598" s="123"/>
    </row>
    <row r="599" ht="15.75" customHeight="1">
      <c r="A599" s="123"/>
      <c r="B599" s="124"/>
      <c r="C599" s="124"/>
      <c r="D599" s="124"/>
      <c r="E599" s="124"/>
      <c r="F599" s="125"/>
      <c r="G599" s="124"/>
      <c r="H599" s="124"/>
      <c r="I599" s="125"/>
      <c r="J599" s="123"/>
      <c r="K599" s="124"/>
      <c r="L599" s="125"/>
      <c r="M599" s="124"/>
      <c r="N599" s="124"/>
      <c r="O599" s="124"/>
      <c r="P599" s="124"/>
      <c r="Q599" s="124"/>
      <c r="R599" s="123"/>
      <c r="S599" s="123"/>
      <c r="T599" s="123"/>
      <c r="U599" s="123"/>
      <c r="V599" s="123"/>
      <c r="W599" s="123"/>
      <c r="X599" s="123"/>
      <c r="Y599" s="123"/>
      <c r="Z599" s="123"/>
      <c r="AA599" s="123"/>
      <c r="AB599" s="123"/>
      <c r="AC599" s="123"/>
      <c r="AD599" s="123"/>
      <c r="AE599" s="123"/>
      <c r="AF599" s="123"/>
      <c r="AG599" s="123"/>
      <c r="AH599" s="123"/>
      <c r="AI599" s="123"/>
      <c r="AJ599" s="123"/>
    </row>
    <row r="600" ht="15.75" customHeight="1">
      <c r="A600" s="123"/>
      <c r="B600" s="124"/>
      <c r="C600" s="124"/>
      <c r="D600" s="124"/>
      <c r="E600" s="124"/>
      <c r="F600" s="125"/>
      <c r="G600" s="124"/>
      <c r="H600" s="124"/>
      <c r="I600" s="125"/>
      <c r="J600" s="123"/>
      <c r="K600" s="124"/>
      <c r="L600" s="125"/>
      <c r="M600" s="124"/>
      <c r="N600" s="124"/>
      <c r="O600" s="124"/>
      <c r="P600" s="124"/>
      <c r="Q600" s="124"/>
      <c r="R600" s="123"/>
      <c r="S600" s="123"/>
      <c r="T600" s="123"/>
      <c r="U600" s="123"/>
      <c r="V600" s="123"/>
      <c r="W600" s="123"/>
      <c r="X600" s="123"/>
      <c r="Y600" s="123"/>
      <c r="Z600" s="123"/>
      <c r="AA600" s="123"/>
      <c r="AB600" s="123"/>
      <c r="AC600" s="123"/>
      <c r="AD600" s="123"/>
      <c r="AE600" s="123"/>
      <c r="AF600" s="123"/>
      <c r="AG600" s="123"/>
      <c r="AH600" s="123"/>
      <c r="AI600" s="123"/>
      <c r="AJ600" s="123"/>
    </row>
    <row r="601" ht="15.75" customHeight="1">
      <c r="A601" s="123"/>
      <c r="B601" s="124"/>
      <c r="C601" s="124"/>
      <c r="D601" s="124"/>
      <c r="E601" s="124"/>
      <c r="F601" s="125"/>
      <c r="G601" s="124"/>
      <c r="H601" s="124"/>
      <c r="I601" s="125"/>
      <c r="J601" s="123"/>
      <c r="K601" s="124"/>
      <c r="L601" s="125"/>
      <c r="M601" s="124"/>
      <c r="N601" s="124"/>
      <c r="O601" s="124"/>
      <c r="P601" s="124"/>
      <c r="Q601" s="124"/>
      <c r="R601" s="123"/>
      <c r="S601" s="123"/>
      <c r="T601" s="123"/>
      <c r="U601" s="123"/>
      <c r="V601" s="123"/>
      <c r="W601" s="123"/>
      <c r="X601" s="123"/>
      <c r="Y601" s="123"/>
      <c r="Z601" s="123"/>
      <c r="AA601" s="123"/>
      <c r="AB601" s="123"/>
      <c r="AC601" s="123"/>
      <c r="AD601" s="123"/>
      <c r="AE601" s="123"/>
      <c r="AF601" s="123"/>
      <c r="AG601" s="123"/>
      <c r="AH601" s="123"/>
      <c r="AI601" s="123"/>
      <c r="AJ601" s="123"/>
    </row>
    <row r="602" ht="15.75" customHeight="1">
      <c r="A602" s="123"/>
      <c r="B602" s="124"/>
      <c r="C602" s="124"/>
      <c r="D602" s="124"/>
      <c r="E602" s="124"/>
      <c r="F602" s="125"/>
      <c r="G602" s="124"/>
      <c r="H602" s="124"/>
      <c r="I602" s="125"/>
      <c r="J602" s="123"/>
      <c r="K602" s="124"/>
      <c r="L602" s="125"/>
      <c r="M602" s="124"/>
      <c r="N602" s="124"/>
      <c r="O602" s="124"/>
      <c r="P602" s="124"/>
      <c r="Q602" s="124"/>
      <c r="R602" s="123"/>
      <c r="S602" s="123"/>
      <c r="T602" s="123"/>
      <c r="U602" s="123"/>
      <c r="V602" s="123"/>
      <c r="W602" s="123"/>
      <c r="X602" s="123"/>
      <c r="Y602" s="123"/>
      <c r="Z602" s="123"/>
      <c r="AA602" s="123"/>
      <c r="AB602" s="123"/>
      <c r="AC602" s="123"/>
      <c r="AD602" s="123"/>
      <c r="AE602" s="123"/>
      <c r="AF602" s="123"/>
      <c r="AG602" s="123"/>
      <c r="AH602" s="123"/>
      <c r="AI602" s="123"/>
      <c r="AJ602" s="123"/>
    </row>
    <row r="603" ht="15.75" customHeight="1">
      <c r="A603" s="123"/>
      <c r="B603" s="124"/>
      <c r="C603" s="124"/>
      <c r="D603" s="124"/>
      <c r="E603" s="124"/>
      <c r="F603" s="125"/>
      <c r="G603" s="124"/>
      <c r="H603" s="124"/>
      <c r="I603" s="125"/>
      <c r="J603" s="123"/>
      <c r="K603" s="124"/>
      <c r="L603" s="125"/>
      <c r="M603" s="124"/>
      <c r="N603" s="124"/>
      <c r="O603" s="124"/>
      <c r="P603" s="124"/>
      <c r="Q603" s="124"/>
      <c r="R603" s="123"/>
      <c r="S603" s="123"/>
      <c r="T603" s="123"/>
      <c r="U603" s="123"/>
      <c r="V603" s="123"/>
      <c r="W603" s="123"/>
      <c r="X603" s="123"/>
      <c r="Y603" s="123"/>
      <c r="Z603" s="123"/>
      <c r="AA603" s="123"/>
      <c r="AB603" s="123"/>
      <c r="AC603" s="123"/>
      <c r="AD603" s="123"/>
      <c r="AE603" s="123"/>
      <c r="AF603" s="123"/>
      <c r="AG603" s="123"/>
      <c r="AH603" s="123"/>
      <c r="AI603" s="123"/>
      <c r="AJ603" s="123"/>
    </row>
    <row r="604" ht="15.75" customHeight="1">
      <c r="A604" s="123"/>
      <c r="B604" s="124"/>
      <c r="C604" s="124"/>
      <c r="D604" s="124"/>
      <c r="E604" s="124"/>
      <c r="F604" s="125"/>
      <c r="G604" s="124"/>
      <c r="H604" s="124"/>
      <c r="I604" s="125"/>
      <c r="J604" s="123"/>
      <c r="K604" s="124"/>
      <c r="L604" s="125"/>
      <c r="M604" s="124"/>
      <c r="N604" s="124"/>
      <c r="O604" s="124"/>
      <c r="P604" s="124"/>
      <c r="Q604" s="124"/>
      <c r="R604" s="123"/>
      <c r="S604" s="123"/>
      <c r="T604" s="123"/>
      <c r="U604" s="123"/>
      <c r="V604" s="123"/>
      <c r="W604" s="123"/>
      <c r="X604" s="123"/>
      <c r="Y604" s="123"/>
      <c r="Z604" s="123"/>
      <c r="AA604" s="123"/>
      <c r="AB604" s="123"/>
      <c r="AC604" s="123"/>
      <c r="AD604" s="123"/>
      <c r="AE604" s="123"/>
      <c r="AF604" s="123"/>
      <c r="AG604" s="123"/>
      <c r="AH604" s="123"/>
      <c r="AI604" s="123"/>
      <c r="AJ604" s="123"/>
    </row>
    <row r="605" ht="15.75" customHeight="1">
      <c r="A605" s="123"/>
      <c r="B605" s="124"/>
      <c r="C605" s="124"/>
      <c r="D605" s="124"/>
      <c r="E605" s="124"/>
      <c r="F605" s="125"/>
      <c r="G605" s="124"/>
      <c r="H605" s="124"/>
      <c r="I605" s="125"/>
      <c r="J605" s="123"/>
      <c r="K605" s="124"/>
      <c r="L605" s="125"/>
      <c r="M605" s="124"/>
      <c r="N605" s="124"/>
      <c r="O605" s="124"/>
      <c r="P605" s="124"/>
      <c r="Q605" s="124"/>
      <c r="R605" s="123"/>
      <c r="S605" s="123"/>
      <c r="T605" s="123"/>
      <c r="U605" s="123"/>
      <c r="V605" s="123"/>
      <c r="W605" s="123"/>
      <c r="X605" s="123"/>
      <c r="Y605" s="123"/>
      <c r="Z605" s="123"/>
      <c r="AA605" s="123"/>
      <c r="AB605" s="123"/>
      <c r="AC605" s="123"/>
      <c r="AD605" s="123"/>
      <c r="AE605" s="123"/>
      <c r="AF605" s="123"/>
      <c r="AG605" s="123"/>
      <c r="AH605" s="123"/>
      <c r="AI605" s="123"/>
      <c r="AJ605" s="123"/>
    </row>
    <row r="606" ht="15.75" customHeight="1">
      <c r="A606" s="123"/>
      <c r="B606" s="124"/>
      <c r="C606" s="124"/>
      <c r="D606" s="124"/>
      <c r="E606" s="124"/>
      <c r="F606" s="125"/>
      <c r="G606" s="124"/>
      <c r="H606" s="124"/>
      <c r="I606" s="125"/>
      <c r="J606" s="123"/>
      <c r="K606" s="124"/>
      <c r="L606" s="125"/>
      <c r="M606" s="124"/>
      <c r="N606" s="124"/>
      <c r="O606" s="124"/>
      <c r="P606" s="124"/>
      <c r="Q606" s="124"/>
      <c r="R606" s="123"/>
      <c r="S606" s="123"/>
      <c r="T606" s="123"/>
      <c r="U606" s="123"/>
      <c r="V606" s="123"/>
      <c r="W606" s="123"/>
      <c r="X606" s="123"/>
      <c r="Y606" s="123"/>
      <c r="Z606" s="123"/>
      <c r="AA606" s="123"/>
      <c r="AB606" s="123"/>
      <c r="AC606" s="123"/>
      <c r="AD606" s="123"/>
      <c r="AE606" s="123"/>
      <c r="AF606" s="123"/>
      <c r="AG606" s="123"/>
      <c r="AH606" s="123"/>
      <c r="AI606" s="123"/>
      <c r="AJ606" s="123"/>
    </row>
    <row r="607" ht="15.75" customHeight="1">
      <c r="A607" s="123"/>
      <c r="B607" s="124"/>
      <c r="C607" s="124"/>
      <c r="D607" s="124"/>
      <c r="E607" s="124"/>
      <c r="F607" s="125"/>
      <c r="G607" s="124"/>
      <c r="H607" s="124"/>
      <c r="I607" s="125"/>
      <c r="J607" s="123"/>
      <c r="K607" s="124"/>
      <c r="L607" s="125"/>
      <c r="M607" s="124"/>
      <c r="N607" s="124"/>
      <c r="O607" s="124"/>
      <c r="P607" s="124"/>
      <c r="Q607" s="124"/>
      <c r="R607" s="123"/>
      <c r="S607" s="123"/>
      <c r="T607" s="123"/>
      <c r="U607" s="123"/>
      <c r="V607" s="123"/>
      <c r="W607" s="123"/>
      <c r="X607" s="123"/>
      <c r="Y607" s="123"/>
      <c r="Z607" s="123"/>
      <c r="AA607" s="123"/>
      <c r="AB607" s="123"/>
      <c r="AC607" s="123"/>
      <c r="AD607" s="123"/>
      <c r="AE607" s="123"/>
      <c r="AF607" s="123"/>
      <c r="AG607" s="123"/>
      <c r="AH607" s="123"/>
      <c r="AI607" s="123"/>
      <c r="AJ607" s="123"/>
    </row>
    <row r="608" ht="15.75" customHeight="1">
      <c r="A608" s="123"/>
      <c r="B608" s="124"/>
      <c r="C608" s="124"/>
      <c r="D608" s="124"/>
      <c r="E608" s="124"/>
      <c r="F608" s="125"/>
      <c r="G608" s="124"/>
      <c r="H608" s="124"/>
      <c r="I608" s="125"/>
      <c r="J608" s="123"/>
      <c r="K608" s="124"/>
      <c r="L608" s="125"/>
      <c r="M608" s="124"/>
      <c r="N608" s="124"/>
      <c r="O608" s="124"/>
      <c r="P608" s="124"/>
      <c r="Q608" s="124"/>
      <c r="R608" s="123"/>
      <c r="S608" s="123"/>
      <c r="T608" s="123"/>
      <c r="U608" s="123"/>
      <c r="V608" s="123"/>
      <c r="W608" s="123"/>
      <c r="X608" s="123"/>
      <c r="Y608" s="123"/>
      <c r="Z608" s="123"/>
      <c r="AA608" s="123"/>
      <c r="AB608" s="123"/>
      <c r="AC608" s="123"/>
      <c r="AD608" s="123"/>
      <c r="AE608" s="123"/>
      <c r="AF608" s="123"/>
      <c r="AG608" s="123"/>
      <c r="AH608" s="123"/>
      <c r="AI608" s="123"/>
      <c r="AJ608" s="123"/>
    </row>
    <row r="609" ht="15.75" customHeight="1">
      <c r="A609" s="123"/>
      <c r="B609" s="124"/>
      <c r="C609" s="124"/>
      <c r="D609" s="124"/>
      <c r="E609" s="124"/>
      <c r="F609" s="125"/>
      <c r="G609" s="124"/>
      <c r="H609" s="124"/>
      <c r="I609" s="125"/>
      <c r="J609" s="123"/>
      <c r="K609" s="124"/>
      <c r="L609" s="125"/>
      <c r="M609" s="124"/>
      <c r="N609" s="124"/>
      <c r="O609" s="124"/>
      <c r="P609" s="124"/>
      <c r="Q609" s="124"/>
      <c r="R609" s="123"/>
      <c r="S609" s="123"/>
      <c r="T609" s="123"/>
      <c r="U609" s="123"/>
      <c r="V609" s="123"/>
      <c r="W609" s="123"/>
      <c r="X609" s="123"/>
      <c r="Y609" s="123"/>
      <c r="Z609" s="123"/>
      <c r="AA609" s="123"/>
      <c r="AB609" s="123"/>
      <c r="AC609" s="123"/>
      <c r="AD609" s="123"/>
      <c r="AE609" s="123"/>
      <c r="AF609" s="123"/>
      <c r="AG609" s="123"/>
      <c r="AH609" s="123"/>
      <c r="AI609" s="123"/>
      <c r="AJ609" s="123"/>
    </row>
    <row r="610" ht="15.75" customHeight="1">
      <c r="A610" s="123"/>
      <c r="B610" s="124"/>
      <c r="C610" s="124"/>
      <c r="D610" s="124"/>
      <c r="E610" s="124"/>
      <c r="F610" s="125"/>
      <c r="G610" s="124"/>
      <c r="H610" s="124"/>
      <c r="I610" s="125"/>
      <c r="J610" s="123"/>
      <c r="K610" s="124"/>
      <c r="L610" s="125"/>
      <c r="M610" s="124"/>
      <c r="N610" s="124"/>
      <c r="O610" s="124"/>
      <c r="P610" s="124"/>
      <c r="Q610" s="124"/>
      <c r="R610" s="123"/>
      <c r="S610" s="123"/>
      <c r="T610" s="123"/>
      <c r="U610" s="123"/>
      <c r="V610" s="123"/>
      <c r="W610" s="123"/>
      <c r="X610" s="123"/>
      <c r="Y610" s="123"/>
      <c r="Z610" s="123"/>
      <c r="AA610" s="123"/>
      <c r="AB610" s="123"/>
      <c r="AC610" s="123"/>
      <c r="AD610" s="123"/>
      <c r="AE610" s="123"/>
      <c r="AF610" s="123"/>
      <c r="AG610" s="123"/>
      <c r="AH610" s="123"/>
      <c r="AI610" s="123"/>
      <c r="AJ610" s="123"/>
    </row>
    <row r="611" ht="15.75" customHeight="1">
      <c r="A611" s="123"/>
      <c r="B611" s="124"/>
      <c r="C611" s="124"/>
      <c r="D611" s="124"/>
      <c r="E611" s="124"/>
      <c r="F611" s="125"/>
      <c r="G611" s="124"/>
      <c r="H611" s="124"/>
      <c r="I611" s="125"/>
      <c r="J611" s="123"/>
      <c r="K611" s="124"/>
      <c r="L611" s="125"/>
      <c r="M611" s="124"/>
      <c r="N611" s="124"/>
      <c r="O611" s="124"/>
      <c r="P611" s="124"/>
      <c r="Q611" s="124"/>
      <c r="R611" s="123"/>
      <c r="S611" s="123"/>
      <c r="T611" s="123"/>
      <c r="U611" s="123"/>
      <c r="V611" s="123"/>
      <c r="W611" s="123"/>
      <c r="X611" s="123"/>
      <c r="Y611" s="123"/>
      <c r="Z611" s="123"/>
      <c r="AA611" s="123"/>
      <c r="AB611" s="123"/>
      <c r="AC611" s="123"/>
      <c r="AD611" s="123"/>
      <c r="AE611" s="123"/>
      <c r="AF611" s="123"/>
      <c r="AG611" s="123"/>
      <c r="AH611" s="123"/>
      <c r="AI611" s="123"/>
      <c r="AJ611" s="123"/>
    </row>
    <row r="612" ht="15.75" customHeight="1">
      <c r="A612" s="123"/>
      <c r="B612" s="124"/>
      <c r="C612" s="124"/>
      <c r="D612" s="124"/>
      <c r="E612" s="124"/>
      <c r="F612" s="125"/>
      <c r="G612" s="124"/>
      <c r="H612" s="124"/>
      <c r="I612" s="125"/>
      <c r="J612" s="123"/>
      <c r="K612" s="124"/>
      <c r="L612" s="125"/>
      <c r="M612" s="124"/>
      <c r="N612" s="124"/>
      <c r="O612" s="124"/>
      <c r="P612" s="124"/>
      <c r="Q612" s="124"/>
      <c r="R612" s="123"/>
      <c r="S612" s="123"/>
      <c r="T612" s="123"/>
      <c r="U612" s="123"/>
      <c r="V612" s="123"/>
      <c r="W612" s="123"/>
      <c r="X612" s="123"/>
      <c r="Y612" s="123"/>
      <c r="Z612" s="123"/>
      <c r="AA612" s="123"/>
      <c r="AB612" s="123"/>
      <c r="AC612" s="123"/>
      <c r="AD612" s="123"/>
      <c r="AE612" s="123"/>
      <c r="AF612" s="123"/>
      <c r="AG612" s="123"/>
      <c r="AH612" s="123"/>
      <c r="AI612" s="123"/>
      <c r="AJ612" s="123"/>
    </row>
    <row r="613" ht="15.75" customHeight="1">
      <c r="A613" s="123"/>
      <c r="B613" s="124"/>
      <c r="C613" s="124"/>
      <c r="D613" s="124"/>
      <c r="E613" s="124"/>
      <c r="F613" s="125"/>
      <c r="G613" s="124"/>
      <c r="H613" s="124"/>
      <c r="I613" s="125"/>
      <c r="J613" s="123"/>
      <c r="K613" s="124"/>
      <c r="L613" s="125"/>
      <c r="M613" s="124"/>
      <c r="N613" s="124"/>
      <c r="O613" s="124"/>
      <c r="P613" s="124"/>
      <c r="Q613" s="124"/>
      <c r="R613" s="123"/>
      <c r="S613" s="123"/>
      <c r="T613" s="123"/>
      <c r="U613" s="123"/>
      <c r="V613" s="123"/>
      <c r="W613" s="123"/>
      <c r="X613" s="123"/>
      <c r="Y613" s="123"/>
      <c r="Z613" s="123"/>
      <c r="AA613" s="123"/>
      <c r="AB613" s="123"/>
      <c r="AC613" s="123"/>
      <c r="AD613" s="123"/>
      <c r="AE613" s="123"/>
      <c r="AF613" s="123"/>
      <c r="AG613" s="123"/>
      <c r="AH613" s="123"/>
      <c r="AI613" s="123"/>
      <c r="AJ613" s="123"/>
    </row>
    <row r="614" ht="15.75" customHeight="1">
      <c r="A614" s="123"/>
      <c r="B614" s="124"/>
      <c r="C614" s="124"/>
      <c r="D614" s="124"/>
      <c r="E614" s="124"/>
      <c r="F614" s="125"/>
      <c r="G614" s="124"/>
      <c r="H614" s="124"/>
      <c r="I614" s="125"/>
      <c r="J614" s="123"/>
      <c r="K614" s="124"/>
      <c r="L614" s="125"/>
      <c r="M614" s="124"/>
      <c r="N614" s="124"/>
      <c r="O614" s="124"/>
      <c r="P614" s="124"/>
      <c r="Q614" s="124"/>
      <c r="R614" s="123"/>
      <c r="S614" s="123"/>
      <c r="T614" s="123"/>
      <c r="U614" s="123"/>
      <c r="V614" s="123"/>
      <c r="W614" s="123"/>
      <c r="X614" s="123"/>
      <c r="Y614" s="123"/>
      <c r="Z614" s="123"/>
      <c r="AA614" s="123"/>
      <c r="AB614" s="123"/>
      <c r="AC614" s="123"/>
      <c r="AD614" s="123"/>
      <c r="AE614" s="123"/>
      <c r="AF614" s="123"/>
      <c r="AG614" s="123"/>
      <c r="AH614" s="123"/>
      <c r="AI614" s="123"/>
      <c r="AJ614" s="123"/>
    </row>
    <row r="615" ht="15.75" customHeight="1">
      <c r="A615" s="123"/>
      <c r="B615" s="124"/>
      <c r="C615" s="124"/>
      <c r="D615" s="124"/>
      <c r="E615" s="124"/>
      <c r="F615" s="125"/>
      <c r="G615" s="124"/>
      <c r="H615" s="124"/>
      <c r="I615" s="125"/>
      <c r="J615" s="123"/>
      <c r="K615" s="124"/>
      <c r="L615" s="125"/>
      <c r="M615" s="124"/>
      <c r="N615" s="124"/>
      <c r="O615" s="124"/>
      <c r="P615" s="124"/>
      <c r="Q615" s="124"/>
      <c r="R615" s="123"/>
      <c r="S615" s="123"/>
      <c r="T615" s="123"/>
      <c r="U615" s="123"/>
      <c r="V615" s="123"/>
      <c r="W615" s="123"/>
      <c r="X615" s="123"/>
      <c r="Y615" s="123"/>
      <c r="Z615" s="123"/>
      <c r="AA615" s="123"/>
      <c r="AB615" s="123"/>
      <c r="AC615" s="123"/>
      <c r="AD615" s="123"/>
      <c r="AE615" s="123"/>
      <c r="AF615" s="123"/>
      <c r="AG615" s="123"/>
      <c r="AH615" s="123"/>
      <c r="AI615" s="123"/>
      <c r="AJ615" s="123"/>
    </row>
    <row r="616" ht="15.75" customHeight="1">
      <c r="A616" s="123"/>
      <c r="B616" s="124"/>
      <c r="C616" s="124"/>
      <c r="D616" s="124"/>
      <c r="E616" s="124"/>
      <c r="F616" s="125"/>
      <c r="G616" s="124"/>
      <c r="H616" s="124"/>
      <c r="I616" s="125"/>
      <c r="J616" s="123"/>
      <c r="K616" s="124"/>
      <c r="L616" s="125"/>
      <c r="M616" s="124"/>
      <c r="N616" s="124"/>
      <c r="O616" s="124"/>
      <c r="P616" s="124"/>
      <c r="Q616" s="124"/>
      <c r="R616" s="123"/>
      <c r="S616" s="123"/>
      <c r="T616" s="123"/>
      <c r="U616" s="123"/>
      <c r="V616" s="123"/>
      <c r="W616" s="123"/>
      <c r="X616" s="123"/>
      <c r="Y616" s="123"/>
      <c r="Z616" s="123"/>
      <c r="AA616" s="123"/>
      <c r="AB616" s="123"/>
      <c r="AC616" s="123"/>
      <c r="AD616" s="123"/>
      <c r="AE616" s="123"/>
      <c r="AF616" s="123"/>
      <c r="AG616" s="123"/>
      <c r="AH616" s="123"/>
      <c r="AI616" s="123"/>
      <c r="AJ616" s="123"/>
    </row>
    <row r="617" ht="15.75" customHeight="1">
      <c r="A617" s="123"/>
      <c r="B617" s="124"/>
      <c r="C617" s="124"/>
      <c r="D617" s="124"/>
      <c r="E617" s="124"/>
      <c r="F617" s="125"/>
      <c r="G617" s="124"/>
      <c r="H617" s="124"/>
      <c r="I617" s="125"/>
      <c r="J617" s="123"/>
      <c r="K617" s="124"/>
      <c r="L617" s="125"/>
      <c r="M617" s="124"/>
      <c r="N617" s="124"/>
      <c r="O617" s="124"/>
      <c r="P617" s="124"/>
      <c r="Q617" s="124"/>
      <c r="R617" s="123"/>
      <c r="S617" s="123"/>
      <c r="T617" s="123"/>
      <c r="U617" s="123"/>
      <c r="V617" s="123"/>
      <c r="W617" s="123"/>
      <c r="X617" s="123"/>
      <c r="Y617" s="123"/>
      <c r="Z617" s="123"/>
      <c r="AA617" s="123"/>
      <c r="AB617" s="123"/>
      <c r="AC617" s="123"/>
      <c r="AD617" s="123"/>
      <c r="AE617" s="123"/>
      <c r="AF617" s="123"/>
      <c r="AG617" s="123"/>
      <c r="AH617" s="123"/>
      <c r="AI617" s="123"/>
      <c r="AJ617" s="123"/>
    </row>
    <row r="618" ht="15.75" customHeight="1">
      <c r="A618" s="123"/>
      <c r="B618" s="124"/>
      <c r="C618" s="124"/>
      <c r="D618" s="124"/>
      <c r="E618" s="124"/>
      <c r="F618" s="125"/>
      <c r="G618" s="124"/>
      <c r="H618" s="124"/>
      <c r="I618" s="125"/>
      <c r="J618" s="123"/>
      <c r="K618" s="124"/>
      <c r="L618" s="125"/>
      <c r="M618" s="124"/>
      <c r="N618" s="124"/>
      <c r="O618" s="124"/>
      <c r="P618" s="124"/>
      <c r="Q618" s="124"/>
      <c r="R618" s="123"/>
      <c r="S618" s="123"/>
      <c r="T618" s="123"/>
      <c r="U618" s="123"/>
      <c r="V618" s="123"/>
      <c r="W618" s="123"/>
      <c r="X618" s="123"/>
      <c r="Y618" s="123"/>
      <c r="Z618" s="123"/>
      <c r="AA618" s="123"/>
      <c r="AB618" s="123"/>
      <c r="AC618" s="123"/>
      <c r="AD618" s="123"/>
      <c r="AE618" s="123"/>
      <c r="AF618" s="123"/>
      <c r="AG618" s="123"/>
      <c r="AH618" s="123"/>
      <c r="AI618" s="123"/>
      <c r="AJ618" s="123"/>
    </row>
    <row r="619" ht="15.75" customHeight="1">
      <c r="A619" s="123"/>
      <c r="B619" s="124"/>
      <c r="C619" s="124"/>
      <c r="D619" s="124"/>
      <c r="E619" s="124"/>
      <c r="F619" s="125"/>
      <c r="G619" s="124"/>
      <c r="H619" s="124"/>
      <c r="I619" s="125"/>
      <c r="J619" s="123"/>
      <c r="K619" s="124"/>
      <c r="L619" s="125"/>
      <c r="M619" s="124"/>
      <c r="N619" s="124"/>
      <c r="O619" s="124"/>
      <c r="P619" s="124"/>
      <c r="Q619" s="124"/>
      <c r="R619" s="123"/>
      <c r="S619" s="123"/>
      <c r="T619" s="123"/>
      <c r="U619" s="123"/>
      <c r="V619" s="123"/>
      <c r="W619" s="123"/>
      <c r="X619" s="123"/>
      <c r="Y619" s="123"/>
      <c r="Z619" s="123"/>
      <c r="AA619" s="123"/>
      <c r="AB619" s="123"/>
      <c r="AC619" s="123"/>
      <c r="AD619" s="123"/>
      <c r="AE619" s="123"/>
      <c r="AF619" s="123"/>
      <c r="AG619" s="123"/>
      <c r="AH619" s="123"/>
      <c r="AI619" s="123"/>
      <c r="AJ619" s="123"/>
    </row>
    <row r="620" ht="15.75" customHeight="1">
      <c r="A620" s="123"/>
      <c r="B620" s="124"/>
      <c r="C620" s="124"/>
      <c r="D620" s="124"/>
      <c r="E620" s="124"/>
      <c r="F620" s="125"/>
      <c r="G620" s="124"/>
      <c r="H620" s="124"/>
      <c r="I620" s="125"/>
      <c r="J620" s="123"/>
      <c r="K620" s="124"/>
      <c r="L620" s="125"/>
      <c r="M620" s="124"/>
      <c r="N620" s="124"/>
      <c r="O620" s="124"/>
      <c r="P620" s="124"/>
      <c r="Q620" s="124"/>
      <c r="R620" s="123"/>
      <c r="S620" s="123"/>
      <c r="T620" s="123"/>
      <c r="U620" s="123"/>
      <c r="V620" s="123"/>
      <c r="W620" s="123"/>
      <c r="X620" s="123"/>
      <c r="Y620" s="123"/>
      <c r="Z620" s="123"/>
      <c r="AA620" s="123"/>
      <c r="AB620" s="123"/>
      <c r="AC620" s="123"/>
      <c r="AD620" s="123"/>
      <c r="AE620" s="123"/>
      <c r="AF620" s="123"/>
      <c r="AG620" s="123"/>
      <c r="AH620" s="123"/>
      <c r="AI620" s="123"/>
      <c r="AJ620" s="123"/>
    </row>
    <row r="621" ht="15.75" customHeight="1">
      <c r="A621" s="123"/>
      <c r="B621" s="124"/>
      <c r="C621" s="124"/>
      <c r="D621" s="124"/>
      <c r="E621" s="124"/>
      <c r="F621" s="125"/>
      <c r="G621" s="124"/>
      <c r="H621" s="124"/>
      <c r="I621" s="125"/>
      <c r="J621" s="123"/>
      <c r="K621" s="124"/>
      <c r="L621" s="125"/>
      <c r="M621" s="124"/>
      <c r="N621" s="124"/>
      <c r="O621" s="124"/>
      <c r="P621" s="124"/>
      <c r="Q621" s="124"/>
      <c r="R621" s="123"/>
      <c r="S621" s="123"/>
      <c r="T621" s="123"/>
      <c r="U621" s="123"/>
      <c r="V621" s="123"/>
      <c r="W621" s="123"/>
      <c r="X621" s="123"/>
      <c r="Y621" s="123"/>
      <c r="Z621" s="123"/>
      <c r="AA621" s="123"/>
      <c r="AB621" s="123"/>
      <c r="AC621" s="123"/>
      <c r="AD621" s="123"/>
      <c r="AE621" s="123"/>
      <c r="AF621" s="123"/>
      <c r="AG621" s="123"/>
      <c r="AH621" s="123"/>
      <c r="AI621" s="123"/>
      <c r="AJ621" s="123"/>
    </row>
    <row r="622" ht="15.75" customHeight="1">
      <c r="A622" s="123"/>
      <c r="B622" s="124"/>
      <c r="C622" s="124"/>
      <c r="D622" s="124"/>
      <c r="E622" s="124"/>
      <c r="F622" s="125"/>
      <c r="G622" s="124"/>
      <c r="H622" s="124"/>
      <c r="I622" s="125"/>
      <c r="J622" s="123"/>
      <c r="K622" s="124"/>
      <c r="L622" s="125"/>
      <c r="M622" s="124"/>
      <c r="N622" s="124"/>
      <c r="O622" s="124"/>
      <c r="P622" s="124"/>
      <c r="Q622" s="124"/>
      <c r="R622" s="123"/>
      <c r="S622" s="123"/>
      <c r="T622" s="123"/>
      <c r="U622" s="123"/>
      <c r="V622" s="123"/>
      <c r="W622" s="123"/>
      <c r="X622" s="123"/>
      <c r="Y622" s="123"/>
      <c r="Z622" s="123"/>
      <c r="AA622" s="123"/>
      <c r="AB622" s="123"/>
      <c r="AC622" s="123"/>
      <c r="AD622" s="123"/>
      <c r="AE622" s="123"/>
      <c r="AF622" s="123"/>
      <c r="AG622" s="123"/>
      <c r="AH622" s="123"/>
      <c r="AI622" s="123"/>
      <c r="AJ622" s="123"/>
    </row>
    <row r="623" ht="15.75" customHeight="1">
      <c r="A623" s="123"/>
      <c r="B623" s="124"/>
      <c r="C623" s="124"/>
      <c r="D623" s="124"/>
      <c r="E623" s="124"/>
      <c r="F623" s="125"/>
      <c r="G623" s="124"/>
      <c r="H623" s="124"/>
      <c r="I623" s="125"/>
      <c r="J623" s="123"/>
      <c r="K623" s="124"/>
      <c r="L623" s="125"/>
      <c r="M623" s="124"/>
      <c r="N623" s="124"/>
      <c r="O623" s="124"/>
      <c r="P623" s="124"/>
      <c r="Q623" s="124"/>
      <c r="R623" s="123"/>
      <c r="S623" s="123"/>
      <c r="T623" s="123"/>
      <c r="U623" s="123"/>
      <c r="V623" s="123"/>
      <c r="W623" s="123"/>
      <c r="X623" s="123"/>
      <c r="Y623" s="123"/>
      <c r="Z623" s="123"/>
      <c r="AA623" s="123"/>
      <c r="AB623" s="123"/>
      <c r="AC623" s="123"/>
      <c r="AD623" s="123"/>
      <c r="AE623" s="123"/>
      <c r="AF623" s="123"/>
      <c r="AG623" s="123"/>
      <c r="AH623" s="123"/>
      <c r="AI623" s="123"/>
      <c r="AJ623" s="123"/>
    </row>
    <row r="624" ht="15.75" customHeight="1">
      <c r="A624" s="123"/>
      <c r="B624" s="124"/>
      <c r="C624" s="124"/>
      <c r="D624" s="124"/>
      <c r="E624" s="124"/>
      <c r="F624" s="125"/>
      <c r="G624" s="124"/>
      <c r="H624" s="124"/>
      <c r="I624" s="125"/>
      <c r="J624" s="123"/>
      <c r="K624" s="124"/>
      <c r="L624" s="125"/>
      <c r="M624" s="124"/>
      <c r="N624" s="124"/>
      <c r="O624" s="124"/>
      <c r="P624" s="124"/>
      <c r="Q624" s="124"/>
      <c r="R624" s="123"/>
      <c r="S624" s="123"/>
      <c r="T624" s="123"/>
      <c r="U624" s="123"/>
      <c r="V624" s="123"/>
      <c r="W624" s="123"/>
      <c r="X624" s="123"/>
      <c r="Y624" s="123"/>
      <c r="Z624" s="123"/>
      <c r="AA624" s="123"/>
      <c r="AB624" s="123"/>
      <c r="AC624" s="123"/>
      <c r="AD624" s="123"/>
      <c r="AE624" s="123"/>
      <c r="AF624" s="123"/>
      <c r="AG624" s="123"/>
      <c r="AH624" s="123"/>
      <c r="AI624" s="123"/>
      <c r="AJ624" s="123"/>
    </row>
    <row r="625" ht="15.75" customHeight="1">
      <c r="A625" s="123"/>
      <c r="B625" s="124"/>
      <c r="C625" s="124"/>
      <c r="D625" s="124"/>
      <c r="E625" s="124"/>
      <c r="F625" s="125"/>
      <c r="G625" s="124"/>
      <c r="H625" s="124"/>
      <c r="I625" s="125"/>
      <c r="J625" s="123"/>
      <c r="K625" s="124"/>
      <c r="L625" s="125"/>
      <c r="M625" s="124"/>
      <c r="N625" s="124"/>
      <c r="O625" s="124"/>
      <c r="P625" s="124"/>
      <c r="Q625" s="124"/>
      <c r="R625" s="123"/>
      <c r="S625" s="123"/>
      <c r="T625" s="123"/>
      <c r="U625" s="123"/>
      <c r="V625" s="123"/>
      <c r="W625" s="123"/>
      <c r="X625" s="123"/>
      <c r="Y625" s="123"/>
      <c r="Z625" s="123"/>
      <c r="AA625" s="123"/>
      <c r="AB625" s="123"/>
      <c r="AC625" s="123"/>
      <c r="AD625" s="123"/>
      <c r="AE625" s="123"/>
      <c r="AF625" s="123"/>
      <c r="AG625" s="123"/>
      <c r="AH625" s="123"/>
      <c r="AI625" s="123"/>
      <c r="AJ625" s="123"/>
    </row>
    <row r="626" ht="15.75" customHeight="1">
      <c r="A626" s="123"/>
      <c r="B626" s="124"/>
      <c r="C626" s="124"/>
      <c r="D626" s="124"/>
      <c r="E626" s="124"/>
      <c r="F626" s="125"/>
      <c r="G626" s="124"/>
      <c r="H626" s="124"/>
      <c r="I626" s="125"/>
      <c r="J626" s="123"/>
      <c r="K626" s="124"/>
      <c r="L626" s="125"/>
      <c r="M626" s="124"/>
      <c r="N626" s="124"/>
      <c r="O626" s="124"/>
      <c r="P626" s="124"/>
      <c r="Q626" s="124"/>
      <c r="R626" s="123"/>
      <c r="S626" s="123"/>
      <c r="T626" s="123"/>
      <c r="U626" s="123"/>
      <c r="V626" s="123"/>
      <c r="W626" s="123"/>
      <c r="X626" s="123"/>
      <c r="Y626" s="123"/>
      <c r="Z626" s="123"/>
      <c r="AA626" s="123"/>
      <c r="AB626" s="123"/>
      <c r="AC626" s="123"/>
      <c r="AD626" s="123"/>
      <c r="AE626" s="123"/>
      <c r="AF626" s="123"/>
      <c r="AG626" s="123"/>
      <c r="AH626" s="123"/>
      <c r="AI626" s="123"/>
      <c r="AJ626" s="123"/>
    </row>
    <row r="627" ht="15.75" customHeight="1">
      <c r="A627" s="123"/>
      <c r="B627" s="124"/>
      <c r="C627" s="124"/>
      <c r="D627" s="124"/>
      <c r="E627" s="124"/>
      <c r="F627" s="125"/>
      <c r="G627" s="124"/>
      <c r="H627" s="124"/>
      <c r="I627" s="125"/>
      <c r="J627" s="123"/>
      <c r="K627" s="124"/>
      <c r="L627" s="125"/>
      <c r="M627" s="124"/>
      <c r="N627" s="124"/>
      <c r="O627" s="124"/>
      <c r="P627" s="124"/>
      <c r="Q627" s="124"/>
      <c r="R627" s="123"/>
      <c r="S627" s="123"/>
      <c r="T627" s="123"/>
      <c r="U627" s="123"/>
      <c r="V627" s="123"/>
      <c r="W627" s="123"/>
      <c r="X627" s="123"/>
      <c r="Y627" s="123"/>
      <c r="Z627" s="123"/>
      <c r="AA627" s="123"/>
      <c r="AB627" s="123"/>
      <c r="AC627" s="123"/>
      <c r="AD627" s="123"/>
      <c r="AE627" s="123"/>
      <c r="AF627" s="123"/>
      <c r="AG627" s="123"/>
      <c r="AH627" s="123"/>
      <c r="AI627" s="123"/>
      <c r="AJ627" s="123"/>
    </row>
    <row r="628" ht="15.75" customHeight="1">
      <c r="A628" s="123"/>
      <c r="B628" s="124"/>
      <c r="C628" s="124"/>
      <c r="D628" s="124"/>
      <c r="E628" s="124"/>
      <c r="F628" s="125"/>
      <c r="G628" s="124"/>
      <c r="H628" s="124"/>
      <c r="I628" s="125"/>
      <c r="J628" s="123"/>
      <c r="K628" s="124"/>
      <c r="L628" s="125"/>
      <c r="M628" s="124"/>
      <c r="N628" s="124"/>
      <c r="O628" s="124"/>
      <c r="P628" s="124"/>
      <c r="Q628" s="124"/>
      <c r="R628" s="123"/>
      <c r="S628" s="123"/>
      <c r="T628" s="123"/>
      <c r="U628" s="123"/>
      <c r="V628" s="123"/>
      <c r="W628" s="123"/>
      <c r="X628" s="123"/>
      <c r="Y628" s="123"/>
      <c r="Z628" s="123"/>
      <c r="AA628" s="123"/>
      <c r="AB628" s="123"/>
      <c r="AC628" s="123"/>
      <c r="AD628" s="123"/>
      <c r="AE628" s="123"/>
      <c r="AF628" s="123"/>
      <c r="AG628" s="123"/>
      <c r="AH628" s="123"/>
      <c r="AI628" s="123"/>
      <c r="AJ628" s="123"/>
    </row>
    <row r="629" ht="15.75" customHeight="1">
      <c r="A629" s="123"/>
      <c r="B629" s="124"/>
      <c r="C629" s="124"/>
      <c r="D629" s="124"/>
      <c r="E629" s="124"/>
      <c r="F629" s="125"/>
      <c r="G629" s="124"/>
      <c r="H629" s="124"/>
      <c r="I629" s="125"/>
      <c r="J629" s="123"/>
      <c r="K629" s="124"/>
      <c r="L629" s="125"/>
      <c r="M629" s="124"/>
      <c r="N629" s="124"/>
      <c r="O629" s="124"/>
      <c r="P629" s="124"/>
      <c r="Q629" s="124"/>
      <c r="R629" s="123"/>
      <c r="S629" s="123"/>
      <c r="T629" s="123"/>
      <c r="U629" s="123"/>
      <c r="V629" s="123"/>
      <c r="W629" s="123"/>
      <c r="X629" s="123"/>
      <c r="Y629" s="123"/>
      <c r="Z629" s="123"/>
      <c r="AA629" s="123"/>
      <c r="AB629" s="123"/>
      <c r="AC629" s="123"/>
      <c r="AD629" s="123"/>
      <c r="AE629" s="123"/>
      <c r="AF629" s="123"/>
      <c r="AG629" s="123"/>
      <c r="AH629" s="123"/>
      <c r="AI629" s="123"/>
      <c r="AJ629" s="123"/>
    </row>
    <row r="630" ht="15.75" customHeight="1">
      <c r="A630" s="123"/>
      <c r="B630" s="124"/>
      <c r="C630" s="124"/>
      <c r="D630" s="124"/>
      <c r="E630" s="124"/>
      <c r="F630" s="125"/>
      <c r="G630" s="124"/>
      <c r="H630" s="124"/>
      <c r="I630" s="125"/>
      <c r="J630" s="123"/>
      <c r="K630" s="124"/>
      <c r="L630" s="125"/>
      <c r="M630" s="124"/>
      <c r="N630" s="124"/>
      <c r="O630" s="124"/>
      <c r="P630" s="124"/>
      <c r="Q630" s="124"/>
      <c r="R630" s="123"/>
      <c r="S630" s="123"/>
      <c r="T630" s="123"/>
      <c r="U630" s="123"/>
      <c r="V630" s="123"/>
      <c r="W630" s="123"/>
      <c r="X630" s="123"/>
      <c r="Y630" s="123"/>
      <c r="Z630" s="123"/>
      <c r="AA630" s="123"/>
      <c r="AB630" s="123"/>
      <c r="AC630" s="123"/>
      <c r="AD630" s="123"/>
      <c r="AE630" s="123"/>
      <c r="AF630" s="123"/>
      <c r="AG630" s="123"/>
      <c r="AH630" s="123"/>
      <c r="AI630" s="123"/>
      <c r="AJ630" s="123"/>
    </row>
    <row r="631" ht="15.75" customHeight="1">
      <c r="A631" s="123"/>
      <c r="B631" s="124"/>
      <c r="C631" s="124"/>
      <c r="D631" s="124"/>
      <c r="E631" s="124"/>
      <c r="F631" s="125"/>
      <c r="G631" s="124"/>
      <c r="H631" s="124"/>
      <c r="I631" s="125"/>
      <c r="J631" s="123"/>
      <c r="K631" s="124"/>
      <c r="L631" s="125"/>
      <c r="M631" s="124"/>
      <c r="N631" s="124"/>
      <c r="O631" s="124"/>
      <c r="P631" s="124"/>
      <c r="Q631" s="124"/>
      <c r="R631" s="123"/>
      <c r="S631" s="123"/>
      <c r="T631" s="123"/>
      <c r="U631" s="123"/>
      <c r="V631" s="123"/>
      <c r="W631" s="123"/>
      <c r="X631" s="123"/>
      <c r="Y631" s="123"/>
      <c r="Z631" s="123"/>
      <c r="AA631" s="123"/>
      <c r="AB631" s="123"/>
      <c r="AC631" s="123"/>
      <c r="AD631" s="123"/>
      <c r="AE631" s="123"/>
      <c r="AF631" s="123"/>
      <c r="AG631" s="123"/>
      <c r="AH631" s="123"/>
      <c r="AI631" s="123"/>
      <c r="AJ631" s="123"/>
    </row>
    <row r="632" ht="15.75" customHeight="1">
      <c r="A632" s="123"/>
      <c r="B632" s="124"/>
      <c r="C632" s="124"/>
      <c r="D632" s="124"/>
      <c r="E632" s="124"/>
      <c r="F632" s="125"/>
      <c r="G632" s="124"/>
      <c r="H632" s="124"/>
      <c r="I632" s="125"/>
      <c r="J632" s="123"/>
      <c r="K632" s="124"/>
      <c r="L632" s="125"/>
      <c r="M632" s="124"/>
      <c r="N632" s="124"/>
      <c r="O632" s="124"/>
      <c r="P632" s="124"/>
      <c r="Q632" s="124"/>
      <c r="R632" s="123"/>
      <c r="S632" s="123"/>
      <c r="T632" s="123"/>
      <c r="U632" s="123"/>
      <c r="V632" s="123"/>
      <c r="W632" s="123"/>
      <c r="X632" s="123"/>
      <c r="Y632" s="123"/>
      <c r="Z632" s="123"/>
      <c r="AA632" s="123"/>
      <c r="AB632" s="123"/>
      <c r="AC632" s="123"/>
      <c r="AD632" s="123"/>
      <c r="AE632" s="123"/>
      <c r="AF632" s="123"/>
      <c r="AG632" s="123"/>
      <c r="AH632" s="123"/>
      <c r="AI632" s="123"/>
      <c r="AJ632" s="123"/>
    </row>
    <row r="633" ht="15.75" customHeight="1">
      <c r="A633" s="123"/>
      <c r="B633" s="124"/>
      <c r="C633" s="124"/>
      <c r="D633" s="124"/>
      <c r="E633" s="124"/>
      <c r="F633" s="125"/>
      <c r="G633" s="124"/>
      <c r="H633" s="124"/>
      <c r="I633" s="125"/>
      <c r="J633" s="123"/>
      <c r="K633" s="124"/>
      <c r="L633" s="125"/>
      <c r="M633" s="124"/>
      <c r="N633" s="124"/>
      <c r="O633" s="124"/>
      <c r="P633" s="124"/>
      <c r="Q633" s="124"/>
      <c r="R633" s="123"/>
      <c r="S633" s="123"/>
      <c r="T633" s="123"/>
      <c r="U633" s="123"/>
      <c r="V633" s="123"/>
      <c r="W633" s="123"/>
      <c r="X633" s="123"/>
      <c r="Y633" s="123"/>
      <c r="Z633" s="123"/>
      <c r="AA633" s="123"/>
      <c r="AB633" s="123"/>
      <c r="AC633" s="123"/>
      <c r="AD633" s="123"/>
      <c r="AE633" s="123"/>
      <c r="AF633" s="123"/>
      <c r="AG633" s="123"/>
      <c r="AH633" s="123"/>
      <c r="AI633" s="123"/>
      <c r="AJ633" s="123"/>
    </row>
    <row r="634" ht="15.75" customHeight="1">
      <c r="A634" s="123"/>
      <c r="B634" s="124"/>
      <c r="C634" s="124"/>
      <c r="D634" s="124"/>
      <c r="E634" s="124"/>
      <c r="F634" s="125"/>
      <c r="G634" s="124"/>
      <c r="H634" s="124"/>
      <c r="I634" s="125"/>
      <c r="J634" s="123"/>
      <c r="K634" s="124"/>
      <c r="L634" s="125"/>
      <c r="M634" s="124"/>
      <c r="N634" s="124"/>
      <c r="O634" s="124"/>
      <c r="P634" s="124"/>
      <c r="Q634" s="124"/>
      <c r="R634" s="123"/>
      <c r="S634" s="123"/>
      <c r="T634" s="123"/>
      <c r="U634" s="123"/>
      <c r="V634" s="123"/>
      <c r="W634" s="123"/>
      <c r="X634" s="123"/>
      <c r="Y634" s="123"/>
      <c r="Z634" s="123"/>
      <c r="AA634" s="123"/>
      <c r="AB634" s="123"/>
      <c r="AC634" s="123"/>
      <c r="AD634" s="123"/>
      <c r="AE634" s="123"/>
      <c r="AF634" s="123"/>
      <c r="AG634" s="123"/>
      <c r="AH634" s="123"/>
      <c r="AI634" s="123"/>
      <c r="AJ634" s="123"/>
    </row>
    <row r="635" ht="15.75" customHeight="1">
      <c r="A635" s="123"/>
      <c r="B635" s="124"/>
      <c r="C635" s="124"/>
      <c r="D635" s="124"/>
      <c r="E635" s="124"/>
      <c r="F635" s="125"/>
      <c r="G635" s="124"/>
      <c r="H635" s="124"/>
      <c r="I635" s="125"/>
      <c r="J635" s="123"/>
      <c r="K635" s="124"/>
      <c r="L635" s="125"/>
      <c r="M635" s="124"/>
      <c r="N635" s="124"/>
      <c r="O635" s="124"/>
      <c r="P635" s="124"/>
      <c r="Q635" s="124"/>
      <c r="R635" s="123"/>
      <c r="S635" s="123"/>
      <c r="T635" s="123"/>
      <c r="U635" s="123"/>
      <c r="V635" s="123"/>
      <c r="W635" s="123"/>
      <c r="X635" s="123"/>
      <c r="Y635" s="123"/>
      <c r="Z635" s="123"/>
      <c r="AA635" s="123"/>
      <c r="AB635" s="123"/>
      <c r="AC635" s="123"/>
      <c r="AD635" s="123"/>
      <c r="AE635" s="123"/>
      <c r="AF635" s="123"/>
      <c r="AG635" s="123"/>
      <c r="AH635" s="123"/>
      <c r="AI635" s="123"/>
      <c r="AJ635" s="123"/>
    </row>
    <row r="636" ht="15.75" customHeight="1">
      <c r="A636" s="123"/>
      <c r="B636" s="124"/>
      <c r="C636" s="124"/>
      <c r="D636" s="124"/>
      <c r="E636" s="124"/>
      <c r="F636" s="125"/>
      <c r="G636" s="124"/>
      <c r="H636" s="124"/>
      <c r="I636" s="125"/>
      <c r="J636" s="123"/>
      <c r="K636" s="124"/>
      <c r="L636" s="125"/>
      <c r="M636" s="124"/>
      <c r="N636" s="124"/>
      <c r="O636" s="124"/>
      <c r="P636" s="124"/>
      <c r="Q636" s="124"/>
      <c r="R636" s="123"/>
      <c r="S636" s="123"/>
      <c r="T636" s="123"/>
      <c r="U636" s="123"/>
      <c r="V636" s="123"/>
      <c r="W636" s="123"/>
      <c r="X636" s="123"/>
      <c r="Y636" s="123"/>
      <c r="Z636" s="123"/>
      <c r="AA636" s="123"/>
      <c r="AB636" s="123"/>
      <c r="AC636" s="123"/>
      <c r="AD636" s="123"/>
      <c r="AE636" s="123"/>
      <c r="AF636" s="123"/>
      <c r="AG636" s="123"/>
      <c r="AH636" s="123"/>
      <c r="AI636" s="123"/>
      <c r="AJ636" s="123"/>
    </row>
    <row r="637" ht="15.75" customHeight="1">
      <c r="A637" s="123"/>
      <c r="B637" s="124"/>
      <c r="C637" s="124"/>
      <c r="D637" s="124"/>
      <c r="E637" s="124"/>
      <c r="F637" s="125"/>
      <c r="G637" s="124"/>
      <c r="H637" s="124"/>
      <c r="I637" s="125"/>
      <c r="J637" s="123"/>
      <c r="K637" s="124"/>
      <c r="L637" s="125"/>
      <c r="M637" s="124"/>
      <c r="N637" s="124"/>
      <c r="O637" s="124"/>
      <c r="P637" s="124"/>
      <c r="Q637" s="124"/>
      <c r="R637" s="123"/>
      <c r="S637" s="123"/>
      <c r="T637" s="123"/>
      <c r="U637" s="123"/>
      <c r="V637" s="123"/>
      <c r="W637" s="123"/>
      <c r="X637" s="123"/>
      <c r="Y637" s="123"/>
      <c r="Z637" s="123"/>
      <c r="AA637" s="123"/>
      <c r="AB637" s="123"/>
      <c r="AC637" s="123"/>
      <c r="AD637" s="123"/>
      <c r="AE637" s="123"/>
      <c r="AF637" s="123"/>
      <c r="AG637" s="123"/>
      <c r="AH637" s="123"/>
      <c r="AI637" s="123"/>
      <c r="AJ637" s="123"/>
    </row>
    <row r="638" ht="15.75" customHeight="1">
      <c r="A638" s="123"/>
      <c r="B638" s="124"/>
      <c r="C638" s="124"/>
      <c r="D638" s="124"/>
      <c r="E638" s="124"/>
      <c r="F638" s="125"/>
      <c r="G638" s="124"/>
      <c r="H638" s="124"/>
      <c r="I638" s="125"/>
      <c r="J638" s="123"/>
      <c r="K638" s="124"/>
      <c r="L638" s="125"/>
      <c r="M638" s="124"/>
      <c r="N638" s="124"/>
      <c r="O638" s="124"/>
      <c r="P638" s="124"/>
      <c r="Q638" s="124"/>
      <c r="R638" s="123"/>
      <c r="S638" s="123"/>
      <c r="T638" s="123"/>
      <c r="U638" s="123"/>
      <c r="V638" s="123"/>
      <c r="W638" s="123"/>
      <c r="X638" s="123"/>
      <c r="Y638" s="123"/>
      <c r="Z638" s="123"/>
      <c r="AA638" s="123"/>
      <c r="AB638" s="123"/>
      <c r="AC638" s="123"/>
      <c r="AD638" s="123"/>
      <c r="AE638" s="123"/>
      <c r="AF638" s="123"/>
      <c r="AG638" s="123"/>
      <c r="AH638" s="123"/>
      <c r="AI638" s="123"/>
      <c r="AJ638" s="123"/>
    </row>
    <row r="639" ht="15.75" customHeight="1">
      <c r="A639" s="123"/>
      <c r="B639" s="124"/>
      <c r="C639" s="124"/>
      <c r="D639" s="124"/>
      <c r="E639" s="124"/>
      <c r="F639" s="125"/>
      <c r="G639" s="124"/>
      <c r="H639" s="124"/>
      <c r="I639" s="125"/>
      <c r="J639" s="123"/>
      <c r="K639" s="124"/>
      <c r="L639" s="125"/>
      <c r="M639" s="124"/>
      <c r="N639" s="124"/>
      <c r="O639" s="124"/>
      <c r="P639" s="124"/>
      <c r="Q639" s="124"/>
      <c r="R639" s="123"/>
      <c r="S639" s="123"/>
      <c r="T639" s="123"/>
      <c r="U639" s="123"/>
      <c r="V639" s="123"/>
      <c r="W639" s="123"/>
      <c r="X639" s="123"/>
      <c r="Y639" s="123"/>
      <c r="Z639" s="123"/>
      <c r="AA639" s="123"/>
      <c r="AB639" s="123"/>
      <c r="AC639" s="123"/>
      <c r="AD639" s="123"/>
      <c r="AE639" s="123"/>
      <c r="AF639" s="123"/>
      <c r="AG639" s="123"/>
      <c r="AH639" s="123"/>
      <c r="AI639" s="123"/>
      <c r="AJ639" s="123"/>
    </row>
    <row r="640" ht="15.75" customHeight="1">
      <c r="A640" s="123"/>
      <c r="B640" s="124"/>
      <c r="C640" s="124"/>
      <c r="D640" s="124"/>
      <c r="E640" s="124"/>
      <c r="F640" s="125"/>
      <c r="G640" s="124"/>
      <c r="H640" s="124"/>
      <c r="I640" s="125"/>
      <c r="J640" s="123"/>
      <c r="K640" s="124"/>
      <c r="L640" s="125"/>
      <c r="M640" s="124"/>
      <c r="N640" s="124"/>
      <c r="O640" s="124"/>
      <c r="P640" s="124"/>
      <c r="Q640" s="124"/>
      <c r="R640" s="123"/>
      <c r="S640" s="123"/>
      <c r="T640" s="123"/>
      <c r="U640" s="123"/>
      <c r="V640" s="123"/>
      <c r="W640" s="123"/>
      <c r="X640" s="123"/>
      <c r="Y640" s="123"/>
      <c r="Z640" s="123"/>
      <c r="AA640" s="123"/>
      <c r="AB640" s="123"/>
      <c r="AC640" s="123"/>
      <c r="AD640" s="123"/>
      <c r="AE640" s="123"/>
      <c r="AF640" s="123"/>
      <c r="AG640" s="123"/>
      <c r="AH640" s="123"/>
      <c r="AI640" s="123"/>
      <c r="AJ640" s="123"/>
    </row>
    <row r="641" ht="15.75" customHeight="1">
      <c r="A641" s="123"/>
      <c r="B641" s="124"/>
      <c r="C641" s="124"/>
      <c r="D641" s="124"/>
      <c r="E641" s="124"/>
      <c r="F641" s="125"/>
      <c r="G641" s="124"/>
      <c r="H641" s="124"/>
      <c r="I641" s="125"/>
      <c r="J641" s="123"/>
      <c r="K641" s="124"/>
      <c r="L641" s="125"/>
      <c r="M641" s="124"/>
      <c r="N641" s="124"/>
      <c r="O641" s="124"/>
      <c r="P641" s="124"/>
      <c r="Q641" s="124"/>
      <c r="R641" s="123"/>
      <c r="S641" s="123"/>
      <c r="T641" s="123"/>
      <c r="U641" s="123"/>
      <c r="V641" s="123"/>
      <c r="W641" s="123"/>
      <c r="X641" s="123"/>
      <c r="Y641" s="123"/>
      <c r="Z641" s="123"/>
      <c r="AA641" s="123"/>
      <c r="AB641" s="123"/>
      <c r="AC641" s="123"/>
      <c r="AD641" s="123"/>
      <c r="AE641" s="123"/>
      <c r="AF641" s="123"/>
      <c r="AG641" s="123"/>
      <c r="AH641" s="123"/>
      <c r="AI641" s="123"/>
      <c r="AJ641" s="123"/>
    </row>
    <row r="642" ht="15.75" customHeight="1">
      <c r="A642" s="123"/>
      <c r="B642" s="124"/>
      <c r="C642" s="124"/>
      <c r="D642" s="124"/>
      <c r="E642" s="124"/>
      <c r="F642" s="125"/>
      <c r="G642" s="124"/>
      <c r="H642" s="124"/>
      <c r="I642" s="125"/>
      <c r="J642" s="123"/>
      <c r="K642" s="124"/>
      <c r="L642" s="125"/>
      <c r="M642" s="124"/>
      <c r="N642" s="124"/>
      <c r="O642" s="124"/>
      <c r="P642" s="124"/>
      <c r="Q642" s="124"/>
      <c r="R642" s="123"/>
      <c r="S642" s="123"/>
      <c r="T642" s="123"/>
      <c r="U642" s="123"/>
      <c r="V642" s="123"/>
      <c r="W642" s="123"/>
      <c r="X642" s="123"/>
      <c r="Y642" s="123"/>
      <c r="Z642" s="123"/>
      <c r="AA642" s="123"/>
      <c r="AB642" s="123"/>
      <c r="AC642" s="123"/>
      <c r="AD642" s="123"/>
      <c r="AE642" s="123"/>
      <c r="AF642" s="123"/>
      <c r="AG642" s="123"/>
      <c r="AH642" s="123"/>
      <c r="AI642" s="123"/>
      <c r="AJ642" s="123"/>
    </row>
    <row r="643" ht="15.75" customHeight="1">
      <c r="A643" s="123"/>
      <c r="B643" s="124"/>
      <c r="C643" s="124"/>
      <c r="D643" s="124"/>
      <c r="E643" s="124"/>
      <c r="F643" s="125"/>
      <c r="G643" s="124"/>
      <c r="H643" s="124"/>
      <c r="I643" s="125"/>
      <c r="J643" s="123"/>
      <c r="K643" s="124"/>
      <c r="L643" s="125"/>
      <c r="M643" s="124"/>
      <c r="N643" s="124"/>
      <c r="O643" s="124"/>
      <c r="P643" s="124"/>
      <c r="Q643" s="124"/>
      <c r="R643" s="123"/>
      <c r="S643" s="123"/>
      <c r="T643" s="123"/>
      <c r="U643" s="123"/>
      <c r="V643" s="123"/>
      <c r="W643" s="123"/>
      <c r="X643" s="123"/>
      <c r="Y643" s="123"/>
      <c r="Z643" s="123"/>
      <c r="AA643" s="123"/>
      <c r="AB643" s="123"/>
      <c r="AC643" s="123"/>
      <c r="AD643" s="123"/>
      <c r="AE643" s="123"/>
      <c r="AF643" s="123"/>
      <c r="AG643" s="123"/>
      <c r="AH643" s="123"/>
      <c r="AI643" s="123"/>
      <c r="AJ643" s="123"/>
    </row>
    <row r="644" ht="15.75" customHeight="1">
      <c r="A644" s="123"/>
      <c r="B644" s="124"/>
      <c r="C644" s="124"/>
      <c r="D644" s="124"/>
      <c r="E644" s="124"/>
      <c r="F644" s="125"/>
      <c r="G644" s="124"/>
      <c r="H644" s="124"/>
      <c r="I644" s="125"/>
      <c r="J644" s="123"/>
      <c r="K644" s="124"/>
      <c r="L644" s="125"/>
      <c r="M644" s="124"/>
      <c r="N644" s="124"/>
      <c r="O644" s="124"/>
      <c r="P644" s="124"/>
      <c r="Q644" s="124"/>
      <c r="R644" s="123"/>
      <c r="S644" s="123"/>
      <c r="T644" s="123"/>
      <c r="U644" s="123"/>
      <c r="V644" s="123"/>
      <c r="W644" s="123"/>
      <c r="X644" s="123"/>
      <c r="Y644" s="123"/>
      <c r="Z644" s="123"/>
      <c r="AA644" s="123"/>
      <c r="AB644" s="123"/>
      <c r="AC644" s="123"/>
      <c r="AD644" s="123"/>
      <c r="AE644" s="123"/>
      <c r="AF644" s="123"/>
      <c r="AG644" s="123"/>
      <c r="AH644" s="123"/>
      <c r="AI644" s="123"/>
      <c r="AJ644" s="123"/>
    </row>
    <row r="645" ht="15.75" customHeight="1">
      <c r="A645" s="123"/>
      <c r="B645" s="124"/>
      <c r="C645" s="124"/>
      <c r="D645" s="124"/>
      <c r="E645" s="124"/>
      <c r="F645" s="125"/>
      <c r="G645" s="124"/>
      <c r="H645" s="124"/>
      <c r="I645" s="125"/>
      <c r="J645" s="123"/>
      <c r="K645" s="124"/>
      <c r="L645" s="125"/>
      <c r="M645" s="124"/>
      <c r="N645" s="124"/>
      <c r="O645" s="124"/>
      <c r="P645" s="124"/>
      <c r="Q645" s="124"/>
      <c r="R645" s="123"/>
      <c r="S645" s="123"/>
      <c r="T645" s="123"/>
      <c r="U645" s="123"/>
      <c r="V645" s="123"/>
      <c r="W645" s="123"/>
      <c r="X645" s="123"/>
      <c r="Y645" s="123"/>
      <c r="Z645" s="123"/>
      <c r="AA645" s="123"/>
      <c r="AB645" s="123"/>
      <c r="AC645" s="123"/>
      <c r="AD645" s="123"/>
      <c r="AE645" s="123"/>
      <c r="AF645" s="123"/>
      <c r="AG645" s="123"/>
      <c r="AH645" s="123"/>
      <c r="AI645" s="123"/>
      <c r="AJ645" s="123"/>
    </row>
    <row r="646" ht="15.75" customHeight="1">
      <c r="A646" s="123"/>
      <c r="B646" s="124"/>
      <c r="C646" s="124"/>
      <c r="D646" s="124"/>
      <c r="E646" s="124"/>
      <c r="F646" s="125"/>
      <c r="G646" s="124"/>
      <c r="H646" s="124"/>
      <c r="I646" s="125"/>
      <c r="J646" s="123"/>
      <c r="K646" s="124"/>
      <c r="L646" s="125"/>
      <c r="M646" s="124"/>
      <c r="N646" s="124"/>
      <c r="O646" s="124"/>
      <c r="P646" s="124"/>
      <c r="Q646" s="124"/>
      <c r="R646" s="123"/>
      <c r="S646" s="123"/>
      <c r="T646" s="123"/>
      <c r="U646" s="123"/>
      <c r="V646" s="123"/>
      <c r="W646" s="123"/>
      <c r="X646" s="123"/>
      <c r="Y646" s="123"/>
      <c r="Z646" s="123"/>
      <c r="AA646" s="123"/>
      <c r="AB646" s="123"/>
      <c r="AC646" s="123"/>
      <c r="AD646" s="123"/>
      <c r="AE646" s="123"/>
      <c r="AF646" s="123"/>
      <c r="AG646" s="123"/>
      <c r="AH646" s="123"/>
      <c r="AI646" s="123"/>
      <c r="AJ646" s="123"/>
    </row>
    <row r="647" ht="15.75" customHeight="1">
      <c r="A647" s="123"/>
      <c r="B647" s="124"/>
      <c r="C647" s="124"/>
      <c r="D647" s="124"/>
      <c r="E647" s="124"/>
      <c r="F647" s="125"/>
      <c r="G647" s="124"/>
      <c r="H647" s="124"/>
      <c r="I647" s="125"/>
      <c r="J647" s="123"/>
      <c r="K647" s="124"/>
      <c r="L647" s="125"/>
      <c r="M647" s="124"/>
      <c r="N647" s="124"/>
      <c r="O647" s="124"/>
      <c r="P647" s="124"/>
      <c r="Q647" s="124"/>
      <c r="R647" s="123"/>
      <c r="S647" s="123"/>
      <c r="T647" s="123"/>
      <c r="U647" s="123"/>
      <c r="V647" s="123"/>
      <c r="W647" s="123"/>
      <c r="X647" s="123"/>
      <c r="Y647" s="123"/>
      <c r="Z647" s="123"/>
      <c r="AA647" s="123"/>
      <c r="AB647" s="123"/>
      <c r="AC647" s="123"/>
      <c r="AD647" s="123"/>
      <c r="AE647" s="123"/>
      <c r="AF647" s="123"/>
      <c r="AG647" s="123"/>
      <c r="AH647" s="123"/>
      <c r="AI647" s="123"/>
      <c r="AJ647" s="123"/>
    </row>
    <row r="648" ht="15.75" customHeight="1">
      <c r="A648" s="123"/>
      <c r="B648" s="124"/>
      <c r="C648" s="124"/>
      <c r="D648" s="124"/>
      <c r="E648" s="124"/>
      <c r="F648" s="125"/>
      <c r="G648" s="124"/>
      <c r="H648" s="124"/>
      <c r="I648" s="125"/>
      <c r="J648" s="123"/>
      <c r="K648" s="124"/>
      <c r="L648" s="125"/>
      <c r="M648" s="124"/>
      <c r="N648" s="124"/>
      <c r="O648" s="124"/>
      <c r="P648" s="124"/>
      <c r="Q648" s="124"/>
      <c r="R648" s="123"/>
      <c r="S648" s="123"/>
      <c r="T648" s="123"/>
      <c r="U648" s="123"/>
      <c r="V648" s="123"/>
      <c r="W648" s="123"/>
      <c r="X648" s="123"/>
      <c r="Y648" s="123"/>
      <c r="Z648" s="123"/>
      <c r="AA648" s="123"/>
      <c r="AB648" s="123"/>
      <c r="AC648" s="123"/>
      <c r="AD648" s="123"/>
      <c r="AE648" s="123"/>
      <c r="AF648" s="123"/>
      <c r="AG648" s="123"/>
      <c r="AH648" s="123"/>
      <c r="AI648" s="123"/>
      <c r="AJ648" s="123"/>
    </row>
    <row r="649" ht="15.75" customHeight="1">
      <c r="A649" s="123"/>
      <c r="B649" s="124"/>
      <c r="C649" s="124"/>
      <c r="D649" s="124"/>
      <c r="E649" s="124"/>
      <c r="F649" s="125"/>
      <c r="G649" s="124"/>
      <c r="H649" s="124"/>
      <c r="I649" s="125"/>
      <c r="J649" s="123"/>
      <c r="K649" s="124"/>
      <c r="L649" s="125"/>
      <c r="M649" s="124"/>
      <c r="N649" s="124"/>
      <c r="O649" s="124"/>
      <c r="P649" s="124"/>
      <c r="Q649" s="124"/>
      <c r="R649" s="123"/>
      <c r="S649" s="123"/>
      <c r="T649" s="123"/>
      <c r="U649" s="123"/>
      <c r="V649" s="123"/>
      <c r="W649" s="123"/>
      <c r="X649" s="123"/>
      <c r="Y649" s="123"/>
      <c r="Z649" s="123"/>
      <c r="AA649" s="123"/>
      <c r="AB649" s="123"/>
      <c r="AC649" s="123"/>
      <c r="AD649" s="123"/>
      <c r="AE649" s="123"/>
      <c r="AF649" s="123"/>
      <c r="AG649" s="123"/>
      <c r="AH649" s="123"/>
      <c r="AI649" s="123"/>
      <c r="AJ649" s="123"/>
    </row>
    <row r="650" ht="15.75" customHeight="1">
      <c r="A650" s="123"/>
      <c r="B650" s="124"/>
      <c r="C650" s="124"/>
      <c r="D650" s="124"/>
      <c r="E650" s="124"/>
      <c r="F650" s="125"/>
      <c r="G650" s="124"/>
      <c r="H650" s="124"/>
      <c r="I650" s="125"/>
      <c r="J650" s="123"/>
      <c r="K650" s="124"/>
      <c r="L650" s="125"/>
      <c r="M650" s="124"/>
      <c r="N650" s="124"/>
      <c r="O650" s="124"/>
      <c r="P650" s="124"/>
      <c r="Q650" s="124"/>
      <c r="R650" s="123"/>
      <c r="S650" s="123"/>
      <c r="T650" s="123"/>
      <c r="U650" s="123"/>
      <c r="V650" s="123"/>
      <c r="W650" s="123"/>
      <c r="X650" s="123"/>
      <c r="Y650" s="123"/>
      <c r="Z650" s="123"/>
      <c r="AA650" s="123"/>
      <c r="AB650" s="123"/>
      <c r="AC650" s="123"/>
      <c r="AD650" s="123"/>
      <c r="AE650" s="123"/>
      <c r="AF650" s="123"/>
      <c r="AG650" s="123"/>
      <c r="AH650" s="123"/>
      <c r="AI650" s="123"/>
      <c r="AJ650" s="123"/>
    </row>
    <row r="651" ht="15.75" customHeight="1">
      <c r="A651" s="123"/>
      <c r="B651" s="124"/>
      <c r="C651" s="124"/>
      <c r="D651" s="124"/>
      <c r="E651" s="124"/>
      <c r="F651" s="125"/>
      <c r="G651" s="124"/>
      <c r="H651" s="124"/>
      <c r="I651" s="125"/>
      <c r="J651" s="123"/>
      <c r="K651" s="124"/>
      <c r="L651" s="125"/>
      <c r="M651" s="124"/>
      <c r="N651" s="124"/>
      <c r="O651" s="124"/>
      <c r="P651" s="124"/>
      <c r="Q651" s="124"/>
      <c r="R651" s="123"/>
      <c r="S651" s="123"/>
      <c r="T651" s="123"/>
      <c r="U651" s="123"/>
      <c r="V651" s="123"/>
      <c r="W651" s="123"/>
      <c r="X651" s="123"/>
      <c r="Y651" s="123"/>
      <c r="Z651" s="123"/>
      <c r="AA651" s="123"/>
      <c r="AB651" s="123"/>
      <c r="AC651" s="123"/>
      <c r="AD651" s="123"/>
      <c r="AE651" s="123"/>
      <c r="AF651" s="123"/>
      <c r="AG651" s="123"/>
      <c r="AH651" s="123"/>
      <c r="AI651" s="123"/>
      <c r="AJ651" s="123"/>
    </row>
    <row r="652" ht="15.75" customHeight="1">
      <c r="A652" s="123"/>
      <c r="B652" s="124"/>
      <c r="C652" s="124"/>
      <c r="D652" s="124"/>
      <c r="E652" s="124"/>
      <c r="F652" s="125"/>
      <c r="G652" s="124"/>
      <c r="H652" s="124"/>
      <c r="I652" s="125"/>
      <c r="J652" s="123"/>
      <c r="K652" s="124"/>
      <c r="L652" s="125"/>
      <c r="M652" s="124"/>
      <c r="N652" s="124"/>
      <c r="O652" s="124"/>
      <c r="P652" s="124"/>
      <c r="Q652" s="124"/>
      <c r="R652" s="123"/>
      <c r="S652" s="123"/>
      <c r="T652" s="123"/>
      <c r="U652" s="123"/>
      <c r="V652" s="123"/>
      <c r="W652" s="123"/>
      <c r="X652" s="123"/>
      <c r="Y652" s="123"/>
      <c r="Z652" s="123"/>
      <c r="AA652" s="123"/>
      <c r="AB652" s="123"/>
      <c r="AC652" s="123"/>
      <c r="AD652" s="123"/>
      <c r="AE652" s="123"/>
      <c r="AF652" s="123"/>
      <c r="AG652" s="123"/>
      <c r="AH652" s="123"/>
      <c r="AI652" s="123"/>
      <c r="AJ652" s="123"/>
    </row>
    <row r="653" ht="15.75" customHeight="1">
      <c r="A653" s="123"/>
      <c r="B653" s="124"/>
      <c r="C653" s="124"/>
      <c r="D653" s="124"/>
      <c r="E653" s="124"/>
      <c r="F653" s="125"/>
      <c r="G653" s="124"/>
      <c r="H653" s="124"/>
      <c r="I653" s="125"/>
      <c r="J653" s="123"/>
      <c r="K653" s="124"/>
      <c r="L653" s="125"/>
      <c r="M653" s="124"/>
      <c r="N653" s="124"/>
      <c r="O653" s="124"/>
      <c r="P653" s="124"/>
      <c r="Q653" s="124"/>
      <c r="R653" s="123"/>
      <c r="S653" s="123"/>
      <c r="T653" s="123"/>
      <c r="U653" s="123"/>
      <c r="V653" s="123"/>
      <c r="W653" s="123"/>
      <c r="X653" s="123"/>
      <c r="Y653" s="123"/>
      <c r="Z653" s="123"/>
      <c r="AA653" s="123"/>
      <c r="AB653" s="123"/>
      <c r="AC653" s="123"/>
      <c r="AD653" s="123"/>
      <c r="AE653" s="123"/>
      <c r="AF653" s="123"/>
      <c r="AG653" s="123"/>
      <c r="AH653" s="123"/>
      <c r="AI653" s="123"/>
      <c r="AJ653" s="123"/>
    </row>
    <row r="654" ht="15.75" customHeight="1">
      <c r="A654" s="123"/>
      <c r="B654" s="124"/>
      <c r="C654" s="124"/>
      <c r="D654" s="124"/>
      <c r="E654" s="124"/>
      <c r="F654" s="125"/>
      <c r="G654" s="124"/>
      <c r="H654" s="124"/>
      <c r="I654" s="125"/>
      <c r="J654" s="123"/>
      <c r="K654" s="124"/>
      <c r="L654" s="125"/>
      <c r="M654" s="124"/>
      <c r="N654" s="124"/>
      <c r="O654" s="124"/>
      <c r="P654" s="124"/>
      <c r="Q654" s="124"/>
      <c r="R654" s="123"/>
      <c r="S654" s="123"/>
      <c r="T654" s="123"/>
      <c r="U654" s="123"/>
      <c r="V654" s="123"/>
      <c r="W654" s="123"/>
      <c r="X654" s="123"/>
      <c r="Y654" s="123"/>
      <c r="Z654" s="123"/>
      <c r="AA654" s="123"/>
      <c r="AB654" s="123"/>
      <c r="AC654" s="123"/>
      <c r="AD654" s="123"/>
      <c r="AE654" s="123"/>
      <c r="AF654" s="123"/>
      <c r="AG654" s="123"/>
      <c r="AH654" s="123"/>
      <c r="AI654" s="123"/>
      <c r="AJ654" s="123"/>
    </row>
    <row r="655" ht="15.75" customHeight="1">
      <c r="A655" s="123"/>
      <c r="B655" s="124"/>
      <c r="C655" s="124"/>
      <c r="D655" s="124"/>
      <c r="E655" s="124"/>
      <c r="F655" s="125"/>
      <c r="G655" s="124"/>
      <c r="H655" s="124"/>
      <c r="I655" s="125"/>
      <c r="J655" s="123"/>
      <c r="K655" s="124"/>
      <c r="L655" s="125"/>
      <c r="M655" s="124"/>
      <c r="N655" s="124"/>
      <c r="O655" s="124"/>
      <c r="P655" s="124"/>
      <c r="Q655" s="124"/>
      <c r="R655" s="123"/>
      <c r="S655" s="123"/>
      <c r="T655" s="123"/>
      <c r="U655" s="123"/>
      <c r="V655" s="123"/>
      <c r="W655" s="123"/>
      <c r="X655" s="123"/>
      <c r="Y655" s="123"/>
      <c r="Z655" s="123"/>
      <c r="AA655" s="123"/>
      <c r="AB655" s="123"/>
      <c r="AC655" s="123"/>
      <c r="AD655" s="123"/>
      <c r="AE655" s="123"/>
      <c r="AF655" s="123"/>
      <c r="AG655" s="123"/>
      <c r="AH655" s="123"/>
      <c r="AI655" s="123"/>
      <c r="AJ655" s="123"/>
    </row>
    <row r="656" ht="15.75" customHeight="1">
      <c r="A656" s="123"/>
      <c r="B656" s="124"/>
      <c r="C656" s="124"/>
      <c r="D656" s="124"/>
      <c r="E656" s="124"/>
      <c r="F656" s="125"/>
      <c r="G656" s="124"/>
      <c r="H656" s="124"/>
      <c r="I656" s="125"/>
      <c r="J656" s="123"/>
      <c r="K656" s="124"/>
      <c r="L656" s="125"/>
      <c r="M656" s="124"/>
      <c r="N656" s="124"/>
      <c r="O656" s="124"/>
      <c r="P656" s="124"/>
      <c r="Q656" s="124"/>
      <c r="R656" s="123"/>
      <c r="S656" s="123"/>
      <c r="T656" s="123"/>
      <c r="U656" s="123"/>
      <c r="V656" s="123"/>
      <c r="W656" s="123"/>
      <c r="X656" s="123"/>
      <c r="Y656" s="123"/>
      <c r="Z656" s="123"/>
      <c r="AA656" s="123"/>
      <c r="AB656" s="123"/>
      <c r="AC656" s="123"/>
      <c r="AD656" s="123"/>
      <c r="AE656" s="123"/>
      <c r="AF656" s="123"/>
      <c r="AG656" s="123"/>
      <c r="AH656" s="123"/>
      <c r="AI656" s="123"/>
      <c r="AJ656" s="123"/>
    </row>
    <row r="657" ht="15.75" customHeight="1">
      <c r="A657" s="123"/>
      <c r="B657" s="124"/>
      <c r="C657" s="124"/>
      <c r="D657" s="124"/>
      <c r="E657" s="124"/>
      <c r="F657" s="125"/>
      <c r="G657" s="124"/>
      <c r="H657" s="124"/>
      <c r="I657" s="125"/>
      <c r="J657" s="123"/>
      <c r="K657" s="124"/>
      <c r="L657" s="125"/>
      <c r="M657" s="124"/>
      <c r="N657" s="124"/>
      <c r="O657" s="124"/>
      <c r="P657" s="124"/>
      <c r="Q657" s="124"/>
      <c r="R657" s="123"/>
      <c r="S657" s="123"/>
      <c r="T657" s="123"/>
      <c r="U657" s="123"/>
      <c r="V657" s="123"/>
      <c r="W657" s="123"/>
      <c r="X657" s="123"/>
      <c r="Y657" s="123"/>
      <c r="Z657" s="123"/>
      <c r="AA657" s="123"/>
      <c r="AB657" s="123"/>
      <c r="AC657" s="123"/>
      <c r="AD657" s="123"/>
      <c r="AE657" s="123"/>
      <c r="AF657" s="123"/>
      <c r="AG657" s="123"/>
      <c r="AH657" s="123"/>
      <c r="AI657" s="123"/>
      <c r="AJ657" s="123"/>
    </row>
    <row r="658" ht="15.75" customHeight="1">
      <c r="A658" s="123"/>
      <c r="B658" s="124"/>
      <c r="C658" s="124"/>
      <c r="D658" s="124"/>
      <c r="E658" s="124"/>
      <c r="F658" s="125"/>
      <c r="G658" s="124"/>
      <c r="H658" s="124"/>
      <c r="I658" s="125"/>
      <c r="J658" s="123"/>
      <c r="K658" s="124"/>
      <c r="L658" s="125"/>
      <c r="M658" s="124"/>
      <c r="N658" s="124"/>
      <c r="O658" s="124"/>
      <c r="P658" s="124"/>
      <c r="Q658" s="124"/>
      <c r="R658" s="123"/>
      <c r="S658" s="123"/>
      <c r="T658" s="123"/>
      <c r="U658" s="123"/>
      <c r="V658" s="123"/>
      <c r="W658" s="123"/>
      <c r="X658" s="123"/>
      <c r="Y658" s="123"/>
      <c r="Z658" s="123"/>
      <c r="AA658" s="123"/>
      <c r="AB658" s="123"/>
      <c r="AC658" s="123"/>
      <c r="AD658" s="123"/>
      <c r="AE658" s="123"/>
      <c r="AF658" s="123"/>
      <c r="AG658" s="123"/>
      <c r="AH658" s="123"/>
      <c r="AI658" s="123"/>
      <c r="AJ658" s="123"/>
    </row>
    <row r="659" ht="15.75" customHeight="1">
      <c r="A659" s="123"/>
      <c r="B659" s="124"/>
      <c r="C659" s="124"/>
      <c r="D659" s="124"/>
      <c r="E659" s="124"/>
      <c r="F659" s="125"/>
      <c r="G659" s="124"/>
      <c r="H659" s="124"/>
      <c r="I659" s="125"/>
      <c r="J659" s="123"/>
      <c r="K659" s="124"/>
      <c r="L659" s="125"/>
      <c r="M659" s="124"/>
      <c r="N659" s="124"/>
      <c r="O659" s="124"/>
      <c r="P659" s="124"/>
      <c r="Q659" s="124"/>
      <c r="R659" s="123"/>
      <c r="S659" s="123"/>
      <c r="T659" s="123"/>
      <c r="U659" s="123"/>
      <c r="V659" s="123"/>
      <c r="W659" s="123"/>
      <c r="X659" s="123"/>
      <c r="Y659" s="123"/>
      <c r="Z659" s="123"/>
      <c r="AA659" s="123"/>
      <c r="AB659" s="123"/>
      <c r="AC659" s="123"/>
      <c r="AD659" s="123"/>
      <c r="AE659" s="123"/>
      <c r="AF659" s="123"/>
      <c r="AG659" s="123"/>
      <c r="AH659" s="123"/>
      <c r="AI659" s="123"/>
      <c r="AJ659" s="123"/>
    </row>
    <row r="660" ht="15.75" customHeight="1">
      <c r="A660" s="123"/>
      <c r="B660" s="124"/>
      <c r="C660" s="124"/>
      <c r="D660" s="124"/>
      <c r="E660" s="124"/>
      <c r="F660" s="125"/>
      <c r="G660" s="124"/>
      <c r="H660" s="124"/>
      <c r="I660" s="125"/>
      <c r="J660" s="123"/>
      <c r="K660" s="124"/>
      <c r="L660" s="125"/>
      <c r="M660" s="124"/>
      <c r="N660" s="124"/>
      <c r="O660" s="124"/>
      <c r="P660" s="124"/>
      <c r="Q660" s="124"/>
      <c r="R660" s="123"/>
      <c r="S660" s="123"/>
      <c r="T660" s="123"/>
      <c r="U660" s="123"/>
      <c r="V660" s="123"/>
      <c r="W660" s="123"/>
      <c r="X660" s="123"/>
      <c r="Y660" s="123"/>
      <c r="Z660" s="123"/>
      <c r="AA660" s="123"/>
      <c r="AB660" s="123"/>
      <c r="AC660" s="123"/>
      <c r="AD660" s="123"/>
      <c r="AE660" s="123"/>
      <c r="AF660" s="123"/>
      <c r="AG660" s="123"/>
      <c r="AH660" s="123"/>
      <c r="AI660" s="123"/>
      <c r="AJ660" s="123"/>
    </row>
    <row r="661" ht="15.75" customHeight="1">
      <c r="A661" s="123"/>
      <c r="B661" s="124"/>
      <c r="C661" s="124"/>
      <c r="D661" s="124"/>
      <c r="E661" s="124"/>
      <c r="F661" s="125"/>
      <c r="G661" s="124"/>
      <c r="H661" s="124"/>
      <c r="I661" s="125"/>
      <c r="J661" s="123"/>
      <c r="K661" s="124"/>
      <c r="L661" s="125"/>
      <c r="M661" s="124"/>
      <c r="N661" s="124"/>
      <c r="O661" s="124"/>
      <c r="P661" s="124"/>
      <c r="Q661" s="124"/>
      <c r="R661" s="123"/>
      <c r="S661" s="123"/>
      <c r="T661" s="123"/>
      <c r="U661" s="123"/>
      <c r="V661" s="123"/>
      <c r="W661" s="123"/>
      <c r="X661" s="123"/>
      <c r="Y661" s="123"/>
      <c r="Z661" s="123"/>
      <c r="AA661" s="123"/>
      <c r="AB661" s="123"/>
      <c r="AC661" s="123"/>
      <c r="AD661" s="123"/>
      <c r="AE661" s="123"/>
      <c r="AF661" s="123"/>
      <c r="AG661" s="123"/>
      <c r="AH661" s="123"/>
      <c r="AI661" s="123"/>
      <c r="AJ661" s="123"/>
    </row>
    <row r="662" ht="15.75" customHeight="1">
      <c r="A662" s="123"/>
      <c r="B662" s="124"/>
      <c r="C662" s="124"/>
      <c r="D662" s="124"/>
      <c r="E662" s="124"/>
      <c r="F662" s="125"/>
      <c r="G662" s="124"/>
      <c r="H662" s="124"/>
      <c r="I662" s="125"/>
      <c r="J662" s="123"/>
      <c r="K662" s="124"/>
      <c r="L662" s="125"/>
      <c r="M662" s="124"/>
      <c r="N662" s="124"/>
      <c r="O662" s="124"/>
      <c r="P662" s="124"/>
      <c r="Q662" s="124"/>
      <c r="R662" s="123"/>
      <c r="S662" s="123"/>
      <c r="T662" s="123"/>
      <c r="U662" s="123"/>
      <c r="V662" s="123"/>
      <c r="W662" s="123"/>
      <c r="X662" s="123"/>
      <c r="Y662" s="123"/>
      <c r="Z662" s="123"/>
      <c r="AA662" s="123"/>
      <c r="AB662" s="123"/>
      <c r="AC662" s="123"/>
      <c r="AD662" s="123"/>
      <c r="AE662" s="123"/>
      <c r="AF662" s="123"/>
      <c r="AG662" s="123"/>
      <c r="AH662" s="123"/>
      <c r="AI662" s="123"/>
      <c r="AJ662" s="123"/>
    </row>
    <row r="663" ht="15.75" customHeight="1">
      <c r="A663" s="123"/>
      <c r="B663" s="124"/>
      <c r="C663" s="124"/>
      <c r="D663" s="124"/>
      <c r="E663" s="124"/>
      <c r="F663" s="125"/>
      <c r="G663" s="124"/>
      <c r="H663" s="124"/>
      <c r="I663" s="125"/>
      <c r="J663" s="123"/>
      <c r="K663" s="124"/>
      <c r="L663" s="125"/>
      <c r="M663" s="124"/>
      <c r="N663" s="124"/>
      <c r="O663" s="124"/>
      <c r="P663" s="124"/>
      <c r="Q663" s="124"/>
      <c r="R663" s="123"/>
      <c r="S663" s="123"/>
      <c r="T663" s="123"/>
      <c r="U663" s="123"/>
      <c r="V663" s="123"/>
      <c r="W663" s="123"/>
      <c r="X663" s="123"/>
      <c r="Y663" s="123"/>
      <c r="Z663" s="123"/>
      <c r="AA663" s="123"/>
      <c r="AB663" s="123"/>
      <c r="AC663" s="123"/>
      <c r="AD663" s="123"/>
      <c r="AE663" s="123"/>
      <c r="AF663" s="123"/>
      <c r="AG663" s="123"/>
      <c r="AH663" s="123"/>
      <c r="AI663" s="123"/>
      <c r="AJ663" s="123"/>
    </row>
    <row r="664" ht="15.75" customHeight="1">
      <c r="A664" s="123"/>
      <c r="B664" s="124"/>
      <c r="C664" s="124"/>
      <c r="D664" s="124"/>
      <c r="E664" s="124"/>
      <c r="F664" s="125"/>
      <c r="G664" s="124"/>
      <c r="H664" s="124"/>
      <c r="I664" s="125"/>
      <c r="J664" s="123"/>
      <c r="K664" s="124"/>
      <c r="L664" s="125"/>
      <c r="M664" s="124"/>
      <c r="N664" s="124"/>
      <c r="O664" s="124"/>
      <c r="P664" s="124"/>
      <c r="Q664" s="124"/>
      <c r="R664" s="123"/>
      <c r="S664" s="123"/>
      <c r="T664" s="123"/>
      <c r="U664" s="123"/>
      <c r="V664" s="123"/>
      <c r="W664" s="123"/>
      <c r="X664" s="123"/>
      <c r="Y664" s="123"/>
      <c r="Z664" s="123"/>
      <c r="AA664" s="123"/>
      <c r="AB664" s="123"/>
      <c r="AC664" s="123"/>
      <c r="AD664" s="123"/>
      <c r="AE664" s="123"/>
      <c r="AF664" s="123"/>
      <c r="AG664" s="123"/>
      <c r="AH664" s="123"/>
      <c r="AI664" s="123"/>
      <c r="AJ664" s="123"/>
    </row>
    <row r="665" ht="15.75" customHeight="1">
      <c r="A665" s="123"/>
      <c r="B665" s="124"/>
      <c r="C665" s="124"/>
      <c r="D665" s="124"/>
      <c r="E665" s="124"/>
      <c r="F665" s="125"/>
      <c r="G665" s="124"/>
      <c r="H665" s="124"/>
      <c r="I665" s="125"/>
      <c r="J665" s="123"/>
      <c r="K665" s="124"/>
      <c r="L665" s="125"/>
      <c r="M665" s="124"/>
      <c r="N665" s="124"/>
      <c r="O665" s="124"/>
      <c r="P665" s="124"/>
      <c r="Q665" s="124"/>
      <c r="R665" s="123"/>
      <c r="S665" s="123"/>
      <c r="T665" s="123"/>
      <c r="U665" s="123"/>
      <c r="V665" s="123"/>
      <c r="W665" s="123"/>
      <c r="X665" s="123"/>
      <c r="Y665" s="123"/>
      <c r="Z665" s="123"/>
      <c r="AA665" s="123"/>
      <c r="AB665" s="123"/>
      <c r="AC665" s="123"/>
      <c r="AD665" s="123"/>
      <c r="AE665" s="123"/>
      <c r="AF665" s="123"/>
      <c r="AG665" s="123"/>
      <c r="AH665" s="123"/>
      <c r="AI665" s="123"/>
      <c r="AJ665" s="123"/>
    </row>
    <row r="666" ht="15.75" customHeight="1">
      <c r="A666" s="123"/>
      <c r="B666" s="124"/>
      <c r="C666" s="124"/>
      <c r="D666" s="124"/>
      <c r="E666" s="124"/>
      <c r="F666" s="125"/>
      <c r="G666" s="124"/>
      <c r="H666" s="124"/>
      <c r="I666" s="125"/>
      <c r="J666" s="123"/>
      <c r="K666" s="124"/>
      <c r="L666" s="125"/>
      <c r="M666" s="124"/>
      <c r="N666" s="124"/>
      <c r="O666" s="124"/>
      <c r="P666" s="124"/>
      <c r="Q666" s="124"/>
      <c r="R666" s="123"/>
      <c r="S666" s="123"/>
      <c r="T666" s="123"/>
      <c r="U666" s="123"/>
      <c r="V666" s="123"/>
      <c r="W666" s="123"/>
      <c r="X666" s="123"/>
      <c r="Y666" s="123"/>
      <c r="Z666" s="123"/>
      <c r="AA666" s="123"/>
      <c r="AB666" s="123"/>
      <c r="AC666" s="123"/>
      <c r="AD666" s="123"/>
      <c r="AE666" s="123"/>
      <c r="AF666" s="123"/>
      <c r="AG666" s="123"/>
      <c r="AH666" s="123"/>
      <c r="AI666" s="123"/>
      <c r="AJ666" s="123"/>
    </row>
    <row r="667" ht="15.75" customHeight="1">
      <c r="A667" s="123"/>
      <c r="B667" s="124"/>
      <c r="C667" s="124"/>
      <c r="D667" s="124"/>
      <c r="E667" s="124"/>
      <c r="F667" s="125"/>
      <c r="G667" s="124"/>
      <c r="H667" s="124"/>
      <c r="I667" s="125"/>
      <c r="J667" s="123"/>
      <c r="K667" s="124"/>
      <c r="L667" s="125"/>
      <c r="M667" s="124"/>
      <c r="N667" s="124"/>
      <c r="O667" s="124"/>
      <c r="P667" s="124"/>
      <c r="Q667" s="124"/>
      <c r="R667" s="123"/>
      <c r="S667" s="123"/>
      <c r="T667" s="123"/>
      <c r="U667" s="123"/>
      <c r="V667" s="123"/>
      <c r="W667" s="123"/>
      <c r="X667" s="123"/>
      <c r="Y667" s="123"/>
      <c r="Z667" s="123"/>
      <c r="AA667" s="123"/>
      <c r="AB667" s="123"/>
      <c r="AC667" s="123"/>
      <c r="AD667" s="123"/>
      <c r="AE667" s="123"/>
      <c r="AF667" s="123"/>
      <c r="AG667" s="123"/>
      <c r="AH667" s="123"/>
      <c r="AI667" s="123"/>
      <c r="AJ667" s="123"/>
    </row>
    <row r="668" ht="15.75" customHeight="1">
      <c r="A668" s="123"/>
      <c r="B668" s="124"/>
      <c r="C668" s="124"/>
      <c r="D668" s="124"/>
      <c r="E668" s="124"/>
      <c r="F668" s="125"/>
      <c r="G668" s="124"/>
      <c r="H668" s="124"/>
      <c r="I668" s="125"/>
      <c r="J668" s="123"/>
      <c r="K668" s="124"/>
      <c r="L668" s="125"/>
      <c r="M668" s="124"/>
      <c r="N668" s="124"/>
      <c r="O668" s="124"/>
      <c r="P668" s="124"/>
      <c r="Q668" s="124"/>
      <c r="R668" s="123"/>
      <c r="S668" s="123"/>
      <c r="T668" s="123"/>
      <c r="U668" s="123"/>
      <c r="V668" s="123"/>
      <c r="W668" s="123"/>
      <c r="X668" s="123"/>
      <c r="Y668" s="123"/>
      <c r="Z668" s="123"/>
      <c r="AA668" s="123"/>
      <c r="AB668" s="123"/>
      <c r="AC668" s="123"/>
      <c r="AD668" s="123"/>
      <c r="AE668" s="123"/>
      <c r="AF668" s="123"/>
      <c r="AG668" s="123"/>
      <c r="AH668" s="123"/>
      <c r="AI668" s="123"/>
      <c r="AJ668" s="123"/>
    </row>
    <row r="669" ht="15.75" customHeight="1">
      <c r="A669" s="123"/>
      <c r="B669" s="124"/>
      <c r="C669" s="124"/>
      <c r="D669" s="124"/>
      <c r="E669" s="124"/>
      <c r="F669" s="125"/>
      <c r="G669" s="124"/>
      <c r="H669" s="124"/>
      <c r="I669" s="125"/>
      <c r="J669" s="123"/>
      <c r="K669" s="124"/>
      <c r="L669" s="125"/>
      <c r="M669" s="124"/>
      <c r="N669" s="124"/>
      <c r="O669" s="124"/>
      <c r="P669" s="124"/>
      <c r="Q669" s="124"/>
      <c r="R669" s="123"/>
      <c r="S669" s="123"/>
      <c r="T669" s="123"/>
      <c r="U669" s="123"/>
      <c r="V669" s="123"/>
      <c r="W669" s="123"/>
      <c r="X669" s="123"/>
      <c r="Y669" s="123"/>
      <c r="Z669" s="123"/>
      <c r="AA669" s="123"/>
      <c r="AB669" s="123"/>
      <c r="AC669" s="123"/>
      <c r="AD669" s="123"/>
      <c r="AE669" s="123"/>
      <c r="AF669" s="123"/>
      <c r="AG669" s="123"/>
      <c r="AH669" s="123"/>
      <c r="AI669" s="123"/>
      <c r="AJ669" s="123"/>
    </row>
    <row r="670" ht="15.75" customHeight="1">
      <c r="A670" s="123"/>
      <c r="B670" s="124"/>
      <c r="C670" s="124"/>
      <c r="D670" s="124"/>
      <c r="E670" s="124"/>
      <c r="F670" s="125"/>
      <c r="G670" s="124"/>
      <c r="H670" s="124"/>
      <c r="I670" s="125"/>
      <c r="J670" s="123"/>
      <c r="K670" s="124"/>
      <c r="L670" s="125"/>
      <c r="M670" s="124"/>
      <c r="N670" s="124"/>
      <c r="O670" s="124"/>
      <c r="P670" s="124"/>
      <c r="Q670" s="124"/>
      <c r="R670" s="123"/>
      <c r="S670" s="123"/>
      <c r="T670" s="123"/>
      <c r="U670" s="123"/>
      <c r="V670" s="123"/>
      <c r="W670" s="123"/>
      <c r="X670" s="123"/>
      <c r="Y670" s="123"/>
      <c r="Z670" s="123"/>
      <c r="AA670" s="123"/>
      <c r="AB670" s="123"/>
      <c r="AC670" s="123"/>
      <c r="AD670" s="123"/>
      <c r="AE670" s="123"/>
      <c r="AF670" s="123"/>
      <c r="AG670" s="123"/>
      <c r="AH670" s="123"/>
      <c r="AI670" s="123"/>
      <c r="AJ670" s="123"/>
    </row>
    <row r="671" ht="15.75" customHeight="1">
      <c r="A671" s="123"/>
      <c r="B671" s="124"/>
      <c r="C671" s="124"/>
      <c r="D671" s="124"/>
      <c r="E671" s="124"/>
      <c r="F671" s="125"/>
      <c r="G671" s="124"/>
      <c r="H671" s="124"/>
      <c r="I671" s="125"/>
      <c r="J671" s="123"/>
      <c r="K671" s="124"/>
      <c r="L671" s="125"/>
      <c r="M671" s="124"/>
      <c r="N671" s="124"/>
      <c r="O671" s="124"/>
      <c r="P671" s="124"/>
      <c r="Q671" s="124"/>
      <c r="R671" s="123"/>
      <c r="S671" s="123"/>
      <c r="T671" s="123"/>
      <c r="U671" s="123"/>
      <c r="V671" s="123"/>
      <c r="W671" s="123"/>
      <c r="X671" s="123"/>
      <c r="Y671" s="123"/>
      <c r="Z671" s="123"/>
      <c r="AA671" s="123"/>
      <c r="AB671" s="123"/>
      <c r="AC671" s="123"/>
      <c r="AD671" s="123"/>
      <c r="AE671" s="123"/>
      <c r="AF671" s="123"/>
      <c r="AG671" s="123"/>
      <c r="AH671" s="123"/>
      <c r="AI671" s="123"/>
      <c r="AJ671" s="123"/>
    </row>
    <row r="672" ht="15.75" customHeight="1">
      <c r="A672" s="123"/>
      <c r="B672" s="124"/>
      <c r="C672" s="124"/>
      <c r="D672" s="124"/>
      <c r="E672" s="124"/>
      <c r="F672" s="125"/>
      <c r="G672" s="124"/>
      <c r="H672" s="124"/>
      <c r="I672" s="125"/>
      <c r="J672" s="123"/>
      <c r="K672" s="124"/>
      <c r="L672" s="125"/>
      <c r="M672" s="124"/>
      <c r="N672" s="124"/>
      <c r="O672" s="124"/>
      <c r="P672" s="124"/>
      <c r="Q672" s="124"/>
      <c r="R672" s="123"/>
      <c r="S672" s="123"/>
      <c r="T672" s="123"/>
      <c r="U672" s="123"/>
      <c r="V672" s="123"/>
      <c r="W672" s="123"/>
      <c r="X672" s="123"/>
      <c r="Y672" s="123"/>
      <c r="Z672" s="123"/>
      <c r="AA672" s="123"/>
      <c r="AB672" s="123"/>
      <c r="AC672" s="123"/>
      <c r="AD672" s="123"/>
      <c r="AE672" s="123"/>
      <c r="AF672" s="123"/>
      <c r="AG672" s="123"/>
      <c r="AH672" s="123"/>
      <c r="AI672" s="123"/>
      <c r="AJ672" s="123"/>
    </row>
    <row r="673" ht="15.75" customHeight="1">
      <c r="A673" s="123"/>
      <c r="B673" s="124"/>
      <c r="C673" s="124"/>
      <c r="D673" s="124"/>
      <c r="E673" s="124"/>
      <c r="F673" s="125"/>
      <c r="G673" s="124"/>
      <c r="H673" s="124"/>
      <c r="I673" s="125"/>
      <c r="J673" s="123"/>
      <c r="K673" s="124"/>
      <c r="L673" s="125"/>
      <c r="M673" s="124"/>
      <c r="N673" s="124"/>
      <c r="O673" s="124"/>
      <c r="P673" s="124"/>
      <c r="Q673" s="124"/>
      <c r="R673" s="123"/>
      <c r="S673" s="123"/>
      <c r="T673" s="123"/>
      <c r="U673" s="123"/>
      <c r="V673" s="123"/>
      <c r="W673" s="123"/>
      <c r="X673" s="123"/>
      <c r="Y673" s="123"/>
      <c r="Z673" s="123"/>
      <c r="AA673" s="123"/>
      <c r="AB673" s="123"/>
      <c r="AC673" s="123"/>
      <c r="AD673" s="123"/>
      <c r="AE673" s="123"/>
      <c r="AF673" s="123"/>
      <c r="AG673" s="123"/>
      <c r="AH673" s="123"/>
      <c r="AI673" s="123"/>
      <c r="AJ673" s="123"/>
    </row>
    <row r="674" ht="15.75" customHeight="1">
      <c r="A674" s="123"/>
      <c r="B674" s="124"/>
      <c r="C674" s="124"/>
      <c r="D674" s="124"/>
      <c r="E674" s="124"/>
      <c r="F674" s="125"/>
      <c r="G674" s="124"/>
      <c r="H674" s="124"/>
      <c r="I674" s="125"/>
      <c r="J674" s="123"/>
      <c r="K674" s="124"/>
      <c r="L674" s="125"/>
      <c r="M674" s="124"/>
      <c r="N674" s="124"/>
      <c r="O674" s="124"/>
      <c r="P674" s="124"/>
      <c r="Q674" s="124"/>
      <c r="R674" s="123"/>
      <c r="S674" s="123"/>
      <c r="T674" s="123"/>
      <c r="U674" s="123"/>
      <c r="V674" s="123"/>
      <c r="W674" s="123"/>
      <c r="X674" s="123"/>
      <c r="Y674" s="123"/>
      <c r="Z674" s="123"/>
      <c r="AA674" s="123"/>
      <c r="AB674" s="123"/>
      <c r="AC674" s="123"/>
      <c r="AD674" s="123"/>
      <c r="AE674" s="123"/>
      <c r="AF674" s="123"/>
      <c r="AG674" s="123"/>
      <c r="AH674" s="123"/>
      <c r="AI674" s="123"/>
      <c r="AJ674" s="123"/>
    </row>
    <row r="675" ht="15.75" customHeight="1">
      <c r="A675" s="123"/>
      <c r="B675" s="124"/>
      <c r="C675" s="124"/>
      <c r="D675" s="124"/>
      <c r="E675" s="124"/>
      <c r="F675" s="125"/>
      <c r="G675" s="124"/>
      <c r="H675" s="124"/>
      <c r="I675" s="125"/>
      <c r="J675" s="123"/>
      <c r="K675" s="124"/>
      <c r="L675" s="125"/>
      <c r="M675" s="124"/>
      <c r="N675" s="124"/>
      <c r="O675" s="124"/>
      <c r="P675" s="124"/>
      <c r="Q675" s="124"/>
      <c r="R675" s="123"/>
      <c r="S675" s="123"/>
      <c r="T675" s="123"/>
      <c r="U675" s="123"/>
      <c r="V675" s="123"/>
      <c r="W675" s="123"/>
      <c r="X675" s="123"/>
      <c r="Y675" s="123"/>
      <c r="Z675" s="123"/>
      <c r="AA675" s="123"/>
      <c r="AB675" s="123"/>
      <c r="AC675" s="123"/>
      <c r="AD675" s="123"/>
      <c r="AE675" s="123"/>
      <c r="AF675" s="123"/>
      <c r="AG675" s="123"/>
      <c r="AH675" s="123"/>
      <c r="AI675" s="123"/>
      <c r="AJ675" s="123"/>
    </row>
    <row r="676" ht="15.75" customHeight="1">
      <c r="A676" s="123"/>
      <c r="B676" s="124"/>
      <c r="C676" s="124"/>
      <c r="D676" s="124"/>
      <c r="E676" s="124"/>
      <c r="F676" s="125"/>
      <c r="G676" s="124"/>
      <c r="H676" s="124"/>
      <c r="I676" s="125"/>
      <c r="J676" s="123"/>
      <c r="K676" s="124"/>
      <c r="L676" s="125"/>
      <c r="M676" s="124"/>
      <c r="N676" s="124"/>
      <c r="O676" s="124"/>
      <c r="P676" s="124"/>
      <c r="Q676" s="124"/>
      <c r="R676" s="123"/>
      <c r="S676" s="123"/>
      <c r="T676" s="123"/>
      <c r="U676" s="123"/>
      <c r="V676" s="123"/>
      <c r="W676" s="123"/>
      <c r="X676" s="123"/>
      <c r="Y676" s="123"/>
      <c r="Z676" s="123"/>
      <c r="AA676" s="123"/>
      <c r="AB676" s="123"/>
      <c r="AC676" s="123"/>
      <c r="AD676" s="123"/>
      <c r="AE676" s="123"/>
      <c r="AF676" s="123"/>
      <c r="AG676" s="123"/>
      <c r="AH676" s="123"/>
      <c r="AI676" s="123"/>
      <c r="AJ676" s="123"/>
    </row>
    <row r="677" ht="15.75" customHeight="1">
      <c r="A677" s="123"/>
      <c r="B677" s="124"/>
      <c r="C677" s="124"/>
      <c r="D677" s="124"/>
      <c r="E677" s="124"/>
      <c r="F677" s="125"/>
      <c r="G677" s="124"/>
      <c r="H677" s="124"/>
      <c r="I677" s="125"/>
      <c r="J677" s="123"/>
      <c r="K677" s="124"/>
      <c r="L677" s="125"/>
      <c r="M677" s="124"/>
      <c r="N677" s="124"/>
      <c r="O677" s="124"/>
      <c r="P677" s="124"/>
      <c r="Q677" s="124"/>
      <c r="R677" s="123"/>
      <c r="S677" s="123"/>
      <c r="T677" s="123"/>
      <c r="U677" s="123"/>
      <c r="V677" s="123"/>
      <c r="W677" s="123"/>
      <c r="X677" s="123"/>
      <c r="Y677" s="123"/>
      <c r="Z677" s="123"/>
      <c r="AA677" s="123"/>
      <c r="AB677" s="123"/>
      <c r="AC677" s="123"/>
      <c r="AD677" s="123"/>
      <c r="AE677" s="123"/>
      <c r="AF677" s="123"/>
      <c r="AG677" s="123"/>
      <c r="AH677" s="123"/>
      <c r="AI677" s="123"/>
      <c r="AJ677" s="123"/>
    </row>
    <row r="678" ht="15.75" customHeight="1">
      <c r="A678" s="123"/>
      <c r="B678" s="124"/>
      <c r="C678" s="124"/>
      <c r="D678" s="124"/>
      <c r="E678" s="124"/>
      <c r="F678" s="125"/>
      <c r="G678" s="124"/>
      <c r="H678" s="124"/>
      <c r="I678" s="125"/>
      <c r="J678" s="123"/>
      <c r="K678" s="124"/>
      <c r="L678" s="125"/>
      <c r="M678" s="124"/>
      <c r="N678" s="124"/>
      <c r="O678" s="124"/>
      <c r="P678" s="124"/>
      <c r="Q678" s="124"/>
      <c r="R678" s="123"/>
      <c r="S678" s="123"/>
      <c r="T678" s="123"/>
      <c r="U678" s="123"/>
      <c r="V678" s="123"/>
      <c r="W678" s="123"/>
      <c r="X678" s="123"/>
      <c r="Y678" s="123"/>
      <c r="Z678" s="123"/>
      <c r="AA678" s="123"/>
      <c r="AB678" s="123"/>
      <c r="AC678" s="123"/>
      <c r="AD678" s="123"/>
      <c r="AE678" s="123"/>
      <c r="AF678" s="123"/>
      <c r="AG678" s="123"/>
      <c r="AH678" s="123"/>
      <c r="AI678" s="123"/>
      <c r="AJ678" s="123"/>
    </row>
    <row r="679" ht="15.75" customHeight="1">
      <c r="A679" s="123"/>
      <c r="B679" s="124"/>
      <c r="C679" s="124"/>
      <c r="D679" s="124"/>
      <c r="E679" s="124"/>
      <c r="F679" s="125"/>
      <c r="G679" s="124"/>
      <c r="H679" s="124"/>
      <c r="I679" s="125"/>
      <c r="J679" s="123"/>
      <c r="K679" s="124"/>
      <c r="L679" s="125"/>
      <c r="M679" s="124"/>
      <c r="N679" s="124"/>
      <c r="O679" s="124"/>
      <c r="P679" s="124"/>
      <c r="Q679" s="124"/>
      <c r="R679" s="123"/>
      <c r="S679" s="123"/>
      <c r="T679" s="123"/>
      <c r="U679" s="123"/>
      <c r="V679" s="123"/>
      <c r="W679" s="123"/>
      <c r="X679" s="123"/>
      <c r="Y679" s="123"/>
      <c r="Z679" s="123"/>
      <c r="AA679" s="123"/>
      <c r="AB679" s="123"/>
      <c r="AC679" s="123"/>
      <c r="AD679" s="123"/>
      <c r="AE679" s="123"/>
      <c r="AF679" s="123"/>
      <c r="AG679" s="123"/>
      <c r="AH679" s="123"/>
      <c r="AI679" s="123"/>
      <c r="AJ679" s="123"/>
    </row>
    <row r="680" ht="15.75" customHeight="1">
      <c r="A680" s="123"/>
      <c r="B680" s="124"/>
      <c r="C680" s="124"/>
      <c r="D680" s="124"/>
      <c r="E680" s="124"/>
      <c r="F680" s="125"/>
      <c r="G680" s="124"/>
      <c r="H680" s="124"/>
      <c r="I680" s="125"/>
      <c r="J680" s="123"/>
      <c r="K680" s="124"/>
      <c r="L680" s="125"/>
      <c r="M680" s="124"/>
      <c r="N680" s="124"/>
      <c r="O680" s="124"/>
      <c r="P680" s="124"/>
      <c r="Q680" s="124"/>
      <c r="R680" s="123"/>
      <c r="S680" s="123"/>
      <c r="T680" s="123"/>
      <c r="U680" s="123"/>
      <c r="V680" s="123"/>
      <c r="W680" s="123"/>
      <c r="X680" s="123"/>
      <c r="Y680" s="123"/>
      <c r="Z680" s="123"/>
      <c r="AA680" s="123"/>
      <c r="AB680" s="123"/>
      <c r="AC680" s="123"/>
      <c r="AD680" s="123"/>
      <c r="AE680" s="123"/>
      <c r="AF680" s="123"/>
      <c r="AG680" s="123"/>
      <c r="AH680" s="123"/>
      <c r="AI680" s="123"/>
      <c r="AJ680" s="123"/>
    </row>
    <row r="681" ht="15.75" customHeight="1">
      <c r="A681" s="123"/>
      <c r="B681" s="124"/>
      <c r="C681" s="124"/>
      <c r="D681" s="124"/>
      <c r="E681" s="124"/>
      <c r="F681" s="125"/>
      <c r="G681" s="124"/>
      <c r="H681" s="124"/>
      <c r="I681" s="125"/>
      <c r="J681" s="123"/>
      <c r="K681" s="124"/>
      <c r="L681" s="125"/>
      <c r="M681" s="124"/>
      <c r="N681" s="124"/>
      <c r="O681" s="124"/>
      <c r="P681" s="124"/>
      <c r="Q681" s="124"/>
      <c r="R681" s="123"/>
      <c r="S681" s="123"/>
      <c r="T681" s="123"/>
      <c r="U681" s="123"/>
      <c r="V681" s="123"/>
      <c r="W681" s="123"/>
      <c r="X681" s="123"/>
      <c r="Y681" s="123"/>
      <c r="Z681" s="123"/>
      <c r="AA681" s="123"/>
      <c r="AB681" s="123"/>
      <c r="AC681" s="123"/>
      <c r="AD681" s="123"/>
      <c r="AE681" s="123"/>
      <c r="AF681" s="123"/>
      <c r="AG681" s="123"/>
      <c r="AH681" s="123"/>
      <c r="AI681" s="123"/>
      <c r="AJ681" s="123"/>
    </row>
    <row r="682" ht="15.75" customHeight="1">
      <c r="A682" s="123"/>
      <c r="B682" s="124"/>
      <c r="C682" s="124"/>
      <c r="D682" s="124"/>
      <c r="E682" s="124"/>
      <c r="F682" s="125"/>
      <c r="G682" s="124"/>
      <c r="H682" s="124"/>
      <c r="I682" s="125"/>
      <c r="J682" s="123"/>
      <c r="K682" s="124"/>
      <c r="L682" s="125"/>
      <c r="M682" s="124"/>
      <c r="N682" s="124"/>
      <c r="O682" s="124"/>
      <c r="P682" s="124"/>
      <c r="Q682" s="124"/>
      <c r="R682" s="123"/>
      <c r="S682" s="123"/>
      <c r="T682" s="123"/>
      <c r="U682" s="123"/>
      <c r="V682" s="123"/>
      <c r="W682" s="123"/>
      <c r="X682" s="123"/>
      <c r="Y682" s="123"/>
      <c r="Z682" s="123"/>
      <c r="AA682" s="123"/>
      <c r="AB682" s="123"/>
      <c r="AC682" s="123"/>
      <c r="AD682" s="123"/>
      <c r="AE682" s="123"/>
      <c r="AF682" s="123"/>
      <c r="AG682" s="123"/>
      <c r="AH682" s="123"/>
      <c r="AI682" s="123"/>
      <c r="AJ682" s="123"/>
    </row>
    <row r="683" ht="15.75" customHeight="1">
      <c r="A683" s="123"/>
      <c r="B683" s="124"/>
      <c r="C683" s="124"/>
      <c r="D683" s="124"/>
      <c r="E683" s="124"/>
      <c r="F683" s="125"/>
      <c r="G683" s="124"/>
      <c r="H683" s="124"/>
      <c r="I683" s="125"/>
      <c r="J683" s="123"/>
      <c r="K683" s="124"/>
      <c r="L683" s="125"/>
      <c r="M683" s="124"/>
      <c r="N683" s="124"/>
      <c r="O683" s="124"/>
      <c r="P683" s="124"/>
      <c r="Q683" s="124"/>
      <c r="R683" s="123"/>
      <c r="S683" s="123"/>
      <c r="T683" s="123"/>
      <c r="U683" s="123"/>
      <c r="V683" s="123"/>
      <c r="W683" s="123"/>
      <c r="X683" s="123"/>
      <c r="Y683" s="123"/>
      <c r="Z683" s="123"/>
      <c r="AA683" s="123"/>
      <c r="AB683" s="123"/>
      <c r="AC683" s="123"/>
      <c r="AD683" s="123"/>
      <c r="AE683" s="123"/>
      <c r="AF683" s="123"/>
      <c r="AG683" s="123"/>
      <c r="AH683" s="123"/>
      <c r="AI683" s="123"/>
      <c r="AJ683" s="123"/>
    </row>
    <row r="684" ht="15.75" customHeight="1">
      <c r="A684" s="123"/>
      <c r="B684" s="124"/>
      <c r="C684" s="124"/>
      <c r="D684" s="124"/>
      <c r="E684" s="124"/>
      <c r="F684" s="125"/>
      <c r="G684" s="124"/>
      <c r="H684" s="124"/>
      <c r="I684" s="125"/>
      <c r="J684" s="123"/>
      <c r="K684" s="124"/>
      <c r="L684" s="125"/>
      <c r="M684" s="124"/>
      <c r="N684" s="124"/>
      <c r="O684" s="124"/>
      <c r="P684" s="124"/>
      <c r="Q684" s="124"/>
      <c r="R684" s="123"/>
      <c r="S684" s="123"/>
      <c r="T684" s="123"/>
      <c r="U684" s="123"/>
      <c r="V684" s="123"/>
      <c r="W684" s="123"/>
      <c r="X684" s="123"/>
      <c r="Y684" s="123"/>
      <c r="Z684" s="123"/>
      <c r="AA684" s="123"/>
      <c r="AB684" s="123"/>
      <c r="AC684" s="123"/>
      <c r="AD684" s="123"/>
      <c r="AE684" s="123"/>
      <c r="AF684" s="123"/>
      <c r="AG684" s="123"/>
      <c r="AH684" s="123"/>
      <c r="AI684" s="123"/>
      <c r="AJ684" s="123"/>
    </row>
    <row r="685" ht="15.75" customHeight="1">
      <c r="A685" s="123"/>
      <c r="B685" s="124"/>
      <c r="C685" s="124"/>
      <c r="D685" s="124"/>
      <c r="E685" s="124"/>
      <c r="F685" s="125"/>
      <c r="G685" s="124"/>
      <c r="H685" s="124"/>
      <c r="I685" s="125"/>
      <c r="J685" s="123"/>
      <c r="K685" s="124"/>
      <c r="L685" s="125"/>
      <c r="M685" s="124"/>
      <c r="N685" s="124"/>
      <c r="O685" s="124"/>
      <c r="P685" s="124"/>
      <c r="Q685" s="124"/>
      <c r="R685" s="123"/>
      <c r="S685" s="123"/>
      <c r="T685" s="123"/>
      <c r="U685" s="123"/>
      <c r="V685" s="123"/>
      <c r="W685" s="123"/>
      <c r="X685" s="123"/>
      <c r="Y685" s="123"/>
      <c r="Z685" s="123"/>
      <c r="AA685" s="123"/>
      <c r="AB685" s="123"/>
      <c r="AC685" s="123"/>
      <c r="AD685" s="123"/>
      <c r="AE685" s="123"/>
      <c r="AF685" s="123"/>
      <c r="AG685" s="123"/>
      <c r="AH685" s="123"/>
      <c r="AI685" s="123"/>
      <c r="AJ685" s="123"/>
    </row>
    <row r="686" ht="15.75" customHeight="1">
      <c r="A686" s="123"/>
      <c r="B686" s="124"/>
      <c r="C686" s="124"/>
      <c r="D686" s="124"/>
      <c r="E686" s="124"/>
      <c r="F686" s="125"/>
      <c r="G686" s="124"/>
      <c r="H686" s="124"/>
      <c r="I686" s="125"/>
      <c r="J686" s="123"/>
      <c r="K686" s="124"/>
      <c r="L686" s="125"/>
      <c r="M686" s="124"/>
      <c r="N686" s="124"/>
      <c r="O686" s="124"/>
      <c r="P686" s="124"/>
      <c r="Q686" s="124"/>
      <c r="R686" s="123"/>
      <c r="S686" s="123"/>
      <c r="T686" s="123"/>
      <c r="U686" s="123"/>
      <c r="V686" s="123"/>
      <c r="W686" s="123"/>
      <c r="X686" s="123"/>
      <c r="Y686" s="123"/>
      <c r="Z686" s="123"/>
      <c r="AA686" s="123"/>
      <c r="AB686" s="123"/>
      <c r="AC686" s="123"/>
      <c r="AD686" s="123"/>
      <c r="AE686" s="123"/>
      <c r="AF686" s="123"/>
      <c r="AG686" s="123"/>
      <c r="AH686" s="123"/>
      <c r="AI686" s="123"/>
      <c r="AJ686" s="123"/>
    </row>
    <row r="687" ht="15.75" customHeight="1">
      <c r="A687" s="123"/>
      <c r="B687" s="124"/>
      <c r="C687" s="124"/>
      <c r="D687" s="124"/>
      <c r="E687" s="124"/>
      <c r="F687" s="125"/>
      <c r="G687" s="124"/>
      <c r="H687" s="124"/>
      <c r="I687" s="125"/>
      <c r="J687" s="123"/>
      <c r="K687" s="124"/>
      <c r="L687" s="125"/>
      <c r="M687" s="124"/>
      <c r="N687" s="124"/>
      <c r="O687" s="124"/>
      <c r="P687" s="124"/>
      <c r="Q687" s="124"/>
      <c r="R687" s="123"/>
      <c r="S687" s="123"/>
      <c r="T687" s="123"/>
      <c r="U687" s="123"/>
      <c r="V687" s="123"/>
      <c r="W687" s="123"/>
      <c r="X687" s="123"/>
      <c r="Y687" s="123"/>
      <c r="Z687" s="123"/>
      <c r="AA687" s="123"/>
      <c r="AB687" s="123"/>
      <c r="AC687" s="123"/>
      <c r="AD687" s="123"/>
      <c r="AE687" s="123"/>
      <c r="AF687" s="123"/>
      <c r="AG687" s="123"/>
      <c r="AH687" s="123"/>
      <c r="AI687" s="123"/>
      <c r="AJ687" s="123"/>
    </row>
    <row r="688" ht="15.75" customHeight="1">
      <c r="A688" s="123"/>
      <c r="B688" s="124"/>
      <c r="C688" s="124"/>
      <c r="D688" s="124"/>
      <c r="E688" s="124"/>
      <c r="F688" s="125"/>
      <c r="G688" s="124"/>
      <c r="H688" s="124"/>
      <c r="I688" s="125"/>
      <c r="J688" s="123"/>
      <c r="K688" s="124"/>
      <c r="L688" s="125"/>
      <c r="M688" s="124"/>
      <c r="N688" s="124"/>
      <c r="O688" s="124"/>
      <c r="P688" s="124"/>
      <c r="Q688" s="124"/>
      <c r="R688" s="123"/>
      <c r="S688" s="123"/>
      <c r="T688" s="123"/>
      <c r="U688" s="123"/>
      <c r="V688" s="123"/>
      <c r="W688" s="123"/>
      <c r="X688" s="123"/>
      <c r="Y688" s="123"/>
      <c r="Z688" s="123"/>
      <c r="AA688" s="123"/>
      <c r="AB688" s="123"/>
      <c r="AC688" s="123"/>
      <c r="AD688" s="123"/>
      <c r="AE688" s="123"/>
      <c r="AF688" s="123"/>
      <c r="AG688" s="123"/>
      <c r="AH688" s="123"/>
      <c r="AI688" s="123"/>
      <c r="AJ688" s="123"/>
    </row>
    <row r="689" ht="15.75" customHeight="1">
      <c r="A689" s="123"/>
      <c r="B689" s="124"/>
      <c r="C689" s="124"/>
      <c r="D689" s="124"/>
      <c r="E689" s="124"/>
      <c r="F689" s="125"/>
      <c r="G689" s="124"/>
      <c r="H689" s="124"/>
      <c r="I689" s="125"/>
      <c r="J689" s="123"/>
      <c r="K689" s="124"/>
      <c r="L689" s="125"/>
      <c r="M689" s="124"/>
      <c r="N689" s="124"/>
      <c r="O689" s="124"/>
      <c r="P689" s="124"/>
      <c r="Q689" s="124"/>
      <c r="R689" s="123"/>
      <c r="S689" s="123"/>
      <c r="T689" s="123"/>
      <c r="U689" s="123"/>
      <c r="V689" s="123"/>
      <c r="W689" s="123"/>
      <c r="X689" s="123"/>
      <c r="Y689" s="123"/>
      <c r="Z689" s="123"/>
      <c r="AA689" s="123"/>
      <c r="AB689" s="123"/>
      <c r="AC689" s="123"/>
      <c r="AD689" s="123"/>
      <c r="AE689" s="123"/>
      <c r="AF689" s="123"/>
      <c r="AG689" s="123"/>
      <c r="AH689" s="123"/>
      <c r="AI689" s="123"/>
      <c r="AJ689" s="123"/>
    </row>
    <row r="690" ht="15.75" customHeight="1">
      <c r="A690" s="123"/>
      <c r="B690" s="124"/>
      <c r="C690" s="124"/>
      <c r="D690" s="124"/>
      <c r="E690" s="124"/>
      <c r="F690" s="125"/>
      <c r="G690" s="124"/>
      <c r="H690" s="124"/>
      <c r="I690" s="125"/>
      <c r="J690" s="123"/>
      <c r="K690" s="124"/>
      <c r="L690" s="125"/>
      <c r="M690" s="124"/>
      <c r="N690" s="124"/>
      <c r="O690" s="124"/>
      <c r="P690" s="124"/>
      <c r="Q690" s="124"/>
      <c r="R690" s="123"/>
      <c r="S690" s="123"/>
      <c r="T690" s="123"/>
      <c r="U690" s="123"/>
      <c r="V690" s="123"/>
      <c r="W690" s="123"/>
      <c r="X690" s="123"/>
      <c r="Y690" s="123"/>
      <c r="Z690" s="123"/>
      <c r="AA690" s="123"/>
      <c r="AB690" s="123"/>
      <c r="AC690" s="123"/>
      <c r="AD690" s="123"/>
      <c r="AE690" s="123"/>
      <c r="AF690" s="123"/>
      <c r="AG690" s="123"/>
      <c r="AH690" s="123"/>
      <c r="AI690" s="123"/>
      <c r="AJ690" s="123"/>
    </row>
    <row r="691" ht="15.75" customHeight="1">
      <c r="A691" s="123"/>
      <c r="B691" s="124"/>
      <c r="C691" s="124"/>
      <c r="D691" s="124"/>
      <c r="E691" s="124"/>
      <c r="F691" s="125"/>
      <c r="G691" s="124"/>
      <c r="H691" s="124"/>
      <c r="I691" s="125"/>
      <c r="J691" s="123"/>
      <c r="K691" s="124"/>
      <c r="L691" s="125"/>
      <c r="M691" s="124"/>
      <c r="N691" s="124"/>
      <c r="O691" s="124"/>
      <c r="P691" s="124"/>
      <c r="Q691" s="124"/>
      <c r="R691" s="123"/>
      <c r="S691" s="123"/>
      <c r="T691" s="123"/>
      <c r="U691" s="123"/>
      <c r="V691" s="123"/>
      <c r="W691" s="123"/>
      <c r="X691" s="123"/>
      <c r="Y691" s="123"/>
      <c r="Z691" s="123"/>
      <c r="AA691" s="123"/>
      <c r="AB691" s="123"/>
      <c r="AC691" s="123"/>
      <c r="AD691" s="123"/>
      <c r="AE691" s="123"/>
      <c r="AF691" s="123"/>
      <c r="AG691" s="123"/>
      <c r="AH691" s="123"/>
      <c r="AI691" s="123"/>
      <c r="AJ691" s="123"/>
    </row>
    <row r="692" ht="15.75" customHeight="1">
      <c r="A692" s="123"/>
      <c r="B692" s="124"/>
      <c r="C692" s="124"/>
      <c r="D692" s="124"/>
      <c r="E692" s="124"/>
      <c r="F692" s="125"/>
      <c r="G692" s="124"/>
      <c r="H692" s="124"/>
      <c r="I692" s="125"/>
      <c r="J692" s="123"/>
      <c r="K692" s="124"/>
      <c r="L692" s="125"/>
      <c r="M692" s="124"/>
      <c r="N692" s="124"/>
      <c r="O692" s="124"/>
      <c r="P692" s="124"/>
      <c r="Q692" s="124"/>
      <c r="R692" s="123"/>
      <c r="S692" s="123"/>
      <c r="T692" s="123"/>
      <c r="U692" s="123"/>
      <c r="V692" s="123"/>
      <c r="W692" s="123"/>
      <c r="X692" s="123"/>
      <c r="Y692" s="123"/>
      <c r="Z692" s="123"/>
      <c r="AA692" s="123"/>
      <c r="AB692" s="123"/>
      <c r="AC692" s="123"/>
      <c r="AD692" s="123"/>
      <c r="AE692" s="123"/>
      <c r="AF692" s="123"/>
      <c r="AG692" s="123"/>
      <c r="AH692" s="123"/>
      <c r="AI692" s="123"/>
      <c r="AJ692" s="123"/>
    </row>
    <row r="693" ht="15.75" customHeight="1">
      <c r="A693" s="123"/>
      <c r="B693" s="124"/>
      <c r="C693" s="124"/>
      <c r="D693" s="124"/>
      <c r="E693" s="124"/>
      <c r="F693" s="125"/>
      <c r="G693" s="124"/>
      <c r="H693" s="124"/>
      <c r="I693" s="125"/>
      <c r="J693" s="123"/>
      <c r="K693" s="124"/>
      <c r="L693" s="125"/>
      <c r="M693" s="124"/>
      <c r="N693" s="124"/>
      <c r="O693" s="124"/>
      <c r="P693" s="124"/>
      <c r="Q693" s="124"/>
      <c r="R693" s="123"/>
      <c r="S693" s="123"/>
      <c r="T693" s="123"/>
      <c r="U693" s="123"/>
      <c r="V693" s="123"/>
      <c r="W693" s="123"/>
      <c r="X693" s="123"/>
      <c r="Y693" s="123"/>
      <c r="Z693" s="123"/>
      <c r="AA693" s="123"/>
      <c r="AB693" s="123"/>
      <c r="AC693" s="123"/>
      <c r="AD693" s="123"/>
      <c r="AE693" s="123"/>
      <c r="AF693" s="123"/>
      <c r="AG693" s="123"/>
      <c r="AH693" s="123"/>
      <c r="AI693" s="123"/>
      <c r="AJ693" s="123"/>
    </row>
    <row r="694" ht="15.75" customHeight="1">
      <c r="A694" s="123"/>
      <c r="B694" s="124"/>
      <c r="C694" s="124"/>
      <c r="D694" s="124"/>
      <c r="E694" s="124"/>
      <c r="F694" s="125"/>
      <c r="G694" s="124"/>
      <c r="H694" s="124"/>
      <c r="I694" s="125"/>
      <c r="J694" s="123"/>
      <c r="K694" s="124"/>
      <c r="L694" s="125"/>
      <c r="M694" s="124"/>
      <c r="N694" s="124"/>
      <c r="O694" s="124"/>
      <c r="P694" s="124"/>
      <c r="Q694" s="124"/>
      <c r="R694" s="123"/>
      <c r="S694" s="123"/>
      <c r="T694" s="123"/>
      <c r="U694" s="123"/>
      <c r="V694" s="123"/>
      <c r="W694" s="123"/>
      <c r="X694" s="123"/>
      <c r="Y694" s="123"/>
      <c r="Z694" s="123"/>
      <c r="AA694" s="123"/>
      <c r="AB694" s="123"/>
      <c r="AC694" s="123"/>
      <c r="AD694" s="123"/>
      <c r="AE694" s="123"/>
      <c r="AF694" s="123"/>
      <c r="AG694" s="123"/>
      <c r="AH694" s="123"/>
      <c r="AI694" s="123"/>
      <c r="AJ694" s="123"/>
    </row>
    <row r="695" ht="15.75" customHeight="1">
      <c r="A695" s="123"/>
      <c r="B695" s="124"/>
      <c r="C695" s="124"/>
      <c r="D695" s="124"/>
      <c r="E695" s="124"/>
      <c r="F695" s="125"/>
      <c r="G695" s="124"/>
      <c r="H695" s="124"/>
      <c r="I695" s="125"/>
      <c r="J695" s="123"/>
      <c r="K695" s="124"/>
      <c r="L695" s="125"/>
      <c r="M695" s="124"/>
      <c r="N695" s="124"/>
      <c r="O695" s="124"/>
      <c r="P695" s="124"/>
      <c r="Q695" s="124"/>
      <c r="R695" s="123"/>
      <c r="S695" s="123"/>
      <c r="T695" s="123"/>
      <c r="U695" s="123"/>
      <c r="V695" s="123"/>
      <c r="W695" s="123"/>
      <c r="X695" s="123"/>
      <c r="Y695" s="123"/>
      <c r="Z695" s="123"/>
      <c r="AA695" s="123"/>
      <c r="AB695" s="123"/>
      <c r="AC695" s="123"/>
      <c r="AD695" s="123"/>
      <c r="AE695" s="123"/>
      <c r="AF695" s="123"/>
      <c r="AG695" s="123"/>
      <c r="AH695" s="123"/>
      <c r="AI695" s="123"/>
      <c r="AJ695" s="123"/>
    </row>
    <row r="696" ht="15.75" customHeight="1">
      <c r="A696" s="123"/>
      <c r="B696" s="124"/>
      <c r="C696" s="124"/>
      <c r="D696" s="124"/>
      <c r="E696" s="124"/>
      <c r="F696" s="125"/>
      <c r="G696" s="124"/>
      <c r="H696" s="124"/>
      <c r="I696" s="125"/>
      <c r="J696" s="123"/>
      <c r="K696" s="124"/>
      <c r="L696" s="125"/>
      <c r="M696" s="124"/>
      <c r="N696" s="124"/>
      <c r="O696" s="124"/>
      <c r="P696" s="124"/>
      <c r="Q696" s="124"/>
      <c r="R696" s="123"/>
      <c r="S696" s="123"/>
      <c r="T696" s="123"/>
      <c r="U696" s="123"/>
      <c r="V696" s="123"/>
      <c r="W696" s="123"/>
      <c r="X696" s="123"/>
      <c r="Y696" s="123"/>
      <c r="Z696" s="123"/>
      <c r="AA696" s="123"/>
      <c r="AB696" s="123"/>
      <c r="AC696" s="123"/>
      <c r="AD696" s="123"/>
      <c r="AE696" s="123"/>
      <c r="AF696" s="123"/>
      <c r="AG696" s="123"/>
      <c r="AH696" s="123"/>
      <c r="AI696" s="123"/>
      <c r="AJ696" s="123"/>
    </row>
    <row r="697" ht="15.75" customHeight="1">
      <c r="A697" s="123"/>
      <c r="B697" s="124"/>
      <c r="C697" s="124"/>
      <c r="D697" s="124"/>
      <c r="E697" s="124"/>
      <c r="F697" s="125"/>
      <c r="G697" s="124"/>
      <c r="H697" s="124"/>
      <c r="I697" s="125"/>
      <c r="J697" s="123"/>
      <c r="K697" s="124"/>
      <c r="L697" s="125"/>
      <c r="M697" s="124"/>
      <c r="N697" s="124"/>
      <c r="O697" s="124"/>
      <c r="P697" s="124"/>
      <c r="Q697" s="124"/>
      <c r="R697" s="123"/>
      <c r="S697" s="123"/>
      <c r="T697" s="123"/>
      <c r="U697" s="123"/>
      <c r="V697" s="123"/>
      <c r="W697" s="123"/>
      <c r="X697" s="123"/>
      <c r="Y697" s="123"/>
      <c r="Z697" s="123"/>
      <c r="AA697" s="123"/>
      <c r="AB697" s="123"/>
      <c r="AC697" s="123"/>
      <c r="AD697" s="123"/>
      <c r="AE697" s="123"/>
      <c r="AF697" s="123"/>
      <c r="AG697" s="123"/>
      <c r="AH697" s="123"/>
      <c r="AI697" s="123"/>
      <c r="AJ697" s="123"/>
    </row>
    <row r="698" ht="15.75" customHeight="1">
      <c r="A698" s="123"/>
      <c r="B698" s="124"/>
      <c r="C698" s="124"/>
      <c r="D698" s="124"/>
      <c r="E698" s="124"/>
      <c r="F698" s="125"/>
      <c r="G698" s="124"/>
      <c r="H698" s="124"/>
      <c r="I698" s="125"/>
      <c r="J698" s="123"/>
      <c r="K698" s="124"/>
      <c r="L698" s="125"/>
      <c r="M698" s="124"/>
      <c r="N698" s="124"/>
      <c r="O698" s="124"/>
      <c r="P698" s="124"/>
      <c r="Q698" s="124"/>
      <c r="R698" s="123"/>
      <c r="S698" s="123"/>
      <c r="T698" s="123"/>
      <c r="U698" s="123"/>
      <c r="V698" s="123"/>
      <c r="W698" s="123"/>
      <c r="X698" s="123"/>
      <c r="Y698" s="123"/>
      <c r="Z698" s="123"/>
      <c r="AA698" s="123"/>
      <c r="AB698" s="123"/>
      <c r="AC698" s="123"/>
      <c r="AD698" s="123"/>
      <c r="AE698" s="123"/>
      <c r="AF698" s="123"/>
      <c r="AG698" s="123"/>
      <c r="AH698" s="123"/>
      <c r="AI698" s="123"/>
      <c r="AJ698" s="123"/>
    </row>
    <row r="699" ht="15.75" customHeight="1">
      <c r="A699" s="123"/>
      <c r="B699" s="124"/>
      <c r="C699" s="124"/>
      <c r="D699" s="124"/>
      <c r="E699" s="124"/>
      <c r="F699" s="125"/>
      <c r="G699" s="124"/>
      <c r="H699" s="124"/>
      <c r="I699" s="125"/>
      <c r="J699" s="123"/>
      <c r="K699" s="124"/>
      <c r="L699" s="125"/>
      <c r="M699" s="124"/>
      <c r="N699" s="124"/>
      <c r="O699" s="124"/>
      <c r="P699" s="124"/>
      <c r="Q699" s="124"/>
      <c r="R699" s="123"/>
      <c r="S699" s="123"/>
      <c r="T699" s="123"/>
      <c r="U699" s="123"/>
      <c r="V699" s="123"/>
      <c r="W699" s="123"/>
      <c r="X699" s="123"/>
      <c r="Y699" s="123"/>
      <c r="Z699" s="123"/>
      <c r="AA699" s="123"/>
      <c r="AB699" s="123"/>
      <c r="AC699" s="123"/>
      <c r="AD699" s="123"/>
      <c r="AE699" s="123"/>
      <c r="AF699" s="123"/>
      <c r="AG699" s="123"/>
      <c r="AH699" s="123"/>
      <c r="AI699" s="123"/>
      <c r="AJ699" s="123"/>
    </row>
    <row r="700" ht="15.75" customHeight="1">
      <c r="A700" s="123"/>
      <c r="B700" s="124"/>
      <c r="C700" s="124"/>
      <c r="D700" s="124"/>
      <c r="E700" s="124"/>
      <c r="F700" s="125"/>
      <c r="G700" s="124"/>
      <c r="H700" s="124"/>
      <c r="I700" s="125"/>
      <c r="J700" s="123"/>
      <c r="K700" s="124"/>
      <c r="L700" s="125"/>
      <c r="M700" s="124"/>
      <c r="N700" s="124"/>
      <c r="O700" s="124"/>
      <c r="P700" s="124"/>
      <c r="Q700" s="124"/>
      <c r="R700" s="123"/>
      <c r="S700" s="123"/>
      <c r="T700" s="123"/>
      <c r="U700" s="123"/>
      <c r="V700" s="123"/>
      <c r="W700" s="123"/>
      <c r="X700" s="123"/>
      <c r="Y700" s="123"/>
      <c r="Z700" s="123"/>
      <c r="AA700" s="123"/>
      <c r="AB700" s="123"/>
      <c r="AC700" s="123"/>
      <c r="AD700" s="123"/>
      <c r="AE700" s="123"/>
      <c r="AF700" s="123"/>
      <c r="AG700" s="123"/>
      <c r="AH700" s="123"/>
      <c r="AI700" s="123"/>
      <c r="AJ700" s="123"/>
    </row>
    <row r="701" ht="15.75" customHeight="1">
      <c r="A701" s="123"/>
      <c r="B701" s="124"/>
      <c r="C701" s="124"/>
      <c r="D701" s="124"/>
      <c r="E701" s="124"/>
      <c r="F701" s="125"/>
      <c r="G701" s="124"/>
      <c r="H701" s="124"/>
      <c r="I701" s="125"/>
      <c r="J701" s="123"/>
      <c r="K701" s="124"/>
      <c r="L701" s="125"/>
      <c r="M701" s="124"/>
      <c r="N701" s="124"/>
      <c r="O701" s="124"/>
      <c r="P701" s="124"/>
      <c r="Q701" s="124"/>
      <c r="R701" s="123"/>
      <c r="S701" s="123"/>
      <c r="T701" s="123"/>
      <c r="U701" s="123"/>
      <c r="V701" s="123"/>
      <c r="W701" s="123"/>
      <c r="X701" s="123"/>
      <c r="Y701" s="123"/>
      <c r="Z701" s="123"/>
      <c r="AA701" s="123"/>
      <c r="AB701" s="123"/>
      <c r="AC701" s="123"/>
      <c r="AD701" s="123"/>
      <c r="AE701" s="123"/>
      <c r="AF701" s="123"/>
      <c r="AG701" s="123"/>
      <c r="AH701" s="123"/>
      <c r="AI701" s="123"/>
      <c r="AJ701" s="123"/>
    </row>
    <row r="702" ht="15.75" customHeight="1">
      <c r="A702" s="123"/>
      <c r="B702" s="124"/>
      <c r="C702" s="124"/>
      <c r="D702" s="124"/>
      <c r="E702" s="124"/>
      <c r="F702" s="125"/>
      <c r="G702" s="124"/>
      <c r="H702" s="124"/>
      <c r="I702" s="125"/>
      <c r="J702" s="123"/>
      <c r="K702" s="124"/>
      <c r="L702" s="125"/>
      <c r="M702" s="124"/>
      <c r="N702" s="124"/>
      <c r="O702" s="124"/>
      <c r="P702" s="124"/>
      <c r="Q702" s="124"/>
      <c r="R702" s="123"/>
      <c r="S702" s="123"/>
      <c r="T702" s="123"/>
      <c r="U702" s="123"/>
      <c r="V702" s="123"/>
      <c r="W702" s="123"/>
      <c r="X702" s="123"/>
      <c r="Y702" s="123"/>
      <c r="Z702" s="123"/>
      <c r="AA702" s="123"/>
      <c r="AB702" s="123"/>
      <c r="AC702" s="123"/>
      <c r="AD702" s="123"/>
      <c r="AE702" s="123"/>
      <c r="AF702" s="123"/>
      <c r="AG702" s="123"/>
      <c r="AH702" s="123"/>
      <c r="AI702" s="123"/>
      <c r="AJ702" s="123"/>
    </row>
    <row r="703" ht="15.75" customHeight="1">
      <c r="A703" s="123"/>
      <c r="B703" s="124"/>
      <c r="C703" s="124"/>
      <c r="D703" s="124"/>
      <c r="E703" s="124"/>
      <c r="F703" s="125"/>
      <c r="G703" s="124"/>
      <c r="H703" s="124"/>
      <c r="I703" s="125"/>
      <c r="J703" s="123"/>
      <c r="K703" s="124"/>
      <c r="L703" s="125"/>
      <c r="M703" s="124"/>
      <c r="N703" s="124"/>
      <c r="O703" s="124"/>
      <c r="P703" s="124"/>
      <c r="Q703" s="124"/>
      <c r="R703" s="123"/>
      <c r="S703" s="123"/>
      <c r="T703" s="123"/>
      <c r="U703" s="123"/>
      <c r="V703" s="123"/>
      <c r="W703" s="123"/>
      <c r="X703" s="123"/>
      <c r="Y703" s="123"/>
      <c r="Z703" s="123"/>
      <c r="AA703" s="123"/>
      <c r="AB703" s="123"/>
      <c r="AC703" s="123"/>
      <c r="AD703" s="123"/>
      <c r="AE703" s="123"/>
      <c r="AF703" s="123"/>
      <c r="AG703" s="123"/>
      <c r="AH703" s="123"/>
      <c r="AI703" s="123"/>
      <c r="AJ703" s="123"/>
    </row>
    <row r="704" ht="15.75" customHeight="1">
      <c r="A704" s="123"/>
      <c r="B704" s="124"/>
      <c r="C704" s="124"/>
      <c r="D704" s="124"/>
      <c r="E704" s="124"/>
      <c r="F704" s="125"/>
      <c r="G704" s="124"/>
      <c r="H704" s="124"/>
      <c r="I704" s="125"/>
      <c r="J704" s="123"/>
      <c r="K704" s="124"/>
      <c r="L704" s="125"/>
      <c r="M704" s="124"/>
      <c r="N704" s="124"/>
      <c r="O704" s="124"/>
      <c r="P704" s="124"/>
      <c r="Q704" s="124"/>
      <c r="R704" s="123"/>
      <c r="S704" s="123"/>
      <c r="T704" s="123"/>
      <c r="U704" s="123"/>
      <c r="V704" s="123"/>
      <c r="W704" s="123"/>
      <c r="X704" s="123"/>
      <c r="Y704" s="123"/>
      <c r="Z704" s="123"/>
      <c r="AA704" s="123"/>
      <c r="AB704" s="123"/>
      <c r="AC704" s="123"/>
      <c r="AD704" s="123"/>
      <c r="AE704" s="123"/>
      <c r="AF704" s="123"/>
      <c r="AG704" s="123"/>
      <c r="AH704" s="123"/>
      <c r="AI704" s="123"/>
      <c r="AJ704" s="123"/>
    </row>
    <row r="705" ht="15.75" customHeight="1">
      <c r="A705" s="123"/>
      <c r="B705" s="124"/>
      <c r="C705" s="124"/>
      <c r="D705" s="124"/>
      <c r="E705" s="124"/>
      <c r="F705" s="125"/>
      <c r="G705" s="124"/>
      <c r="H705" s="124"/>
      <c r="I705" s="125"/>
      <c r="J705" s="123"/>
      <c r="K705" s="124"/>
      <c r="L705" s="125"/>
      <c r="M705" s="124"/>
      <c r="N705" s="124"/>
      <c r="O705" s="124"/>
      <c r="P705" s="124"/>
      <c r="Q705" s="124"/>
      <c r="R705" s="123"/>
      <c r="S705" s="123"/>
      <c r="T705" s="123"/>
      <c r="U705" s="123"/>
      <c r="V705" s="123"/>
      <c r="W705" s="123"/>
      <c r="X705" s="123"/>
      <c r="Y705" s="123"/>
      <c r="Z705" s="123"/>
      <c r="AA705" s="123"/>
      <c r="AB705" s="123"/>
      <c r="AC705" s="123"/>
      <c r="AD705" s="123"/>
      <c r="AE705" s="123"/>
      <c r="AF705" s="123"/>
      <c r="AG705" s="123"/>
      <c r="AH705" s="123"/>
      <c r="AI705" s="123"/>
      <c r="AJ705" s="123"/>
    </row>
    <row r="706" ht="15.75" customHeight="1">
      <c r="A706" s="123"/>
      <c r="B706" s="124"/>
      <c r="C706" s="124"/>
      <c r="D706" s="124"/>
      <c r="E706" s="124"/>
      <c r="F706" s="125"/>
      <c r="G706" s="124"/>
      <c r="H706" s="124"/>
      <c r="I706" s="125"/>
      <c r="J706" s="123"/>
      <c r="K706" s="124"/>
      <c r="L706" s="125"/>
      <c r="M706" s="124"/>
      <c r="N706" s="124"/>
      <c r="O706" s="124"/>
      <c r="P706" s="124"/>
      <c r="Q706" s="124"/>
      <c r="R706" s="123"/>
      <c r="S706" s="123"/>
      <c r="T706" s="123"/>
      <c r="U706" s="123"/>
      <c r="V706" s="123"/>
      <c r="W706" s="123"/>
      <c r="X706" s="123"/>
      <c r="Y706" s="123"/>
      <c r="Z706" s="123"/>
      <c r="AA706" s="123"/>
      <c r="AB706" s="123"/>
      <c r="AC706" s="123"/>
      <c r="AD706" s="123"/>
      <c r="AE706" s="123"/>
      <c r="AF706" s="123"/>
      <c r="AG706" s="123"/>
      <c r="AH706" s="123"/>
      <c r="AI706" s="123"/>
      <c r="AJ706" s="123"/>
    </row>
    <row r="707" ht="15.75" customHeight="1">
      <c r="A707" s="123"/>
      <c r="B707" s="124"/>
      <c r="C707" s="124"/>
      <c r="D707" s="124"/>
      <c r="E707" s="124"/>
      <c r="F707" s="125"/>
      <c r="G707" s="124"/>
      <c r="H707" s="124"/>
      <c r="I707" s="125"/>
      <c r="J707" s="123"/>
      <c r="K707" s="124"/>
      <c r="L707" s="125"/>
      <c r="M707" s="124"/>
      <c r="N707" s="124"/>
      <c r="O707" s="124"/>
      <c r="P707" s="124"/>
      <c r="Q707" s="124"/>
      <c r="R707" s="123"/>
      <c r="S707" s="123"/>
      <c r="T707" s="123"/>
      <c r="U707" s="123"/>
      <c r="V707" s="123"/>
      <c r="W707" s="123"/>
      <c r="X707" s="123"/>
      <c r="Y707" s="123"/>
      <c r="Z707" s="123"/>
      <c r="AA707" s="123"/>
      <c r="AB707" s="123"/>
      <c r="AC707" s="123"/>
      <c r="AD707" s="123"/>
      <c r="AE707" s="123"/>
      <c r="AF707" s="123"/>
      <c r="AG707" s="123"/>
      <c r="AH707" s="123"/>
      <c r="AI707" s="123"/>
      <c r="AJ707" s="123"/>
    </row>
    <row r="708" ht="15.75" customHeight="1">
      <c r="A708" s="123"/>
      <c r="B708" s="124"/>
      <c r="C708" s="124"/>
      <c r="D708" s="124"/>
      <c r="E708" s="124"/>
      <c r="F708" s="125"/>
      <c r="G708" s="124"/>
      <c r="H708" s="124"/>
      <c r="I708" s="125"/>
      <c r="J708" s="123"/>
      <c r="K708" s="124"/>
      <c r="L708" s="125"/>
      <c r="M708" s="124"/>
      <c r="N708" s="124"/>
      <c r="O708" s="124"/>
      <c r="P708" s="124"/>
      <c r="Q708" s="124"/>
      <c r="R708" s="123"/>
      <c r="S708" s="123"/>
      <c r="T708" s="123"/>
      <c r="U708" s="123"/>
      <c r="V708" s="123"/>
      <c r="W708" s="123"/>
      <c r="X708" s="123"/>
      <c r="Y708" s="123"/>
      <c r="Z708" s="123"/>
      <c r="AA708" s="123"/>
      <c r="AB708" s="123"/>
      <c r="AC708" s="123"/>
      <c r="AD708" s="123"/>
      <c r="AE708" s="123"/>
      <c r="AF708" s="123"/>
      <c r="AG708" s="123"/>
      <c r="AH708" s="123"/>
      <c r="AI708" s="123"/>
      <c r="AJ708" s="123"/>
    </row>
    <row r="709" ht="15.75" customHeight="1">
      <c r="A709" s="123"/>
      <c r="B709" s="124"/>
      <c r="C709" s="124"/>
      <c r="D709" s="124"/>
      <c r="E709" s="124"/>
      <c r="F709" s="125"/>
      <c r="G709" s="124"/>
      <c r="H709" s="124"/>
      <c r="I709" s="125"/>
      <c r="J709" s="123"/>
      <c r="K709" s="124"/>
      <c r="L709" s="125"/>
      <c r="M709" s="124"/>
      <c r="N709" s="124"/>
      <c r="O709" s="124"/>
      <c r="P709" s="124"/>
      <c r="Q709" s="124"/>
      <c r="R709" s="123"/>
      <c r="S709" s="123"/>
      <c r="T709" s="123"/>
      <c r="U709" s="123"/>
      <c r="V709" s="123"/>
      <c r="W709" s="123"/>
      <c r="X709" s="123"/>
      <c r="Y709" s="123"/>
      <c r="Z709" s="123"/>
      <c r="AA709" s="123"/>
      <c r="AB709" s="123"/>
      <c r="AC709" s="123"/>
      <c r="AD709" s="123"/>
      <c r="AE709" s="123"/>
      <c r="AF709" s="123"/>
      <c r="AG709" s="123"/>
      <c r="AH709" s="123"/>
      <c r="AI709" s="123"/>
      <c r="AJ709" s="123"/>
    </row>
    <row r="710" ht="15.75" customHeight="1">
      <c r="A710" s="123"/>
      <c r="B710" s="124"/>
      <c r="C710" s="124"/>
      <c r="D710" s="124"/>
      <c r="E710" s="124"/>
      <c r="F710" s="125"/>
      <c r="G710" s="124"/>
      <c r="H710" s="124"/>
      <c r="I710" s="125"/>
      <c r="J710" s="123"/>
      <c r="K710" s="124"/>
      <c r="L710" s="125"/>
      <c r="M710" s="124"/>
      <c r="N710" s="124"/>
      <c r="O710" s="124"/>
      <c r="P710" s="124"/>
      <c r="Q710" s="124"/>
      <c r="R710" s="123"/>
      <c r="S710" s="123"/>
      <c r="T710" s="123"/>
      <c r="U710" s="123"/>
      <c r="V710" s="123"/>
      <c r="W710" s="123"/>
      <c r="X710" s="123"/>
      <c r="Y710" s="123"/>
      <c r="Z710" s="123"/>
      <c r="AA710" s="123"/>
      <c r="AB710" s="123"/>
      <c r="AC710" s="123"/>
      <c r="AD710" s="123"/>
      <c r="AE710" s="123"/>
      <c r="AF710" s="123"/>
      <c r="AG710" s="123"/>
      <c r="AH710" s="123"/>
      <c r="AI710" s="123"/>
      <c r="AJ710" s="123"/>
    </row>
    <row r="711" ht="15.75" customHeight="1">
      <c r="A711" s="123"/>
      <c r="B711" s="124"/>
      <c r="C711" s="124"/>
      <c r="D711" s="124"/>
      <c r="E711" s="124"/>
      <c r="F711" s="125"/>
      <c r="G711" s="124"/>
      <c r="H711" s="124"/>
      <c r="I711" s="125"/>
      <c r="J711" s="123"/>
      <c r="K711" s="124"/>
      <c r="L711" s="125"/>
      <c r="M711" s="124"/>
      <c r="N711" s="124"/>
      <c r="O711" s="124"/>
      <c r="P711" s="124"/>
      <c r="Q711" s="124"/>
      <c r="R711" s="123"/>
      <c r="S711" s="123"/>
      <c r="T711" s="123"/>
      <c r="U711" s="123"/>
      <c r="V711" s="123"/>
      <c r="W711" s="123"/>
      <c r="X711" s="123"/>
      <c r="Y711" s="123"/>
      <c r="Z711" s="123"/>
      <c r="AA711" s="123"/>
      <c r="AB711" s="123"/>
      <c r="AC711" s="123"/>
      <c r="AD711" s="123"/>
      <c r="AE711" s="123"/>
      <c r="AF711" s="123"/>
      <c r="AG711" s="123"/>
      <c r="AH711" s="123"/>
      <c r="AI711" s="123"/>
      <c r="AJ711" s="123"/>
    </row>
    <row r="712" ht="15.75" customHeight="1">
      <c r="A712" s="123"/>
      <c r="B712" s="124"/>
      <c r="C712" s="124"/>
      <c r="D712" s="124"/>
      <c r="E712" s="124"/>
      <c r="F712" s="125"/>
      <c r="G712" s="124"/>
      <c r="H712" s="124"/>
      <c r="I712" s="125"/>
      <c r="J712" s="123"/>
      <c r="K712" s="124"/>
      <c r="L712" s="125"/>
      <c r="M712" s="124"/>
      <c r="N712" s="124"/>
      <c r="O712" s="124"/>
      <c r="P712" s="124"/>
      <c r="Q712" s="124"/>
      <c r="R712" s="123"/>
      <c r="S712" s="123"/>
      <c r="T712" s="123"/>
      <c r="U712" s="123"/>
      <c r="V712" s="123"/>
      <c r="W712" s="123"/>
      <c r="X712" s="123"/>
      <c r="Y712" s="123"/>
      <c r="Z712" s="123"/>
      <c r="AA712" s="123"/>
      <c r="AB712" s="123"/>
      <c r="AC712" s="123"/>
      <c r="AD712" s="123"/>
      <c r="AE712" s="123"/>
      <c r="AF712" s="123"/>
      <c r="AG712" s="123"/>
      <c r="AH712" s="123"/>
      <c r="AI712" s="123"/>
      <c r="AJ712" s="123"/>
    </row>
    <row r="713" ht="15.75" customHeight="1">
      <c r="A713" s="123"/>
      <c r="B713" s="124"/>
      <c r="C713" s="124"/>
      <c r="D713" s="124"/>
      <c r="E713" s="124"/>
      <c r="F713" s="125"/>
      <c r="G713" s="124"/>
      <c r="H713" s="124"/>
      <c r="I713" s="125"/>
      <c r="J713" s="123"/>
      <c r="K713" s="124"/>
      <c r="L713" s="125"/>
      <c r="M713" s="124"/>
      <c r="N713" s="124"/>
      <c r="O713" s="124"/>
      <c r="P713" s="124"/>
      <c r="Q713" s="124"/>
      <c r="R713" s="123"/>
      <c r="S713" s="123"/>
      <c r="T713" s="123"/>
      <c r="U713" s="123"/>
      <c r="V713" s="123"/>
      <c r="W713" s="123"/>
      <c r="X713" s="123"/>
      <c r="Y713" s="123"/>
      <c r="Z713" s="123"/>
      <c r="AA713" s="123"/>
      <c r="AB713" s="123"/>
      <c r="AC713" s="123"/>
      <c r="AD713" s="123"/>
      <c r="AE713" s="123"/>
      <c r="AF713" s="123"/>
      <c r="AG713" s="123"/>
      <c r="AH713" s="123"/>
      <c r="AI713" s="123"/>
      <c r="AJ713" s="123"/>
    </row>
    <row r="714" ht="15.75" customHeight="1">
      <c r="A714" s="123"/>
      <c r="B714" s="124"/>
      <c r="C714" s="124"/>
      <c r="D714" s="124"/>
      <c r="E714" s="124"/>
      <c r="F714" s="125"/>
      <c r="G714" s="124"/>
      <c r="H714" s="124"/>
      <c r="I714" s="125"/>
      <c r="J714" s="123"/>
      <c r="K714" s="124"/>
      <c r="L714" s="125"/>
      <c r="M714" s="124"/>
      <c r="N714" s="124"/>
      <c r="O714" s="124"/>
      <c r="P714" s="124"/>
      <c r="Q714" s="124"/>
      <c r="R714" s="123"/>
      <c r="S714" s="123"/>
      <c r="T714" s="123"/>
      <c r="U714" s="123"/>
      <c r="V714" s="123"/>
      <c r="W714" s="123"/>
      <c r="X714" s="123"/>
      <c r="Y714" s="123"/>
      <c r="Z714" s="123"/>
      <c r="AA714" s="123"/>
      <c r="AB714" s="123"/>
      <c r="AC714" s="123"/>
      <c r="AD714" s="123"/>
      <c r="AE714" s="123"/>
      <c r="AF714" s="123"/>
      <c r="AG714" s="123"/>
      <c r="AH714" s="123"/>
      <c r="AI714" s="123"/>
      <c r="AJ714" s="123"/>
    </row>
    <row r="715" ht="15.75" customHeight="1">
      <c r="A715" s="123"/>
      <c r="B715" s="124"/>
      <c r="C715" s="124"/>
      <c r="D715" s="124"/>
      <c r="E715" s="124"/>
      <c r="F715" s="125"/>
      <c r="G715" s="124"/>
      <c r="H715" s="124"/>
      <c r="I715" s="125"/>
      <c r="J715" s="123"/>
      <c r="K715" s="124"/>
      <c r="L715" s="125"/>
      <c r="M715" s="124"/>
      <c r="N715" s="124"/>
      <c r="O715" s="124"/>
      <c r="P715" s="124"/>
      <c r="Q715" s="124"/>
      <c r="R715" s="123"/>
      <c r="S715" s="123"/>
      <c r="T715" s="123"/>
      <c r="U715" s="123"/>
      <c r="V715" s="123"/>
      <c r="W715" s="123"/>
      <c r="X715" s="123"/>
      <c r="Y715" s="123"/>
      <c r="Z715" s="123"/>
      <c r="AA715" s="123"/>
      <c r="AB715" s="123"/>
      <c r="AC715" s="123"/>
      <c r="AD715" s="123"/>
      <c r="AE715" s="123"/>
      <c r="AF715" s="123"/>
      <c r="AG715" s="123"/>
      <c r="AH715" s="123"/>
      <c r="AI715" s="123"/>
      <c r="AJ715" s="123"/>
    </row>
    <row r="716" ht="15.75" customHeight="1">
      <c r="A716" s="123"/>
      <c r="B716" s="124"/>
      <c r="C716" s="124"/>
      <c r="D716" s="124"/>
      <c r="E716" s="124"/>
      <c r="F716" s="125"/>
      <c r="G716" s="124"/>
      <c r="H716" s="124"/>
      <c r="I716" s="125"/>
      <c r="J716" s="123"/>
      <c r="K716" s="124"/>
      <c r="L716" s="125"/>
      <c r="M716" s="124"/>
      <c r="N716" s="124"/>
      <c r="O716" s="124"/>
      <c r="P716" s="124"/>
      <c r="Q716" s="124"/>
      <c r="R716" s="123"/>
      <c r="S716" s="123"/>
      <c r="T716" s="123"/>
      <c r="U716" s="123"/>
      <c r="V716" s="123"/>
      <c r="W716" s="123"/>
      <c r="X716" s="123"/>
      <c r="Y716" s="123"/>
      <c r="Z716" s="123"/>
      <c r="AA716" s="123"/>
      <c r="AB716" s="123"/>
      <c r="AC716" s="123"/>
      <c r="AD716" s="123"/>
      <c r="AE716" s="123"/>
      <c r="AF716" s="123"/>
      <c r="AG716" s="123"/>
      <c r="AH716" s="123"/>
      <c r="AI716" s="123"/>
      <c r="AJ716" s="123"/>
    </row>
    <row r="717" ht="15.75" customHeight="1">
      <c r="A717" s="123"/>
      <c r="B717" s="124"/>
      <c r="C717" s="124"/>
      <c r="D717" s="124"/>
      <c r="E717" s="124"/>
      <c r="F717" s="125"/>
      <c r="G717" s="124"/>
      <c r="H717" s="124"/>
      <c r="I717" s="125"/>
      <c r="J717" s="123"/>
      <c r="K717" s="124"/>
      <c r="L717" s="125"/>
      <c r="M717" s="124"/>
      <c r="N717" s="124"/>
      <c r="O717" s="124"/>
      <c r="P717" s="124"/>
      <c r="Q717" s="124"/>
      <c r="R717" s="123"/>
      <c r="S717" s="123"/>
      <c r="T717" s="123"/>
      <c r="U717" s="123"/>
      <c r="V717" s="123"/>
      <c r="W717" s="123"/>
      <c r="X717" s="123"/>
      <c r="Y717" s="123"/>
      <c r="Z717" s="123"/>
      <c r="AA717" s="123"/>
      <c r="AB717" s="123"/>
      <c r="AC717" s="123"/>
      <c r="AD717" s="123"/>
      <c r="AE717" s="123"/>
      <c r="AF717" s="123"/>
      <c r="AG717" s="123"/>
      <c r="AH717" s="123"/>
      <c r="AI717" s="123"/>
      <c r="AJ717" s="123"/>
    </row>
    <row r="718" ht="15.75" customHeight="1">
      <c r="A718" s="123"/>
      <c r="B718" s="124"/>
      <c r="C718" s="124"/>
      <c r="D718" s="124"/>
      <c r="E718" s="124"/>
      <c r="F718" s="125"/>
      <c r="G718" s="124"/>
      <c r="H718" s="124"/>
      <c r="I718" s="125"/>
      <c r="J718" s="123"/>
      <c r="K718" s="124"/>
      <c r="L718" s="125"/>
      <c r="M718" s="124"/>
      <c r="N718" s="124"/>
      <c r="O718" s="124"/>
      <c r="P718" s="124"/>
      <c r="Q718" s="124"/>
      <c r="R718" s="123"/>
      <c r="S718" s="123"/>
      <c r="T718" s="123"/>
      <c r="U718" s="123"/>
      <c r="V718" s="123"/>
      <c r="W718" s="123"/>
      <c r="X718" s="123"/>
      <c r="Y718" s="123"/>
      <c r="Z718" s="123"/>
      <c r="AA718" s="123"/>
      <c r="AB718" s="123"/>
      <c r="AC718" s="123"/>
      <c r="AD718" s="123"/>
      <c r="AE718" s="123"/>
      <c r="AF718" s="123"/>
      <c r="AG718" s="123"/>
      <c r="AH718" s="123"/>
      <c r="AI718" s="123"/>
      <c r="AJ718" s="123"/>
    </row>
    <row r="719" ht="15.75" customHeight="1">
      <c r="A719" s="123"/>
      <c r="B719" s="124"/>
      <c r="C719" s="124"/>
      <c r="D719" s="124"/>
      <c r="E719" s="124"/>
      <c r="F719" s="125"/>
      <c r="G719" s="124"/>
      <c r="H719" s="124"/>
      <c r="I719" s="125"/>
      <c r="J719" s="123"/>
      <c r="K719" s="124"/>
      <c r="L719" s="125"/>
      <c r="M719" s="124"/>
      <c r="N719" s="124"/>
      <c r="O719" s="124"/>
      <c r="P719" s="124"/>
      <c r="Q719" s="124"/>
      <c r="R719" s="123"/>
      <c r="S719" s="123"/>
      <c r="T719" s="123"/>
      <c r="U719" s="123"/>
      <c r="V719" s="123"/>
      <c r="W719" s="123"/>
      <c r="X719" s="123"/>
      <c r="Y719" s="123"/>
      <c r="Z719" s="123"/>
      <c r="AA719" s="123"/>
      <c r="AB719" s="123"/>
      <c r="AC719" s="123"/>
      <c r="AD719" s="123"/>
      <c r="AE719" s="123"/>
      <c r="AF719" s="123"/>
      <c r="AG719" s="123"/>
      <c r="AH719" s="123"/>
      <c r="AI719" s="123"/>
      <c r="AJ719" s="123"/>
    </row>
    <row r="720" ht="15.75" customHeight="1">
      <c r="A720" s="123"/>
      <c r="B720" s="124"/>
      <c r="C720" s="124"/>
      <c r="D720" s="124"/>
      <c r="E720" s="124"/>
      <c r="F720" s="125"/>
      <c r="G720" s="124"/>
      <c r="H720" s="124"/>
      <c r="I720" s="125"/>
      <c r="J720" s="123"/>
      <c r="K720" s="124"/>
      <c r="L720" s="125"/>
      <c r="M720" s="124"/>
      <c r="N720" s="124"/>
      <c r="O720" s="124"/>
      <c r="P720" s="124"/>
      <c r="Q720" s="124"/>
      <c r="R720" s="123"/>
      <c r="S720" s="123"/>
      <c r="T720" s="123"/>
      <c r="U720" s="123"/>
      <c r="V720" s="123"/>
      <c r="W720" s="123"/>
      <c r="X720" s="123"/>
      <c r="Y720" s="123"/>
      <c r="Z720" s="123"/>
      <c r="AA720" s="123"/>
      <c r="AB720" s="123"/>
      <c r="AC720" s="123"/>
      <c r="AD720" s="123"/>
      <c r="AE720" s="123"/>
      <c r="AF720" s="123"/>
      <c r="AG720" s="123"/>
      <c r="AH720" s="123"/>
      <c r="AI720" s="123"/>
      <c r="AJ720" s="123"/>
    </row>
    <row r="721" ht="15.75" customHeight="1">
      <c r="A721" s="123"/>
      <c r="B721" s="124"/>
      <c r="C721" s="124"/>
      <c r="D721" s="124"/>
      <c r="E721" s="124"/>
      <c r="F721" s="125"/>
      <c r="G721" s="124"/>
      <c r="H721" s="124"/>
      <c r="I721" s="125"/>
      <c r="J721" s="123"/>
      <c r="K721" s="124"/>
      <c r="L721" s="125"/>
      <c r="M721" s="124"/>
      <c r="N721" s="124"/>
      <c r="O721" s="124"/>
      <c r="P721" s="124"/>
      <c r="Q721" s="124"/>
      <c r="R721" s="123"/>
      <c r="S721" s="123"/>
      <c r="T721" s="123"/>
      <c r="U721" s="123"/>
      <c r="V721" s="123"/>
      <c r="W721" s="123"/>
      <c r="X721" s="123"/>
      <c r="Y721" s="123"/>
      <c r="Z721" s="123"/>
      <c r="AA721" s="123"/>
      <c r="AB721" s="123"/>
      <c r="AC721" s="123"/>
      <c r="AD721" s="123"/>
      <c r="AE721" s="123"/>
      <c r="AF721" s="123"/>
      <c r="AG721" s="123"/>
      <c r="AH721" s="123"/>
      <c r="AI721" s="123"/>
      <c r="AJ721" s="123"/>
    </row>
    <row r="722" ht="15.75" customHeight="1">
      <c r="A722" s="123"/>
      <c r="B722" s="124"/>
      <c r="C722" s="124"/>
      <c r="D722" s="124"/>
      <c r="E722" s="124"/>
      <c r="F722" s="125"/>
      <c r="G722" s="124"/>
      <c r="H722" s="124"/>
      <c r="I722" s="125"/>
      <c r="J722" s="123"/>
      <c r="K722" s="124"/>
      <c r="L722" s="125"/>
      <c r="M722" s="124"/>
      <c r="N722" s="124"/>
      <c r="O722" s="124"/>
      <c r="P722" s="124"/>
      <c r="Q722" s="124"/>
      <c r="R722" s="123"/>
      <c r="S722" s="123"/>
      <c r="T722" s="123"/>
      <c r="U722" s="123"/>
      <c r="V722" s="123"/>
      <c r="W722" s="123"/>
      <c r="X722" s="123"/>
      <c r="Y722" s="123"/>
      <c r="Z722" s="123"/>
      <c r="AA722" s="123"/>
      <c r="AB722" s="123"/>
      <c r="AC722" s="123"/>
      <c r="AD722" s="123"/>
      <c r="AE722" s="123"/>
      <c r="AF722" s="123"/>
      <c r="AG722" s="123"/>
      <c r="AH722" s="123"/>
      <c r="AI722" s="123"/>
      <c r="AJ722" s="123"/>
    </row>
    <row r="723" ht="15.75" customHeight="1">
      <c r="A723" s="123"/>
      <c r="B723" s="124"/>
      <c r="C723" s="124"/>
      <c r="D723" s="124"/>
      <c r="E723" s="124"/>
      <c r="F723" s="125"/>
      <c r="G723" s="124"/>
      <c r="H723" s="124"/>
      <c r="I723" s="125"/>
      <c r="J723" s="123"/>
      <c r="K723" s="124"/>
      <c r="L723" s="125"/>
      <c r="M723" s="124"/>
      <c r="N723" s="124"/>
      <c r="O723" s="124"/>
      <c r="P723" s="124"/>
      <c r="Q723" s="124"/>
      <c r="R723" s="123"/>
      <c r="S723" s="123"/>
      <c r="T723" s="123"/>
      <c r="U723" s="123"/>
      <c r="V723" s="123"/>
      <c r="W723" s="123"/>
      <c r="X723" s="123"/>
      <c r="Y723" s="123"/>
      <c r="Z723" s="123"/>
      <c r="AA723" s="123"/>
      <c r="AB723" s="123"/>
      <c r="AC723" s="123"/>
      <c r="AD723" s="123"/>
      <c r="AE723" s="123"/>
      <c r="AF723" s="123"/>
      <c r="AG723" s="123"/>
      <c r="AH723" s="123"/>
      <c r="AI723" s="123"/>
      <c r="AJ723" s="123"/>
    </row>
    <row r="724" ht="15.75" customHeight="1">
      <c r="A724" s="123"/>
      <c r="B724" s="124"/>
      <c r="C724" s="124"/>
      <c r="D724" s="124"/>
      <c r="E724" s="124"/>
      <c r="F724" s="125"/>
      <c r="G724" s="124"/>
      <c r="H724" s="124"/>
      <c r="I724" s="125"/>
      <c r="J724" s="123"/>
      <c r="K724" s="124"/>
      <c r="L724" s="125"/>
      <c r="M724" s="124"/>
      <c r="N724" s="124"/>
      <c r="O724" s="124"/>
      <c r="P724" s="124"/>
      <c r="Q724" s="124"/>
      <c r="R724" s="123"/>
      <c r="S724" s="123"/>
      <c r="T724" s="123"/>
      <c r="U724" s="123"/>
      <c r="V724" s="123"/>
      <c r="W724" s="123"/>
      <c r="X724" s="123"/>
      <c r="Y724" s="123"/>
      <c r="Z724" s="123"/>
      <c r="AA724" s="123"/>
      <c r="AB724" s="123"/>
      <c r="AC724" s="123"/>
      <c r="AD724" s="123"/>
      <c r="AE724" s="123"/>
      <c r="AF724" s="123"/>
      <c r="AG724" s="123"/>
      <c r="AH724" s="123"/>
      <c r="AI724" s="123"/>
      <c r="AJ724" s="123"/>
    </row>
    <row r="725" ht="15.75" customHeight="1">
      <c r="A725" s="123"/>
      <c r="B725" s="124"/>
      <c r="C725" s="124"/>
      <c r="D725" s="124"/>
      <c r="E725" s="124"/>
      <c r="F725" s="125"/>
      <c r="G725" s="124"/>
      <c r="H725" s="124"/>
      <c r="I725" s="125"/>
      <c r="J725" s="123"/>
      <c r="K725" s="124"/>
      <c r="L725" s="125"/>
      <c r="M725" s="124"/>
      <c r="N725" s="124"/>
      <c r="O725" s="124"/>
      <c r="P725" s="124"/>
      <c r="Q725" s="124"/>
      <c r="R725" s="123"/>
      <c r="S725" s="123"/>
      <c r="T725" s="123"/>
      <c r="U725" s="123"/>
      <c r="V725" s="123"/>
      <c r="W725" s="123"/>
      <c r="X725" s="123"/>
      <c r="Y725" s="123"/>
      <c r="Z725" s="123"/>
      <c r="AA725" s="123"/>
      <c r="AB725" s="123"/>
      <c r="AC725" s="123"/>
      <c r="AD725" s="123"/>
      <c r="AE725" s="123"/>
      <c r="AF725" s="123"/>
      <c r="AG725" s="123"/>
      <c r="AH725" s="123"/>
      <c r="AI725" s="123"/>
      <c r="AJ725" s="123"/>
    </row>
    <row r="726" ht="15.75" customHeight="1">
      <c r="A726" s="123"/>
      <c r="B726" s="124"/>
      <c r="C726" s="124"/>
      <c r="D726" s="124"/>
      <c r="E726" s="124"/>
      <c r="F726" s="125"/>
      <c r="G726" s="124"/>
      <c r="H726" s="124"/>
      <c r="I726" s="125"/>
      <c r="J726" s="123"/>
      <c r="K726" s="124"/>
      <c r="L726" s="125"/>
      <c r="M726" s="124"/>
      <c r="N726" s="124"/>
      <c r="O726" s="124"/>
      <c r="P726" s="124"/>
      <c r="Q726" s="124"/>
      <c r="R726" s="123"/>
      <c r="S726" s="123"/>
      <c r="T726" s="123"/>
      <c r="U726" s="123"/>
      <c r="V726" s="123"/>
      <c r="W726" s="123"/>
      <c r="X726" s="123"/>
      <c r="Y726" s="123"/>
      <c r="Z726" s="123"/>
      <c r="AA726" s="123"/>
      <c r="AB726" s="123"/>
      <c r="AC726" s="123"/>
      <c r="AD726" s="123"/>
      <c r="AE726" s="123"/>
      <c r="AF726" s="123"/>
      <c r="AG726" s="123"/>
      <c r="AH726" s="123"/>
      <c r="AI726" s="123"/>
      <c r="AJ726" s="123"/>
    </row>
    <row r="727" ht="15.75" customHeight="1">
      <c r="A727" s="123"/>
      <c r="B727" s="124"/>
      <c r="C727" s="124"/>
      <c r="D727" s="124"/>
      <c r="E727" s="124"/>
      <c r="F727" s="125"/>
      <c r="G727" s="124"/>
      <c r="H727" s="124"/>
      <c r="I727" s="125"/>
      <c r="J727" s="123"/>
      <c r="K727" s="124"/>
      <c r="L727" s="125"/>
      <c r="M727" s="124"/>
      <c r="N727" s="124"/>
      <c r="O727" s="124"/>
      <c r="P727" s="124"/>
      <c r="Q727" s="124"/>
      <c r="R727" s="123"/>
      <c r="S727" s="123"/>
      <c r="T727" s="123"/>
      <c r="U727" s="123"/>
      <c r="V727" s="123"/>
      <c r="W727" s="123"/>
      <c r="X727" s="123"/>
      <c r="Y727" s="123"/>
      <c r="Z727" s="123"/>
      <c r="AA727" s="123"/>
      <c r="AB727" s="123"/>
      <c r="AC727" s="123"/>
      <c r="AD727" s="123"/>
      <c r="AE727" s="123"/>
      <c r="AF727" s="123"/>
      <c r="AG727" s="123"/>
      <c r="AH727" s="123"/>
      <c r="AI727" s="123"/>
      <c r="AJ727" s="123"/>
    </row>
    <row r="728" ht="15.75" customHeight="1">
      <c r="A728" s="123"/>
      <c r="B728" s="124"/>
      <c r="C728" s="124"/>
      <c r="D728" s="124"/>
      <c r="E728" s="124"/>
      <c r="F728" s="125"/>
      <c r="G728" s="124"/>
      <c r="H728" s="124"/>
      <c r="I728" s="125"/>
      <c r="J728" s="123"/>
      <c r="K728" s="124"/>
      <c r="L728" s="125"/>
      <c r="M728" s="124"/>
      <c r="N728" s="124"/>
      <c r="O728" s="124"/>
      <c r="P728" s="124"/>
      <c r="Q728" s="124"/>
      <c r="R728" s="123"/>
      <c r="S728" s="123"/>
      <c r="T728" s="123"/>
      <c r="U728" s="123"/>
      <c r="V728" s="123"/>
      <c r="W728" s="123"/>
      <c r="X728" s="123"/>
      <c r="Y728" s="123"/>
      <c r="Z728" s="123"/>
      <c r="AA728" s="123"/>
      <c r="AB728" s="123"/>
      <c r="AC728" s="123"/>
      <c r="AD728" s="123"/>
      <c r="AE728" s="123"/>
      <c r="AF728" s="123"/>
      <c r="AG728" s="123"/>
      <c r="AH728" s="123"/>
      <c r="AI728" s="123"/>
      <c r="AJ728" s="123"/>
    </row>
    <row r="729" ht="15.75" customHeight="1">
      <c r="A729" s="123"/>
      <c r="B729" s="124"/>
      <c r="C729" s="124"/>
      <c r="D729" s="124"/>
      <c r="E729" s="124"/>
      <c r="F729" s="125"/>
      <c r="G729" s="124"/>
      <c r="H729" s="124"/>
      <c r="I729" s="125"/>
      <c r="J729" s="123"/>
      <c r="K729" s="124"/>
      <c r="L729" s="125"/>
      <c r="M729" s="124"/>
      <c r="N729" s="124"/>
      <c r="O729" s="124"/>
      <c r="P729" s="124"/>
      <c r="Q729" s="124"/>
      <c r="R729" s="123"/>
      <c r="S729" s="123"/>
      <c r="T729" s="123"/>
      <c r="U729" s="123"/>
      <c r="V729" s="123"/>
      <c r="W729" s="123"/>
      <c r="X729" s="123"/>
      <c r="Y729" s="123"/>
      <c r="Z729" s="123"/>
      <c r="AA729" s="123"/>
      <c r="AB729" s="123"/>
      <c r="AC729" s="123"/>
      <c r="AD729" s="123"/>
      <c r="AE729" s="123"/>
      <c r="AF729" s="123"/>
      <c r="AG729" s="123"/>
      <c r="AH729" s="123"/>
      <c r="AI729" s="123"/>
      <c r="AJ729" s="123"/>
    </row>
    <row r="730" ht="15.75" customHeight="1">
      <c r="A730" s="123"/>
      <c r="B730" s="124"/>
      <c r="C730" s="124"/>
      <c r="D730" s="124"/>
      <c r="E730" s="124"/>
      <c r="F730" s="125"/>
      <c r="G730" s="124"/>
      <c r="H730" s="124"/>
      <c r="I730" s="125"/>
      <c r="J730" s="123"/>
      <c r="K730" s="124"/>
      <c r="L730" s="125"/>
      <c r="M730" s="124"/>
      <c r="N730" s="124"/>
      <c r="O730" s="124"/>
      <c r="P730" s="124"/>
      <c r="Q730" s="124"/>
      <c r="R730" s="123"/>
      <c r="S730" s="123"/>
      <c r="T730" s="123"/>
      <c r="U730" s="123"/>
      <c r="V730" s="123"/>
      <c r="W730" s="123"/>
      <c r="X730" s="123"/>
      <c r="Y730" s="123"/>
      <c r="Z730" s="123"/>
      <c r="AA730" s="123"/>
      <c r="AB730" s="123"/>
      <c r="AC730" s="123"/>
      <c r="AD730" s="123"/>
      <c r="AE730" s="123"/>
      <c r="AF730" s="123"/>
      <c r="AG730" s="123"/>
      <c r="AH730" s="123"/>
      <c r="AI730" s="123"/>
      <c r="AJ730" s="123"/>
    </row>
    <row r="731" ht="15.75" customHeight="1">
      <c r="A731" s="123"/>
      <c r="B731" s="124"/>
      <c r="C731" s="124"/>
      <c r="D731" s="124"/>
      <c r="E731" s="124"/>
      <c r="F731" s="125"/>
      <c r="G731" s="124"/>
      <c r="H731" s="124"/>
      <c r="I731" s="125"/>
      <c r="J731" s="123"/>
      <c r="K731" s="124"/>
      <c r="L731" s="125"/>
      <c r="M731" s="124"/>
      <c r="N731" s="124"/>
      <c r="O731" s="124"/>
      <c r="P731" s="124"/>
      <c r="Q731" s="124"/>
      <c r="R731" s="123"/>
      <c r="S731" s="123"/>
      <c r="T731" s="123"/>
      <c r="U731" s="123"/>
      <c r="V731" s="123"/>
      <c r="W731" s="123"/>
      <c r="X731" s="123"/>
      <c r="Y731" s="123"/>
      <c r="Z731" s="123"/>
      <c r="AA731" s="123"/>
      <c r="AB731" s="123"/>
      <c r="AC731" s="123"/>
      <c r="AD731" s="123"/>
      <c r="AE731" s="123"/>
      <c r="AF731" s="123"/>
      <c r="AG731" s="123"/>
      <c r="AH731" s="123"/>
      <c r="AI731" s="123"/>
      <c r="AJ731" s="123"/>
    </row>
    <row r="732" ht="15.75" customHeight="1">
      <c r="A732" s="123"/>
      <c r="B732" s="124"/>
      <c r="C732" s="124"/>
      <c r="D732" s="124"/>
      <c r="E732" s="124"/>
      <c r="F732" s="125"/>
      <c r="G732" s="124"/>
      <c r="H732" s="124"/>
      <c r="I732" s="125"/>
      <c r="J732" s="123"/>
      <c r="K732" s="124"/>
      <c r="L732" s="125"/>
      <c r="M732" s="124"/>
      <c r="N732" s="124"/>
      <c r="O732" s="124"/>
      <c r="P732" s="124"/>
      <c r="Q732" s="124"/>
      <c r="R732" s="123"/>
      <c r="S732" s="123"/>
      <c r="T732" s="123"/>
      <c r="U732" s="123"/>
      <c r="V732" s="123"/>
      <c r="W732" s="123"/>
      <c r="X732" s="123"/>
      <c r="Y732" s="123"/>
      <c r="Z732" s="123"/>
      <c r="AA732" s="123"/>
      <c r="AB732" s="123"/>
      <c r="AC732" s="123"/>
      <c r="AD732" s="123"/>
      <c r="AE732" s="123"/>
      <c r="AF732" s="123"/>
      <c r="AG732" s="123"/>
      <c r="AH732" s="123"/>
      <c r="AI732" s="123"/>
      <c r="AJ732" s="123"/>
    </row>
    <row r="733" ht="15.75" customHeight="1">
      <c r="A733" s="123"/>
      <c r="B733" s="124"/>
      <c r="C733" s="124"/>
      <c r="D733" s="124"/>
      <c r="E733" s="124"/>
      <c r="F733" s="125"/>
      <c r="G733" s="124"/>
      <c r="H733" s="124"/>
      <c r="I733" s="125"/>
      <c r="J733" s="123"/>
      <c r="K733" s="124"/>
      <c r="L733" s="125"/>
      <c r="M733" s="124"/>
      <c r="N733" s="124"/>
      <c r="O733" s="124"/>
      <c r="P733" s="124"/>
      <c r="Q733" s="124"/>
      <c r="R733" s="123"/>
      <c r="S733" s="123"/>
      <c r="T733" s="123"/>
      <c r="U733" s="123"/>
      <c r="V733" s="123"/>
      <c r="W733" s="123"/>
      <c r="X733" s="123"/>
      <c r="Y733" s="123"/>
      <c r="Z733" s="123"/>
      <c r="AA733" s="123"/>
      <c r="AB733" s="123"/>
      <c r="AC733" s="123"/>
      <c r="AD733" s="123"/>
      <c r="AE733" s="123"/>
      <c r="AF733" s="123"/>
      <c r="AG733" s="123"/>
      <c r="AH733" s="123"/>
      <c r="AI733" s="123"/>
      <c r="AJ733" s="123"/>
    </row>
    <row r="734" ht="15.75" customHeight="1">
      <c r="A734" s="123"/>
      <c r="B734" s="124"/>
      <c r="C734" s="124"/>
      <c r="D734" s="124"/>
      <c r="E734" s="124"/>
      <c r="F734" s="125"/>
      <c r="G734" s="124"/>
      <c r="H734" s="124"/>
      <c r="I734" s="125"/>
      <c r="J734" s="123"/>
      <c r="K734" s="124"/>
      <c r="L734" s="125"/>
      <c r="M734" s="124"/>
      <c r="N734" s="124"/>
      <c r="O734" s="124"/>
      <c r="P734" s="124"/>
      <c r="Q734" s="124"/>
      <c r="R734" s="123"/>
      <c r="S734" s="123"/>
      <c r="T734" s="123"/>
      <c r="U734" s="123"/>
      <c r="V734" s="123"/>
      <c r="W734" s="123"/>
      <c r="X734" s="123"/>
      <c r="Y734" s="123"/>
      <c r="Z734" s="123"/>
      <c r="AA734" s="123"/>
      <c r="AB734" s="123"/>
      <c r="AC734" s="123"/>
      <c r="AD734" s="123"/>
      <c r="AE734" s="123"/>
      <c r="AF734" s="123"/>
      <c r="AG734" s="123"/>
      <c r="AH734" s="123"/>
      <c r="AI734" s="123"/>
      <c r="AJ734" s="123"/>
    </row>
    <row r="735" ht="15.75" customHeight="1">
      <c r="A735" s="123"/>
      <c r="B735" s="124"/>
      <c r="C735" s="124"/>
      <c r="D735" s="124"/>
      <c r="E735" s="124"/>
      <c r="F735" s="125"/>
      <c r="G735" s="124"/>
      <c r="H735" s="124"/>
      <c r="I735" s="125"/>
      <c r="J735" s="123"/>
      <c r="K735" s="124"/>
      <c r="L735" s="125"/>
      <c r="M735" s="124"/>
      <c r="N735" s="124"/>
      <c r="O735" s="124"/>
      <c r="P735" s="124"/>
      <c r="Q735" s="124"/>
      <c r="R735" s="123"/>
      <c r="S735" s="123"/>
      <c r="T735" s="123"/>
      <c r="U735" s="123"/>
      <c r="V735" s="123"/>
      <c r="W735" s="123"/>
      <c r="X735" s="123"/>
      <c r="Y735" s="123"/>
      <c r="Z735" s="123"/>
      <c r="AA735" s="123"/>
      <c r="AB735" s="123"/>
      <c r="AC735" s="123"/>
      <c r="AD735" s="123"/>
      <c r="AE735" s="123"/>
      <c r="AF735" s="123"/>
      <c r="AG735" s="123"/>
      <c r="AH735" s="123"/>
      <c r="AI735" s="123"/>
      <c r="AJ735" s="123"/>
    </row>
    <row r="736" ht="15.75" customHeight="1">
      <c r="A736" s="123"/>
      <c r="B736" s="124"/>
      <c r="C736" s="124"/>
      <c r="D736" s="124"/>
      <c r="E736" s="124"/>
      <c r="F736" s="125"/>
      <c r="G736" s="124"/>
      <c r="H736" s="124"/>
      <c r="I736" s="125"/>
      <c r="J736" s="123"/>
      <c r="K736" s="124"/>
      <c r="L736" s="125"/>
      <c r="M736" s="124"/>
      <c r="N736" s="124"/>
      <c r="O736" s="124"/>
      <c r="P736" s="124"/>
      <c r="Q736" s="124"/>
      <c r="R736" s="123"/>
      <c r="S736" s="123"/>
      <c r="T736" s="123"/>
      <c r="U736" s="123"/>
      <c r="V736" s="123"/>
      <c r="W736" s="123"/>
      <c r="X736" s="123"/>
      <c r="Y736" s="123"/>
      <c r="Z736" s="123"/>
      <c r="AA736" s="123"/>
      <c r="AB736" s="123"/>
      <c r="AC736" s="123"/>
      <c r="AD736" s="123"/>
      <c r="AE736" s="123"/>
      <c r="AF736" s="123"/>
      <c r="AG736" s="123"/>
      <c r="AH736" s="123"/>
      <c r="AI736" s="123"/>
      <c r="AJ736" s="123"/>
    </row>
    <row r="737" ht="15.75" customHeight="1">
      <c r="A737" s="123"/>
      <c r="B737" s="124"/>
      <c r="C737" s="124"/>
      <c r="D737" s="124"/>
      <c r="E737" s="124"/>
      <c r="F737" s="125"/>
      <c r="G737" s="124"/>
      <c r="H737" s="124"/>
      <c r="I737" s="125"/>
      <c r="J737" s="123"/>
      <c r="K737" s="124"/>
      <c r="L737" s="125"/>
      <c r="M737" s="124"/>
      <c r="N737" s="124"/>
      <c r="O737" s="124"/>
      <c r="P737" s="124"/>
      <c r="Q737" s="124"/>
      <c r="R737" s="123"/>
      <c r="S737" s="123"/>
      <c r="T737" s="123"/>
      <c r="U737" s="123"/>
      <c r="V737" s="123"/>
      <c r="W737" s="123"/>
      <c r="X737" s="123"/>
      <c r="Y737" s="123"/>
      <c r="Z737" s="123"/>
      <c r="AA737" s="123"/>
      <c r="AB737" s="123"/>
      <c r="AC737" s="123"/>
      <c r="AD737" s="123"/>
      <c r="AE737" s="123"/>
      <c r="AF737" s="123"/>
      <c r="AG737" s="123"/>
      <c r="AH737" s="123"/>
      <c r="AI737" s="123"/>
      <c r="AJ737" s="123"/>
    </row>
    <row r="738" ht="15.75" customHeight="1">
      <c r="A738" s="123"/>
      <c r="B738" s="124"/>
      <c r="C738" s="124"/>
      <c r="D738" s="124"/>
      <c r="E738" s="124"/>
      <c r="F738" s="125"/>
      <c r="G738" s="124"/>
      <c r="H738" s="124"/>
      <c r="I738" s="125"/>
      <c r="J738" s="123"/>
      <c r="K738" s="124"/>
      <c r="L738" s="125"/>
      <c r="M738" s="124"/>
      <c r="N738" s="124"/>
      <c r="O738" s="124"/>
      <c r="P738" s="124"/>
      <c r="Q738" s="124"/>
      <c r="R738" s="123"/>
      <c r="S738" s="123"/>
      <c r="T738" s="123"/>
      <c r="U738" s="123"/>
      <c r="V738" s="123"/>
      <c r="W738" s="123"/>
      <c r="X738" s="123"/>
      <c r="Y738" s="123"/>
      <c r="Z738" s="123"/>
      <c r="AA738" s="123"/>
      <c r="AB738" s="123"/>
      <c r="AC738" s="123"/>
      <c r="AD738" s="123"/>
      <c r="AE738" s="123"/>
      <c r="AF738" s="123"/>
      <c r="AG738" s="123"/>
      <c r="AH738" s="123"/>
      <c r="AI738" s="123"/>
      <c r="AJ738" s="123"/>
    </row>
    <row r="739" ht="15.75" customHeight="1">
      <c r="A739" s="123"/>
      <c r="B739" s="124"/>
      <c r="C739" s="124"/>
      <c r="D739" s="124"/>
      <c r="E739" s="124"/>
      <c r="F739" s="125"/>
      <c r="G739" s="124"/>
      <c r="H739" s="124"/>
      <c r="I739" s="125"/>
      <c r="J739" s="123"/>
      <c r="K739" s="124"/>
      <c r="L739" s="125"/>
      <c r="M739" s="124"/>
      <c r="N739" s="124"/>
      <c r="O739" s="124"/>
      <c r="P739" s="124"/>
      <c r="Q739" s="124"/>
      <c r="R739" s="123"/>
      <c r="S739" s="123"/>
      <c r="T739" s="123"/>
      <c r="U739" s="123"/>
      <c r="V739" s="123"/>
      <c r="W739" s="123"/>
      <c r="X739" s="123"/>
      <c r="Y739" s="123"/>
      <c r="Z739" s="123"/>
      <c r="AA739" s="123"/>
      <c r="AB739" s="123"/>
      <c r="AC739" s="123"/>
      <c r="AD739" s="123"/>
      <c r="AE739" s="123"/>
      <c r="AF739" s="123"/>
      <c r="AG739" s="123"/>
      <c r="AH739" s="123"/>
      <c r="AI739" s="123"/>
      <c r="AJ739" s="123"/>
    </row>
    <row r="740" ht="15.75" customHeight="1">
      <c r="A740" s="123"/>
      <c r="B740" s="124"/>
      <c r="C740" s="124"/>
      <c r="D740" s="124"/>
      <c r="E740" s="124"/>
      <c r="F740" s="125"/>
      <c r="G740" s="124"/>
      <c r="H740" s="124"/>
      <c r="I740" s="125"/>
      <c r="J740" s="123"/>
      <c r="K740" s="124"/>
      <c r="L740" s="125"/>
      <c r="M740" s="124"/>
      <c r="N740" s="124"/>
      <c r="O740" s="124"/>
      <c r="P740" s="124"/>
      <c r="Q740" s="124"/>
      <c r="R740" s="123"/>
      <c r="S740" s="123"/>
      <c r="T740" s="123"/>
      <c r="U740" s="123"/>
      <c r="V740" s="123"/>
      <c r="W740" s="123"/>
      <c r="X740" s="123"/>
      <c r="Y740" s="123"/>
      <c r="Z740" s="123"/>
      <c r="AA740" s="123"/>
      <c r="AB740" s="123"/>
      <c r="AC740" s="123"/>
      <c r="AD740" s="123"/>
      <c r="AE740" s="123"/>
      <c r="AF740" s="123"/>
      <c r="AG740" s="123"/>
      <c r="AH740" s="123"/>
      <c r="AI740" s="123"/>
      <c r="AJ740" s="123"/>
    </row>
    <row r="741" ht="15.75" customHeight="1">
      <c r="A741" s="123"/>
      <c r="B741" s="124"/>
      <c r="C741" s="124"/>
      <c r="D741" s="124"/>
      <c r="E741" s="124"/>
      <c r="F741" s="125"/>
      <c r="G741" s="124"/>
      <c r="H741" s="124"/>
      <c r="I741" s="125"/>
      <c r="J741" s="123"/>
      <c r="K741" s="124"/>
      <c r="L741" s="125"/>
      <c r="M741" s="124"/>
      <c r="N741" s="124"/>
      <c r="O741" s="124"/>
      <c r="P741" s="124"/>
      <c r="Q741" s="124"/>
      <c r="R741" s="123"/>
      <c r="S741" s="123"/>
      <c r="T741" s="123"/>
      <c r="U741" s="123"/>
      <c r="V741" s="123"/>
      <c r="W741" s="123"/>
      <c r="X741" s="123"/>
      <c r="Y741" s="123"/>
      <c r="Z741" s="123"/>
      <c r="AA741" s="123"/>
      <c r="AB741" s="123"/>
      <c r="AC741" s="123"/>
      <c r="AD741" s="123"/>
      <c r="AE741" s="123"/>
      <c r="AF741" s="123"/>
      <c r="AG741" s="123"/>
      <c r="AH741" s="123"/>
      <c r="AI741" s="123"/>
      <c r="AJ741" s="123"/>
    </row>
    <row r="742" ht="15.75" customHeight="1">
      <c r="A742" s="123"/>
      <c r="B742" s="124"/>
      <c r="C742" s="124"/>
      <c r="D742" s="124"/>
      <c r="E742" s="124"/>
      <c r="F742" s="125"/>
      <c r="G742" s="124"/>
      <c r="H742" s="124"/>
      <c r="I742" s="125"/>
      <c r="J742" s="123"/>
      <c r="K742" s="124"/>
      <c r="L742" s="125"/>
      <c r="M742" s="124"/>
      <c r="N742" s="124"/>
      <c r="O742" s="124"/>
      <c r="P742" s="124"/>
      <c r="Q742" s="124"/>
      <c r="R742" s="123"/>
      <c r="S742" s="123"/>
      <c r="T742" s="123"/>
      <c r="U742" s="123"/>
      <c r="V742" s="123"/>
      <c r="W742" s="123"/>
      <c r="X742" s="123"/>
      <c r="Y742" s="123"/>
      <c r="Z742" s="123"/>
      <c r="AA742" s="123"/>
      <c r="AB742" s="123"/>
      <c r="AC742" s="123"/>
      <c r="AD742" s="123"/>
      <c r="AE742" s="123"/>
      <c r="AF742" s="123"/>
      <c r="AG742" s="123"/>
      <c r="AH742" s="123"/>
      <c r="AI742" s="123"/>
      <c r="AJ742" s="123"/>
    </row>
    <row r="743" ht="15.75" customHeight="1">
      <c r="A743" s="123"/>
      <c r="B743" s="124"/>
      <c r="C743" s="124"/>
      <c r="D743" s="124"/>
      <c r="E743" s="124"/>
      <c r="F743" s="125"/>
      <c r="G743" s="124"/>
      <c r="H743" s="124"/>
      <c r="I743" s="125"/>
      <c r="J743" s="123"/>
      <c r="K743" s="124"/>
      <c r="L743" s="125"/>
      <c r="M743" s="124"/>
      <c r="N743" s="124"/>
      <c r="O743" s="124"/>
      <c r="P743" s="124"/>
      <c r="Q743" s="124"/>
      <c r="R743" s="123"/>
      <c r="S743" s="123"/>
      <c r="T743" s="123"/>
      <c r="U743" s="123"/>
      <c r="V743" s="123"/>
      <c r="W743" s="123"/>
      <c r="X743" s="123"/>
      <c r="Y743" s="123"/>
      <c r="Z743" s="123"/>
      <c r="AA743" s="123"/>
      <c r="AB743" s="123"/>
      <c r="AC743" s="123"/>
      <c r="AD743" s="123"/>
      <c r="AE743" s="123"/>
      <c r="AF743" s="123"/>
      <c r="AG743" s="123"/>
      <c r="AH743" s="123"/>
      <c r="AI743" s="123"/>
      <c r="AJ743" s="123"/>
    </row>
    <row r="744" ht="15.75" customHeight="1">
      <c r="A744" s="123"/>
      <c r="B744" s="124"/>
      <c r="C744" s="124"/>
      <c r="D744" s="124"/>
      <c r="E744" s="124"/>
      <c r="F744" s="125"/>
      <c r="G744" s="124"/>
      <c r="H744" s="124"/>
      <c r="I744" s="125"/>
      <c r="J744" s="123"/>
      <c r="K744" s="124"/>
      <c r="L744" s="125"/>
      <c r="M744" s="124"/>
      <c r="N744" s="124"/>
      <c r="O744" s="124"/>
      <c r="P744" s="124"/>
      <c r="Q744" s="124"/>
      <c r="R744" s="123"/>
      <c r="S744" s="123"/>
      <c r="T744" s="123"/>
      <c r="U744" s="123"/>
      <c r="V744" s="123"/>
      <c r="W744" s="123"/>
      <c r="X744" s="123"/>
      <c r="Y744" s="123"/>
      <c r="Z744" s="123"/>
      <c r="AA744" s="123"/>
      <c r="AB744" s="123"/>
      <c r="AC744" s="123"/>
      <c r="AD744" s="123"/>
      <c r="AE744" s="123"/>
      <c r="AF744" s="123"/>
      <c r="AG744" s="123"/>
      <c r="AH744" s="123"/>
      <c r="AI744" s="123"/>
      <c r="AJ744" s="123"/>
    </row>
    <row r="745" ht="15.75" customHeight="1">
      <c r="A745" s="123"/>
      <c r="B745" s="124"/>
      <c r="C745" s="124"/>
      <c r="D745" s="124"/>
      <c r="E745" s="124"/>
      <c r="F745" s="125"/>
      <c r="G745" s="124"/>
      <c r="H745" s="124"/>
      <c r="I745" s="125"/>
      <c r="J745" s="123"/>
      <c r="K745" s="124"/>
      <c r="L745" s="125"/>
      <c r="M745" s="124"/>
      <c r="N745" s="124"/>
      <c r="O745" s="124"/>
      <c r="P745" s="124"/>
      <c r="Q745" s="124"/>
      <c r="R745" s="123"/>
      <c r="S745" s="123"/>
      <c r="T745" s="123"/>
      <c r="U745" s="123"/>
      <c r="V745" s="123"/>
      <c r="W745" s="123"/>
      <c r="X745" s="123"/>
      <c r="Y745" s="123"/>
      <c r="Z745" s="123"/>
      <c r="AA745" s="123"/>
      <c r="AB745" s="123"/>
      <c r="AC745" s="123"/>
      <c r="AD745" s="123"/>
      <c r="AE745" s="123"/>
      <c r="AF745" s="123"/>
      <c r="AG745" s="123"/>
      <c r="AH745" s="123"/>
      <c r="AI745" s="123"/>
      <c r="AJ745" s="123"/>
    </row>
    <row r="746" ht="15.75" customHeight="1">
      <c r="A746" s="123"/>
      <c r="B746" s="124"/>
      <c r="C746" s="124"/>
      <c r="D746" s="124"/>
      <c r="E746" s="124"/>
      <c r="F746" s="125"/>
      <c r="G746" s="124"/>
      <c r="H746" s="124"/>
      <c r="I746" s="125"/>
      <c r="J746" s="123"/>
      <c r="K746" s="124"/>
      <c r="L746" s="125"/>
      <c r="M746" s="124"/>
      <c r="N746" s="124"/>
      <c r="O746" s="124"/>
      <c r="P746" s="124"/>
      <c r="Q746" s="124"/>
      <c r="R746" s="123"/>
      <c r="S746" s="123"/>
      <c r="T746" s="123"/>
      <c r="U746" s="123"/>
      <c r="V746" s="123"/>
      <c r="W746" s="123"/>
      <c r="X746" s="123"/>
      <c r="Y746" s="123"/>
      <c r="Z746" s="123"/>
      <c r="AA746" s="123"/>
      <c r="AB746" s="123"/>
      <c r="AC746" s="123"/>
      <c r="AD746" s="123"/>
      <c r="AE746" s="123"/>
      <c r="AF746" s="123"/>
      <c r="AG746" s="123"/>
      <c r="AH746" s="123"/>
      <c r="AI746" s="123"/>
      <c r="AJ746" s="123"/>
    </row>
    <row r="747" ht="15.75" customHeight="1">
      <c r="A747" s="123"/>
      <c r="B747" s="124"/>
      <c r="C747" s="124"/>
      <c r="D747" s="124"/>
      <c r="E747" s="124"/>
      <c r="F747" s="125"/>
      <c r="G747" s="124"/>
      <c r="H747" s="124"/>
      <c r="I747" s="125"/>
      <c r="J747" s="123"/>
      <c r="K747" s="124"/>
      <c r="L747" s="125"/>
      <c r="M747" s="124"/>
      <c r="N747" s="124"/>
      <c r="O747" s="124"/>
      <c r="P747" s="124"/>
      <c r="Q747" s="124"/>
      <c r="R747" s="123"/>
      <c r="S747" s="123"/>
      <c r="T747" s="123"/>
      <c r="U747" s="123"/>
      <c r="V747" s="123"/>
      <c r="W747" s="123"/>
      <c r="X747" s="123"/>
      <c r="Y747" s="123"/>
      <c r="Z747" s="123"/>
      <c r="AA747" s="123"/>
      <c r="AB747" s="123"/>
      <c r="AC747" s="123"/>
      <c r="AD747" s="123"/>
      <c r="AE747" s="123"/>
      <c r="AF747" s="123"/>
      <c r="AG747" s="123"/>
      <c r="AH747" s="123"/>
      <c r="AI747" s="123"/>
      <c r="AJ747" s="123"/>
    </row>
    <row r="748" ht="15.75" customHeight="1">
      <c r="A748" s="123"/>
      <c r="B748" s="124"/>
      <c r="C748" s="124"/>
      <c r="D748" s="124"/>
      <c r="E748" s="124"/>
      <c r="F748" s="125"/>
      <c r="G748" s="124"/>
      <c r="H748" s="124"/>
      <c r="I748" s="125"/>
      <c r="J748" s="123"/>
      <c r="K748" s="124"/>
      <c r="L748" s="125"/>
      <c r="M748" s="124"/>
      <c r="N748" s="124"/>
      <c r="O748" s="124"/>
      <c r="P748" s="124"/>
      <c r="Q748" s="124"/>
      <c r="R748" s="123"/>
      <c r="S748" s="123"/>
      <c r="T748" s="123"/>
      <c r="U748" s="123"/>
      <c r="V748" s="123"/>
      <c r="W748" s="123"/>
      <c r="X748" s="123"/>
      <c r="Y748" s="123"/>
      <c r="Z748" s="123"/>
      <c r="AA748" s="123"/>
      <c r="AB748" s="123"/>
      <c r="AC748" s="123"/>
      <c r="AD748" s="123"/>
      <c r="AE748" s="123"/>
      <c r="AF748" s="123"/>
      <c r="AG748" s="123"/>
      <c r="AH748" s="123"/>
      <c r="AI748" s="123"/>
      <c r="AJ748" s="123"/>
    </row>
    <row r="749" ht="15.75" customHeight="1">
      <c r="A749" s="123"/>
      <c r="B749" s="124"/>
      <c r="C749" s="124"/>
      <c r="D749" s="124"/>
      <c r="E749" s="124"/>
      <c r="F749" s="125"/>
      <c r="G749" s="124"/>
      <c r="H749" s="124"/>
      <c r="I749" s="125"/>
      <c r="J749" s="123"/>
      <c r="K749" s="124"/>
      <c r="L749" s="125"/>
      <c r="M749" s="124"/>
      <c r="N749" s="124"/>
      <c r="O749" s="124"/>
      <c r="P749" s="124"/>
      <c r="Q749" s="124"/>
      <c r="R749" s="123"/>
      <c r="S749" s="123"/>
      <c r="T749" s="123"/>
      <c r="U749" s="123"/>
      <c r="V749" s="123"/>
      <c r="W749" s="123"/>
      <c r="X749" s="123"/>
      <c r="Y749" s="123"/>
      <c r="Z749" s="123"/>
      <c r="AA749" s="123"/>
      <c r="AB749" s="123"/>
      <c r="AC749" s="123"/>
      <c r="AD749" s="123"/>
      <c r="AE749" s="123"/>
      <c r="AF749" s="123"/>
      <c r="AG749" s="123"/>
      <c r="AH749" s="123"/>
      <c r="AI749" s="123"/>
      <c r="AJ749" s="123"/>
    </row>
    <row r="750" ht="15.75" customHeight="1">
      <c r="A750" s="123"/>
      <c r="B750" s="124"/>
      <c r="C750" s="124"/>
      <c r="D750" s="124"/>
      <c r="E750" s="124"/>
      <c r="F750" s="125"/>
      <c r="G750" s="124"/>
      <c r="H750" s="124"/>
      <c r="I750" s="125"/>
      <c r="J750" s="123"/>
      <c r="K750" s="124"/>
      <c r="L750" s="125"/>
      <c r="M750" s="124"/>
      <c r="N750" s="124"/>
      <c r="O750" s="124"/>
      <c r="P750" s="124"/>
      <c r="Q750" s="124"/>
      <c r="R750" s="123"/>
      <c r="S750" s="123"/>
      <c r="T750" s="123"/>
      <c r="U750" s="123"/>
      <c r="V750" s="123"/>
      <c r="W750" s="123"/>
      <c r="X750" s="123"/>
      <c r="Y750" s="123"/>
      <c r="Z750" s="123"/>
      <c r="AA750" s="123"/>
      <c r="AB750" s="123"/>
      <c r="AC750" s="123"/>
      <c r="AD750" s="123"/>
      <c r="AE750" s="123"/>
      <c r="AF750" s="123"/>
      <c r="AG750" s="123"/>
      <c r="AH750" s="123"/>
      <c r="AI750" s="123"/>
      <c r="AJ750" s="123"/>
    </row>
    <row r="751" ht="15.75" customHeight="1">
      <c r="A751" s="123"/>
      <c r="B751" s="124"/>
      <c r="C751" s="124"/>
      <c r="D751" s="124"/>
      <c r="E751" s="124"/>
      <c r="F751" s="125"/>
      <c r="G751" s="124"/>
      <c r="H751" s="124"/>
      <c r="I751" s="125"/>
      <c r="J751" s="123"/>
      <c r="K751" s="124"/>
      <c r="L751" s="125"/>
      <c r="M751" s="124"/>
      <c r="N751" s="124"/>
      <c r="O751" s="124"/>
      <c r="P751" s="124"/>
      <c r="Q751" s="124"/>
      <c r="R751" s="123"/>
      <c r="S751" s="123"/>
      <c r="T751" s="123"/>
      <c r="U751" s="123"/>
      <c r="V751" s="123"/>
      <c r="W751" s="123"/>
      <c r="X751" s="123"/>
      <c r="Y751" s="123"/>
      <c r="Z751" s="123"/>
      <c r="AA751" s="123"/>
      <c r="AB751" s="123"/>
      <c r="AC751" s="123"/>
      <c r="AD751" s="123"/>
      <c r="AE751" s="123"/>
      <c r="AF751" s="123"/>
      <c r="AG751" s="123"/>
      <c r="AH751" s="123"/>
      <c r="AI751" s="123"/>
      <c r="AJ751" s="123"/>
    </row>
    <row r="752" ht="15.75" customHeight="1">
      <c r="A752" s="123"/>
      <c r="B752" s="124"/>
      <c r="C752" s="124"/>
      <c r="D752" s="124"/>
      <c r="E752" s="124"/>
      <c r="F752" s="125"/>
      <c r="G752" s="124"/>
      <c r="H752" s="124"/>
      <c r="I752" s="125"/>
      <c r="J752" s="123"/>
      <c r="K752" s="124"/>
      <c r="L752" s="125"/>
      <c r="M752" s="124"/>
      <c r="N752" s="124"/>
      <c r="O752" s="124"/>
      <c r="P752" s="124"/>
      <c r="Q752" s="124"/>
      <c r="R752" s="123"/>
      <c r="S752" s="123"/>
      <c r="T752" s="123"/>
      <c r="U752" s="123"/>
      <c r="V752" s="123"/>
      <c r="W752" s="123"/>
      <c r="X752" s="123"/>
      <c r="Y752" s="123"/>
      <c r="Z752" s="123"/>
      <c r="AA752" s="123"/>
      <c r="AB752" s="123"/>
      <c r="AC752" s="123"/>
      <c r="AD752" s="123"/>
      <c r="AE752" s="123"/>
      <c r="AF752" s="123"/>
      <c r="AG752" s="123"/>
      <c r="AH752" s="123"/>
      <c r="AI752" s="123"/>
      <c r="AJ752" s="123"/>
    </row>
    <row r="753" ht="15.75" customHeight="1">
      <c r="A753" s="123"/>
      <c r="B753" s="124"/>
      <c r="C753" s="124"/>
      <c r="D753" s="124"/>
      <c r="E753" s="124"/>
      <c r="F753" s="125"/>
      <c r="G753" s="124"/>
      <c r="H753" s="124"/>
      <c r="I753" s="125"/>
      <c r="J753" s="123"/>
      <c r="K753" s="124"/>
      <c r="L753" s="125"/>
      <c r="M753" s="124"/>
      <c r="N753" s="124"/>
      <c r="O753" s="124"/>
      <c r="P753" s="124"/>
      <c r="Q753" s="124"/>
      <c r="R753" s="123"/>
      <c r="S753" s="123"/>
      <c r="T753" s="123"/>
      <c r="U753" s="123"/>
      <c r="V753" s="123"/>
      <c r="W753" s="123"/>
      <c r="X753" s="123"/>
      <c r="Y753" s="123"/>
      <c r="Z753" s="123"/>
      <c r="AA753" s="123"/>
      <c r="AB753" s="123"/>
      <c r="AC753" s="123"/>
      <c r="AD753" s="123"/>
      <c r="AE753" s="123"/>
      <c r="AF753" s="123"/>
      <c r="AG753" s="123"/>
      <c r="AH753" s="123"/>
      <c r="AI753" s="123"/>
      <c r="AJ753" s="123"/>
    </row>
    <row r="754" ht="15.75" customHeight="1">
      <c r="A754" s="123"/>
      <c r="B754" s="124"/>
      <c r="C754" s="124"/>
      <c r="D754" s="124"/>
      <c r="E754" s="124"/>
      <c r="F754" s="125"/>
      <c r="G754" s="124"/>
      <c r="H754" s="124"/>
      <c r="I754" s="125"/>
      <c r="J754" s="123"/>
      <c r="K754" s="124"/>
      <c r="L754" s="125"/>
      <c r="M754" s="124"/>
      <c r="N754" s="124"/>
      <c r="O754" s="124"/>
      <c r="P754" s="124"/>
      <c r="Q754" s="124"/>
      <c r="R754" s="123"/>
      <c r="S754" s="123"/>
      <c r="T754" s="123"/>
      <c r="U754" s="123"/>
      <c r="V754" s="123"/>
      <c r="W754" s="123"/>
      <c r="X754" s="123"/>
      <c r="Y754" s="123"/>
      <c r="Z754" s="123"/>
      <c r="AA754" s="123"/>
      <c r="AB754" s="123"/>
      <c r="AC754" s="123"/>
      <c r="AD754" s="123"/>
      <c r="AE754" s="123"/>
      <c r="AF754" s="123"/>
      <c r="AG754" s="123"/>
      <c r="AH754" s="123"/>
      <c r="AI754" s="123"/>
      <c r="AJ754" s="123"/>
    </row>
    <row r="755" ht="15.75" customHeight="1">
      <c r="A755" s="123"/>
      <c r="B755" s="124"/>
      <c r="C755" s="124"/>
      <c r="D755" s="124"/>
      <c r="E755" s="124"/>
      <c r="F755" s="125"/>
      <c r="G755" s="124"/>
      <c r="H755" s="124"/>
      <c r="I755" s="125"/>
      <c r="J755" s="123"/>
      <c r="K755" s="124"/>
      <c r="L755" s="125"/>
      <c r="M755" s="124"/>
      <c r="N755" s="124"/>
      <c r="O755" s="124"/>
      <c r="P755" s="124"/>
      <c r="Q755" s="124"/>
      <c r="R755" s="123"/>
      <c r="S755" s="123"/>
      <c r="T755" s="123"/>
      <c r="U755" s="123"/>
      <c r="V755" s="123"/>
      <c r="W755" s="123"/>
      <c r="X755" s="123"/>
      <c r="Y755" s="123"/>
      <c r="Z755" s="123"/>
      <c r="AA755" s="123"/>
      <c r="AB755" s="123"/>
      <c r="AC755" s="123"/>
      <c r="AD755" s="123"/>
      <c r="AE755" s="123"/>
      <c r="AF755" s="123"/>
      <c r="AG755" s="123"/>
      <c r="AH755" s="123"/>
      <c r="AI755" s="123"/>
      <c r="AJ755" s="123"/>
    </row>
    <row r="756" ht="15.75" customHeight="1">
      <c r="A756" s="123"/>
      <c r="B756" s="124"/>
      <c r="C756" s="124"/>
      <c r="D756" s="124"/>
      <c r="E756" s="124"/>
      <c r="F756" s="125"/>
      <c r="G756" s="124"/>
      <c r="H756" s="124"/>
      <c r="I756" s="125"/>
      <c r="J756" s="123"/>
      <c r="K756" s="124"/>
      <c r="L756" s="125"/>
      <c r="M756" s="124"/>
      <c r="N756" s="124"/>
      <c r="O756" s="124"/>
      <c r="P756" s="124"/>
      <c r="Q756" s="124"/>
      <c r="R756" s="123"/>
      <c r="S756" s="123"/>
      <c r="T756" s="123"/>
      <c r="U756" s="123"/>
      <c r="V756" s="123"/>
      <c r="W756" s="123"/>
      <c r="X756" s="123"/>
      <c r="Y756" s="123"/>
      <c r="Z756" s="123"/>
      <c r="AA756" s="123"/>
      <c r="AB756" s="123"/>
      <c r="AC756" s="123"/>
      <c r="AD756" s="123"/>
      <c r="AE756" s="123"/>
      <c r="AF756" s="123"/>
      <c r="AG756" s="123"/>
      <c r="AH756" s="123"/>
      <c r="AI756" s="123"/>
      <c r="AJ756" s="123"/>
    </row>
    <row r="757" ht="15.75" customHeight="1">
      <c r="A757" s="123"/>
      <c r="B757" s="124"/>
      <c r="C757" s="124"/>
      <c r="D757" s="124"/>
      <c r="E757" s="124"/>
      <c r="F757" s="125"/>
      <c r="G757" s="124"/>
      <c r="H757" s="124"/>
      <c r="I757" s="125"/>
      <c r="J757" s="123"/>
      <c r="K757" s="124"/>
      <c r="L757" s="125"/>
      <c r="M757" s="124"/>
      <c r="N757" s="124"/>
      <c r="O757" s="124"/>
      <c r="P757" s="124"/>
      <c r="Q757" s="124"/>
      <c r="R757" s="123"/>
      <c r="S757" s="123"/>
      <c r="T757" s="123"/>
      <c r="U757" s="123"/>
      <c r="V757" s="123"/>
      <c r="W757" s="123"/>
      <c r="X757" s="123"/>
      <c r="Y757" s="123"/>
      <c r="Z757" s="123"/>
      <c r="AA757" s="123"/>
      <c r="AB757" s="123"/>
      <c r="AC757" s="123"/>
      <c r="AD757" s="123"/>
      <c r="AE757" s="123"/>
      <c r="AF757" s="123"/>
      <c r="AG757" s="123"/>
      <c r="AH757" s="123"/>
      <c r="AI757" s="123"/>
      <c r="AJ757" s="123"/>
    </row>
    <row r="758" ht="15.75" customHeight="1">
      <c r="A758" s="123"/>
      <c r="B758" s="124"/>
      <c r="C758" s="124"/>
      <c r="D758" s="124"/>
      <c r="E758" s="124"/>
      <c r="F758" s="125"/>
      <c r="G758" s="124"/>
      <c r="H758" s="124"/>
      <c r="I758" s="125"/>
      <c r="J758" s="123"/>
      <c r="K758" s="124"/>
      <c r="L758" s="125"/>
      <c r="M758" s="124"/>
      <c r="N758" s="124"/>
      <c r="O758" s="124"/>
      <c r="P758" s="124"/>
      <c r="Q758" s="124"/>
      <c r="R758" s="123"/>
      <c r="S758" s="123"/>
      <c r="T758" s="123"/>
      <c r="U758" s="123"/>
      <c r="V758" s="123"/>
      <c r="W758" s="123"/>
      <c r="X758" s="123"/>
      <c r="Y758" s="123"/>
      <c r="Z758" s="123"/>
      <c r="AA758" s="123"/>
      <c r="AB758" s="123"/>
      <c r="AC758" s="123"/>
      <c r="AD758" s="123"/>
      <c r="AE758" s="123"/>
      <c r="AF758" s="123"/>
      <c r="AG758" s="123"/>
      <c r="AH758" s="123"/>
      <c r="AI758" s="123"/>
      <c r="AJ758" s="123"/>
    </row>
    <row r="759" ht="15.75" customHeight="1">
      <c r="A759" s="123"/>
      <c r="B759" s="124"/>
      <c r="C759" s="124"/>
      <c r="D759" s="124"/>
      <c r="E759" s="124"/>
      <c r="F759" s="125"/>
      <c r="G759" s="124"/>
      <c r="H759" s="124"/>
      <c r="I759" s="125"/>
      <c r="J759" s="123"/>
      <c r="K759" s="124"/>
      <c r="L759" s="125"/>
      <c r="M759" s="124"/>
      <c r="N759" s="124"/>
      <c r="O759" s="124"/>
      <c r="P759" s="124"/>
      <c r="Q759" s="124"/>
      <c r="R759" s="123"/>
      <c r="S759" s="123"/>
      <c r="T759" s="123"/>
      <c r="U759" s="123"/>
      <c r="V759" s="123"/>
      <c r="W759" s="123"/>
      <c r="X759" s="123"/>
      <c r="Y759" s="123"/>
      <c r="Z759" s="123"/>
      <c r="AA759" s="123"/>
      <c r="AB759" s="123"/>
      <c r="AC759" s="123"/>
      <c r="AD759" s="123"/>
      <c r="AE759" s="123"/>
      <c r="AF759" s="123"/>
      <c r="AG759" s="123"/>
      <c r="AH759" s="123"/>
      <c r="AI759" s="123"/>
      <c r="AJ759" s="123"/>
    </row>
    <row r="760" ht="15.75" customHeight="1">
      <c r="A760" s="123"/>
      <c r="B760" s="124"/>
      <c r="C760" s="124"/>
      <c r="D760" s="124"/>
      <c r="E760" s="124"/>
      <c r="F760" s="125"/>
      <c r="G760" s="124"/>
      <c r="H760" s="124"/>
      <c r="I760" s="125"/>
      <c r="J760" s="123"/>
      <c r="K760" s="124"/>
      <c r="L760" s="125"/>
      <c r="M760" s="124"/>
      <c r="N760" s="124"/>
      <c r="O760" s="124"/>
      <c r="P760" s="124"/>
      <c r="Q760" s="124"/>
      <c r="R760" s="123"/>
      <c r="S760" s="123"/>
      <c r="T760" s="123"/>
      <c r="U760" s="123"/>
      <c r="V760" s="123"/>
      <c r="W760" s="123"/>
      <c r="X760" s="123"/>
      <c r="Y760" s="123"/>
      <c r="Z760" s="123"/>
      <c r="AA760" s="123"/>
      <c r="AB760" s="123"/>
      <c r="AC760" s="123"/>
      <c r="AD760" s="123"/>
      <c r="AE760" s="123"/>
      <c r="AF760" s="123"/>
      <c r="AG760" s="123"/>
      <c r="AH760" s="123"/>
      <c r="AI760" s="123"/>
      <c r="AJ760" s="123"/>
    </row>
    <row r="761" ht="15.75" customHeight="1">
      <c r="A761" s="123"/>
      <c r="B761" s="124"/>
      <c r="C761" s="124"/>
      <c r="D761" s="124"/>
      <c r="E761" s="124"/>
      <c r="F761" s="125"/>
      <c r="G761" s="124"/>
      <c r="H761" s="124"/>
      <c r="I761" s="125"/>
      <c r="J761" s="123"/>
      <c r="K761" s="124"/>
      <c r="L761" s="125"/>
      <c r="M761" s="124"/>
      <c r="N761" s="124"/>
      <c r="O761" s="124"/>
      <c r="P761" s="124"/>
      <c r="Q761" s="124"/>
      <c r="R761" s="123"/>
      <c r="S761" s="123"/>
      <c r="T761" s="123"/>
      <c r="U761" s="123"/>
      <c r="V761" s="123"/>
      <c r="W761" s="123"/>
      <c r="X761" s="123"/>
      <c r="Y761" s="123"/>
      <c r="Z761" s="123"/>
      <c r="AA761" s="123"/>
      <c r="AB761" s="123"/>
      <c r="AC761" s="123"/>
      <c r="AD761" s="123"/>
      <c r="AE761" s="123"/>
      <c r="AF761" s="123"/>
      <c r="AG761" s="123"/>
      <c r="AH761" s="123"/>
      <c r="AI761" s="123"/>
      <c r="AJ761" s="123"/>
    </row>
    <row r="762" ht="15.75" customHeight="1">
      <c r="A762" s="123"/>
      <c r="B762" s="124"/>
      <c r="C762" s="124"/>
      <c r="D762" s="124"/>
      <c r="E762" s="124"/>
      <c r="F762" s="125"/>
      <c r="G762" s="124"/>
      <c r="H762" s="124"/>
      <c r="I762" s="125"/>
      <c r="J762" s="123"/>
      <c r="K762" s="124"/>
      <c r="L762" s="125"/>
      <c r="M762" s="124"/>
      <c r="N762" s="124"/>
      <c r="O762" s="124"/>
      <c r="P762" s="124"/>
      <c r="Q762" s="124"/>
      <c r="R762" s="123"/>
      <c r="S762" s="123"/>
      <c r="T762" s="123"/>
      <c r="U762" s="123"/>
      <c r="V762" s="123"/>
      <c r="W762" s="123"/>
      <c r="X762" s="123"/>
      <c r="Y762" s="123"/>
      <c r="Z762" s="123"/>
      <c r="AA762" s="123"/>
      <c r="AB762" s="123"/>
      <c r="AC762" s="123"/>
      <c r="AD762" s="123"/>
      <c r="AE762" s="123"/>
      <c r="AF762" s="123"/>
      <c r="AG762" s="123"/>
      <c r="AH762" s="123"/>
      <c r="AI762" s="123"/>
      <c r="AJ762" s="123"/>
    </row>
    <row r="763" ht="15.75" customHeight="1">
      <c r="A763" s="123"/>
      <c r="B763" s="124"/>
      <c r="C763" s="124"/>
      <c r="D763" s="124"/>
      <c r="E763" s="124"/>
      <c r="F763" s="125"/>
      <c r="G763" s="124"/>
      <c r="H763" s="124"/>
      <c r="I763" s="125"/>
      <c r="J763" s="123"/>
      <c r="K763" s="124"/>
      <c r="L763" s="125"/>
      <c r="M763" s="124"/>
      <c r="N763" s="124"/>
      <c r="O763" s="124"/>
      <c r="P763" s="124"/>
      <c r="Q763" s="124"/>
      <c r="R763" s="123"/>
      <c r="S763" s="123"/>
      <c r="T763" s="123"/>
      <c r="U763" s="123"/>
      <c r="V763" s="123"/>
      <c r="W763" s="123"/>
      <c r="X763" s="123"/>
      <c r="Y763" s="123"/>
      <c r="Z763" s="123"/>
      <c r="AA763" s="123"/>
      <c r="AB763" s="123"/>
      <c r="AC763" s="123"/>
      <c r="AD763" s="123"/>
      <c r="AE763" s="123"/>
      <c r="AF763" s="123"/>
      <c r="AG763" s="123"/>
      <c r="AH763" s="123"/>
      <c r="AI763" s="123"/>
      <c r="AJ763" s="123"/>
    </row>
    <row r="764" ht="15.75" customHeight="1">
      <c r="A764" s="123"/>
      <c r="B764" s="124"/>
      <c r="C764" s="124"/>
      <c r="D764" s="124"/>
      <c r="E764" s="124"/>
      <c r="F764" s="125"/>
      <c r="G764" s="124"/>
      <c r="H764" s="124"/>
      <c r="I764" s="125"/>
      <c r="J764" s="123"/>
      <c r="K764" s="124"/>
      <c r="L764" s="125"/>
      <c r="M764" s="124"/>
      <c r="N764" s="124"/>
      <c r="O764" s="124"/>
      <c r="P764" s="124"/>
      <c r="Q764" s="124"/>
      <c r="R764" s="123"/>
      <c r="S764" s="123"/>
      <c r="T764" s="123"/>
      <c r="U764" s="123"/>
      <c r="V764" s="123"/>
      <c r="W764" s="123"/>
      <c r="X764" s="123"/>
      <c r="Y764" s="123"/>
      <c r="Z764" s="123"/>
      <c r="AA764" s="123"/>
      <c r="AB764" s="123"/>
      <c r="AC764" s="123"/>
      <c r="AD764" s="123"/>
      <c r="AE764" s="123"/>
      <c r="AF764" s="123"/>
      <c r="AG764" s="123"/>
      <c r="AH764" s="123"/>
      <c r="AI764" s="123"/>
      <c r="AJ764" s="123"/>
    </row>
    <row r="765" ht="15.75" customHeight="1">
      <c r="A765" s="123"/>
      <c r="B765" s="124"/>
      <c r="C765" s="124"/>
      <c r="D765" s="124"/>
      <c r="E765" s="124"/>
      <c r="F765" s="125"/>
      <c r="G765" s="124"/>
      <c r="H765" s="124"/>
      <c r="I765" s="125"/>
      <c r="J765" s="123"/>
      <c r="K765" s="124"/>
      <c r="L765" s="125"/>
      <c r="M765" s="124"/>
      <c r="N765" s="124"/>
      <c r="O765" s="124"/>
      <c r="P765" s="124"/>
      <c r="Q765" s="124"/>
      <c r="R765" s="123"/>
      <c r="S765" s="123"/>
      <c r="T765" s="123"/>
      <c r="U765" s="123"/>
      <c r="V765" s="123"/>
      <c r="W765" s="123"/>
      <c r="X765" s="123"/>
      <c r="Y765" s="123"/>
      <c r="Z765" s="123"/>
      <c r="AA765" s="123"/>
      <c r="AB765" s="123"/>
      <c r="AC765" s="123"/>
      <c r="AD765" s="123"/>
      <c r="AE765" s="123"/>
      <c r="AF765" s="123"/>
      <c r="AG765" s="123"/>
      <c r="AH765" s="123"/>
      <c r="AI765" s="123"/>
      <c r="AJ765" s="123"/>
    </row>
    <row r="766" ht="15.75" customHeight="1">
      <c r="A766" s="123"/>
      <c r="B766" s="124"/>
      <c r="C766" s="124"/>
      <c r="D766" s="124"/>
      <c r="E766" s="124"/>
      <c r="F766" s="125"/>
      <c r="G766" s="124"/>
      <c r="H766" s="124"/>
      <c r="I766" s="125"/>
      <c r="J766" s="123"/>
      <c r="K766" s="124"/>
      <c r="L766" s="125"/>
      <c r="M766" s="124"/>
      <c r="N766" s="124"/>
      <c r="O766" s="124"/>
      <c r="P766" s="124"/>
      <c r="Q766" s="124"/>
      <c r="R766" s="123"/>
      <c r="S766" s="123"/>
      <c r="T766" s="123"/>
      <c r="U766" s="123"/>
      <c r="V766" s="123"/>
      <c r="W766" s="123"/>
      <c r="X766" s="123"/>
      <c r="Y766" s="123"/>
      <c r="Z766" s="123"/>
      <c r="AA766" s="123"/>
      <c r="AB766" s="123"/>
      <c r="AC766" s="123"/>
      <c r="AD766" s="123"/>
      <c r="AE766" s="123"/>
      <c r="AF766" s="123"/>
      <c r="AG766" s="123"/>
      <c r="AH766" s="123"/>
      <c r="AI766" s="123"/>
      <c r="AJ766" s="123"/>
    </row>
    <row r="767" ht="15.75" customHeight="1">
      <c r="A767" s="123"/>
      <c r="B767" s="124"/>
      <c r="C767" s="124"/>
      <c r="D767" s="124"/>
      <c r="E767" s="124"/>
      <c r="F767" s="125"/>
      <c r="G767" s="124"/>
      <c r="H767" s="124"/>
      <c r="I767" s="125"/>
      <c r="J767" s="123"/>
      <c r="K767" s="124"/>
      <c r="L767" s="125"/>
      <c r="M767" s="124"/>
      <c r="N767" s="124"/>
      <c r="O767" s="124"/>
      <c r="P767" s="124"/>
      <c r="Q767" s="124"/>
      <c r="R767" s="123"/>
      <c r="S767" s="123"/>
      <c r="T767" s="123"/>
      <c r="U767" s="123"/>
      <c r="V767" s="123"/>
      <c r="W767" s="123"/>
      <c r="X767" s="123"/>
      <c r="Y767" s="123"/>
      <c r="Z767" s="123"/>
      <c r="AA767" s="123"/>
      <c r="AB767" s="123"/>
      <c r="AC767" s="123"/>
      <c r="AD767" s="123"/>
      <c r="AE767" s="123"/>
      <c r="AF767" s="123"/>
      <c r="AG767" s="123"/>
      <c r="AH767" s="123"/>
      <c r="AI767" s="123"/>
      <c r="AJ767" s="123"/>
    </row>
    <row r="768" ht="15.75" customHeight="1">
      <c r="A768" s="123"/>
      <c r="B768" s="124"/>
      <c r="C768" s="124"/>
      <c r="D768" s="124"/>
      <c r="E768" s="124"/>
      <c r="F768" s="125"/>
      <c r="G768" s="124"/>
      <c r="H768" s="124"/>
      <c r="I768" s="125"/>
      <c r="J768" s="123"/>
      <c r="K768" s="124"/>
      <c r="L768" s="125"/>
      <c r="M768" s="124"/>
      <c r="N768" s="124"/>
      <c r="O768" s="124"/>
      <c r="P768" s="124"/>
      <c r="Q768" s="124"/>
      <c r="R768" s="123"/>
      <c r="S768" s="123"/>
      <c r="T768" s="123"/>
      <c r="U768" s="123"/>
      <c r="V768" s="123"/>
      <c r="W768" s="123"/>
      <c r="X768" s="123"/>
      <c r="Y768" s="123"/>
      <c r="Z768" s="123"/>
      <c r="AA768" s="123"/>
      <c r="AB768" s="123"/>
      <c r="AC768" s="123"/>
      <c r="AD768" s="123"/>
      <c r="AE768" s="123"/>
      <c r="AF768" s="123"/>
      <c r="AG768" s="123"/>
      <c r="AH768" s="123"/>
      <c r="AI768" s="123"/>
      <c r="AJ768" s="123"/>
    </row>
    <row r="769" ht="15.75" customHeight="1">
      <c r="A769" s="123"/>
      <c r="B769" s="124"/>
      <c r="C769" s="124"/>
      <c r="D769" s="124"/>
      <c r="E769" s="124"/>
      <c r="F769" s="125"/>
      <c r="G769" s="124"/>
      <c r="H769" s="124"/>
      <c r="I769" s="125"/>
      <c r="J769" s="123"/>
      <c r="K769" s="124"/>
      <c r="L769" s="125"/>
      <c r="M769" s="124"/>
      <c r="N769" s="124"/>
      <c r="O769" s="124"/>
      <c r="P769" s="124"/>
      <c r="Q769" s="124"/>
      <c r="R769" s="123"/>
      <c r="S769" s="123"/>
      <c r="T769" s="123"/>
      <c r="U769" s="123"/>
      <c r="V769" s="123"/>
      <c r="W769" s="123"/>
      <c r="X769" s="123"/>
      <c r="Y769" s="123"/>
      <c r="Z769" s="123"/>
      <c r="AA769" s="123"/>
      <c r="AB769" s="123"/>
      <c r="AC769" s="123"/>
      <c r="AD769" s="123"/>
      <c r="AE769" s="123"/>
      <c r="AF769" s="123"/>
      <c r="AG769" s="123"/>
      <c r="AH769" s="123"/>
      <c r="AI769" s="123"/>
      <c r="AJ769" s="123"/>
    </row>
    <row r="770" ht="15.75" customHeight="1">
      <c r="A770" s="123"/>
      <c r="B770" s="124"/>
      <c r="C770" s="124"/>
      <c r="D770" s="124"/>
      <c r="E770" s="124"/>
      <c r="F770" s="125"/>
      <c r="G770" s="124"/>
      <c r="H770" s="124"/>
      <c r="I770" s="125"/>
      <c r="J770" s="123"/>
      <c r="K770" s="124"/>
      <c r="L770" s="125"/>
      <c r="M770" s="124"/>
      <c r="N770" s="124"/>
      <c r="O770" s="124"/>
      <c r="P770" s="124"/>
      <c r="Q770" s="124"/>
      <c r="R770" s="123"/>
      <c r="S770" s="123"/>
      <c r="T770" s="123"/>
      <c r="U770" s="123"/>
      <c r="V770" s="123"/>
      <c r="W770" s="123"/>
      <c r="X770" s="123"/>
      <c r="Y770" s="123"/>
      <c r="Z770" s="123"/>
      <c r="AA770" s="123"/>
      <c r="AB770" s="123"/>
      <c r="AC770" s="123"/>
      <c r="AD770" s="123"/>
      <c r="AE770" s="123"/>
      <c r="AF770" s="123"/>
      <c r="AG770" s="123"/>
      <c r="AH770" s="123"/>
      <c r="AI770" s="123"/>
      <c r="AJ770" s="123"/>
    </row>
    <row r="771" ht="15.75" customHeight="1">
      <c r="A771" s="123"/>
      <c r="B771" s="124"/>
      <c r="C771" s="124"/>
      <c r="D771" s="124"/>
      <c r="E771" s="124"/>
      <c r="F771" s="125"/>
      <c r="G771" s="124"/>
      <c r="H771" s="124"/>
      <c r="I771" s="125"/>
      <c r="J771" s="123"/>
      <c r="K771" s="124"/>
      <c r="L771" s="125"/>
      <c r="M771" s="124"/>
      <c r="N771" s="124"/>
      <c r="O771" s="124"/>
      <c r="P771" s="124"/>
      <c r="Q771" s="124"/>
      <c r="R771" s="123"/>
      <c r="S771" s="123"/>
      <c r="T771" s="123"/>
      <c r="U771" s="123"/>
      <c r="V771" s="123"/>
      <c r="W771" s="123"/>
      <c r="X771" s="123"/>
      <c r="Y771" s="123"/>
      <c r="Z771" s="123"/>
      <c r="AA771" s="123"/>
      <c r="AB771" s="123"/>
      <c r="AC771" s="123"/>
      <c r="AD771" s="123"/>
      <c r="AE771" s="123"/>
      <c r="AF771" s="123"/>
      <c r="AG771" s="123"/>
      <c r="AH771" s="123"/>
      <c r="AI771" s="123"/>
      <c r="AJ771" s="123"/>
    </row>
    <row r="772" ht="15.75" customHeight="1">
      <c r="A772" s="123"/>
      <c r="B772" s="124"/>
      <c r="C772" s="124"/>
      <c r="D772" s="124"/>
      <c r="E772" s="124"/>
      <c r="F772" s="125"/>
      <c r="G772" s="124"/>
      <c r="H772" s="124"/>
      <c r="I772" s="125"/>
      <c r="J772" s="123"/>
      <c r="K772" s="124"/>
      <c r="L772" s="125"/>
      <c r="M772" s="124"/>
      <c r="N772" s="124"/>
      <c r="O772" s="124"/>
      <c r="P772" s="124"/>
      <c r="Q772" s="124"/>
      <c r="R772" s="123"/>
      <c r="S772" s="123"/>
      <c r="T772" s="123"/>
      <c r="U772" s="123"/>
      <c r="V772" s="123"/>
      <c r="W772" s="123"/>
      <c r="X772" s="123"/>
      <c r="Y772" s="123"/>
      <c r="Z772" s="123"/>
      <c r="AA772" s="123"/>
      <c r="AB772" s="123"/>
      <c r="AC772" s="123"/>
      <c r="AD772" s="123"/>
      <c r="AE772" s="123"/>
      <c r="AF772" s="123"/>
      <c r="AG772" s="123"/>
      <c r="AH772" s="123"/>
      <c r="AI772" s="123"/>
      <c r="AJ772" s="123"/>
    </row>
    <row r="773" ht="15.75" customHeight="1">
      <c r="A773" s="123"/>
      <c r="B773" s="124"/>
      <c r="C773" s="124"/>
      <c r="D773" s="124"/>
      <c r="E773" s="124"/>
      <c r="F773" s="125"/>
      <c r="G773" s="124"/>
      <c r="H773" s="124"/>
      <c r="I773" s="125"/>
      <c r="J773" s="123"/>
      <c r="K773" s="124"/>
      <c r="L773" s="125"/>
      <c r="M773" s="124"/>
      <c r="N773" s="124"/>
      <c r="O773" s="124"/>
      <c r="P773" s="124"/>
      <c r="Q773" s="124"/>
      <c r="R773" s="123"/>
      <c r="S773" s="123"/>
      <c r="T773" s="123"/>
      <c r="U773" s="123"/>
      <c r="V773" s="123"/>
      <c r="W773" s="123"/>
      <c r="X773" s="123"/>
      <c r="Y773" s="123"/>
      <c r="Z773" s="123"/>
      <c r="AA773" s="123"/>
      <c r="AB773" s="123"/>
      <c r="AC773" s="123"/>
      <c r="AD773" s="123"/>
      <c r="AE773" s="123"/>
      <c r="AF773" s="123"/>
      <c r="AG773" s="123"/>
      <c r="AH773" s="123"/>
      <c r="AI773" s="123"/>
      <c r="AJ773" s="123"/>
    </row>
    <row r="774" ht="15.75" customHeight="1">
      <c r="A774" s="123"/>
      <c r="B774" s="124"/>
      <c r="C774" s="124"/>
      <c r="D774" s="124"/>
      <c r="E774" s="124"/>
      <c r="F774" s="125"/>
      <c r="G774" s="124"/>
      <c r="H774" s="124"/>
      <c r="I774" s="125"/>
      <c r="J774" s="123"/>
      <c r="K774" s="124"/>
      <c r="L774" s="125"/>
      <c r="M774" s="124"/>
      <c r="N774" s="124"/>
      <c r="O774" s="124"/>
      <c r="P774" s="124"/>
      <c r="Q774" s="124"/>
      <c r="R774" s="123"/>
      <c r="S774" s="123"/>
      <c r="T774" s="123"/>
      <c r="U774" s="123"/>
      <c r="V774" s="123"/>
      <c r="W774" s="123"/>
      <c r="X774" s="123"/>
      <c r="Y774" s="123"/>
      <c r="Z774" s="123"/>
      <c r="AA774" s="123"/>
      <c r="AB774" s="123"/>
      <c r="AC774" s="123"/>
      <c r="AD774" s="123"/>
      <c r="AE774" s="123"/>
      <c r="AF774" s="123"/>
      <c r="AG774" s="123"/>
      <c r="AH774" s="123"/>
      <c r="AI774" s="123"/>
      <c r="AJ774" s="123"/>
    </row>
    <row r="775" ht="15.75" customHeight="1">
      <c r="A775" s="123"/>
      <c r="B775" s="124"/>
      <c r="C775" s="124"/>
      <c r="D775" s="124"/>
      <c r="E775" s="124"/>
      <c r="F775" s="125"/>
      <c r="G775" s="124"/>
      <c r="H775" s="124"/>
      <c r="I775" s="125"/>
      <c r="J775" s="123"/>
      <c r="K775" s="124"/>
      <c r="L775" s="125"/>
      <c r="M775" s="124"/>
      <c r="N775" s="124"/>
      <c r="O775" s="124"/>
      <c r="P775" s="124"/>
      <c r="Q775" s="124"/>
      <c r="R775" s="123"/>
      <c r="S775" s="123"/>
      <c r="T775" s="123"/>
      <c r="U775" s="123"/>
      <c r="V775" s="123"/>
      <c r="W775" s="123"/>
      <c r="X775" s="123"/>
      <c r="Y775" s="123"/>
      <c r="Z775" s="123"/>
      <c r="AA775" s="123"/>
      <c r="AB775" s="123"/>
      <c r="AC775" s="123"/>
      <c r="AD775" s="123"/>
      <c r="AE775" s="123"/>
      <c r="AF775" s="123"/>
      <c r="AG775" s="123"/>
      <c r="AH775" s="123"/>
      <c r="AI775" s="123"/>
      <c r="AJ775" s="123"/>
    </row>
    <row r="776" ht="15.75" customHeight="1">
      <c r="A776" s="123"/>
      <c r="B776" s="124"/>
      <c r="C776" s="124"/>
      <c r="D776" s="124"/>
      <c r="E776" s="124"/>
      <c r="F776" s="125"/>
      <c r="G776" s="124"/>
      <c r="H776" s="124"/>
      <c r="I776" s="125"/>
      <c r="J776" s="123"/>
      <c r="K776" s="124"/>
      <c r="L776" s="125"/>
      <c r="M776" s="124"/>
      <c r="N776" s="124"/>
      <c r="O776" s="124"/>
      <c r="P776" s="124"/>
      <c r="Q776" s="124"/>
      <c r="R776" s="123"/>
      <c r="S776" s="123"/>
      <c r="T776" s="123"/>
      <c r="U776" s="123"/>
      <c r="V776" s="123"/>
      <c r="W776" s="123"/>
      <c r="X776" s="123"/>
      <c r="Y776" s="123"/>
      <c r="Z776" s="123"/>
      <c r="AA776" s="123"/>
      <c r="AB776" s="123"/>
      <c r="AC776" s="123"/>
      <c r="AD776" s="123"/>
      <c r="AE776" s="123"/>
      <c r="AF776" s="123"/>
      <c r="AG776" s="123"/>
      <c r="AH776" s="123"/>
      <c r="AI776" s="123"/>
      <c r="AJ776" s="123"/>
    </row>
    <row r="777" ht="15.75" customHeight="1">
      <c r="A777" s="123"/>
      <c r="B777" s="124"/>
      <c r="C777" s="124"/>
      <c r="D777" s="124"/>
      <c r="E777" s="124"/>
      <c r="F777" s="125"/>
      <c r="G777" s="124"/>
      <c r="H777" s="124"/>
      <c r="I777" s="125"/>
      <c r="J777" s="123"/>
      <c r="K777" s="124"/>
      <c r="L777" s="125"/>
      <c r="M777" s="124"/>
      <c r="N777" s="124"/>
      <c r="O777" s="124"/>
      <c r="P777" s="124"/>
      <c r="Q777" s="124"/>
      <c r="R777" s="123"/>
      <c r="S777" s="123"/>
      <c r="T777" s="123"/>
      <c r="U777" s="123"/>
      <c r="V777" s="123"/>
      <c r="W777" s="123"/>
      <c r="X777" s="123"/>
      <c r="Y777" s="123"/>
      <c r="Z777" s="123"/>
      <c r="AA777" s="123"/>
      <c r="AB777" s="123"/>
      <c r="AC777" s="123"/>
      <c r="AD777" s="123"/>
      <c r="AE777" s="123"/>
      <c r="AF777" s="123"/>
      <c r="AG777" s="123"/>
      <c r="AH777" s="123"/>
      <c r="AI777" s="123"/>
      <c r="AJ777" s="123"/>
    </row>
    <row r="778" ht="15.75" customHeight="1">
      <c r="A778" s="123"/>
      <c r="B778" s="124"/>
      <c r="C778" s="124"/>
      <c r="D778" s="124"/>
      <c r="E778" s="124"/>
      <c r="F778" s="125"/>
      <c r="G778" s="124"/>
      <c r="H778" s="124"/>
      <c r="I778" s="125"/>
      <c r="J778" s="123"/>
      <c r="K778" s="124"/>
      <c r="L778" s="125"/>
      <c r="M778" s="124"/>
      <c r="N778" s="124"/>
      <c r="O778" s="124"/>
      <c r="P778" s="124"/>
      <c r="Q778" s="124"/>
      <c r="R778" s="123"/>
      <c r="S778" s="123"/>
      <c r="T778" s="123"/>
      <c r="U778" s="123"/>
      <c r="V778" s="123"/>
      <c r="W778" s="123"/>
      <c r="X778" s="123"/>
      <c r="Y778" s="123"/>
      <c r="Z778" s="123"/>
      <c r="AA778" s="123"/>
      <c r="AB778" s="123"/>
      <c r="AC778" s="123"/>
      <c r="AD778" s="123"/>
      <c r="AE778" s="123"/>
      <c r="AF778" s="123"/>
      <c r="AG778" s="123"/>
      <c r="AH778" s="123"/>
      <c r="AI778" s="123"/>
      <c r="AJ778" s="123"/>
    </row>
    <row r="779" ht="15.75" customHeight="1">
      <c r="A779" s="123"/>
      <c r="B779" s="124"/>
      <c r="C779" s="124"/>
      <c r="D779" s="124"/>
      <c r="E779" s="124"/>
      <c r="F779" s="125"/>
      <c r="G779" s="124"/>
      <c r="H779" s="124"/>
      <c r="I779" s="125"/>
      <c r="J779" s="123"/>
      <c r="K779" s="124"/>
      <c r="L779" s="125"/>
      <c r="M779" s="124"/>
      <c r="N779" s="124"/>
      <c r="O779" s="124"/>
      <c r="P779" s="124"/>
      <c r="Q779" s="124"/>
      <c r="R779" s="123"/>
      <c r="S779" s="123"/>
      <c r="T779" s="123"/>
      <c r="U779" s="123"/>
      <c r="V779" s="123"/>
      <c r="W779" s="123"/>
      <c r="X779" s="123"/>
      <c r="Y779" s="123"/>
      <c r="Z779" s="123"/>
      <c r="AA779" s="123"/>
      <c r="AB779" s="123"/>
      <c r="AC779" s="123"/>
      <c r="AD779" s="123"/>
      <c r="AE779" s="123"/>
      <c r="AF779" s="123"/>
      <c r="AG779" s="123"/>
      <c r="AH779" s="123"/>
      <c r="AI779" s="123"/>
      <c r="AJ779" s="123"/>
    </row>
    <row r="780" ht="15.75" customHeight="1">
      <c r="A780" s="123"/>
      <c r="B780" s="124"/>
      <c r="C780" s="124"/>
      <c r="D780" s="124"/>
      <c r="E780" s="124"/>
      <c r="F780" s="125"/>
      <c r="G780" s="124"/>
      <c r="H780" s="124"/>
      <c r="I780" s="125"/>
      <c r="J780" s="123"/>
      <c r="K780" s="124"/>
      <c r="L780" s="125"/>
      <c r="M780" s="124"/>
      <c r="N780" s="124"/>
      <c r="O780" s="124"/>
      <c r="P780" s="124"/>
      <c r="Q780" s="124"/>
      <c r="R780" s="123"/>
      <c r="S780" s="123"/>
      <c r="T780" s="123"/>
      <c r="U780" s="123"/>
      <c r="V780" s="123"/>
      <c r="W780" s="123"/>
      <c r="X780" s="123"/>
      <c r="Y780" s="123"/>
      <c r="Z780" s="123"/>
      <c r="AA780" s="123"/>
      <c r="AB780" s="123"/>
      <c r="AC780" s="123"/>
      <c r="AD780" s="123"/>
      <c r="AE780" s="123"/>
      <c r="AF780" s="123"/>
      <c r="AG780" s="123"/>
      <c r="AH780" s="123"/>
      <c r="AI780" s="123"/>
      <c r="AJ780" s="123"/>
    </row>
    <row r="781" ht="15.75" customHeight="1">
      <c r="A781" s="123"/>
      <c r="B781" s="124"/>
      <c r="C781" s="124"/>
      <c r="D781" s="124"/>
      <c r="E781" s="124"/>
      <c r="F781" s="125"/>
      <c r="G781" s="124"/>
      <c r="H781" s="124"/>
      <c r="I781" s="125"/>
      <c r="J781" s="123"/>
      <c r="K781" s="124"/>
      <c r="L781" s="125"/>
      <c r="M781" s="124"/>
      <c r="N781" s="124"/>
      <c r="O781" s="124"/>
      <c r="P781" s="124"/>
      <c r="Q781" s="124"/>
      <c r="R781" s="123"/>
      <c r="S781" s="123"/>
      <c r="T781" s="123"/>
      <c r="U781" s="123"/>
      <c r="V781" s="123"/>
      <c r="W781" s="123"/>
      <c r="X781" s="123"/>
      <c r="Y781" s="123"/>
      <c r="Z781" s="123"/>
      <c r="AA781" s="123"/>
      <c r="AB781" s="123"/>
      <c r="AC781" s="123"/>
      <c r="AD781" s="123"/>
      <c r="AE781" s="123"/>
      <c r="AF781" s="123"/>
      <c r="AG781" s="123"/>
      <c r="AH781" s="123"/>
      <c r="AI781" s="123"/>
      <c r="AJ781" s="123"/>
    </row>
    <row r="782" ht="15.75" customHeight="1">
      <c r="A782" s="123"/>
      <c r="B782" s="124"/>
      <c r="C782" s="124"/>
      <c r="D782" s="124"/>
      <c r="E782" s="124"/>
      <c r="F782" s="125"/>
      <c r="G782" s="124"/>
      <c r="H782" s="124"/>
      <c r="I782" s="125"/>
      <c r="J782" s="123"/>
      <c r="K782" s="124"/>
      <c r="L782" s="125"/>
      <c r="M782" s="124"/>
      <c r="N782" s="124"/>
      <c r="O782" s="124"/>
      <c r="P782" s="124"/>
      <c r="Q782" s="124"/>
      <c r="R782" s="123"/>
      <c r="S782" s="123"/>
      <c r="T782" s="123"/>
      <c r="U782" s="123"/>
      <c r="V782" s="123"/>
      <c r="W782" s="123"/>
      <c r="X782" s="123"/>
      <c r="Y782" s="123"/>
      <c r="Z782" s="123"/>
      <c r="AA782" s="123"/>
      <c r="AB782" s="123"/>
      <c r="AC782" s="123"/>
      <c r="AD782" s="123"/>
      <c r="AE782" s="123"/>
      <c r="AF782" s="123"/>
      <c r="AG782" s="123"/>
      <c r="AH782" s="123"/>
      <c r="AI782" s="123"/>
      <c r="AJ782" s="123"/>
    </row>
    <row r="783" ht="15.75" customHeight="1">
      <c r="A783" s="123"/>
      <c r="B783" s="124"/>
      <c r="C783" s="124"/>
      <c r="D783" s="124"/>
      <c r="E783" s="124"/>
      <c r="F783" s="125"/>
      <c r="G783" s="124"/>
      <c r="H783" s="124"/>
      <c r="I783" s="125"/>
      <c r="J783" s="123"/>
      <c r="K783" s="124"/>
      <c r="L783" s="125"/>
      <c r="M783" s="124"/>
      <c r="N783" s="124"/>
      <c r="O783" s="124"/>
      <c r="P783" s="124"/>
      <c r="Q783" s="124"/>
      <c r="R783" s="123"/>
      <c r="S783" s="123"/>
      <c r="T783" s="123"/>
      <c r="U783" s="123"/>
      <c r="V783" s="123"/>
      <c r="W783" s="123"/>
      <c r="X783" s="123"/>
      <c r="Y783" s="123"/>
      <c r="Z783" s="123"/>
      <c r="AA783" s="123"/>
      <c r="AB783" s="123"/>
      <c r="AC783" s="123"/>
      <c r="AD783" s="123"/>
      <c r="AE783" s="123"/>
      <c r="AF783" s="123"/>
      <c r="AG783" s="123"/>
      <c r="AH783" s="123"/>
      <c r="AI783" s="123"/>
      <c r="AJ783" s="123"/>
    </row>
    <row r="784" ht="15.75" customHeight="1">
      <c r="A784" s="123"/>
      <c r="B784" s="124"/>
      <c r="C784" s="124"/>
      <c r="D784" s="124"/>
      <c r="E784" s="124"/>
      <c r="F784" s="125"/>
      <c r="G784" s="124"/>
      <c r="H784" s="124"/>
      <c r="I784" s="125"/>
      <c r="J784" s="123"/>
      <c r="K784" s="124"/>
      <c r="L784" s="125"/>
      <c r="M784" s="124"/>
      <c r="N784" s="124"/>
      <c r="O784" s="124"/>
      <c r="P784" s="124"/>
      <c r="Q784" s="124"/>
      <c r="R784" s="123"/>
      <c r="S784" s="123"/>
      <c r="T784" s="123"/>
      <c r="U784" s="123"/>
      <c r="V784" s="123"/>
      <c r="W784" s="123"/>
      <c r="X784" s="123"/>
      <c r="Y784" s="123"/>
      <c r="Z784" s="123"/>
      <c r="AA784" s="123"/>
      <c r="AB784" s="123"/>
      <c r="AC784" s="123"/>
      <c r="AD784" s="123"/>
      <c r="AE784" s="123"/>
      <c r="AF784" s="123"/>
      <c r="AG784" s="123"/>
      <c r="AH784" s="123"/>
      <c r="AI784" s="123"/>
      <c r="AJ784" s="123"/>
    </row>
    <row r="785" ht="15.75" customHeight="1">
      <c r="A785" s="123"/>
      <c r="B785" s="124"/>
      <c r="C785" s="124"/>
      <c r="D785" s="124"/>
      <c r="E785" s="124"/>
      <c r="F785" s="125"/>
      <c r="G785" s="124"/>
      <c r="H785" s="124"/>
      <c r="I785" s="125"/>
      <c r="J785" s="123"/>
      <c r="K785" s="124"/>
      <c r="L785" s="125"/>
      <c r="M785" s="124"/>
      <c r="N785" s="124"/>
      <c r="O785" s="124"/>
      <c r="P785" s="124"/>
      <c r="Q785" s="124"/>
      <c r="R785" s="123"/>
      <c r="S785" s="123"/>
      <c r="T785" s="123"/>
      <c r="U785" s="123"/>
      <c r="V785" s="123"/>
      <c r="W785" s="123"/>
      <c r="X785" s="123"/>
      <c r="Y785" s="123"/>
      <c r="Z785" s="123"/>
      <c r="AA785" s="123"/>
      <c r="AB785" s="123"/>
      <c r="AC785" s="123"/>
      <c r="AD785" s="123"/>
      <c r="AE785" s="123"/>
      <c r="AF785" s="123"/>
      <c r="AG785" s="123"/>
      <c r="AH785" s="123"/>
      <c r="AI785" s="123"/>
      <c r="AJ785" s="123"/>
    </row>
    <row r="786" ht="15.75" customHeight="1">
      <c r="A786" s="123"/>
      <c r="B786" s="124"/>
      <c r="C786" s="124"/>
      <c r="D786" s="124"/>
      <c r="E786" s="124"/>
      <c r="F786" s="125"/>
      <c r="G786" s="124"/>
      <c r="H786" s="124"/>
      <c r="I786" s="125"/>
      <c r="J786" s="123"/>
      <c r="K786" s="124"/>
      <c r="L786" s="125"/>
      <c r="M786" s="124"/>
      <c r="N786" s="124"/>
      <c r="O786" s="124"/>
      <c r="P786" s="124"/>
      <c r="Q786" s="124"/>
      <c r="R786" s="123"/>
      <c r="S786" s="123"/>
      <c r="T786" s="123"/>
      <c r="U786" s="123"/>
      <c r="V786" s="123"/>
      <c r="W786" s="123"/>
      <c r="X786" s="123"/>
      <c r="Y786" s="123"/>
      <c r="Z786" s="123"/>
      <c r="AA786" s="123"/>
      <c r="AB786" s="123"/>
      <c r="AC786" s="123"/>
      <c r="AD786" s="123"/>
      <c r="AE786" s="123"/>
      <c r="AF786" s="123"/>
      <c r="AG786" s="123"/>
      <c r="AH786" s="123"/>
      <c r="AI786" s="123"/>
      <c r="AJ786" s="123"/>
    </row>
    <row r="787" ht="15.75" customHeight="1">
      <c r="A787" s="123"/>
      <c r="B787" s="124"/>
      <c r="C787" s="124"/>
      <c r="D787" s="124"/>
      <c r="E787" s="124"/>
      <c r="F787" s="125"/>
      <c r="G787" s="124"/>
      <c r="H787" s="124"/>
      <c r="I787" s="125"/>
      <c r="J787" s="123"/>
      <c r="K787" s="124"/>
      <c r="L787" s="125"/>
      <c r="M787" s="124"/>
      <c r="N787" s="124"/>
      <c r="O787" s="124"/>
      <c r="P787" s="124"/>
      <c r="Q787" s="124"/>
      <c r="R787" s="123"/>
      <c r="S787" s="123"/>
      <c r="T787" s="123"/>
      <c r="U787" s="123"/>
      <c r="V787" s="123"/>
      <c r="W787" s="123"/>
      <c r="X787" s="123"/>
      <c r="Y787" s="123"/>
      <c r="Z787" s="123"/>
      <c r="AA787" s="123"/>
      <c r="AB787" s="123"/>
      <c r="AC787" s="123"/>
      <c r="AD787" s="123"/>
      <c r="AE787" s="123"/>
      <c r="AF787" s="123"/>
      <c r="AG787" s="123"/>
      <c r="AH787" s="123"/>
      <c r="AI787" s="123"/>
      <c r="AJ787" s="123"/>
    </row>
    <row r="788" ht="15.75" customHeight="1">
      <c r="A788" s="123"/>
      <c r="B788" s="124"/>
      <c r="C788" s="124"/>
      <c r="D788" s="124"/>
      <c r="E788" s="124"/>
      <c r="F788" s="125"/>
      <c r="G788" s="124"/>
      <c r="H788" s="124"/>
      <c r="I788" s="125"/>
      <c r="J788" s="123"/>
      <c r="K788" s="124"/>
      <c r="L788" s="125"/>
      <c r="M788" s="124"/>
      <c r="N788" s="124"/>
      <c r="O788" s="124"/>
      <c r="P788" s="124"/>
      <c r="Q788" s="124"/>
      <c r="R788" s="123"/>
      <c r="S788" s="123"/>
      <c r="T788" s="123"/>
      <c r="U788" s="123"/>
      <c r="V788" s="123"/>
      <c r="W788" s="123"/>
      <c r="X788" s="123"/>
      <c r="Y788" s="123"/>
      <c r="Z788" s="123"/>
      <c r="AA788" s="123"/>
      <c r="AB788" s="123"/>
      <c r="AC788" s="123"/>
      <c r="AD788" s="123"/>
      <c r="AE788" s="123"/>
      <c r="AF788" s="123"/>
      <c r="AG788" s="123"/>
      <c r="AH788" s="123"/>
      <c r="AI788" s="123"/>
      <c r="AJ788" s="123"/>
    </row>
    <row r="789" ht="15.75" customHeight="1">
      <c r="A789" s="123"/>
      <c r="B789" s="124"/>
      <c r="C789" s="124"/>
      <c r="D789" s="124"/>
      <c r="E789" s="124"/>
      <c r="F789" s="125"/>
      <c r="G789" s="124"/>
      <c r="H789" s="124"/>
      <c r="I789" s="125"/>
      <c r="J789" s="123"/>
      <c r="K789" s="124"/>
      <c r="L789" s="125"/>
      <c r="M789" s="124"/>
      <c r="N789" s="124"/>
      <c r="O789" s="124"/>
      <c r="P789" s="124"/>
      <c r="Q789" s="124"/>
      <c r="R789" s="123"/>
      <c r="S789" s="123"/>
      <c r="T789" s="123"/>
      <c r="U789" s="123"/>
      <c r="V789" s="123"/>
      <c r="W789" s="123"/>
      <c r="X789" s="123"/>
      <c r="Y789" s="123"/>
      <c r="Z789" s="123"/>
      <c r="AA789" s="123"/>
      <c r="AB789" s="123"/>
      <c r="AC789" s="123"/>
      <c r="AD789" s="123"/>
      <c r="AE789" s="123"/>
      <c r="AF789" s="123"/>
      <c r="AG789" s="123"/>
      <c r="AH789" s="123"/>
      <c r="AI789" s="123"/>
      <c r="AJ789" s="123"/>
    </row>
    <row r="790" ht="15.75" customHeight="1">
      <c r="A790" s="123"/>
      <c r="B790" s="124"/>
      <c r="C790" s="124"/>
      <c r="D790" s="124"/>
      <c r="E790" s="124"/>
      <c r="F790" s="125"/>
      <c r="G790" s="124"/>
      <c r="H790" s="124"/>
      <c r="I790" s="125"/>
      <c r="J790" s="123"/>
      <c r="K790" s="124"/>
      <c r="L790" s="125"/>
      <c r="M790" s="124"/>
      <c r="N790" s="124"/>
      <c r="O790" s="124"/>
      <c r="P790" s="124"/>
      <c r="Q790" s="124"/>
      <c r="R790" s="123"/>
      <c r="S790" s="123"/>
      <c r="T790" s="123"/>
      <c r="U790" s="123"/>
      <c r="V790" s="123"/>
      <c r="W790" s="123"/>
      <c r="X790" s="123"/>
      <c r="Y790" s="123"/>
      <c r="Z790" s="123"/>
      <c r="AA790" s="123"/>
      <c r="AB790" s="123"/>
      <c r="AC790" s="123"/>
      <c r="AD790" s="123"/>
      <c r="AE790" s="123"/>
      <c r="AF790" s="123"/>
      <c r="AG790" s="123"/>
      <c r="AH790" s="123"/>
      <c r="AI790" s="123"/>
      <c r="AJ790" s="123"/>
    </row>
    <row r="791" ht="15.75" customHeight="1">
      <c r="A791" s="123"/>
      <c r="B791" s="124"/>
      <c r="C791" s="124"/>
      <c r="D791" s="124"/>
      <c r="E791" s="124"/>
      <c r="F791" s="125"/>
      <c r="G791" s="124"/>
      <c r="H791" s="124"/>
      <c r="I791" s="125"/>
      <c r="J791" s="123"/>
      <c r="K791" s="124"/>
      <c r="L791" s="125"/>
      <c r="M791" s="124"/>
      <c r="N791" s="124"/>
      <c r="O791" s="124"/>
      <c r="P791" s="124"/>
      <c r="Q791" s="124"/>
      <c r="R791" s="123"/>
      <c r="S791" s="123"/>
      <c r="T791" s="123"/>
      <c r="U791" s="123"/>
      <c r="V791" s="123"/>
      <c r="W791" s="123"/>
      <c r="X791" s="123"/>
      <c r="Y791" s="123"/>
      <c r="Z791" s="123"/>
      <c r="AA791" s="123"/>
      <c r="AB791" s="123"/>
      <c r="AC791" s="123"/>
      <c r="AD791" s="123"/>
      <c r="AE791" s="123"/>
      <c r="AF791" s="123"/>
      <c r="AG791" s="123"/>
      <c r="AH791" s="123"/>
      <c r="AI791" s="123"/>
      <c r="AJ791" s="123"/>
    </row>
    <row r="792" ht="15.75" customHeight="1">
      <c r="A792" s="123"/>
      <c r="B792" s="124"/>
      <c r="C792" s="124"/>
      <c r="D792" s="124"/>
      <c r="E792" s="124"/>
      <c r="F792" s="125"/>
      <c r="G792" s="124"/>
      <c r="H792" s="124"/>
      <c r="I792" s="125"/>
      <c r="J792" s="123"/>
      <c r="K792" s="124"/>
      <c r="L792" s="125"/>
      <c r="M792" s="124"/>
      <c r="N792" s="124"/>
      <c r="O792" s="124"/>
      <c r="P792" s="124"/>
      <c r="Q792" s="124"/>
      <c r="R792" s="123"/>
      <c r="S792" s="123"/>
      <c r="T792" s="123"/>
      <c r="U792" s="123"/>
      <c r="V792" s="123"/>
      <c r="W792" s="123"/>
      <c r="X792" s="123"/>
      <c r="Y792" s="123"/>
      <c r="Z792" s="123"/>
      <c r="AA792" s="123"/>
      <c r="AB792" s="123"/>
      <c r="AC792" s="123"/>
      <c r="AD792" s="123"/>
      <c r="AE792" s="123"/>
      <c r="AF792" s="123"/>
      <c r="AG792" s="123"/>
      <c r="AH792" s="123"/>
      <c r="AI792" s="123"/>
      <c r="AJ792" s="123"/>
    </row>
    <row r="793" ht="15.75" customHeight="1">
      <c r="A793" s="123"/>
      <c r="B793" s="124"/>
      <c r="C793" s="124"/>
      <c r="D793" s="124"/>
      <c r="E793" s="124"/>
      <c r="F793" s="125"/>
      <c r="G793" s="124"/>
      <c r="H793" s="124"/>
      <c r="I793" s="125"/>
      <c r="J793" s="123"/>
      <c r="K793" s="124"/>
      <c r="L793" s="125"/>
      <c r="M793" s="124"/>
      <c r="N793" s="124"/>
      <c r="O793" s="124"/>
      <c r="P793" s="124"/>
      <c r="Q793" s="124"/>
      <c r="R793" s="123"/>
      <c r="S793" s="123"/>
      <c r="T793" s="123"/>
      <c r="U793" s="123"/>
      <c r="V793" s="123"/>
      <c r="W793" s="123"/>
      <c r="X793" s="123"/>
      <c r="Y793" s="123"/>
      <c r="Z793" s="123"/>
      <c r="AA793" s="123"/>
      <c r="AB793" s="123"/>
      <c r="AC793" s="123"/>
      <c r="AD793" s="123"/>
      <c r="AE793" s="123"/>
      <c r="AF793" s="123"/>
      <c r="AG793" s="123"/>
      <c r="AH793" s="123"/>
      <c r="AI793" s="123"/>
      <c r="AJ793" s="123"/>
    </row>
    <row r="794" ht="15.75" customHeight="1">
      <c r="A794" s="123"/>
      <c r="B794" s="124"/>
      <c r="C794" s="124"/>
      <c r="D794" s="124"/>
      <c r="E794" s="124"/>
      <c r="F794" s="125"/>
      <c r="G794" s="124"/>
      <c r="H794" s="124"/>
      <c r="I794" s="125"/>
      <c r="J794" s="123"/>
      <c r="K794" s="124"/>
      <c r="L794" s="125"/>
      <c r="M794" s="124"/>
      <c r="N794" s="124"/>
      <c r="O794" s="124"/>
      <c r="P794" s="124"/>
      <c r="Q794" s="124"/>
      <c r="R794" s="123"/>
      <c r="S794" s="123"/>
      <c r="T794" s="123"/>
      <c r="U794" s="123"/>
      <c r="V794" s="123"/>
      <c r="W794" s="123"/>
      <c r="X794" s="123"/>
      <c r="Y794" s="123"/>
      <c r="Z794" s="123"/>
      <c r="AA794" s="123"/>
      <c r="AB794" s="123"/>
      <c r="AC794" s="123"/>
      <c r="AD794" s="123"/>
      <c r="AE794" s="123"/>
      <c r="AF794" s="123"/>
      <c r="AG794" s="123"/>
      <c r="AH794" s="123"/>
      <c r="AI794" s="123"/>
      <c r="AJ794" s="123"/>
    </row>
    <row r="795" ht="15.75" customHeight="1">
      <c r="A795" s="123"/>
      <c r="B795" s="124"/>
      <c r="C795" s="124"/>
      <c r="D795" s="124"/>
      <c r="E795" s="124"/>
      <c r="F795" s="125"/>
      <c r="G795" s="124"/>
      <c r="H795" s="124"/>
      <c r="I795" s="125"/>
      <c r="J795" s="123"/>
      <c r="K795" s="124"/>
      <c r="L795" s="125"/>
      <c r="M795" s="124"/>
      <c r="N795" s="124"/>
      <c r="O795" s="124"/>
      <c r="P795" s="124"/>
      <c r="Q795" s="124"/>
      <c r="R795" s="123"/>
      <c r="S795" s="123"/>
      <c r="T795" s="123"/>
      <c r="U795" s="123"/>
      <c r="V795" s="123"/>
      <c r="W795" s="123"/>
      <c r="X795" s="123"/>
      <c r="Y795" s="123"/>
      <c r="Z795" s="123"/>
      <c r="AA795" s="123"/>
      <c r="AB795" s="123"/>
      <c r="AC795" s="123"/>
      <c r="AD795" s="123"/>
      <c r="AE795" s="123"/>
      <c r="AF795" s="123"/>
      <c r="AG795" s="123"/>
      <c r="AH795" s="123"/>
      <c r="AI795" s="123"/>
      <c r="AJ795" s="123"/>
    </row>
    <row r="796" ht="15.75" customHeight="1">
      <c r="A796" s="123"/>
      <c r="B796" s="124"/>
      <c r="C796" s="124"/>
      <c r="D796" s="124"/>
      <c r="E796" s="124"/>
      <c r="F796" s="125"/>
      <c r="G796" s="124"/>
      <c r="H796" s="124"/>
      <c r="I796" s="125"/>
      <c r="J796" s="123"/>
      <c r="K796" s="124"/>
      <c r="L796" s="125"/>
      <c r="M796" s="124"/>
      <c r="N796" s="124"/>
      <c r="O796" s="124"/>
      <c r="P796" s="124"/>
      <c r="Q796" s="124"/>
      <c r="R796" s="123"/>
      <c r="S796" s="123"/>
      <c r="T796" s="123"/>
      <c r="U796" s="123"/>
      <c r="V796" s="123"/>
      <c r="W796" s="123"/>
      <c r="X796" s="123"/>
      <c r="Y796" s="123"/>
      <c r="Z796" s="123"/>
      <c r="AA796" s="123"/>
      <c r="AB796" s="123"/>
      <c r="AC796" s="123"/>
      <c r="AD796" s="123"/>
      <c r="AE796" s="123"/>
      <c r="AF796" s="123"/>
      <c r="AG796" s="123"/>
      <c r="AH796" s="123"/>
      <c r="AI796" s="123"/>
      <c r="AJ796" s="123"/>
    </row>
    <row r="797" ht="15.75" customHeight="1">
      <c r="A797" s="123"/>
      <c r="B797" s="124"/>
      <c r="C797" s="124"/>
      <c r="D797" s="124"/>
      <c r="E797" s="124"/>
      <c r="F797" s="125"/>
      <c r="G797" s="124"/>
      <c r="H797" s="124"/>
      <c r="I797" s="125"/>
      <c r="J797" s="123"/>
      <c r="K797" s="124"/>
      <c r="L797" s="125"/>
      <c r="M797" s="124"/>
      <c r="N797" s="124"/>
      <c r="O797" s="124"/>
      <c r="P797" s="124"/>
      <c r="Q797" s="124"/>
      <c r="R797" s="123"/>
      <c r="S797" s="123"/>
      <c r="T797" s="123"/>
      <c r="U797" s="123"/>
      <c r="V797" s="123"/>
      <c r="W797" s="123"/>
      <c r="X797" s="123"/>
      <c r="Y797" s="123"/>
      <c r="Z797" s="123"/>
      <c r="AA797" s="123"/>
      <c r="AB797" s="123"/>
      <c r="AC797" s="123"/>
      <c r="AD797" s="123"/>
      <c r="AE797" s="123"/>
      <c r="AF797" s="123"/>
      <c r="AG797" s="123"/>
      <c r="AH797" s="123"/>
      <c r="AI797" s="123"/>
      <c r="AJ797" s="123"/>
    </row>
    <row r="798" ht="15.75" customHeight="1">
      <c r="A798" s="123"/>
      <c r="B798" s="124"/>
      <c r="C798" s="124"/>
      <c r="D798" s="124"/>
      <c r="E798" s="124"/>
      <c r="F798" s="125"/>
      <c r="G798" s="124"/>
      <c r="H798" s="124"/>
      <c r="I798" s="125"/>
      <c r="J798" s="123"/>
      <c r="K798" s="124"/>
      <c r="L798" s="125"/>
      <c r="M798" s="124"/>
      <c r="N798" s="124"/>
      <c r="O798" s="124"/>
      <c r="P798" s="124"/>
      <c r="Q798" s="124"/>
      <c r="R798" s="123"/>
      <c r="S798" s="123"/>
      <c r="T798" s="123"/>
      <c r="U798" s="123"/>
      <c r="V798" s="123"/>
      <c r="W798" s="123"/>
      <c r="X798" s="123"/>
      <c r="Y798" s="123"/>
      <c r="Z798" s="123"/>
      <c r="AA798" s="123"/>
      <c r="AB798" s="123"/>
      <c r="AC798" s="123"/>
      <c r="AD798" s="123"/>
      <c r="AE798" s="123"/>
      <c r="AF798" s="123"/>
      <c r="AG798" s="123"/>
      <c r="AH798" s="123"/>
      <c r="AI798" s="123"/>
      <c r="AJ798" s="123"/>
    </row>
    <row r="799" ht="15.75" customHeight="1">
      <c r="A799" s="123"/>
      <c r="B799" s="124"/>
      <c r="C799" s="124"/>
      <c r="D799" s="124"/>
      <c r="E799" s="124"/>
      <c r="F799" s="125"/>
      <c r="G799" s="124"/>
      <c r="H799" s="124"/>
      <c r="I799" s="125"/>
      <c r="J799" s="123"/>
      <c r="K799" s="124"/>
      <c r="L799" s="125"/>
      <c r="M799" s="124"/>
      <c r="N799" s="124"/>
      <c r="O799" s="124"/>
      <c r="P799" s="124"/>
      <c r="Q799" s="124"/>
      <c r="R799" s="123"/>
      <c r="S799" s="123"/>
      <c r="T799" s="123"/>
      <c r="U799" s="123"/>
      <c r="V799" s="123"/>
      <c r="W799" s="123"/>
      <c r="X799" s="123"/>
      <c r="Y799" s="123"/>
      <c r="Z799" s="123"/>
      <c r="AA799" s="123"/>
      <c r="AB799" s="123"/>
      <c r="AC799" s="123"/>
      <c r="AD799" s="123"/>
      <c r="AE799" s="123"/>
      <c r="AF799" s="123"/>
      <c r="AG799" s="123"/>
      <c r="AH799" s="123"/>
      <c r="AI799" s="123"/>
      <c r="AJ799" s="123"/>
    </row>
    <row r="800" ht="15.75" customHeight="1">
      <c r="A800" s="123"/>
      <c r="B800" s="124"/>
      <c r="C800" s="124"/>
      <c r="D800" s="124"/>
      <c r="E800" s="124"/>
      <c r="F800" s="125"/>
      <c r="G800" s="124"/>
      <c r="H800" s="124"/>
      <c r="I800" s="125"/>
      <c r="J800" s="123"/>
      <c r="K800" s="124"/>
      <c r="L800" s="125"/>
      <c r="M800" s="124"/>
      <c r="N800" s="124"/>
      <c r="O800" s="124"/>
      <c r="P800" s="124"/>
      <c r="Q800" s="124"/>
      <c r="R800" s="123"/>
      <c r="S800" s="123"/>
      <c r="T800" s="123"/>
      <c r="U800" s="123"/>
      <c r="V800" s="123"/>
      <c r="W800" s="123"/>
      <c r="X800" s="123"/>
      <c r="Y800" s="123"/>
      <c r="Z800" s="123"/>
      <c r="AA800" s="123"/>
      <c r="AB800" s="123"/>
      <c r="AC800" s="123"/>
      <c r="AD800" s="123"/>
      <c r="AE800" s="123"/>
      <c r="AF800" s="123"/>
      <c r="AG800" s="123"/>
      <c r="AH800" s="123"/>
      <c r="AI800" s="123"/>
      <c r="AJ800" s="123"/>
    </row>
    <row r="801" ht="15.75" customHeight="1">
      <c r="A801" s="123"/>
      <c r="B801" s="124"/>
      <c r="C801" s="124"/>
      <c r="D801" s="124"/>
      <c r="E801" s="124"/>
      <c r="F801" s="125"/>
      <c r="G801" s="124"/>
      <c r="H801" s="124"/>
      <c r="I801" s="125"/>
      <c r="J801" s="123"/>
      <c r="K801" s="124"/>
      <c r="L801" s="125"/>
      <c r="M801" s="124"/>
      <c r="N801" s="124"/>
      <c r="O801" s="124"/>
      <c r="P801" s="124"/>
      <c r="Q801" s="124"/>
      <c r="R801" s="123"/>
      <c r="S801" s="123"/>
      <c r="T801" s="123"/>
      <c r="U801" s="123"/>
      <c r="V801" s="123"/>
      <c r="W801" s="123"/>
      <c r="X801" s="123"/>
      <c r="Y801" s="123"/>
      <c r="Z801" s="123"/>
      <c r="AA801" s="123"/>
      <c r="AB801" s="123"/>
      <c r="AC801" s="123"/>
      <c r="AD801" s="123"/>
      <c r="AE801" s="123"/>
      <c r="AF801" s="123"/>
      <c r="AG801" s="123"/>
      <c r="AH801" s="123"/>
      <c r="AI801" s="123"/>
      <c r="AJ801" s="123"/>
    </row>
    <row r="802" ht="15.75" customHeight="1">
      <c r="A802" s="123"/>
      <c r="B802" s="124"/>
      <c r="C802" s="124"/>
      <c r="D802" s="124"/>
      <c r="E802" s="124"/>
      <c r="F802" s="125"/>
      <c r="G802" s="124"/>
      <c r="H802" s="124"/>
      <c r="I802" s="125"/>
      <c r="J802" s="123"/>
      <c r="K802" s="124"/>
      <c r="L802" s="125"/>
      <c r="M802" s="124"/>
      <c r="N802" s="124"/>
      <c r="O802" s="124"/>
      <c r="P802" s="124"/>
      <c r="Q802" s="124"/>
      <c r="R802" s="123"/>
      <c r="S802" s="123"/>
      <c r="T802" s="123"/>
      <c r="U802" s="123"/>
      <c r="V802" s="123"/>
      <c r="W802" s="123"/>
      <c r="X802" s="123"/>
      <c r="Y802" s="123"/>
      <c r="Z802" s="123"/>
      <c r="AA802" s="123"/>
      <c r="AB802" s="123"/>
      <c r="AC802" s="123"/>
      <c r="AD802" s="123"/>
      <c r="AE802" s="123"/>
      <c r="AF802" s="123"/>
      <c r="AG802" s="123"/>
      <c r="AH802" s="123"/>
      <c r="AI802" s="123"/>
      <c r="AJ802" s="123"/>
    </row>
    <row r="803" ht="15.75" customHeight="1">
      <c r="A803" s="123"/>
      <c r="B803" s="124"/>
      <c r="C803" s="124"/>
      <c r="D803" s="124"/>
      <c r="E803" s="124"/>
      <c r="F803" s="125"/>
      <c r="G803" s="124"/>
      <c r="H803" s="124"/>
      <c r="I803" s="125"/>
      <c r="J803" s="123"/>
      <c r="K803" s="124"/>
      <c r="L803" s="125"/>
      <c r="M803" s="124"/>
      <c r="N803" s="124"/>
      <c r="O803" s="124"/>
      <c r="P803" s="124"/>
      <c r="Q803" s="124"/>
      <c r="R803" s="123"/>
      <c r="S803" s="123"/>
      <c r="T803" s="123"/>
      <c r="U803" s="123"/>
      <c r="V803" s="123"/>
      <c r="W803" s="123"/>
      <c r="X803" s="123"/>
      <c r="Y803" s="123"/>
      <c r="Z803" s="123"/>
      <c r="AA803" s="123"/>
      <c r="AB803" s="123"/>
      <c r="AC803" s="123"/>
      <c r="AD803" s="123"/>
      <c r="AE803" s="123"/>
      <c r="AF803" s="123"/>
      <c r="AG803" s="123"/>
      <c r="AH803" s="123"/>
      <c r="AI803" s="123"/>
      <c r="AJ803" s="123"/>
    </row>
    <row r="804" ht="15.75" customHeight="1">
      <c r="A804" s="123"/>
      <c r="B804" s="124"/>
      <c r="C804" s="124"/>
      <c r="D804" s="124"/>
      <c r="E804" s="124"/>
      <c r="F804" s="125"/>
      <c r="G804" s="124"/>
      <c r="H804" s="124"/>
      <c r="I804" s="125"/>
      <c r="J804" s="123"/>
      <c r="K804" s="124"/>
      <c r="L804" s="125"/>
      <c r="M804" s="124"/>
      <c r="N804" s="124"/>
      <c r="O804" s="124"/>
      <c r="P804" s="124"/>
      <c r="Q804" s="124"/>
      <c r="R804" s="123"/>
      <c r="S804" s="123"/>
      <c r="T804" s="123"/>
      <c r="U804" s="123"/>
      <c r="V804" s="123"/>
      <c r="W804" s="123"/>
      <c r="X804" s="123"/>
      <c r="Y804" s="123"/>
      <c r="Z804" s="123"/>
      <c r="AA804" s="123"/>
      <c r="AB804" s="123"/>
      <c r="AC804" s="123"/>
      <c r="AD804" s="123"/>
      <c r="AE804" s="123"/>
      <c r="AF804" s="123"/>
      <c r="AG804" s="123"/>
      <c r="AH804" s="123"/>
      <c r="AI804" s="123"/>
      <c r="AJ804" s="123"/>
    </row>
    <row r="805" ht="15.75" customHeight="1">
      <c r="A805" s="123"/>
      <c r="B805" s="124"/>
      <c r="C805" s="124"/>
      <c r="D805" s="124"/>
      <c r="E805" s="124"/>
      <c r="F805" s="125"/>
      <c r="G805" s="124"/>
      <c r="H805" s="124"/>
      <c r="I805" s="125"/>
      <c r="J805" s="123"/>
      <c r="K805" s="124"/>
      <c r="L805" s="125"/>
      <c r="M805" s="124"/>
      <c r="N805" s="124"/>
      <c r="O805" s="124"/>
      <c r="P805" s="124"/>
      <c r="Q805" s="124"/>
      <c r="R805" s="123"/>
      <c r="S805" s="123"/>
      <c r="T805" s="123"/>
      <c r="U805" s="123"/>
      <c r="V805" s="123"/>
      <c r="W805" s="123"/>
      <c r="X805" s="123"/>
      <c r="Y805" s="123"/>
      <c r="Z805" s="123"/>
      <c r="AA805" s="123"/>
      <c r="AB805" s="123"/>
      <c r="AC805" s="123"/>
      <c r="AD805" s="123"/>
      <c r="AE805" s="123"/>
      <c r="AF805" s="123"/>
      <c r="AG805" s="123"/>
      <c r="AH805" s="123"/>
      <c r="AI805" s="123"/>
      <c r="AJ805" s="123"/>
    </row>
    <row r="806" ht="15.75" customHeight="1">
      <c r="A806" s="123"/>
      <c r="B806" s="124"/>
      <c r="C806" s="124"/>
      <c r="D806" s="124"/>
      <c r="E806" s="124"/>
      <c r="F806" s="125"/>
      <c r="G806" s="124"/>
      <c r="H806" s="124"/>
      <c r="I806" s="125"/>
      <c r="J806" s="123"/>
      <c r="K806" s="124"/>
      <c r="L806" s="125"/>
      <c r="M806" s="124"/>
      <c r="N806" s="124"/>
      <c r="O806" s="124"/>
      <c r="P806" s="124"/>
      <c r="Q806" s="124"/>
      <c r="R806" s="123"/>
      <c r="S806" s="123"/>
      <c r="T806" s="123"/>
      <c r="U806" s="123"/>
      <c r="V806" s="123"/>
      <c r="W806" s="123"/>
      <c r="X806" s="123"/>
      <c r="Y806" s="123"/>
      <c r="Z806" s="123"/>
      <c r="AA806" s="123"/>
      <c r="AB806" s="123"/>
      <c r="AC806" s="123"/>
      <c r="AD806" s="123"/>
      <c r="AE806" s="123"/>
      <c r="AF806" s="123"/>
      <c r="AG806" s="123"/>
      <c r="AH806" s="123"/>
      <c r="AI806" s="123"/>
      <c r="AJ806" s="123"/>
    </row>
    <row r="807" ht="15.75" customHeight="1">
      <c r="A807" s="123"/>
      <c r="B807" s="124"/>
      <c r="C807" s="124"/>
      <c r="D807" s="124"/>
      <c r="E807" s="124"/>
      <c r="F807" s="125"/>
      <c r="G807" s="124"/>
      <c r="H807" s="124"/>
      <c r="I807" s="125"/>
      <c r="J807" s="123"/>
      <c r="K807" s="124"/>
      <c r="L807" s="125"/>
      <c r="M807" s="124"/>
      <c r="N807" s="124"/>
      <c r="O807" s="124"/>
      <c r="P807" s="124"/>
      <c r="Q807" s="124"/>
      <c r="R807" s="123"/>
      <c r="S807" s="123"/>
      <c r="T807" s="123"/>
      <c r="U807" s="123"/>
      <c r="V807" s="123"/>
      <c r="W807" s="123"/>
      <c r="X807" s="123"/>
      <c r="Y807" s="123"/>
      <c r="Z807" s="123"/>
      <c r="AA807" s="123"/>
      <c r="AB807" s="123"/>
      <c r="AC807" s="123"/>
      <c r="AD807" s="123"/>
      <c r="AE807" s="123"/>
      <c r="AF807" s="123"/>
      <c r="AG807" s="123"/>
      <c r="AH807" s="123"/>
      <c r="AI807" s="123"/>
      <c r="AJ807" s="123"/>
    </row>
    <row r="808" ht="15.75" customHeight="1">
      <c r="A808" s="123"/>
      <c r="B808" s="124"/>
      <c r="C808" s="124"/>
      <c r="D808" s="124"/>
      <c r="E808" s="124"/>
      <c r="F808" s="125"/>
      <c r="G808" s="124"/>
      <c r="H808" s="124"/>
      <c r="I808" s="125"/>
      <c r="J808" s="123"/>
      <c r="K808" s="124"/>
      <c r="L808" s="125"/>
      <c r="M808" s="124"/>
      <c r="N808" s="124"/>
      <c r="O808" s="124"/>
      <c r="P808" s="124"/>
      <c r="Q808" s="124"/>
      <c r="R808" s="123"/>
      <c r="S808" s="123"/>
      <c r="T808" s="123"/>
      <c r="U808" s="123"/>
      <c r="V808" s="123"/>
      <c r="W808" s="123"/>
      <c r="X808" s="123"/>
      <c r="Y808" s="123"/>
      <c r="Z808" s="123"/>
      <c r="AA808" s="123"/>
      <c r="AB808" s="123"/>
      <c r="AC808" s="123"/>
      <c r="AD808" s="123"/>
      <c r="AE808" s="123"/>
      <c r="AF808" s="123"/>
      <c r="AG808" s="123"/>
      <c r="AH808" s="123"/>
      <c r="AI808" s="123"/>
      <c r="AJ808" s="123"/>
    </row>
    <row r="809" ht="15.75" customHeight="1">
      <c r="A809" s="123"/>
      <c r="B809" s="124"/>
      <c r="C809" s="124"/>
      <c r="D809" s="124"/>
      <c r="E809" s="124"/>
      <c r="F809" s="125"/>
      <c r="G809" s="124"/>
      <c r="H809" s="124"/>
      <c r="I809" s="125"/>
      <c r="J809" s="123"/>
      <c r="K809" s="124"/>
      <c r="L809" s="125"/>
      <c r="M809" s="124"/>
      <c r="N809" s="124"/>
      <c r="O809" s="124"/>
      <c r="P809" s="124"/>
      <c r="Q809" s="124"/>
      <c r="R809" s="123"/>
      <c r="S809" s="123"/>
      <c r="T809" s="123"/>
      <c r="U809" s="123"/>
      <c r="V809" s="123"/>
      <c r="W809" s="123"/>
      <c r="X809" s="123"/>
      <c r="Y809" s="123"/>
      <c r="Z809" s="123"/>
      <c r="AA809" s="123"/>
      <c r="AB809" s="123"/>
      <c r="AC809" s="123"/>
      <c r="AD809" s="123"/>
      <c r="AE809" s="123"/>
      <c r="AF809" s="123"/>
      <c r="AG809" s="123"/>
      <c r="AH809" s="123"/>
      <c r="AI809" s="123"/>
      <c r="AJ809" s="123"/>
    </row>
    <row r="810" ht="15.75" customHeight="1">
      <c r="A810" s="123"/>
      <c r="B810" s="124"/>
      <c r="C810" s="124"/>
      <c r="D810" s="124"/>
      <c r="E810" s="124"/>
      <c r="F810" s="125"/>
      <c r="G810" s="124"/>
      <c r="H810" s="124"/>
      <c r="I810" s="125"/>
      <c r="J810" s="123"/>
      <c r="K810" s="124"/>
      <c r="L810" s="125"/>
      <c r="M810" s="124"/>
      <c r="N810" s="124"/>
      <c r="O810" s="124"/>
      <c r="P810" s="124"/>
      <c r="Q810" s="124"/>
      <c r="R810" s="123"/>
      <c r="S810" s="123"/>
      <c r="T810" s="123"/>
      <c r="U810" s="123"/>
      <c r="V810" s="123"/>
      <c r="W810" s="123"/>
      <c r="X810" s="123"/>
      <c r="Y810" s="123"/>
      <c r="Z810" s="123"/>
      <c r="AA810" s="123"/>
      <c r="AB810" s="123"/>
      <c r="AC810" s="123"/>
      <c r="AD810" s="123"/>
      <c r="AE810" s="123"/>
      <c r="AF810" s="123"/>
      <c r="AG810" s="123"/>
      <c r="AH810" s="123"/>
      <c r="AI810" s="123"/>
      <c r="AJ810" s="123"/>
    </row>
    <row r="811" ht="15.75" customHeight="1">
      <c r="A811" s="123"/>
      <c r="B811" s="124"/>
      <c r="C811" s="124"/>
      <c r="D811" s="124"/>
      <c r="E811" s="124"/>
      <c r="F811" s="125"/>
      <c r="G811" s="124"/>
      <c r="H811" s="124"/>
      <c r="I811" s="125"/>
      <c r="J811" s="123"/>
      <c r="K811" s="124"/>
      <c r="L811" s="125"/>
      <c r="M811" s="124"/>
      <c r="N811" s="124"/>
      <c r="O811" s="124"/>
      <c r="P811" s="124"/>
      <c r="Q811" s="124"/>
      <c r="R811" s="123"/>
      <c r="S811" s="123"/>
      <c r="T811" s="123"/>
      <c r="U811" s="123"/>
      <c r="V811" s="123"/>
      <c r="W811" s="123"/>
      <c r="X811" s="123"/>
      <c r="Y811" s="123"/>
      <c r="Z811" s="123"/>
      <c r="AA811" s="123"/>
      <c r="AB811" s="123"/>
      <c r="AC811" s="123"/>
      <c r="AD811" s="123"/>
      <c r="AE811" s="123"/>
      <c r="AF811" s="123"/>
      <c r="AG811" s="123"/>
      <c r="AH811" s="123"/>
      <c r="AI811" s="123"/>
      <c r="AJ811" s="123"/>
    </row>
    <row r="812" ht="15.75" customHeight="1">
      <c r="A812" s="123"/>
      <c r="B812" s="124"/>
      <c r="C812" s="124"/>
      <c r="D812" s="124"/>
      <c r="E812" s="124"/>
      <c r="F812" s="125"/>
      <c r="G812" s="124"/>
      <c r="H812" s="124"/>
      <c r="I812" s="125"/>
      <c r="J812" s="123"/>
      <c r="K812" s="124"/>
      <c r="L812" s="125"/>
      <c r="M812" s="124"/>
      <c r="N812" s="124"/>
      <c r="O812" s="124"/>
      <c r="P812" s="124"/>
      <c r="Q812" s="124"/>
      <c r="R812" s="123"/>
      <c r="S812" s="123"/>
      <c r="T812" s="123"/>
      <c r="U812" s="123"/>
      <c r="V812" s="123"/>
      <c r="W812" s="123"/>
      <c r="X812" s="123"/>
      <c r="Y812" s="123"/>
      <c r="Z812" s="123"/>
      <c r="AA812" s="123"/>
      <c r="AB812" s="123"/>
      <c r="AC812" s="123"/>
      <c r="AD812" s="123"/>
      <c r="AE812" s="123"/>
      <c r="AF812" s="123"/>
      <c r="AG812" s="123"/>
      <c r="AH812" s="123"/>
      <c r="AI812" s="123"/>
      <c r="AJ812" s="123"/>
    </row>
    <row r="813" ht="15.75" customHeight="1">
      <c r="A813" s="123"/>
      <c r="B813" s="124"/>
      <c r="C813" s="124"/>
      <c r="D813" s="124"/>
      <c r="E813" s="124"/>
      <c r="F813" s="125"/>
      <c r="G813" s="124"/>
      <c r="H813" s="124"/>
      <c r="I813" s="125"/>
      <c r="J813" s="123"/>
      <c r="K813" s="124"/>
      <c r="L813" s="125"/>
      <c r="M813" s="124"/>
      <c r="N813" s="124"/>
      <c r="O813" s="124"/>
      <c r="P813" s="124"/>
      <c r="Q813" s="124"/>
      <c r="R813" s="123"/>
      <c r="S813" s="123"/>
      <c r="T813" s="123"/>
      <c r="U813" s="123"/>
      <c r="V813" s="123"/>
      <c r="W813" s="123"/>
      <c r="X813" s="123"/>
      <c r="Y813" s="123"/>
      <c r="Z813" s="123"/>
      <c r="AA813" s="123"/>
      <c r="AB813" s="123"/>
      <c r="AC813" s="123"/>
      <c r="AD813" s="123"/>
      <c r="AE813" s="123"/>
      <c r="AF813" s="123"/>
      <c r="AG813" s="123"/>
      <c r="AH813" s="123"/>
      <c r="AI813" s="123"/>
      <c r="AJ813" s="123"/>
    </row>
    <row r="814" ht="15.75" customHeight="1">
      <c r="A814" s="123"/>
      <c r="B814" s="124"/>
      <c r="C814" s="124"/>
      <c r="D814" s="124"/>
      <c r="E814" s="124"/>
      <c r="F814" s="125"/>
      <c r="G814" s="124"/>
      <c r="H814" s="124"/>
      <c r="I814" s="125"/>
      <c r="J814" s="123"/>
      <c r="K814" s="124"/>
      <c r="L814" s="125"/>
      <c r="M814" s="124"/>
      <c r="N814" s="124"/>
      <c r="O814" s="124"/>
      <c r="P814" s="124"/>
      <c r="Q814" s="124"/>
      <c r="R814" s="123"/>
      <c r="S814" s="123"/>
      <c r="T814" s="123"/>
      <c r="U814" s="123"/>
      <c r="V814" s="123"/>
      <c r="W814" s="123"/>
      <c r="X814" s="123"/>
      <c r="Y814" s="123"/>
      <c r="Z814" s="123"/>
      <c r="AA814" s="123"/>
      <c r="AB814" s="123"/>
      <c r="AC814" s="123"/>
      <c r="AD814" s="123"/>
      <c r="AE814" s="123"/>
      <c r="AF814" s="123"/>
      <c r="AG814" s="123"/>
      <c r="AH814" s="123"/>
      <c r="AI814" s="123"/>
      <c r="AJ814" s="123"/>
    </row>
    <row r="815" ht="15.75" customHeight="1">
      <c r="A815" s="123"/>
      <c r="B815" s="124"/>
      <c r="C815" s="124"/>
      <c r="D815" s="124"/>
      <c r="E815" s="124"/>
      <c r="F815" s="125"/>
      <c r="G815" s="124"/>
      <c r="H815" s="124"/>
      <c r="I815" s="125"/>
      <c r="J815" s="123"/>
      <c r="K815" s="124"/>
      <c r="L815" s="125"/>
      <c r="M815" s="124"/>
      <c r="N815" s="124"/>
      <c r="O815" s="124"/>
      <c r="P815" s="124"/>
      <c r="Q815" s="124"/>
      <c r="R815" s="123"/>
      <c r="S815" s="123"/>
      <c r="T815" s="123"/>
      <c r="U815" s="123"/>
      <c r="V815" s="123"/>
      <c r="W815" s="123"/>
      <c r="X815" s="123"/>
      <c r="Y815" s="123"/>
      <c r="Z815" s="123"/>
      <c r="AA815" s="123"/>
      <c r="AB815" s="123"/>
      <c r="AC815" s="123"/>
      <c r="AD815" s="123"/>
      <c r="AE815" s="123"/>
      <c r="AF815" s="123"/>
      <c r="AG815" s="123"/>
      <c r="AH815" s="123"/>
      <c r="AI815" s="123"/>
      <c r="AJ815" s="123"/>
    </row>
    <row r="816" ht="15.75" customHeight="1">
      <c r="A816" s="123"/>
      <c r="B816" s="124"/>
      <c r="C816" s="124"/>
      <c r="D816" s="124"/>
      <c r="E816" s="124"/>
      <c r="F816" s="125"/>
      <c r="G816" s="124"/>
      <c r="H816" s="124"/>
      <c r="I816" s="125"/>
      <c r="J816" s="123"/>
      <c r="K816" s="124"/>
      <c r="L816" s="125"/>
      <c r="M816" s="124"/>
      <c r="N816" s="124"/>
      <c r="O816" s="124"/>
      <c r="P816" s="124"/>
      <c r="Q816" s="124"/>
      <c r="R816" s="123"/>
      <c r="S816" s="123"/>
      <c r="T816" s="123"/>
      <c r="U816" s="123"/>
      <c r="V816" s="123"/>
      <c r="W816" s="123"/>
      <c r="X816" s="123"/>
      <c r="Y816" s="123"/>
      <c r="Z816" s="123"/>
      <c r="AA816" s="123"/>
      <c r="AB816" s="123"/>
      <c r="AC816" s="123"/>
      <c r="AD816" s="123"/>
      <c r="AE816" s="123"/>
      <c r="AF816" s="123"/>
      <c r="AG816" s="123"/>
      <c r="AH816" s="123"/>
      <c r="AI816" s="123"/>
      <c r="AJ816" s="123"/>
    </row>
    <row r="817" ht="15.75" customHeight="1">
      <c r="A817" s="123"/>
      <c r="B817" s="124"/>
      <c r="C817" s="124"/>
      <c r="D817" s="124"/>
      <c r="E817" s="124"/>
      <c r="F817" s="125"/>
      <c r="G817" s="124"/>
      <c r="H817" s="124"/>
      <c r="I817" s="125"/>
      <c r="J817" s="123"/>
      <c r="K817" s="124"/>
      <c r="L817" s="125"/>
      <c r="M817" s="124"/>
      <c r="N817" s="124"/>
      <c r="O817" s="124"/>
      <c r="P817" s="124"/>
      <c r="Q817" s="124"/>
      <c r="R817" s="123"/>
      <c r="S817" s="123"/>
      <c r="T817" s="123"/>
      <c r="U817" s="123"/>
      <c r="V817" s="123"/>
      <c r="W817" s="123"/>
      <c r="X817" s="123"/>
      <c r="Y817" s="123"/>
      <c r="Z817" s="123"/>
      <c r="AA817" s="123"/>
      <c r="AB817" s="123"/>
      <c r="AC817" s="123"/>
      <c r="AD817" s="123"/>
      <c r="AE817" s="123"/>
      <c r="AF817" s="123"/>
      <c r="AG817" s="123"/>
      <c r="AH817" s="123"/>
      <c r="AI817" s="123"/>
      <c r="AJ817" s="123"/>
    </row>
    <row r="818" ht="15.75" customHeight="1">
      <c r="A818" s="123"/>
      <c r="B818" s="124"/>
      <c r="C818" s="124"/>
      <c r="D818" s="124"/>
      <c r="E818" s="124"/>
      <c r="F818" s="125"/>
      <c r="G818" s="124"/>
      <c r="H818" s="124"/>
      <c r="I818" s="125"/>
      <c r="J818" s="123"/>
      <c r="K818" s="124"/>
      <c r="L818" s="125"/>
      <c r="M818" s="124"/>
      <c r="N818" s="124"/>
      <c r="O818" s="124"/>
      <c r="P818" s="124"/>
      <c r="Q818" s="124"/>
      <c r="R818" s="123"/>
      <c r="S818" s="123"/>
      <c r="T818" s="123"/>
      <c r="U818" s="123"/>
      <c r="V818" s="123"/>
      <c r="W818" s="123"/>
      <c r="X818" s="123"/>
      <c r="Y818" s="123"/>
      <c r="Z818" s="123"/>
      <c r="AA818" s="123"/>
      <c r="AB818" s="123"/>
      <c r="AC818" s="123"/>
      <c r="AD818" s="123"/>
      <c r="AE818" s="123"/>
      <c r="AF818" s="123"/>
      <c r="AG818" s="123"/>
      <c r="AH818" s="123"/>
      <c r="AI818" s="123"/>
      <c r="AJ818" s="123"/>
    </row>
    <row r="819" ht="15.75" customHeight="1">
      <c r="A819" s="123"/>
      <c r="B819" s="124"/>
      <c r="C819" s="124"/>
      <c r="D819" s="124"/>
      <c r="E819" s="124"/>
      <c r="F819" s="125"/>
      <c r="G819" s="124"/>
      <c r="H819" s="124"/>
      <c r="I819" s="125"/>
      <c r="J819" s="123"/>
      <c r="K819" s="124"/>
      <c r="L819" s="125"/>
      <c r="M819" s="124"/>
      <c r="N819" s="124"/>
      <c r="O819" s="124"/>
      <c r="P819" s="124"/>
      <c r="Q819" s="124"/>
      <c r="R819" s="123"/>
      <c r="S819" s="123"/>
      <c r="T819" s="123"/>
      <c r="U819" s="123"/>
      <c r="V819" s="123"/>
      <c r="W819" s="123"/>
      <c r="X819" s="123"/>
      <c r="Y819" s="123"/>
      <c r="Z819" s="123"/>
      <c r="AA819" s="123"/>
      <c r="AB819" s="123"/>
      <c r="AC819" s="123"/>
      <c r="AD819" s="123"/>
      <c r="AE819" s="123"/>
      <c r="AF819" s="123"/>
      <c r="AG819" s="123"/>
      <c r="AH819" s="123"/>
      <c r="AI819" s="123"/>
      <c r="AJ819" s="123"/>
    </row>
    <row r="820" ht="15.75" customHeight="1">
      <c r="A820" s="123"/>
      <c r="B820" s="124"/>
      <c r="C820" s="124"/>
      <c r="D820" s="124"/>
      <c r="E820" s="124"/>
      <c r="F820" s="125"/>
      <c r="G820" s="124"/>
      <c r="H820" s="124"/>
      <c r="I820" s="125"/>
      <c r="J820" s="123"/>
      <c r="K820" s="124"/>
      <c r="L820" s="125"/>
      <c r="M820" s="124"/>
      <c r="N820" s="124"/>
      <c r="O820" s="124"/>
      <c r="P820" s="124"/>
      <c r="Q820" s="124"/>
      <c r="R820" s="123"/>
      <c r="S820" s="123"/>
      <c r="T820" s="123"/>
      <c r="U820" s="123"/>
      <c r="V820" s="123"/>
      <c r="W820" s="123"/>
      <c r="X820" s="123"/>
      <c r="Y820" s="123"/>
      <c r="Z820" s="123"/>
      <c r="AA820" s="123"/>
      <c r="AB820" s="123"/>
      <c r="AC820" s="123"/>
      <c r="AD820" s="123"/>
      <c r="AE820" s="123"/>
      <c r="AF820" s="123"/>
      <c r="AG820" s="123"/>
      <c r="AH820" s="123"/>
      <c r="AI820" s="123"/>
      <c r="AJ820" s="123"/>
    </row>
    <row r="821" ht="15.75" customHeight="1">
      <c r="A821" s="123"/>
      <c r="B821" s="124"/>
      <c r="C821" s="124"/>
      <c r="D821" s="124"/>
      <c r="E821" s="124"/>
      <c r="F821" s="125"/>
      <c r="G821" s="124"/>
      <c r="H821" s="124"/>
      <c r="I821" s="125"/>
      <c r="J821" s="123"/>
      <c r="K821" s="124"/>
      <c r="L821" s="125"/>
      <c r="M821" s="124"/>
      <c r="N821" s="124"/>
      <c r="O821" s="124"/>
      <c r="P821" s="124"/>
      <c r="Q821" s="124"/>
      <c r="R821" s="123"/>
      <c r="S821" s="123"/>
      <c r="T821" s="123"/>
      <c r="U821" s="123"/>
      <c r="V821" s="123"/>
      <c r="W821" s="123"/>
      <c r="X821" s="123"/>
      <c r="Y821" s="123"/>
      <c r="Z821" s="123"/>
      <c r="AA821" s="123"/>
      <c r="AB821" s="123"/>
      <c r="AC821" s="123"/>
      <c r="AD821" s="123"/>
      <c r="AE821" s="123"/>
      <c r="AF821" s="123"/>
      <c r="AG821" s="123"/>
      <c r="AH821" s="123"/>
      <c r="AI821" s="123"/>
      <c r="AJ821" s="123"/>
    </row>
    <row r="822" ht="15.75" customHeight="1">
      <c r="A822" s="123"/>
      <c r="B822" s="124"/>
      <c r="C822" s="124"/>
      <c r="D822" s="124"/>
      <c r="E822" s="124"/>
      <c r="F822" s="125"/>
      <c r="G822" s="124"/>
      <c r="H822" s="124"/>
      <c r="I822" s="125"/>
      <c r="J822" s="123"/>
      <c r="K822" s="124"/>
      <c r="L822" s="125"/>
      <c r="M822" s="124"/>
      <c r="N822" s="124"/>
      <c r="O822" s="124"/>
      <c r="P822" s="124"/>
      <c r="Q822" s="124"/>
      <c r="R822" s="123"/>
      <c r="S822" s="123"/>
      <c r="T822" s="123"/>
      <c r="U822" s="123"/>
      <c r="V822" s="123"/>
      <c r="W822" s="123"/>
      <c r="X822" s="123"/>
      <c r="Y822" s="123"/>
      <c r="Z822" s="123"/>
      <c r="AA822" s="123"/>
      <c r="AB822" s="123"/>
      <c r="AC822" s="123"/>
      <c r="AD822" s="123"/>
      <c r="AE822" s="123"/>
      <c r="AF822" s="123"/>
      <c r="AG822" s="123"/>
      <c r="AH822" s="123"/>
      <c r="AI822" s="123"/>
      <c r="AJ822" s="123"/>
    </row>
    <row r="823" ht="15.75" customHeight="1">
      <c r="A823" s="123"/>
      <c r="B823" s="124"/>
      <c r="C823" s="124"/>
      <c r="D823" s="124"/>
      <c r="E823" s="124"/>
      <c r="F823" s="125"/>
      <c r="G823" s="124"/>
      <c r="H823" s="124"/>
      <c r="I823" s="125"/>
      <c r="J823" s="123"/>
      <c r="K823" s="124"/>
      <c r="L823" s="125"/>
      <c r="M823" s="124"/>
      <c r="N823" s="124"/>
      <c r="O823" s="124"/>
      <c r="P823" s="124"/>
      <c r="Q823" s="124"/>
      <c r="R823" s="123"/>
      <c r="S823" s="123"/>
      <c r="T823" s="123"/>
      <c r="U823" s="123"/>
      <c r="V823" s="123"/>
      <c r="W823" s="123"/>
      <c r="X823" s="123"/>
      <c r="Y823" s="123"/>
      <c r="Z823" s="123"/>
      <c r="AA823" s="123"/>
      <c r="AB823" s="123"/>
      <c r="AC823" s="123"/>
      <c r="AD823" s="123"/>
      <c r="AE823" s="123"/>
      <c r="AF823" s="123"/>
      <c r="AG823" s="123"/>
      <c r="AH823" s="123"/>
      <c r="AI823" s="123"/>
      <c r="AJ823" s="123"/>
    </row>
    <row r="824" ht="15.75" customHeight="1">
      <c r="A824" s="123"/>
      <c r="B824" s="124"/>
      <c r="C824" s="124"/>
      <c r="D824" s="124"/>
      <c r="E824" s="124"/>
      <c r="F824" s="125"/>
      <c r="G824" s="124"/>
      <c r="H824" s="124"/>
      <c r="I824" s="125"/>
      <c r="J824" s="123"/>
      <c r="K824" s="124"/>
      <c r="L824" s="125"/>
      <c r="M824" s="124"/>
      <c r="N824" s="124"/>
      <c r="O824" s="124"/>
      <c r="P824" s="124"/>
      <c r="Q824" s="124"/>
      <c r="R824" s="123"/>
      <c r="S824" s="123"/>
      <c r="T824" s="123"/>
      <c r="U824" s="123"/>
      <c r="V824" s="123"/>
      <c r="W824" s="123"/>
      <c r="X824" s="123"/>
      <c r="Y824" s="123"/>
      <c r="Z824" s="123"/>
      <c r="AA824" s="123"/>
      <c r="AB824" s="123"/>
      <c r="AC824" s="123"/>
      <c r="AD824" s="123"/>
      <c r="AE824" s="123"/>
      <c r="AF824" s="123"/>
      <c r="AG824" s="123"/>
      <c r="AH824" s="123"/>
      <c r="AI824" s="123"/>
      <c r="AJ824" s="123"/>
    </row>
    <row r="825" ht="15.75" customHeight="1">
      <c r="A825" s="123"/>
      <c r="B825" s="124"/>
      <c r="C825" s="124"/>
      <c r="D825" s="124"/>
      <c r="E825" s="124"/>
      <c r="F825" s="125"/>
      <c r="G825" s="124"/>
      <c r="H825" s="124"/>
      <c r="I825" s="125"/>
      <c r="J825" s="123"/>
      <c r="K825" s="124"/>
      <c r="L825" s="125"/>
      <c r="M825" s="124"/>
      <c r="N825" s="124"/>
      <c r="O825" s="124"/>
      <c r="P825" s="124"/>
      <c r="Q825" s="124"/>
      <c r="R825" s="123"/>
      <c r="S825" s="123"/>
      <c r="T825" s="123"/>
      <c r="U825" s="123"/>
      <c r="V825" s="123"/>
      <c r="W825" s="123"/>
      <c r="X825" s="123"/>
      <c r="Y825" s="123"/>
      <c r="Z825" s="123"/>
      <c r="AA825" s="123"/>
      <c r="AB825" s="123"/>
      <c r="AC825" s="123"/>
      <c r="AD825" s="123"/>
      <c r="AE825" s="123"/>
      <c r="AF825" s="123"/>
      <c r="AG825" s="123"/>
      <c r="AH825" s="123"/>
      <c r="AI825" s="123"/>
      <c r="AJ825" s="123"/>
    </row>
    <row r="826" ht="15.75" customHeight="1">
      <c r="A826" s="123"/>
      <c r="B826" s="124"/>
      <c r="C826" s="124"/>
      <c r="D826" s="124"/>
      <c r="E826" s="124"/>
      <c r="F826" s="125"/>
      <c r="G826" s="124"/>
      <c r="H826" s="124"/>
      <c r="I826" s="125"/>
      <c r="J826" s="123"/>
      <c r="K826" s="124"/>
      <c r="L826" s="125"/>
      <c r="M826" s="124"/>
      <c r="N826" s="124"/>
      <c r="O826" s="124"/>
      <c r="P826" s="124"/>
      <c r="Q826" s="124"/>
      <c r="R826" s="123"/>
      <c r="S826" s="123"/>
      <c r="T826" s="123"/>
      <c r="U826" s="123"/>
      <c r="V826" s="123"/>
      <c r="W826" s="123"/>
      <c r="X826" s="123"/>
      <c r="Y826" s="123"/>
      <c r="Z826" s="123"/>
      <c r="AA826" s="123"/>
      <c r="AB826" s="123"/>
      <c r="AC826" s="123"/>
      <c r="AD826" s="123"/>
      <c r="AE826" s="123"/>
      <c r="AF826" s="123"/>
      <c r="AG826" s="123"/>
      <c r="AH826" s="123"/>
      <c r="AI826" s="123"/>
      <c r="AJ826" s="123"/>
    </row>
    <row r="827" ht="15.75" customHeight="1">
      <c r="A827" s="123"/>
      <c r="B827" s="124"/>
      <c r="C827" s="124"/>
      <c r="D827" s="124"/>
      <c r="E827" s="124"/>
      <c r="F827" s="125"/>
      <c r="G827" s="124"/>
      <c r="H827" s="124"/>
      <c r="I827" s="125"/>
      <c r="J827" s="123"/>
      <c r="K827" s="124"/>
      <c r="L827" s="125"/>
      <c r="M827" s="124"/>
      <c r="N827" s="124"/>
      <c r="O827" s="124"/>
      <c r="P827" s="124"/>
      <c r="Q827" s="124"/>
      <c r="R827" s="123"/>
      <c r="S827" s="123"/>
      <c r="T827" s="123"/>
      <c r="U827" s="123"/>
      <c r="V827" s="123"/>
      <c r="W827" s="123"/>
      <c r="X827" s="123"/>
      <c r="Y827" s="123"/>
      <c r="Z827" s="123"/>
      <c r="AA827" s="123"/>
      <c r="AB827" s="123"/>
      <c r="AC827" s="123"/>
      <c r="AD827" s="123"/>
      <c r="AE827" s="123"/>
      <c r="AF827" s="123"/>
      <c r="AG827" s="123"/>
      <c r="AH827" s="123"/>
      <c r="AI827" s="123"/>
      <c r="AJ827" s="123"/>
    </row>
    <row r="828" ht="15.75" customHeight="1">
      <c r="A828" s="123"/>
      <c r="B828" s="124"/>
      <c r="C828" s="124"/>
      <c r="D828" s="124"/>
      <c r="E828" s="124"/>
      <c r="F828" s="125"/>
      <c r="G828" s="124"/>
      <c r="H828" s="124"/>
      <c r="I828" s="125"/>
      <c r="J828" s="123"/>
      <c r="K828" s="124"/>
      <c r="L828" s="125"/>
      <c r="M828" s="124"/>
      <c r="N828" s="124"/>
      <c r="O828" s="124"/>
      <c r="P828" s="124"/>
      <c r="Q828" s="124"/>
      <c r="R828" s="123"/>
      <c r="S828" s="123"/>
      <c r="T828" s="123"/>
      <c r="U828" s="123"/>
      <c r="V828" s="123"/>
      <c r="W828" s="123"/>
      <c r="X828" s="123"/>
      <c r="Y828" s="123"/>
      <c r="Z828" s="123"/>
      <c r="AA828" s="123"/>
      <c r="AB828" s="123"/>
      <c r="AC828" s="123"/>
      <c r="AD828" s="123"/>
      <c r="AE828" s="123"/>
      <c r="AF828" s="123"/>
      <c r="AG828" s="123"/>
      <c r="AH828" s="123"/>
      <c r="AI828" s="123"/>
      <c r="AJ828" s="123"/>
    </row>
    <row r="829" ht="15.75" customHeight="1">
      <c r="A829" s="123"/>
      <c r="B829" s="124"/>
      <c r="C829" s="124"/>
      <c r="D829" s="124"/>
      <c r="E829" s="124"/>
      <c r="F829" s="125"/>
      <c r="G829" s="124"/>
      <c r="H829" s="124"/>
      <c r="I829" s="125"/>
      <c r="J829" s="123"/>
      <c r="K829" s="124"/>
      <c r="L829" s="125"/>
      <c r="M829" s="124"/>
      <c r="N829" s="124"/>
      <c r="O829" s="124"/>
      <c r="P829" s="124"/>
      <c r="Q829" s="124"/>
      <c r="R829" s="123"/>
      <c r="S829" s="123"/>
      <c r="T829" s="123"/>
      <c r="U829" s="123"/>
      <c r="V829" s="123"/>
      <c r="W829" s="123"/>
      <c r="X829" s="123"/>
      <c r="Y829" s="123"/>
      <c r="Z829" s="123"/>
      <c r="AA829" s="123"/>
      <c r="AB829" s="123"/>
      <c r="AC829" s="123"/>
      <c r="AD829" s="123"/>
      <c r="AE829" s="123"/>
      <c r="AF829" s="123"/>
      <c r="AG829" s="123"/>
      <c r="AH829" s="123"/>
      <c r="AI829" s="123"/>
      <c r="AJ829" s="123"/>
    </row>
    <row r="830" ht="15.75" customHeight="1">
      <c r="A830" s="123"/>
      <c r="B830" s="124"/>
      <c r="C830" s="124"/>
      <c r="D830" s="124"/>
      <c r="E830" s="124"/>
      <c r="F830" s="125"/>
      <c r="G830" s="124"/>
      <c r="H830" s="124"/>
      <c r="I830" s="125"/>
      <c r="J830" s="123"/>
      <c r="K830" s="124"/>
      <c r="L830" s="125"/>
      <c r="M830" s="124"/>
      <c r="N830" s="124"/>
      <c r="O830" s="124"/>
      <c r="P830" s="124"/>
      <c r="Q830" s="124"/>
      <c r="R830" s="123"/>
      <c r="S830" s="123"/>
      <c r="T830" s="123"/>
      <c r="U830" s="123"/>
      <c r="V830" s="123"/>
      <c r="W830" s="123"/>
      <c r="X830" s="123"/>
      <c r="Y830" s="123"/>
      <c r="Z830" s="123"/>
      <c r="AA830" s="123"/>
      <c r="AB830" s="123"/>
      <c r="AC830" s="123"/>
      <c r="AD830" s="123"/>
      <c r="AE830" s="123"/>
      <c r="AF830" s="123"/>
      <c r="AG830" s="123"/>
      <c r="AH830" s="123"/>
      <c r="AI830" s="123"/>
      <c r="AJ830" s="123"/>
    </row>
    <row r="831" ht="15.75" customHeight="1">
      <c r="A831" s="123"/>
      <c r="B831" s="124"/>
      <c r="C831" s="124"/>
      <c r="D831" s="124"/>
      <c r="E831" s="124"/>
      <c r="F831" s="125"/>
      <c r="G831" s="124"/>
      <c r="H831" s="124"/>
      <c r="I831" s="125"/>
      <c r="J831" s="123"/>
      <c r="K831" s="124"/>
      <c r="L831" s="125"/>
      <c r="M831" s="124"/>
      <c r="N831" s="124"/>
      <c r="O831" s="124"/>
      <c r="P831" s="124"/>
      <c r="Q831" s="124"/>
      <c r="R831" s="123"/>
      <c r="S831" s="123"/>
      <c r="T831" s="123"/>
      <c r="U831" s="123"/>
      <c r="V831" s="123"/>
      <c r="W831" s="123"/>
      <c r="X831" s="123"/>
      <c r="Y831" s="123"/>
      <c r="Z831" s="123"/>
      <c r="AA831" s="123"/>
      <c r="AB831" s="123"/>
      <c r="AC831" s="123"/>
      <c r="AD831" s="123"/>
      <c r="AE831" s="123"/>
      <c r="AF831" s="123"/>
      <c r="AG831" s="123"/>
      <c r="AH831" s="123"/>
      <c r="AI831" s="123"/>
      <c r="AJ831" s="123"/>
    </row>
    <row r="832" ht="15.75" customHeight="1">
      <c r="A832" s="123"/>
      <c r="B832" s="124"/>
      <c r="C832" s="124"/>
      <c r="D832" s="124"/>
      <c r="E832" s="124"/>
      <c r="F832" s="125"/>
      <c r="G832" s="124"/>
      <c r="H832" s="124"/>
      <c r="I832" s="125"/>
      <c r="J832" s="123"/>
      <c r="K832" s="124"/>
      <c r="L832" s="125"/>
      <c r="M832" s="124"/>
      <c r="N832" s="124"/>
      <c r="O832" s="124"/>
      <c r="P832" s="124"/>
      <c r="Q832" s="124"/>
      <c r="R832" s="123"/>
      <c r="S832" s="123"/>
      <c r="T832" s="123"/>
      <c r="U832" s="123"/>
      <c r="V832" s="123"/>
      <c r="W832" s="123"/>
      <c r="X832" s="123"/>
      <c r="Y832" s="123"/>
      <c r="Z832" s="123"/>
      <c r="AA832" s="123"/>
      <c r="AB832" s="123"/>
      <c r="AC832" s="123"/>
      <c r="AD832" s="123"/>
      <c r="AE832" s="123"/>
      <c r="AF832" s="123"/>
      <c r="AG832" s="123"/>
      <c r="AH832" s="123"/>
      <c r="AI832" s="123"/>
      <c r="AJ832" s="123"/>
    </row>
    <row r="833" ht="15.75" customHeight="1">
      <c r="A833" s="123"/>
      <c r="B833" s="124"/>
      <c r="C833" s="124"/>
      <c r="D833" s="124"/>
      <c r="E833" s="124"/>
      <c r="F833" s="125"/>
      <c r="G833" s="124"/>
      <c r="H833" s="124"/>
      <c r="I833" s="125"/>
      <c r="J833" s="123"/>
      <c r="K833" s="124"/>
      <c r="L833" s="125"/>
      <c r="M833" s="124"/>
      <c r="N833" s="124"/>
      <c r="O833" s="124"/>
      <c r="P833" s="124"/>
      <c r="Q833" s="124"/>
      <c r="R833" s="123"/>
      <c r="S833" s="123"/>
      <c r="T833" s="123"/>
      <c r="U833" s="123"/>
      <c r="V833" s="123"/>
      <c r="W833" s="123"/>
      <c r="X833" s="123"/>
      <c r="Y833" s="123"/>
      <c r="Z833" s="123"/>
      <c r="AA833" s="123"/>
      <c r="AB833" s="123"/>
      <c r="AC833" s="123"/>
      <c r="AD833" s="123"/>
      <c r="AE833" s="123"/>
      <c r="AF833" s="123"/>
      <c r="AG833" s="123"/>
      <c r="AH833" s="123"/>
      <c r="AI833" s="123"/>
      <c r="AJ833" s="123"/>
    </row>
    <row r="834" ht="15.75" customHeight="1">
      <c r="A834" s="123"/>
      <c r="B834" s="124"/>
      <c r="C834" s="124"/>
      <c r="D834" s="124"/>
      <c r="E834" s="124"/>
      <c r="F834" s="125"/>
      <c r="G834" s="124"/>
      <c r="H834" s="124"/>
      <c r="I834" s="125"/>
      <c r="J834" s="123"/>
      <c r="K834" s="124"/>
      <c r="L834" s="125"/>
      <c r="M834" s="124"/>
      <c r="N834" s="124"/>
      <c r="O834" s="124"/>
      <c r="P834" s="124"/>
      <c r="Q834" s="124"/>
      <c r="R834" s="123"/>
      <c r="S834" s="123"/>
      <c r="T834" s="123"/>
      <c r="U834" s="123"/>
      <c r="V834" s="123"/>
      <c r="W834" s="123"/>
      <c r="X834" s="123"/>
      <c r="Y834" s="123"/>
      <c r="Z834" s="123"/>
      <c r="AA834" s="123"/>
      <c r="AB834" s="123"/>
      <c r="AC834" s="123"/>
      <c r="AD834" s="123"/>
      <c r="AE834" s="123"/>
      <c r="AF834" s="123"/>
      <c r="AG834" s="123"/>
      <c r="AH834" s="123"/>
      <c r="AI834" s="123"/>
      <c r="AJ834" s="123"/>
    </row>
    <row r="835" ht="15.75" customHeight="1">
      <c r="A835" s="123"/>
      <c r="B835" s="124"/>
      <c r="C835" s="124"/>
      <c r="D835" s="124"/>
      <c r="E835" s="124"/>
      <c r="F835" s="125"/>
      <c r="G835" s="124"/>
      <c r="H835" s="124"/>
      <c r="I835" s="125"/>
      <c r="J835" s="123"/>
      <c r="K835" s="124"/>
      <c r="L835" s="125"/>
      <c r="M835" s="124"/>
      <c r="N835" s="124"/>
      <c r="O835" s="124"/>
      <c r="P835" s="124"/>
      <c r="Q835" s="124"/>
      <c r="R835" s="123"/>
      <c r="S835" s="123"/>
      <c r="T835" s="123"/>
      <c r="U835" s="123"/>
      <c r="V835" s="123"/>
      <c r="W835" s="123"/>
      <c r="X835" s="123"/>
      <c r="Y835" s="123"/>
      <c r="Z835" s="123"/>
      <c r="AA835" s="123"/>
      <c r="AB835" s="123"/>
      <c r="AC835" s="123"/>
      <c r="AD835" s="123"/>
      <c r="AE835" s="123"/>
      <c r="AF835" s="123"/>
      <c r="AG835" s="123"/>
      <c r="AH835" s="123"/>
      <c r="AI835" s="123"/>
      <c r="AJ835" s="123"/>
    </row>
    <row r="836" ht="15.75" customHeight="1">
      <c r="A836" s="123"/>
      <c r="B836" s="124"/>
      <c r="C836" s="124"/>
      <c r="D836" s="124"/>
      <c r="E836" s="124"/>
      <c r="F836" s="125"/>
      <c r="G836" s="124"/>
      <c r="H836" s="124"/>
      <c r="I836" s="125"/>
      <c r="J836" s="123"/>
      <c r="K836" s="124"/>
      <c r="L836" s="125"/>
      <c r="M836" s="124"/>
      <c r="N836" s="124"/>
      <c r="O836" s="124"/>
      <c r="P836" s="124"/>
      <c r="Q836" s="124"/>
      <c r="R836" s="123"/>
      <c r="S836" s="123"/>
      <c r="T836" s="123"/>
      <c r="U836" s="123"/>
      <c r="V836" s="123"/>
      <c r="W836" s="123"/>
      <c r="X836" s="123"/>
      <c r="Y836" s="123"/>
      <c r="Z836" s="123"/>
      <c r="AA836" s="123"/>
      <c r="AB836" s="123"/>
      <c r="AC836" s="123"/>
      <c r="AD836" s="123"/>
      <c r="AE836" s="123"/>
      <c r="AF836" s="123"/>
      <c r="AG836" s="123"/>
      <c r="AH836" s="123"/>
      <c r="AI836" s="123"/>
      <c r="AJ836" s="123"/>
    </row>
    <row r="837" ht="15.75" customHeight="1">
      <c r="A837" s="123"/>
      <c r="B837" s="124"/>
      <c r="C837" s="124"/>
      <c r="D837" s="124"/>
      <c r="E837" s="124"/>
      <c r="F837" s="125"/>
      <c r="G837" s="124"/>
      <c r="H837" s="124"/>
      <c r="I837" s="125"/>
      <c r="J837" s="123"/>
      <c r="K837" s="124"/>
      <c r="L837" s="125"/>
      <c r="M837" s="124"/>
      <c r="N837" s="124"/>
      <c r="O837" s="124"/>
      <c r="P837" s="124"/>
      <c r="Q837" s="124"/>
      <c r="R837" s="123"/>
      <c r="S837" s="123"/>
      <c r="T837" s="123"/>
      <c r="U837" s="123"/>
      <c r="V837" s="123"/>
      <c r="W837" s="123"/>
      <c r="X837" s="123"/>
      <c r="Y837" s="123"/>
      <c r="Z837" s="123"/>
      <c r="AA837" s="123"/>
      <c r="AB837" s="123"/>
      <c r="AC837" s="123"/>
      <c r="AD837" s="123"/>
      <c r="AE837" s="123"/>
      <c r="AF837" s="123"/>
      <c r="AG837" s="123"/>
      <c r="AH837" s="123"/>
      <c r="AI837" s="123"/>
      <c r="AJ837" s="123"/>
    </row>
    <row r="838" ht="15.75" customHeight="1">
      <c r="A838" s="123"/>
      <c r="B838" s="124"/>
      <c r="C838" s="124"/>
      <c r="D838" s="124"/>
      <c r="E838" s="124"/>
      <c r="F838" s="125"/>
      <c r="G838" s="124"/>
      <c r="H838" s="124"/>
      <c r="I838" s="125"/>
      <c r="J838" s="123"/>
      <c r="K838" s="124"/>
      <c r="L838" s="125"/>
      <c r="M838" s="124"/>
      <c r="N838" s="124"/>
      <c r="O838" s="124"/>
      <c r="P838" s="124"/>
      <c r="Q838" s="124"/>
      <c r="R838" s="123"/>
      <c r="S838" s="123"/>
      <c r="T838" s="123"/>
      <c r="U838" s="123"/>
      <c r="V838" s="123"/>
      <c r="W838" s="123"/>
      <c r="X838" s="123"/>
      <c r="Y838" s="123"/>
      <c r="Z838" s="123"/>
      <c r="AA838" s="123"/>
      <c r="AB838" s="123"/>
      <c r="AC838" s="123"/>
      <c r="AD838" s="123"/>
      <c r="AE838" s="123"/>
      <c r="AF838" s="123"/>
      <c r="AG838" s="123"/>
      <c r="AH838" s="123"/>
      <c r="AI838" s="123"/>
      <c r="AJ838" s="123"/>
    </row>
    <row r="839" ht="15.75" customHeight="1">
      <c r="A839" s="123"/>
      <c r="B839" s="124"/>
      <c r="C839" s="124"/>
      <c r="D839" s="124"/>
      <c r="E839" s="124"/>
      <c r="F839" s="125"/>
      <c r="G839" s="124"/>
      <c r="H839" s="124"/>
      <c r="I839" s="125"/>
      <c r="J839" s="123"/>
      <c r="K839" s="124"/>
      <c r="L839" s="125"/>
      <c r="M839" s="124"/>
      <c r="N839" s="124"/>
      <c r="O839" s="124"/>
      <c r="P839" s="124"/>
      <c r="Q839" s="124"/>
      <c r="R839" s="123"/>
      <c r="S839" s="123"/>
      <c r="T839" s="123"/>
      <c r="U839" s="123"/>
      <c r="V839" s="123"/>
      <c r="W839" s="123"/>
      <c r="X839" s="123"/>
      <c r="Y839" s="123"/>
      <c r="Z839" s="123"/>
      <c r="AA839" s="123"/>
      <c r="AB839" s="123"/>
      <c r="AC839" s="123"/>
      <c r="AD839" s="123"/>
      <c r="AE839" s="123"/>
      <c r="AF839" s="123"/>
      <c r="AG839" s="123"/>
      <c r="AH839" s="123"/>
      <c r="AI839" s="123"/>
      <c r="AJ839" s="123"/>
    </row>
    <row r="840" ht="15.75" customHeight="1">
      <c r="A840" s="123"/>
      <c r="B840" s="124"/>
      <c r="C840" s="124"/>
      <c r="D840" s="124"/>
      <c r="E840" s="124"/>
      <c r="F840" s="125"/>
      <c r="G840" s="124"/>
      <c r="H840" s="124"/>
      <c r="I840" s="125"/>
      <c r="J840" s="123"/>
      <c r="K840" s="124"/>
      <c r="L840" s="125"/>
      <c r="M840" s="124"/>
      <c r="N840" s="124"/>
      <c r="O840" s="124"/>
      <c r="P840" s="124"/>
      <c r="Q840" s="124"/>
      <c r="R840" s="123"/>
      <c r="S840" s="123"/>
      <c r="T840" s="123"/>
      <c r="U840" s="123"/>
      <c r="V840" s="123"/>
      <c r="W840" s="123"/>
      <c r="X840" s="123"/>
      <c r="Y840" s="123"/>
      <c r="Z840" s="123"/>
      <c r="AA840" s="123"/>
      <c r="AB840" s="123"/>
      <c r="AC840" s="123"/>
      <c r="AD840" s="123"/>
      <c r="AE840" s="123"/>
      <c r="AF840" s="123"/>
      <c r="AG840" s="123"/>
      <c r="AH840" s="123"/>
      <c r="AI840" s="123"/>
      <c r="AJ840" s="123"/>
    </row>
    <row r="841" ht="15.75" customHeight="1">
      <c r="A841" s="123"/>
      <c r="B841" s="124"/>
      <c r="C841" s="124"/>
      <c r="D841" s="124"/>
      <c r="E841" s="124"/>
      <c r="F841" s="125"/>
      <c r="G841" s="124"/>
      <c r="H841" s="124"/>
      <c r="I841" s="125"/>
      <c r="J841" s="123"/>
      <c r="K841" s="124"/>
      <c r="L841" s="125"/>
      <c r="M841" s="124"/>
      <c r="N841" s="124"/>
      <c r="O841" s="124"/>
      <c r="P841" s="124"/>
      <c r="Q841" s="124"/>
      <c r="R841" s="123"/>
      <c r="S841" s="123"/>
      <c r="T841" s="123"/>
      <c r="U841" s="123"/>
      <c r="V841" s="123"/>
      <c r="W841" s="123"/>
      <c r="X841" s="123"/>
      <c r="Y841" s="123"/>
      <c r="Z841" s="123"/>
      <c r="AA841" s="123"/>
      <c r="AB841" s="123"/>
      <c r="AC841" s="123"/>
      <c r="AD841" s="123"/>
      <c r="AE841" s="123"/>
      <c r="AF841" s="123"/>
      <c r="AG841" s="123"/>
      <c r="AH841" s="123"/>
      <c r="AI841" s="123"/>
      <c r="AJ841" s="123"/>
    </row>
    <row r="842" ht="15.75" customHeight="1">
      <c r="A842" s="123"/>
      <c r="B842" s="124"/>
      <c r="C842" s="124"/>
      <c r="D842" s="124"/>
      <c r="E842" s="124"/>
      <c r="F842" s="125"/>
      <c r="G842" s="124"/>
      <c r="H842" s="124"/>
      <c r="I842" s="125"/>
      <c r="J842" s="123"/>
      <c r="K842" s="124"/>
      <c r="L842" s="125"/>
      <c r="M842" s="124"/>
      <c r="N842" s="124"/>
      <c r="O842" s="124"/>
      <c r="P842" s="124"/>
      <c r="Q842" s="124"/>
      <c r="R842" s="123"/>
      <c r="S842" s="123"/>
      <c r="T842" s="123"/>
      <c r="U842" s="123"/>
      <c r="V842" s="123"/>
      <c r="W842" s="123"/>
      <c r="X842" s="123"/>
      <c r="Y842" s="123"/>
      <c r="Z842" s="123"/>
      <c r="AA842" s="123"/>
      <c r="AB842" s="123"/>
      <c r="AC842" s="123"/>
      <c r="AD842" s="123"/>
      <c r="AE842" s="123"/>
      <c r="AF842" s="123"/>
      <c r="AG842" s="123"/>
      <c r="AH842" s="123"/>
      <c r="AI842" s="123"/>
      <c r="AJ842" s="123"/>
    </row>
    <row r="843" ht="15.75" customHeight="1">
      <c r="A843" s="123"/>
      <c r="B843" s="124"/>
      <c r="C843" s="124"/>
      <c r="D843" s="124"/>
      <c r="E843" s="124"/>
      <c r="F843" s="125"/>
      <c r="G843" s="124"/>
      <c r="H843" s="124"/>
      <c r="I843" s="125"/>
      <c r="J843" s="123"/>
      <c r="K843" s="124"/>
      <c r="L843" s="125"/>
      <c r="M843" s="124"/>
      <c r="N843" s="124"/>
      <c r="O843" s="124"/>
      <c r="P843" s="124"/>
      <c r="Q843" s="124"/>
      <c r="R843" s="123"/>
      <c r="S843" s="123"/>
      <c r="T843" s="123"/>
      <c r="U843" s="123"/>
      <c r="V843" s="123"/>
      <c r="W843" s="123"/>
      <c r="X843" s="123"/>
      <c r="Y843" s="123"/>
      <c r="Z843" s="123"/>
      <c r="AA843" s="123"/>
      <c r="AB843" s="123"/>
      <c r="AC843" s="123"/>
      <c r="AD843" s="123"/>
      <c r="AE843" s="123"/>
      <c r="AF843" s="123"/>
      <c r="AG843" s="123"/>
      <c r="AH843" s="123"/>
      <c r="AI843" s="123"/>
      <c r="AJ843" s="123"/>
    </row>
    <row r="844" ht="15.75" customHeight="1">
      <c r="A844" s="123"/>
      <c r="B844" s="124"/>
      <c r="C844" s="124"/>
      <c r="D844" s="124"/>
      <c r="E844" s="124"/>
      <c r="F844" s="125"/>
      <c r="G844" s="124"/>
      <c r="H844" s="124"/>
      <c r="I844" s="125"/>
      <c r="J844" s="123"/>
      <c r="K844" s="124"/>
      <c r="L844" s="125"/>
      <c r="M844" s="124"/>
      <c r="N844" s="124"/>
      <c r="O844" s="124"/>
      <c r="P844" s="124"/>
      <c r="Q844" s="124"/>
      <c r="R844" s="123"/>
      <c r="S844" s="123"/>
      <c r="T844" s="123"/>
      <c r="U844" s="123"/>
      <c r="V844" s="123"/>
      <c r="W844" s="123"/>
      <c r="X844" s="123"/>
      <c r="Y844" s="123"/>
      <c r="Z844" s="123"/>
      <c r="AA844" s="123"/>
      <c r="AB844" s="123"/>
      <c r="AC844" s="123"/>
      <c r="AD844" s="123"/>
      <c r="AE844" s="123"/>
      <c r="AF844" s="123"/>
      <c r="AG844" s="123"/>
      <c r="AH844" s="123"/>
      <c r="AI844" s="123"/>
      <c r="AJ844" s="123"/>
    </row>
    <row r="845" ht="15.75" customHeight="1">
      <c r="A845" s="123"/>
      <c r="B845" s="124"/>
      <c r="C845" s="124"/>
      <c r="D845" s="124"/>
      <c r="E845" s="124"/>
      <c r="F845" s="125"/>
      <c r="G845" s="124"/>
      <c r="H845" s="124"/>
      <c r="I845" s="125"/>
      <c r="J845" s="123"/>
      <c r="K845" s="124"/>
      <c r="L845" s="125"/>
      <c r="M845" s="124"/>
      <c r="N845" s="124"/>
      <c r="O845" s="124"/>
      <c r="P845" s="124"/>
      <c r="Q845" s="124"/>
      <c r="R845" s="123"/>
      <c r="S845" s="123"/>
      <c r="T845" s="123"/>
      <c r="U845" s="123"/>
      <c r="V845" s="123"/>
      <c r="W845" s="123"/>
      <c r="X845" s="123"/>
      <c r="Y845" s="123"/>
      <c r="Z845" s="123"/>
      <c r="AA845" s="123"/>
      <c r="AB845" s="123"/>
      <c r="AC845" s="123"/>
      <c r="AD845" s="123"/>
      <c r="AE845" s="123"/>
      <c r="AF845" s="123"/>
      <c r="AG845" s="123"/>
      <c r="AH845" s="123"/>
      <c r="AI845" s="123"/>
      <c r="AJ845" s="123"/>
    </row>
    <row r="846" ht="15.75" customHeight="1">
      <c r="A846" s="123"/>
      <c r="B846" s="124"/>
      <c r="C846" s="124"/>
      <c r="D846" s="124"/>
      <c r="E846" s="124"/>
      <c r="F846" s="125"/>
      <c r="G846" s="124"/>
      <c r="H846" s="124"/>
      <c r="I846" s="125"/>
      <c r="J846" s="123"/>
      <c r="K846" s="124"/>
      <c r="L846" s="125"/>
      <c r="M846" s="124"/>
      <c r="N846" s="124"/>
      <c r="O846" s="124"/>
      <c r="P846" s="124"/>
      <c r="Q846" s="124"/>
      <c r="R846" s="123"/>
      <c r="S846" s="123"/>
      <c r="T846" s="123"/>
      <c r="U846" s="123"/>
      <c r="V846" s="123"/>
      <c r="W846" s="123"/>
      <c r="X846" s="123"/>
      <c r="Y846" s="123"/>
      <c r="Z846" s="123"/>
      <c r="AA846" s="123"/>
      <c r="AB846" s="123"/>
      <c r="AC846" s="123"/>
      <c r="AD846" s="123"/>
      <c r="AE846" s="123"/>
      <c r="AF846" s="123"/>
      <c r="AG846" s="123"/>
      <c r="AH846" s="123"/>
      <c r="AI846" s="123"/>
      <c r="AJ846" s="123"/>
    </row>
    <row r="847" ht="15.75" customHeight="1">
      <c r="A847" s="123"/>
      <c r="B847" s="124"/>
      <c r="C847" s="124"/>
      <c r="D847" s="124"/>
      <c r="E847" s="124"/>
      <c r="F847" s="125"/>
      <c r="G847" s="124"/>
      <c r="H847" s="124"/>
      <c r="I847" s="125"/>
      <c r="J847" s="123"/>
      <c r="K847" s="124"/>
      <c r="L847" s="125"/>
      <c r="M847" s="124"/>
      <c r="N847" s="124"/>
      <c r="O847" s="124"/>
      <c r="P847" s="124"/>
      <c r="Q847" s="124"/>
      <c r="R847" s="123"/>
      <c r="S847" s="123"/>
      <c r="T847" s="123"/>
      <c r="U847" s="123"/>
      <c r="V847" s="123"/>
      <c r="W847" s="123"/>
      <c r="X847" s="123"/>
      <c r="Y847" s="123"/>
      <c r="Z847" s="123"/>
      <c r="AA847" s="123"/>
      <c r="AB847" s="123"/>
      <c r="AC847" s="123"/>
      <c r="AD847" s="123"/>
      <c r="AE847" s="123"/>
      <c r="AF847" s="123"/>
      <c r="AG847" s="123"/>
      <c r="AH847" s="123"/>
      <c r="AI847" s="123"/>
      <c r="AJ847" s="123"/>
    </row>
    <row r="848" ht="15.75" customHeight="1">
      <c r="A848" s="123"/>
      <c r="B848" s="124"/>
      <c r="C848" s="124"/>
      <c r="D848" s="124"/>
      <c r="E848" s="124"/>
      <c r="F848" s="125"/>
      <c r="G848" s="124"/>
      <c r="H848" s="124"/>
      <c r="I848" s="125"/>
      <c r="J848" s="123"/>
      <c r="K848" s="124"/>
      <c r="L848" s="125"/>
      <c r="M848" s="124"/>
      <c r="N848" s="124"/>
      <c r="O848" s="124"/>
      <c r="P848" s="124"/>
      <c r="Q848" s="124"/>
      <c r="R848" s="123"/>
      <c r="S848" s="123"/>
      <c r="T848" s="123"/>
      <c r="U848" s="123"/>
      <c r="V848" s="123"/>
      <c r="W848" s="123"/>
      <c r="X848" s="123"/>
      <c r="Y848" s="123"/>
      <c r="Z848" s="123"/>
      <c r="AA848" s="123"/>
      <c r="AB848" s="123"/>
      <c r="AC848" s="123"/>
      <c r="AD848" s="123"/>
      <c r="AE848" s="123"/>
      <c r="AF848" s="123"/>
      <c r="AG848" s="123"/>
      <c r="AH848" s="123"/>
      <c r="AI848" s="123"/>
      <c r="AJ848" s="123"/>
    </row>
    <row r="849" ht="15.75" customHeight="1">
      <c r="A849" s="123"/>
      <c r="B849" s="124"/>
      <c r="C849" s="124"/>
      <c r="D849" s="124"/>
      <c r="E849" s="124"/>
      <c r="F849" s="125"/>
      <c r="G849" s="124"/>
      <c r="H849" s="124"/>
      <c r="I849" s="125"/>
      <c r="J849" s="123"/>
      <c r="K849" s="124"/>
      <c r="L849" s="125"/>
      <c r="M849" s="124"/>
      <c r="N849" s="124"/>
      <c r="O849" s="124"/>
      <c r="P849" s="124"/>
      <c r="Q849" s="124"/>
      <c r="R849" s="123"/>
      <c r="S849" s="123"/>
      <c r="T849" s="123"/>
      <c r="U849" s="123"/>
      <c r="V849" s="123"/>
      <c r="W849" s="123"/>
      <c r="X849" s="123"/>
      <c r="Y849" s="123"/>
      <c r="Z849" s="123"/>
      <c r="AA849" s="123"/>
      <c r="AB849" s="123"/>
      <c r="AC849" s="123"/>
      <c r="AD849" s="123"/>
      <c r="AE849" s="123"/>
      <c r="AF849" s="123"/>
      <c r="AG849" s="123"/>
      <c r="AH849" s="123"/>
      <c r="AI849" s="123"/>
      <c r="AJ849" s="123"/>
    </row>
    <row r="850" ht="15.75" customHeight="1">
      <c r="A850" s="123"/>
      <c r="B850" s="124"/>
      <c r="C850" s="124"/>
      <c r="D850" s="124"/>
      <c r="E850" s="124"/>
      <c r="F850" s="125"/>
      <c r="G850" s="124"/>
      <c r="H850" s="124"/>
      <c r="I850" s="125"/>
      <c r="J850" s="123"/>
      <c r="K850" s="124"/>
      <c r="L850" s="125"/>
      <c r="M850" s="124"/>
      <c r="N850" s="124"/>
      <c r="O850" s="124"/>
      <c r="P850" s="124"/>
      <c r="Q850" s="124"/>
      <c r="R850" s="123"/>
      <c r="S850" s="123"/>
      <c r="T850" s="123"/>
      <c r="U850" s="123"/>
      <c r="V850" s="123"/>
      <c r="W850" s="123"/>
      <c r="X850" s="123"/>
      <c r="Y850" s="123"/>
      <c r="Z850" s="123"/>
      <c r="AA850" s="123"/>
      <c r="AB850" s="123"/>
      <c r="AC850" s="123"/>
      <c r="AD850" s="123"/>
      <c r="AE850" s="123"/>
      <c r="AF850" s="123"/>
      <c r="AG850" s="123"/>
      <c r="AH850" s="123"/>
      <c r="AI850" s="123"/>
      <c r="AJ850" s="123"/>
    </row>
    <row r="851" ht="15.75" customHeight="1">
      <c r="A851" s="123"/>
      <c r="B851" s="124"/>
      <c r="C851" s="124"/>
      <c r="D851" s="124"/>
      <c r="E851" s="124"/>
      <c r="F851" s="125"/>
      <c r="G851" s="124"/>
      <c r="H851" s="124"/>
      <c r="I851" s="125"/>
      <c r="J851" s="123"/>
      <c r="K851" s="124"/>
      <c r="L851" s="125"/>
      <c r="M851" s="124"/>
      <c r="N851" s="124"/>
      <c r="O851" s="124"/>
      <c r="P851" s="124"/>
      <c r="Q851" s="124"/>
      <c r="R851" s="123"/>
      <c r="S851" s="123"/>
      <c r="T851" s="123"/>
      <c r="U851" s="123"/>
      <c r="V851" s="123"/>
      <c r="W851" s="123"/>
      <c r="X851" s="123"/>
      <c r="Y851" s="123"/>
      <c r="Z851" s="123"/>
      <c r="AA851" s="123"/>
      <c r="AB851" s="123"/>
      <c r="AC851" s="123"/>
      <c r="AD851" s="123"/>
      <c r="AE851" s="123"/>
      <c r="AF851" s="123"/>
      <c r="AG851" s="123"/>
      <c r="AH851" s="123"/>
      <c r="AI851" s="123"/>
      <c r="AJ851" s="123"/>
    </row>
    <row r="852" ht="15.75" customHeight="1">
      <c r="A852" s="123"/>
      <c r="B852" s="124"/>
      <c r="C852" s="124"/>
      <c r="D852" s="124"/>
      <c r="E852" s="124"/>
      <c r="F852" s="125"/>
      <c r="G852" s="124"/>
      <c r="H852" s="124"/>
      <c r="I852" s="125"/>
      <c r="J852" s="123"/>
      <c r="K852" s="124"/>
      <c r="L852" s="125"/>
      <c r="M852" s="124"/>
      <c r="N852" s="124"/>
      <c r="O852" s="124"/>
      <c r="P852" s="124"/>
      <c r="Q852" s="124"/>
      <c r="R852" s="123"/>
      <c r="S852" s="123"/>
      <c r="T852" s="123"/>
      <c r="U852" s="123"/>
      <c r="V852" s="123"/>
      <c r="W852" s="123"/>
      <c r="X852" s="123"/>
      <c r="Y852" s="123"/>
      <c r="Z852" s="123"/>
      <c r="AA852" s="123"/>
      <c r="AB852" s="123"/>
      <c r="AC852" s="123"/>
      <c r="AD852" s="123"/>
      <c r="AE852" s="123"/>
      <c r="AF852" s="123"/>
      <c r="AG852" s="123"/>
      <c r="AH852" s="123"/>
      <c r="AI852" s="123"/>
      <c r="AJ852" s="123"/>
    </row>
    <row r="853" ht="15.75" customHeight="1">
      <c r="A853" s="123"/>
      <c r="B853" s="124"/>
      <c r="C853" s="124"/>
      <c r="D853" s="124"/>
      <c r="E853" s="124"/>
      <c r="F853" s="125"/>
      <c r="G853" s="124"/>
      <c r="H853" s="124"/>
      <c r="I853" s="125"/>
      <c r="J853" s="123"/>
      <c r="K853" s="124"/>
      <c r="L853" s="125"/>
      <c r="M853" s="124"/>
      <c r="N853" s="124"/>
      <c r="O853" s="124"/>
      <c r="P853" s="124"/>
      <c r="Q853" s="124"/>
      <c r="R853" s="123"/>
      <c r="S853" s="123"/>
      <c r="T853" s="123"/>
      <c r="U853" s="123"/>
      <c r="V853" s="123"/>
      <c r="W853" s="123"/>
      <c r="X853" s="123"/>
      <c r="Y853" s="123"/>
      <c r="Z853" s="123"/>
      <c r="AA853" s="123"/>
      <c r="AB853" s="123"/>
      <c r="AC853" s="123"/>
      <c r="AD853" s="123"/>
      <c r="AE853" s="123"/>
      <c r="AF853" s="123"/>
      <c r="AG853" s="123"/>
      <c r="AH853" s="123"/>
      <c r="AI853" s="123"/>
      <c r="AJ853" s="123"/>
    </row>
    <row r="854" ht="15.75" customHeight="1">
      <c r="A854" s="123"/>
      <c r="B854" s="124"/>
      <c r="C854" s="124"/>
      <c r="D854" s="124"/>
      <c r="E854" s="124"/>
      <c r="F854" s="125"/>
      <c r="G854" s="124"/>
      <c r="H854" s="124"/>
      <c r="I854" s="125"/>
      <c r="J854" s="123"/>
      <c r="K854" s="124"/>
      <c r="L854" s="125"/>
      <c r="M854" s="124"/>
      <c r="N854" s="124"/>
      <c r="O854" s="124"/>
      <c r="P854" s="124"/>
      <c r="Q854" s="124"/>
      <c r="R854" s="123"/>
      <c r="S854" s="123"/>
      <c r="T854" s="123"/>
      <c r="U854" s="123"/>
      <c r="V854" s="123"/>
      <c r="W854" s="123"/>
      <c r="X854" s="123"/>
      <c r="Y854" s="123"/>
      <c r="Z854" s="123"/>
      <c r="AA854" s="123"/>
      <c r="AB854" s="123"/>
      <c r="AC854" s="123"/>
      <c r="AD854" s="123"/>
      <c r="AE854" s="123"/>
      <c r="AF854" s="123"/>
      <c r="AG854" s="123"/>
      <c r="AH854" s="123"/>
      <c r="AI854" s="123"/>
      <c r="AJ854" s="123"/>
    </row>
    <row r="855" ht="15.75" customHeight="1">
      <c r="A855" s="123"/>
      <c r="B855" s="124"/>
      <c r="C855" s="124"/>
      <c r="D855" s="124"/>
      <c r="E855" s="124"/>
      <c r="F855" s="125"/>
      <c r="G855" s="124"/>
      <c r="H855" s="124"/>
      <c r="I855" s="125"/>
      <c r="J855" s="123"/>
      <c r="K855" s="124"/>
      <c r="L855" s="125"/>
      <c r="M855" s="124"/>
      <c r="N855" s="124"/>
      <c r="O855" s="124"/>
      <c r="P855" s="124"/>
      <c r="Q855" s="124"/>
      <c r="R855" s="123"/>
      <c r="S855" s="123"/>
      <c r="T855" s="123"/>
      <c r="U855" s="123"/>
      <c r="V855" s="123"/>
      <c r="W855" s="123"/>
      <c r="X855" s="123"/>
      <c r="Y855" s="123"/>
      <c r="Z855" s="123"/>
      <c r="AA855" s="123"/>
      <c r="AB855" s="123"/>
      <c r="AC855" s="123"/>
      <c r="AD855" s="123"/>
      <c r="AE855" s="123"/>
      <c r="AF855" s="123"/>
      <c r="AG855" s="123"/>
      <c r="AH855" s="123"/>
      <c r="AI855" s="123"/>
      <c r="AJ855" s="123"/>
    </row>
    <row r="856" ht="15.75" customHeight="1">
      <c r="A856" s="123"/>
      <c r="B856" s="124"/>
      <c r="C856" s="124"/>
      <c r="D856" s="124"/>
      <c r="E856" s="124"/>
      <c r="F856" s="125"/>
      <c r="G856" s="124"/>
      <c r="H856" s="124"/>
      <c r="I856" s="125"/>
      <c r="J856" s="123"/>
      <c r="K856" s="124"/>
      <c r="L856" s="125"/>
      <c r="M856" s="124"/>
      <c r="N856" s="124"/>
      <c r="O856" s="124"/>
      <c r="P856" s="124"/>
      <c r="Q856" s="124"/>
      <c r="R856" s="123"/>
      <c r="S856" s="123"/>
      <c r="T856" s="123"/>
      <c r="U856" s="123"/>
      <c r="V856" s="123"/>
      <c r="W856" s="123"/>
      <c r="X856" s="123"/>
      <c r="Y856" s="123"/>
      <c r="Z856" s="123"/>
      <c r="AA856" s="123"/>
      <c r="AB856" s="123"/>
      <c r="AC856" s="123"/>
      <c r="AD856" s="123"/>
      <c r="AE856" s="123"/>
      <c r="AF856" s="123"/>
      <c r="AG856" s="123"/>
      <c r="AH856" s="123"/>
      <c r="AI856" s="123"/>
      <c r="AJ856" s="123"/>
    </row>
    <row r="857" ht="15.75" customHeight="1">
      <c r="A857" s="123"/>
      <c r="B857" s="124"/>
      <c r="C857" s="124"/>
      <c r="D857" s="124"/>
      <c r="E857" s="124"/>
      <c r="F857" s="125"/>
      <c r="G857" s="124"/>
      <c r="H857" s="124"/>
      <c r="I857" s="125"/>
      <c r="J857" s="123"/>
      <c r="K857" s="124"/>
      <c r="L857" s="125"/>
      <c r="M857" s="124"/>
      <c r="N857" s="124"/>
      <c r="O857" s="124"/>
      <c r="P857" s="124"/>
      <c r="Q857" s="124"/>
      <c r="R857" s="123"/>
      <c r="S857" s="123"/>
      <c r="T857" s="123"/>
      <c r="U857" s="123"/>
      <c r="V857" s="123"/>
      <c r="W857" s="123"/>
      <c r="X857" s="123"/>
      <c r="Y857" s="123"/>
      <c r="Z857" s="123"/>
      <c r="AA857" s="123"/>
      <c r="AB857" s="123"/>
      <c r="AC857" s="123"/>
      <c r="AD857" s="123"/>
      <c r="AE857" s="123"/>
      <c r="AF857" s="123"/>
      <c r="AG857" s="123"/>
      <c r="AH857" s="123"/>
      <c r="AI857" s="123"/>
      <c r="AJ857" s="123"/>
    </row>
    <row r="858" ht="15.75" customHeight="1">
      <c r="A858" s="123"/>
      <c r="B858" s="124"/>
      <c r="C858" s="124"/>
      <c r="D858" s="124"/>
      <c r="E858" s="124"/>
      <c r="F858" s="125"/>
      <c r="G858" s="124"/>
      <c r="H858" s="124"/>
      <c r="I858" s="125"/>
      <c r="J858" s="123"/>
      <c r="K858" s="124"/>
      <c r="L858" s="125"/>
      <c r="M858" s="124"/>
      <c r="N858" s="124"/>
      <c r="O858" s="124"/>
      <c r="P858" s="124"/>
      <c r="Q858" s="124"/>
      <c r="R858" s="123"/>
      <c r="S858" s="123"/>
      <c r="T858" s="123"/>
      <c r="U858" s="123"/>
      <c r="V858" s="123"/>
      <c r="W858" s="123"/>
      <c r="X858" s="123"/>
      <c r="Y858" s="123"/>
      <c r="Z858" s="123"/>
      <c r="AA858" s="123"/>
      <c r="AB858" s="123"/>
      <c r="AC858" s="123"/>
      <c r="AD858" s="123"/>
      <c r="AE858" s="123"/>
      <c r="AF858" s="123"/>
      <c r="AG858" s="123"/>
      <c r="AH858" s="123"/>
      <c r="AI858" s="123"/>
      <c r="AJ858" s="123"/>
    </row>
    <row r="859" ht="15.75" customHeight="1">
      <c r="A859" s="123"/>
      <c r="B859" s="124"/>
      <c r="C859" s="124"/>
      <c r="D859" s="124"/>
      <c r="E859" s="124"/>
      <c r="F859" s="125"/>
      <c r="G859" s="124"/>
      <c r="H859" s="124"/>
      <c r="I859" s="125"/>
      <c r="J859" s="123"/>
      <c r="K859" s="124"/>
      <c r="L859" s="125"/>
      <c r="M859" s="124"/>
      <c r="N859" s="124"/>
      <c r="O859" s="124"/>
      <c r="P859" s="124"/>
      <c r="Q859" s="124"/>
      <c r="R859" s="123"/>
      <c r="S859" s="123"/>
      <c r="T859" s="123"/>
      <c r="U859" s="123"/>
      <c r="V859" s="123"/>
      <c r="W859" s="123"/>
      <c r="X859" s="123"/>
      <c r="Y859" s="123"/>
      <c r="Z859" s="123"/>
      <c r="AA859" s="123"/>
      <c r="AB859" s="123"/>
      <c r="AC859" s="123"/>
      <c r="AD859" s="123"/>
      <c r="AE859" s="123"/>
      <c r="AF859" s="123"/>
      <c r="AG859" s="123"/>
      <c r="AH859" s="123"/>
      <c r="AI859" s="123"/>
      <c r="AJ859" s="123"/>
    </row>
    <row r="860" ht="15.75" customHeight="1">
      <c r="A860" s="123"/>
      <c r="B860" s="124"/>
      <c r="C860" s="124"/>
      <c r="D860" s="124"/>
      <c r="E860" s="124"/>
      <c r="F860" s="125"/>
      <c r="G860" s="124"/>
      <c r="H860" s="124"/>
      <c r="I860" s="125"/>
      <c r="J860" s="123"/>
      <c r="K860" s="124"/>
      <c r="L860" s="125"/>
      <c r="M860" s="124"/>
      <c r="N860" s="124"/>
      <c r="O860" s="124"/>
      <c r="P860" s="124"/>
      <c r="Q860" s="124"/>
      <c r="R860" s="123"/>
      <c r="S860" s="123"/>
      <c r="T860" s="123"/>
      <c r="U860" s="123"/>
      <c r="V860" s="123"/>
      <c r="W860" s="123"/>
      <c r="X860" s="123"/>
      <c r="Y860" s="123"/>
      <c r="Z860" s="123"/>
      <c r="AA860" s="123"/>
      <c r="AB860" s="123"/>
      <c r="AC860" s="123"/>
      <c r="AD860" s="123"/>
      <c r="AE860" s="123"/>
      <c r="AF860" s="123"/>
      <c r="AG860" s="123"/>
      <c r="AH860" s="123"/>
      <c r="AI860" s="123"/>
      <c r="AJ860" s="123"/>
    </row>
    <row r="861" ht="15.75" customHeight="1">
      <c r="A861" s="123"/>
      <c r="B861" s="124"/>
      <c r="C861" s="124"/>
      <c r="D861" s="124"/>
      <c r="E861" s="124"/>
      <c r="F861" s="125"/>
      <c r="G861" s="124"/>
      <c r="H861" s="124"/>
      <c r="I861" s="125"/>
      <c r="J861" s="123"/>
      <c r="K861" s="124"/>
      <c r="L861" s="125"/>
      <c r="M861" s="124"/>
      <c r="N861" s="124"/>
      <c r="O861" s="124"/>
      <c r="P861" s="124"/>
      <c r="Q861" s="124"/>
      <c r="R861" s="123"/>
      <c r="S861" s="123"/>
      <c r="T861" s="123"/>
      <c r="U861" s="123"/>
      <c r="V861" s="123"/>
      <c r="W861" s="123"/>
      <c r="X861" s="123"/>
      <c r="Y861" s="123"/>
      <c r="Z861" s="123"/>
      <c r="AA861" s="123"/>
      <c r="AB861" s="123"/>
      <c r="AC861" s="123"/>
      <c r="AD861" s="123"/>
      <c r="AE861" s="123"/>
      <c r="AF861" s="123"/>
      <c r="AG861" s="123"/>
      <c r="AH861" s="123"/>
      <c r="AI861" s="123"/>
      <c r="AJ861" s="123"/>
    </row>
    <row r="862" ht="15.75" customHeight="1">
      <c r="A862" s="123"/>
      <c r="B862" s="124"/>
      <c r="C862" s="124"/>
      <c r="D862" s="124"/>
      <c r="E862" s="124"/>
      <c r="F862" s="125"/>
      <c r="G862" s="124"/>
      <c r="H862" s="124"/>
      <c r="I862" s="125"/>
      <c r="J862" s="123"/>
      <c r="K862" s="124"/>
      <c r="L862" s="125"/>
      <c r="M862" s="124"/>
      <c r="N862" s="124"/>
      <c r="O862" s="124"/>
      <c r="P862" s="124"/>
      <c r="Q862" s="124"/>
      <c r="R862" s="123"/>
      <c r="S862" s="123"/>
      <c r="T862" s="123"/>
      <c r="U862" s="123"/>
      <c r="V862" s="123"/>
      <c r="W862" s="123"/>
      <c r="X862" s="123"/>
      <c r="Y862" s="123"/>
      <c r="Z862" s="123"/>
      <c r="AA862" s="123"/>
      <c r="AB862" s="123"/>
      <c r="AC862" s="123"/>
      <c r="AD862" s="123"/>
      <c r="AE862" s="123"/>
      <c r="AF862" s="123"/>
      <c r="AG862" s="123"/>
      <c r="AH862" s="123"/>
      <c r="AI862" s="123"/>
      <c r="AJ862" s="123"/>
    </row>
    <row r="863" ht="15.75" customHeight="1">
      <c r="A863" s="123"/>
      <c r="B863" s="124"/>
      <c r="C863" s="124"/>
      <c r="D863" s="124"/>
      <c r="E863" s="124"/>
      <c r="F863" s="125"/>
      <c r="G863" s="124"/>
      <c r="H863" s="124"/>
      <c r="I863" s="125"/>
      <c r="J863" s="123"/>
      <c r="K863" s="124"/>
      <c r="L863" s="125"/>
      <c r="M863" s="124"/>
      <c r="N863" s="124"/>
      <c r="O863" s="124"/>
      <c r="P863" s="124"/>
      <c r="Q863" s="124"/>
      <c r="R863" s="123"/>
      <c r="S863" s="123"/>
      <c r="T863" s="123"/>
      <c r="U863" s="123"/>
      <c r="V863" s="123"/>
      <c r="W863" s="123"/>
      <c r="X863" s="123"/>
      <c r="Y863" s="123"/>
      <c r="Z863" s="123"/>
      <c r="AA863" s="123"/>
      <c r="AB863" s="123"/>
      <c r="AC863" s="123"/>
      <c r="AD863" s="123"/>
      <c r="AE863" s="123"/>
      <c r="AF863" s="123"/>
      <c r="AG863" s="123"/>
      <c r="AH863" s="123"/>
      <c r="AI863" s="123"/>
      <c r="AJ863" s="123"/>
    </row>
    <row r="864" ht="15.75" customHeight="1">
      <c r="A864" s="123"/>
      <c r="B864" s="124"/>
      <c r="C864" s="124"/>
      <c r="D864" s="124"/>
      <c r="E864" s="124"/>
      <c r="F864" s="125"/>
      <c r="G864" s="124"/>
      <c r="H864" s="124"/>
      <c r="I864" s="125"/>
      <c r="J864" s="123"/>
      <c r="K864" s="124"/>
      <c r="L864" s="125"/>
      <c r="M864" s="124"/>
      <c r="N864" s="124"/>
      <c r="O864" s="124"/>
      <c r="P864" s="124"/>
      <c r="Q864" s="124"/>
      <c r="R864" s="123"/>
      <c r="S864" s="123"/>
      <c r="T864" s="123"/>
      <c r="U864" s="123"/>
      <c r="V864" s="123"/>
      <c r="W864" s="123"/>
      <c r="X864" s="123"/>
      <c r="Y864" s="123"/>
      <c r="Z864" s="123"/>
      <c r="AA864" s="123"/>
      <c r="AB864" s="123"/>
      <c r="AC864" s="123"/>
      <c r="AD864" s="123"/>
      <c r="AE864" s="123"/>
      <c r="AF864" s="123"/>
      <c r="AG864" s="123"/>
      <c r="AH864" s="123"/>
      <c r="AI864" s="123"/>
      <c r="AJ864" s="123"/>
    </row>
    <row r="865" ht="15.75" customHeight="1">
      <c r="A865" s="123"/>
      <c r="B865" s="124"/>
      <c r="C865" s="124"/>
      <c r="D865" s="124"/>
      <c r="E865" s="124"/>
      <c r="F865" s="125"/>
      <c r="G865" s="124"/>
      <c r="H865" s="124"/>
      <c r="I865" s="125"/>
      <c r="J865" s="123"/>
      <c r="K865" s="124"/>
      <c r="L865" s="125"/>
      <c r="M865" s="124"/>
      <c r="N865" s="124"/>
      <c r="O865" s="124"/>
      <c r="P865" s="124"/>
      <c r="Q865" s="124"/>
      <c r="R865" s="123"/>
      <c r="S865" s="123"/>
      <c r="T865" s="123"/>
      <c r="U865" s="123"/>
      <c r="V865" s="123"/>
      <c r="W865" s="123"/>
      <c r="X865" s="123"/>
      <c r="Y865" s="123"/>
      <c r="Z865" s="123"/>
      <c r="AA865" s="123"/>
      <c r="AB865" s="123"/>
      <c r="AC865" s="123"/>
      <c r="AD865" s="123"/>
      <c r="AE865" s="123"/>
      <c r="AF865" s="123"/>
      <c r="AG865" s="123"/>
      <c r="AH865" s="123"/>
      <c r="AI865" s="123"/>
      <c r="AJ865" s="123"/>
    </row>
    <row r="866" ht="15.75" customHeight="1">
      <c r="A866" s="123"/>
      <c r="B866" s="124"/>
      <c r="C866" s="124"/>
      <c r="D866" s="124"/>
      <c r="E866" s="124"/>
      <c r="F866" s="125"/>
      <c r="G866" s="124"/>
      <c r="H866" s="124"/>
      <c r="I866" s="125"/>
      <c r="J866" s="123"/>
      <c r="K866" s="124"/>
      <c r="L866" s="125"/>
      <c r="M866" s="124"/>
      <c r="N866" s="124"/>
      <c r="O866" s="124"/>
      <c r="P866" s="124"/>
      <c r="Q866" s="124"/>
      <c r="R866" s="123"/>
      <c r="S866" s="123"/>
      <c r="T866" s="123"/>
      <c r="U866" s="123"/>
      <c r="V866" s="123"/>
      <c r="W866" s="123"/>
      <c r="X866" s="123"/>
      <c r="Y866" s="123"/>
      <c r="Z866" s="123"/>
      <c r="AA866" s="123"/>
      <c r="AB866" s="123"/>
      <c r="AC866" s="123"/>
      <c r="AD866" s="123"/>
      <c r="AE866" s="123"/>
      <c r="AF866" s="123"/>
      <c r="AG866" s="123"/>
      <c r="AH866" s="123"/>
      <c r="AI866" s="123"/>
      <c r="AJ866" s="123"/>
    </row>
    <row r="867" ht="15.75" customHeight="1">
      <c r="A867" s="123"/>
      <c r="B867" s="124"/>
      <c r="C867" s="124"/>
      <c r="D867" s="124"/>
      <c r="E867" s="124"/>
      <c r="F867" s="125"/>
      <c r="G867" s="124"/>
      <c r="H867" s="124"/>
      <c r="I867" s="125"/>
      <c r="J867" s="123"/>
      <c r="K867" s="124"/>
      <c r="L867" s="125"/>
      <c r="M867" s="124"/>
      <c r="N867" s="124"/>
      <c r="O867" s="124"/>
      <c r="P867" s="124"/>
      <c r="Q867" s="124"/>
      <c r="R867" s="123"/>
      <c r="S867" s="123"/>
      <c r="T867" s="123"/>
      <c r="U867" s="123"/>
      <c r="V867" s="123"/>
      <c r="W867" s="123"/>
      <c r="X867" s="123"/>
      <c r="Y867" s="123"/>
      <c r="Z867" s="123"/>
      <c r="AA867" s="123"/>
      <c r="AB867" s="123"/>
      <c r="AC867" s="123"/>
      <c r="AD867" s="123"/>
      <c r="AE867" s="123"/>
      <c r="AF867" s="123"/>
      <c r="AG867" s="123"/>
      <c r="AH867" s="123"/>
      <c r="AI867" s="123"/>
      <c r="AJ867" s="123"/>
    </row>
    <row r="868" ht="15.75" customHeight="1">
      <c r="A868" s="123"/>
      <c r="B868" s="124"/>
      <c r="C868" s="124"/>
      <c r="D868" s="124"/>
      <c r="E868" s="124"/>
      <c r="F868" s="125"/>
      <c r="G868" s="124"/>
      <c r="H868" s="124"/>
      <c r="I868" s="125"/>
      <c r="J868" s="123"/>
      <c r="K868" s="124"/>
      <c r="L868" s="125"/>
      <c r="M868" s="124"/>
      <c r="N868" s="124"/>
      <c r="O868" s="124"/>
      <c r="P868" s="124"/>
      <c r="Q868" s="124"/>
      <c r="R868" s="123"/>
      <c r="S868" s="123"/>
      <c r="T868" s="123"/>
      <c r="U868" s="123"/>
      <c r="V868" s="123"/>
      <c r="W868" s="123"/>
      <c r="X868" s="123"/>
      <c r="Y868" s="123"/>
      <c r="Z868" s="123"/>
      <c r="AA868" s="123"/>
      <c r="AB868" s="123"/>
      <c r="AC868" s="123"/>
      <c r="AD868" s="123"/>
      <c r="AE868" s="123"/>
      <c r="AF868" s="123"/>
      <c r="AG868" s="123"/>
      <c r="AH868" s="123"/>
      <c r="AI868" s="123"/>
      <c r="AJ868" s="123"/>
    </row>
    <row r="869" ht="15.75" customHeight="1">
      <c r="A869" s="123"/>
      <c r="B869" s="124"/>
      <c r="C869" s="124"/>
      <c r="D869" s="124"/>
      <c r="E869" s="124"/>
      <c r="F869" s="125"/>
      <c r="G869" s="124"/>
      <c r="H869" s="124"/>
      <c r="I869" s="125"/>
      <c r="J869" s="123"/>
      <c r="K869" s="124"/>
      <c r="L869" s="125"/>
      <c r="M869" s="124"/>
      <c r="N869" s="124"/>
      <c r="O869" s="124"/>
      <c r="P869" s="124"/>
      <c r="Q869" s="124"/>
      <c r="R869" s="123"/>
      <c r="S869" s="123"/>
      <c r="T869" s="123"/>
      <c r="U869" s="123"/>
      <c r="V869" s="123"/>
      <c r="W869" s="123"/>
      <c r="X869" s="123"/>
      <c r="Y869" s="123"/>
      <c r="Z869" s="123"/>
      <c r="AA869" s="123"/>
      <c r="AB869" s="123"/>
      <c r="AC869" s="123"/>
      <c r="AD869" s="123"/>
      <c r="AE869" s="123"/>
      <c r="AF869" s="123"/>
      <c r="AG869" s="123"/>
      <c r="AH869" s="123"/>
      <c r="AI869" s="123"/>
      <c r="AJ869" s="123"/>
    </row>
    <row r="870" ht="15.75" customHeight="1">
      <c r="A870" s="123"/>
      <c r="B870" s="124"/>
      <c r="C870" s="124"/>
      <c r="D870" s="124"/>
      <c r="E870" s="124"/>
      <c r="F870" s="125"/>
      <c r="G870" s="124"/>
      <c r="H870" s="124"/>
      <c r="I870" s="125"/>
      <c r="J870" s="123"/>
      <c r="K870" s="124"/>
      <c r="L870" s="125"/>
      <c r="M870" s="124"/>
      <c r="N870" s="124"/>
      <c r="O870" s="124"/>
      <c r="P870" s="124"/>
      <c r="Q870" s="124"/>
      <c r="R870" s="123"/>
      <c r="S870" s="123"/>
      <c r="T870" s="123"/>
      <c r="U870" s="123"/>
      <c r="V870" s="123"/>
      <c r="W870" s="123"/>
      <c r="X870" s="123"/>
      <c r="Y870" s="123"/>
      <c r="Z870" s="123"/>
      <c r="AA870" s="123"/>
      <c r="AB870" s="123"/>
      <c r="AC870" s="123"/>
      <c r="AD870" s="123"/>
      <c r="AE870" s="123"/>
      <c r="AF870" s="123"/>
      <c r="AG870" s="123"/>
      <c r="AH870" s="123"/>
      <c r="AI870" s="123"/>
      <c r="AJ870" s="123"/>
    </row>
    <row r="871" ht="15.75" customHeight="1">
      <c r="A871" s="123"/>
      <c r="B871" s="124"/>
      <c r="C871" s="124"/>
      <c r="D871" s="124"/>
      <c r="E871" s="124"/>
      <c r="F871" s="125"/>
      <c r="G871" s="124"/>
      <c r="H871" s="124"/>
      <c r="I871" s="125"/>
      <c r="J871" s="123"/>
      <c r="K871" s="124"/>
      <c r="L871" s="125"/>
      <c r="M871" s="124"/>
      <c r="N871" s="124"/>
      <c r="O871" s="124"/>
      <c r="P871" s="124"/>
      <c r="Q871" s="124"/>
      <c r="R871" s="123"/>
      <c r="S871" s="123"/>
      <c r="T871" s="123"/>
      <c r="U871" s="123"/>
      <c r="V871" s="123"/>
      <c r="W871" s="123"/>
      <c r="X871" s="123"/>
      <c r="Y871" s="123"/>
      <c r="Z871" s="123"/>
      <c r="AA871" s="123"/>
      <c r="AB871" s="123"/>
      <c r="AC871" s="123"/>
      <c r="AD871" s="123"/>
      <c r="AE871" s="123"/>
      <c r="AF871" s="123"/>
      <c r="AG871" s="123"/>
      <c r="AH871" s="123"/>
      <c r="AI871" s="123"/>
      <c r="AJ871" s="123"/>
    </row>
    <row r="872" ht="15.75" customHeight="1">
      <c r="A872" s="123"/>
      <c r="B872" s="124"/>
      <c r="C872" s="124"/>
      <c r="D872" s="124"/>
      <c r="E872" s="124"/>
      <c r="F872" s="125"/>
      <c r="G872" s="124"/>
      <c r="H872" s="124"/>
      <c r="I872" s="125"/>
      <c r="J872" s="123"/>
      <c r="K872" s="124"/>
      <c r="L872" s="125"/>
      <c r="M872" s="124"/>
      <c r="N872" s="124"/>
      <c r="O872" s="124"/>
      <c r="P872" s="124"/>
      <c r="Q872" s="124"/>
      <c r="R872" s="123"/>
      <c r="S872" s="123"/>
      <c r="T872" s="123"/>
      <c r="U872" s="123"/>
      <c r="V872" s="123"/>
      <c r="W872" s="123"/>
      <c r="X872" s="123"/>
      <c r="Y872" s="123"/>
      <c r="Z872" s="123"/>
      <c r="AA872" s="123"/>
      <c r="AB872" s="123"/>
      <c r="AC872" s="123"/>
      <c r="AD872" s="123"/>
      <c r="AE872" s="123"/>
      <c r="AF872" s="123"/>
      <c r="AG872" s="123"/>
      <c r="AH872" s="123"/>
      <c r="AI872" s="123"/>
      <c r="AJ872" s="123"/>
    </row>
    <row r="873" ht="15.75" customHeight="1">
      <c r="A873" s="123"/>
      <c r="B873" s="124"/>
      <c r="C873" s="124"/>
      <c r="D873" s="124"/>
      <c r="E873" s="124"/>
      <c r="F873" s="125"/>
      <c r="G873" s="124"/>
      <c r="H873" s="124"/>
      <c r="I873" s="125"/>
      <c r="J873" s="123"/>
      <c r="K873" s="124"/>
      <c r="L873" s="125"/>
      <c r="M873" s="124"/>
      <c r="N873" s="124"/>
      <c r="O873" s="124"/>
      <c r="P873" s="124"/>
      <c r="Q873" s="124"/>
      <c r="R873" s="123"/>
      <c r="S873" s="123"/>
      <c r="T873" s="123"/>
      <c r="U873" s="123"/>
      <c r="V873" s="123"/>
      <c r="W873" s="123"/>
      <c r="X873" s="123"/>
      <c r="Y873" s="123"/>
      <c r="Z873" s="123"/>
      <c r="AA873" s="123"/>
      <c r="AB873" s="123"/>
      <c r="AC873" s="123"/>
      <c r="AD873" s="123"/>
      <c r="AE873" s="123"/>
      <c r="AF873" s="123"/>
      <c r="AG873" s="123"/>
      <c r="AH873" s="123"/>
      <c r="AI873" s="123"/>
      <c r="AJ873" s="123"/>
    </row>
    <row r="874" ht="15.75" customHeight="1">
      <c r="A874" s="123"/>
      <c r="B874" s="124"/>
      <c r="C874" s="124"/>
      <c r="D874" s="124"/>
      <c r="E874" s="124"/>
      <c r="F874" s="125"/>
      <c r="G874" s="124"/>
      <c r="H874" s="124"/>
      <c r="I874" s="125"/>
      <c r="J874" s="123"/>
      <c r="K874" s="124"/>
      <c r="L874" s="125"/>
      <c r="M874" s="124"/>
      <c r="N874" s="124"/>
      <c r="O874" s="124"/>
      <c r="P874" s="124"/>
      <c r="Q874" s="124"/>
      <c r="R874" s="123"/>
      <c r="S874" s="123"/>
      <c r="T874" s="123"/>
      <c r="U874" s="123"/>
      <c r="V874" s="123"/>
      <c r="W874" s="123"/>
      <c r="X874" s="123"/>
      <c r="Y874" s="123"/>
      <c r="Z874" s="123"/>
      <c r="AA874" s="123"/>
      <c r="AB874" s="123"/>
      <c r="AC874" s="123"/>
      <c r="AD874" s="123"/>
      <c r="AE874" s="123"/>
      <c r="AF874" s="123"/>
      <c r="AG874" s="123"/>
      <c r="AH874" s="123"/>
      <c r="AI874" s="123"/>
      <c r="AJ874" s="123"/>
    </row>
    <row r="875" ht="15.75" customHeight="1">
      <c r="A875" s="123"/>
      <c r="B875" s="124"/>
      <c r="C875" s="124"/>
      <c r="D875" s="124"/>
      <c r="E875" s="124"/>
      <c r="F875" s="125"/>
      <c r="G875" s="124"/>
      <c r="H875" s="124"/>
      <c r="I875" s="125"/>
      <c r="J875" s="123"/>
      <c r="K875" s="124"/>
      <c r="L875" s="125"/>
      <c r="M875" s="124"/>
      <c r="N875" s="124"/>
      <c r="O875" s="124"/>
      <c r="P875" s="124"/>
      <c r="Q875" s="124"/>
      <c r="R875" s="123"/>
      <c r="S875" s="123"/>
      <c r="T875" s="123"/>
      <c r="U875" s="123"/>
      <c r="V875" s="123"/>
      <c r="W875" s="123"/>
      <c r="X875" s="123"/>
      <c r="Y875" s="123"/>
      <c r="Z875" s="123"/>
      <c r="AA875" s="123"/>
      <c r="AB875" s="123"/>
      <c r="AC875" s="123"/>
      <c r="AD875" s="123"/>
      <c r="AE875" s="123"/>
      <c r="AF875" s="123"/>
      <c r="AG875" s="123"/>
      <c r="AH875" s="123"/>
      <c r="AI875" s="123"/>
      <c r="AJ875" s="123"/>
    </row>
    <row r="876" ht="15.75" customHeight="1">
      <c r="A876" s="123"/>
      <c r="B876" s="124"/>
      <c r="C876" s="124"/>
      <c r="D876" s="124"/>
      <c r="E876" s="124"/>
      <c r="F876" s="125"/>
      <c r="G876" s="124"/>
      <c r="H876" s="124"/>
      <c r="I876" s="125"/>
      <c r="J876" s="123"/>
      <c r="K876" s="124"/>
      <c r="L876" s="125"/>
      <c r="M876" s="124"/>
      <c r="N876" s="124"/>
      <c r="O876" s="124"/>
      <c r="P876" s="124"/>
      <c r="Q876" s="124"/>
      <c r="R876" s="123"/>
      <c r="S876" s="123"/>
      <c r="T876" s="123"/>
      <c r="U876" s="123"/>
      <c r="V876" s="123"/>
      <c r="W876" s="123"/>
      <c r="X876" s="123"/>
      <c r="Y876" s="123"/>
      <c r="Z876" s="123"/>
      <c r="AA876" s="123"/>
      <c r="AB876" s="123"/>
      <c r="AC876" s="123"/>
      <c r="AD876" s="123"/>
      <c r="AE876" s="123"/>
      <c r="AF876" s="123"/>
      <c r="AG876" s="123"/>
      <c r="AH876" s="123"/>
      <c r="AI876" s="123"/>
      <c r="AJ876" s="123"/>
    </row>
    <row r="877" ht="15.75" customHeight="1">
      <c r="A877" s="123"/>
      <c r="B877" s="124"/>
      <c r="C877" s="124"/>
      <c r="D877" s="124"/>
      <c r="E877" s="124"/>
      <c r="F877" s="125"/>
      <c r="G877" s="124"/>
      <c r="H877" s="124"/>
      <c r="I877" s="125"/>
      <c r="J877" s="123"/>
      <c r="K877" s="124"/>
      <c r="L877" s="125"/>
      <c r="M877" s="124"/>
      <c r="N877" s="124"/>
      <c r="O877" s="124"/>
      <c r="P877" s="124"/>
      <c r="Q877" s="124"/>
      <c r="R877" s="123"/>
      <c r="S877" s="123"/>
      <c r="T877" s="123"/>
      <c r="U877" s="123"/>
      <c r="V877" s="123"/>
      <c r="W877" s="123"/>
      <c r="X877" s="123"/>
      <c r="Y877" s="123"/>
      <c r="Z877" s="123"/>
      <c r="AA877" s="123"/>
      <c r="AB877" s="123"/>
      <c r="AC877" s="123"/>
      <c r="AD877" s="123"/>
      <c r="AE877" s="123"/>
      <c r="AF877" s="123"/>
      <c r="AG877" s="123"/>
      <c r="AH877" s="123"/>
      <c r="AI877" s="123"/>
      <c r="AJ877" s="123"/>
    </row>
    <row r="878" ht="15.75" customHeight="1">
      <c r="A878" s="123"/>
      <c r="B878" s="124"/>
      <c r="C878" s="124"/>
      <c r="D878" s="124"/>
      <c r="E878" s="124"/>
      <c r="F878" s="125"/>
      <c r="G878" s="124"/>
      <c r="H878" s="124"/>
      <c r="I878" s="125"/>
      <c r="J878" s="123"/>
      <c r="K878" s="124"/>
      <c r="L878" s="125"/>
      <c r="M878" s="124"/>
      <c r="N878" s="124"/>
      <c r="O878" s="124"/>
      <c r="P878" s="124"/>
      <c r="Q878" s="124"/>
      <c r="R878" s="123"/>
      <c r="S878" s="123"/>
      <c r="T878" s="123"/>
      <c r="U878" s="123"/>
      <c r="V878" s="123"/>
      <c r="W878" s="123"/>
      <c r="X878" s="123"/>
      <c r="Y878" s="123"/>
      <c r="Z878" s="123"/>
      <c r="AA878" s="123"/>
      <c r="AB878" s="123"/>
      <c r="AC878" s="123"/>
      <c r="AD878" s="123"/>
      <c r="AE878" s="123"/>
      <c r="AF878" s="123"/>
      <c r="AG878" s="123"/>
      <c r="AH878" s="123"/>
      <c r="AI878" s="123"/>
      <c r="AJ878" s="123"/>
    </row>
    <row r="879" ht="15.75" customHeight="1">
      <c r="A879" s="123"/>
      <c r="B879" s="124"/>
      <c r="C879" s="124"/>
      <c r="D879" s="124"/>
      <c r="E879" s="124"/>
      <c r="F879" s="125"/>
      <c r="G879" s="124"/>
      <c r="H879" s="124"/>
      <c r="I879" s="125"/>
      <c r="J879" s="123"/>
      <c r="K879" s="124"/>
      <c r="L879" s="125"/>
      <c r="M879" s="124"/>
      <c r="N879" s="124"/>
      <c r="O879" s="124"/>
      <c r="P879" s="124"/>
      <c r="Q879" s="124"/>
      <c r="R879" s="123"/>
      <c r="S879" s="123"/>
      <c r="T879" s="123"/>
      <c r="U879" s="123"/>
      <c r="V879" s="123"/>
      <c r="W879" s="123"/>
      <c r="X879" s="123"/>
      <c r="Y879" s="123"/>
      <c r="Z879" s="123"/>
      <c r="AA879" s="123"/>
      <c r="AB879" s="123"/>
      <c r="AC879" s="123"/>
      <c r="AD879" s="123"/>
      <c r="AE879" s="123"/>
      <c r="AF879" s="123"/>
      <c r="AG879" s="123"/>
      <c r="AH879" s="123"/>
      <c r="AI879" s="123"/>
      <c r="AJ879" s="123"/>
    </row>
    <row r="880" ht="15.75" customHeight="1">
      <c r="A880" s="123"/>
      <c r="B880" s="124"/>
      <c r="C880" s="124"/>
      <c r="D880" s="124"/>
      <c r="E880" s="124"/>
      <c r="F880" s="125"/>
      <c r="G880" s="124"/>
      <c r="H880" s="124"/>
      <c r="I880" s="125"/>
      <c r="J880" s="123"/>
      <c r="K880" s="124"/>
      <c r="L880" s="125"/>
      <c r="M880" s="124"/>
      <c r="N880" s="124"/>
      <c r="O880" s="124"/>
      <c r="P880" s="124"/>
      <c r="Q880" s="124"/>
      <c r="R880" s="123"/>
      <c r="S880" s="123"/>
      <c r="T880" s="123"/>
      <c r="U880" s="123"/>
      <c r="V880" s="123"/>
      <c r="W880" s="123"/>
      <c r="X880" s="123"/>
      <c r="Y880" s="123"/>
      <c r="Z880" s="123"/>
      <c r="AA880" s="123"/>
      <c r="AB880" s="123"/>
      <c r="AC880" s="123"/>
      <c r="AD880" s="123"/>
      <c r="AE880" s="123"/>
      <c r="AF880" s="123"/>
      <c r="AG880" s="123"/>
      <c r="AH880" s="123"/>
      <c r="AI880" s="123"/>
      <c r="AJ880" s="123"/>
    </row>
    <row r="881" ht="15.75" customHeight="1">
      <c r="A881" s="123"/>
      <c r="B881" s="124"/>
      <c r="C881" s="124"/>
      <c r="D881" s="124"/>
      <c r="E881" s="124"/>
      <c r="F881" s="125"/>
      <c r="G881" s="124"/>
      <c r="H881" s="124"/>
      <c r="I881" s="125"/>
      <c r="J881" s="123"/>
      <c r="K881" s="124"/>
      <c r="L881" s="125"/>
      <c r="M881" s="124"/>
      <c r="N881" s="124"/>
      <c r="O881" s="124"/>
      <c r="P881" s="124"/>
      <c r="Q881" s="124"/>
      <c r="R881" s="123"/>
      <c r="S881" s="123"/>
      <c r="T881" s="123"/>
      <c r="U881" s="123"/>
      <c r="V881" s="123"/>
      <c r="W881" s="123"/>
      <c r="X881" s="123"/>
      <c r="Y881" s="123"/>
      <c r="Z881" s="123"/>
      <c r="AA881" s="123"/>
      <c r="AB881" s="123"/>
      <c r="AC881" s="123"/>
      <c r="AD881" s="123"/>
      <c r="AE881" s="123"/>
      <c r="AF881" s="123"/>
      <c r="AG881" s="123"/>
      <c r="AH881" s="123"/>
      <c r="AI881" s="123"/>
      <c r="AJ881" s="123"/>
    </row>
    <row r="882" ht="15.75" customHeight="1">
      <c r="A882" s="123"/>
      <c r="B882" s="124"/>
      <c r="C882" s="124"/>
      <c r="D882" s="124"/>
      <c r="E882" s="124"/>
      <c r="F882" s="125"/>
      <c r="G882" s="124"/>
      <c r="H882" s="124"/>
      <c r="I882" s="125"/>
      <c r="J882" s="123"/>
      <c r="K882" s="124"/>
      <c r="L882" s="125"/>
      <c r="M882" s="124"/>
      <c r="N882" s="124"/>
      <c r="O882" s="124"/>
      <c r="P882" s="124"/>
      <c r="Q882" s="124"/>
      <c r="R882" s="123"/>
      <c r="S882" s="123"/>
      <c r="T882" s="123"/>
      <c r="U882" s="123"/>
      <c r="V882" s="123"/>
      <c r="W882" s="123"/>
      <c r="X882" s="123"/>
      <c r="Y882" s="123"/>
      <c r="Z882" s="123"/>
      <c r="AA882" s="123"/>
      <c r="AB882" s="123"/>
      <c r="AC882" s="123"/>
      <c r="AD882" s="123"/>
      <c r="AE882" s="123"/>
      <c r="AF882" s="123"/>
      <c r="AG882" s="123"/>
      <c r="AH882" s="123"/>
      <c r="AI882" s="123"/>
      <c r="AJ882" s="123"/>
    </row>
    <row r="883" ht="15.75" customHeight="1">
      <c r="A883" s="123"/>
      <c r="B883" s="124"/>
      <c r="C883" s="124"/>
      <c r="D883" s="124"/>
      <c r="E883" s="124"/>
      <c r="F883" s="125"/>
      <c r="G883" s="124"/>
      <c r="H883" s="124"/>
      <c r="I883" s="125"/>
      <c r="J883" s="123"/>
      <c r="K883" s="124"/>
      <c r="L883" s="125"/>
      <c r="M883" s="124"/>
      <c r="N883" s="124"/>
      <c r="O883" s="124"/>
      <c r="P883" s="124"/>
      <c r="Q883" s="124"/>
      <c r="R883" s="123"/>
      <c r="S883" s="123"/>
      <c r="T883" s="123"/>
      <c r="U883" s="123"/>
      <c r="V883" s="123"/>
      <c r="W883" s="123"/>
      <c r="X883" s="123"/>
      <c r="Y883" s="123"/>
      <c r="Z883" s="123"/>
      <c r="AA883" s="123"/>
      <c r="AB883" s="123"/>
      <c r="AC883" s="123"/>
      <c r="AD883" s="123"/>
      <c r="AE883" s="123"/>
      <c r="AF883" s="123"/>
      <c r="AG883" s="123"/>
      <c r="AH883" s="123"/>
      <c r="AI883" s="123"/>
      <c r="AJ883" s="123"/>
    </row>
    <row r="884" ht="15.75" customHeight="1">
      <c r="A884" s="123"/>
      <c r="B884" s="124"/>
      <c r="C884" s="124"/>
      <c r="D884" s="124"/>
      <c r="E884" s="124"/>
      <c r="F884" s="125"/>
      <c r="G884" s="124"/>
      <c r="H884" s="124"/>
      <c r="I884" s="125"/>
      <c r="J884" s="123"/>
      <c r="K884" s="124"/>
      <c r="L884" s="125"/>
      <c r="M884" s="124"/>
      <c r="N884" s="124"/>
      <c r="O884" s="124"/>
      <c r="P884" s="124"/>
      <c r="Q884" s="124"/>
      <c r="R884" s="123"/>
      <c r="S884" s="123"/>
      <c r="T884" s="123"/>
      <c r="U884" s="123"/>
      <c r="V884" s="123"/>
      <c r="W884" s="123"/>
      <c r="X884" s="123"/>
      <c r="Y884" s="123"/>
      <c r="Z884" s="123"/>
      <c r="AA884" s="123"/>
      <c r="AB884" s="123"/>
      <c r="AC884" s="123"/>
      <c r="AD884" s="123"/>
      <c r="AE884" s="123"/>
      <c r="AF884" s="123"/>
      <c r="AG884" s="123"/>
      <c r="AH884" s="123"/>
      <c r="AI884" s="123"/>
      <c r="AJ884" s="123"/>
    </row>
    <row r="885" ht="15.75" customHeight="1">
      <c r="A885" s="123"/>
      <c r="B885" s="124"/>
      <c r="C885" s="124"/>
      <c r="D885" s="124"/>
      <c r="E885" s="124"/>
      <c r="F885" s="125"/>
      <c r="G885" s="124"/>
      <c r="H885" s="124"/>
      <c r="I885" s="125"/>
      <c r="J885" s="123"/>
      <c r="K885" s="124"/>
      <c r="L885" s="125"/>
      <c r="M885" s="124"/>
      <c r="N885" s="124"/>
      <c r="O885" s="124"/>
      <c r="P885" s="124"/>
      <c r="Q885" s="124"/>
      <c r="R885" s="123"/>
      <c r="S885" s="123"/>
      <c r="T885" s="123"/>
      <c r="U885" s="123"/>
      <c r="V885" s="123"/>
      <c r="W885" s="123"/>
      <c r="X885" s="123"/>
      <c r="Y885" s="123"/>
      <c r="Z885" s="123"/>
      <c r="AA885" s="123"/>
      <c r="AB885" s="123"/>
      <c r="AC885" s="123"/>
      <c r="AD885" s="123"/>
      <c r="AE885" s="123"/>
      <c r="AF885" s="123"/>
      <c r="AG885" s="123"/>
      <c r="AH885" s="123"/>
      <c r="AI885" s="123"/>
      <c r="AJ885" s="123"/>
    </row>
    <row r="886" ht="15.75" customHeight="1">
      <c r="A886" s="123"/>
      <c r="B886" s="124"/>
      <c r="C886" s="124"/>
      <c r="D886" s="124"/>
      <c r="E886" s="124"/>
      <c r="F886" s="125"/>
      <c r="G886" s="124"/>
      <c r="H886" s="124"/>
      <c r="I886" s="125"/>
      <c r="J886" s="123"/>
      <c r="K886" s="124"/>
      <c r="L886" s="125"/>
      <c r="M886" s="124"/>
      <c r="N886" s="124"/>
      <c r="O886" s="124"/>
      <c r="P886" s="124"/>
      <c r="Q886" s="124"/>
      <c r="R886" s="123"/>
      <c r="S886" s="123"/>
      <c r="T886" s="123"/>
      <c r="U886" s="123"/>
      <c r="V886" s="123"/>
      <c r="W886" s="123"/>
      <c r="X886" s="123"/>
      <c r="Y886" s="123"/>
      <c r="Z886" s="123"/>
      <c r="AA886" s="123"/>
      <c r="AB886" s="123"/>
      <c r="AC886" s="123"/>
      <c r="AD886" s="123"/>
      <c r="AE886" s="123"/>
      <c r="AF886" s="123"/>
      <c r="AG886" s="123"/>
      <c r="AH886" s="123"/>
      <c r="AI886" s="123"/>
      <c r="AJ886" s="123"/>
    </row>
    <row r="887" ht="15.75" customHeight="1">
      <c r="A887" s="123"/>
      <c r="B887" s="124"/>
      <c r="C887" s="124"/>
      <c r="D887" s="124"/>
      <c r="E887" s="124"/>
      <c r="F887" s="125"/>
      <c r="G887" s="124"/>
      <c r="H887" s="124"/>
      <c r="I887" s="125"/>
      <c r="J887" s="123"/>
      <c r="K887" s="124"/>
      <c r="L887" s="125"/>
      <c r="M887" s="124"/>
      <c r="N887" s="124"/>
      <c r="O887" s="124"/>
      <c r="P887" s="124"/>
      <c r="Q887" s="124"/>
      <c r="R887" s="123"/>
      <c r="S887" s="123"/>
      <c r="T887" s="123"/>
      <c r="U887" s="123"/>
      <c r="V887" s="123"/>
      <c r="W887" s="123"/>
      <c r="X887" s="123"/>
      <c r="Y887" s="123"/>
      <c r="Z887" s="123"/>
      <c r="AA887" s="123"/>
      <c r="AB887" s="123"/>
      <c r="AC887" s="123"/>
      <c r="AD887" s="123"/>
      <c r="AE887" s="123"/>
      <c r="AF887" s="123"/>
      <c r="AG887" s="123"/>
      <c r="AH887" s="123"/>
      <c r="AI887" s="123"/>
      <c r="AJ887" s="123"/>
    </row>
    <row r="888" ht="15.75" customHeight="1">
      <c r="A888" s="123"/>
      <c r="B888" s="124"/>
      <c r="C888" s="124"/>
      <c r="D888" s="124"/>
      <c r="E888" s="124"/>
      <c r="F888" s="125"/>
      <c r="G888" s="124"/>
      <c r="H888" s="124"/>
      <c r="I888" s="125"/>
      <c r="J888" s="123"/>
      <c r="K888" s="124"/>
      <c r="L888" s="125"/>
      <c r="M888" s="124"/>
      <c r="N888" s="124"/>
      <c r="O888" s="124"/>
      <c r="P888" s="124"/>
      <c r="Q888" s="124"/>
      <c r="R888" s="123"/>
      <c r="S888" s="123"/>
      <c r="T888" s="123"/>
      <c r="U888" s="123"/>
      <c r="V888" s="123"/>
      <c r="W888" s="123"/>
      <c r="X888" s="123"/>
      <c r="Y888" s="123"/>
      <c r="Z888" s="123"/>
      <c r="AA888" s="123"/>
      <c r="AB888" s="123"/>
      <c r="AC888" s="123"/>
      <c r="AD888" s="123"/>
      <c r="AE888" s="123"/>
      <c r="AF888" s="123"/>
      <c r="AG888" s="123"/>
      <c r="AH888" s="123"/>
      <c r="AI888" s="123"/>
      <c r="AJ888" s="123"/>
    </row>
    <row r="889" ht="15.75" customHeight="1">
      <c r="A889" s="123"/>
      <c r="B889" s="124"/>
      <c r="C889" s="124"/>
      <c r="D889" s="124"/>
      <c r="E889" s="124"/>
      <c r="F889" s="125"/>
      <c r="G889" s="124"/>
      <c r="H889" s="124"/>
      <c r="I889" s="125"/>
      <c r="J889" s="123"/>
      <c r="K889" s="124"/>
      <c r="L889" s="125"/>
      <c r="M889" s="124"/>
      <c r="N889" s="124"/>
      <c r="O889" s="124"/>
      <c r="P889" s="124"/>
      <c r="Q889" s="124"/>
      <c r="R889" s="123"/>
      <c r="S889" s="123"/>
      <c r="T889" s="123"/>
      <c r="U889" s="123"/>
      <c r="V889" s="123"/>
      <c r="W889" s="123"/>
      <c r="X889" s="123"/>
      <c r="Y889" s="123"/>
      <c r="Z889" s="123"/>
      <c r="AA889" s="123"/>
      <c r="AB889" s="123"/>
      <c r="AC889" s="123"/>
      <c r="AD889" s="123"/>
      <c r="AE889" s="123"/>
      <c r="AF889" s="123"/>
      <c r="AG889" s="123"/>
      <c r="AH889" s="123"/>
      <c r="AI889" s="123"/>
      <c r="AJ889" s="123"/>
    </row>
    <row r="890" ht="15.75" customHeight="1">
      <c r="A890" s="123"/>
      <c r="B890" s="124"/>
      <c r="C890" s="124"/>
      <c r="D890" s="124"/>
      <c r="E890" s="124"/>
      <c r="F890" s="125"/>
      <c r="G890" s="124"/>
      <c r="H890" s="124"/>
      <c r="I890" s="125"/>
      <c r="J890" s="123"/>
      <c r="K890" s="124"/>
      <c r="L890" s="125"/>
      <c r="M890" s="124"/>
      <c r="N890" s="124"/>
      <c r="O890" s="124"/>
      <c r="P890" s="124"/>
      <c r="Q890" s="124"/>
      <c r="R890" s="123"/>
      <c r="S890" s="123"/>
      <c r="T890" s="123"/>
      <c r="U890" s="123"/>
      <c r="V890" s="123"/>
      <c r="W890" s="123"/>
      <c r="X890" s="123"/>
      <c r="Y890" s="123"/>
      <c r="Z890" s="123"/>
      <c r="AA890" s="123"/>
      <c r="AB890" s="123"/>
      <c r="AC890" s="123"/>
      <c r="AD890" s="123"/>
      <c r="AE890" s="123"/>
      <c r="AF890" s="123"/>
      <c r="AG890" s="123"/>
      <c r="AH890" s="123"/>
      <c r="AI890" s="123"/>
      <c r="AJ890" s="123"/>
    </row>
    <row r="891" ht="15.75" customHeight="1">
      <c r="A891" s="123"/>
      <c r="B891" s="124"/>
      <c r="C891" s="124"/>
      <c r="D891" s="124"/>
      <c r="E891" s="124"/>
      <c r="F891" s="125"/>
      <c r="G891" s="124"/>
      <c r="H891" s="124"/>
      <c r="I891" s="125"/>
      <c r="J891" s="123"/>
      <c r="K891" s="124"/>
      <c r="L891" s="125"/>
      <c r="M891" s="124"/>
      <c r="N891" s="124"/>
      <c r="O891" s="124"/>
      <c r="P891" s="124"/>
      <c r="Q891" s="124"/>
      <c r="R891" s="123"/>
      <c r="S891" s="123"/>
      <c r="T891" s="123"/>
      <c r="U891" s="123"/>
      <c r="V891" s="123"/>
      <c r="W891" s="123"/>
      <c r="X891" s="123"/>
      <c r="Y891" s="123"/>
      <c r="Z891" s="123"/>
      <c r="AA891" s="123"/>
      <c r="AB891" s="123"/>
      <c r="AC891" s="123"/>
      <c r="AD891" s="123"/>
      <c r="AE891" s="123"/>
      <c r="AF891" s="123"/>
      <c r="AG891" s="123"/>
      <c r="AH891" s="123"/>
      <c r="AI891" s="123"/>
      <c r="AJ891" s="123"/>
    </row>
    <row r="892" ht="15.75" customHeight="1">
      <c r="A892" s="123"/>
      <c r="B892" s="124"/>
      <c r="C892" s="124"/>
      <c r="D892" s="124"/>
      <c r="E892" s="124"/>
      <c r="F892" s="125"/>
      <c r="G892" s="124"/>
      <c r="H892" s="124"/>
      <c r="I892" s="125"/>
      <c r="J892" s="123"/>
      <c r="K892" s="124"/>
      <c r="L892" s="125"/>
      <c r="M892" s="124"/>
      <c r="N892" s="124"/>
      <c r="O892" s="124"/>
      <c r="P892" s="124"/>
      <c r="Q892" s="124"/>
      <c r="R892" s="123"/>
      <c r="S892" s="123"/>
      <c r="T892" s="123"/>
      <c r="U892" s="123"/>
      <c r="V892" s="123"/>
      <c r="W892" s="123"/>
      <c r="X892" s="123"/>
      <c r="Y892" s="123"/>
      <c r="Z892" s="123"/>
      <c r="AA892" s="123"/>
      <c r="AB892" s="123"/>
      <c r="AC892" s="123"/>
      <c r="AD892" s="123"/>
      <c r="AE892" s="123"/>
      <c r="AF892" s="123"/>
      <c r="AG892" s="123"/>
      <c r="AH892" s="123"/>
      <c r="AI892" s="123"/>
      <c r="AJ892" s="123"/>
    </row>
    <row r="893" ht="15.75" customHeight="1">
      <c r="A893" s="123"/>
      <c r="B893" s="124"/>
      <c r="C893" s="124"/>
      <c r="D893" s="124"/>
      <c r="E893" s="124"/>
      <c r="F893" s="125"/>
      <c r="G893" s="124"/>
      <c r="H893" s="124"/>
      <c r="I893" s="125"/>
      <c r="J893" s="123"/>
      <c r="K893" s="124"/>
      <c r="L893" s="125"/>
      <c r="M893" s="124"/>
      <c r="N893" s="124"/>
      <c r="O893" s="124"/>
      <c r="P893" s="124"/>
      <c r="Q893" s="124"/>
      <c r="R893" s="123"/>
      <c r="S893" s="123"/>
      <c r="T893" s="123"/>
      <c r="U893" s="123"/>
      <c r="V893" s="123"/>
      <c r="W893" s="123"/>
      <c r="X893" s="123"/>
      <c r="Y893" s="123"/>
      <c r="Z893" s="123"/>
      <c r="AA893" s="123"/>
      <c r="AB893" s="123"/>
      <c r="AC893" s="123"/>
      <c r="AD893" s="123"/>
      <c r="AE893" s="123"/>
      <c r="AF893" s="123"/>
      <c r="AG893" s="123"/>
      <c r="AH893" s="123"/>
      <c r="AI893" s="123"/>
      <c r="AJ893" s="123"/>
    </row>
    <row r="894" ht="15.75" customHeight="1">
      <c r="A894" s="123"/>
      <c r="B894" s="124"/>
      <c r="C894" s="124"/>
      <c r="D894" s="124"/>
      <c r="E894" s="124"/>
      <c r="F894" s="125"/>
      <c r="G894" s="124"/>
      <c r="H894" s="124"/>
      <c r="I894" s="125"/>
      <c r="J894" s="123"/>
      <c r="K894" s="124"/>
      <c r="L894" s="125"/>
      <c r="M894" s="124"/>
      <c r="N894" s="124"/>
      <c r="O894" s="124"/>
      <c r="P894" s="124"/>
      <c r="Q894" s="124"/>
      <c r="R894" s="123"/>
      <c r="S894" s="123"/>
      <c r="T894" s="123"/>
      <c r="U894" s="123"/>
      <c r="V894" s="123"/>
      <c r="W894" s="123"/>
      <c r="X894" s="123"/>
      <c r="Y894" s="123"/>
      <c r="Z894" s="123"/>
      <c r="AA894" s="123"/>
      <c r="AB894" s="123"/>
      <c r="AC894" s="123"/>
      <c r="AD894" s="123"/>
      <c r="AE894" s="123"/>
      <c r="AF894" s="123"/>
      <c r="AG894" s="123"/>
      <c r="AH894" s="123"/>
      <c r="AI894" s="123"/>
      <c r="AJ894" s="123"/>
    </row>
    <row r="895" ht="15.75" customHeight="1">
      <c r="A895" s="123"/>
      <c r="B895" s="124"/>
      <c r="C895" s="124"/>
      <c r="D895" s="124"/>
      <c r="E895" s="124"/>
      <c r="F895" s="125"/>
      <c r="G895" s="124"/>
      <c r="H895" s="124"/>
      <c r="I895" s="125"/>
      <c r="J895" s="123"/>
      <c r="K895" s="124"/>
      <c r="L895" s="125"/>
      <c r="M895" s="124"/>
      <c r="N895" s="124"/>
      <c r="O895" s="124"/>
      <c r="P895" s="124"/>
      <c r="Q895" s="124"/>
      <c r="R895" s="123"/>
      <c r="S895" s="123"/>
      <c r="T895" s="123"/>
      <c r="U895" s="123"/>
      <c r="V895" s="123"/>
      <c r="W895" s="123"/>
      <c r="X895" s="123"/>
      <c r="Y895" s="123"/>
      <c r="Z895" s="123"/>
      <c r="AA895" s="123"/>
      <c r="AB895" s="123"/>
      <c r="AC895" s="123"/>
      <c r="AD895" s="123"/>
      <c r="AE895" s="123"/>
      <c r="AF895" s="123"/>
      <c r="AG895" s="123"/>
      <c r="AH895" s="123"/>
      <c r="AI895" s="123"/>
      <c r="AJ895" s="123"/>
    </row>
    <row r="896" ht="15.75" customHeight="1">
      <c r="A896" s="123"/>
      <c r="B896" s="124"/>
      <c r="C896" s="124"/>
      <c r="D896" s="124"/>
      <c r="E896" s="124"/>
      <c r="F896" s="125"/>
      <c r="G896" s="124"/>
      <c r="H896" s="124"/>
      <c r="I896" s="125"/>
      <c r="J896" s="123"/>
      <c r="K896" s="124"/>
      <c r="L896" s="125"/>
      <c r="M896" s="124"/>
      <c r="N896" s="124"/>
      <c r="O896" s="124"/>
      <c r="P896" s="124"/>
      <c r="Q896" s="124"/>
      <c r="R896" s="123"/>
      <c r="S896" s="123"/>
      <c r="T896" s="123"/>
      <c r="U896" s="123"/>
      <c r="V896" s="123"/>
      <c r="W896" s="123"/>
      <c r="X896" s="123"/>
      <c r="Y896" s="123"/>
      <c r="Z896" s="123"/>
      <c r="AA896" s="123"/>
      <c r="AB896" s="123"/>
      <c r="AC896" s="123"/>
      <c r="AD896" s="123"/>
      <c r="AE896" s="123"/>
      <c r="AF896" s="123"/>
      <c r="AG896" s="123"/>
      <c r="AH896" s="123"/>
      <c r="AI896" s="123"/>
      <c r="AJ896" s="123"/>
    </row>
    <row r="897" ht="15.75" customHeight="1">
      <c r="A897" s="123"/>
      <c r="B897" s="124"/>
      <c r="C897" s="124"/>
      <c r="D897" s="124"/>
      <c r="E897" s="124"/>
      <c r="F897" s="125"/>
      <c r="G897" s="124"/>
      <c r="H897" s="124"/>
      <c r="I897" s="125"/>
      <c r="J897" s="123"/>
      <c r="K897" s="124"/>
      <c r="L897" s="125"/>
      <c r="M897" s="124"/>
      <c r="N897" s="124"/>
      <c r="O897" s="124"/>
      <c r="P897" s="124"/>
      <c r="Q897" s="124"/>
      <c r="R897" s="123"/>
      <c r="S897" s="123"/>
      <c r="T897" s="123"/>
      <c r="U897" s="123"/>
      <c r="V897" s="123"/>
      <c r="W897" s="123"/>
      <c r="X897" s="123"/>
      <c r="Y897" s="123"/>
      <c r="Z897" s="123"/>
      <c r="AA897" s="123"/>
      <c r="AB897" s="123"/>
      <c r="AC897" s="123"/>
      <c r="AD897" s="123"/>
      <c r="AE897" s="123"/>
      <c r="AF897" s="123"/>
      <c r="AG897" s="123"/>
      <c r="AH897" s="123"/>
      <c r="AI897" s="123"/>
      <c r="AJ897" s="123"/>
    </row>
    <row r="898" ht="15.75" customHeight="1">
      <c r="A898" s="123"/>
      <c r="B898" s="124"/>
      <c r="C898" s="124"/>
      <c r="D898" s="124"/>
      <c r="E898" s="124"/>
      <c r="F898" s="125"/>
      <c r="G898" s="124"/>
      <c r="H898" s="124"/>
      <c r="I898" s="125"/>
      <c r="J898" s="123"/>
      <c r="K898" s="124"/>
      <c r="L898" s="125"/>
      <c r="M898" s="124"/>
      <c r="N898" s="124"/>
      <c r="O898" s="124"/>
      <c r="P898" s="124"/>
      <c r="Q898" s="124"/>
      <c r="R898" s="123"/>
      <c r="S898" s="123"/>
      <c r="T898" s="123"/>
      <c r="U898" s="123"/>
      <c r="V898" s="123"/>
      <c r="W898" s="123"/>
      <c r="X898" s="123"/>
      <c r="Y898" s="123"/>
      <c r="Z898" s="123"/>
      <c r="AA898" s="123"/>
      <c r="AB898" s="123"/>
      <c r="AC898" s="123"/>
      <c r="AD898" s="123"/>
      <c r="AE898" s="123"/>
      <c r="AF898" s="123"/>
      <c r="AG898" s="123"/>
      <c r="AH898" s="123"/>
      <c r="AI898" s="123"/>
      <c r="AJ898" s="123"/>
    </row>
    <row r="899" ht="15.75" customHeight="1">
      <c r="A899" s="123"/>
      <c r="B899" s="124"/>
      <c r="C899" s="124"/>
      <c r="D899" s="124"/>
      <c r="E899" s="124"/>
      <c r="F899" s="125"/>
      <c r="G899" s="124"/>
      <c r="H899" s="124"/>
      <c r="I899" s="125"/>
      <c r="J899" s="123"/>
      <c r="K899" s="124"/>
      <c r="L899" s="125"/>
      <c r="M899" s="124"/>
      <c r="N899" s="124"/>
      <c r="O899" s="124"/>
      <c r="P899" s="124"/>
      <c r="Q899" s="124"/>
      <c r="R899" s="123"/>
      <c r="S899" s="123"/>
      <c r="T899" s="123"/>
      <c r="U899" s="123"/>
      <c r="V899" s="123"/>
      <c r="W899" s="123"/>
      <c r="X899" s="123"/>
      <c r="Y899" s="123"/>
      <c r="Z899" s="123"/>
      <c r="AA899" s="123"/>
      <c r="AB899" s="123"/>
      <c r="AC899" s="123"/>
      <c r="AD899" s="123"/>
      <c r="AE899" s="123"/>
      <c r="AF899" s="123"/>
      <c r="AG899" s="123"/>
      <c r="AH899" s="123"/>
      <c r="AI899" s="123"/>
      <c r="AJ899" s="123"/>
    </row>
    <row r="900" ht="15.75" customHeight="1">
      <c r="A900" s="123"/>
      <c r="B900" s="124"/>
      <c r="C900" s="124"/>
      <c r="D900" s="124"/>
      <c r="E900" s="124"/>
      <c r="F900" s="125"/>
      <c r="G900" s="124"/>
      <c r="H900" s="124"/>
      <c r="I900" s="125"/>
      <c r="J900" s="123"/>
      <c r="K900" s="124"/>
      <c r="L900" s="125"/>
      <c r="M900" s="124"/>
      <c r="N900" s="124"/>
      <c r="O900" s="124"/>
      <c r="P900" s="124"/>
      <c r="Q900" s="124"/>
      <c r="R900" s="123"/>
      <c r="S900" s="123"/>
      <c r="T900" s="123"/>
      <c r="U900" s="123"/>
      <c r="V900" s="123"/>
      <c r="W900" s="123"/>
      <c r="X900" s="123"/>
      <c r="Y900" s="123"/>
      <c r="Z900" s="123"/>
      <c r="AA900" s="123"/>
      <c r="AB900" s="123"/>
      <c r="AC900" s="123"/>
      <c r="AD900" s="123"/>
      <c r="AE900" s="123"/>
      <c r="AF900" s="123"/>
      <c r="AG900" s="123"/>
      <c r="AH900" s="123"/>
      <c r="AI900" s="123"/>
      <c r="AJ900" s="123"/>
    </row>
    <row r="901" ht="15.75" customHeight="1">
      <c r="A901" s="123"/>
      <c r="B901" s="124"/>
      <c r="C901" s="124"/>
      <c r="D901" s="124"/>
      <c r="E901" s="124"/>
      <c r="F901" s="125"/>
      <c r="G901" s="124"/>
      <c r="H901" s="124"/>
      <c r="I901" s="125"/>
      <c r="J901" s="123"/>
      <c r="K901" s="124"/>
      <c r="L901" s="125"/>
      <c r="M901" s="124"/>
      <c r="N901" s="124"/>
      <c r="O901" s="124"/>
      <c r="P901" s="124"/>
      <c r="Q901" s="124"/>
      <c r="R901" s="123"/>
      <c r="S901" s="123"/>
      <c r="T901" s="123"/>
      <c r="U901" s="123"/>
      <c r="V901" s="123"/>
      <c r="W901" s="123"/>
      <c r="X901" s="123"/>
      <c r="Y901" s="123"/>
      <c r="Z901" s="123"/>
      <c r="AA901" s="123"/>
      <c r="AB901" s="123"/>
      <c r="AC901" s="123"/>
      <c r="AD901" s="123"/>
      <c r="AE901" s="123"/>
      <c r="AF901" s="123"/>
      <c r="AG901" s="123"/>
      <c r="AH901" s="123"/>
      <c r="AI901" s="123"/>
      <c r="AJ901" s="123"/>
    </row>
    <row r="902" ht="15.75" customHeight="1">
      <c r="A902" s="123"/>
      <c r="B902" s="124"/>
      <c r="C902" s="124"/>
      <c r="D902" s="124"/>
      <c r="E902" s="124"/>
      <c r="F902" s="125"/>
      <c r="G902" s="124"/>
      <c r="H902" s="124"/>
      <c r="I902" s="125"/>
      <c r="J902" s="123"/>
      <c r="K902" s="124"/>
      <c r="L902" s="125"/>
      <c r="M902" s="124"/>
      <c r="N902" s="124"/>
      <c r="O902" s="124"/>
      <c r="P902" s="124"/>
      <c r="Q902" s="124"/>
      <c r="R902" s="123"/>
      <c r="S902" s="123"/>
      <c r="T902" s="123"/>
      <c r="U902" s="123"/>
      <c r="V902" s="123"/>
      <c r="W902" s="123"/>
      <c r="X902" s="123"/>
      <c r="Y902" s="123"/>
      <c r="Z902" s="123"/>
      <c r="AA902" s="123"/>
      <c r="AB902" s="123"/>
      <c r="AC902" s="123"/>
      <c r="AD902" s="123"/>
      <c r="AE902" s="123"/>
      <c r="AF902" s="123"/>
      <c r="AG902" s="123"/>
      <c r="AH902" s="123"/>
      <c r="AI902" s="123"/>
      <c r="AJ902" s="123"/>
    </row>
    <row r="903" ht="15.75" customHeight="1">
      <c r="A903" s="123"/>
      <c r="B903" s="124"/>
      <c r="C903" s="124"/>
      <c r="D903" s="124"/>
      <c r="E903" s="124"/>
      <c r="F903" s="125"/>
      <c r="G903" s="124"/>
      <c r="H903" s="124"/>
      <c r="I903" s="125"/>
      <c r="J903" s="123"/>
      <c r="K903" s="124"/>
      <c r="L903" s="125"/>
      <c r="M903" s="124"/>
      <c r="N903" s="124"/>
      <c r="O903" s="124"/>
      <c r="P903" s="124"/>
      <c r="Q903" s="124"/>
      <c r="R903" s="123"/>
      <c r="S903" s="123"/>
      <c r="T903" s="123"/>
      <c r="U903" s="123"/>
      <c r="V903" s="123"/>
      <c r="W903" s="123"/>
      <c r="X903" s="123"/>
      <c r="Y903" s="123"/>
      <c r="Z903" s="123"/>
      <c r="AA903" s="123"/>
      <c r="AB903" s="123"/>
      <c r="AC903" s="123"/>
      <c r="AD903" s="123"/>
      <c r="AE903" s="123"/>
      <c r="AF903" s="123"/>
      <c r="AG903" s="123"/>
      <c r="AH903" s="123"/>
      <c r="AI903" s="123"/>
      <c r="AJ903" s="123"/>
    </row>
    <row r="904" ht="15.75" customHeight="1">
      <c r="A904" s="123"/>
      <c r="B904" s="124"/>
      <c r="C904" s="124"/>
      <c r="D904" s="124"/>
      <c r="E904" s="124"/>
      <c r="F904" s="125"/>
      <c r="G904" s="124"/>
      <c r="H904" s="124"/>
      <c r="I904" s="125"/>
      <c r="J904" s="123"/>
      <c r="K904" s="124"/>
      <c r="L904" s="125"/>
      <c r="M904" s="124"/>
      <c r="N904" s="124"/>
      <c r="O904" s="124"/>
      <c r="P904" s="124"/>
      <c r="Q904" s="124"/>
      <c r="R904" s="123"/>
      <c r="S904" s="123"/>
      <c r="T904" s="123"/>
      <c r="U904" s="123"/>
      <c r="V904" s="123"/>
      <c r="W904" s="123"/>
      <c r="X904" s="123"/>
      <c r="Y904" s="123"/>
      <c r="Z904" s="123"/>
      <c r="AA904" s="123"/>
      <c r="AB904" s="123"/>
      <c r="AC904" s="123"/>
      <c r="AD904" s="123"/>
      <c r="AE904" s="123"/>
      <c r="AF904" s="123"/>
      <c r="AG904" s="123"/>
      <c r="AH904" s="123"/>
      <c r="AI904" s="123"/>
      <c r="AJ904" s="123"/>
    </row>
    <row r="905" ht="15.75" customHeight="1">
      <c r="A905" s="123"/>
      <c r="B905" s="124"/>
      <c r="C905" s="124"/>
      <c r="D905" s="124"/>
      <c r="E905" s="124"/>
      <c r="F905" s="125"/>
      <c r="G905" s="124"/>
      <c r="H905" s="124"/>
      <c r="I905" s="125"/>
      <c r="J905" s="123"/>
      <c r="K905" s="124"/>
      <c r="L905" s="125"/>
      <c r="M905" s="124"/>
      <c r="N905" s="124"/>
      <c r="O905" s="124"/>
      <c r="P905" s="124"/>
      <c r="Q905" s="124"/>
      <c r="R905" s="123"/>
      <c r="S905" s="123"/>
      <c r="T905" s="123"/>
      <c r="U905" s="123"/>
      <c r="V905" s="123"/>
      <c r="W905" s="123"/>
      <c r="X905" s="123"/>
      <c r="Y905" s="123"/>
      <c r="Z905" s="123"/>
      <c r="AA905" s="123"/>
      <c r="AB905" s="123"/>
      <c r="AC905" s="123"/>
      <c r="AD905" s="123"/>
      <c r="AE905" s="123"/>
      <c r="AF905" s="123"/>
      <c r="AG905" s="123"/>
      <c r="AH905" s="123"/>
      <c r="AI905" s="123"/>
      <c r="AJ905" s="123"/>
    </row>
    <row r="906" ht="15.75" customHeight="1">
      <c r="A906" s="123"/>
      <c r="B906" s="124"/>
      <c r="C906" s="124"/>
      <c r="D906" s="124"/>
      <c r="E906" s="124"/>
      <c r="F906" s="125"/>
      <c r="G906" s="124"/>
      <c r="H906" s="124"/>
      <c r="I906" s="125"/>
      <c r="J906" s="123"/>
      <c r="K906" s="124"/>
      <c r="L906" s="125"/>
      <c r="M906" s="124"/>
      <c r="N906" s="124"/>
      <c r="O906" s="124"/>
      <c r="P906" s="124"/>
      <c r="Q906" s="124"/>
      <c r="R906" s="123"/>
      <c r="S906" s="123"/>
      <c r="T906" s="123"/>
      <c r="U906" s="123"/>
      <c r="V906" s="123"/>
      <c r="W906" s="123"/>
      <c r="X906" s="123"/>
      <c r="Y906" s="123"/>
      <c r="Z906" s="123"/>
      <c r="AA906" s="123"/>
      <c r="AB906" s="123"/>
      <c r="AC906" s="123"/>
      <c r="AD906" s="123"/>
      <c r="AE906" s="123"/>
      <c r="AF906" s="123"/>
      <c r="AG906" s="123"/>
      <c r="AH906" s="123"/>
      <c r="AI906" s="123"/>
      <c r="AJ906" s="123"/>
    </row>
    <row r="907" ht="15.75" customHeight="1">
      <c r="A907" s="123"/>
      <c r="B907" s="124"/>
      <c r="C907" s="124"/>
      <c r="D907" s="124"/>
      <c r="E907" s="124"/>
      <c r="F907" s="125"/>
      <c r="G907" s="124"/>
      <c r="H907" s="124"/>
      <c r="I907" s="125"/>
      <c r="J907" s="123"/>
      <c r="K907" s="124"/>
      <c r="L907" s="125"/>
      <c r="M907" s="124"/>
      <c r="N907" s="124"/>
      <c r="O907" s="124"/>
      <c r="P907" s="124"/>
      <c r="Q907" s="124"/>
      <c r="R907" s="123"/>
      <c r="S907" s="123"/>
      <c r="T907" s="123"/>
      <c r="U907" s="123"/>
      <c r="V907" s="123"/>
      <c r="W907" s="123"/>
      <c r="X907" s="123"/>
      <c r="Y907" s="123"/>
      <c r="Z907" s="123"/>
      <c r="AA907" s="123"/>
      <c r="AB907" s="123"/>
      <c r="AC907" s="123"/>
      <c r="AD907" s="123"/>
      <c r="AE907" s="123"/>
      <c r="AF907" s="123"/>
      <c r="AG907" s="123"/>
      <c r="AH907" s="123"/>
      <c r="AI907" s="123"/>
      <c r="AJ907" s="123"/>
    </row>
    <row r="908" ht="15.75" customHeight="1">
      <c r="A908" s="123"/>
      <c r="B908" s="124"/>
      <c r="C908" s="124"/>
      <c r="D908" s="124"/>
      <c r="E908" s="124"/>
      <c r="F908" s="125"/>
      <c r="G908" s="124"/>
      <c r="H908" s="124"/>
      <c r="I908" s="125"/>
      <c r="J908" s="123"/>
      <c r="K908" s="124"/>
      <c r="L908" s="125"/>
      <c r="M908" s="124"/>
      <c r="N908" s="124"/>
      <c r="O908" s="124"/>
      <c r="P908" s="124"/>
      <c r="Q908" s="124"/>
      <c r="R908" s="123"/>
      <c r="S908" s="123"/>
      <c r="T908" s="123"/>
      <c r="U908" s="123"/>
      <c r="V908" s="123"/>
      <c r="W908" s="123"/>
      <c r="X908" s="123"/>
      <c r="Y908" s="123"/>
      <c r="Z908" s="123"/>
      <c r="AA908" s="123"/>
      <c r="AB908" s="123"/>
      <c r="AC908" s="123"/>
      <c r="AD908" s="123"/>
      <c r="AE908" s="123"/>
      <c r="AF908" s="123"/>
      <c r="AG908" s="123"/>
      <c r="AH908" s="123"/>
      <c r="AI908" s="123"/>
      <c r="AJ908" s="123"/>
    </row>
    <row r="909" ht="15.75" customHeight="1">
      <c r="A909" s="123"/>
      <c r="B909" s="124"/>
      <c r="C909" s="124"/>
      <c r="D909" s="124"/>
      <c r="E909" s="124"/>
      <c r="F909" s="125"/>
      <c r="G909" s="124"/>
      <c r="H909" s="124"/>
      <c r="I909" s="125"/>
      <c r="J909" s="123"/>
      <c r="K909" s="124"/>
      <c r="L909" s="125"/>
      <c r="M909" s="124"/>
      <c r="N909" s="124"/>
      <c r="O909" s="124"/>
      <c r="P909" s="124"/>
      <c r="Q909" s="124"/>
      <c r="R909" s="123"/>
      <c r="S909" s="123"/>
      <c r="T909" s="123"/>
      <c r="U909" s="123"/>
      <c r="V909" s="123"/>
      <c r="W909" s="123"/>
      <c r="X909" s="123"/>
      <c r="Y909" s="123"/>
      <c r="Z909" s="123"/>
      <c r="AA909" s="123"/>
      <c r="AB909" s="123"/>
      <c r="AC909" s="123"/>
      <c r="AD909" s="123"/>
      <c r="AE909" s="123"/>
      <c r="AF909" s="123"/>
      <c r="AG909" s="123"/>
      <c r="AH909" s="123"/>
      <c r="AI909" s="123"/>
      <c r="AJ909" s="123"/>
    </row>
    <row r="910" ht="15.75" customHeight="1">
      <c r="A910" s="123"/>
      <c r="B910" s="124"/>
      <c r="C910" s="124"/>
      <c r="D910" s="124"/>
      <c r="E910" s="124"/>
      <c r="F910" s="125"/>
      <c r="G910" s="124"/>
      <c r="H910" s="124"/>
      <c r="I910" s="125"/>
      <c r="J910" s="123"/>
      <c r="K910" s="124"/>
      <c r="L910" s="125"/>
      <c r="M910" s="124"/>
      <c r="N910" s="124"/>
      <c r="O910" s="124"/>
      <c r="P910" s="124"/>
      <c r="Q910" s="124"/>
      <c r="R910" s="123"/>
      <c r="S910" s="123"/>
      <c r="T910" s="123"/>
      <c r="U910" s="123"/>
      <c r="V910" s="123"/>
      <c r="W910" s="123"/>
      <c r="X910" s="123"/>
      <c r="Y910" s="123"/>
      <c r="Z910" s="123"/>
      <c r="AA910" s="123"/>
      <c r="AB910" s="123"/>
      <c r="AC910" s="123"/>
      <c r="AD910" s="123"/>
      <c r="AE910" s="123"/>
      <c r="AF910" s="123"/>
      <c r="AG910" s="123"/>
      <c r="AH910" s="123"/>
      <c r="AI910" s="123"/>
      <c r="AJ910" s="123"/>
    </row>
    <row r="911" ht="15.75" customHeight="1">
      <c r="A911" s="123"/>
      <c r="B911" s="124"/>
      <c r="C911" s="124"/>
      <c r="D911" s="124"/>
      <c r="E911" s="124"/>
      <c r="F911" s="125"/>
      <c r="G911" s="124"/>
      <c r="H911" s="124"/>
      <c r="I911" s="125"/>
      <c r="J911" s="123"/>
      <c r="K911" s="124"/>
      <c r="L911" s="125"/>
      <c r="M911" s="124"/>
      <c r="N911" s="124"/>
      <c r="O911" s="124"/>
      <c r="P911" s="124"/>
      <c r="Q911" s="124"/>
      <c r="R911" s="123"/>
      <c r="S911" s="123"/>
      <c r="T911" s="123"/>
      <c r="U911" s="123"/>
      <c r="V911" s="123"/>
      <c r="W911" s="123"/>
      <c r="X911" s="123"/>
      <c r="Y911" s="123"/>
      <c r="Z911" s="123"/>
      <c r="AA911" s="123"/>
      <c r="AB911" s="123"/>
      <c r="AC911" s="123"/>
      <c r="AD911" s="123"/>
      <c r="AE911" s="123"/>
      <c r="AF911" s="123"/>
      <c r="AG911" s="123"/>
      <c r="AH911" s="123"/>
      <c r="AI911" s="123"/>
      <c r="AJ911" s="123"/>
    </row>
    <row r="912" ht="15.75" customHeight="1">
      <c r="A912" s="123"/>
      <c r="B912" s="124"/>
      <c r="C912" s="124"/>
      <c r="D912" s="124"/>
      <c r="E912" s="124"/>
      <c r="F912" s="125"/>
      <c r="G912" s="124"/>
      <c r="H912" s="124"/>
      <c r="I912" s="125"/>
      <c r="J912" s="123"/>
      <c r="K912" s="124"/>
      <c r="L912" s="125"/>
      <c r="M912" s="124"/>
      <c r="N912" s="124"/>
      <c r="O912" s="124"/>
      <c r="P912" s="124"/>
      <c r="Q912" s="124"/>
      <c r="R912" s="123"/>
      <c r="S912" s="123"/>
      <c r="T912" s="123"/>
      <c r="U912" s="123"/>
      <c r="V912" s="123"/>
      <c r="W912" s="123"/>
      <c r="X912" s="123"/>
      <c r="Y912" s="123"/>
      <c r="Z912" s="123"/>
      <c r="AA912" s="123"/>
      <c r="AB912" s="123"/>
      <c r="AC912" s="123"/>
      <c r="AD912" s="123"/>
      <c r="AE912" s="123"/>
      <c r="AF912" s="123"/>
      <c r="AG912" s="123"/>
      <c r="AH912" s="123"/>
      <c r="AI912" s="123"/>
      <c r="AJ912" s="123"/>
    </row>
    <row r="913" ht="15.75" customHeight="1">
      <c r="A913" s="123"/>
      <c r="B913" s="124"/>
      <c r="C913" s="124"/>
      <c r="D913" s="124"/>
      <c r="E913" s="124"/>
      <c r="F913" s="125"/>
      <c r="G913" s="124"/>
      <c r="H913" s="124"/>
      <c r="I913" s="125"/>
      <c r="J913" s="123"/>
      <c r="K913" s="124"/>
      <c r="L913" s="125"/>
      <c r="M913" s="124"/>
      <c r="N913" s="124"/>
      <c r="O913" s="124"/>
      <c r="P913" s="124"/>
      <c r="Q913" s="124"/>
      <c r="R913" s="123"/>
      <c r="S913" s="123"/>
      <c r="T913" s="123"/>
      <c r="U913" s="123"/>
      <c r="V913" s="123"/>
      <c r="W913" s="123"/>
      <c r="X913" s="123"/>
      <c r="Y913" s="123"/>
      <c r="Z913" s="123"/>
      <c r="AA913" s="123"/>
      <c r="AB913" s="123"/>
      <c r="AC913" s="123"/>
      <c r="AD913" s="123"/>
      <c r="AE913" s="123"/>
      <c r="AF913" s="123"/>
      <c r="AG913" s="123"/>
      <c r="AH913" s="123"/>
      <c r="AI913" s="123"/>
      <c r="AJ913" s="123"/>
    </row>
    <row r="914" ht="15.75" customHeight="1">
      <c r="A914" s="123"/>
      <c r="B914" s="124"/>
      <c r="C914" s="124"/>
      <c r="D914" s="124"/>
      <c r="E914" s="124"/>
      <c r="F914" s="125"/>
      <c r="G914" s="124"/>
      <c r="H914" s="124"/>
      <c r="I914" s="125"/>
      <c r="J914" s="123"/>
      <c r="K914" s="124"/>
      <c r="L914" s="125"/>
      <c r="M914" s="124"/>
      <c r="N914" s="124"/>
      <c r="O914" s="124"/>
      <c r="P914" s="124"/>
      <c r="Q914" s="124"/>
      <c r="R914" s="123"/>
      <c r="S914" s="123"/>
      <c r="T914" s="123"/>
      <c r="U914" s="123"/>
      <c r="V914" s="123"/>
      <c r="W914" s="123"/>
      <c r="X914" s="123"/>
      <c r="Y914" s="123"/>
      <c r="Z914" s="123"/>
      <c r="AA914" s="123"/>
      <c r="AB914" s="123"/>
      <c r="AC914" s="123"/>
      <c r="AD914" s="123"/>
      <c r="AE914" s="123"/>
      <c r="AF914" s="123"/>
      <c r="AG914" s="123"/>
      <c r="AH914" s="123"/>
      <c r="AI914" s="123"/>
      <c r="AJ914" s="123"/>
    </row>
    <row r="915" ht="15.75" customHeight="1">
      <c r="A915" s="123"/>
      <c r="B915" s="124"/>
      <c r="C915" s="124"/>
      <c r="D915" s="124"/>
      <c r="E915" s="124"/>
      <c r="F915" s="125"/>
      <c r="G915" s="124"/>
      <c r="H915" s="124"/>
      <c r="I915" s="125"/>
      <c r="J915" s="123"/>
      <c r="K915" s="124"/>
      <c r="L915" s="125"/>
      <c r="M915" s="124"/>
      <c r="N915" s="124"/>
      <c r="O915" s="124"/>
      <c r="P915" s="124"/>
      <c r="Q915" s="124"/>
      <c r="R915" s="123"/>
      <c r="S915" s="123"/>
      <c r="T915" s="123"/>
      <c r="U915" s="123"/>
      <c r="V915" s="123"/>
      <c r="W915" s="123"/>
      <c r="X915" s="123"/>
      <c r="Y915" s="123"/>
      <c r="Z915" s="123"/>
      <c r="AA915" s="123"/>
      <c r="AB915" s="123"/>
      <c r="AC915" s="123"/>
      <c r="AD915" s="123"/>
      <c r="AE915" s="123"/>
      <c r="AF915" s="123"/>
      <c r="AG915" s="123"/>
      <c r="AH915" s="123"/>
      <c r="AI915" s="123"/>
      <c r="AJ915" s="123"/>
    </row>
    <row r="916" ht="15.75" customHeight="1">
      <c r="A916" s="123"/>
      <c r="B916" s="124"/>
      <c r="C916" s="124"/>
      <c r="D916" s="124"/>
      <c r="E916" s="124"/>
      <c r="F916" s="125"/>
      <c r="G916" s="124"/>
      <c r="H916" s="124"/>
      <c r="I916" s="125"/>
      <c r="J916" s="123"/>
      <c r="K916" s="124"/>
      <c r="L916" s="125"/>
      <c r="M916" s="124"/>
      <c r="N916" s="124"/>
      <c r="O916" s="124"/>
      <c r="P916" s="124"/>
      <c r="Q916" s="124"/>
      <c r="R916" s="123"/>
      <c r="S916" s="123"/>
      <c r="T916" s="123"/>
      <c r="U916" s="123"/>
      <c r="V916" s="123"/>
      <c r="W916" s="123"/>
      <c r="X916" s="123"/>
      <c r="Y916" s="123"/>
      <c r="Z916" s="123"/>
      <c r="AA916" s="123"/>
      <c r="AB916" s="123"/>
      <c r="AC916" s="123"/>
      <c r="AD916" s="123"/>
      <c r="AE916" s="123"/>
      <c r="AF916" s="123"/>
      <c r="AG916" s="123"/>
      <c r="AH916" s="123"/>
      <c r="AI916" s="123"/>
      <c r="AJ916" s="123"/>
    </row>
    <row r="917" ht="15.75" customHeight="1">
      <c r="A917" s="123"/>
      <c r="B917" s="124"/>
      <c r="C917" s="124"/>
      <c r="D917" s="124"/>
      <c r="E917" s="124"/>
      <c r="F917" s="125"/>
      <c r="G917" s="124"/>
      <c r="H917" s="124"/>
      <c r="I917" s="125"/>
      <c r="J917" s="123"/>
      <c r="K917" s="124"/>
      <c r="L917" s="125"/>
      <c r="M917" s="124"/>
      <c r="N917" s="124"/>
      <c r="O917" s="124"/>
      <c r="P917" s="124"/>
      <c r="Q917" s="124"/>
      <c r="R917" s="123"/>
      <c r="S917" s="123"/>
      <c r="T917" s="123"/>
      <c r="U917" s="123"/>
      <c r="V917" s="123"/>
      <c r="W917" s="123"/>
      <c r="X917" s="123"/>
      <c r="Y917" s="123"/>
      <c r="Z917" s="123"/>
      <c r="AA917" s="123"/>
      <c r="AB917" s="123"/>
      <c r="AC917" s="123"/>
      <c r="AD917" s="123"/>
      <c r="AE917" s="123"/>
      <c r="AF917" s="123"/>
      <c r="AG917" s="123"/>
      <c r="AH917" s="123"/>
      <c r="AI917" s="123"/>
      <c r="AJ917" s="123"/>
    </row>
    <row r="918" ht="15.75" customHeight="1">
      <c r="A918" s="123"/>
      <c r="B918" s="124"/>
      <c r="C918" s="124"/>
      <c r="D918" s="124"/>
      <c r="E918" s="124"/>
      <c r="F918" s="125"/>
      <c r="G918" s="124"/>
      <c r="H918" s="124"/>
      <c r="I918" s="125"/>
      <c r="J918" s="123"/>
      <c r="K918" s="124"/>
      <c r="L918" s="125"/>
      <c r="M918" s="124"/>
      <c r="N918" s="124"/>
      <c r="O918" s="124"/>
      <c r="P918" s="124"/>
      <c r="Q918" s="124"/>
      <c r="R918" s="123"/>
      <c r="S918" s="123"/>
      <c r="T918" s="123"/>
      <c r="U918" s="123"/>
      <c r="V918" s="123"/>
      <c r="W918" s="123"/>
      <c r="X918" s="123"/>
      <c r="Y918" s="123"/>
      <c r="Z918" s="123"/>
      <c r="AA918" s="123"/>
      <c r="AB918" s="123"/>
      <c r="AC918" s="123"/>
      <c r="AD918" s="123"/>
      <c r="AE918" s="123"/>
      <c r="AF918" s="123"/>
      <c r="AG918" s="123"/>
      <c r="AH918" s="123"/>
      <c r="AI918" s="123"/>
      <c r="AJ918" s="123"/>
    </row>
    <row r="919" ht="15.75" customHeight="1">
      <c r="A919" s="123"/>
      <c r="B919" s="124"/>
      <c r="C919" s="124"/>
      <c r="D919" s="124"/>
      <c r="E919" s="124"/>
      <c r="F919" s="125"/>
      <c r="G919" s="124"/>
      <c r="H919" s="124"/>
      <c r="I919" s="125"/>
      <c r="J919" s="123"/>
      <c r="K919" s="124"/>
      <c r="L919" s="125"/>
      <c r="M919" s="124"/>
      <c r="N919" s="124"/>
      <c r="O919" s="124"/>
      <c r="P919" s="124"/>
      <c r="Q919" s="124"/>
      <c r="R919" s="123"/>
      <c r="S919" s="123"/>
      <c r="T919" s="123"/>
      <c r="U919" s="123"/>
      <c r="V919" s="123"/>
      <c r="W919" s="123"/>
      <c r="X919" s="123"/>
      <c r="Y919" s="123"/>
      <c r="Z919" s="123"/>
      <c r="AA919" s="123"/>
      <c r="AB919" s="123"/>
      <c r="AC919" s="123"/>
      <c r="AD919" s="123"/>
      <c r="AE919" s="123"/>
      <c r="AF919" s="123"/>
      <c r="AG919" s="123"/>
      <c r="AH919" s="123"/>
      <c r="AI919" s="123"/>
      <c r="AJ919" s="123"/>
    </row>
    <row r="920" ht="15.75" customHeight="1">
      <c r="A920" s="123"/>
      <c r="B920" s="124"/>
      <c r="C920" s="124"/>
      <c r="D920" s="124"/>
      <c r="E920" s="124"/>
      <c r="F920" s="125"/>
      <c r="G920" s="124"/>
      <c r="H920" s="124"/>
      <c r="I920" s="125"/>
      <c r="J920" s="123"/>
      <c r="K920" s="124"/>
      <c r="L920" s="125"/>
      <c r="M920" s="124"/>
      <c r="N920" s="124"/>
      <c r="O920" s="124"/>
      <c r="P920" s="124"/>
      <c r="Q920" s="124"/>
      <c r="R920" s="123"/>
      <c r="S920" s="123"/>
      <c r="T920" s="123"/>
      <c r="U920" s="123"/>
      <c r="V920" s="123"/>
      <c r="W920" s="123"/>
      <c r="X920" s="123"/>
      <c r="Y920" s="123"/>
      <c r="Z920" s="123"/>
      <c r="AA920" s="123"/>
      <c r="AB920" s="123"/>
      <c r="AC920" s="123"/>
      <c r="AD920" s="123"/>
      <c r="AE920" s="123"/>
      <c r="AF920" s="123"/>
      <c r="AG920" s="123"/>
      <c r="AH920" s="123"/>
      <c r="AI920" s="123"/>
      <c r="AJ920" s="123"/>
    </row>
    <row r="921" ht="15.75" customHeight="1">
      <c r="A921" s="123"/>
      <c r="B921" s="124"/>
      <c r="C921" s="124"/>
      <c r="D921" s="124"/>
      <c r="E921" s="124"/>
      <c r="F921" s="125"/>
      <c r="G921" s="124"/>
      <c r="H921" s="124"/>
      <c r="I921" s="125"/>
      <c r="J921" s="123"/>
      <c r="K921" s="124"/>
      <c r="L921" s="125"/>
      <c r="M921" s="124"/>
      <c r="N921" s="124"/>
      <c r="O921" s="124"/>
      <c r="P921" s="124"/>
      <c r="Q921" s="124"/>
      <c r="R921" s="123"/>
      <c r="S921" s="123"/>
      <c r="T921" s="123"/>
      <c r="U921" s="123"/>
      <c r="V921" s="123"/>
      <c r="W921" s="123"/>
      <c r="X921" s="123"/>
      <c r="Y921" s="123"/>
      <c r="Z921" s="123"/>
      <c r="AA921" s="123"/>
      <c r="AB921" s="123"/>
      <c r="AC921" s="123"/>
      <c r="AD921" s="123"/>
      <c r="AE921" s="123"/>
      <c r="AF921" s="123"/>
      <c r="AG921" s="123"/>
      <c r="AH921" s="123"/>
      <c r="AI921" s="123"/>
      <c r="AJ921" s="123"/>
    </row>
    <row r="922" ht="15.75" customHeight="1">
      <c r="A922" s="123"/>
      <c r="B922" s="124"/>
      <c r="C922" s="124"/>
      <c r="D922" s="124"/>
      <c r="E922" s="124"/>
      <c r="F922" s="125"/>
      <c r="G922" s="124"/>
      <c r="H922" s="124"/>
      <c r="I922" s="125"/>
      <c r="J922" s="123"/>
      <c r="K922" s="124"/>
      <c r="L922" s="125"/>
      <c r="M922" s="124"/>
      <c r="N922" s="124"/>
      <c r="O922" s="124"/>
      <c r="P922" s="124"/>
      <c r="Q922" s="124"/>
      <c r="R922" s="123"/>
      <c r="S922" s="123"/>
      <c r="T922" s="123"/>
      <c r="U922" s="123"/>
      <c r="V922" s="123"/>
      <c r="W922" s="123"/>
      <c r="X922" s="123"/>
      <c r="Y922" s="123"/>
      <c r="Z922" s="123"/>
      <c r="AA922" s="123"/>
      <c r="AB922" s="123"/>
      <c r="AC922" s="123"/>
      <c r="AD922" s="123"/>
      <c r="AE922" s="123"/>
      <c r="AF922" s="123"/>
      <c r="AG922" s="123"/>
      <c r="AH922" s="123"/>
      <c r="AI922" s="123"/>
      <c r="AJ922" s="123"/>
    </row>
    <row r="923" ht="15.75" customHeight="1">
      <c r="A923" s="123"/>
      <c r="B923" s="124"/>
      <c r="C923" s="124"/>
      <c r="D923" s="124"/>
      <c r="E923" s="124"/>
      <c r="F923" s="125"/>
      <c r="G923" s="124"/>
      <c r="H923" s="124"/>
      <c r="I923" s="125"/>
      <c r="J923" s="123"/>
      <c r="K923" s="124"/>
      <c r="L923" s="125"/>
      <c r="M923" s="124"/>
      <c r="N923" s="124"/>
      <c r="O923" s="124"/>
      <c r="P923" s="124"/>
      <c r="Q923" s="124"/>
      <c r="R923" s="123"/>
      <c r="S923" s="123"/>
      <c r="T923" s="123"/>
      <c r="U923" s="123"/>
      <c r="V923" s="123"/>
      <c r="W923" s="123"/>
      <c r="X923" s="123"/>
      <c r="Y923" s="123"/>
      <c r="Z923" s="123"/>
      <c r="AA923" s="123"/>
      <c r="AB923" s="123"/>
      <c r="AC923" s="123"/>
      <c r="AD923" s="123"/>
      <c r="AE923" s="123"/>
      <c r="AF923" s="123"/>
      <c r="AG923" s="123"/>
      <c r="AH923" s="123"/>
      <c r="AI923" s="123"/>
      <c r="AJ923" s="123"/>
    </row>
    <row r="924" ht="15.75" customHeight="1">
      <c r="A924" s="123"/>
      <c r="B924" s="124"/>
      <c r="C924" s="124"/>
      <c r="D924" s="124"/>
      <c r="E924" s="124"/>
      <c r="F924" s="125"/>
      <c r="G924" s="124"/>
      <c r="H924" s="124"/>
      <c r="I924" s="125"/>
      <c r="J924" s="123"/>
      <c r="K924" s="124"/>
      <c r="L924" s="125"/>
      <c r="M924" s="124"/>
      <c r="N924" s="124"/>
      <c r="O924" s="124"/>
      <c r="P924" s="124"/>
      <c r="Q924" s="124"/>
      <c r="R924" s="123"/>
      <c r="S924" s="123"/>
      <c r="T924" s="123"/>
      <c r="U924" s="123"/>
      <c r="V924" s="123"/>
      <c r="W924" s="123"/>
      <c r="X924" s="123"/>
      <c r="Y924" s="123"/>
      <c r="Z924" s="123"/>
      <c r="AA924" s="123"/>
      <c r="AB924" s="123"/>
      <c r="AC924" s="123"/>
      <c r="AD924" s="123"/>
      <c r="AE924" s="123"/>
      <c r="AF924" s="123"/>
      <c r="AG924" s="123"/>
      <c r="AH924" s="123"/>
      <c r="AI924" s="123"/>
      <c r="AJ924" s="123"/>
    </row>
    <row r="925" ht="15.75" customHeight="1">
      <c r="A925" s="123"/>
      <c r="B925" s="124"/>
      <c r="C925" s="124"/>
      <c r="D925" s="124"/>
      <c r="E925" s="124"/>
      <c r="F925" s="125"/>
      <c r="G925" s="124"/>
      <c r="H925" s="124"/>
      <c r="I925" s="125"/>
      <c r="J925" s="123"/>
      <c r="K925" s="124"/>
      <c r="L925" s="125"/>
      <c r="M925" s="124"/>
      <c r="N925" s="124"/>
      <c r="O925" s="124"/>
      <c r="P925" s="124"/>
      <c r="Q925" s="124"/>
      <c r="R925" s="123"/>
      <c r="S925" s="123"/>
      <c r="T925" s="123"/>
      <c r="U925" s="123"/>
      <c r="V925" s="123"/>
      <c r="W925" s="123"/>
      <c r="X925" s="123"/>
      <c r="Y925" s="123"/>
      <c r="Z925" s="123"/>
      <c r="AA925" s="123"/>
      <c r="AB925" s="123"/>
      <c r="AC925" s="123"/>
      <c r="AD925" s="123"/>
      <c r="AE925" s="123"/>
      <c r="AF925" s="123"/>
      <c r="AG925" s="123"/>
      <c r="AH925" s="123"/>
      <c r="AI925" s="123"/>
      <c r="AJ925" s="123"/>
    </row>
    <row r="926" ht="15.75" customHeight="1">
      <c r="A926" s="123"/>
      <c r="B926" s="124"/>
      <c r="C926" s="124"/>
      <c r="D926" s="124"/>
      <c r="E926" s="124"/>
      <c r="F926" s="125"/>
      <c r="G926" s="124"/>
      <c r="H926" s="124"/>
      <c r="I926" s="125"/>
      <c r="J926" s="123"/>
      <c r="K926" s="124"/>
      <c r="L926" s="125"/>
      <c r="M926" s="124"/>
      <c r="N926" s="124"/>
      <c r="O926" s="124"/>
      <c r="P926" s="124"/>
      <c r="Q926" s="124"/>
      <c r="R926" s="123"/>
      <c r="S926" s="123"/>
      <c r="T926" s="123"/>
      <c r="U926" s="123"/>
      <c r="V926" s="123"/>
      <c r="W926" s="123"/>
      <c r="X926" s="123"/>
      <c r="Y926" s="123"/>
      <c r="Z926" s="123"/>
      <c r="AA926" s="123"/>
      <c r="AB926" s="123"/>
      <c r="AC926" s="123"/>
      <c r="AD926" s="123"/>
      <c r="AE926" s="123"/>
      <c r="AF926" s="123"/>
      <c r="AG926" s="123"/>
      <c r="AH926" s="123"/>
      <c r="AI926" s="123"/>
      <c r="AJ926" s="123"/>
    </row>
    <row r="927" ht="15.75" customHeight="1">
      <c r="A927" s="123"/>
      <c r="B927" s="124"/>
      <c r="C927" s="124"/>
      <c r="D927" s="124"/>
      <c r="E927" s="124"/>
      <c r="F927" s="125"/>
      <c r="G927" s="124"/>
      <c r="H927" s="124"/>
      <c r="I927" s="125"/>
      <c r="J927" s="123"/>
      <c r="K927" s="124"/>
      <c r="L927" s="125"/>
      <c r="M927" s="124"/>
      <c r="N927" s="124"/>
      <c r="O927" s="124"/>
      <c r="P927" s="124"/>
      <c r="Q927" s="124"/>
      <c r="R927" s="123"/>
      <c r="S927" s="123"/>
      <c r="T927" s="123"/>
      <c r="U927" s="123"/>
      <c r="V927" s="123"/>
      <c r="W927" s="123"/>
      <c r="X927" s="123"/>
      <c r="Y927" s="123"/>
      <c r="Z927" s="123"/>
      <c r="AA927" s="123"/>
      <c r="AB927" s="123"/>
      <c r="AC927" s="123"/>
      <c r="AD927" s="123"/>
      <c r="AE927" s="123"/>
      <c r="AF927" s="123"/>
      <c r="AG927" s="123"/>
      <c r="AH927" s="123"/>
      <c r="AI927" s="123"/>
      <c r="AJ927" s="123"/>
    </row>
    <row r="928" ht="15.75" customHeight="1">
      <c r="A928" s="123"/>
      <c r="B928" s="124"/>
      <c r="C928" s="124"/>
      <c r="D928" s="124"/>
      <c r="E928" s="124"/>
      <c r="F928" s="125"/>
      <c r="G928" s="124"/>
      <c r="H928" s="124"/>
      <c r="I928" s="125"/>
      <c r="J928" s="123"/>
      <c r="K928" s="124"/>
      <c r="L928" s="125"/>
      <c r="M928" s="124"/>
      <c r="N928" s="124"/>
      <c r="O928" s="124"/>
      <c r="P928" s="124"/>
      <c r="Q928" s="124"/>
      <c r="R928" s="123"/>
      <c r="S928" s="123"/>
      <c r="T928" s="123"/>
      <c r="U928" s="123"/>
      <c r="V928" s="123"/>
      <c r="W928" s="123"/>
      <c r="X928" s="123"/>
      <c r="Y928" s="123"/>
      <c r="Z928" s="123"/>
      <c r="AA928" s="123"/>
      <c r="AB928" s="123"/>
      <c r="AC928" s="123"/>
      <c r="AD928" s="123"/>
      <c r="AE928" s="123"/>
      <c r="AF928" s="123"/>
      <c r="AG928" s="123"/>
      <c r="AH928" s="123"/>
      <c r="AI928" s="123"/>
      <c r="AJ928" s="123"/>
    </row>
    <row r="929" ht="15.75" customHeight="1">
      <c r="A929" s="123"/>
      <c r="B929" s="124"/>
      <c r="C929" s="124"/>
      <c r="D929" s="124"/>
      <c r="E929" s="124"/>
      <c r="F929" s="125"/>
      <c r="G929" s="124"/>
      <c r="H929" s="124"/>
      <c r="I929" s="125"/>
      <c r="J929" s="123"/>
      <c r="K929" s="124"/>
      <c r="L929" s="125"/>
      <c r="M929" s="124"/>
      <c r="N929" s="124"/>
      <c r="O929" s="124"/>
      <c r="P929" s="124"/>
      <c r="Q929" s="124"/>
      <c r="R929" s="123"/>
      <c r="S929" s="123"/>
      <c r="T929" s="123"/>
      <c r="U929" s="123"/>
      <c r="V929" s="123"/>
      <c r="W929" s="123"/>
      <c r="X929" s="123"/>
      <c r="Y929" s="123"/>
      <c r="Z929" s="123"/>
      <c r="AA929" s="123"/>
      <c r="AB929" s="123"/>
      <c r="AC929" s="123"/>
      <c r="AD929" s="123"/>
      <c r="AE929" s="123"/>
      <c r="AF929" s="123"/>
      <c r="AG929" s="123"/>
      <c r="AH929" s="123"/>
      <c r="AI929" s="123"/>
      <c r="AJ929" s="123"/>
    </row>
    <row r="930" ht="15.75" customHeight="1">
      <c r="A930" s="123"/>
      <c r="B930" s="124"/>
      <c r="C930" s="124"/>
      <c r="D930" s="124"/>
      <c r="E930" s="124"/>
      <c r="F930" s="125"/>
      <c r="G930" s="124"/>
      <c r="H930" s="124"/>
      <c r="I930" s="125"/>
      <c r="J930" s="123"/>
      <c r="K930" s="124"/>
      <c r="L930" s="125"/>
      <c r="M930" s="124"/>
      <c r="N930" s="124"/>
      <c r="O930" s="124"/>
      <c r="P930" s="124"/>
      <c r="Q930" s="124"/>
      <c r="R930" s="123"/>
      <c r="S930" s="123"/>
      <c r="T930" s="123"/>
      <c r="U930" s="123"/>
      <c r="V930" s="123"/>
      <c r="W930" s="123"/>
      <c r="X930" s="123"/>
      <c r="Y930" s="123"/>
      <c r="Z930" s="123"/>
      <c r="AA930" s="123"/>
      <c r="AB930" s="123"/>
      <c r="AC930" s="123"/>
      <c r="AD930" s="123"/>
      <c r="AE930" s="123"/>
      <c r="AF930" s="123"/>
      <c r="AG930" s="123"/>
      <c r="AH930" s="123"/>
      <c r="AI930" s="123"/>
      <c r="AJ930" s="123"/>
    </row>
    <row r="931" ht="15.75" customHeight="1">
      <c r="A931" s="123"/>
      <c r="B931" s="124"/>
      <c r="C931" s="124"/>
      <c r="D931" s="124"/>
      <c r="E931" s="124"/>
      <c r="F931" s="125"/>
      <c r="G931" s="124"/>
      <c r="H931" s="124"/>
      <c r="I931" s="125"/>
      <c r="J931" s="123"/>
      <c r="K931" s="124"/>
      <c r="L931" s="125"/>
      <c r="M931" s="124"/>
      <c r="N931" s="124"/>
      <c r="O931" s="124"/>
      <c r="P931" s="124"/>
      <c r="Q931" s="124"/>
      <c r="R931" s="123"/>
      <c r="S931" s="123"/>
      <c r="T931" s="123"/>
      <c r="U931" s="123"/>
      <c r="V931" s="123"/>
      <c r="W931" s="123"/>
      <c r="X931" s="123"/>
      <c r="Y931" s="123"/>
      <c r="Z931" s="123"/>
      <c r="AA931" s="123"/>
      <c r="AB931" s="123"/>
      <c r="AC931" s="123"/>
      <c r="AD931" s="123"/>
      <c r="AE931" s="123"/>
      <c r="AF931" s="123"/>
      <c r="AG931" s="123"/>
      <c r="AH931" s="123"/>
      <c r="AI931" s="123"/>
      <c r="AJ931" s="123"/>
    </row>
    <row r="932" ht="15.75" customHeight="1">
      <c r="A932" s="123"/>
      <c r="B932" s="124"/>
      <c r="C932" s="124"/>
      <c r="D932" s="124"/>
      <c r="E932" s="124"/>
      <c r="F932" s="125"/>
      <c r="G932" s="124"/>
      <c r="H932" s="124"/>
      <c r="I932" s="125"/>
      <c r="J932" s="123"/>
      <c r="K932" s="124"/>
      <c r="L932" s="125"/>
      <c r="M932" s="124"/>
      <c r="N932" s="124"/>
      <c r="O932" s="124"/>
      <c r="P932" s="124"/>
      <c r="Q932" s="124"/>
      <c r="R932" s="123"/>
      <c r="S932" s="123"/>
      <c r="T932" s="123"/>
      <c r="U932" s="123"/>
      <c r="V932" s="123"/>
      <c r="W932" s="123"/>
      <c r="X932" s="123"/>
      <c r="Y932" s="123"/>
      <c r="Z932" s="123"/>
      <c r="AA932" s="123"/>
      <c r="AB932" s="123"/>
      <c r="AC932" s="123"/>
      <c r="AD932" s="123"/>
      <c r="AE932" s="123"/>
      <c r="AF932" s="123"/>
      <c r="AG932" s="123"/>
      <c r="AH932" s="123"/>
      <c r="AI932" s="123"/>
      <c r="AJ932" s="123"/>
    </row>
    <row r="933" ht="15.75" customHeight="1">
      <c r="A933" s="123"/>
      <c r="B933" s="124"/>
      <c r="C933" s="124"/>
      <c r="D933" s="124"/>
      <c r="E933" s="124"/>
      <c r="F933" s="125"/>
      <c r="G933" s="124"/>
      <c r="H933" s="124"/>
      <c r="I933" s="125"/>
      <c r="J933" s="123"/>
      <c r="K933" s="124"/>
      <c r="L933" s="125"/>
      <c r="M933" s="124"/>
      <c r="N933" s="124"/>
      <c r="O933" s="124"/>
      <c r="P933" s="124"/>
      <c r="Q933" s="124"/>
      <c r="R933" s="123"/>
      <c r="S933" s="123"/>
      <c r="T933" s="123"/>
      <c r="U933" s="123"/>
      <c r="V933" s="123"/>
      <c r="W933" s="123"/>
      <c r="X933" s="123"/>
      <c r="Y933" s="123"/>
      <c r="Z933" s="123"/>
      <c r="AA933" s="123"/>
      <c r="AB933" s="123"/>
      <c r="AC933" s="123"/>
      <c r="AD933" s="123"/>
      <c r="AE933" s="123"/>
      <c r="AF933" s="123"/>
      <c r="AG933" s="123"/>
      <c r="AH933" s="123"/>
      <c r="AI933" s="123"/>
      <c r="AJ933" s="123"/>
    </row>
    <row r="934" ht="15.75" customHeight="1">
      <c r="A934" s="123"/>
      <c r="B934" s="124"/>
      <c r="C934" s="124"/>
      <c r="D934" s="124"/>
      <c r="E934" s="124"/>
      <c r="F934" s="125"/>
      <c r="G934" s="124"/>
      <c r="H934" s="124"/>
      <c r="I934" s="125"/>
      <c r="J934" s="123"/>
      <c r="K934" s="124"/>
      <c r="L934" s="125"/>
      <c r="M934" s="124"/>
      <c r="N934" s="124"/>
      <c r="O934" s="124"/>
      <c r="P934" s="124"/>
      <c r="Q934" s="124"/>
      <c r="R934" s="123"/>
      <c r="S934" s="123"/>
      <c r="T934" s="123"/>
      <c r="U934" s="123"/>
      <c r="V934" s="123"/>
      <c r="W934" s="123"/>
      <c r="X934" s="123"/>
      <c r="Y934" s="123"/>
      <c r="Z934" s="123"/>
      <c r="AA934" s="123"/>
      <c r="AB934" s="123"/>
      <c r="AC934" s="123"/>
      <c r="AD934" s="123"/>
      <c r="AE934" s="123"/>
      <c r="AF934" s="123"/>
      <c r="AG934" s="123"/>
      <c r="AH934" s="123"/>
      <c r="AI934" s="123"/>
      <c r="AJ934" s="123"/>
    </row>
    <row r="935" ht="15.75" customHeight="1">
      <c r="A935" s="123"/>
      <c r="B935" s="124"/>
      <c r="C935" s="124"/>
      <c r="D935" s="124"/>
      <c r="E935" s="124"/>
      <c r="F935" s="125"/>
      <c r="G935" s="124"/>
      <c r="H935" s="124"/>
      <c r="I935" s="125"/>
      <c r="J935" s="123"/>
      <c r="K935" s="124"/>
      <c r="L935" s="125"/>
      <c r="M935" s="124"/>
      <c r="N935" s="124"/>
      <c r="O935" s="124"/>
      <c r="P935" s="124"/>
      <c r="Q935" s="124"/>
      <c r="R935" s="123"/>
      <c r="S935" s="123"/>
      <c r="T935" s="123"/>
      <c r="U935" s="123"/>
      <c r="V935" s="123"/>
      <c r="W935" s="123"/>
      <c r="X935" s="123"/>
      <c r="Y935" s="123"/>
      <c r="Z935" s="123"/>
      <c r="AA935" s="123"/>
      <c r="AB935" s="123"/>
      <c r="AC935" s="123"/>
      <c r="AD935" s="123"/>
      <c r="AE935" s="123"/>
      <c r="AF935" s="123"/>
      <c r="AG935" s="123"/>
      <c r="AH935" s="123"/>
      <c r="AI935" s="123"/>
      <c r="AJ935" s="123"/>
    </row>
    <row r="936" ht="15.75" customHeight="1">
      <c r="A936" s="123"/>
      <c r="B936" s="124"/>
      <c r="C936" s="124"/>
      <c r="D936" s="124"/>
      <c r="E936" s="124"/>
      <c r="F936" s="125"/>
      <c r="G936" s="124"/>
      <c r="H936" s="124"/>
      <c r="I936" s="125"/>
      <c r="J936" s="123"/>
      <c r="K936" s="124"/>
      <c r="L936" s="125"/>
      <c r="M936" s="124"/>
      <c r="N936" s="124"/>
      <c r="O936" s="124"/>
      <c r="P936" s="124"/>
      <c r="Q936" s="124"/>
      <c r="R936" s="123"/>
      <c r="S936" s="123"/>
      <c r="T936" s="123"/>
      <c r="U936" s="123"/>
      <c r="V936" s="123"/>
      <c r="W936" s="123"/>
      <c r="X936" s="123"/>
      <c r="Y936" s="123"/>
      <c r="Z936" s="123"/>
      <c r="AA936" s="123"/>
      <c r="AB936" s="123"/>
      <c r="AC936" s="123"/>
      <c r="AD936" s="123"/>
      <c r="AE936" s="123"/>
      <c r="AF936" s="123"/>
      <c r="AG936" s="123"/>
      <c r="AH936" s="123"/>
      <c r="AI936" s="123"/>
      <c r="AJ936" s="123"/>
    </row>
    <row r="937" ht="15.75" customHeight="1">
      <c r="A937" s="123"/>
      <c r="B937" s="124"/>
      <c r="C937" s="124"/>
      <c r="D937" s="124"/>
      <c r="E937" s="124"/>
      <c r="F937" s="125"/>
      <c r="G937" s="124"/>
      <c r="H937" s="124"/>
      <c r="I937" s="125"/>
      <c r="J937" s="123"/>
      <c r="K937" s="124"/>
      <c r="L937" s="125"/>
      <c r="M937" s="124"/>
      <c r="N937" s="124"/>
      <c r="O937" s="124"/>
      <c r="P937" s="124"/>
      <c r="Q937" s="124"/>
      <c r="R937" s="123"/>
      <c r="S937" s="123"/>
      <c r="T937" s="123"/>
      <c r="U937" s="123"/>
      <c r="V937" s="123"/>
      <c r="W937" s="123"/>
      <c r="X937" s="123"/>
      <c r="Y937" s="123"/>
      <c r="Z937" s="123"/>
      <c r="AA937" s="123"/>
      <c r="AB937" s="123"/>
      <c r="AC937" s="123"/>
      <c r="AD937" s="123"/>
      <c r="AE937" s="123"/>
      <c r="AF937" s="123"/>
      <c r="AG937" s="123"/>
      <c r="AH937" s="123"/>
      <c r="AI937" s="123"/>
      <c r="AJ937" s="123"/>
    </row>
    <row r="938" ht="15.75" customHeight="1">
      <c r="A938" s="123"/>
      <c r="B938" s="124"/>
      <c r="C938" s="124"/>
      <c r="D938" s="124"/>
      <c r="E938" s="124"/>
      <c r="F938" s="125"/>
      <c r="G938" s="124"/>
      <c r="H938" s="124"/>
      <c r="I938" s="125"/>
      <c r="J938" s="123"/>
      <c r="K938" s="124"/>
      <c r="L938" s="125"/>
      <c r="M938" s="124"/>
      <c r="N938" s="124"/>
      <c r="O938" s="124"/>
      <c r="P938" s="124"/>
      <c r="Q938" s="124"/>
      <c r="R938" s="123"/>
      <c r="S938" s="123"/>
      <c r="T938" s="123"/>
      <c r="U938" s="123"/>
      <c r="V938" s="123"/>
      <c r="W938" s="123"/>
      <c r="X938" s="123"/>
      <c r="Y938" s="123"/>
      <c r="Z938" s="123"/>
      <c r="AA938" s="123"/>
      <c r="AB938" s="123"/>
      <c r="AC938" s="123"/>
      <c r="AD938" s="123"/>
      <c r="AE938" s="123"/>
      <c r="AF938" s="123"/>
      <c r="AG938" s="123"/>
      <c r="AH938" s="123"/>
      <c r="AI938" s="123"/>
      <c r="AJ938" s="123"/>
    </row>
    <row r="939" ht="15.75" customHeight="1">
      <c r="A939" s="123"/>
      <c r="B939" s="124"/>
      <c r="C939" s="124"/>
      <c r="D939" s="124"/>
      <c r="E939" s="124"/>
      <c r="F939" s="125"/>
      <c r="G939" s="124"/>
      <c r="H939" s="124"/>
      <c r="I939" s="125"/>
      <c r="J939" s="123"/>
      <c r="K939" s="124"/>
      <c r="L939" s="125"/>
      <c r="M939" s="124"/>
      <c r="N939" s="124"/>
      <c r="O939" s="124"/>
      <c r="P939" s="124"/>
      <c r="Q939" s="124"/>
      <c r="R939" s="123"/>
      <c r="S939" s="123"/>
      <c r="T939" s="123"/>
      <c r="U939" s="123"/>
      <c r="V939" s="123"/>
      <c r="W939" s="123"/>
      <c r="X939" s="123"/>
      <c r="Y939" s="123"/>
      <c r="Z939" s="123"/>
      <c r="AA939" s="123"/>
      <c r="AB939" s="123"/>
      <c r="AC939" s="123"/>
      <c r="AD939" s="123"/>
      <c r="AE939" s="123"/>
      <c r="AF939" s="123"/>
      <c r="AG939" s="123"/>
      <c r="AH939" s="123"/>
      <c r="AI939" s="123"/>
      <c r="AJ939" s="123"/>
    </row>
    <row r="940" ht="15.75" customHeight="1">
      <c r="A940" s="123"/>
      <c r="B940" s="124"/>
      <c r="C940" s="124"/>
      <c r="D940" s="124"/>
      <c r="E940" s="124"/>
      <c r="F940" s="125"/>
      <c r="G940" s="124"/>
      <c r="H940" s="124"/>
      <c r="I940" s="125"/>
      <c r="J940" s="123"/>
      <c r="K940" s="124"/>
      <c r="L940" s="125"/>
      <c r="M940" s="124"/>
      <c r="N940" s="124"/>
      <c r="O940" s="124"/>
      <c r="P940" s="124"/>
      <c r="Q940" s="124"/>
      <c r="R940" s="123"/>
      <c r="S940" s="123"/>
      <c r="T940" s="123"/>
      <c r="U940" s="123"/>
      <c r="V940" s="123"/>
      <c r="W940" s="123"/>
      <c r="X940" s="123"/>
      <c r="Y940" s="123"/>
      <c r="Z940" s="123"/>
      <c r="AA940" s="123"/>
      <c r="AB940" s="123"/>
      <c r="AC940" s="123"/>
      <c r="AD940" s="123"/>
      <c r="AE940" s="123"/>
      <c r="AF940" s="123"/>
      <c r="AG940" s="123"/>
      <c r="AH940" s="123"/>
      <c r="AI940" s="123"/>
      <c r="AJ940" s="123"/>
    </row>
    <row r="941" ht="15.75" customHeight="1">
      <c r="A941" s="123"/>
      <c r="B941" s="124"/>
      <c r="C941" s="124"/>
      <c r="D941" s="124"/>
      <c r="E941" s="124"/>
      <c r="F941" s="125"/>
      <c r="G941" s="124"/>
      <c r="H941" s="124"/>
      <c r="I941" s="125"/>
      <c r="J941" s="123"/>
      <c r="K941" s="124"/>
      <c r="L941" s="125"/>
      <c r="M941" s="124"/>
      <c r="N941" s="124"/>
      <c r="O941" s="124"/>
      <c r="P941" s="124"/>
      <c r="Q941" s="124"/>
      <c r="R941" s="123"/>
      <c r="S941" s="123"/>
      <c r="T941" s="123"/>
      <c r="U941" s="123"/>
      <c r="V941" s="123"/>
      <c r="W941" s="123"/>
      <c r="X941" s="123"/>
      <c r="Y941" s="123"/>
      <c r="Z941" s="123"/>
      <c r="AA941" s="123"/>
      <c r="AB941" s="123"/>
      <c r="AC941" s="123"/>
      <c r="AD941" s="123"/>
      <c r="AE941" s="123"/>
      <c r="AF941" s="123"/>
      <c r="AG941" s="123"/>
      <c r="AH941" s="123"/>
      <c r="AI941" s="123"/>
      <c r="AJ941" s="123"/>
    </row>
    <row r="942" ht="15.75" customHeight="1">
      <c r="A942" s="123"/>
      <c r="B942" s="124"/>
      <c r="C942" s="124"/>
      <c r="D942" s="124"/>
      <c r="E942" s="124"/>
      <c r="F942" s="125"/>
      <c r="G942" s="124"/>
      <c r="H942" s="124"/>
      <c r="I942" s="125"/>
      <c r="J942" s="123"/>
      <c r="K942" s="124"/>
      <c r="L942" s="125"/>
      <c r="M942" s="124"/>
      <c r="N942" s="124"/>
      <c r="O942" s="124"/>
      <c r="P942" s="124"/>
      <c r="Q942" s="124"/>
      <c r="R942" s="123"/>
      <c r="S942" s="123"/>
      <c r="T942" s="123"/>
      <c r="U942" s="123"/>
      <c r="V942" s="123"/>
      <c r="W942" s="123"/>
      <c r="X942" s="123"/>
      <c r="Y942" s="123"/>
      <c r="Z942" s="123"/>
      <c r="AA942" s="123"/>
      <c r="AB942" s="123"/>
      <c r="AC942" s="123"/>
      <c r="AD942" s="123"/>
      <c r="AE942" s="123"/>
      <c r="AF942" s="123"/>
      <c r="AG942" s="123"/>
      <c r="AH942" s="123"/>
      <c r="AI942" s="123"/>
      <c r="AJ942" s="123"/>
    </row>
    <row r="943" ht="15.75" customHeight="1">
      <c r="A943" s="123"/>
      <c r="B943" s="124"/>
      <c r="C943" s="124"/>
      <c r="D943" s="124"/>
      <c r="E943" s="124"/>
      <c r="F943" s="125"/>
      <c r="G943" s="124"/>
      <c r="H943" s="124"/>
      <c r="I943" s="125"/>
      <c r="J943" s="123"/>
      <c r="K943" s="124"/>
      <c r="L943" s="125"/>
      <c r="M943" s="124"/>
      <c r="N943" s="124"/>
      <c r="O943" s="124"/>
      <c r="P943" s="124"/>
      <c r="Q943" s="124"/>
      <c r="R943" s="123"/>
      <c r="S943" s="123"/>
      <c r="T943" s="123"/>
      <c r="U943" s="123"/>
      <c r="V943" s="123"/>
      <c r="W943" s="123"/>
      <c r="X943" s="123"/>
      <c r="Y943" s="123"/>
      <c r="Z943" s="123"/>
      <c r="AA943" s="123"/>
      <c r="AB943" s="123"/>
      <c r="AC943" s="123"/>
      <c r="AD943" s="123"/>
      <c r="AE943" s="123"/>
      <c r="AF943" s="123"/>
      <c r="AG943" s="123"/>
      <c r="AH943" s="123"/>
      <c r="AI943" s="123"/>
      <c r="AJ943" s="123"/>
    </row>
    <row r="944" ht="15.75" customHeight="1">
      <c r="A944" s="123"/>
      <c r="B944" s="124"/>
      <c r="C944" s="124"/>
      <c r="D944" s="124"/>
      <c r="E944" s="124"/>
      <c r="F944" s="125"/>
      <c r="G944" s="124"/>
      <c r="H944" s="124"/>
      <c r="I944" s="125"/>
      <c r="J944" s="123"/>
      <c r="K944" s="124"/>
      <c r="L944" s="125"/>
      <c r="M944" s="124"/>
      <c r="N944" s="124"/>
      <c r="O944" s="124"/>
      <c r="P944" s="124"/>
      <c r="Q944" s="124"/>
      <c r="R944" s="123"/>
      <c r="S944" s="123"/>
      <c r="T944" s="123"/>
      <c r="U944" s="123"/>
      <c r="V944" s="123"/>
      <c r="W944" s="123"/>
      <c r="X944" s="123"/>
      <c r="Y944" s="123"/>
      <c r="Z944" s="123"/>
      <c r="AA944" s="123"/>
      <c r="AB944" s="123"/>
      <c r="AC944" s="123"/>
      <c r="AD944" s="123"/>
      <c r="AE944" s="123"/>
      <c r="AF944" s="123"/>
      <c r="AG944" s="123"/>
      <c r="AH944" s="123"/>
      <c r="AI944" s="123"/>
      <c r="AJ944" s="123"/>
    </row>
    <row r="945" ht="15.75" customHeight="1">
      <c r="A945" s="123"/>
      <c r="B945" s="124"/>
      <c r="C945" s="124"/>
      <c r="D945" s="124"/>
      <c r="E945" s="124"/>
      <c r="F945" s="125"/>
      <c r="G945" s="124"/>
      <c r="H945" s="124"/>
      <c r="I945" s="125"/>
      <c r="J945" s="123"/>
      <c r="K945" s="124"/>
      <c r="L945" s="125"/>
      <c r="M945" s="124"/>
      <c r="N945" s="124"/>
      <c r="O945" s="124"/>
      <c r="P945" s="124"/>
      <c r="Q945" s="124"/>
      <c r="R945" s="123"/>
      <c r="S945" s="123"/>
      <c r="T945" s="123"/>
      <c r="U945" s="123"/>
      <c r="V945" s="123"/>
      <c r="W945" s="123"/>
      <c r="X945" s="123"/>
      <c r="Y945" s="123"/>
      <c r="Z945" s="123"/>
      <c r="AA945" s="123"/>
      <c r="AB945" s="123"/>
      <c r="AC945" s="123"/>
      <c r="AD945" s="123"/>
      <c r="AE945" s="123"/>
      <c r="AF945" s="123"/>
      <c r="AG945" s="123"/>
      <c r="AH945" s="123"/>
      <c r="AI945" s="123"/>
      <c r="AJ945" s="123"/>
    </row>
    <row r="946" ht="15.75" customHeight="1">
      <c r="A946" s="123"/>
      <c r="B946" s="124"/>
      <c r="C946" s="124"/>
      <c r="D946" s="124"/>
      <c r="E946" s="124"/>
      <c r="F946" s="125"/>
      <c r="G946" s="124"/>
      <c r="H946" s="124"/>
      <c r="I946" s="125"/>
      <c r="J946" s="123"/>
      <c r="K946" s="124"/>
      <c r="L946" s="125"/>
      <c r="M946" s="124"/>
      <c r="N946" s="124"/>
      <c r="O946" s="124"/>
      <c r="P946" s="124"/>
      <c r="Q946" s="124"/>
      <c r="R946" s="123"/>
      <c r="S946" s="123"/>
      <c r="T946" s="123"/>
      <c r="U946" s="123"/>
      <c r="V946" s="123"/>
      <c r="W946" s="123"/>
      <c r="X946" s="123"/>
      <c r="Y946" s="123"/>
      <c r="Z946" s="123"/>
      <c r="AA946" s="123"/>
      <c r="AB946" s="123"/>
      <c r="AC946" s="123"/>
      <c r="AD946" s="123"/>
      <c r="AE946" s="123"/>
      <c r="AF946" s="123"/>
      <c r="AG946" s="123"/>
      <c r="AH946" s="123"/>
      <c r="AI946" s="123"/>
      <c r="AJ946" s="123"/>
    </row>
    <row r="947" ht="15.75" customHeight="1">
      <c r="A947" s="123"/>
      <c r="B947" s="124"/>
      <c r="C947" s="124"/>
      <c r="D947" s="124"/>
      <c r="E947" s="124"/>
      <c r="F947" s="125"/>
      <c r="G947" s="124"/>
      <c r="H947" s="124"/>
      <c r="I947" s="125"/>
      <c r="J947" s="123"/>
      <c r="K947" s="124"/>
      <c r="L947" s="125"/>
      <c r="M947" s="124"/>
      <c r="N947" s="124"/>
      <c r="O947" s="124"/>
      <c r="P947" s="124"/>
      <c r="Q947" s="124"/>
      <c r="R947" s="123"/>
      <c r="S947" s="123"/>
      <c r="T947" s="123"/>
      <c r="U947" s="123"/>
      <c r="V947" s="123"/>
      <c r="W947" s="123"/>
      <c r="X947" s="123"/>
      <c r="Y947" s="123"/>
      <c r="Z947" s="123"/>
      <c r="AA947" s="123"/>
      <c r="AB947" s="123"/>
      <c r="AC947" s="123"/>
      <c r="AD947" s="123"/>
      <c r="AE947" s="123"/>
      <c r="AF947" s="123"/>
      <c r="AG947" s="123"/>
      <c r="AH947" s="123"/>
      <c r="AI947" s="123"/>
      <c r="AJ947" s="123"/>
    </row>
    <row r="948" ht="15.75" customHeight="1">
      <c r="A948" s="123"/>
      <c r="B948" s="124"/>
      <c r="C948" s="124"/>
      <c r="D948" s="124"/>
      <c r="E948" s="124"/>
      <c r="F948" s="125"/>
      <c r="G948" s="124"/>
      <c r="H948" s="124"/>
      <c r="I948" s="125"/>
      <c r="J948" s="123"/>
      <c r="K948" s="124"/>
      <c r="L948" s="125"/>
      <c r="M948" s="124"/>
      <c r="N948" s="124"/>
      <c r="O948" s="124"/>
      <c r="P948" s="124"/>
      <c r="Q948" s="124"/>
      <c r="R948" s="123"/>
      <c r="S948" s="123"/>
      <c r="T948" s="123"/>
      <c r="U948" s="123"/>
      <c r="V948" s="123"/>
      <c r="W948" s="123"/>
      <c r="X948" s="123"/>
      <c r="Y948" s="123"/>
      <c r="Z948" s="123"/>
      <c r="AA948" s="123"/>
      <c r="AB948" s="123"/>
      <c r="AC948" s="123"/>
      <c r="AD948" s="123"/>
      <c r="AE948" s="123"/>
      <c r="AF948" s="123"/>
      <c r="AG948" s="123"/>
      <c r="AH948" s="123"/>
      <c r="AI948" s="123"/>
      <c r="AJ948" s="123"/>
    </row>
    <row r="949" ht="15.75" customHeight="1">
      <c r="A949" s="123"/>
      <c r="B949" s="124"/>
      <c r="C949" s="124"/>
      <c r="D949" s="124"/>
      <c r="E949" s="124"/>
      <c r="F949" s="125"/>
      <c r="G949" s="124"/>
      <c r="H949" s="124"/>
      <c r="I949" s="125"/>
      <c r="J949" s="123"/>
      <c r="K949" s="124"/>
      <c r="L949" s="125"/>
      <c r="M949" s="124"/>
      <c r="N949" s="124"/>
      <c r="O949" s="124"/>
      <c r="P949" s="124"/>
      <c r="Q949" s="124"/>
      <c r="R949" s="123"/>
      <c r="S949" s="123"/>
      <c r="T949" s="123"/>
      <c r="U949" s="123"/>
      <c r="V949" s="123"/>
      <c r="W949" s="123"/>
      <c r="X949" s="123"/>
      <c r="Y949" s="123"/>
      <c r="Z949" s="123"/>
      <c r="AA949" s="123"/>
      <c r="AB949" s="123"/>
      <c r="AC949" s="123"/>
      <c r="AD949" s="123"/>
      <c r="AE949" s="123"/>
      <c r="AF949" s="123"/>
      <c r="AG949" s="123"/>
      <c r="AH949" s="123"/>
      <c r="AI949" s="123"/>
      <c r="AJ949" s="123"/>
    </row>
    <row r="950" ht="15.75" customHeight="1">
      <c r="A950" s="123"/>
      <c r="B950" s="124"/>
      <c r="C950" s="124"/>
      <c r="D950" s="124"/>
      <c r="E950" s="124"/>
      <c r="F950" s="125"/>
      <c r="G950" s="124"/>
      <c r="H950" s="124"/>
      <c r="I950" s="125"/>
      <c r="J950" s="123"/>
      <c r="K950" s="124"/>
      <c r="L950" s="125"/>
      <c r="M950" s="124"/>
      <c r="N950" s="124"/>
      <c r="O950" s="124"/>
      <c r="P950" s="124"/>
      <c r="Q950" s="124"/>
      <c r="R950" s="123"/>
      <c r="S950" s="123"/>
      <c r="T950" s="123"/>
      <c r="U950" s="123"/>
      <c r="V950" s="123"/>
      <c r="W950" s="123"/>
      <c r="X950" s="123"/>
      <c r="Y950" s="123"/>
      <c r="Z950" s="123"/>
      <c r="AA950" s="123"/>
      <c r="AB950" s="123"/>
      <c r="AC950" s="123"/>
      <c r="AD950" s="123"/>
      <c r="AE950" s="123"/>
      <c r="AF950" s="123"/>
      <c r="AG950" s="123"/>
      <c r="AH950" s="123"/>
      <c r="AI950" s="123"/>
      <c r="AJ950" s="123"/>
    </row>
    <row r="951" ht="15.75" customHeight="1">
      <c r="A951" s="123"/>
      <c r="B951" s="124"/>
      <c r="C951" s="124"/>
      <c r="D951" s="124"/>
      <c r="E951" s="124"/>
      <c r="F951" s="125"/>
      <c r="G951" s="124"/>
      <c r="H951" s="124"/>
      <c r="I951" s="125"/>
      <c r="J951" s="123"/>
      <c r="K951" s="124"/>
      <c r="L951" s="125"/>
      <c r="M951" s="124"/>
      <c r="N951" s="124"/>
      <c r="O951" s="124"/>
      <c r="P951" s="124"/>
      <c r="Q951" s="124"/>
      <c r="R951" s="123"/>
      <c r="S951" s="123"/>
      <c r="T951" s="123"/>
      <c r="U951" s="123"/>
      <c r="V951" s="123"/>
      <c r="W951" s="123"/>
      <c r="X951" s="123"/>
      <c r="Y951" s="123"/>
      <c r="Z951" s="123"/>
      <c r="AA951" s="123"/>
      <c r="AB951" s="123"/>
      <c r="AC951" s="123"/>
      <c r="AD951" s="123"/>
      <c r="AE951" s="123"/>
      <c r="AF951" s="123"/>
      <c r="AG951" s="123"/>
      <c r="AH951" s="123"/>
      <c r="AI951" s="123"/>
      <c r="AJ951" s="123"/>
    </row>
    <row r="952" ht="15.75" customHeight="1">
      <c r="A952" s="123"/>
      <c r="B952" s="124"/>
      <c r="C952" s="124"/>
      <c r="D952" s="124"/>
      <c r="E952" s="124"/>
      <c r="F952" s="125"/>
      <c r="G952" s="124"/>
      <c r="H952" s="124"/>
      <c r="I952" s="125"/>
      <c r="J952" s="123"/>
      <c r="K952" s="124"/>
      <c r="L952" s="125"/>
      <c r="M952" s="124"/>
      <c r="N952" s="124"/>
      <c r="O952" s="124"/>
      <c r="P952" s="124"/>
      <c r="Q952" s="124"/>
      <c r="R952" s="123"/>
      <c r="S952" s="123"/>
      <c r="T952" s="123"/>
      <c r="U952" s="123"/>
      <c r="V952" s="123"/>
      <c r="W952" s="123"/>
      <c r="X952" s="123"/>
      <c r="Y952" s="123"/>
      <c r="Z952" s="123"/>
      <c r="AA952" s="123"/>
      <c r="AB952" s="123"/>
      <c r="AC952" s="123"/>
      <c r="AD952" s="123"/>
      <c r="AE952" s="123"/>
      <c r="AF952" s="123"/>
      <c r="AG952" s="123"/>
      <c r="AH952" s="123"/>
      <c r="AI952" s="123"/>
      <c r="AJ952" s="123"/>
    </row>
    <row r="953" ht="15.75" customHeight="1">
      <c r="A953" s="123"/>
      <c r="B953" s="124"/>
      <c r="C953" s="124"/>
      <c r="D953" s="124"/>
      <c r="E953" s="124"/>
      <c r="F953" s="125"/>
      <c r="G953" s="124"/>
      <c r="H953" s="124"/>
      <c r="I953" s="125"/>
      <c r="J953" s="123"/>
      <c r="K953" s="124"/>
      <c r="L953" s="125"/>
      <c r="M953" s="124"/>
      <c r="N953" s="124"/>
      <c r="O953" s="124"/>
      <c r="P953" s="124"/>
      <c r="Q953" s="124"/>
      <c r="R953" s="123"/>
      <c r="S953" s="123"/>
      <c r="T953" s="123"/>
      <c r="U953" s="123"/>
      <c r="V953" s="123"/>
      <c r="W953" s="123"/>
      <c r="X953" s="123"/>
      <c r="Y953" s="123"/>
      <c r="Z953" s="123"/>
      <c r="AA953" s="123"/>
      <c r="AB953" s="123"/>
      <c r="AC953" s="123"/>
      <c r="AD953" s="123"/>
      <c r="AE953" s="123"/>
      <c r="AF953" s="123"/>
      <c r="AG953" s="123"/>
      <c r="AH953" s="123"/>
      <c r="AI953" s="123"/>
      <c r="AJ953" s="123"/>
    </row>
    <row r="954" ht="15.75" customHeight="1">
      <c r="A954" s="123"/>
      <c r="B954" s="124"/>
      <c r="C954" s="124"/>
      <c r="D954" s="124"/>
      <c r="E954" s="124"/>
      <c r="F954" s="125"/>
      <c r="G954" s="124"/>
      <c r="H954" s="124"/>
      <c r="I954" s="125"/>
      <c r="J954" s="123"/>
      <c r="K954" s="124"/>
      <c r="L954" s="125"/>
      <c r="M954" s="124"/>
      <c r="N954" s="124"/>
      <c r="O954" s="124"/>
      <c r="P954" s="124"/>
      <c r="Q954" s="124"/>
      <c r="R954" s="123"/>
      <c r="S954" s="123"/>
      <c r="T954" s="123"/>
      <c r="U954" s="123"/>
      <c r="V954" s="123"/>
      <c r="W954" s="123"/>
      <c r="X954" s="123"/>
      <c r="Y954" s="123"/>
      <c r="Z954" s="123"/>
      <c r="AA954" s="123"/>
      <c r="AB954" s="123"/>
      <c r="AC954" s="123"/>
      <c r="AD954" s="123"/>
      <c r="AE954" s="123"/>
      <c r="AF954" s="123"/>
      <c r="AG954" s="123"/>
      <c r="AH954" s="123"/>
      <c r="AI954" s="123"/>
      <c r="AJ954" s="123"/>
    </row>
    <row r="955" ht="15.75" customHeight="1">
      <c r="A955" s="123"/>
      <c r="B955" s="124"/>
      <c r="C955" s="124"/>
      <c r="D955" s="124"/>
      <c r="E955" s="124"/>
      <c r="F955" s="125"/>
      <c r="G955" s="124"/>
      <c r="H955" s="124"/>
      <c r="I955" s="125"/>
      <c r="J955" s="123"/>
      <c r="K955" s="124"/>
      <c r="L955" s="125"/>
      <c r="M955" s="124"/>
      <c r="N955" s="124"/>
      <c r="O955" s="124"/>
      <c r="P955" s="124"/>
      <c r="Q955" s="124"/>
      <c r="R955" s="123"/>
      <c r="S955" s="123"/>
      <c r="T955" s="123"/>
      <c r="U955" s="123"/>
      <c r="V955" s="123"/>
      <c r="W955" s="123"/>
      <c r="X955" s="123"/>
      <c r="Y955" s="123"/>
      <c r="Z955" s="123"/>
      <c r="AA955" s="123"/>
      <c r="AB955" s="123"/>
      <c r="AC955" s="123"/>
      <c r="AD955" s="123"/>
      <c r="AE955" s="123"/>
      <c r="AF955" s="123"/>
      <c r="AG955" s="123"/>
      <c r="AH955" s="123"/>
      <c r="AI955" s="123"/>
      <c r="AJ955" s="123"/>
    </row>
    <row r="956" ht="15.75" customHeight="1">
      <c r="A956" s="123"/>
      <c r="B956" s="124"/>
      <c r="C956" s="124"/>
      <c r="D956" s="124"/>
      <c r="E956" s="124"/>
      <c r="F956" s="125"/>
      <c r="G956" s="124"/>
      <c r="H956" s="124"/>
      <c r="I956" s="125"/>
      <c r="J956" s="123"/>
      <c r="K956" s="124"/>
      <c r="L956" s="125"/>
      <c r="M956" s="124"/>
      <c r="N956" s="124"/>
      <c r="O956" s="124"/>
      <c r="P956" s="124"/>
      <c r="Q956" s="124"/>
      <c r="R956" s="123"/>
      <c r="S956" s="123"/>
      <c r="T956" s="123"/>
      <c r="U956" s="123"/>
      <c r="V956" s="123"/>
      <c r="W956" s="123"/>
      <c r="X956" s="123"/>
      <c r="Y956" s="123"/>
      <c r="Z956" s="123"/>
      <c r="AA956" s="123"/>
      <c r="AB956" s="123"/>
      <c r="AC956" s="123"/>
      <c r="AD956" s="123"/>
      <c r="AE956" s="123"/>
      <c r="AF956" s="123"/>
      <c r="AG956" s="123"/>
      <c r="AH956" s="123"/>
      <c r="AI956" s="123"/>
      <c r="AJ956" s="123"/>
    </row>
    <row r="957" ht="15.75" customHeight="1">
      <c r="A957" s="123"/>
      <c r="B957" s="124"/>
      <c r="C957" s="124"/>
      <c r="D957" s="124"/>
      <c r="E957" s="124"/>
      <c r="F957" s="125"/>
      <c r="G957" s="124"/>
      <c r="H957" s="124"/>
      <c r="I957" s="125"/>
      <c r="J957" s="123"/>
      <c r="K957" s="124"/>
      <c r="L957" s="125"/>
      <c r="M957" s="124"/>
      <c r="N957" s="124"/>
      <c r="O957" s="124"/>
      <c r="P957" s="124"/>
      <c r="Q957" s="124"/>
      <c r="R957" s="123"/>
      <c r="S957" s="123"/>
      <c r="T957" s="123"/>
      <c r="U957" s="123"/>
      <c r="V957" s="123"/>
      <c r="W957" s="123"/>
      <c r="X957" s="123"/>
      <c r="Y957" s="123"/>
      <c r="Z957" s="123"/>
      <c r="AA957" s="123"/>
      <c r="AB957" s="123"/>
      <c r="AC957" s="123"/>
      <c r="AD957" s="123"/>
      <c r="AE957" s="123"/>
      <c r="AF957" s="123"/>
      <c r="AG957" s="123"/>
      <c r="AH957" s="123"/>
      <c r="AI957" s="123"/>
      <c r="AJ957" s="123"/>
    </row>
    <row r="958" ht="15.75" customHeight="1">
      <c r="A958" s="123"/>
      <c r="B958" s="124"/>
      <c r="C958" s="124"/>
      <c r="D958" s="124"/>
      <c r="E958" s="124"/>
      <c r="F958" s="125"/>
      <c r="G958" s="124"/>
      <c r="H958" s="124"/>
      <c r="I958" s="125"/>
      <c r="J958" s="123"/>
      <c r="K958" s="124"/>
      <c r="L958" s="125"/>
      <c r="M958" s="124"/>
      <c r="N958" s="124"/>
      <c r="O958" s="124"/>
      <c r="P958" s="124"/>
      <c r="Q958" s="124"/>
      <c r="R958" s="123"/>
      <c r="S958" s="123"/>
      <c r="T958" s="123"/>
      <c r="U958" s="123"/>
      <c r="V958" s="123"/>
      <c r="W958" s="123"/>
      <c r="X958" s="123"/>
      <c r="Y958" s="123"/>
      <c r="Z958" s="123"/>
      <c r="AA958" s="123"/>
      <c r="AB958" s="123"/>
      <c r="AC958" s="123"/>
      <c r="AD958" s="123"/>
      <c r="AE958" s="123"/>
      <c r="AF958" s="123"/>
      <c r="AG958" s="123"/>
      <c r="AH958" s="123"/>
      <c r="AI958" s="123"/>
      <c r="AJ958" s="123"/>
    </row>
    <row r="959" ht="15.75" customHeight="1">
      <c r="A959" s="123"/>
      <c r="B959" s="124"/>
      <c r="C959" s="124"/>
      <c r="D959" s="124"/>
      <c r="E959" s="124"/>
      <c r="F959" s="125"/>
      <c r="G959" s="124"/>
      <c r="H959" s="124"/>
      <c r="I959" s="125"/>
      <c r="J959" s="123"/>
      <c r="K959" s="124"/>
      <c r="L959" s="125"/>
      <c r="M959" s="124"/>
      <c r="N959" s="124"/>
      <c r="O959" s="124"/>
      <c r="P959" s="124"/>
      <c r="Q959" s="124"/>
      <c r="R959" s="123"/>
      <c r="S959" s="123"/>
      <c r="T959" s="123"/>
      <c r="U959" s="123"/>
      <c r="V959" s="123"/>
      <c r="W959" s="123"/>
      <c r="X959" s="123"/>
      <c r="Y959" s="123"/>
      <c r="Z959" s="123"/>
      <c r="AA959" s="123"/>
      <c r="AB959" s="123"/>
      <c r="AC959" s="123"/>
      <c r="AD959" s="123"/>
      <c r="AE959" s="123"/>
      <c r="AF959" s="123"/>
      <c r="AG959" s="123"/>
      <c r="AH959" s="123"/>
      <c r="AI959" s="123"/>
      <c r="AJ959" s="123"/>
    </row>
    <row r="960" ht="15.75" customHeight="1">
      <c r="A960" s="123"/>
      <c r="B960" s="124"/>
      <c r="C960" s="124"/>
      <c r="D960" s="124"/>
      <c r="E960" s="124"/>
      <c r="F960" s="125"/>
      <c r="G960" s="124"/>
      <c r="H960" s="124"/>
      <c r="I960" s="125"/>
      <c r="J960" s="123"/>
      <c r="K960" s="124"/>
      <c r="L960" s="125"/>
      <c r="M960" s="124"/>
      <c r="N960" s="124"/>
      <c r="O960" s="124"/>
      <c r="P960" s="124"/>
      <c r="Q960" s="124"/>
      <c r="R960" s="123"/>
      <c r="S960" s="123"/>
      <c r="T960" s="123"/>
      <c r="U960" s="123"/>
      <c r="V960" s="123"/>
      <c r="W960" s="123"/>
      <c r="X960" s="123"/>
      <c r="Y960" s="123"/>
      <c r="Z960" s="123"/>
      <c r="AA960" s="123"/>
      <c r="AB960" s="123"/>
      <c r="AC960" s="123"/>
      <c r="AD960" s="123"/>
      <c r="AE960" s="123"/>
      <c r="AF960" s="123"/>
      <c r="AG960" s="123"/>
      <c r="AH960" s="123"/>
      <c r="AI960" s="123"/>
      <c r="AJ960" s="123"/>
    </row>
    <row r="961" ht="15.75" customHeight="1">
      <c r="A961" s="123"/>
      <c r="B961" s="124"/>
      <c r="C961" s="124"/>
      <c r="D961" s="124"/>
      <c r="E961" s="124"/>
      <c r="F961" s="125"/>
      <c r="G961" s="124"/>
      <c r="H961" s="124"/>
      <c r="I961" s="125"/>
      <c r="J961" s="123"/>
      <c r="K961" s="124"/>
      <c r="L961" s="125"/>
      <c r="M961" s="124"/>
      <c r="N961" s="124"/>
      <c r="O961" s="124"/>
      <c r="P961" s="124"/>
      <c r="Q961" s="124"/>
      <c r="R961" s="123"/>
      <c r="S961" s="123"/>
      <c r="T961" s="123"/>
      <c r="U961" s="123"/>
      <c r="V961" s="123"/>
      <c r="W961" s="123"/>
      <c r="X961" s="123"/>
      <c r="Y961" s="123"/>
      <c r="Z961" s="123"/>
      <c r="AA961" s="123"/>
      <c r="AB961" s="123"/>
      <c r="AC961" s="123"/>
      <c r="AD961" s="123"/>
      <c r="AE961" s="123"/>
      <c r="AF961" s="123"/>
      <c r="AG961" s="123"/>
      <c r="AH961" s="123"/>
      <c r="AI961" s="123"/>
      <c r="AJ961" s="123"/>
    </row>
    <row r="962" ht="15.75" customHeight="1">
      <c r="A962" s="123"/>
      <c r="B962" s="124"/>
      <c r="C962" s="124"/>
      <c r="D962" s="124"/>
      <c r="E962" s="124"/>
      <c r="F962" s="125"/>
      <c r="G962" s="124"/>
      <c r="H962" s="124"/>
      <c r="I962" s="125"/>
      <c r="J962" s="123"/>
      <c r="K962" s="124"/>
      <c r="L962" s="125"/>
      <c r="M962" s="124"/>
      <c r="N962" s="124"/>
      <c r="O962" s="124"/>
      <c r="P962" s="124"/>
      <c r="Q962" s="124"/>
      <c r="R962" s="123"/>
      <c r="S962" s="123"/>
      <c r="T962" s="123"/>
      <c r="U962" s="123"/>
      <c r="V962" s="123"/>
      <c r="W962" s="123"/>
      <c r="X962" s="123"/>
      <c r="Y962" s="123"/>
      <c r="Z962" s="123"/>
      <c r="AA962" s="123"/>
      <c r="AB962" s="123"/>
      <c r="AC962" s="123"/>
      <c r="AD962" s="123"/>
      <c r="AE962" s="123"/>
      <c r="AF962" s="123"/>
      <c r="AG962" s="123"/>
      <c r="AH962" s="123"/>
      <c r="AI962" s="123"/>
      <c r="AJ962" s="123"/>
    </row>
    <row r="963" ht="15.75" customHeight="1">
      <c r="A963" s="123"/>
      <c r="B963" s="124"/>
      <c r="C963" s="124"/>
      <c r="D963" s="124"/>
      <c r="E963" s="124"/>
      <c r="F963" s="125"/>
      <c r="G963" s="124"/>
      <c r="H963" s="124"/>
      <c r="I963" s="125"/>
      <c r="J963" s="123"/>
      <c r="K963" s="124"/>
      <c r="L963" s="125"/>
      <c r="M963" s="124"/>
      <c r="N963" s="124"/>
      <c r="O963" s="124"/>
      <c r="P963" s="124"/>
      <c r="Q963" s="124"/>
      <c r="R963" s="123"/>
      <c r="S963" s="123"/>
      <c r="T963" s="123"/>
      <c r="U963" s="123"/>
      <c r="V963" s="123"/>
      <c r="W963" s="123"/>
      <c r="X963" s="123"/>
      <c r="Y963" s="123"/>
      <c r="Z963" s="123"/>
      <c r="AA963" s="123"/>
      <c r="AB963" s="123"/>
      <c r="AC963" s="123"/>
      <c r="AD963" s="123"/>
      <c r="AE963" s="123"/>
      <c r="AF963" s="123"/>
      <c r="AG963" s="123"/>
      <c r="AH963" s="123"/>
      <c r="AI963" s="123"/>
      <c r="AJ963" s="123"/>
    </row>
    <row r="964" ht="15.75" customHeight="1">
      <c r="A964" s="123"/>
      <c r="B964" s="124"/>
      <c r="C964" s="124"/>
      <c r="D964" s="124"/>
      <c r="E964" s="124"/>
      <c r="F964" s="125"/>
      <c r="G964" s="124"/>
      <c r="H964" s="124"/>
      <c r="I964" s="125"/>
      <c r="J964" s="123"/>
      <c r="K964" s="124"/>
      <c r="L964" s="125"/>
      <c r="M964" s="124"/>
      <c r="N964" s="124"/>
      <c r="O964" s="124"/>
      <c r="P964" s="124"/>
      <c r="Q964" s="124"/>
      <c r="R964" s="123"/>
      <c r="S964" s="123"/>
      <c r="T964" s="123"/>
      <c r="U964" s="123"/>
      <c r="V964" s="123"/>
      <c r="W964" s="123"/>
      <c r="X964" s="123"/>
      <c r="Y964" s="123"/>
      <c r="Z964" s="123"/>
      <c r="AA964" s="123"/>
      <c r="AB964" s="123"/>
      <c r="AC964" s="123"/>
      <c r="AD964" s="123"/>
      <c r="AE964" s="123"/>
      <c r="AF964" s="123"/>
      <c r="AG964" s="123"/>
      <c r="AH964" s="123"/>
      <c r="AI964" s="123"/>
      <c r="AJ964" s="123"/>
    </row>
    <row r="965" ht="15.75" customHeight="1">
      <c r="A965" s="123"/>
      <c r="B965" s="124"/>
      <c r="C965" s="124"/>
      <c r="D965" s="124"/>
      <c r="E965" s="124"/>
      <c r="F965" s="125"/>
      <c r="G965" s="124"/>
      <c r="H965" s="124"/>
      <c r="I965" s="125"/>
      <c r="J965" s="123"/>
      <c r="K965" s="124"/>
      <c r="L965" s="125"/>
      <c r="M965" s="124"/>
      <c r="N965" s="124"/>
      <c r="O965" s="124"/>
      <c r="P965" s="124"/>
      <c r="Q965" s="124"/>
      <c r="R965" s="123"/>
      <c r="S965" s="123"/>
      <c r="T965" s="123"/>
      <c r="U965" s="123"/>
      <c r="V965" s="123"/>
      <c r="W965" s="123"/>
      <c r="X965" s="123"/>
      <c r="Y965" s="123"/>
      <c r="Z965" s="123"/>
      <c r="AA965" s="123"/>
      <c r="AB965" s="123"/>
      <c r="AC965" s="123"/>
      <c r="AD965" s="123"/>
      <c r="AE965" s="123"/>
      <c r="AF965" s="123"/>
      <c r="AG965" s="123"/>
      <c r="AH965" s="123"/>
      <c r="AI965" s="123"/>
      <c r="AJ965" s="123"/>
    </row>
    <row r="966" ht="15.75" customHeight="1">
      <c r="A966" s="123"/>
      <c r="B966" s="124"/>
      <c r="C966" s="124"/>
      <c r="D966" s="124"/>
      <c r="E966" s="124"/>
      <c r="F966" s="125"/>
      <c r="G966" s="124"/>
      <c r="H966" s="124"/>
      <c r="I966" s="125"/>
      <c r="J966" s="123"/>
      <c r="K966" s="124"/>
      <c r="L966" s="125"/>
      <c r="M966" s="124"/>
      <c r="N966" s="124"/>
      <c r="O966" s="124"/>
      <c r="P966" s="124"/>
      <c r="Q966" s="124"/>
      <c r="R966" s="123"/>
      <c r="S966" s="123"/>
      <c r="T966" s="123"/>
      <c r="U966" s="123"/>
      <c r="V966" s="123"/>
      <c r="W966" s="123"/>
      <c r="X966" s="123"/>
      <c r="Y966" s="123"/>
      <c r="Z966" s="123"/>
      <c r="AA966" s="123"/>
      <c r="AB966" s="123"/>
      <c r="AC966" s="123"/>
      <c r="AD966" s="123"/>
      <c r="AE966" s="123"/>
      <c r="AF966" s="123"/>
      <c r="AG966" s="123"/>
      <c r="AH966" s="123"/>
      <c r="AI966" s="123"/>
      <c r="AJ966" s="123"/>
    </row>
    <row r="967" ht="15.75" customHeight="1">
      <c r="A967" s="123"/>
      <c r="B967" s="124"/>
      <c r="C967" s="124"/>
      <c r="D967" s="124"/>
      <c r="E967" s="124"/>
      <c r="F967" s="125"/>
      <c r="G967" s="124"/>
      <c r="H967" s="124"/>
      <c r="I967" s="125"/>
      <c r="J967" s="123"/>
      <c r="K967" s="124"/>
      <c r="L967" s="125"/>
      <c r="M967" s="124"/>
      <c r="N967" s="124"/>
      <c r="O967" s="124"/>
      <c r="P967" s="124"/>
      <c r="Q967" s="124"/>
      <c r="R967" s="123"/>
      <c r="S967" s="123"/>
      <c r="T967" s="123"/>
      <c r="U967" s="123"/>
      <c r="V967" s="123"/>
      <c r="W967" s="123"/>
      <c r="X967" s="123"/>
      <c r="Y967" s="123"/>
      <c r="Z967" s="123"/>
      <c r="AA967" s="123"/>
      <c r="AB967" s="123"/>
      <c r="AC967" s="123"/>
      <c r="AD967" s="123"/>
      <c r="AE967" s="123"/>
      <c r="AF967" s="123"/>
      <c r="AG967" s="123"/>
      <c r="AH967" s="123"/>
      <c r="AI967" s="123"/>
      <c r="AJ967" s="123"/>
    </row>
    <row r="968" ht="15.75" customHeight="1">
      <c r="A968" s="123"/>
      <c r="B968" s="124"/>
      <c r="C968" s="124"/>
      <c r="D968" s="124"/>
      <c r="E968" s="124"/>
      <c r="F968" s="125"/>
      <c r="G968" s="124"/>
      <c r="H968" s="124"/>
      <c r="I968" s="125"/>
      <c r="J968" s="123"/>
      <c r="K968" s="124"/>
      <c r="L968" s="125"/>
      <c r="M968" s="124"/>
      <c r="N968" s="124"/>
      <c r="O968" s="124"/>
      <c r="P968" s="124"/>
      <c r="Q968" s="124"/>
      <c r="R968" s="123"/>
      <c r="S968" s="123"/>
      <c r="T968" s="123"/>
      <c r="U968" s="123"/>
      <c r="V968" s="123"/>
      <c r="W968" s="123"/>
      <c r="X968" s="123"/>
      <c r="Y968" s="123"/>
      <c r="Z968" s="123"/>
      <c r="AA968" s="123"/>
      <c r="AB968" s="123"/>
      <c r="AC968" s="123"/>
      <c r="AD968" s="123"/>
      <c r="AE968" s="123"/>
      <c r="AF968" s="123"/>
      <c r="AG968" s="123"/>
      <c r="AH968" s="123"/>
      <c r="AI968" s="123"/>
      <c r="AJ968" s="123"/>
    </row>
    <row r="969" ht="15.75" customHeight="1">
      <c r="A969" s="123"/>
      <c r="B969" s="124"/>
      <c r="C969" s="124"/>
      <c r="D969" s="124"/>
      <c r="E969" s="124"/>
      <c r="F969" s="125"/>
      <c r="G969" s="124"/>
      <c r="H969" s="124"/>
      <c r="I969" s="125"/>
      <c r="J969" s="123"/>
      <c r="K969" s="124"/>
      <c r="L969" s="125"/>
      <c r="M969" s="124"/>
      <c r="N969" s="124"/>
      <c r="O969" s="124"/>
      <c r="P969" s="124"/>
      <c r="Q969" s="124"/>
      <c r="R969" s="123"/>
      <c r="S969" s="123"/>
      <c r="T969" s="123"/>
      <c r="U969" s="123"/>
      <c r="V969" s="123"/>
      <c r="W969" s="123"/>
      <c r="X969" s="123"/>
      <c r="Y969" s="123"/>
      <c r="Z969" s="123"/>
      <c r="AA969" s="123"/>
      <c r="AB969" s="123"/>
      <c r="AC969" s="123"/>
      <c r="AD969" s="123"/>
      <c r="AE969" s="123"/>
      <c r="AF969" s="123"/>
      <c r="AG969" s="123"/>
      <c r="AH969" s="123"/>
      <c r="AI969" s="123"/>
      <c r="AJ969" s="123"/>
    </row>
    <row r="970" ht="15.75" customHeight="1">
      <c r="A970" s="123"/>
      <c r="B970" s="124"/>
      <c r="C970" s="124"/>
      <c r="D970" s="124"/>
      <c r="E970" s="124"/>
      <c r="F970" s="125"/>
      <c r="G970" s="124"/>
      <c r="H970" s="124"/>
      <c r="I970" s="125"/>
      <c r="J970" s="123"/>
      <c r="K970" s="124"/>
      <c r="L970" s="125"/>
      <c r="M970" s="124"/>
      <c r="N970" s="124"/>
      <c r="O970" s="124"/>
      <c r="P970" s="124"/>
      <c r="Q970" s="124"/>
      <c r="R970" s="123"/>
      <c r="S970" s="123"/>
      <c r="T970" s="123"/>
      <c r="U970" s="123"/>
      <c r="V970" s="123"/>
      <c r="W970" s="123"/>
      <c r="X970" s="123"/>
      <c r="Y970" s="123"/>
      <c r="Z970" s="123"/>
      <c r="AA970" s="123"/>
      <c r="AB970" s="123"/>
      <c r="AC970" s="123"/>
      <c r="AD970" s="123"/>
      <c r="AE970" s="123"/>
      <c r="AF970" s="123"/>
      <c r="AG970" s="123"/>
      <c r="AH970" s="123"/>
      <c r="AI970" s="123"/>
      <c r="AJ970" s="123"/>
    </row>
    <row r="971" ht="15.75" customHeight="1">
      <c r="A971" s="123"/>
      <c r="B971" s="124"/>
      <c r="C971" s="124"/>
      <c r="D971" s="124"/>
      <c r="E971" s="124"/>
      <c r="F971" s="125"/>
      <c r="G971" s="124"/>
      <c r="H971" s="124"/>
      <c r="I971" s="125"/>
      <c r="J971" s="123"/>
      <c r="K971" s="124"/>
      <c r="L971" s="125"/>
      <c r="M971" s="124"/>
      <c r="N971" s="124"/>
      <c r="O971" s="124"/>
      <c r="P971" s="124"/>
      <c r="Q971" s="124"/>
      <c r="R971" s="123"/>
      <c r="S971" s="123"/>
      <c r="T971" s="123"/>
      <c r="U971" s="123"/>
      <c r="V971" s="123"/>
      <c r="W971" s="123"/>
      <c r="X971" s="123"/>
      <c r="Y971" s="123"/>
      <c r="Z971" s="123"/>
      <c r="AA971" s="123"/>
      <c r="AB971" s="123"/>
      <c r="AC971" s="123"/>
      <c r="AD971" s="123"/>
      <c r="AE971" s="123"/>
      <c r="AF971" s="123"/>
      <c r="AG971" s="123"/>
      <c r="AH971" s="123"/>
      <c r="AI971" s="123"/>
      <c r="AJ971" s="123"/>
    </row>
    <row r="972" ht="15.75" customHeight="1">
      <c r="A972" s="123"/>
      <c r="B972" s="124"/>
      <c r="C972" s="124"/>
      <c r="D972" s="124"/>
      <c r="E972" s="124"/>
      <c r="F972" s="125"/>
      <c r="G972" s="124"/>
      <c r="H972" s="124"/>
      <c r="I972" s="125"/>
      <c r="J972" s="123"/>
      <c r="K972" s="124"/>
      <c r="L972" s="125"/>
      <c r="M972" s="124"/>
      <c r="N972" s="124"/>
      <c r="O972" s="124"/>
      <c r="P972" s="124"/>
      <c r="Q972" s="124"/>
      <c r="R972" s="123"/>
      <c r="S972" s="123"/>
      <c r="T972" s="123"/>
      <c r="U972" s="123"/>
      <c r="V972" s="123"/>
      <c r="W972" s="123"/>
      <c r="X972" s="123"/>
      <c r="Y972" s="123"/>
      <c r="Z972" s="123"/>
      <c r="AA972" s="123"/>
      <c r="AB972" s="123"/>
      <c r="AC972" s="123"/>
      <c r="AD972" s="123"/>
      <c r="AE972" s="123"/>
      <c r="AF972" s="123"/>
      <c r="AG972" s="123"/>
      <c r="AH972" s="123"/>
      <c r="AI972" s="123"/>
      <c r="AJ972" s="123"/>
    </row>
    <row r="973" ht="15.75" customHeight="1">
      <c r="A973" s="123"/>
      <c r="B973" s="124"/>
      <c r="C973" s="124"/>
      <c r="D973" s="124"/>
      <c r="E973" s="124"/>
      <c r="F973" s="125"/>
      <c r="G973" s="124"/>
      <c r="H973" s="124"/>
      <c r="I973" s="125"/>
      <c r="J973" s="123"/>
      <c r="K973" s="124"/>
      <c r="L973" s="125"/>
      <c r="M973" s="124"/>
      <c r="N973" s="124"/>
      <c r="O973" s="124"/>
      <c r="P973" s="124"/>
      <c r="Q973" s="124"/>
      <c r="R973" s="123"/>
      <c r="S973" s="123"/>
      <c r="T973" s="123"/>
      <c r="U973" s="123"/>
      <c r="V973" s="123"/>
      <c r="W973" s="123"/>
      <c r="X973" s="123"/>
      <c r="Y973" s="123"/>
      <c r="Z973" s="123"/>
      <c r="AA973" s="123"/>
      <c r="AB973" s="123"/>
      <c r="AC973" s="123"/>
      <c r="AD973" s="123"/>
      <c r="AE973" s="123"/>
      <c r="AF973" s="123"/>
      <c r="AG973" s="123"/>
      <c r="AH973" s="123"/>
      <c r="AI973" s="123"/>
      <c r="AJ973" s="123"/>
    </row>
    <row r="974" ht="15.75" customHeight="1">
      <c r="A974" s="123"/>
      <c r="B974" s="124"/>
      <c r="C974" s="124"/>
      <c r="D974" s="124"/>
      <c r="E974" s="124"/>
      <c r="F974" s="125"/>
      <c r="G974" s="124"/>
      <c r="H974" s="124"/>
      <c r="I974" s="125"/>
      <c r="J974" s="123"/>
      <c r="K974" s="124"/>
      <c r="L974" s="125"/>
      <c r="M974" s="124"/>
      <c r="N974" s="124"/>
      <c r="O974" s="124"/>
      <c r="P974" s="124"/>
      <c r="Q974" s="124"/>
      <c r="R974" s="123"/>
      <c r="S974" s="123"/>
      <c r="T974" s="123"/>
      <c r="U974" s="123"/>
      <c r="V974" s="123"/>
      <c r="W974" s="123"/>
      <c r="X974" s="123"/>
      <c r="Y974" s="123"/>
      <c r="Z974" s="123"/>
      <c r="AA974" s="123"/>
      <c r="AB974" s="123"/>
      <c r="AC974" s="123"/>
      <c r="AD974" s="123"/>
      <c r="AE974" s="123"/>
      <c r="AF974" s="123"/>
      <c r="AG974" s="123"/>
      <c r="AH974" s="123"/>
      <c r="AI974" s="123"/>
      <c r="AJ974" s="123"/>
    </row>
    <row r="975" ht="15.75" customHeight="1">
      <c r="A975" s="123"/>
      <c r="B975" s="124"/>
      <c r="C975" s="124"/>
      <c r="D975" s="124"/>
      <c r="E975" s="124"/>
      <c r="F975" s="125"/>
      <c r="G975" s="124"/>
      <c r="H975" s="124"/>
      <c r="I975" s="125"/>
      <c r="J975" s="123"/>
      <c r="K975" s="124"/>
      <c r="L975" s="125"/>
      <c r="M975" s="124"/>
      <c r="N975" s="124"/>
      <c r="O975" s="124"/>
      <c r="P975" s="124"/>
      <c r="Q975" s="124"/>
      <c r="R975" s="123"/>
      <c r="S975" s="123"/>
      <c r="T975" s="123"/>
      <c r="U975" s="123"/>
      <c r="V975" s="123"/>
      <c r="W975" s="123"/>
      <c r="X975" s="123"/>
      <c r="Y975" s="123"/>
      <c r="Z975" s="123"/>
      <c r="AA975" s="123"/>
      <c r="AB975" s="123"/>
      <c r="AC975" s="123"/>
      <c r="AD975" s="123"/>
      <c r="AE975" s="123"/>
      <c r="AF975" s="123"/>
      <c r="AG975" s="123"/>
      <c r="AH975" s="123"/>
      <c r="AI975" s="123"/>
      <c r="AJ975" s="123"/>
    </row>
    <row r="976" ht="15.75" customHeight="1">
      <c r="A976" s="123"/>
      <c r="B976" s="124"/>
      <c r="C976" s="124"/>
      <c r="D976" s="124"/>
      <c r="E976" s="124"/>
      <c r="F976" s="125"/>
      <c r="G976" s="124"/>
      <c r="H976" s="124"/>
      <c r="I976" s="125"/>
      <c r="J976" s="123"/>
      <c r="K976" s="124"/>
      <c r="L976" s="125"/>
      <c r="M976" s="124"/>
      <c r="N976" s="124"/>
      <c r="O976" s="124"/>
      <c r="P976" s="124"/>
      <c r="Q976" s="124"/>
      <c r="R976" s="123"/>
      <c r="S976" s="123"/>
      <c r="T976" s="123"/>
      <c r="U976" s="123"/>
      <c r="V976" s="123"/>
      <c r="W976" s="123"/>
      <c r="X976" s="123"/>
      <c r="Y976" s="123"/>
      <c r="Z976" s="123"/>
      <c r="AA976" s="123"/>
      <c r="AB976" s="123"/>
      <c r="AC976" s="123"/>
      <c r="AD976" s="123"/>
      <c r="AE976" s="123"/>
      <c r="AF976" s="123"/>
      <c r="AG976" s="123"/>
      <c r="AH976" s="123"/>
      <c r="AI976" s="123"/>
      <c r="AJ976" s="123"/>
    </row>
    <row r="977" ht="15.75" customHeight="1">
      <c r="A977" s="123"/>
      <c r="B977" s="124"/>
      <c r="C977" s="124"/>
      <c r="D977" s="124"/>
      <c r="E977" s="124"/>
      <c r="F977" s="125"/>
      <c r="G977" s="124"/>
      <c r="H977" s="124"/>
      <c r="I977" s="125"/>
      <c r="J977" s="123"/>
      <c r="K977" s="124"/>
      <c r="L977" s="125"/>
      <c r="M977" s="124"/>
      <c r="N977" s="124"/>
      <c r="O977" s="124"/>
      <c r="P977" s="124"/>
      <c r="Q977" s="124"/>
      <c r="R977" s="123"/>
      <c r="S977" s="123"/>
      <c r="T977" s="123"/>
      <c r="U977" s="123"/>
      <c r="V977" s="123"/>
      <c r="W977" s="123"/>
      <c r="X977" s="123"/>
      <c r="Y977" s="123"/>
      <c r="Z977" s="123"/>
      <c r="AA977" s="123"/>
      <c r="AB977" s="123"/>
      <c r="AC977" s="123"/>
      <c r="AD977" s="123"/>
      <c r="AE977" s="123"/>
      <c r="AF977" s="123"/>
      <c r="AG977" s="123"/>
      <c r="AH977" s="123"/>
      <c r="AI977" s="123"/>
      <c r="AJ977" s="123"/>
    </row>
    <row r="978" ht="15.75" customHeight="1">
      <c r="A978" s="123"/>
      <c r="B978" s="124"/>
      <c r="C978" s="124"/>
      <c r="D978" s="124"/>
      <c r="E978" s="124"/>
      <c r="F978" s="125"/>
      <c r="G978" s="124"/>
      <c r="H978" s="124"/>
      <c r="I978" s="125"/>
      <c r="J978" s="123"/>
      <c r="K978" s="124"/>
      <c r="L978" s="125"/>
      <c r="M978" s="124"/>
      <c r="N978" s="124"/>
      <c r="O978" s="124"/>
      <c r="P978" s="124"/>
      <c r="Q978" s="124"/>
      <c r="R978" s="123"/>
      <c r="S978" s="123"/>
      <c r="T978" s="123"/>
      <c r="U978" s="123"/>
      <c r="V978" s="123"/>
      <c r="W978" s="123"/>
      <c r="X978" s="123"/>
      <c r="Y978" s="123"/>
      <c r="Z978" s="123"/>
      <c r="AA978" s="123"/>
      <c r="AB978" s="123"/>
      <c r="AC978" s="123"/>
      <c r="AD978" s="123"/>
      <c r="AE978" s="123"/>
      <c r="AF978" s="123"/>
      <c r="AG978" s="123"/>
      <c r="AH978" s="123"/>
      <c r="AI978" s="123"/>
      <c r="AJ978" s="123"/>
    </row>
    <row r="979" ht="15.75" customHeight="1">
      <c r="A979" s="123"/>
      <c r="B979" s="124"/>
      <c r="C979" s="124"/>
      <c r="D979" s="124"/>
      <c r="E979" s="124"/>
      <c r="F979" s="125"/>
      <c r="G979" s="124"/>
      <c r="H979" s="124"/>
      <c r="I979" s="125"/>
      <c r="J979" s="123"/>
      <c r="K979" s="124"/>
      <c r="L979" s="125"/>
      <c r="M979" s="124"/>
      <c r="N979" s="124"/>
      <c r="O979" s="124"/>
      <c r="P979" s="124"/>
      <c r="Q979" s="124"/>
      <c r="R979" s="123"/>
      <c r="S979" s="123"/>
      <c r="T979" s="123"/>
      <c r="U979" s="123"/>
      <c r="V979" s="123"/>
      <c r="W979" s="123"/>
      <c r="X979" s="123"/>
      <c r="Y979" s="123"/>
      <c r="Z979" s="123"/>
      <c r="AA979" s="123"/>
      <c r="AB979" s="123"/>
      <c r="AC979" s="123"/>
      <c r="AD979" s="123"/>
      <c r="AE979" s="123"/>
      <c r="AF979" s="123"/>
      <c r="AG979" s="123"/>
      <c r="AH979" s="123"/>
      <c r="AI979" s="123"/>
      <c r="AJ979" s="123"/>
    </row>
    <row r="980" ht="15.75" customHeight="1">
      <c r="A980" s="123"/>
      <c r="B980" s="124"/>
      <c r="C980" s="124"/>
      <c r="D980" s="124"/>
      <c r="E980" s="124"/>
      <c r="F980" s="125"/>
      <c r="G980" s="124"/>
      <c r="H980" s="124"/>
      <c r="I980" s="125"/>
      <c r="J980" s="123"/>
      <c r="K980" s="124"/>
      <c r="L980" s="125"/>
      <c r="M980" s="124"/>
      <c r="N980" s="124"/>
      <c r="O980" s="124"/>
      <c r="P980" s="124"/>
      <c r="Q980" s="124"/>
      <c r="R980" s="123"/>
      <c r="S980" s="123"/>
      <c r="T980" s="123"/>
      <c r="U980" s="123"/>
      <c r="V980" s="123"/>
      <c r="W980" s="123"/>
      <c r="X980" s="123"/>
      <c r="Y980" s="123"/>
      <c r="Z980" s="123"/>
      <c r="AA980" s="123"/>
      <c r="AB980" s="123"/>
      <c r="AC980" s="123"/>
      <c r="AD980" s="123"/>
      <c r="AE980" s="123"/>
      <c r="AF980" s="123"/>
      <c r="AG980" s="123"/>
      <c r="AH980" s="123"/>
      <c r="AI980" s="123"/>
      <c r="AJ980" s="123"/>
    </row>
    <row r="981" ht="15.75" customHeight="1">
      <c r="A981" s="123"/>
      <c r="B981" s="124"/>
      <c r="C981" s="124"/>
      <c r="D981" s="124"/>
      <c r="E981" s="124"/>
      <c r="F981" s="125"/>
      <c r="G981" s="124"/>
      <c r="H981" s="124"/>
      <c r="I981" s="125"/>
      <c r="J981" s="123"/>
      <c r="K981" s="124"/>
      <c r="L981" s="125"/>
      <c r="M981" s="124"/>
      <c r="N981" s="124"/>
      <c r="O981" s="124"/>
      <c r="P981" s="124"/>
      <c r="Q981" s="124"/>
      <c r="R981" s="123"/>
      <c r="S981" s="123"/>
      <c r="T981" s="123"/>
      <c r="U981" s="123"/>
      <c r="V981" s="123"/>
      <c r="W981" s="123"/>
      <c r="X981" s="123"/>
      <c r="Y981" s="123"/>
      <c r="Z981" s="123"/>
      <c r="AA981" s="123"/>
      <c r="AB981" s="123"/>
      <c r="AC981" s="123"/>
      <c r="AD981" s="123"/>
      <c r="AE981" s="123"/>
      <c r="AF981" s="123"/>
      <c r="AG981" s="123"/>
      <c r="AH981" s="123"/>
      <c r="AI981" s="123"/>
      <c r="AJ981" s="123"/>
    </row>
    <row r="982" ht="15.75" customHeight="1">
      <c r="A982" s="123"/>
      <c r="B982" s="124"/>
      <c r="C982" s="124"/>
      <c r="D982" s="124"/>
      <c r="E982" s="124"/>
      <c r="F982" s="125"/>
      <c r="G982" s="124"/>
      <c r="H982" s="124"/>
      <c r="I982" s="125"/>
      <c r="J982" s="123"/>
      <c r="K982" s="124"/>
      <c r="L982" s="125"/>
      <c r="M982" s="124"/>
      <c r="N982" s="124"/>
      <c r="O982" s="124"/>
      <c r="P982" s="124"/>
      <c r="Q982" s="124"/>
      <c r="R982" s="123"/>
      <c r="S982" s="123"/>
      <c r="T982" s="123"/>
      <c r="U982" s="123"/>
      <c r="V982" s="123"/>
      <c r="W982" s="123"/>
      <c r="X982" s="123"/>
      <c r="Y982" s="123"/>
      <c r="Z982" s="123"/>
      <c r="AA982" s="123"/>
      <c r="AB982" s="123"/>
      <c r="AC982" s="123"/>
      <c r="AD982" s="123"/>
      <c r="AE982" s="123"/>
      <c r="AF982" s="123"/>
      <c r="AG982" s="123"/>
      <c r="AH982" s="123"/>
      <c r="AI982" s="123"/>
      <c r="AJ982" s="123"/>
    </row>
    <row r="983" ht="15.75" customHeight="1">
      <c r="A983" s="123"/>
      <c r="B983" s="124"/>
      <c r="C983" s="124"/>
      <c r="D983" s="124"/>
      <c r="E983" s="124"/>
      <c r="F983" s="125"/>
      <c r="G983" s="124"/>
      <c r="H983" s="124"/>
      <c r="I983" s="125"/>
      <c r="J983" s="123"/>
      <c r="K983" s="124"/>
      <c r="L983" s="125"/>
      <c r="M983" s="124"/>
      <c r="N983" s="124"/>
      <c r="O983" s="124"/>
      <c r="P983" s="124"/>
      <c r="Q983" s="124"/>
      <c r="R983" s="123"/>
      <c r="S983" s="123"/>
      <c r="T983" s="123"/>
      <c r="U983" s="123"/>
      <c r="V983" s="123"/>
      <c r="W983" s="123"/>
      <c r="X983" s="123"/>
      <c r="Y983" s="123"/>
      <c r="Z983" s="123"/>
      <c r="AA983" s="123"/>
      <c r="AB983" s="123"/>
      <c r="AC983" s="123"/>
      <c r="AD983" s="123"/>
      <c r="AE983" s="123"/>
      <c r="AF983" s="123"/>
      <c r="AG983" s="123"/>
      <c r="AH983" s="123"/>
      <c r="AI983" s="123"/>
      <c r="AJ983" s="123"/>
    </row>
    <row r="984" ht="15.75" customHeight="1">
      <c r="A984" s="123"/>
      <c r="B984" s="124"/>
      <c r="C984" s="124"/>
      <c r="D984" s="124"/>
      <c r="E984" s="124"/>
      <c r="F984" s="125"/>
      <c r="G984" s="124"/>
      <c r="H984" s="124"/>
      <c r="I984" s="125"/>
      <c r="J984" s="123"/>
      <c r="K984" s="124"/>
      <c r="L984" s="125"/>
      <c r="M984" s="124"/>
      <c r="N984" s="124"/>
      <c r="O984" s="124"/>
      <c r="P984" s="124"/>
      <c r="Q984" s="124"/>
      <c r="R984" s="123"/>
      <c r="S984" s="123"/>
      <c r="T984" s="123"/>
      <c r="U984" s="123"/>
      <c r="V984" s="123"/>
      <c r="W984" s="123"/>
      <c r="X984" s="123"/>
      <c r="Y984" s="123"/>
      <c r="Z984" s="123"/>
      <c r="AA984" s="123"/>
      <c r="AB984" s="123"/>
      <c r="AC984" s="123"/>
      <c r="AD984" s="123"/>
      <c r="AE984" s="123"/>
      <c r="AF984" s="123"/>
      <c r="AG984" s="123"/>
      <c r="AH984" s="123"/>
      <c r="AI984" s="123"/>
      <c r="AJ984" s="123"/>
    </row>
    <row r="985" ht="15.75" customHeight="1">
      <c r="A985" s="123"/>
      <c r="B985" s="124"/>
      <c r="C985" s="124"/>
      <c r="D985" s="124"/>
      <c r="E985" s="124"/>
      <c r="F985" s="125"/>
      <c r="G985" s="124"/>
      <c r="H985" s="124"/>
      <c r="I985" s="125"/>
      <c r="J985" s="123"/>
      <c r="K985" s="124"/>
      <c r="L985" s="125"/>
      <c r="M985" s="124"/>
      <c r="N985" s="124"/>
      <c r="O985" s="124"/>
      <c r="P985" s="124"/>
      <c r="Q985" s="124"/>
      <c r="R985" s="123"/>
      <c r="S985" s="123"/>
      <c r="T985" s="123"/>
      <c r="U985" s="123"/>
      <c r="V985" s="123"/>
      <c r="W985" s="123"/>
      <c r="X985" s="123"/>
      <c r="Y985" s="123"/>
      <c r="Z985" s="123"/>
      <c r="AA985" s="123"/>
      <c r="AB985" s="123"/>
      <c r="AC985" s="123"/>
      <c r="AD985" s="123"/>
      <c r="AE985" s="123"/>
      <c r="AF985" s="123"/>
      <c r="AG985" s="123"/>
      <c r="AH985" s="123"/>
      <c r="AI985" s="123"/>
      <c r="AJ985" s="123"/>
    </row>
    <row r="986" ht="15.75" customHeight="1">
      <c r="A986" s="123"/>
      <c r="B986" s="124"/>
      <c r="C986" s="124"/>
      <c r="D986" s="124"/>
      <c r="E986" s="124"/>
      <c r="F986" s="125"/>
      <c r="G986" s="124"/>
      <c r="H986" s="124"/>
      <c r="I986" s="125"/>
      <c r="J986" s="123"/>
      <c r="K986" s="124"/>
      <c r="L986" s="125"/>
      <c r="M986" s="124"/>
      <c r="N986" s="124"/>
      <c r="O986" s="124"/>
      <c r="P986" s="124"/>
      <c r="Q986" s="124"/>
      <c r="R986" s="123"/>
      <c r="S986" s="123"/>
      <c r="T986" s="123"/>
      <c r="U986" s="123"/>
      <c r="V986" s="123"/>
      <c r="W986" s="123"/>
      <c r="X986" s="123"/>
      <c r="Y986" s="123"/>
      <c r="Z986" s="123"/>
      <c r="AA986" s="123"/>
      <c r="AB986" s="123"/>
      <c r="AC986" s="123"/>
      <c r="AD986" s="123"/>
      <c r="AE986" s="123"/>
      <c r="AF986" s="123"/>
      <c r="AG986" s="123"/>
      <c r="AH986" s="123"/>
      <c r="AI986" s="123"/>
      <c r="AJ986" s="123"/>
    </row>
    <row r="987" ht="15.75" customHeight="1">
      <c r="A987" s="123"/>
      <c r="B987" s="124"/>
      <c r="C987" s="124"/>
      <c r="D987" s="124"/>
      <c r="E987" s="124"/>
      <c r="F987" s="125"/>
      <c r="G987" s="124"/>
      <c r="H987" s="124"/>
      <c r="I987" s="125"/>
      <c r="J987" s="123"/>
      <c r="K987" s="124"/>
      <c r="L987" s="125"/>
      <c r="M987" s="124"/>
      <c r="N987" s="124"/>
      <c r="O987" s="124"/>
      <c r="P987" s="124"/>
      <c r="Q987" s="124"/>
      <c r="R987" s="123"/>
      <c r="S987" s="123"/>
      <c r="T987" s="123"/>
      <c r="U987" s="123"/>
      <c r="V987" s="123"/>
      <c r="W987" s="123"/>
      <c r="X987" s="123"/>
      <c r="Y987" s="123"/>
      <c r="Z987" s="123"/>
      <c r="AA987" s="123"/>
      <c r="AB987" s="123"/>
      <c r="AC987" s="123"/>
      <c r="AD987" s="123"/>
      <c r="AE987" s="123"/>
      <c r="AF987" s="123"/>
      <c r="AG987" s="123"/>
      <c r="AH987" s="123"/>
      <c r="AI987" s="123"/>
      <c r="AJ987" s="123"/>
    </row>
    <row r="988" ht="15.75" customHeight="1">
      <c r="A988" s="123"/>
      <c r="B988" s="124"/>
      <c r="C988" s="124"/>
      <c r="D988" s="124"/>
      <c r="E988" s="124"/>
      <c r="F988" s="125"/>
      <c r="G988" s="124"/>
      <c r="H988" s="124"/>
      <c r="I988" s="125"/>
      <c r="J988" s="123"/>
      <c r="K988" s="124"/>
      <c r="L988" s="125"/>
      <c r="M988" s="124"/>
      <c r="N988" s="124"/>
      <c r="O988" s="124"/>
      <c r="P988" s="124"/>
      <c r="Q988" s="124"/>
      <c r="R988" s="123"/>
      <c r="S988" s="123"/>
      <c r="T988" s="123"/>
      <c r="U988" s="123"/>
      <c r="V988" s="123"/>
      <c r="W988" s="123"/>
      <c r="X988" s="123"/>
      <c r="Y988" s="123"/>
      <c r="Z988" s="123"/>
      <c r="AA988" s="123"/>
      <c r="AB988" s="123"/>
      <c r="AC988" s="123"/>
      <c r="AD988" s="123"/>
      <c r="AE988" s="123"/>
      <c r="AF988" s="123"/>
      <c r="AG988" s="123"/>
      <c r="AH988" s="123"/>
      <c r="AI988" s="123"/>
      <c r="AJ988" s="123"/>
    </row>
    <row r="989" ht="15.75" customHeight="1">
      <c r="A989" s="123"/>
      <c r="B989" s="124"/>
      <c r="C989" s="124"/>
      <c r="D989" s="124"/>
      <c r="E989" s="124"/>
      <c r="F989" s="125"/>
      <c r="G989" s="124"/>
      <c r="H989" s="124"/>
      <c r="I989" s="125"/>
      <c r="J989" s="123"/>
      <c r="K989" s="124"/>
      <c r="L989" s="125"/>
      <c r="M989" s="124"/>
      <c r="N989" s="124"/>
      <c r="O989" s="124"/>
      <c r="P989" s="124"/>
      <c r="Q989" s="124"/>
      <c r="R989" s="123"/>
      <c r="S989" s="123"/>
      <c r="T989" s="123"/>
      <c r="U989" s="123"/>
      <c r="V989" s="123"/>
      <c r="W989" s="123"/>
      <c r="X989" s="123"/>
      <c r="Y989" s="123"/>
      <c r="Z989" s="123"/>
      <c r="AA989" s="123"/>
      <c r="AB989" s="123"/>
      <c r="AC989" s="123"/>
      <c r="AD989" s="123"/>
      <c r="AE989" s="123"/>
      <c r="AF989" s="123"/>
      <c r="AG989" s="123"/>
      <c r="AH989" s="123"/>
      <c r="AI989" s="123"/>
      <c r="AJ989" s="123"/>
    </row>
    <row r="990" ht="15.75" customHeight="1">
      <c r="A990" s="123"/>
      <c r="B990" s="124"/>
      <c r="C990" s="124"/>
      <c r="D990" s="124"/>
      <c r="E990" s="124"/>
      <c r="F990" s="125"/>
      <c r="G990" s="124"/>
      <c r="H990" s="124"/>
      <c r="I990" s="125"/>
      <c r="J990" s="123"/>
      <c r="K990" s="124"/>
      <c r="L990" s="125"/>
      <c r="M990" s="124"/>
      <c r="N990" s="124"/>
      <c r="O990" s="124"/>
      <c r="P990" s="124"/>
      <c r="Q990" s="124"/>
      <c r="R990" s="123"/>
      <c r="S990" s="123"/>
      <c r="T990" s="123"/>
      <c r="U990" s="123"/>
      <c r="V990" s="123"/>
      <c r="W990" s="123"/>
      <c r="X990" s="123"/>
      <c r="Y990" s="123"/>
      <c r="Z990" s="123"/>
      <c r="AA990" s="123"/>
      <c r="AB990" s="123"/>
      <c r="AC990" s="123"/>
      <c r="AD990" s="123"/>
      <c r="AE990" s="123"/>
      <c r="AF990" s="123"/>
      <c r="AG990" s="123"/>
      <c r="AH990" s="123"/>
      <c r="AI990" s="123"/>
      <c r="AJ990" s="123"/>
    </row>
    <row r="991" ht="15.75" customHeight="1">
      <c r="A991" s="123"/>
      <c r="B991" s="124"/>
      <c r="C991" s="124"/>
      <c r="D991" s="124"/>
      <c r="E991" s="124"/>
      <c r="F991" s="125"/>
      <c r="G991" s="124"/>
      <c r="H991" s="124"/>
      <c r="I991" s="125"/>
      <c r="J991" s="123"/>
      <c r="K991" s="124"/>
      <c r="L991" s="125"/>
      <c r="M991" s="124"/>
      <c r="N991" s="124"/>
      <c r="O991" s="124"/>
      <c r="P991" s="124"/>
      <c r="Q991" s="124"/>
      <c r="R991" s="123"/>
      <c r="S991" s="123"/>
      <c r="T991" s="123"/>
      <c r="U991" s="123"/>
      <c r="V991" s="123"/>
      <c r="W991" s="123"/>
      <c r="X991" s="123"/>
      <c r="Y991" s="123"/>
      <c r="Z991" s="123"/>
      <c r="AA991" s="123"/>
      <c r="AB991" s="123"/>
      <c r="AC991" s="123"/>
      <c r="AD991" s="123"/>
      <c r="AE991" s="123"/>
      <c r="AF991" s="123"/>
      <c r="AG991" s="123"/>
      <c r="AH991" s="123"/>
      <c r="AI991" s="123"/>
      <c r="AJ991" s="123"/>
    </row>
    <row r="992" ht="15.75" customHeight="1">
      <c r="A992" s="123"/>
      <c r="B992" s="124"/>
      <c r="C992" s="124"/>
      <c r="D992" s="124"/>
      <c r="E992" s="124"/>
      <c r="F992" s="125"/>
      <c r="G992" s="124"/>
      <c r="H992" s="124"/>
      <c r="I992" s="125"/>
      <c r="J992" s="123"/>
      <c r="K992" s="124"/>
      <c r="L992" s="125"/>
      <c r="M992" s="124"/>
      <c r="N992" s="124"/>
      <c r="O992" s="124"/>
      <c r="P992" s="124"/>
      <c r="Q992" s="124"/>
      <c r="R992" s="123"/>
      <c r="S992" s="123"/>
      <c r="T992" s="123"/>
      <c r="U992" s="123"/>
      <c r="V992" s="123"/>
      <c r="W992" s="123"/>
      <c r="X992" s="123"/>
      <c r="Y992" s="123"/>
      <c r="Z992" s="123"/>
      <c r="AA992" s="123"/>
      <c r="AB992" s="123"/>
      <c r="AC992" s="123"/>
      <c r="AD992" s="123"/>
      <c r="AE992" s="123"/>
      <c r="AF992" s="123"/>
      <c r="AG992" s="123"/>
      <c r="AH992" s="123"/>
      <c r="AI992" s="123"/>
      <c r="AJ992" s="123"/>
    </row>
    <row r="993" ht="15.75" customHeight="1">
      <c r="A993" s="123"/>
      <c r="B993" s="124"/>
      <c r="C993" s="124"/>
      <c r="D993" s="124"/>
      <c r="E993" s="124"/>
      <c r="F993" s="125"/>
      <c r="G993" s="124"/>
      <c r="H993" s="124"/>
      <c r="I993" s="125"/>
      <c r="J993" s="123"/>
      <c r="K993" s="124"/>
      <c r="L993" s="125"/>
      <c r="M993" s="124"/>
      <c r="N993" s="124"/>
      <c r="O993" s="124"/>
      <c r="P993" s="124"/>
      <c r="Q993" s="124"/>
      <c r="R993" s="123"/>
      <c r="S993" s="123"/>
      <c r="T993" s="123"/>
      <c r="U993" s="123"/>
      <c r="V993" s="123"/>
      <c r="W993" s="123"/>
      <c r="X993" s="123"/>
      <c r="Y993" s="123"/>
      <c r="Z993" s="123"/>
      <c r="AA993" s="123"/>
      <c r="AB993" s="123"/>
      <c r="AC993" s="123"/>
      <c r="AD993" s="123"/>
      <c r="AE993" s="123"/>
      <c r="AF993" s="123"/>
      <c r="AG993" s="123"/>
      <c r="AH993" s="123"/>
      <c r="AI993" s="123"/>
      <c r="AJ993" s="123"/>
    </row>
    <row r="994" ht="15.75" customHeight="1">
      <c r="A994" s="123"/>
      <c r="B994" s="124"/>
      <c r="C994" s="124"/>
      <c r="D994" s="124"/>
      <c r="E994" s="124"/>
      <c r="F994" s="125"/>
      <c r="G994" s="124"/>
      <c r="H994" s="124"/>
      <c r="I994" s="125"/>
      <c r="J994" s="123"/>
      <c r="K994" s="124"/>
      <c r="L994" s="125"/>
      <c r="M994" s="124"/>
      <c r="N994" s="124"/>
      <c r="O994" s="124"/>
      <c r="P994" s="124"/>
      <c r="Q994" s="124"/>
      <c r="R994" s="123"/>
      <c r="S994" s="123"/>
      <c r="T994" s="123"/>
      <c r="U994" s="123"/>
      <c r="V994" s="123"/>
      <c r="W994" s="123"/>
      <c r="X994" s="123"/>
      <c r="Y994" s="123"/>
      <c r="Z994" s="123"/>
      <c r="AA994" s="123"/>
      <c r="AB994" s="123"/>
      <c r="AC994" s="123"/>
      <c r="AD994" s="123"/>
      <c r="AE994" s="123"/>
      <c r="AF994" s="123"/>
      <c r="AG994" s="123"/>
      <c r="AH994" s="123"/>
      <c r="AI994" s="123"/>
      <c r="AJ994" s="123"/>
    </row>
    <row r="995" ht="15.75" customHeight="1">
      <c r="A995" s="123"/>
      <c r="B995" s="124"/>
      <c r="C995" s="124"/>
      <c r="D995" s="124"/>
      <c r="E995" s="124"/>
      <c r="F995" s="125"/>
      <c r="G995" s="124"/>
      <c r="H995" s="124"/>
      <c r="I995" s="125"/>
      <c r="J995" s="123"/>
      <c r="K995" s="124"/>
      <c r="L995" s="125"/>
      <c r="M995" s="124"/>
      <c r="N995" s="124"/>
      <c r="O995" s="124"/>
      <c r="P995" s="124"/>
      <c r="Q995" s="124"/>
      <c r="R995" s="123"/>
      <c r="S995" s="123"/>
      <c r="T995" s="123"/>
      <c r="U995" s="123"/>
      <c r="V995" s="123"/>
      <c r="W995" s="123"/>
      <c r="X995" s="123"/>
      <c r="Y995" s="123"/>
      <c r="Z995" s="123"/>
      <c r="AA995" s="123"/>
      <c r="AB995" s="123"/>
      <c r="AC995" s="123"/>
      <c r="AD995" s="123"/>
      <c r="AE995" s="123"/>
      <c r="AF995" s="123"/>
      <c r="AG995" s="123"/>
      <c r="AH995" s="123"/>
      <c r="AI995" s="123"/>
      <c r="AJ995" s="123"/>
    </row>
    <row r="996" ht="15.75" customHeight="1">
      <c r="A996" s="123"/>
      <c r="B996" s="124"/>
      <c r="C996" s="124"/>
      <c r="D996" s="124"/>
      <c r="E996" s="124"/>
      <c r="F996" s="125"/>
      <c r="G996" s="124"/>
      <c r="H996" s="124"/>
      <c r="I996" s="125"/>
      <c r="J996" s="123"/>
      <c r="K996" s="124"/>
      <c r="L996" s="125"/>
      <c r="M996" s="124"/>
      <c r="N996" s="124"/>
      <c r="O996" s="124"/>
      <c r="P996" s="124"/>
      <c r="Q996" s="124"/>
      <c r="R996" s="123"/>
      <c r="S996" s="123"/>
      <c r="T996" s="123"/>
      <c r="U996" s="123"/>
      <c r="V996" s="123"/>
      <c r="W996" s="123"/>
      <c r="X996" s="123"/>
      <c r="Y996" s="123"/>
      <c r="Z996" s="123"/>
      <c r="AA996" s="123"/>
      <c r="AB996" s="123"/>
      <c r="AC996" s="123"/>
      <c r="AD996" s="123"/>
      <c r="AE996" s="123"/>
      <c r="AF996" s="123"/>
      <c r="AG996" s="123"/>
      <c r="AH996" s="123"/>
      <c r="AI996" s="123"/>
      <c r="AJ996" s="123"/>
    </row>
    <row r="997" ht="15.75" customHeight="1">
      <c r="A997" s="123"/>
      <c r="B997" s="124"/>
      <c r="C997" s="124"/>
      <c r="D997" s="124"/>
      <c r="E997" s="124"/>
      <c r="F997" s="125"/>
      <c r="G997" s="124"/>
      <c r="H997" s="124"/>
      <c r="I997" s="125"/>
      <c r="J997" s="123"/>
      <c r="K997" s="124"/>
      <c r="L997" s="125"/>
      <c r="M997" s="124"/>
      <c r="N997" s="124"/>
      <c r="O997" s="124"/>
      <c r="P997" s="124"/>
      <c r="Q997" s="124"/>
      <c r="R997" s="123"/>
      <c r="S997" s="123"/>
      <c r="T997" s="123"/>
      <c r="U997" s="123"/>
      <c r="V997" s="123"/>
      <c r="W997" s="123"/>
      <c r="X997" s="123"/>
      <c r="Y997" s="123"/>
      <c r="Z997" s="123"/>
      <c r="AA997" s="123"/>
      <c r="AB997" s="123"/>
      <c r="AC997" s="123"/>
      <c r="AD997" s="123"/>
      <c r="AE997" s="123"/>
      <c r="AF997" s="123"/>
      <c r="AG997" s="123"/>
      <c r="AH997" s="123"/>
      <c r="AI997" s="123"/>
      <c r="AJ997" s="123"/>
    </row>
    <row r="998" ht="15.75" customHeight="1">
      <c r="A998" s="123"/>
      <c r="B998" s="124"/>
      <c r="C998" s="124"/>
      <c r="D998" s="124"/>
      <c r="E998" s="124"/>
      <c r="F998" s="125"/>
      <c r="G998" s="124"/>
      <c r="H998" s="124"/>
      <c r="I998" s="125"/>
      <c r="J998" s="123"/>
      <c r="K998" s="124"/>
      <c r="L998" s="125"/>
      <c r="M998" s="124"/>
      <c r="N998" s="124"/>
      <c r="O998" s="124"/>
      <c r="P998" s="124"/>
      <c r="Q998" s="124"/>
      <c r="R998" s="123"/>
      <c r="S998" s="123"/>
      <c r="T998" s="123"/>
      <c r="U998" s="123"/>
      <c r="V998" s="123"/>
      <c r="W998" s="123"/>
      <c r="X998" s="123"/>
      <c r="Y998" s="123"/>
      <c r="Z998" s="123"/>
      <c r="AA998" s="123"/>
      <c r="AB998" s="123"/>
      <c r="AC998" s="123"/>
      <c r="AD998" s="123"/>
      <c r="AE998" s="123"/>
      <c r="AF998" s="123"/>
      <c r="AG998" s="123"/>
      <c r="AH998" s="123"/>
      <c r="AI998" s="123"/>
      <c r="AJ998" s="123"/>
    </row>
    <row r="999" ht="15.75" customHeight="1">
      <c r="A999" s="123"/>
      <c r="B999" s="124"/>
      <c r="C999" s="124"/>
      <c r="D999" s="124"/>
      <c r="E999" s="124"/>
      <c r="F999" s="125"/>
      <c r="G999" s="124"/>
      <c r="H999" s="124"/>
      <c r="I999" s="125"/>
      <c r="J999" s="123"/>
      <c r="K999" s="124"/>
      <c r="L999" s="125"/>
      <c r="M999" s="124"/>
      <c r="N999" s="124"/>
      <c r="O999" s="124"/>
      <c r="P999" s="124"/>
      <c r="Q999" s="124"/>
      <c r="R999" s="123"/>
      <c r="S999" s="123"/>
      <c r="T999" s="123"/>
      <c r="U999" s="123"/>
      <c r="V999" s="123"/>
      <c r="W999" s="123"/>
      <c r="X999" s="123"/>
      <c r="Y999" s="123"/>
      <c r="Z999" s="123"/>
      <c r="AA999" s="123"/>
      <c r="AB999" s="123"/>
      <c r="AC999" s="123"/>
      <c r="AD999" s="123"/>
      <c r="AE999" s="123"/>
      <c r="AF999" s="123"/>
      <c r="AG999" s="123"/>
      <c r="AH999" s="123"/>
      <c r="AI999" s="123"/>
      <c r="AJ999" s="123"/>
    </row>
    <row r="1000" ht="15.75" customHeight="1">
      <c r="A1000" s="123"/>
      <c r="B1000" s="124"/>
      <c r="C1000" s="124"/>
      <c r="D1000" s="124"/>
      <c r="E1000" s="124"/>
      <c r="F1000" s="125"/>
      <c r="G1000" s="124"/>
      <c r="H1000" s="124"/>
      <c r="I1000" s="125"/>
      <c r="J1000" s="123"/>
      <c r="K1000" s="124"/>
      <c r="L1000" s="125"/>
      <c r="M1000" s="124"/>
      <c r="N1000" s="124"/>
      <c r="O1000" s="124"/>
      <c r="P1000" s="124"/>
      <c r="Q1000" s="124"/>
      <c r="R1000" s="123"/>
      <c r="S1000" s="123"/>
      <c r="T1000" s="123"/>
      <c r="U1000" s="123"/>
      <c r="V1000" s="123"/>
      <c r="W1000" s="123"/>
      <c r="X1000" s="123"/>
      <c r="Y1000" s="123"/>
      <c r="Z1000" s="123"/>
      <c r="AA1000" s="123"/>
      <c r="AB1000" s="123"/>
      <c r="AC1000" s="123"/>
      <c r="AD1000" s="123"/>
      <c r="AE1000" s="123"/>
      <c r="AF1000" s="123"/>
      <c r="AG1000" s="123"/>
      <c r="AH1000" s="123"/>
      <c r="AI1000" s="123"/>
      <c r="AJ1000" s="123"/>
    </row>
  </sheetData>
  <hyperlinks>
    <hyperlink r:id="rId2" ref="R2"/>
    <hyperlink r:id="rId3" ref="R5"/>
    <hyperlink r:id="rId4" ref="R12"/>
    <hyperlink r:id="rId5" ref="M13"/>
    <hyperlink r:id="rId6" ref="R23"/>
    <hyperlink r:id="rId7" ref="R30"/>
    <hyperlink r:id="rId8" ref="R43"/>
    <hyperlink r:id="rId9" ref="R44"/>
    <hyperlink r:id="rId10" ref="M47"/>
    <hyperlink r:id="rId11" ref="R56"/>
    <hyperlink r:id="rId12" ref="R60"/>
    <hyperlink r:id="rId13" ref="R65"/>
    <hyperlink r:id="rId14" ref="R68"/>
    <hyperlink r:id="rId15" ref="R82"/>
    <hyperlink r:id="rId16" ref="R98"/>
    <hyperlink r:id="rId17" ref="R101"/>
    <hyperlink r:id="rId18" ref="R104"/>
    <hyperlink r:id="rId19" ref="R105"/>
    <hyperlink r:id="rId20" ref="R108"/>
    <hyperlink r:id="rId21" ref="R112"/>
    <hyperlink r:id="rId22" ref="R115"/>
    <hyperlink r:id="rId23" ref="R117"/>
    <hyperlink r:id="rId24" ref="R118"/>
    <hyperlink r:id="rId25" ref="R119"/>
    <hyperlink r:id="rId26" ref="R120"/>
    <hyperlink r:id="rId27" ref="R121"/>
    <hyperlink r:id="rId28" ref="R122"/>
    <hyperlink r:id="rId29" ref="R123"/>
    <hyperlink r:id="rId30" ref="R125"/>
    <hyperlink r:id="rId31" ref="R126"/>
    <hyperlink r:id="rId32" ref="R128"/>
    <hyperlink r:id="rId33" ref="R129"/>
    <hyperlink r:id="rId34" ref="R130"/>
    <hyperlink r:id="rId35" ref="R134"/>
    <hyperlink r:id="rId36" ref="R136"/>
    <hyperlink r:id="rId37" ref="R137"/>
    <hyperlink r:id="rId38" ref="R138"/>
    <hyperlink r:id="rId39" ref="R139"/>
    <hyperlink r:id="rId40" ref="R141"/>
    <hyperlink r:id="rId41" ref="R142"/>
    <hyperlink r:id="rId42" ref="R143"/>
    <hyperlink r:id="rId43" ref="R145"/>
    <hyperlink r:id="rId44" ref="R146"/>
    <hyperlink r:id="rId45" ref="R148"/>
    <hyperlink r:id="rId46" ref="R149"/>
    <hyperlink r:id="rId47" ref="R150"/>
    <hyperlink r:id="rId48" ref="R156"/>
    <hyperlink r:id="rId49" ref="R161"/>
    <hyperlink r:id="rId50" ref="R163"/>
    <hyperlink r:id="rId51" ref="R166"/>
    <hyperlink r:id="rId52" ref="R168"/>
    <hyperlink r:id="rId53" ref="R169"/>
    <hyperlink r:id="rId54" ref="R172"/>
    <hyperlink r:id="rId55" ref="R177"/>
    <hyperlink r:id="rId56" ref="R179"/>
    <hyperlink r:id="rId57" ref="R180"/>
    <hyperlink r:id="rId58" ref="R182"/>
    <hyperlink r:id="rId59" ref="R184"/>
    <hyperlink r:id="rId60" ref="R185"/>
    <hyperlink r:id="rId61" ref="R186"/>
    <hyperlink r:id="rId62" ref="R187"/>
    <hyperlink r:id="rId63" ref="R188"/>
    <hyperlink r:id="rId64" ref="R190"/>
    <hyperlink r:id="rId65" ref="R191"/>
    <hyperlink r:id="rId66" ref="R196"/>
    <hyperlink r:id="rId67" ref="R200"/>
    <hyperlink r:id="rId68" ref="R201"/>
    <hyperlink r:id="rId69" ref="R214"/>
    <hyperlink r:id="rId70" ref="R223"/>
    <hyperlink r:id="rId71" ref="R229"/>
    <hyperlink r:id="rId72" ref="R231"/>
    <hyperlink r:id="rId73" ref="R234"/>
    <hyperlink r:id="rId74" ref="R236"/>
    <hyperlink r:id="rId75" ref="R238"/>
    <hyperlink r:id="rId76" ref="R239"/>
    <hyperlink r:id="rId77" ref="R243"/>
    <hyperlink r:id="rId78" ref="R247"/>
    <hyperlink r:id="rId79" ref="R248"/>
    <hyperlink r:id="rId80" ref="R253"/>
    <hyperlink r:id="rId81" ref="R258"/>
    <hyperlink r:id="rId82" ref="R264"/>
    <hyperlink r:id="rId83" ref="R265"/>
    <hyperlink r:id="rId84" ref="R267"/>
    <hyperlink r:id="rId85" ref="R272"/>
    <hyperlink r:id="rId86" ref="R280"/>
    <hyperlink r:id="rId87" ref="R281"/>
    <hyperlink r:id="rId88" ref="R282"/>
    <hyperlink r:id="rId89" ref="R294"/>
    <hyperlink r:id="rId90" ref="R295"/>
    <hyperlink r:id="rId91" ref="R296"/>
    <hyperlink r:id="rId92" ref="R302"/>
    <hyperlink r:id="rId93" ref="N342"/>
    <hyperlink r:id="rId94" ref="O342"/>
    <hyperlink r:id="rId95" ref="R343"/>
    <hyperlink r:id="rId96" ref="R347"/>
    <hyperlink r:id="rId97" ref="R352"/>
    <hyperlink r:id="rId98" ref="R356"/>
    <hyperlink r:id="rId99" ref="R358"/>
    <hyperlink r:id="rId100" ref="R359"/>
    <hyperlink r:id="rId101" ref="R360"/>
    <hyperlink r:id="rId102" ref="R361"/>
    <hyperlink r:id="rId103" ref="R362"/>
    <hyperlink r:id="rId104" ref="R363"/>
    <hyperlink r:id="rId105" ref="N367"/>
    <hyperlink r:id="rId106" ref="R369"/>
    <hyperlink r:id="rId107" ref="R370"/>
    <hyperlink r:id="rId108" ref="R371"/>
    <hyperlink r:id="rId109" ref="R372"/>
    <hyperlink r:id="rId110" ref="R373"/>
    <hyperlink r:id="rId111" ref="R375"/>
    <hyperlink r:id="rId112" ref="R381"/>
    <hyperlink r:id="rId113" ref="R391"/>
    <hyperlink r:id="rId114" ref="R395"/>
    <hyperlink r:id="rId115" ref="R409"/>
    <hyperlink r:id="rId116" ref="R411"/>
    <hyperlink r:id="rId117" ref="R412"/>
    <hyperlink r:id="rId118" ref="R417"/>
    <hyperlink r:id="rId119" ref="R418"/>
    <hyperlink r:id="rId120" ref="R419"/>
    <hyperlink r:id="rId121" ref="R420"/>
    <hyperlink r:id="rId122" ref="R421"/>
    <hyperlink r:id="rId123" ref="R422"/>
    <hyperlink r:id="rId124" ref="R423"/>
    <hyperlink r:id="rId125" ref="N424"/>
    <hyperlink r:id="rId126" ref="R424"/>
    <hyperlink r:id="rId127" ref="R426"/>
    <hyperlink r:id="rId128" ref="R433"/>
    <hyperlink r:id="rId129" ref="R434"/>
    <hyperlink r:id="rId130" ref="R436"/>
    <hyperlink r:id="rId131" ref="R437"/>
    <hyperlink r:id="rId132" ref="R442"/>
    <hyperlink r:id="rId133" ref="R446"/>
    <hyperlink r:id="rId134" ref="R447"/>
    <hyperlink r:id="rId135" ref="R457"/>
    <hyperlink r:id="rId136" ref="O458"/>
    <hyperlink r:id="rId137" ref="N461"/>
    <hyperlink r:id="rId138" ref="O461"/>
    <hyperlink r:id="rId139" ref="R462"/>
    <hyperlink r:id="rId140" ref="R471"/>
  </hyperlinks>
  <drawing r:id="rId141"/>
  <legacyDrawing r:id="rId14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42" width="10.56"/>
  </cols>
  <sheetData>
    <row r="1" ht="63.75" customHeight="1">
      <c r="A1" s="144"/>
      <c r="B1" s="144" t="s">
        <v>1236</v>
      </c>
      <c r="C1" s="144" t="s">
        <v>6</v>
      </c>
      <c r="D1" s="144" t="s">
        <v>8</v>
      </c>
      <c r="E1" s="144" t="s">
        <v>9</v>
      </c>
      <c r="F1" s="144" t="s">
        <v>1217</v>
      </c>
      <c r="G1" s="144" t="s">
        <v>1218</v>
      </c>
      <c r="H1" s="144" t="s">
        <v>15</v>
      </c>
      <c r="I1" s="144" t="s">
        <v>1219</v>
      </c>
      <c r="J1" s="144" t="s">
        <v>21</v>
      </c>
      <c r="K1" s="144" t="s">
        <v>3801</v>
      </c>
      <c r="L1" s="144" t="s">
        <v>3802</v>
      </c>
      <c r="M1" s="144" t="s">
        <v>3803</v>
      </c>
      <c r="N1" s="144" t="s">
        <v>24</v>
      </c>
      <c r="O1" s="144" t="s">
        <v>67</v>
      </c>
      <c r="P1" s="144" t="s">
        <v>71</v>
      </c>
      <c r="Q1" s="144" t="s">
        <v>72</v>
      </c>
      <c r="R1" s="145" t="s">
        <v>73</v>
      </c>
      <c r="S1" s="144" t="s">
        <v>74</v>
      </c>
      <c r="T1" s="144" t="s">
        <v>3804</v>
      </c>
      <c r="U1" s="144" t="s">
        <v>3805</v>
      </c>
      <c r="V1" s="144" t="s">
        <v>77</v>
      </c>
      <c r="W1" s="144" t="s">
        <v>78</v>
      </c>
      <c r="X1" s="144" t="s">
        <v>3807</v>
      </c>
      <c r="Y1" s="144" t="s">
        <v>3808</v>
      </c>
      <c r="Z1" s="144" t="s">
        <v>3809</v>
      </c>
      <c r="AA1" s="144" t="s">
        <v>83</v>
      </c>
      <c r="AB1" s="144" t="s">
        <v>84</v>
      </c>
      <c r="AC1" s="144" t="s">
        <v>85</v>
      </c>
      <c r="AD1" s="144" t="s">
        <v>86</v>
      </c>
      <c r="AE1" s="144" t="s">
        <v>87</v>
      </c>
      <c r="AF1" s="144"/>
      <c r="AG1" s="144"/>
      <c r="AH1" s="144"/>
      <c r="AI1" s="144"/>
      <c r="AJ1" s="144"/>
      <c r="AK1" s="144"/>
      <c r="AL1" s="144"/>
      <c r="AM1" s="144"/>
      <c r="AN1" s="144"/>
      <c r="AO1" s="144"/>
      <c r="AP1" s="144"/>
    </row>
    <row r="2" ht="15.75" customHeight="1">
      <c r="A2" s="146"/>
      <c r="B2" s="146" t="s">
        <v>462</v>
      </c>
      <c r="C2" s="146" t="s">
        <v>173</v>
      </c>
      <c r="D2" s="146"/>
      <c r="E2" s="146"/>
      <c r="F2" s="146" t="s">
        <v>470</v>
      </c>
      <c r="G2" s="146"/>
      <c r="H2" s="146" t="s">
        <v>5709</v>
      </c>
      <c r="I2" s="146" t="s">
        <v>5710</v>
      </c>
      <c r="J2" s="146" t="s">
        <v>5711</v>
      </c>
      <c r="K2" s="146" t="s">
        <v>5712</v>
      </c>
      <c r="L2" s="146">
        <v>2011.0</v>
      </c>
      <c r="M2" s="146"/>
      <c r="N2" s="146" t="s">
        <v>5714</v>
      </c>
      <c r="O2" s="146"/>
      <c r="P2" s="146"/>
      <c r="Q2" s="146"/>
      <c r="R2" s="147"/>
      <c r="S2" s="146"/>
      <c r="T2" s="146"/>
      <c r="U2" s="146"/>
      <c r="V2" s="146"/>
      <c r="W2" s="146"/>
      <c r="X2" s="146"/>
      <c r="Y2" s="146"/>
      <c r="Z2" s="146"/>
      <c r="AA2" s="146"/>
      <c r="AB2" s="146"/>
      <c r="AC2" s="146"/>
      <c r="AD2" s="146"/>
      <c r="AE2" s="146"/>
      <c r="AF2" s="146"/>
      <c r="AG2" s="146"/>
      <c r="AH2" s="146"/>
      <c r="AI2" s="146"/>
      <c r="AJ2" s="146"/>
      <c r="AK2" s="146"/>
      <c r="AL2" s="146"/>
      <c r="AM2" s="146"/>
      <c r="AN2" s="146"/>
      <c r="AO2" s="146"/>
      <c r="AP2" s="146"/>
    </row>
    <row r="3" ht="15.75" customHeight="1">
      <c r="A3" s="146"/>
      <c r="B3" s="146" t="s">
        <v>462</v>
      </c>
      <c r="C3" s="146" t="s">
        <v>173</v>
      </c>
      <c r="D3" s="146" t="s">
        <v>772</v>
      </c>
      <c r="E3" s="146" t="s">
        <v>3504</v>
      </c>
      <c r="F3" s="146" t="s">
        <v>388</v>
      </c>
      <c r="G3" s="146"/>
      <c r="H3" s="146" t="s">
        <v>289</v>
      </c>
      <c r="I3" s="146" t="s">
        <v>5720</v>
      </c>
      <c r="J3" s="146" t="s">
        <v>5721</v>
      </c>
      <c r="K3" s="146" t="s">
        <v>4979</v>
      </c>
      <c r="L3" s="146">
        <v>1982.0</v>
      </c>
      <c r="M3" s="148" t="s">
        <v>5722</v>
      </c>
      <c r="N3" s="146" t="s">
        <v>5723</v>
      </c>
      <c r="O3" s="146"/>
      <c r="P3" s="146" t="s">
        <v>462</v>
      </c>
      <c r="Q3" s="146" t="s">
        <v>462</v>
      </c>
      <c r="R3" s="147"/>
      <c r="S3" s="146"/>
      <c r="T3" s="146"/>
      <c r="U3" s="146"/>
      <c r="V3" s="146"/>
      <c r="W3" s="146"/>
      <c r="X3" s="146"/>
      <c r="Y3" s="146"/>
      <c r="Z3" s="146"/>
      <c r="AA3" s="146"/>
      <c r="AB3" s="146"/>
      <c r="AC3" s="146"/>
      <c r="AD3" s="146"/>
      <c r="AE3" s="146"/>
      <c r="AF3" s="146"/>
      <c r="AG3" s="146"/>
      <c r="AH3" s="146"/>
      <c r="AI3" s="146"/>
      <c r="AJ3" s="146"/>
      <c r="AK3" s="146"/>
      <c r="AL3" s="146"/>
      <c r="AM3" s="146"/>
      <c r="AN3" s="146"/>
      <c r="AO3" s="149"/>
      <c r="AP3" s="149"/>
    </row>
    <row r="4" ht="15.75" customHeight="1">
      <c r="A4" s="146"/>
      <c r="B4" s="146" t="s">
        <v>462</v>
      </c>
      <c r="C4" s="146" t="s">
        <v>173</v>
      </c>
      <c r="D4" s="146"/>
      <c r="E4" s="146"/>
      <c r="F4" s="146" t="s">
        <v>5724</v>
      </c>
      <c r="G4" s="146" t="s">
        <v>5725</v>
      </c>
      <c r="H4" s="146" t="s">
        <v>289</v>
      </c>
      <c r="I4" s="146" t="s">
        <v>5726</v>
      </c>
      <c r="J4" s="146" t="s">
        <v>5727</v>
      </c>
      <c r="K4" s="146" t="s">
        <v>5728</v>
      </c>
      <c r="L4" s="146">
        <v>2004.0</v>
      </c>
      <c r="M4" s="146" t="s">
        <v>5729</v>
      </c>
      <c r="N4" s="150" t="str">
        <f>HYPERLINK("http://www.ncbi.nlm.nih.gov/pubmed/15044675","http://www.ncbi.nlm.nih.gov/pubmed/15044675")</f>
        <v>http://www.ncbi.nlm.nih.gov/pubmed/15044675</v>
      </c>
      <c r="O4" s="146"/>
      <c r="P4" s="146" t="s">
        <v>462</v>
      </c>
      <c r="Q4" s="146" t="s">
        <v>462</v>
      </c>
      <c r="R4" s="147"/>
      <c r="S4" s="146"/>
      <c r="T4" s="146"/>
      <c r="U4" s="146"/>
      <c r="V4" s="146"/>
      <c r="W4" s="146"/>
      <c r="X4" s="146"/>
      <c r="Y4" s="146"/>
      <c r="Z4" s="146"/>
      <c r="AA4" s="146"/>
      <c r="AB4" s="146"/>
      <c r="AC4" s="146"/>
      <c r="AD4" s="146"/>
      <c r="AE4" s="146"/>
      <c r="AF4" s="146"/>
      <c r="AG4" s="146"/>
      <c r="AH4" s="146"/>
      <c r="AI4" s="146"/>
      <c r="AJ4" s="146"/>
      <c r="AK4" s="146"/>
      <c r="AL4" s="146"/>
      <c r="AM4" s="146"/>
      <c r="AN4" s="146"/>
      <c r="AO4" s="146"/>
      <c r="AP4" s="146"/>
    </row>
    <row r="5" ht="15.75" customHeight="1">
      <c r="A5" s="146"/>
      <c r="B5" s="146" t="s">
        <v>462</v>
      </c>
      <c r="C5" s="146" t="s">
        <v>1988</v>
      </c>
      <c r="D5" s="146" t="s">
        <v>772</v>
      </c>
      <c r="E5" s="146"/>
      <c r="F5" s="146" t="s">
        <v>2293</v>
      </c>
      <c r="G5" s="146"/>
      <c r="H5" s="146" t="s">
        <v>289</v>
      </c>
      <c r="I5" s="146" t="s">
        <v>5736</v>
      </c>
      <c r="J5" s="146" t="s">
        <v>5737</v>
      </c>
      <c r="K5" s="146" t="s">
        <v>2261</v>
      </c>
      <c r="L5" s="146">
        <v>2001.0</v>
      </c>
      <c r="M5" s="146" t="s">
        <v>5738</v>
      </c>
      <c r="N5" s="146"/>
      <c r="O5" s="146"/>
      <c r="P5" s="146"/>
      <c r="Q5" s="146"/>
      <c r="R5" s="147"/>
      <c r="S5" s="146"/>
      <c r="T5" s="146"/>
      <c r="U5" s="146"/>
      <c r="V5" s="146"/>
      <c r="W5" s="146"/>
      <c r="X5" s="146"/>
      <c r="Y5" s="146"/>
      <c r="Z5" s="146"/>
      <c r="AA5" s="146"/>
      <c r="AB5" s="146"/>
      <c r="AC5" s="146"/>
      <c r="AD5" s="146"/>
      <c r="AE5" s="146"/>
      <c r="AF5" s="151"/>
      <c r="AG5" s="151"/>
      <c r="AH5" s="151"/>
      <c r="AI5" s="151"/>
      <c r="AJ5" s="151"/>
      <c r="AK5" s="151"/>
      <c r="AL5" s="151"/>
      <c r="AM5" s="151"/>
      <c r="AN5" s="151"/>
      <c r="AO5" s="151"/>
      <c r="AP5" s="151"/>
    </row>
    <row r="6" ht="15.75" customHeight="1">
      <c r="A6" s="146"/>
      <c r="B6" s="146" t="s">
        <v>462</v>
      </c>
      <c r="C6" s="146" t="s">
        <v>64</v>
      </c>
      <c r="D6" s="146" t="s">
        <v>1331</v>
      </c>
      <c r="E6" s="146"/>
      <c r="F6" s="146" t="s">
        <v>388</v>
      </c>
      <c r="G6" s="146"/>
      <c r="H6" s="146" t="s">
        <v>1105</v>
      </c>
      <c r="I6" s="146" t="s">
        <v>5739</v>
      </c>
      <c r="J6" s="146" t="s">
        <v>5740</v>
      </c>
      <c r="K6" s="146" t="s">
        <v>5742</v>
      </c>
      <c r="L6" s="146">
        <v>2015.0</v>
      </c>
      <c r="M6" s="146"/>
      <c r="N6" s="152" t="s">
        <v>5743</v>
      </c>
      <c r="O6" s="146" t="s">
        <v>5744</v>
      </c>
      <c r="P6" s="146" t="s">
        <v>462</v>
      </c>
      <c r="Q6" s="146" t="s">
        <v>462</v>
      </c>
      <c r="R6" s="147"/>
      <c r="S6" s="146"/>
      <c r="T6" s="146" t="s">
        <v>677</v>
      </c>
      <c r="U6" s="146"/>
      <c r="V6" s="146"/>
      <c r="W6" s="146"/>
      <c r="X6" s="153"/>
      <c r="Y6" s="146"/>
      <c r="Z6" s="146"/>
      <c r="AA6" s="146"/>
      <c r="AB6" s="153"/>
      <c r="AC6" s="146"/>
      <c r="AD6" s="146"/>
      <c r="AE6" s="146"/>
      <c r="AF6" s="146"/>
      <c r="AG6" s="146"/>
      <c r="AH6" s="146"/>
      <c r="AI6" s="146"/>
      <c r="AJ6" s="146"/>
      <c r="AK6" s="146"/>
      <c r="AL6" s="146"/>
      <c r="AM6" s="146"/>
      <c r="AN6" s="146"/>
      <c r="AO6" s="146"/>
      <c r="AP6" s="146"/>
    </row>
    <row r="7" ht="15.75" customHeight="1">
      <c r="A7" s="146"/>
      <c r="B7" s="146" t="s">
        <v>462</v>
      </c>
      <c r="C7" s="146" t="s">
        <v>64</v>
      </c>
      <c r="D7" s="146"/>
      <c r="E7" s="146"/>
      <c r="F7" s="146" t="s">
        <v>5751</v>
      </c>
      <c r="G7" s="146"/>
      <c r="H7" s="146" t="s">
        <v>289</v>
      </c>
      <c r="I7" s="146" t="s">
        <v>5753</v>
      </c>
      <c r="J7" s="154" t="s">
        <v>2811</v>
      </c>
      <c r="K7" s="146" t="s">
        <v>2506</v>
      </c>
      <c r="L7" s="146">
        <v>2015.0</v>
      </c>
      <c r="M7" s="146" t="s">
        <v>5756</v>
      </c>
      <c r="N7" s="150" t="str">
        <f>HYPERLINK("http://ecoamerica.org/wp-content/uploads/2015/07/2015_climate_for_health_national_convening_summary.pdf","http://ecoamerica.org/wp-content/uploads/2015/07/2015_climate_for_health_national_convening_summary.pdf")</f>
        <v>http://ecoamerica.org/wp-content/uploads/2015/07/2015_climate_for_health_national_convening_summary.pdf</v>
      </c>
      <c r="O7" s="146"/>
      <c r="P7" s="146"/>
      <c r="Q7" s="146"/>
      <c r="R7" s="147"/>
      <c r="S7" s="146"/>
      <c r="T7" s="146" t="s">
        <v>677</v>
      </c>
      <c r="U7" s="146"/>
      <c r="V7" s="146"/>
      <c r="W7" s="146"/>
      <c r="X7" s="146"/>
      <c r="Y7" s="146"/>
      <c r="Z7" s="146"/>
      <c r="AA7" s="146"/>
      <c r="AB7" s="146"/>
      <c r="AC7" s="146"/>
      <c r="AD7" s="146"/>
      <c r="AE7" s="146"/>
      <c r="AF7" s="146"/>
      <c r="AG7" s="146"/>
      <c r="AH7" s="146"/>
      <c r="AI7" s="146"/>
      <c r="AJ7" s="146"/>
      <c r="AK7" s="146"/>
      <c r="AL7" s="146"/>
      <c r="AM7" s="146"/>
      <c r="AN7" s="146"/>
      <c r="AO7" s="146"/>
      <c r="AP7" s="146"/>
    </row>
    <row r="8" ht="15.75" customHeight="1">
      <c r="A8" s="146"/>
      <c r="B8" s="146" t="s">
        <v>462</v>
      </c>
      <c r="C8" s="146" t="s">
        <v>64</v>
      </c>
      <c r="D8" s="146" t="s">
        <v>887</v>
      </c>
      <c r="E8" s="146"/>
      <c r="F8" s="146" t="s">
        <v>388</v>
      </c>
      <c r="G8" s="146"/>
      <c r="H8" s="146" t="s">
        <v>1105</v>
      </c>
      <c r="I8" s="146" t="s">
        <v>5766</v>
      </c>
      <c r="J8" s="146" t="s">
        <v>5767</v>
      </c>
      <c r="K8" s="146" t="s">
        <v>5768</v>
      </c>
      <c r="L8" s="146">
        <v>2012.0</v>
      </c>
      <c r="M8" s="146" t="s">
        <v>5769</v>
      </c>
      <c r="N8" s="150" t="str">
        <f>HYPERLINK("http://www.ncbi.nlm.nih.gov/pmc/articles/PMC3480633/","http://www.ncbi.nlm.nih.gov/pmc/articles/PMC3480633/")</f>
        <v>http://www.ncbi.nlm.nih.gov/pmc/articles/PMC3480633/</v>
      </c>
      <c r="O8" s="146"/>
      <c r="P8" s="146" t="s">
        <v>462</v>
      </c>
      <c r="Q8" s="146" t="s">
        <v>769</v>
      </c>
      <c r="R8" s="147"/>
      <c r="S8" s="146"/>
      <c r="T8" s="146"/>
      <c r="U8" s="146"/>
      <c r="V8" s="146"/>
      <c r="W8" s="146"/>
      <c r="X8" s="146"/>
      <c r="Y8" s="146"/>
      <c r="Z8" s="146"/>
      <c r="AA8" s="146"/>
      <c r="AB8" s="146"/>
      <c r="AC8" s="146"/>
      <c r="AD8" s="146"/>
      <c r="AE8" s="146"/>
      <c r="AF8" s="146"/>
      <c r="AG8" s="146"/>
      <c r="AH8" s="146"/>
      <c r="AI8" s="146"/>
      <c r="AJ8" s="146"/>
      <c r="AK8" s="146"/>
      <c r="AL8" s="146"/>
      <c r="AM8" s="146"/>
      <c r="AN8" s="146"/>
      <c r="AO8" s="146"/>
      <c r="AP8" s="146"/>
    </row>
    <row r="9" ht="15.75" customHeight="1">
      <c r="A9" s="156"/>
      <c r="B9" s="146" t="s">
        <v>462</v>
      </c>
      <c r="C9" s="146" t="s">
        <v>64</v>
      </c>
      <c r="D9" s="146"/>
      <c r="E9" s="146"/>
      <c r="F9" s="146" t="s">
        <v>388</v>
      </c>
      <c r="G9" s="146"/>
      <c r="H9" s="146" t="s">
        <v>1105</v>
      </c>
      <c r="I9" s="146" t="s">
        <v>5770</v>
      </c>
      <c r="J9" s="146" t="s">
        <v>5771</v>
      </c>
      <c r="K9" s="146" t="s">
        <v>5772</v>
      </c>
      <c r="L9" s="146">
        <v>1991.0</v>
      </c>
      <c r="M9" s="146" t="s">
        <v>5773</v>
      </c>
      <c r="N9" s="150" t="str">
        <f>HYPERLINK("http://www.uky.edu/~eushe2/BanduraPubs/Bandura1991OBHDP.pdf","http://www.uky.edu/~eushe2/BanduraPubs/Bandura1991OBHDP.pdf")</f>
        <v>http://www.uky.edu/~eushe2/BanduraPubs/Bandura1991OBHDP.pdf</v>
      </c>
      <c r="O9" s="146" t="s">
        <v>2925</v>
      </c>
      <c r="P9" s="146" t="s">
        <v>462</v>
      </c>
      <c r="Q9" s="146" t="s">
        <v>462</v>
      </c>
      <c r="R9" s="147"/>
      <c r="S9" s="146"/>
      <c r="T9" s="146"/>
      <c r="U9" s="146"/>
      <c r="V9" s="146"/>
      <c r="W9" s="146"/>
      <c r="X9" s="146"/>
      <c r="Y9" s="146"/>
      <c r="Z9" s="146"/>
      <c r="AA9" s="146"/>
      <c r="AB9" s="146"/>
      <c r="AC9" s="146"/>
      <c r="AD9" s="146"/>
      <c r="AE9" s="146"/>
      <c r="AF9" s="146"/>
      <c r="AG9" s="146"/>
      <c r="AH9" s="146"/>
      <c r="AI9" s="146"/>
      <c r="AJ9" s="146"/>
      <c r="AK9" s="146"/>
      <c r="AL9" s="146"/>
      <c r="AM9" s="146"/>
      <c r="AN9" s="146"/>
      <c r="AO9" s="146"/>
      <c r="AP9" s="146"/>
    </row>
    <row r="10" ht="15.75" customHeight="1">
      <c r="A10" s="146"/>
      <c r="B10" s="146" t="s">
        <v>462</v>
      </c>
      <c r="C10" s="146" t="s">
        <v>64</v>
      </c>
      <c r="D10" s="146" t="s">
        <v>280</v>
      </c>
      <c r="E10" s="146" t="s">
        <v>5775</v>
      </c>
      <c r="F10" s="146" t="s">
        <v>169</v>
      </c>
      <c r="G10" s="146"/>
      <c r="H10" s="146" t="s">
        <v>289</v>
      </c>
      <c r="I10" s="146" t="s">
        <v>4696</v>
      </c>
      <c r="J10" s="146" t="s">
        <v>1105</v>
      </c>
      <c r="K10" s="146" t="s">
        <v>3508</v>
      </c>
      <c r="L10" s="146">
        <v>2015.0</v>
      </c>
      <c r="M10" s="146" t="s">
        <v>5776</v>
      </c>
      <c r="N10" s="146" t="s">
        <v>5777</v>
      </c>
      <c r="O10" s="157" t="s">
        <v>5778</v>
      </c>
      <c r="P10" s="146"/>
      <c r="Q10" s="146"/>
      <c r="R10" s="146"/>
      <c r="S10" s="146"/>
      <c r="T10" s="146"/>
      <c r="U10" s="146"/>
      <c r="V10" s="146"/>
      <c r="W10" s="146"/>
      <c r="X10" s="146"/>
      <c r="Y10" s="146"/>
      <c r="Z10" s="146"/>
      <c r="AA10" s="146"/>
      <c r="AB10" s="146"/>
      <c r="AC10" s="146"/>
      <c r="AD10" s="146"/>
      <c r="AE10" s="146"/>
      <c r="AF10" s="146"/>
      <c r="AG10" s="146"/>
      <c r="AH10" s="146"/>
      <c r="AI10" s="146"/>
      <c r="AJ10" s="146"/>
      <c r="AK10" s="146"/>
      <c r="AL10" s="146"/>
      <c r="AM10" s="146"/>
      <c r="AN10" s="146"/>
      <c r="AO10" s="146"/>
      <c r="AP10" s="146"/>
    </row>
    <row r="11" ht="15.75" customHeight="1">
      <c r="A11" s="146"/>
      <c r="B11" s="146" t="s">
        <v>462</v>
      </c>
      <c r="C11" s="146" t="s">
        <v>64</v>
      </c>
      <c r="D11" s="146" t="s">
        <v>280</v>
      </c>
      <c r="E11" s="146" t="s">
        <v>5783</v>
      </c>
      <c r="F11" s="146" t="s">
        <v>5784</v>
      </c>
      <c r="G11" s="146"/>
      <c r="H11" s="146" t="s">
        <v>1105</v>
      </c>
      <c r="I11" s="146" t="s">
        <v>5785</v>
      </c>
      <c r="J11" s="146" t="s">
        <v>5786</v>
      </c>
      <c r="K11" s="146" t="s">
        <v>5787</v>
      </c>
      <c r="L11" s="146" t="s">
        <v>5786</v>
      </c>
      <c r="M11" s="146"/>
      <c r="N11" s="150" t="str">
        <f>HYPERLINK("http://www.wwf.org.au/get_involved/change_the_way_you_live/recycle_reuse_reduce/","http://www.wwf.org.au/get_involved/change_the_way_you_live/recycle_reuse_reduce/")</f>
        <v>http://www.wwf.org.au/get_involved/change_the_way_you_live/recycle_reuse_reduce/</v>
      </c>
      <c r="O11" s="146" t="s">
        <v>5788</v>
      </c>
      <c r="P11" s="146"/>
      <c r="Q11" s="146"/>
      <c r="R11" s="147"/>
      <c r="S11" s="146"/>
      <c r="T11" s="146"/>
      <c r="U11" s="146"/>
      <c r="V11" s="146"/>
      <c r="W11" s="146"/>
      <c r="X11" s="146"/>
      <c r="Y11" s="146"/>
      <c r="Z11" s="146"/>
      <c r="AA11" s="146"/>
      <c r="AB11" s="146"/>
      <c r="AC11" s="146"/>
      <c r="AD11" s="146"/>
      <c r="AE11" s="146"/>
      <c r="AF11" s="146"/>
      <c r="AG11" s="146"/>
      <c r="AH11" s="146"/>
      <c r="AI11" s="146"/>
      <c r="AJ11" s="146"/>
      <c r="AK11" s="146"/>
      <c r="AL11" s="146"/>
      <c r="AM11" s="146"/>
      <c r="AN11" s="146"/>
      <c r="AO11" s="146"/>
      <c r="AP11" s="146"/>
    </row>
    <row r="12" ht="15.75" customHeight="1">
      <c r="A12" s="156"/>
      <c r="B12" s="146" t="s">
        <v>462</v>
      </c>
      <c r="C12" s="146" t="s">
        <v>64</v>
      </c>
      <c r="D12" s="158" t="s">
        <v>887</v>
      </c>
      <c r="E12" s="158"/>
      <c r="F12" s="146" t="s">
        <v>267</v>
      </c>
      <c r="G12" s="146"/>
      <c r="H12" s="146" t="s">
        <v>289</v>
      </c>
      <c r="I12" s="146" t="s">
        <v>5791</v>
      </c>
      <c r="J12" s="146" t="s">
        <v>5792</v>
      </c>
      <c r="K12" s="146" t="s">
        <v>5794</v>
      </c>
      <c r="L12" s="146">
        <v>2013.0</v>
      </c>
      <c r="M12" s="159" t="s">
        <v>5797</v>
      </c>
      <c r="N12" s="146"/>
      <c r="O12" s="146"/>
      <c r="P12" s="146" t="s">
        <v>462</v>
      </c>
      <c r="Q12" s="146" t="s">
        <v>462</v>
      </c>
      <c r="R12" s="147"/>
      <c r="S12" s="146"/>
      <c r="T12" s="146"/>
      <c r="U12" s="146"/>
      <c r="V12" s="146"/>
      <c r="W12" s="146"/>
      <c r="X12" s="146"/>
      <c r="Y12" s="146"/>
      <c r="Z12" s="146"/>
      <c r="AA12" s="146"/>
      <c r="AB12" s="146"/>
      <c r="AC12" s="146"/>
      <c r="AD12" s="146"/>
      <c r="AE12" s="146"/>
      <c r="AF12" s="146"/>
      <c r="AG12" s="146"/>
      <c r="AH12" s="146"/>
      <c r="AI12" s="146"/>
      <c r="AJ12" s="146"/>
      <c r="AK12" s="146"/>
      <c r="AL12" s="146"/>
      <c r="AM12" s="146"/>
      <c r="AN12" s="146"/>
      <c r="AO12" s="146"/>
      <c r="AP12" s="146"/>
    </row>
    <row r="13" ht="15.75" customHeight="1">
      <c r="A13" s="146"/>
      <c r="B13" s="146" t="s">
        <v>462</v>
      </c>
      <c r="C13" s="146" t="s">
        <v>64</v>
      </c>
      <c r="D13" s="146" t="s">
        <v>490</v>
      </c>
      <c r="E13" s="146" t="s">
        <v>491</v>
      </c>
      <c r="F13" s="146" t="s">
        <v>388</v>
      </c>
      <c r="G13" s="146"/>
      <c r="H13" s="146" t="s">
        <v>5800</v>
      </c>
      <c r="I13" s="146" t="s">
        <v>5801</v>
      </c>
      <c r="J13" s="146" t="s">
        <v>5802</v>
      </c>
      <c r="K13" s="146" t="s">
        <v>5803</v>
      </c>
      <c r="L13" s="146">
        <v>1997.0</v>
      </c>
      <c r="M13" s="146" t="s">
        <v>5806</v>
      </c>
      <c r="N13" s="146" t="s">
        <v>5807</v>
      </c>
      <c r="O13" s="146"/>
      <c r="P13" s="146" t="s">
        <v>428</v>
      </c>
      <c r="Q13" s="146" t="s">
        <v>462</v>
      </c>
      <c r="R13" s="147"/>
      <c r="S13" s="146"/>
      <c r="T13" s="146"/>
      <c r="U13" s="146"/>
      <c r="V13" s="146"/>
      <c r="W13" s="146"/>
      <c r="X13" s="146"/>
      <c r="Y13" s="146"/>
      <c r="Z13" s="146"/>
      <c r="AA13" s="146"/>
      <c r="AB13" s="146"/>
      <c r="AC13" s="146"/>
      <c r="AD13" s="146"/>
      <c r="AE13" s="146"/>
      <c r="AF13" s="146"/>
      <c r="AG13" s="146"/>
      <c r="AH13" s="146"/>
      <c r="AI13" s="146"/>
      <c r="AJ13" s="146"/>
      <c r="AK13" s="146"/>
      <c r="AL13" s="146"/>
      <c r="AM13" s="146"/>
      <c r="AN13" s="146"/>
      <c r="AO13" s="146"/>
      <c r="AP13" s="146"/>
    </row>
    <row r="14" ht="15.75" customHeight="1">
      <c r="A14" s="146"/>
      <c r="B14" s="146" t="s">
        <v>462</v>
      </c>
      <c r="C14" s="146" t="s">
        <v>64</v>
      </c>
      <c r="D14" s="146" t="s">
        <v>490</v>
      </c>
      <c r="E14" s="146"/>
      <c r="F14" s="146" t="s">
        <v>798</v>
      </c>
      <c r="G14" s="146"/>
      <c r="H14" s="146" t="s">
        <v>289</v>
      </c>
      <c r="I14" s="146" t="s">
        <v>5809</v>
      </c>
      <c r="J14" s="146" t="s">
        <v>5811</v>
      </c>
      <c r="K14" s="146" t="s">
        <v>3263</v>
      </c>
      <c r="L14" s="146">
        <v>1986.0</v>
      </c>
      <c r="M14" s="146" t="s">
        <v>5815</v>
      </c>
      <c r="N14" s="146"/>
      <c r="O14" s="146"/>
      <c r="P14" s="146"/>
      <c r="Q14" s="146"/>
      <c r="R14" s="147"/>
      <c r="S14" s="146"/>
      <c r="T14" s="146"/>
      <c r="U14" s="146"/>
      <c r="V14" s="146"/>
      <c r="W14" s="146"/>
      <c r="X14" s="146"/>
      <c r="Y14" s="146"/>
      <c r="Z14" s="146"/>
      <c r="AA14" s="146"/>
      <c r="AB14" s="146"/>
      <c r="AC14" s="146"/>
      <c r="AD14" s="146"/>
      <c r="AE14" s="146"/>
      <c r="AF14" s="146"/>
      <c r="AG14" s="146"/>
      <c r="AH14" s="146"/>
      <c r="AI14" s="146"/>
      <c r="AJ14" s="146"/>
      <c r="AK14" s="146"/>
      <c r="AL14" s="146"/>
      <c r="AM14" s="146"/>
      <c r="AN14" s="146"/>
      <c r="AO14" s="146"/>
      <c r="AP14" s="146"/>
    </row>
    <row r="15" ht="15.75" customHeight="1">
      <c r="A15" s="146"/>
      <c r="B15" s="146" t="s">
        <v>462</v>
      </c>
      <c r="C15" s="146" t="s">
        <v>64</v>
      </c>
      <c r="D15" s="146" t="s">
        <v>490</v>
      </c>
      <c r="E15" s="146"/>
      <c r="F15" s="146" t="s">
        <v>5818</v>
      </c>
      <c r="G15" s="146"/>
      <c r="H15" s="146" t="s">
        <v>111</v>
      </c>
      <c r="I15" s="146" t="s">
        <v>5819</v>
      </c>
      <c r="J15" s="146" t="s">
        <v>5820</v>
      </c>
      <c r="K15" s="146" t="s">
        <v>5821</v>
      </c>
      <c r="L15" s="146">
        <v>2005.0</v>
      </c>
      <c r="M15" s="146"/>
      <c r="N15" s="146"/>
      <c r="O15" s="146"/>
      <c r="P15" s="146"/>
      <c r="Q15" s="146"/>
      <c r="R15" s="147"/>
      <c r="S15" s="146"/>
      <c r="T15" s="146"/>
      <c r="U15" s="146"/>
      <c r="V15" s="146"/>
      <c r="W15" s="146"/>
      <c r="X15" s="146"/>
      <c r="Y15" s="146"/>
      <c r="Z15" s="146"/>
      <c r="AA15" s="146"/>
      <c r="AB15" s="146"/>
      <c r="AC15" s="146"/>
      <c r="AD15" s="146"/>
      <c r="AE15" s="146"/>
      <c r="AF15" s="146"/>
      <c r="AG15" s="146"/>
      <c r="AH15" s="146"/>
      <c r="AI15" s="146"/>
      <c r="AJ15" s="146"/>
      <c r="AK15" s="146"/>
      <c r="AL15" s="146"/>
      <c r="AM15" s="146"/>
      <c r="AN15" s="146"/>
      <c r="AO15" s="146"/>
      <c r="AP15" s="146"/>
    </row>
    <row r="16" ht="15.75" customHeight="1">
      <c r="A16" s="146"/>
      <c r="B16" s="146" t="s">
        <v>462</v>
      </c>
      <c r="C16" s="146" t="s">
        <v>64</v>
      </c>
      <c r="D16" s="146" t="s">
        <v>490</v>
      </c>
      <c r="E16" s="146"/>
      <c r="F16" s="146" t="s">
        <v>388</v>
      </c>
      <c r="G16" s="146"/>
      <c r="H16" s="146" t="s">
        <v>289</v>
      </c>
      <c r="I16" s="146" t="s">
        <v>5825</v>
      </c>
      <c r="J16" s="146" t="s">
        <v>5826</v>
      </c>
      <c r="K16" s="146" t="s">
        <v>5827</v>
      </c>
      <c r="L16" s="146">
        <v>2012.0</v>
      </c>
      <c r="M16" s="146" t="s">
        <v>5828</v>
      </c>
      <c r="N16" s="146" t="s">
        <v>5829</v>
      </c>
      <c r="O16" s="146"/>
      <c r="P16" s="146" t="s">
        <v>428</v>
      </c>
      <c r="Q16" s="146" t="s">
        <v>462</v>
      </c>
      <c r="R16" s="147"/>
      <c r="S16" s="146"/>
      <c r="T16" s="146"/>
      <c r="U16" s="146"/>
      <c r="V16" s="146"/>
      <c r="W16" s="146"/>
      <c r="X16" s="146"/>
      <c r="Y16" s="146"/>
      <c r="Z16" s="146"/>
      <c r="AA16" s="146"/>
      <c r="AB16" s="146"/>
      <c r="AC16" s="146"/>
      <c r="AD16" s="146"/>
      <c r="AE16" s="146"/>
      <c r="AF16" s="146"/>
      <c r="AG16" s="146"/>
      <c r="AH16" s="146"/>
      <c r="AI16" s="146"/>
      <c r="AJ16" s="146"/>
      <c r="AK16" s="146"/>
      <c r="AL16" s="146"/>
      <c r="AM16" s="146"/>
      <c r="AN16" s="146"/>
      <c r="AO16" s="146"/>
      <c r="AP16" s="146"/>
    </row>
    <row r="17" ht="15.75" customHeight="1">
      <c r="A17" s="146"/>
      <c r="B17" s="146" t="s">
        <v>462</v>
      </c>
      <c r="C17" s="146" t="s">
        <v>64</v>
      </c>
      <c r="D17" s="158" t="s">
        <v>1480</v>
      </c>
      <c r="E17" s="158"/>
      <c r="F17" s="146" t="s">
        <v>2511</v>
      </c>
      <c r="G17" s="146"/>
      <c r="H17" s="146" t="s">
        <v>289</v>
      </c>
      <c r="I17" s="146" t="s">
        <v>3261</v>
      </c>
      <c r="J17" s="146" t="s">
        <v>5833</v>
      </c>
      <c r="K17" s="146" t="s">
        <v>3263</v>
      </c>
      <c r="L17" s="160">
        <v>2014.0</v>
      </c>
      <c r="M17" s="159" t="s">
        <v>5837</v>
      </c>
      <c r="N17" s="146" t="s">
        <v>5838</v>
      </c>
      <c r="O17" s="146"/>
      <c r="P17" s="146"/>
      <c r="Q17" s="146"/>
      <c r="R17" s="147"/>
      <c r="S17" s="146"/>
      <c r="T17" s="146"/>
      <c r="U17" s="146"/>
      <c r="V17" s="146"/>
      <c r="W17" s="146"/>
      <c r="X17" s="146"/>
      <c r="Y17" s="146"/>
      <c r="Z17" s="146"/>
      <c r="AA17" s="146"/>
      <c r="AB17" s="146"/>
      <c r="AC17" s="146"/>
      <c r="AD17" s="146"/>
      <c r="AE17" s="146"/>
      <c r="AF17" s="146"/>
      <c r="AG17" s="146"/>
      <c r="AH17" s="146"/>
      <c r="AI17" s="146"/>
      <c r="AJ17" s="146"/>
      <c r="AK17" s="146"/>
      <c r="AL17" s="146"/>
      <c r="AM17" s="146"/>
      <c r="AN17" s="146"/>
      <c r="AO17" s="146"/>
      <c r="AP17" s="146"/>
    </row>
    <row r="18" ht="15.75" customHeight="1">
      <c r="A18" s="146"/>
      <c r="B18" s="146" t="s">
        <v>462</v>
      </c>
      <c r="C18" s="146" t="s">
        <v>64</v>
      </c>
      <c r="D18" s="146" t="s">
        <v>772</v>
      </c>
      <c r="E18" s="146"/>
      <c r="F18" s="146" t="s">
        <v>1376</v>
      </c>
      <c r="G18" s="146"/>
      <c r="H18" s="146" t="s">
        <v>111</v>
      </c>
      <c r="I18" s="146" t="s">
        <v>5846</v>
      </c>
      <c r="J18" s="146" t="s">
        <v>5847</v>
      </c>
      <c r="K18" s="146" t="s">
        <v>2724</v>
      </c>
      <c r="L18" s="160">
        <v>2011.0</v>
      </c>
      <c r="M18" s="146"/>
      <c r="N18" s="146" t="s">
        <v>5848</v>
      </c>
      <c r="O18" s="160"/>
      <c r="P18" s="146"/>
      <c r="Q18" s="146"/>
      <c r="R18" s="147"/>
      <c r="S18" s="146"/>
      <c r="T18" s="146"/>
      <c r="U18" s="146"/>
      <c r="V18" s="146"/>
      <c r="W18" s="146"/>
      <c r="X18" s="146"/>
      <c r="Y18" s="146"/>
      <c r="Z18" s="146"/>
      <c r="AA18" s="146"/>
      <c r="AB18" s="146"/>
      <c r="AC18" s="146"/>
      <c r="AD18" s="146"/>
      <c r="AE18" s="146"/>
      <c r="AF18" s="146"/>
      <c r="AG18" s="146"/>
      <c r="AH18" s="146"/>
      <c r="AI18" s="146"/>
      <c r="AJ18" s="146"/>
      <c r="AK18" s="146"/>
      <c r="AL18" s="146"/>
      <c r="AM18" s="146"/>
      <c r="AN18" s="146"/>
      <c r="AO18" s="146"/>
      <c r="AP18" s="146"/>
    </row>
    <row r="19" ht="15.75" customHeight="1">
      <c r="A19" s="146"/>
      <c r="B19" s="146" t="s">
        <v>462</v>
      </c>
      <c r="C19" s="146" t="s">
        <v>64</v>
      </c>
      <c r="D19" s="146" t="s">
        <v>772</v>
      </c>
      <c r="E19" s="146"/>
      <c r="F19" s="146" t="s">
        <v>2293</v>
      </c>
      <c r="G19" s="146"/>
      <c r="H19" s="146" t="s">
        <v>289</v>
      </c>
      <c r="I19" s="146" t="s">
        <v>5851</v>
      </c>
      <c r="J19" s="146" t="s">
        <v>5852</v>
      </c>
      <c r="K19" s="146" t="s">
        <v>2930</v>
      </c>
      <c r="L19" s="146">
        <v>2005.0</v>
      </c>
      <c r="M19" s="146" t="s">
        <v>5853</v>
      </c>
      <c r="N19" s="146"/>
      <c r="O19" s="146"/>
      <c r="P19" s="146"/>
      <c r="Q19" s="146"/>
      <c r="R19" s="147"/>
      <c r="S19" s="146"/>
      <c r="T19" s="146"/>
      <c r="U19" s="146"/>
      <c r="V19" s="146"/>
      <c r="W19" s="146"/>
      <c r="X19" s="146"/>
      <c r="Y19" s="146"/>
      <c r="Z19" s="146"/>
      <c r="AA19" s="146"/>
      <c r="AB19" s="146"/>
      <c r="AC19" s="146"/>
      <c r="AD19" s="146"/>
      <c r="AE19" s="146"/>
      <c r="AF19" s="146"/>
      <c r="AG19" s="146"/>
      <c r="AH19" s="146"/>
      <c r="AI19" s="146"/>
      <c r="AJ19" s="146"/>
      <c r="AK19" s="146"/>
      <c r="AL19" s="146"/>
      <c r="AM19" s="146"/>
      <c r="AN19" s="146"/>
      <c r="AO19" s="146"/>
      <c r="AP19" s="146"/>
    </row>
    <row r="20" ht="15.75" customHeight="1">
      <c r="A20" s="146"/>
      <c r="B20" s="146" t="s">
        <v>462</v>
      </c>
      <c r="C20" s="146" t="s">
        <v>64</v>
      </c>
      <c r="D20" s="146" t="s">
        <v>772</v>
      </c>
      <c r="E20" s="146"/>
      <c r="F20" s="146" t="s">
        <v>290</v>
      </c>
      <c r="G20" s="146"/>
      <c r="H20" s="146" t="s">
        <v>289</v>
      </c>
      <c r="I20" s="146" t="s">
        <v>5854</v>
      </c>
      <c r="J20" s="146" t="s">
        <v>5855</v>
      </c>
      <c r="K20" s="146" t="s">
        <v>5856</v>
      </c>
      <c r="L20" s="146">
        <v>2002.0</v>
      </c>
      <c r="M20" s="146" t="s">
        <v>5857</v>
      </c>
      <c r="N20" s="146"/>
      <c r="O20" s="146"/>
      <c r="P20" s="146"/>
      <c r="Q20" s="146"/>
      <c r="R20" s="147"/>
      <c r="S20" s="146"/>
      <c r="T20" s="146"/>
      <c r="U20" s="146"/>
      <c r="V20" s="146"/>
      <c r="W20" s="146"/>
      <c r="X20" s="146"/>
      <c r="Y20" s="146"/>
      <c r="Z20" s="146"/>
      <c r="AA20" s="146"/>
      <c r="AB20" s="146"/>
      <c r="AC20" s="146"/>
      <c r="AD20" s="146"/>
      <c r="AE20" s="146"/>
      <c r="AF20" s="146"/>
      <c r="AG20" s="146"/>
      <c r="AH20" s="146"/>
      <c r="AI20" s="146"/>
      <c r="AJ20" s="146"/>
      <c r="AK20" s="146"/>
      <c r="AL20" s="146"/>
      <c r="AM20" s="146"/>
      <c r="AN20" s="146"/>
      <c r="AO20" s="146"/>
      <c r="AP20" s="146"/>
    </row>
    <row r="21" ht="15.75" customHeight="1">
      <c r="A21" s="146"/>
      <c r="B21" s="146" t="s">
        <v>462</v>
      </c>
      <c r="C21" s="146" t="s">
        <v>64</v>
      </c>
      <c r="D21" s="146" t="s">
        <v>772</v>
      </c>
      <c r="E21" s="146"/>
      <c r="F21" s="146" t="s">
        <v>578</v>
      </c>
      <c r="G21" s="146"/>
      <c r="H21" s="146" t="s">
        <v>1105</v>
      </c>
      <c r="I21" s="146" t="s">
        <v>5858</v>
      </c>
      <c r="J21" s="146" t="s">
        <v>5859</v>
      </c>
      <c r="K21" s="146" t="s">
        <v>3992</v>
      </c>
      <c r="L21" s="146">
        <v>2010.0</v>
      </c>
      <c r="M21" s="146" t="s">
        <v>5860</v>
      </c>
      <c r="N21" s="146"/>
      <c r="O21" s="146"/>
      <c r="P21" s="146"/>
      <c r="Q21" s="146"/>
      <c r="R21" s="147"/>
      <c r="S21" s="146"/>
      <c r="T21" s="146"/>
      <c r="U21" s="146"/>
      <c r="V21" s="146"/>
      <c r="W21" s="146"/>
      <c r="X21" s="146"/>
      <c r="Y21" s="146"/>
      <c r="Z21" s="146"/>
      <c r="AA21" s="146"/>
      <c r="AB21" s="146"/>
      <c r="AC21" s="146"/>
      <c r="AD21" s="146"/>
      <c r="AE21" s="146"/>
      <c r="AF21" s="146"/>
      <c r="AG21" s="146"/>
      <c r="AH21" s="146"/>
      <c r="AI21" s="146"/>
      <c r="AJ21" s="146"/>
      <c r="AK21" s="146"/>
      <c r="AL21" s="146"/>
      <c r="AM21" s="146"/>
      <c r="AN21" s="146"/>
      <c r="AO21" s="146"/>
      <c r="AP21" s="146"/>
    </row>
    <row r="22" ht="15.75" customHeight="1">
      <c r="A22" s="146"/>
      <c r="B22" s="151" t="s">
        <v>462</v>
      </c>
      <c r="C22" s="151" t="s">
        <v>64</v>
      </c>
      <c r="D22" s="151" t="s">
        <v>772</v>
      </c>
      <c r="E22" s="151" t="s">
        <v>4825</v>
      </c>
      <c r="F22" s="151"/>
      <c r="G22" s="151"/>
      <c r="H22" s="151"/>
      <c r="I22" s="151" t="s">
        <v>5861</v>
      </c>
      <c r="J22" s="151" t="s">
        <v>5862</v>
      </c>
      <c r="K22" s="151" t="s">
        <v>4027</v>
      </c>
      <c r="L22" s="151">
        <v>1987.0</v>
      </c>
      <c r="M22" s="151"/>
      <c r="N22" s="151"/>
      <c r="O22" s="151"/>
      <c r="P22" s="151"/>
      <c r="Q22" s="151"/>
      <c r="R22" s="147"/>
      <c r="S22" s="151"/>
      <c r="T22" s="151"/>
      <c r="U22" s="151"/>
      <c r="V22" s="151"/>
      <c r="W22" s="151"/>
      <c r="X22" s="151"/>
      <c r="Y22" s="151"/>
      <c r="Z22" s="151"/>
      <c r="AA22" s="151"/>
      <c r="AB22" s="151"/>
      <c r="AC22" s="151"/>
      <c r="AD22" s="151"/>
      <c r="AE22" s="151"/>
      <c r="AF22" s="146"/>
      <c r="AG22" s="146"/>
      <c r="AH22" s="146"/>
      <c r="AI22" s="146"/>
      <c r="AJ22" s="146"/>
      <c r="AK22" s="146"/>
      <c r="AL22" s="146"/>
      <c r="AM22" s="146"/>
      <c r="AN22" s="146"/>
      <c r="AO22" s="146"/>
      <c r="AP22" s="146"/>
    </row>
    <row r="23" ht="15.75" customHeight="1">
      <c r="A23" s="146"/>
      <c r="B23" s="146" t="s">
        <v>462</v>
      </c>
      <c r="C23" s="146" t="s">
        <v>64</v>
      </c>
      <c r="D23" s="146" t="s">
        <v>772</v>
      </c>
      <c r="E23" s="146"/>
      <c r="F23" s="146" t="s">
        <v>578</v>
      </c>
      <c r="G23" s="146"/>
      <c r="H23" s="146" t="s">
        <v>298</v>
      </c>
      <c r="I23" s="146" t="s">
        <v>5863</v>
      </c>
      <c r="J23" s="146" t="s">
        <v>5864</v>
      </c>
      <c r="K23" s="146" t="s">
        <v>5865</v>
      </c>
      <c r="L23" s="146">
        <v>2009.0</v>
      </c>
      <c r="M23" s="146" t="s">
        <v>5870</v>
      </c>
      <c r="N23" s="146"/>
      <c r="O23" s="146"/>
      <c r="P23" s="146"/>
      <c r="Q23" s="146"/>
      <c r="R23" s="147"/>
      <c r="S23" s="146"/>
      <c r="T23" s="146"/>
      <c r="U23" s="146"/>
      <c r="V23" s="146"/>
      <c r="W23" s="146"/>
      <c r="X23" s="146"/>
      <c r="Y23" s="146"/>
      <c r="Z23" s="146"/>
      <c r="AA23" s="146"/>
      <c r="AB23" s="146"/>
      <c r="AC23" s="146"/>
      <c r="AD23" s="146"/>
      <c r="AE23" s="146"/>
      <c r="AF23" s="146"/>
      <c r="AG23" s="146"/>
      <c r="AH23" s="146"/>
      <c r="AI23" s="146"/>
      <c r="AJ23" s="146"/>
      <c r="AK23" s="146"/>
      <c r="AL23" s="146"/>
      <c r="AM23" s="146"/>
      <c r="AN23" s="146"/>
      <c r="AO23" s="146"/>
      <c r="AP23" s="146"/>
    </row>
    <row r="24" ht="15.75" customHeight="1">
      <c r="A24" s="146"/>
      <c r="B24" s="146" t="s">
        <v>462</v>
      </c>
      <c r="C24" s="146" t="s">
        <v>64</v>
      </c>
      <c r="D24" s="151"/>
      <c r="E24" s="161" t="s">
        <v>5871</v>
      </c>
      <c r="F24" s="151"/>
      <c r="G24" s="151"/>
      <c r="H24" s="151"/>
      <c r="I24" s="146" t="s">
        <v>5872</v>
      </c>
      <c r="J24" s="161" t="s">
        <v>5873</v>
      </c>
      <c r="K24" s="151" t="s">
        <v>5874</v>
      </c>
      <c r="L24" s="146">
        <v>2013.0</v>
      </c>
      <c r="M24" s="151"/>
      <c r="N24" s="150" t="str">
        <f>HYPERLINK("http://www.energyneighbourhoods.eu/sites/default/files/Final%20Version%20EN2%20brochure_1.pdf","http://www.energyneighbourhoods.eu/sites/default/files/Final%20Version%20EN2%20brochure_1.pdf")</f>
        <v>http://www.energyneighbourhoods.eu/sites/default/files/Final%20Version%20EN2%20brochure_1.pdf</v>
      </c>
      <c r="O24" s="157" t="s">
        <v>5875</v>
      </c>
      <c r="P24" s="146"/>
      <c r="Q24" s="146"/>
      <c r="R24" s="146"/>
      <c r="S24" s="146"/>
      <c r="T24" s="146"/>
      <c r="U24" s="146"/>
      <c r="V24" s="146"/>
      <c r="W24" s="146"/>
      <c r="X24" s="146"/>
      <c r="Y24" s="146"/>
      <c r="Z24" s="146"/>
      <c r="AA24" s="146"/>
      <c r="AB24" s="146"/>
      <c r="AC24" s="146"/>
      <c r="AD24" s="146"/>
      <c r="AE24" s="146"/>
      <c r="AF24" s="146"/>
      <c r="AG24" s="146"/>
      <c r="AH24" s="146"/>
      <c r="AI24" s="146"/>
      <c r="AJ24" s="146"/>
      <c r="AK24" s="146"/>
      <c r="AL24" s="146"/>
      <c r="AM24" s="146"/>
      <c r="AN24" s="146"/>
      <c r="AO24" s="146"/>
      <c r="AP24" s="146"/>
    </row>
    <row r="25" ht="15.75" customHeight="1">
      <c r="A25" s="151"/>
      <c r="B25" s="146" t="s">
        <v>462</v>
      </c>
      <c r="C25" s="146"/>
      <c r="D25" s="146" t="s">
        <v>323</v>
      </c>
      <c r="E25" s="146"/>
      <c r="F25" s="146"/>
      <c r="G25" s="146"/>
      <c r="H25" s="146"/>
      <c r="I25" s="146" t="s">
        <v>5876</v>
      </c>
      <c r="J25" s="146" t="s">
        <v>5878</v>
      </c>
      <c r="K25" s="146" t="s">
        <v>4735</v>
      </c>
      <c r="L25" s="146">
        <v>2016.0</v>
      </c>
      <c r="M25" s="146" t="s">
        <v>5885</v>
      </c>
      <c r="N25" s="146" t="s">
        <v>5886</v>
      </c>
      <c r="O25" s="146"/>
      <c r="P25" s="146" t="s">
        <v>462</v>
      </c>
      <c r="Q25" s="146" t="s">
        <v>462</v>
      </c>
      <c r="R25" s="147"/>
      <c r="S25" s="146"/>
      <c r="T25" s="146" t="s">
        <v>769</v>
      </c>
      <c r="U25" s="146"/>
      <c r="V25" s="153">
        <v>42145.0</v>
      </c>
      <c r="W25" s="146"/>
      <c r="X25" s="146"/>
      <c r="Y25" s="153"/>
      <c r="Z25" s="146"/>
      <c r="AA25" s="146"/>
      <c r="AB25" s="146"/>
      <c r="AC25" s="146"/>
      <c r="AD25" s="146"/>
      <c r="AE25" s="146"/>
      <c r="AF25" s="146"/>
      <c r="AG25" s="146"/>
      <c r="AH25" s="146"/>
      <c r="AI25" s="146"/>
      <c r="AJ25" s="146"/>
      <c r="AK25" s="146"/>
      <c r="AL25" s="146"/>
      <c r="AM25" s="146"/>
      <c r="AN25" s="146"/>
      <c r="AO25" s="146"/>
      <c r="AP25" s="146"/>
    </row>
    <row r="26" ht="15.75" customHeight="1">
      <c r="A26" s="151"/>
      <c r="B26" s="146" t="s">
        <v>462</v>
      </c>
      <c r="C26" s="146"/>
      <c r="D26" s="146" t="s">
        <v>421</v>
      </c>
      <c r="E26" s="146"/>
      <c r="F26" s="146" t="s">
        <v>388</v>
      </c>
      <c r="G26" s="146"/>
      <c r="H26" s="146"/>
      <c r="I26" s="146" t="s">
        <v>5887</v>
      </c>
      <c r="J26" s="146" t="s">
        <v>5888</v>
      </c>
      <c r="K26" s="146" t="s">
        <v>5889</v>
      </c>
      <c r="L26" s="146">
        <v>2015.0</v>
      </c>
      <c r="M26" s="146" t="s">
        <v>5890</v>
      </c>
      <c r="N26" s="146" t="s">
        <v>5891</v>
      </c>
      <c r="O26" s="146"/>
      <c r="P26" s="146" t="s">
        <v>462</v>
      </c>
      <c r="Q26" s="146" t="s">
        <v>462</v>
      </c>
      <c r="R26" s="147"/>
      <c r="S26" s="146"/>
      <c r="T26" s="146"/>
      <c r="U26" s="146"/>
      <c r="V26" s="146"/>
      <c r="W26" s="146"/>
      <c r="X26" s="146"/>
      <c r="Y26" s="146"/>
      <c r="Z26" s="146"/>
      <c r="AA26" s="146"/>
      <c r="AB26" s="146"/>
      <c r="AC26" s="146"/>
      <c r="AD26" s="146"/>
      <c r="AE26" s="146"/>
      <c r="AF26" s="146"/>
      <c r="AG26" s="146"/>
      <c r="AH26" s="146"/>
      <c r="AI26" s="146"/>
      <c r="AJ26" s="146"/>
      <c r="AK26" s="146"/>
      <c r="AL26" s="146"/>
      <c r="AM26" s="146"/>
      <c r="AN26" s="146"/>
      <c r="AO26" s="146"/>
      <c r="AP26" s="146"/>
    </row>
    <row r="27" ht="15.75" customHeight="1">
      <c r="A27" s="151"/>
      <c r="B27" s="146" t="s">
        <v>462</v>
      </c>
      <c r="C27" s="146"/>
      <c r="D27" s="146" t="s">
        <v>421</v>
      </c>
      <c r="E27" s="146"/>
      <c r="F27" s="146" t="s">
        <v>388</v>
      </c>
      <c r="G27" s="146"/>
      <c r="H27" s="146"/>
      <c r="I27" s="146" t="s">
        <v>5892</v>
      </c>
      <c r="J27" s="146" t="s">
        <v>5893</v>
      </c>
      <c r="K27" s="146" t="s">
        <v>5894</v>
      </c>
      <c r="L27" s="146">
        <v>2011.0</v>
      </c>
      <c r="M27" s="146" t="s">
        <v>5895</v>
      </c>
      <c r="N27" s="146" t="s">
        <v>5896</v>
      </c>
      <c r="O27" s="146" t="s">
        <v>5897</v>
      </c>
      <c r="P27" s="146" t="s">
        <v>462</v>
      </c>
      <c r="Q27" s="146" t="s">
        <v>462</v>
      </c>
      <c r="R27" s="147"/>
      <c r="S27" s="146"/>
      <c r="T27" s="146"/>
      <c r="U27" s="146"/>
      <c r="V27" s="146"/>
      <c r="W27" s="146"/>
      <c r="X27" s="146"/>
      <c r="Y27" s="146"/>
      <c r="Z27" s="146"/>
      <c r="AA27" s="146"/>
      <c r="AB27" s="146"/>
      <c r="AC27" s="146"/>
      <c r="AD27" s="146"/>
      <c r="AE27" s="146"/>
      <c r="AF27" s="146"/>
      <c r="AG27" s="146"/>
      <c r="AH27" s="146"/>
      <c r="AI27" s="146"/>
      <c r="AJ27" s="146"/>
      <c r="AK27" s="146"/>
      <c r="AL27" s="146"/>
      <c r="AM27" s="146"/>
      <c r="AN27" s="146"/>
      <c r="AO27" s="146"/>
      <c r="AP27" s="146"/>
    </row>
    <row r="28" ht="15.75" customHeight="1">
      <c r="A28" s="146"/>
      <c r="B28" s="146" t="s">
        <v>462</v>
      </c>
      <c r="C28" s="146"/>
      <c r="D28" s="146"/>
      <c r="E28" s="146"/>
      <c r="F28" s="146" t="s">
        <v>470</v>
      </c>
      <c r="G28" s="146"/>
      <c r="H28" s="146" t="s">
        <v>289</v>
      </c>
      <c r="I28" s="146" t="s">
        <v>5898</v>
      </c>
      <c r="J28" s="146" t="s">
        <v>5899</v>
      </c>
      <c r="K28" s="146" t="s">
        <v>4979</v>
      </c>
      <c r="L28" s="146">
        <v>1981.0</v>
      </c>
      <c r="M28" s="146"/>
      <c r="N28" s="146" t="s">
        <v>5900</v>
      </c>
      <c r="O28" s="146"/>
      <c r="P28" s="146" t="s">
        <v>613</v>
      </c>
      <c r="Q28" s="146" t="s">
        <v>613</v>
      </c>
      <c r="R28" s="147"/>
      <c r="S28" s="146"/>
      <c r="T28" s="146"/>
      <c r="U28" s="146"/>
      <c r="V28" s="146"/>
      <c r="W28" s="146"/>
      <c r="X28" s="146"/>
      <c r="Y28" s="146"/>
      <c r="Z28" s="146"/>
      <c r="AA28" s="146"/>
      <c r="AB28" s="146"/>
      <c r="AC28" s="146"/>
      <c r="AD28" s="146"/>
      <c r="AE28" s="146"/>
      <c r="AF28" s="146"/>
      <c r="AG28" s="146"/>
      <c r="AH28" s="146"/>
      <c r="AI28" s="146"/>
      <c r="AJ28" s="146"/>
      <c r="AK28" s="146"/>
      <c r="AL28" s="146"/>
      <c r="AM28" s="146"/>
      <c r="AN28" s="146"/>
      <c r="AO28" s="146"/>
      <c r="AP28" s="146"/>
    </row>
    <row r="29" ht="15.75" customHeight="1">
      <c r="A29" s="146"/>
      <c r="B29" s="146" t="s">
        <v>462</v>
      </c>
      <c r="C29" s="146"/>
      <c r="D29" s="146"/>
      <c r="E29" s="146"/>
      <c r="F29" s="146" t="s">
        <v>5724</v>
      </c>
      <c r="G29" s="146" t="s">
        <v>5725</v>
      </c>
      <c r="H29" s="146"/>
      <c r="I29" s="146" t="s">
        <v>5901</v>
      </c>
      <c r="J29" s="146" t="s">
        <v>5902</v>
      </c>
      <c r="K29" s="146" t="s">
        <v>5903</v>
      </c>
      <c r="L29" s="146">
        <v>2009.0</v>
      </c>
      <c r="M29" s="146" t="s">
        <v>5904</v>
      </c>
      <c r="N29" s="150" t="str">
        <f>HYPERLINK("http://www.ncbi.nlm.nih.gov/pubmed/19760473","http://www.ncbi.nlm.nih.gov/pubmed/19760473")</f>
        <v>http://www.ncbi.nlm.nih.gov/pubmed/19760473</v>
      </c>
      <c r="O29" s="146"/>
      <c r="P29" s="146" t="s">
        <v>462</v>
      </c>
      <c r="Q29" s="146" t="s">
        <v>462</v>
      </c>
      <c r="R29" s="147"/>
      <c r="S29" s="146"/>
      <c r="T29" s="146"/>
      <c r="U29" s="146"/>
      <c r="V29" s="146"/>
      <c r="W29" s="146"/>
      <c r="X29" s="146"/>
      <c r="Y29" s="146"/>
      <c r="Z29" s="146"/>
      <c r="AA29" s="146"/>
      <c r="AB29" s="146"/>
      <c r="AC29" s="146"/>
      <c r="AD29" s="146"/>
      <c r="AE29" s="146"/>
      <c r="AF29" s="146"/>
      <c r="AG29" s="146"/>
      <c r="AH29" s="146"/>
      <c r="AI29" s="146"/>
      <c r="AJ29" s="146"/>
      <c r="AK29" s="146"/>
      <c r="AL29" s="146"/>
      <c r="AM29" s="146"/>
      <c r="AN29" s="146"/>
      <c r="AO29" s="146"/>
      <c r="AP29" s="146"/>
    </row>
    <row r="30" ht="15.75" customHeight="1">
      <c r="A30" s="146"/>
      <c r="B30" s="146" t="s">
        <v>462</v>
      </c>
      <c r="C30" s="146"/>
      <c r="D30" s="146"/>
      <c r="E30" s="146"/>
      <c r="F30" s="146" t="s">
        <v>388</v>
      </c>
      <c r="G30" s="146"/>
      <c r="H30" s="146" t="s">
        <v>289</v>
      </c>
      <c r="I30" s="146" t="s">
        <v>5905</v>
      </c>
      <c r="J30" s="146" t="s">
        <v>5908</v>
      </c>
      <c r="K30" s="146" t="s">
        <v>5909</v>
      </c>
      <c r="L30" s="146">
        <v>2015.0</v>
      </c>
      <c r="M30" s="146" t="s">
        <v>5910</v>
      </c>
      <c r="N30" s="150" t="str">
        <f>HYPERLINK("http://psp.sagepub.com/content/early/2014/12/24/0146167214566187","http://psp.sagepub.com/content/early/2014/12/24/0146167214566187")</f>
        <v>http://psp.sagepub.com/content/early/2014/12/24/0146167214566187</v>
      </c>
      <c r="O30" s="146"/>
      <c r="P30" s="146" t="s">
        <v>462</v>
      </c>
      <c r="Q30" s="146" t="s">
        <v>462</v>
      </c>
      <c r="R30" s="147"/>
      <c r="S30" s="146"/>
      <c r="T30" s="146" t="s">
        <v>769</v>
      </c>
      <c r="U30" s="146"/>
      <c r="V30" s="153">
        <v>42108.0</v>
      </c>
      <c r="W30" s="146"/>
      <c r="X30" s="146"/>
      <c r="Y30" s="146"/>
      <c r="Z30" s="146"/>
      <c r="AA30" s="146"/>
      <c r="AB30" s="146"/>
      <c r="AC30" s="146"/>
      <c r="AD30" s="146"/>
      <c r="AE30" s="146"/>
      <c r="AF30" s="146"/>
      <c r="AG30" s="146"/>
      <c r="AH30" s="146"/>
      <c r="AI30" s="146"/>
      <c r="AJ30" s="146"/>
      <c r="AK30" s="146"/>
      <c r="AL30" s="146"/>
      <c r="AM30" s="146"/>
      <c r="AN30" s="146"/>
      <c r="AO30" s="146"/>
      <c r="AP30" s="146"/>
    </row>
    <row r="31" ht="15.75" customHeight="1">
      <c r="A31" s="146"/>
      <c r="B31" s="146" t="s">
        <v>462</v>
      </c>
      <c r="C31" s="146"/>
      <c r="D31" s="146"/>
      <c r="E31" s="146"/>
      <c r="F31" s="146" t="s">
        <v>388</v>
      </c>
      <c r="G31" s="146"/>
      <c r="H31" s="146" t="s">
        <v>289</v>
      </c>
      <c r="I31" s="146" t="s">
        <v>5919</v>
      </c>
      <c r="J31" s="146" t="s">
        <v>5920</v>
      </c>
      <c r="K31" s="146" t="s">
        <v>5025</v>
      </c>
      <c r="L31" s="146">
        <v>1979.0</v>
      </c>
      <c r="M31" s="146" t="s">
        <v>5921</v>
      </c>
      <c r="N31" s="150" t="str">
        <f>HYPERLINK("http://www.eief.it/butler/files/2009/11/thaler80.pdf","http://www.eief.it/butler/files/2009/11/thaler80.pdf")</f>
        <v>http://www.eief.it/butler/files/2009/11/thaler80.pdf</v>
      </c>
      <c r="O31" s="146"/>
      <c r="P31" s="146" t="s">
        <v>462</v>
      </c>
      <c r="Q31" s="146" t="s">
        <v>462</v>
      </c>
      <c r="R31" s="147"/>
      <c r="S31" s="146"/>
      <c r="T31" s="146"/>
      <c r="U31" s="146"/>
      <c r="V31" s="146"/>
      <c r="W31" s="146"/>
      <c r="X31" s="146"/>
      <c r="Y31" s="146"/>
      <c r="Z31" s="146"/>
      <c r="AA31" s="146"/>
      <c r="AB31" s="146"/>
      <c r="AC31" s="146"/>
      <c r="AD31" s="146"/>
      <c r="AE31" s="146"/>
      <c r="AF31" s="146"/>
      <c r="AG31" s="146"/>
      <c r="AH31" s="146"/>
      <c r="AI31" s="146"/>
      <c r="AJ31" s="146"/>
      <c r="AK31" s="146"/>
      <c r="AL31" s="146"/>
      <c r="AM31" s="146"/>
      <c r="AN31" s="146"/>
      <c r="AO31" s="146"/>
      <c r="AP31" s="146"/>
    </row>
    <row r="32" ht="15.75" customHeight="1">
      <c r="A32" s="146"/>
      <c r="B32" s="146" t="s">
        <v>462</v>
      </c>
      <c r="C32" s="146"/>
      <c r="D32" s="146"/>
      <c r="E32" s="146"/>
      <c r="F32" s="146"/>
      <c r="G32" s="146"/>
      <c r="H32" s="146"/>
      <c r="I32" s="146" t="s">
        <v>5922</v>
      </c>
      <c r="J32" s="146" t="s">
        <v>5923</v>
      </c>
      <c r="K32" s="146" t="s">
        <v>5356</v>
      </c>
      <c r="L32" s="146">
        <v>2007.0</v>
      </c>
      <c r="M32" s="146" t="s">
        <v>5926</v>
      </c>
      <c r="N32" s="150" t="str">
        <f>HYPERLINK("http://journal.sjdm.org/7314/jdm7314.htm","http://journal.sjdm.org/7314/jdm7314.htm")</f>
        <v>http://journal.sjdm.org/7314/jdm7314.htm</v>
      </c>
      <c r="O32" s="146"/>
      <c r="P32" s="146" t="s">
        <v>462</v>
      </c>
      <c r="Q32" s="146" t="s">
        <v>462</v>
      </c>
      <c r="R32" s="147"/>
      <c r="S32" s="146"/>
      <c r="T32" s="146"/>
      <c r="U32" s="146"/>
      <c r="V32" s="146"/>
      <c r="W32" s="146"/>
      <c r="X32" s="146"/>
      <c r="Y32" s="146"/>
      <c r="Z32" s="146"/>
      <c r="AA32" s="146"/>
      <c r="AB32" s="146"/>
      <c r="AC32" s="146"/>
      <c r="AD32" s="146"/>
      <c r="AE32" s="146"/>
      <c r="AF32" s="146"/>
      <c r="AG32" s="146"/>
      <c r="AH32" s="146"/>
      <c r="AI32" s="146"/>
      <c r="AJ32" s="146"/>
      <c r="AK32" s="146"/>
      <c r="AL32" s="146"/>
      <c r="AM32" s="146"/>
      <c r="AN32" s="146"/>
      <c r="AO32" s="146"/>
      <c r="AP32" s="146"/>
    </row>
    <row r="33" ht="15.75" customHeight="1">
      <c r="A33" s="146"/>
      <c r="B33" s="146" t="s">
        <v>1252</v>
      </c>
      <c r="C33" s="146" t="s">
        <v>64</v>
      </c>
      <c r="D33" s="146" t="s">
        <v>429</v>
      </c>
      <c r="E33" s="146" t="s">
        <v>524</v>
      </c>
      <c r="F33" s="146" t="s">
        <v>5932</v>
      </c>
      <c r="G33" s="146"/>
      <c r="H33" s="146" t="s">
        <v>289</v>
      </c>
      <c r="I33" s="146" t="s">
        <v>5933</v>
      </c>
      <c r="J33" s="146" t="s">
        <v>5934</v>
      </c>
      <c r="K33" s="146" t="s">
        <v>5656</v>
      </c>
      <c r="L33" s="146">
        <v>2002.0</v>
      </c>
      <c r="M33" s="146" t="s">
        <v>5935</v>
      </c>
      <c r="N33" s="150" t="str">
        <f>HYPERLINK("https://www0.gsb.columbia.edu/mygsb/faculty/research/pubfiles/1173/defaults_framing_and_privacy.pdf","https://www0.gsb.columbia.edu/mygsb/faculty/research/pubfiles/1173/defaults_framing_and_privacy.pdf")</f>
        <v>https://www0.gsb.columbia.edu/mygsb/faculty/research/pubfiles/1173/defaults_framing_and_privacy.pdf</v>
      </c>
      <c r="O33" s="146"/>
      <c r="P33" s="146" t="s">
        <v>462</v>
      </c>
      <c r="Q33" s="146" t="s">
        <v>462</v>
      </c>
      <c r="R33" s="147"/>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row>
    <row r="34" ht="15.75" customHeight="1">
      <c r="A34" s="146"/>
      <c r="B34" s="146" t="s">
        <v>1252</v>
      </c>
      <c r="C34" s="146" t="s">
        <v>64</v>
      </c>
      <c r="D34" s="146" t="s">
        <v>429</v>
      </c>
      <c r="E34" s="158" t="s">
        <v>5936</v>
      </c>
      <c r="F34" s="146" t="s">
        <v>5937</v>
      </c>
      <c r="G34" s="146"/>
      <c r="H34" s="146" t="s">
        <v>111</v>
      </c>
      <c r="I34" s="146" t="s">
        <v>5938</v>
      </c>
      <c r="J34" s="146" t="s">
        <v>5939</v>
      </c>
      <c r="K34" s="146" t="s">
        <v>5940</v>
      </c>
      <c r="L34" s="146">
        <v>2004.0</v>
      </c>
      <c r="M34" s="146"/>
      <c r="N34" s="150" t="str">
        <f>HYPERLINK("http://www.uclg-cisdp.org/sites/default/files/Capannori_2010_en_FINAL.pdf","http://www.uclg-cisdp.org/sites/default/files/Capannori_2010_en_FINAL.pdf")</f>
        <v>http://www.uclg-cisdp.org/sites/default/files/Capannori_2010_en_FINAL.pdf</v>
      </c>
      <c r="O34" s="146" t="s">
        <v>3772</v>
      </c>
      <c r="P34" s="146" t="s">
        <v>428</v>
      </c>
      <c r="Q34" s="146" t="s">
        <v>428</v>
      </c>
      <c r="R34" s="147"/>
      <c r="S34" s="146"/>
      <c r="T34" s="146" t="s">
        <v>677</v>
      </c>
      <c r="U34" s="146"/>
      <c r="V34" s="146" t="s">
        <v>677</v>
      </c>
      <c r="W34" s="146"/>
      <c r="X34" s="146"/>
      <c r="Y34" s="146"/>
      <c r="Z34" s="146"/>
      <c r="AA34" s="146"/>
      <c r="AB34" s="146"/>
      <c r="AC34" s="146"/>
      <c r="AD34" s="146"/>
      <c r="AE34" s="146"/>
      <c r="AF34" s="146"/>
      <c r="AG34" s="146"/>
      <c r="AH34" s="146"/>
      <c r="AI34" s="146"/>
      <c r="AJ34" s="146"/>
      <c r="AK34" s="146"/>
      <c r="AL34" s="146"/>
      <c r="AM34" s="146"/>
      <c r="AN34" s="146"/>
      <c r="AO34" s="146"/>
      <c r="AP34" s="146"/>
    </row>
    <row r="35" ht="15.75" customHeight="1">
      <c r="A35" s="156"/>
      <c r="B35" s="146" t="s">
        <v>1252</v>
      </c>
      <c r="C35" s="146" t="s">
        <v>64</v>
      </c>
      <c r="D35" s="146"/>
      <c r="E35" s="146"/>
      <c r="F35" s="146" t="s">
        <v>5941</v>
      </c>
      <c r="G35" s="146" t="s">
        <v>5942</v>
      </c>
      <c r="H35" s="146" t="s">
        <v>111</v>
      </c>
      <c r="I35" s="146" t="s">
        <v>5943</v>
      </c>
      <c r="J35" s="146" t="s">
        <v>5944</v>
      </c>
      <c r="K35" s="146" t="s">
        <v>5945</v>
      </c>
      <c r="L35" s="146">
        <v>2011.0</v>
      </c>
      <c r="M35" s="146" t="s">
        <v>5948</v>
      </c>
      <c r="N35" s="150" t="str">
        <f>HYPERLINK("http://www.sciencedirect.com/science/article/pii/S0143622810001724","http://www.sciencedirect.com/science/article/pii/S0143622810001724")</f>
        <v>http://www.sciencedirect.com/science/article/pii/S0143622810001724</v>
      </c>
      <c r="O35" s="146"/>
      <c r="P35" s="146" t="s">
        <v>462</v>
      </c>
      <c r="Q35" s="146" t="s">
        <v>462</v>
      </c>
      <c r="R35" s="147"/>
      <c r="S35" s="146"/>
      <c r="T35" s="146" t="s">
        <v>561</v>
      </c>
      <c r="U35" s="146" t="s">
        <v>5952</v>
      </c>
      <c r="V35" s="153">
        <v>42485.0</v>
      </c>
      <c r="W35" s="146"/>
      <c r="X35" s="146"/>
      <c r="Y35" s="146"/>
      <c r="Z35" s="146"/>
      <c r="AA35" s="146"/>
      <c r="AB35" s="146"/>
      <c r="AC35" s="146"/>
      <c r="AD35" s="146"/>
      <c r="AE35" s="146"/>
      <c r="AF35" s="146"/>
      <c r="AG35" s="146"/>
      <c r="AH35" s="146"/>
      <c r="AI35" s="146"/>
      <c r="AJ35" s="146"/>
      <c r="AK35" s="146"/>
      <c r="AL35" s="146"/>
      <c r="AM35" s="146"/>
      <c r="AN35" s="146"/>
      <c r="AO35" s="146"/>
      <c r="AP35" s="146"/>
    </row>
    <row r="36" ht="15.75" customHeight="1">
      <c r="A36" s="146"/>
      <c r="B36" s="146" t="s">
        <v>1252</v>
      </c>
      <c r="C36" s="146" t="s">
        <v>64</v>
      </c>
      <c r="D36" s="146"/>
      <c r="E36" s="146"/>
      <c r="F36" s="146" t="s">
        <v>5953</v>
      </c>
      <c r="G36" s="146" t="s">
        <v>3664</v>
      </c>
      <c r="H36" s="146" t="s">
        <v>289</v>
      </c>
      <c r="I36" s="146" t="s">
        <v>5954</v>
      </c>
      <c r="J36" s="146" t="s">
        <v>5955</v>
      </c>
      <c r="K36" s="146" t="s">
        <v>3992</v>
      </c>
      <c r="L36" s="146">
        <v>2003.0</v>
      </c>
      <c r="M36" s="146" t="s">
        <v>5956</v>
      </c>
      <c r="N36" s="150" t="str">
        <f>HYPERLINK("http://www.sciencedirect.com/science/article/pii/S0272494402001056","http://www.sciencedirect.com/science/article/pii/S0272494402001056")</f>
        <v>http://www.sciencedirect.com/science/article/pii/S0272494402001056</v>
      </c>
      <c r="O36" s="146"/>
      <c r="P36" s="146" t="s">
        <v>462</v>
      </c>
      <c r="Q36" s="146" t="s">
        <v>462</v>
      </c>
      <c r="R36" s="147"/>
      <c r="S36" s="146"/>
      <c r="T36" s="146" t="s">
        <v>561</v>
      </c>
      <c r="U36" s="146" t="s">
        <v>5957</v>
      </c>
      <c r="V36" s="153">
        <v>42486.0</v>
      </c>
      <c r="W36" s="146"/>
      <c r="X36" s="146"/>
      <c r="Y36" s="146"/>
      <c r="Z36" s="146"/>
      <c r="AA36" s="146"/>
      <c r="AB36" s="146"/>
      <c r="AC36" s="146"/>
      <c r="AD36" s="146"/>
      <c r="AE36" s="146"/>
      <c r="AF36" s="146"/>
      <c r="AG36" s="146"/>
      <c r="AH36" s="146"/>
      <c r="AI36" s="146"/>
      <c r="AJ36" s="146"/>
      <c r="AK36" s="146"/>
      <c r="AL36" s="146"/>
      <c r="AM36" s="146"/>
      <c r="AN36" s="146"/>
      <c r="AO36" s="146"/>
      <c r="AP36" s="146"/>
    </row>
    <row r="37" ht="15.75" customHeight="1">
      <c r="A37" s="146"/>
      <c r="B37" s="146" t="s">
        <v>1252</v>
      </c>
      <c r="C37" s="146" t="s">
        <v>64</v>
      </c>
      <c r="D37" s="146"/>
      <c r="E37" s="146"/>
      <c r="F37" s="146" t="s">
        <v>388</v>
      </c>
      <c r="G37" s="146"/>
      <c r="H37" s="146" t="s">
        <v>289</v>
      </c>
      <c r="I37" s="146" t="s">
        <v>5958</v>
      </c>
      <c r="J37" s="146" t="s">
        <v>5959</v>
      </c>
      <c r="K37" s="146" t="s">
        <v>5960</v>
      </c>
      <c r="L37" s="146">
        <v>1995.0</v>
      </c>
      <c r="M37" s="146" t="s">
        <v>5961</v>
      </c>
      <c r="N37" s="150" t="str">
        <f>HYPERLINK("http://www.ncbi.nlm.nih.gov/pubmed/7837372","http://www.ncbi.nlm.nih.gov/pubmed/7837372")</f>
        <v>http://www.ncbi.nlm.nih.gov/pubmed/7837372</v>
      </c>
      <c r="O37" s="146"/>
      <c r="P37" s="146" t="s">
        <v>462</v>
      </c>
      <c r="Q37" s="146" t="s">
        <v>462</v>
      </c>
      <c r="R37" s="147"/>
      <c r="S37" s="146"/>
      <c r="T37" s="146"/>
      <c r="U37" s="146"/>
      <c r="V37" s="146"/>
      <c r="W37" s="146"/>
      <c r="X37" s="146"/>
      <c r="Y37" s="146"/>
      <c r="Z37" s="146"/>
      <c r="AA37" s="146"/>
      <c r="AB37" s="146"/>
      <c r="AC37" s="146"/>
      <c r="AD37" s="146"/>
      <c r="AE37" s="146"/>
      <c r="AF37" s="146"/>
      <c r="AG37" s="146"/>
      <c r="AH37" s="146"/>
      <c r="AI37" s="146"/>
      <c r="AJ37" s="146"/>
      <c r="AK37" s="146"/>
      <c r="AL37" s="146"/>
      <c r="AM37" s="146"/>
      <c r="AN37" s="146"/>
      <c r="AO37" s="146"/>
      <c r="AP37" s="146"/>
    </row>
    <row r="38" ht="15.75" customHeight="1">
      <c r="A38" s="146"/>
      <c r="B38" s="146" t="s">
        <v>1252</v>
      </c>
      <c r="C38" s="146"/>
      <c r="D38" s="146"/>
      <c r="E38" s="146"/>
      <c r="F38" s="146" t="s">
        <v>538</v>
      </c>
      <c r="G38" s="146" t="s">
        <v>5962</v>
      </c>
      <c r="H38" s="146" t="s">
        <v>111</v>
      </c>
      <c r="I38" s="146" t="s">
        <v>5963</v>
      </c>
      <c r="J38" s="146" t="s">
        <v>5964</v>
      </c>
      <c r="K38" s="146" t="s">
        <v>5965</v>
      </c>
      <c r="L38" s="146">
        <v>2006.0</v>
      </c>
      <c r="M38" s="146" t="s">
        <v>5966</v>
      </c>
      <c r="N38" s="150" t="str">
        <f>HYPERLINK("http://onlinelibrary.wiley.com/doi/10.1017/S1350482706002581/pdf","http://onlinelibrary.wiley.com/doi/10.1017/S1350482706002581/pdf")</f>
        <v>http://onlinelibrary.wiley.com/doi/10.1017/S1350482706002581/pdf</v>
      </c>
      <c r="O38" s="146"/>
      <c r="P38" s="146" t="s">
        <v>428</v>
      </c>
      <c r="Q38" s="146" t="s">
        <v>462</v>
      </c>
      <c r="R38" s="147"/>
      <c r="S38" s="146"/>
      <c r="T38" s="146"/>
      <c r="U38" s="146"/>
      <c r="V38" s="146"/>
      <c r="W38" s="146"/>
      <c r="X38" s="146"/>
      <c r="Y38" s="146"/>
      <c r="Z38" s="146"/>
      <c r="AA38" s="146"/>
      <c r="AB38" s="146"/>
      <c r="AC38" s="146"/>
      <c r="AD38" s="146"/>
      <c r="AE38" s="146"/>
      <c r="AF38" s="146"/>
      <c r="AG38" s="146"/>
      <c r="AH38" s="146"/>
      <c r="AI38" s="146"/>
      <c r="AJ38" s="146"/>
      <c r="AK38" s="146"/>
      <c r="AL38" s="146"/>
      <c r="AM38" s="146"/>
      <c r="AN38" s="146"/>
      <c r="AO38" s="146"/>
      <c r="AP38" s="146"/>
    </row>
    <row r="39" ht="15.75" customHeight="1">
      <c r="A39" s="162">
        <v>216.0</v>
      </c>
      <c r="B39" s="162" t="s">
        <v>428</v>
      </c>
      <c r="C39" s="162" t="s">
        <v>64</v>
      </c>
      <c r="D39" s="162"/>
      <c r="E39" s="162"/>
      <c r="F39" s="162" t="s">
        <v>470</v>
      </c>
      <c r="G39" s="162"/>
      <c r="H39" s="162" t="s">
        <v>272</v>
      </c>
      <c r="I39" s="162" t="s">
        <v>5977</v>
      </c>
      <c r="J39" s="124" t="s">
        <v>5979</v>
      </c>
      <c r="K39" s="162" t="s">
        <v>3123</v>
      </c>
      <c r="L39" s="162">
        <v>2010.0</v>
      </c>
      <c r="M39" s="162" t="s">
        <v>5980</v>
      </c>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row>
    <row r="40" ht="15.75" customHeight="1">
      <c r="A40" s="162">
        <v>217.0</v>
      </c>
      <c r="B40" s="162" t="s">
        <v>428</v>
      </c>
      <c r="C40" s="162" t="s">
        <v>64</v>
      </c>
      <c r="D40" s="162"/>
      <c r="E40" s="162"/>
      <c r="F40" s="162" t="s">
        <v>2293</v>
      </c>
      <c r="G40" s="162"/>
      <c r="H40" s="162" t="s">
        <v>289</v>
      </c>
      <c r="I40" s="162" t="s">
        <v>5981</v>
      </c>
      <c r="J40" s="124" t="s">
        <v>5982</v>
      </c>
      <c r="K40" s="162" t="s">
        <v>5983</v>
      </c>
      <c r="L40" s="162">
        <v>2015.0</v>
      </c>
      <c r="M40" s="162" t="s">
        <v>5984</v>
      </c>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row>
    <row r="41" ht="15.75" customHeight="1">
      <c r="A41" s="162">
        <v>259.0</v>
      </c>
      <c r="B41" s="162" t="s">
        <v>428</v>
      </c>
      <c r="C41" s="162" t="s">
        <v>64</v>
      </c>
      <c r="D41" s="162" t="s">
        <v>536</v>
      </c>
      <c r="E41" s="162" t="s">
        <v>3543</v>
      </c>
      <c r="F41" s="162" t="s">
        <v>1312</v>
      </c>
      <c r="G41" s="162"/>
      <c r="H41" s="162" t="s">
        <v>111</v>
      </c>
      <c r="I41" s="162" t="s">
        <v>5985</v>
      </c>
      <c r="J41" s="124" t="s">
        <v>5986</v>
      </c>
      <c r="K41" s="162" t="s">
        <v>5987</v>
      </c>
      <c r="L41" s="162">
        <v>2016.0</v>
      </c>
      <c r="M41" s="162" t="s">
        <v>5988</v>
      </c>
      <c r="N41" s="162" t="s">
        <v>5989</v>
      </c>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row>
    <row r="42" ht="15.75" customHeight="1">
      <c r="A42" s="162">
        <v>260.0</v>
      </c>
      <c r="B42" s="162" t="s">
        <v>5990</v>
      </c>
      <c r="C42" s="162" t="s">
        <v>64</v>
      </c>
      <c r="D42" s="162" t="s">
        <v>536</v>
      </c>
      <c r="E42" s="162" t="s">
        <v>3543</v>
      </c>
      <c r="F42" s="162" t="s">
        <v>388</v>
      </c>
      <c r="G42" s="162"/>
      <c r="H42" s="162" t="s">
        <v>289</v>
      </c>
      <c r="I42" s="162" t="s">
        <v>5991</v>
      </c>
      <c r="J42" s="124" t="s">
        <v>5992</v>
      </c>
      <c r="K42" s="162" t="s">
        <v>5993</v>
      </c>
      <c r="L42" s="162">
        <v>2010.0</v>
      </c>
      <c r="M42" s="162" t="s">
        <v>5994</v>
      </c>
      <c r="N42" s="162" t="s">
        <v>5995</v>
      </c>
      <c r="O42" s="162"/>
      <c r="P42" s="162"/>
      <c r="Q42" s="162"/>
      <c r="R42" s="162"/>
      <c r="S42" s="162"/>
      <c r="T42" s="162"/>
      <c r="U42" s="162"/>
      <c r="V42" s="162"/>
      <c r="W42" s="162"/>
      <c r="X42" s="162"/>
      <c r="Y42" s="162"/>
      <c r="Z42" s="162"/>
      <c r="AA42" s="162"/>
      <c r="AB42" s="162"/>
      <c r="AC42" s="162"/>
      <c r="AD42" s="162"/>
      <c r="AE42" s="162"/>
      <c r="AF42" s="162"/>
      <c r="AG42" s="162"/>
      <c r="AH42" s="162"/>
      <c r="AI42" s="162"/>
      <c r="AJ42" s="162"/>
      <c r="AK42" s="162"/>
      <c r="AL42" s="162"/>
      <c r="AM42" s="162"/>
      <c r="AN42" s="162"/>
      <c r="AO42" s="162"/>
      <c r="AP42" s="162"/>
    </row>
    <row r="43" ht="15.75" customHeight="1">
      <c r="A43" s="163">
        <v>316.0</v>
      </c>
      <c r="B43" s="163" t="s">
        <v>428</v>
      </c>
      <c r="C43" s="163" t="s">
        <v>64</v>
      </c>
      <c r="D43" s="163" t="s">
        <v>226</v>
      </c>
      <c r="E43" s="163" t="s">
        <v>6002</v>
      </c>
      <c r="F43" s="163" t="s">
        <v>1052</v>
      </c>
      <c r="G43" s="163"/>
      <c r="H43" s="163" t="s">
        <v>289</v>
      </c>
      <c r="I43" s="163" t="s">
        <v>6003</v>
      </c>
      <c r="J43" s="163" t="s">
        <v>5633</v>
      </c>
      <c r="K43" s="163" t="s">
        <v>6004</v>
      </c>
      <c r="L43" s="163">
        <v>2012.0</v>
      </c>
      <c r="M43" s="163" t="s">
        <v>6005</v>
      </c>
      <c r="N43" s="163"/>
      <c r="O43" s="163"/>
      <c r="P43" s="163"/>
      <c r="Q43" s="163"/>
      <c r="R43" s="163"/>
      <c r="S43" s="163"/>
      <c r="T43" s="163"/>
      <c r="U43" s="163"/>
      <c r="V43" s="163"/>
      <c r="W43" s="163"/>
      <c r="X43" s="163"/>
      <c r="Y43" s="163"/>
      <c r="Z43" s="163"/>
      <c r="AA43" s="163"/>
      <c r="AB43" s="163"/>
      <c r="AC43" s="163"/>
      <c r="AD43" s="163"/>
      <c r="AE43" s="163"/>
      <c r="AF43" s="163" t="s">
        <v>615</v>
      </c>
      <c r="AG43" s="163"/>
      <c r="AH43" s="163"/>
      <c r="AI43" s="163"/>
      <c r="AJ43" s="163"/>
      <c r="AK43" s="163"/>
      <c r="AL43" s="163"/>
      <c r="AM43" s="163"/>
      <c r="AN43" s="163"/>
      <c r="AO43" s="163"/>
      <c r="AP43" s="163"/>
    </row>
    <row r="44" ht="15.75" customHeight="1">
      <c r="A44" s="164">
        <v>317.0</v>
      </c>
      <c r="B44" s="164" t="s">
        <v>428</v>
      </c>
      <c r="C44" s="164" t="s">
        <v>64</v>
      </c>
      <c r="D44" s="164" t="s">
        <v>6011</v>
      </c>
      <c r="E44" s="164" t="s">
        <v>6012</v>
      </c>
      <c r="F44" s="164" t="s">
        <v>578</v>
      </c>
      <c r="G44" s="164"/>
      <c r="H44" s="164" t="s">
        <v>298</v>
      </c>
      <c r="I44" s="164" t="s">
        <v>6013</v>
      </c>
      <c r="J44" s="124" t="s">
        <v>6014</v>
      </c>
      <c r="K44" s="164" t="s">
        <v>3874</v>
      </c>
      <c r="L44" s="164">
        <v>2012.0</v>
      </c>
      <c r="M44" s="164" t="s">
        <v>6015</v>
      </c>
      <c r="N44" s="164"/>
      <c r="O44" s="164"/>
      <c r="P44" s="164"/>
      <c r="Q44" s="164"/>
      <c r="R44" s="164"/>
      <c r="S44" s="164"/>
      <c r="T44" s="164"/>
      <c r="U44" s="164"/>
      <c r="V44" s="164"/>
      <c r="W44" s="164"/>
      <c r="X44" s="164"/>
      <c r="Y44" s="164"/>
      <c r="Z44" s="164"/>
      <c r="AA44" s="164"/>
      <c r="AB44" s="164"/>
      <c r="AC44" s="164"/>
      <c r="AD44" s="164"/>
      <c r="AE44" s="164"/>
      <c r="AF44" s="164"/>
      <c r="AG44" s="164"/>
      <c r="AH44" s="164"/>
      <c r="AI44" s="164"/>
      <c r="AJ44" s="164"/>
      <c r="AK44" s="164"/>
      <c r="AL44" s="164"/>
      <c r="AM44" s="164"/>
      <c r="AN44" s="164"/>
      <c r="AO44" s="164"/>
      <c r="AP44" s="164"/>
    </row>
    <row r="45" ht="15.75" customHeight="1">
      <c r="A45" s="162">
        <v>303.0</v>
      </c>
      <c r="B45" s="162" t="s">
        <v>428</v>
      </c>
      <c r="C45" s="162" t="s">
        <v>64</v>
      </c>
      <c r="D45" s="162" t="s">
        <v>2299</v>
      </c>
      <c r="E45" s="162" t="s">
        <v>3543</v>
      </c>
      <c r="F45" s="162" t="s">
        <v>605</v>
      </c>
      <c r="G45" s="162"/>
      <c r="H45" s="162" t="s">
        <v>111</v>
      </c>
      <c r="I45" s="162" t="s">
        <v>6016</v>
      </c>
      <c r="J45" s="124" t="s">
        <v>6017</v>
      </c>
      <c r="K45" s="162" t="s">
        <v>934</v>
      </c>
      <c r="L45" s="162">
        <v>2011.0</v>
      </c>
      <c r="M45" s="162" t="s">
        <v>6018</v>
      </c>
      <c r="N45" s="165" t="str">
        <f>HYPERLINK("http://onlinelibrary.wiley.com/doi/10.1111/j.1464-0597.2011.00464.x/full","http://onlinelibrary.wiley.com/doi/10.1111/j.1464-0597.2011.00464.x/full")</f>
        <v>http://onlinelibrary.wiley.com/doi/10.1111/j.1464-0597.2011.00464.x/full</v>
      </c>
      <c r="O45" s="162" t="s">
        <v>6019</v>
      </c>
      <c r="P45" s="162" t="s">
        <v>462</v>
      </c>
      <c r="Q45" s="162" t="s">
        <v>462</v>
      </c>
      <c r="R45" s="162"/>
      <c r="S45" s="162"/>
      <c r="T45" s="162" t="s">
        <v>677</v>
      </c>
      <c r="U45" s="162"/>
      <c r="V45" s="162"/>
      <c r="W45" s="162"/>
      <c r="X45" s="162"/>
      <c r="Y45" s="162"/>
      <c r="Z45" s="162"/>
      <c r="AA45" s="162"/>
      <c r="AB45" s="162"/>
      <c r="AC45" s="162"/>
      <c r="AD45" s="162"/>
      <c r="AE45" s="162"/>
      <c r="AF45" s="162"/>
      <c r="AG45" s="162"/>
      <c r="AH45" s="162"/>
      <c r="AI45" s="162"/>
      <c r="AJ45" s="162"/>
      <c r="AK45" s="162"/>
      <c r="AL45" s="162"/>
      <c r="AM45" s="162"/>
      <c r="AN45" s="162"/>
      <c r="AO45" s="162"/>
      <c r="AP45" s="162"/>
    </row>
    <row r="46" ht="15.75" customHeight="1">
      <c r="A46" s="164">
        <v>448.0</v>
      </c>
      <c r="B46" s="164" t="s">
        <v>5990</v>
      </c>
      <c r="C46" s="164" t="s">
        <v>64</v>
      </c>
      <c r="D46" s="164"/>
      <c r="E46" s="164"/>
      <c r="F46" s="164" t="s">
        <v>388</v>
      </c>
      <c r="G46" s="164"/>
      <c r="H46" s="164" t="s">
        <v>111</v>
      </c>
      <c r="I46" s="164" t="s">
        <v>6021</v>
      </c>
      <c r="J46" s="124" t="s">
        <v>6022</v>
      </c>
      <c r="K46" s="164" t="s">
        <v>5340</v>
      </c>
      <c r="L46" s="164">
        <v>2015.0</v>
      </c>
      <c r="M46" s="164" t="s">
        <v>6025</v>
      </c>
      <c r="N46" s="164" t="s">
        <v>6027</v>
      </c>
      <c r="O46" s="164"/>
      <c r="P46" s="164" t="s">
        <v>428</v>
      </c>
      <c r="Q46" s="164"/>
      <c r="R46" s="164"/>
      <c r="S46" s="164"/>
      <c r="T46" s="164"/>
      <c r="U46" s="164"/>
      <c r="V46" s="164"/>
      <c r="W46" s="164"/>
      <c r="X46" s="164"/>
      <c r="Y46" s="164"/>
      <c r="Z46" s="164"/>
      <c r="AA46" s="164"/>
      <c r="AB46" s="164"/>
      <c r="AC46" s="164"/>
      <c r="AD46" s="164"/>
      <c r="AE46" s="164"/>
      <c r="AF46" s="164"/>
      <c r="AG46" s="164"/>
      <c r="AH46" s="164"/>
      <c r="AI46" s="164"/>
      <c r="AJ46" s="164"/>
      <c r="AK46" s="164"/>
      <c r="AL46" s="164"/>
      <c r="AM46" s="164"/>
      <c r="AN46" s="164"/>
      <c r="AO46" s="164"/>
      <c r="AP46" s="164"/>
    </row>
    <row r="47" ht="15.75" customHeight="1">
      <c r="A47" s="164">
        <v>449.0</v>
      </c>
      <c r="B47" s="164" t="s">
        <v>5990</v>
      </c>
      <c r="C47" s="164" t="s">
        <v>64</v>
      </c>
      <c r="D47" s="164" t="s">
        <v>387</v>
      </c>
      <c r="E47" s="164" t="s">
        <v>6031</v>
      </c>
      <c r="F47" s="164" t="s">
        <v>388</v>
      </c>
      <c r="G47" s="164"/>
      <c r="H47" s="164" t="s">
        <v>289</v>
      </c>
      <c r="I47" s="164" t="s">
        <v>6033</v>
      </c>
      <c r="J47" s="124" t="s">
        <v>6034</v>
      </c>
      <c r="K47" s="164" t="s">
        <v>6035</v>
      </c>
      <c r="L47" s="164">
        <v>2001.0</v>
      </c>
      <c r="M47" s="164" t="s">
        <v>6037</v>
      </c>
      <c r="N47" s="164" t="s">
        <v>6038</v>
      </c>
      <c r="O47" s="164" t="s">
        <v>6039</v>
      </c>
      <c r="P47" s="164" t="s">
        <v>428</v>
      </c>
      <c r="Q47" s="164" t="s">
        <v>462</v>
      </c>
      <c r="R47" s="164"/>
      <c r="S47" s="164"/>
      <c r="T47" s="164"/>
      <c r="U47" s="164"/>
      <c r="V47" s="164"/>
      <c r="W47" s="164"/>
      <c r="X47" s="164"/>
      <c r="Y47" s="164"/>
      <c r="Z47" s="164"/>
      <c r="AA47" s="164"/>
      <c r="AB47" s="164"/>
      <c r="AC47" s="164"/>
      <c r="AD47" s="164"/>
      <c r="AE47" s="164"/>
      <c r="AF47" s="164"/>
      <c r="AG47" s="164"/>
      <c r="AH47" s="164"/>
      <c r="AI47" s="164"/>
      <c r="AJ47" s="164"/>
      <c r="AK47" s="164"/>
      <c r="AL47" s="164"/>
      <c r="AM47" s="164"/>
      <c r="AN47" s="164"/>
      <c r="AO47" s="164"/>
      <c r="AP47" s="164"/>
    </row>
    <row r="48" ht="15.75" customHeight="1">
      <c r="A48" s="164">
        <v>486.0</v>
      </c>
      <c r="B48" s="164" t="s">
        <v>428</v>
      </c>
      <c r="C48" s="164" t="s">
        <v>173</v>
      </c>
      <c r="D48" s="164" t="s">
        <v>772</v>
      </c>
      <c r="E48" s="164" t="s">
        <v>6040</v>
      </c>
      <c r="F48" s="164" t="s">
        <v>1332</v>
      </c>
      <c r="G48" s="164"/>
      <c r="H48" s="164" t="s">
        <v>289</v>
      </c>
      <c r="I48" s="164" t="s">
        <v>6041</v>
      </c>
      <c r="J48" s="124" t="s">
        <v>6042</v>
      </c>
      <c r="K48" s="164" t="s">
        <v>3883</v>
      </c>
      <c r="L48" s="164">
        <v>2014.0</v>
      </c>
      <c r="M48" s="164" t="s">
        <v>6044</v>
      </c>
      <c r="N48" s="164" t="s">
        <v>6045</v>
      </c>
      <c r="O48" s="164"/>
      <c r="P48" s="164" t="s">
        <v>39</v>
      </c>
      <c r="Q48" s="164" t="s">
        <v>462</v>
      </c>
      <c r="R48" s="164"/>
      <c r="S48" s="164"/>
      <c r="T48" s="164"/>
      <c r="U48" s="164"/>
      <c r="V48" s="164"/>
      <c r="W48" s="164"/>
      <c r="X48" s="164"/>
      <c r="Y48" s="164"/>
      <c r="Z48" s="164"/>
      <c r="AA48" s="164"/>
      <c r="AB48" s="164"/>
      <c r="AC48" s="164"/>
      <c r="AD48" s="164"/>
      <c r="AE48" s="164"/>
      <c r="AF48" s="164"/>
      <c r="AG48" s="164"/>
      <c r="AH48" s="164"/>
      <c r="AI48" s="164"/>
      <c r="AJ48" s="164"/>
      <c r="AK48" s="164"/>
      <c r="AL48" s="164"/>
      <c r="AM48" s="164"/>
      <c r="AN48" s="164"/>
      <c r="AO48" s="164"/>
      <c r="AP48" s="164"/>
    </row>
    <row r="49" ht="15.75" customHeight="1">
      <c r="A49" s="164">
        <v>463.0</v>
      </c>
      <c r="B49" s="164" t="s">
        <v>428</v>
      </c>
      <c r="C49" s="164" t="s">
        <v>4032</v>
      </c>
      <c r="D49" s="164" t="s">
        <v>772</v>
      </c>
      <c r="E49" s="164" t="s">
        <v>6046</v>
      </c>
      <c r="F49" s="164" t="s">
        <v>6047</v>
      </c>
      <c r="G49" s="164"/>
      <c r="H49" s="164" t="s">
        <v>289</v>
      </c>
      <c r="I49" s="164" t="s">
        <v>6048</v>
      </c>
      <c r="J49" s="124" t="s">
        <v>6049</v>
      </c>
      <c r="K49" s="164" t="s">
        <v>4199</v>
      </c>
      <c r="L49" s="164">
        <v>2012.0</v>
      </c>
      <c r="M49" s="164" t="s">
        <v>6050</v>
      </c>
      <c r="N49" s="164"/>
      <c r="O49" s="164"/>
      <c r="P49" s="164"/>
      <c r="Q49" s="164"/>
      <c r="R49" s="164"/>
      <c r="S49" s="164"/>
      <c r="T49" s="164"/>
      <c r="U49" s="164"/>
      <c r="V49" s="164"/>
      <c r="W49" s="164"/>
      <c r="X49" s="164"/>
      <c r="Y49" s="164"/>
      <c r="Z49" s="164"/>
      <c r="AA49" s="164"/>
      <c r="AB49" s="164"/>
      <c r="AC49" s="164"/>
      <c r="AD49" s="164"/>
      <c r="AE49" s="164"/>
      <c r="AF49" s="164"/>
      <c r="AG49" s="164"/>
      <c r="AH49" s="164"/>
      <c r="AI49" s="164"/>
      <c r="AJ49" s="164"/>
      <c r="AK49" s="164"/>
      <c r="AL49" s="164"/>
      <c r="AM49" s="164"/>
      <c r="AN49" s="164"/>
      <c r="AO49" s="164"/>
      <c r="AP49" s="164"/>
    </row>
    <row r="50" ht="15.75" customHeight="1">
      <c r="A50" s="164">
        <v>472.0</v>
      </c>
      <c r="B50" s="164" t="s">
        <v>428</v>
      </c>
      <c r="C50" s="164" t="s">
        <v>173</v>
      </c>
      <c r="D50" s="164" t="s">
        <v>772</v>
      </c>
      <c r="E50" s="164" t="s">
        <v>6051</v>
      </c>
      <c r="F50" s="164" t="s">
        <v>70</v>
      </c>
      <c r="G50" s="164"/>
      <c r="H50" s="164" t="s">
        <v>289</v>
      </c>
      <c r="I50" s="164" t="s">
        <v>6052</v>
      </c>
      <c r="J50" s="124" t="s">
        <v>6053</v>
      </c>
      <c r="K50" s="164" t="s">
        <v>6054</v>
      </c>
      <c r="L50" s="164">
        <v>2015.0</v>
      </c>
      <c r="M50" s="164" t="s">
        <v>6055</v>
      </c>
      <c r="N50" s="164" t="s">
        <v>6056</v>
      </c>
      <c r="O50" s="164"/>
      <c r="P50" s="164" t="s">
        <v>462</v>
      </c>
      <c r="Q50" s="164" t="s">
        <v>462</v>
      </c>
      <c r="R50" s="164"/>
      <c r="S50" s="164"/>
      <c r="T50" s="164"/>
      <c r="U50" s="164"/>
      <c r="V50" s="164"/>
      <c r="W50" s="164"/>
      <c r="X50" s="164"/>
      <c r="Y50" s="164"/>
      <c r="Z50" s="164"/>
      <c r="AA50" s="164"/>
      <c r="AB50" s="164"/>
      <c r="AC50" s="164"/>
      <c r="AD50" s="164"/>
      <c r="AE50" s="164"/>
      <c r="AF50" s="164"/>
      <c r="AG50" s="164"/>
      <c r="AH50" s="164"/>
      <c r="AI50" s="164"/>
      <c r="AJ50" s="164"/>
      <c r="AK50" s="164"/>
      <c r="AL50" s="164"/>
      <c r="AM50" s="164"/>
      <c r="AN50" s="164"/>
      <c r="AO50" s="164"/>
      <c r="AP50" s="164"/>
    </row>
    <row r="51" ht="15.75" customHeight="1">
      <c r="A51" s="162">
        <v>210.0</v>
      </c>
      <c r="B51" s="162" t="s">
        <v>428</v>
      </c>
      <c r="C51" s="162" t="s">
        <v>1988</v>
      </c>
      <c r="D51" s="162"/>
      <c r="E51" s="162"/>
      <c r="F51" s="162" t="s">
        <v>6057</v>
      </c>
      <c r="G51" s="162"/>
      <c r="H51" s="162" t="s">
        <v>289</v>
      </c>
      <c r="I51" s="162" t="s">
        <v>6058</v>
      </c>
      <c r="J51" s="124" t="s">
        <v>6059</v>
      </c>
      <c r="K51" s="162" t="s">
        <v>6060</v>
      </c>
      <c r="L51" s="162">
        <v>2002.0</v>
      </c>
      <c r="M51" s="162" t="s">
        <v>6061</v>
      </c>
      <c r="N51" s="162"/>
      <c r="O51" s="162"/>
      <c r="P51" s="162"/>
      <c r="Q51" s="162"/>
      <c r="R51" s="162"/>
      <c r="S51" s="162"/>
      <c r="T51" s="162"/>
      <c r="U51" s="162"/>
      <c r="V51" s="162"/>
      <c r="W51" s="162"/>
      <c r="X51" s="162"/>
      <c r="Y51" s="162"/>
      <c r="Z51" s="162"/>
      <c r="AA51" s="162"/>
      <c r="AB51" s="162"/>
      <c r="AC51" s="162"/>
      <c r="AD51" s="162"/>
      <c r="AE51" s="162"/>
      <c r="AF51" s="162"/>
      <c r="AG51" s="162"/>
      <c r="AH51" s="162"/>
      <c r="AI51" s="162"/>
      <c r="AJ51" s="162"/>
      <c r="AK51" s="162"/>
      <c r="AL51" s="162"/>
      <c r="AM51" s="162"/>
      <c r="AN51" s="162"/>
      <c r="AO51" s="162"/>
      <c r="AP51" s="162"/>
    </row>
    <row r="52" ht="15.75" customHeight="1">
      <c r="A52" s="123">
        <v>113.0</v>
      </c>
      <c r="B52" s="124" t="s">
        <v>428</v>
      </c>
      <c r="C52" s="124" t="s">
        <v>173</v>
      </c>
      <c r="D52" s="124" t="s">
        <v>4714</v>
      </c>
      <c r="E52" s="124" t="s">
        <v>224</v>
      </c>
      <c r="F52" s="124" t="s">
        <v>696</v>
      </c>
      <c r="G52" s="123"/>
      <c r="H52" s="124" t="s">
        <v>289</v>
      </c>
      <c r="I52" s="124" t="s">
        <v>6062</v>
      </c>
      <c r="J52" s="124" t="s">
        <v>6063</v>
      </c>
      <c r="K52" s="124" t="s">
        <v>6064</v>
      </c>
      <c r="L52" s="124">
        <v>2013.0</v>
      </c>
      <c r="M52" s="124" t="s">
        <v>6065</v>
      </c>
      <c r="N52" s="127" t="str">
        <f>HYPERLINK("http://www.ncbi.nlm.nih.gov/pubmed/23911922","http://www.ncbi.nlm.nih.gov/pubmed/23911922")</f>
        <v>http://www.ncbi.nlm.nih.gov/pubmed/23911922</v>
      </c>
      <c r="O52" s="123"/>
      <c r="P52" s="123"/>
      <c r="Q52" s="123"/>
      <c r="R52" s="123"/>
      <c r="S52" s="123"/>
      <c r="T52" s="123"/>
      <c r="U52" s="123"/>
      <c r="V52" s="123"/>
      <c r="W52" s="123"/>
      <c r="X52" s="123"/>
      <c r="Y52" s="123"/>
      <c r="Z52" s="123"/>
      <c r="AA52" s="123"/>
      <c r="AB52" s="123"/>
      <c r="AC52" s="123"/>
      <c r="AD52" s="123"/>
      <c r="AE52" s="123"/>
      <c r="AF52" s="123"/>
      <c r="AG52" s="124"/>
      <c r="AH52" s="124"/>
      <c r="AI52" s="124"/>
      <c r="AJ52" s="124"/>
      <c r="AK52" s="124"/>
      <c r="AL52" s="124"/>
      <c r="AM52" s="124"/>
      <c r="AN52" s="124"/>
      <c r="AO52" s="124"/>
      <c r="AP52" s="124"/>
    </row>
    <row r="53" ht="15.75" customHeight="1">
      <c r="A53" s="123">
        <v>153.0</v>
      </c>
      <c r="B53" s="124" t="s">
        <v>39</v>
      </c>
      <c r="C53" s="124" t="s">
        <v>1988</v>
      </c>
      <c r="D53" s="124" t="s">
        <v>6066</v>
      </c>
      <c r="E53" s="124" t="s">
        <v>224</v>
      </c>
      <c r="F53" s="124" t="s">
        <v>388</v>
      </c>
      <c r="G53" s="123"/>
      <c r="H53" s="124" t="s">
        <v>289</v>
      </c>
      <c r="I53" s="124" t="s">
        <v>6067</v>
      </c>
      <c r="J53" s="124" t="s">
        <v>6068</v>
      </c>
      <c r="K53" s="124" t="s">
        <v>6069</v>
      </c>
      <c r="L53" s="124">
        <v>2014.0</v>
      </c>
      <c r="M53" s="130" t="s">
        <v>6070</v>
      </c>
      <c r="N53" s="123" t="s">
        <v>6071</v>
      </c>
      <c r="O53" s="123"/>
      <c r="P53" s="123" t="s">
        <v>428</v>
      </c>
      <c r="Q53" s="123" t="s">
        <v>462</v>
      </c>
      <c r="R53" s="123"/>
      <c r="S53" s="123"/>
      <c r="T53" s="123"/>
      <c r="U53" s="123"/>
      <c r="V53" s="129"/>
      <c r="W53" s="123"/>
      <c r="X53" s="123"/>
      <c r="Y53" s="123"/>
      <c r="Z53" s="123"/>
      <c r="AA53" s="123"/>
      <c r="AB53" s="123"/>
      <c r="AC53" s="123"/>
      <c r="AD53" s="123"/>
      <c r="AE53" s="123"/>
      <c r="AF53" s="123"/>
      <c r="AG53" s="124"/>
      <c r="AH53" s="124"/>
      <c r="AI53" s="124"/>
      <c r="AJ53" s="124"/>
      <c r="AK53" s="124"/>
      <c r="AL53" s="124"/>
      <c r="AM53" s="124"/>
      <c r="AN53" s="124"/>
      <c r="AO53" s="124"/>
      <c r="AP53" s="124"/>
    </row>
    <row r="54" ht="15.75" customHeight="1">
      <c r="A54" s="123">
        <v>154.0</v>
      </c>
      <c r="B54" s="124" t="s">
        <v>39</v>
      </c>
      <c r="C54" s="124" t="s">
        <v>1988</v>
      </c>
      <c r="D54" s="124" t="s">
        <v>6066</v>
      </c>
      <c r="E54" s="124" t="s">
        <v>224</v>
      </c>
      <c r="F54" s="124" t="s">
        <v>388</v>
      </c>
      <c r="G54" s="123"/>
      <c r="H54" s="124" t="s">
        <v>289</v>
      </c>
      <c r="I54" s="124" t="s">
        <v>6072</v>
      </c>
      <c r="J54" s="124" t="s">
        <v>2375</v>
      </c>
      <c r="K54" s="124" t="s">
        <v>6073</v>
      </c>
      <c r="L54" s="124">
        <v>2015.0</v>
      </c>
      <c r="M54" s="79" t="s">
        <v>6074</v>
      </c>
      <c r="N54" s="123" t="s">
        <v>6075</v>
      </c>
      <c r="O54" s="123"/>
      <c r="P54" s="123" t="s">
        <v>428</v>
      </c>
      <c r="Q54" s="123" t="s">
        <v>462</v>
      </c>
      <c r="R54" s="123"/>
      <c r="S54" s="123"/>
      <c r="T54" s="123"/>
      <c r="U54" s="123"/>
      <c r="V54" s="123"/>
      <c r="W54" s="123"/>
      <c r="X54" s="123"/>
      <c r="Y54" s="123"/>
      <c r="Z54" s="123"/>
      <c r="AA54" s="123"/>
      <c r="AB54" s="123"/>
      <c r="AC54" s="123"/>
      <c r="AD54" s="123"/>
      <c r="AE54" s="123"/>
      <c r="AF54" s="123"/>
      <c r="AG54" s="124"/>
      <c r="AH54" s="124"/>
      <c r="AI54" s="124"/>
      <c r="AJ54" s="124"/>
      <c r="AK54" s="124"/>
      <c r="AL54" s="124"/>
      <c r="AM54" s="124"/>
      <c r="AN54" s="124"/>
      <c r="AO54" s="124"/>
      <c r="AP54" s="124"/>
    </row>
  </sheetData>
  <hyperlinks>
    <hyperlink r:id="rId2" ref="N4"/>
    <hyperlink r:id="rId3" ref="N7"/>
    <hyperlink r:id="rId4" ref="N8"/>
    <hyperlink r:id="rId5" ref="N9"/>
    <hyperlink r:id="rId6" ref="N11"/>
    <hyperlink r:id="rId7" ref="N24"/>
    <hyperlink r:id="rId8" ref="N29"/>
    <hyperlink r:id="rId9" ref="N30"/>
    <hyperlink r:id="rId10" ref="N31"/>
    <hyperlink r:id="rId11" ref="N32"/>
    <hyperlink r:id="rId12" ref="N33"/>
    <hyperlink r:id="rId13" ref="N34"/>
    <hyperlink r:id="rId14" ref="N35"/>
    <hyperlink r:id="rId15" ref="N36"/>
    <hyperlink r:id="rId16" ref="N37"/>
    <hyperlink r:id="rId17" ref="N38"/>
    <hyperlink r:id="rId18" ref="N45"/>
    <hyperlink r:id="rId19" ref="N52"/>
  </hyperlinks>
  <drawing r:id="rId20"/>
  <legacyDrawing r:id="rId2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26" width="10.56"/>
  </cols>
  <sheetData>
    <row r="1" ht="198.0" customHeight="1">
      <c r="A1" s="166" t="s">
        <v>1</v>
      </c>
      <c r="B1" s="167" t="s">
        <v>6</v>
      </c>
      <c r="C1" s="167" t="s">
        <v>8</v>
      </c>
      <c r="D1" s="167" t="s">
        <v>9</v>
      </c>
      <c r="E1" s="145" t="s">
        <v>10</v>
      </c>
      <c r="F1" s="145" t="s">
        <v>14</v>
      </c>
      <c r="G1" s="168" t="s">
        <v>15</v>
      </c>
      <c r="H1" s="169" t="s">
        <v>17</v>
      </c>
      <c r="I1" s="170" t="s">
        <v>6104</v>
      </c>
      <c r="J1" s="170" t="s">
        <v>6105</v>
      </c>
      <c r="K1" s="171" t="s">
        <v>20</v>
      </c>
      <c r="L1" s="171" t="s">
        <v>21</v>
      </c>
      <c r="M1" s="171" t="s">
        <v>22</v>
      </c>
      <c r="N1" s="171" t="s">
        <v>23</v>
      </c>
      <c r="O1" s="171" t="s">
        <v>24</v>
      </c>
      <c r="P1" s="171" t="s">
        <v>25</v>
      </c>
      <c r="Q1" s="171" t="s">
        <v>26</v>
      </c>
      <c r="R1" s="171" t="s">
        <v>27</v>
      </c>
      <c r="S1" s="171" t="s">
        <v>28</v>
      </c>
      <c r="T1" s="171" t="s">
        <v>29</v>
      </c>
      <c r="U1" s="172" t="s">
        <v>30</v>
      </c>
      <c r="V1" s="173" t="s">
        <v>34</v>
      </c>
      <c r="W1" s="174" t="s">
        <v>36</v>
      </c>
      <c r="X1" s="144" t="s">
        <v>37</v>
      </c>
      <c r="Y1" s="144"/>
    </row>
    <row r="2" ht="81.75" customHeight="1">
      <c r="A2" s="175" t="s">
        <v>462</v>
      </c>
      <c r="B2" s="176" t="s">
        <v>115</v>
      </c>
      <c r="C2" s="176" t="s">
        <v>68</v>
      </c>
      <c r="D2" s="176" t="s">
        <v>69</v>
      </c>
      <c r="E2" s="177" t="s">
        <v>70</v>
      </c>
      <c r="F2" s="178"/>
      <c r="G2" s="179" t="s">
        <v>117</v>
      </c>
      <c r="H2" s="180" t="s">
        <v>6107</v>
      </c>
      <c r="I2" s="181" t="s">
        <v>6108</v>
      </c>
      <c r="J2" s="182"/>
      <c r="K2" s="183"/>
      <c r="L2" s="183"/>
      <c r="M2" s="183"/>
      <c r="N2" s="183"/>
      <c r="O2" s="183"/>
      <c r="P2" s="183"/>
      <c r="Q2" s="183"/>
      <c r="R2" s="183"/>
      <c r="S2" s="183"/>
      <c r="T2" s="183"/>
      <c r="U2" s="184" t="s">
        <v>6115</v>
      </c>
      <c r="V2" s="185">
        <v>3.0</v>
      </c>
      <c r="W2" s="186" t="s">
        <v>6123</v>
      </c>
      <c r="X2" s="187"/>
      <c r="Y2" s="187"/>
      <c r="Z2" s="188"/>
    </row>
    <row r="3" ht="72.75" customHeight="1">
      <c r="A3" s="175" t="s">
        <v>1358</v>
      </c>
      <c r="B3" s="176" t="s">
        <v>64</v>
      </c>
      <c r="C3" s="176" t="s">
        <v>68</v>
      </c>
      <c r="D3" s="176" t="s">
        <v>141</v>
      </c>
      <c r="E3" s="177" t="s">
        <v>151</v>
      </c>
      <c r="F3" s="177"/>
      <c r="G3" s="179" t="s">
        <v>117</v>
      </c>
      <c r="H3" s="180" t="s">
        <v>6129</v>
      </c>
      <c r="I3" s="189" t="s">
        <v>6130</v>
      </c>
      <c r="J3" s="190"/>
      <c r="K3" s="191"/>
      <c r="L3" s="191"/>
      <c r="M3" s="191"/>
      <c r="N3" s="191"/>
      <c r="O3" s="191"/>
      <c r="P3" s="191"/>
      <c r="Q3" s="191"/>
      <c r="R3" s="191"/>
      <c r="S3" s="191"/>
      <c r="T3" s="191"/>
      <c r="U3" s="192"/>
      <c r="V3" s="173">
        <v>4.0</v>
      </c>
      <c r="W3" s="186" t="s">
        <v>6132</v>
      </c>
      <c r="X3" s="193"/>
      <c r="Y3" s="193"/>
    </row>
    <row r="4" ht="84.75" customHeight="1">
      <c r="A4" s="175" t="s">
        <v>1358</v>
      </c>
      <c r="B4" s="176" t="s">
        <v>64</v>
      </c>
      <c r="C4" s="176" t="s">
        <v>167</v>
      </c>
      <c r="D4" s="176" t="s">
        <v>184</v>
      </c>
      <c r="E4" s="194" t="s">
        <v>651</v>
      </c>
      <c r="F4" s="177" t="s">
        <v>185</v>
      </c>
      <c r="G4" s="179" t="s">
        <v>117</v>
      </c>
      <c r="H4" s="180" t="s">
        <v>6137</v>
      </c>
      <c r="I4" s="189" t="s">
        <v>6138</v>
      </c>
      <c r="J4" s="195"/>
      <c r="K4" s="196"/>
      <c r="L4" s="196"/>
      <c r="M4" s="196"/>
      <c r="N4" s="196"/>
      <c r="O4" s="196"/>
      <c r="P4" s="196"/>
      <c r="Q4" s="196"/>
      <c r="R4" s="196"/>
      <c r="S4" s="196"/>
      <c r="T4" s="196"/>
      <c r="U4" s="197" t="s">
        <v>6142</v>
      </c>
      <c r="V4" s="198">
        <v>4.0</v>
      </c>
      <c r="W4" s="199" t="s">
        <v>6144</v>
      </c>
      <c r="X4" s="200" t="s">
        <v>6145</v>
      </c>
      <c r="Y4" s="200"/>
    </row>
    <row r="5" ht="76.5" customHeight="1">
      <c r="A5" s="175" t="s">
        <v>462</v>
      </c>
      <c r="B5" s="176" t="s">
        <v>64</v>
      </c>
      <c r="C5" s="176" t="s">
        <v>196</v>
      </c>
      <c r="D5" s="201" t="s">
        <v>197</v>
      </c>
      <c r="E5" s="194" t="s">
        <v>198</v>
      </c>
      <c r="F5" s="177"/>
      <c r="G5" s="179" t="s">
        <v>117</v>
      </c>
      <c r="H5" s="180" t="s">
        <v>6146</v>
      </c>
      <c r="I5" s="189" t="s">
        <v>6147</v>
      </c>
      <c r="J5" s="195"/>
      <c r="K5" s="196"/>
      <c r="L5" s="196"/>
      <c r="M5" s="196"/>
      <c r="N5" s="196"/>
      <c r="O5" s="196"/>
      <c r="P5" s="196"/>
      <c r="Q5" s="196"/>
      <c r="R5" s="196"/>
      <c r="S5" s="196"/>
      <c r="T5" s="196"/>
      <c r="U5" s="202" t="s">
        <v>6148</v>
      </c>
      <c r="V5" s="198">
        <v>3.0</v>
      </c>
      <c r="W5" s="203" t="s">
        <v>6150</v>
      </c>
      <c r="X5" s="204" t="s">
        <v>6158</v>
      </c>
      <c r="Y5" s="204" t="s">
        <v>6160</v>
      </c>
    </row>
    <row r="6" ht="66.0" customHeight="1">
      <c r="A6" s="175" t="s">
        <v>462</v>
      </c>
      <c r="B6" s="176" t="s">
        <v>64</v>
      </c>
      <c r="C6" s="176" t="s">
        <v>196</v>
      </c>
      <c r="D6" s="176" t="s">
        <v>204</v>
      </c>
      <c r="E6" s="177"/>
      <c r="F6" s="177" t="s">
        <v>205</v>
      </c>
      <c r="G6" s="179" t="s">
        <v>117</v>
      </c>
      <c r="H6" s="180" t="s">
        <v>6161</v>
      </c>
      <c r="I6" s="189" t="s">
        <v>6162</v>
      </c>
      <c r="J6" s="190"/>
      <c r="K6" s="191"/>
      <c r="L6" s="191"/>
      <c r="M6" s="191"/>
      <c r="N6" s="191"/>
      <c r="O6" s="191"/>
      <c r="P6" s="191"/>
      <c r="Q6" s="191"/>
      <c r="R6" s="191"/>
      <c r="S6" s="191"/>
      <c r="T6" s="191"/>
      <c r="U6" s="205" t="s">
        <v>6163</v>
      </c>
      <c r="V6" s="198">
        <v>3.0</v>
      </c>
      <c r="W6" s="199" t="s">
        <v>6166</v>
      </c>
      <c r="X6" s="204" t="s">
        <v>6168</v>
      </c>
    </row>
    <row r="7" ht="93.75" customHeight="1">
      <c r="A7" s="175" t="s">
        <v>462</v>
      </c>
      <c r="B7" s="176" t="s">
        <v>115</v>
      </c>
      <c r="C7" s="176" t="s">
        <v>196</v>
      </c>
      <c r="D7" s="176" t="s">
        <v>219</v>
      </c>
      <c r="E7" s="177" t="s">
        <v>6169</v>
      </c>
      <c r="F7" s="177"/>
      <c r="G7" s="179" t="s">
        <v>95</v>
      </c>
      <c r="H7" s="180" t="s">
        <v>6172</v>
      </c>
      <c r="I7" s="195"/>
      <c r="J7" s="195"/>
      <c r="K7" s="196" t="s">
        <v>6173</v>
      </c>
      <c r="L7" s="196" t="s">
        <v>6174</v>
      </c>
      <c r="M7" s="196" t="s">
        <v>6175</v>
      </c>
      <c r="N7" s="206">
        <v>41767.0</v>
      </c>
      <c r="O7" s="207" t="s">
        <v>6177</v>
      </c>
      <c r="P7" s="207"/>
      <c r="Q7" s="196"/>
      <c r="R7" s="196"/>
      <c r="S7" s="196"/>
      <c r="T7" s="196"/>
      <c r="U7" s="197"/>
      <c r="V7" s="198">
        <v>4.0</v>
      </c>
      <c r="W7" s="199" t="s">
        <v>6179</v>
      </c>
      <c r="X7" s="200" t="s">
        <v>6180</v>
      </c>
      <c r="Y7" s="200"/>
    </row>
    <row r="8" ht="93.0" customHeight="1">
      <c r="A8" s="175" t="s">
        <v>462</v>
      </c>
      <c r="B8" s="176" t="s">
        <v>64</v>
      </c>
      <c r="C8" s="176" t="s">
        <v>265</v>
      </c>
      <c r="D8" s="176" t="s">
        <v>503</v>
      </c>
      <c r="E8" s="177" t="s">
        <v>267</v>
      </c>
      <c r="F8" s="177"/>
      <c r="G8" s="179" t="s">
        <v>117</v>
      </c>
      <c r="H8" s="180" t="s">
        <v>6181</v>
      </c>
      <c r="I8" s="189" t="s">
        <v>6182</v>
      </c>
      <c r="J8" s="195"/>
      <c r="K8" s="196"/>
      <c r="L8" s="196"/>
      <c r="M8" s="196"/>
      <c r="N8" s="196"/>
      <c r="O8" s="196"/>
      <c r="P8" s="196"/>
      <c r="Q8" s="196"/>
      <c r="R8" s="196"/>
      <c r="S8" s="196"/>
      <c r="T8" s="196"/>
      <c r="U8" s="205" t="s">
        <v>6184</v>
      </c>
      <c r="V8" s="198">
        <v>3.0</v>
      </c>
      <c r="W8" s="199" t="s">
        <v>6185</v>
      </c>
      <c r="X8" s="200" t="s">
        <v>6180</v>
      </c>
      <c r="Y8" s="200"/>
    </row>
    <row r="9" ht="81.0" customHeight="1">
      <c r="A9" s="208" t="s">
        <v>462</v>
      </c>
      <c r="B9" s="209" t="s">
        <v>64</v>
      </c>
      <c r="C9" s="209" t="s">
        <v>265</v>
      </c>
      <c r="D9" s="209" t="s">
        <v>305</v>
      </c>
      <c r="E9" s="210" t="s">
        <v>70</v>
      </c>
      <c r="F9" s="211"/>
      <c r="G9" s="212" t="s">
        <v>117</v>
      </c>
      <c r="H9" s="169" t="s">
        <v>6193</v>
      </c>
      <c r="I9" s="213" t="s">
        <v>6194</v>
      </c>
      <c r="J9" s="214"/>
      <c r="K9" s="215"/>
      <c r="L9" s="215"/>
      <c r="M9" s="215"/>
      <c r="N9" s="215"/>
      <c r="O9" s="215"/>
      <c r="P9" s="215"/>
      <c r="Q9" s="215"/>
      <c r="R9" s="215"/>
      <c r="S9" s="215"/>
      <c r="T9" s="215"/>
      <c r="U9" s="216" t="s">
        <v>334</v>
      </c>
      <c r="V9" s="198">
        <v>3.0</v>
      </c>
      <c r="W9" s="217" t="s">
        <v>6197</v>
      </c>
      <c r="X9" s="218" t="s">
        <v>6202</v>
      </c>
      <c r="Y9" s="219"/>
    </row>
    <row r="10" ht="75.0" customHeight="1">
      <c r="A10" s="175" t="s">
        <v>462</v>
      </c>
      <c r="B10" s="176" t="s">
        <v>64</v>
      </c>
      <c r="C10" s="176" t="s">
        <v>265</v>
      </c>
      <c r="D10" s="176" t="s">
        <v>305</v>
      </c>
      <c r="E10" s="177" t="s">
        <v>175</v>
      </c>
      <c r="F10" s="178"/>
      <c r="G10" s="179" t="s">
        <v>117</v>
      </c>
      <c r="H10" s="180" t="s">
        <v>6214</v>
      </c>
      <c r="I10" s="220" t="s">
        <v>6215</v>
      </c>
      <c r="J10" s="182"/>
      <c r="K10" s="183"/>
      <c r="L10" s="183"/>
      <c r="M10" s="183"/>
      <c r="N10" s="183"/>
      <c r="O10" s="183"/>
      <c r="P10" s="183"/>
      <c r="Q10" s="183"/>
      <c r="R10" s="183"/>
      <c r="S10" s="183"/>
      <c r="T10" s="183"/>
      <c r="U10" s="221" t="s">
        <v>6218</v>
      </c>
      <c r="V10" s="222">
        <v>3.0</v>
      </c>
      <c r="W10" s="223" t="s">
        <v>6219</v>
      </c>
      <c r="X10" s="204" t="s">
        <v>6220</v>
      </c>
      <c r="Y10" s="224"/>
    </row>
    <row r="11" ht="70.5" customHeight="1">
      <c r="A11" s="175" t="s">
        <v>1358</v>
      </c>
      <c r="B11" s="176" t="s">
        <v>64</v>
      </c>
      <c r="C11" s="176" t="s">
        <v>265</v>
      </c>
      <c r="D11" s="176" t="s">
        <v>305</v>
      </c>
      <c r="E11" s="177" t="s">
        <v>267</v>
      </c>
      <c r="F11" s="177"/>
      <c r="G11" s="179" t="s">
        <v>111</v>
      </c>
      <c r="H11" s="225" t="s">
        <v>6221</v>
      </c>
      <c r="I11" s="189"/>
      <c r="J11" s="195"/>
      <c r="K11" s="196" t="s">
        <v>6222</v>
      </c>
      <c r="L11" s="196" t="s">
        <v>6223</v>
      </c>
      <c r="M11" s="196" t="s">
        <v>6224</v>
      </c>
      <c r="N11" s="196"/>
      <c r="O11" s="226" t="s">
        <v>6225</v>
      </c>
      <c r="P11" s="226" t="s">
        <v>6226</v>
      </c>
      <c r="Q11" s="226" t="s">
        <v>6227</v>
      </c>
      <c r="R11" s="196" t="s">
        <v>2126</v>
      </c>
      <c r="S11" s="206">
        <v>40954.0</v>
      </c>
      <c r="T11" s="226" t="s">
        <v>6228</v>
      </c>
      <c r="U11" s="197" t="s">
        <v>6229</v>
      </c>
      <c r="V11" s="198">
        <v>3.0</v>
      </c>
      <c r="W11" s="199" t="s">
        <v>6230</v>
      </c>
      <c r="X11" s="204" t="s">
        <v>6231</v>
      </c>
      <c r="Y11" s="200"/>
    </row>
    <row r="12" ht="91.5" customHeight="1">
      <c r="A12" s="175" t="s">
        <v>462</v>
      </c>
      <c r="B12" s="176" t="s">
        <v>64</v>
      </c>
      <c r="C12" s="176" t="s">
        <v>429</v>
      </c>
      <c r="D12" s="176" t="s">
        <v>378</v>
      </c>
      <c r="E12" s="177" t="s">
        <v>1138</v>
      </c>
      <c r="F12" s="177"/>
      <c r="G12" s="179" t="s">
        <v>111</v>
      </c>
      <c r="H12" s="227" t="s">
        <v>6232</v>
      </c>
      <c r="I12" s="228" t="s">
        <v>6234</v>
      </c>
      <c r="J12" s="228"/>
      <c r="K12" s="226" t="s">
        <v>6239</v>
      </c>
      <c r="L12" s="196" t="s">
        <v>188</v>
      </c>
      <c r="M12" s="207" t="s">
        <v>1847</v>
      </c>
      <c r="N12" s="196">
        <v>2013.0</v>
      </c>
      <c r="O12" s="229" t="str">
        <f>HYPERLINK("http://www.economist.com/news/international/21587826-sharing-two-wheels-becoming-ever-more-popular-taking-stabilisers","http://www.economist.com/news/international/21587826-sharing-two-wheels-becoming-ever-more-popular-taking-stabilisers")</f>
        <v>http://www.economist.com/news/international/21587826-sharing-two-wheels-becoming-ever-more-popular-taking-stabilisers</v>
      </c>
      <c r="P12" s="229"/>
      <c r="Q12" s="196"/>
      <c r="R12" s="196" t="s">
        <v>6240</v>
      </c>
      <c r="S12" s="230" t="s">
        <v>6241</v>
      </c>
      <c r="T12" s="231" t="s">
        <v>6244</v>
      </c>
      <c r="U12" s="184" t="s">
        <v>6246</v>
      </c>
      <c r="V12" s="198">
        <v>4.0</v>
      </c>
      <c r="W12" s="199" t="s">
        <v>6247</v>
      </c>
      <c r="X12" s="232" t="s">
        <v>6248</v>
      </c>
      <c r="Y12" s="200"/>
    </row>
    <row r="13" ht="100.5" customHeight="1">
      <c r="A13" s="175" t="s">
        <v>6250</v>
      </c>
      <c r="B13" s="176" t="s">
        <v>64</v>
      </c>
      <c r="C13" s="176" t="s">
        <v>429</v>
      </c>
      <c r="D13" s="176" t="s">
        <v>378</v>
      </c>
      <c r="E13" s="177" t="s">
        <v>1138</v>
      </c>
      <c r="F13" s="177"/>
      <c r="G13" s="179" t="s">
        <v>431</v>
      </c>
      <c r="H13" s="227" t="s">
        <v>6251</v>
      </c>
      <c r="I13" s="189" t="s">
        <v>6252</v>
      </c>
      <c r="J13" s="195"/>
      <c r="K13" s="196"/>
      <c r="L13" s="196" t="s">
        <v>2814</v>
      </c>
      <c r="M13" s="196" t="s">
        <v>2815</v>
      </c>
      <c r="N13" s="206">
        <v>42276.0</v>
      </c>
      <c r="O13" s="233" t="s">
        <v>2816</v>
      </c>
      <c r="P13" s="231"/>
      <c r="Q13" s="231"/>
      <c r="R13" s="196"/>
      <c r="S13" s="196"/>
      <c r="T13" s="233"/>
      <c r="U13" s="184"/>
      <c r="V13" s="234">
        <v>3.0</v>
      </c>
      <c r="W13" s="199" t="s">
        <v>6253</v>
      </c>
      <c r="X13" s="235" t="s">
        <v>6254</v>
      </c>
      <c r="Y13" s="200"/>
    </row>
    <row r="14" ht="84.0" customHeight="1">
      <c r="A14" s="175" t="s">
        <v>462</v>
      </c>
      <c r="B14" s="176" t="s">
        <v>64</v>
      </c>
      <c r="C14" s="176" t="s">
        <v>376</v>
      </c>
      <c r="D14" s="176" t="s">
        <v>430</v>
      </c>
      <c r="E14" s="177" t="s">
        <v>6255</v>
      </c>
      <c r="F14" s="177"/>
      <c r="G14" s="179" t="s">
        <v>272</v>
      </c>
      <c r="H14" s="227" t="s">
        <v>6256</v>
      </c>
      <c r="I14" s="236" t="s">
        <v>6257</v>
      </c>
      <c r="J14" s="195"/>
      <c r="K14" s="196"/>
      <c r="L14" s="196" t="s">
        <v>6258</v>
      </c>
      <c r="M14" s="196" t="s">
        <v>2245</v>
      </c>
      <c r="N14" s="196">
        <v>2009.0</v>
      </c>
      <c r="O14" s="237" t="str">
        <f>HYPERLINK("http://www.wired.com/2009/05/earthobservatoryvideos/","http://www.wired.com/2009/05/earthobservatoryvideos/")</f>
        <v>http://www.wired.com/2009/05/earthobservatoryvideos/</v>
      </c>
      <c r="P14" s="237"/>
      <c r="Q14" s="196"/>
      <c r="R14" s="196" t="s">
        <v>6259</v>
      </c>
      <c r="S14" s="196">
        <v>2014.0</v>
      </c>
      <c r="T14" s="196" t="s">
        <v>6260</v>
      </c>
      <c r="U14" s="184" t="s">
        <v>6261</v>
      </c>
      <c r="V14" s="198">
        <v>4.0</v>
      </c>
      <c r="W14" s="199" t="s">
        <v>6262</v>
      </c>
      <c r="X14" s="148" t="s">
        <v>6248</v>
      </c>
      <c r="Y14" s="200"/>
    </row>
    <row r="15" ht="90.75" customHeight="1">
      <c r="A15" s="175" t="s">
        <v>462</v>
      </c>
      <c r="B15" s="176" t="s">
        <v>64</v>
      </c>
      <c r="C15" s="176" t="s">
        <v>429</v>
      </c>
      <c r="D15" s="176" t="s">
        <v>464</v>
      </c>
      <c r="E15" s="177" t="s">
        <v>6263</v>
      </c>
      <c r="F15" s="177"/>
      <c r="G15" s="179" t="s">
        <v>431</v>
      </c>
      <c r="H15" s="227" t="s">
        <v>6264</v>
      </c>
      <c r="I15" s="228" t="s">
        <v>6265</v>
      </c>
      <c r="J15" s="195"/>
      <c r="K15" s="238"/>
      <c r="L15" s="238"/>
      <c r="M15" s="196"/>
      <c r="N15" s="196"/>
      <c r="O15" s="196"/>
      <c r="P15" s="196"/>
      <c r="Q15" s="196"/>
      <c r="R15" s="196"/>
      <c r="S15" s="196"/>
      <c r="T15" s="196"/>
      <c r="U15" s="239" t="s">
        <v>6266</v>
      </c>
      <c r="V15" s="240">
        <v>3.0</v>
      </c>
      <c r="W15" s="199" t="s">
        <v>6267</v>
      </c>
      <c r="X15" s="232" t="s">
        <v>6268</v>
      </c>
      <c r="Y15" s="200"/>
    </row>
    <row r="16" ht="75.0" customHeight="1">
      <c r="A16" s="241" t="s">
        <v>462</v>
      </c>
      <c r="B16" s="242" t="s">
        <v>64</v>
      </c>
      <c r="C16" s="242" t="s">
        <v>429</v>
      </c>
      <c r="D16" s="242" t="s">
        <v>524</v>
      </c>
      <c r="E16" s="243" t="s">
        <v>2867</v>
      </c>
      <c r="F16" s="244"/>
      <c r="G16" s="245" t="s">
        <v>111</v>
      </c>
      <c r="H16" s="227" t="s">
        <v>6270</v>
      </c>
      <c r="I16" s="228" t="s">
        <v>6271</v>
      </c>
      <c r="J16" s="236"/>
      <c r="K16" s="246"/>
      <c r="L16" s="246"/>
      <c r="M16" s="246"/>
      <c r="N16" s="246"/>
      <c r="O16" s="246"/>
      <c r="P16" s="246"/>
      <c r="Q16" s="246"/>
      <c r="R16" s="246"/>
      <c r="S16" s="246"/>
      <c r="T16" s="246"/>
      <c r="U16" s="247"/>
      <c r="V16" s="248" t="s">
        <v>260</v>
      </c>
      <c r="W16" s="203" t="s">
        <v>6272</v>
      </c>
      <c r="X16" s="200" t="s">
        <v>6273</v>
      </c>
      <c r="Y16" s="200"/>
      <c r="Z16" s="188"/>
    </row>
    <row r="17" ht="69.75" customHeight="1">
      <c r="A17" s="241" t="s">
        <v>462</v>
      </c>
      <c r="B17" s="242" t="s">
        <v>64</v>
      </c>
      <c r="C17" s="242" t="s">
        <v>429</v>
      </c>
      <c r="D17" s="242" t="s">
        <v>550</v>
      </c>
      <c r="E17" s="243" t="s">
        <v>551</v>
      </c>
      <c r="F17" s="244"/>
      <c r="G17" s="245" t="s">
        <v>431</v>
      </c>
      <c r="H17" s="227" t="s">
        <v>6276</v>
      </c>
      <c r="I17" s="249" t="s">
        <v>6277</v>
      </c>
      <c r="J17" s="236"/>
      <c r="K17" s="246"/>
      <c r="L17" s="246"/>
      <c r="M17" s="246"/>
      <c r="N17" s="246"/>
      <c r="O17" s="246"/>
      <c r="P17" s="246"/>
      <c r="Q17" s="246"/>
      <c r="R17" s="246"/>
      <c r="S17" s="246"/>
      <c r="T17" s="246"/>
      <c r="U17" s="247"/>
      <c r="V17" s="240">
        <v>4.0</v>
      </c>
      <c r="W17" s="203" t="s">
        <v>6278</v>
      </c>
      <c r="X17" s="200" t="s">
        <v>6180</v>
      </c>
      <c r="Y17" s="200"/>
    </row>
    <row r="18" ht="84.75" customHeight="1">
      <c r="A18" s="250" t="s">
        <v>462</v>
      </c>
      <c r="B18" s="251" t="s">
        <v>64</v>
      </c>
      <c r="C18" s="251" t="s">
        <v>429</v>
      </c>
      <c r="D18" s="251" t="s">
        <v>550</v>
      </c>
      <c r="E18" s="252" t="s">
        <v>648</v>
      </c>
      <c r="F18" s="253"/>
      <c r="G18" s="254" t="s">
        <v>431</v>
      </c>
      <c r="H18" s="255" t="s">
        <v>6289</v>
      </c>
      <c r="I18" s="256" t="s">
        <v>6296</v>
      </c>
      <c r="J18" s="257"/>
      <c r="K18" s="258"/>
      <c r="L18" s="258" t="s">
        <v>6300</v>
      </c>
      <c r="M18" s="258" t="s">
        <v>6301</v>
      </c>
      <c r="N18" s="258">
        <v>2014.0</v>
      </c>
      <c r="O18" s="258" t="s">
        <v>6302</v>
      </c>
      <c r="P18" s="258"/>
      <c r="Q18" s="258"/>
      <c r="R18" s="258"/>
      <c r="S18" s="258"/>
      <c r="T18" s="258"/>
      <c r="U18" s="259" t="s">
        <v>6303</v>
      </c>
      <c r="V18" s="240">
        <v>3.0</v>
      </c>
      <c r="W18" s="260" t="s">
        <v>6304</v>
      </c>
      <c r="X18" s="218" t="s">
        <v>6305</v>
      </c>
      <c r="Y18" s="261"/>
    </row>
    <row r="19" ht="76.5" customHeight="1">
      <c r="A19" s="250" t="s">
        <v>462</v>
      </c>
      <c r="B19" s="251" t="s">
        <v>64</v>
      </c>
      <c r="C19" s="251" t="s">
        <v>429</v>
      </c>
      <c r="D19" s="251" t="s">
        <v>524</v>
      </c>
      <c r="E19" s="252" t="s">
        <v>648</v>
      </c>
      <c r="F19" s="253"/>
      <c r="G19" s="254" t="s">
        <v>6306</v>
      </c>
      <c r="H19" s="255" t="s">
        <v>6307</v>
      </c>
      <c r="I19" s="257"/>
      <c r="J19" s="257"/>
      <c r="K19" s="258"/>
      <c r="L19" s="258" t="s">
        <v>6300</v>
      </c>
      <c r="M19" s="258" t="s">
        <v>6301</v>
      </c>
      <c r="N19" s="258">
        <v>2014.0</v>
      </c>
      <c r="O19" s="258" t="s">
        <v>6302</v>
      </c>
      <c r="P19" s="258"/>
      <c r="Q19" s="258"/>
      <c r="R19" s="258"/>
      <c r="S19" s="258"/>
      <c r="T19" s="258"/>
      <c r="U19" s="259" t="s">
        <v>6261</v>
      </c>
      <c r="V19" s="240">
        <v>3.0</v>
      </c>
      <c r="W19" s="260" t="s">
        <v>6308</v>
      </c>
      <c r="X19" s="218" t="s">
        <v>6305</v>
      </c>
      <c r="Y19" s="261"/>
    </row>
    <row r="20" ht="61.5" customHeight="1">
      <c r="A20" s="241" t="s">
        <v>462</v>
      </c>
      <c r="B20" s="242" t="s">
        <v>64</v>
      </c>
      <c r="C20" s="242" t="s">
        <v>429</v>
      </c>
      <c r="D20" s="262" t="s">
        <v>478</v>
      </c>
      <c r="E20" s="243" t="s">
        <v>3407</v>
      </c>
      <c r="F20" s="244"/>
      <c r="G20" s="245" t="s">
        <v>431</v>
      </c>
      <c r="H20" s="263" t="s">
        <v>6309</v>
      </c>
      <c r="I20" s="249" t="s">
        <v>6310</v>
      </c>
      <c r="J20" s="236"/>
      <c r="K20" s="226" t="s">
        <v>6311</v>
      </c>
      <c r="L20" s="246" t="s">
        <v>188</v>
      </c>
      <c r="M20" s="226" t="s">
        <v>6312</v>
      </c>
      <c r="N20" s="246">
        <v>2005.0</v>
      </c>
      <c r="O20" s="226" t="s">
        <v>6313</v>
      </c>
      <c r="P20" s="246"/>
      <c r="Q20" s="246"/>
      <c r="R20" s="246"/>
      <c r="S20" s="246"/>
      <c r="T20" s="246"/>
      <c r="U20" s="247"/>
      <c r="V20" s="240">
        <v>4.0</v>
      </c>
      <c r="W20" s="264" t="s">
        <v>6314</v>
      </c>
      <c r="X20" s="204" t="s">
        <v>6315</v>
      </c>
      <c r="Y20" s="200"/>
    </row>
    <row r="21" ht="99.0" customHeight="1">
      <c r="A21" s="265" t="s">
        <v>462</v>
      </c>
      <c r="B21" s="266" t="s">
        <v>64</v>
      </c>
      <c r="C21" s="266" t="s">
        <v>387</v>
      </c>
      <c r="D21" s="267" t="s">
        <v>571</v>
      </c>
      <c r="E21" s="268" t="s">
        <v>6316</v>
      </c>
      <c r="F21" s="244"/>
      <c r="G21" s="269" t="s">
        <v>111</v>
      </c>
      <c r="H21" s="263" t="s">
        <v>6317</v>
      </c>
      <c r="I21" s="236"/>
      <c r="J21" s="236"/>
      <c r="K21" s="226" t="s">
        <v>6318</v>
      </c>
      <c r="L21" s="246" t="s">
        <v>6319</v>
      </c>
      <c r="M21" s="246" t="s">
        <v>2564</v>
      </c>
      <c r="N21" s="246">
        <v>2015.0</v>
      </c>
      <c r="O21" s="270" t="s">
        <v>6320</v>
      </c>
      <c r="P21" s="271"/>
      <c r="Q21" s="272" t="s">
        <v>6321</v>
      </c>
      <c r="R21" s="273" t="s">
        <v>6322</v>
      </c>
      <c r="S21" s="273"/>
      <c r="T21" s="272" t="s">
        <v>6323</v>
      </c>
      <c r="U21" s="274" t="s">
        <v>6324</v>
      </c>
      <c r="V21" s="240">
        <v>4.0</v>
      </c>
      <c r="W21" s="264" t="s">
        <v>6328</v>
      </c>
      <c r="X21" s="275" t="s">
        <v>6180</v>
      </c>
      <c r="Y21" s="200"/>
    </row>
    <row r="22" ht="93.0" customHeight="1">
      <c r="A22" s="265" t="s">
        <v>462</v>
      </c>
      <c r="B22" s="266" t="s">
        <v>64</v>
      </c>
      <c r="C22" s="266" t="s">
        <v>387</v>
      </c>
      <c r="D22" s="267" t="s">
        <v>6330</v>
      </c>
      <c r="E22" s="268" t="s">
        <v>6316</v>
      </c>
      <c r="F22" s="244"/>
      <c r="G22" s="276" t="s">
        <v>431</v>
      </c>
      <c r="H22" s="227" t="s">
        <v>6333</v>
      </c>
      <c r="I22" s="236"/>
      <c r="J22" s="236"/>
      <c r="K22" s="246" t="s">
        <v>6334</v>
      </c>
      <c r="L22" s="226" t="s">
        <v>6335</v>
      </c>
      <c r="M22" s="226" t="s">
        <v>6336</v>
      </c>
      <c r="N22" s="277">
        <v>40884.0</v>
      </c>
      <c r="O22" s="270" t="s">
        <v>6337</v>
      </c>
      <c r="P22" s="270" t="s">
        <v>6338</v>
      </c>
      <c r="Q22" s="246" t="s">
        <v>2911</v>
      </c>
      <c r="R22" s="246" t="s">
        <v>6339</v>
      </c>
      <c r="S22" s="246">
        <v>2014.0</v>
      </c>
      <c r="T22" s="270" t="s">
        <v>6340</v>
      </c>
      <c r="U22" s="274"/>
      <c r="V22" s="248">
        <v>4.0</v>
      </c>
      <c r="W22" s="264" t="s">
        <v>6341</v>
      </c>
      <c r="X22" s="275" t="s">
        <v>6315</v>
      </c>
      <c r="Y22" s="200"/>
    </row>
    <row r="23" ht="60.75" customHeight="1">
      <c r="A23" s="265" t="s">
        <v>462</v>
      </c>
      <c r="B23" s="266" t="s">
        <v>64</v>
      </c>
      <c r="C23" s="266" t="s">
        <v>387</v>
      </c>
      <c r="D23" s="267" t="s">
        <v>389</v>
      </c>
      <c r="E23" s="268" t="s">
        <v>789</v>
      </c>
      <c r="F23" s="244"/>
      <c r="G23" s="276" t="s">
        <v>431</v>
      </c>
      <c r="H23" s="227" t="s">
        <v>6344</v>
      </c>
      <c r="I23" s="249" t="s">
        <v>6345</v>
      </c>
      <c r="J23" s="236"/>
      <c r="K23" s="246"/>
      <c r="L23" s="246"/>
      <c r="M23" s="246"/>
      <c r="N23" s="246"/>
      <c r="O23" s="246"/>
      <c r="P23" s="246"/>
      <c r="Q23" s="246"/>
      <c r="R23" s="246"/>
      <c r="S23" s="246"/>
      <c r="T23" s="246"/>
      <c r="U23" s="247"/>
      <c r="V23" s="240">
        <v>4.0</v>
      </c>
      <c r="W23" s="264" t="s">
        <v>6348</v>
      </c>
      <c r="X23" s="200"/>
      <c r="Y23" s="200"/>
    </row>
    <row r="24" ht="78.0" customHeight="1">
      <c r="A24" s="265" t="s">
        <v>462</v>
      </c>
      <c r="B24" s="266" t="s">
        <v>64</v>
      </c>
      <c r="C24" s="266" t="s">
        <v>387</v>
      </c>
      <c r="D24" s="267" t="s">
        <v>389</v>
      </c>
      <c r="E24" s="268" t="s">
        <v>587</v>
      </c>
      <c r="F24" s="244"/>
      <c r="G24" s="276" t="s">
        <v>431</v>
      </c>
      <c r="H24" s="227" t="s">
        <v>6352</v>
      </c>
      <c r="I24" s="236"/>
      <c r="J24" s="236"/>
      <c r="K24" s="246"/>
      <c r="L24" s="246"/>
      <c r="M24" s="246"/>
      <c r="N24" s="246"/>
      <c r="O24" s="246"/>
      <c r="P24" s="246"/>
      <c r="Q24" s="246"/>
      <c r="R24" s="246"/>
      <c r="S24" s="246"/>
      <c r="T24" s="246"/>
      <c r="U24" s="247"/>
      <c r="V24" s="248">
        <v>4.0</v>
      </c>
      <c r="W24" s="264" t="s">
        <v>6354</v>
      </c>
      <c r="X24" s="204"/>
      <c r="Y24" s="200"/>
    </row>
    <row r="25" ht="51.0" customHeight="1">
      <c r="A25" s="265" t="s">
        <v>1358</v>
      </c>
      <c r="B25" s="266" t="s">
        <v>64</v>
      </c>
      <c r="C25" s="266" t="s">
        <v>387</v>
      </c>
      <c r="D25" s="267" t="s">
        <v>657</v>
      </c>
      <c r="E25" s="244" t="s">
        <v>388</v>
      </c>
      <c r="F25" s="244"/>
      <c r="G25" s="269" t="s">
        <v>111</v>
      </c>
      <c r="H25" s="227" t="s">
        <v>6356</v>
      </c>
      <c r="I25" s="236"/>
      <c r="J25" s="236"/>
      <c r="K25" s="226" t="s">
        <v>6357</v>
      </c>
      <c r="L25" s="246" t="s">
        <v>6300</v>
      </c>
      <c r="M25" s="226" t="s">
        <v>6301</v>
      </c>
      <c r="N25" s="246">
        <v>2014.0</v>
      </c>
      <c r="O25" s="278" t="str">
        <f>HYPERLINK("http://www.behaviouralinsights.co.uk/publications/east-four-simple-ways-to-apply-behavioural-insights/","http://www.behaviouralinsights.co.uk/publications/east-four-simple-ways-to-apply-behavioural-insights/")</f>
        <v>http://www.behaviouralinsights.co.uk/publications/east-four-simple-ways-to-apply-behavioural-insights/</v>
      </c>
      <c r="P25" s="279"/>
      <c r="Q25" s="246"/>
      <c r="R25" s="246"/>
      <c r="S25" s="246"/>
      <c r="T25" s="246"/>
      <c r="U25" s="274"/>
      <c r="V25" s="280">
        <v>4.0</v>
      </c>
      <c r="W25" s="264" t="s">
        <v>6363</v>
      </c>
      <c r="X25" s="275" t="s">
        <v>6180</v>
      </c>
      <c r="Y25" s="200"/>
    </row>
    <row r="26" ht="76.5" customHeight="1">
      <c r="A26" s="265" t="s">
        <v>462</v>
      </c>
      <c r="B26" s="266" t="s">
        <v>64</v>
      </c>
      <c r="C26" s="266" t="s">
        <v>387</v>
      </c>
      <c r="D26" s="267" t="s">
        <v>657</v>
      </c>
      <c r="E26" s="244" t="s">
        <v>388</v>
      </c>
      <c r="F26" s="244"/>
      <c r="G26" s="276" t="s">
        <v>431</v>
      </c>
      <c r="H26" s="227" t="s">
        <v>6364</v>
      </c>
      <c r="I26" s="249" t="s">
        <v>6365</v>
      </c>
      <c r="J26" s="236"/>
      <c r="K26" s="246"/>
      <c r="L26" s="246"/>
      <c r="M26" s="246"/>
      <c r="N26" s="246"/>
      <c r="O26" s="246"/>
      <c r="P26" s="246"/>
      <c r="Q26" s="246"/>
      <c r="R26" s="246"/>
      <c r="S26" s="246"/>
      <c r="T26" s="246"/>
      <c r="U26" s="274"/>
      <c r="V26" s="281">
        <v>4.0</v>
      </c>
      <c r="W26" s="264" t="s">
        <v>6366</v>
      </c>
      <c r="X26" s="282"/>
      <c r="Y26" s="200"/>
    </row>
    <row r="27" ht="72.75" customHeight="1">
      <c r="A27" s="265" t="s">
        <v>462</v>
      </c>
      <c r="B27" s="266" t="s">
        <v>64</v>
      </c>
      <c r="C27" s="266" t="s">
        <v>387</v>
      </c>
      <c r="D27" s="267" t="s">
        <v>657</v>
      </c>
      <c r="E27" s="244" t="s">
        <v>388</v>
      </c>
      <c r="F27" s="244"/>
      <c r="G27" s="269" t="s">
        <v>111</v>
      </c>
      <c r="H27" s="227" t="s">
        <v>6367</v>
      </c>
      <c r="I27" s="228" t="s">
        <v>6368</v>
      </c>
      <c r="J27" s="236"/>
      <c r="K27" s="246"/>
      <c r="L27" s="246"/>
      <c r="M27" s="246"/>
      <c r="N27" s="246"/>
      <c r="O27" s="246"/>
      <c r="P27" s="246"/>
      <c r="Q27" s="246"/>
      <c r="R27" s="246"/>
      <c r="S27" s="246"/>
      <c r="T27" s="246"/>
      <c r="U27" s="274"/>
      <c r="V27" s="281">
        <v>4.0</v>
      </c>
      <c r="W27" s="264" t="s">
        <v>6370</v>
      </c>
      <c r="X27" s="275" t="s">
        <v>6180</v>
      </c>
      <c r="Y27" s="200"/>
    </row>
    <row r="28" ht="66.75" customHeight="1">
      <c r="A28" s="265" t="s">
        <v>462</v>
      </c>
      <c r="B28" s="266" t="s">
        <v>64</v>
      </c>
      <c r="C28" s="266" t="s">
        <v>387</v>
      </c>
      <c r="D28" s="267" t="s">
        <v>657</v>
      </c>
      <c r="E28" s="244" t="s">
        <v>388</v>
      </c>
      <c r="F28" s="244"/>
      <c r="G28" s="276" t="s">
        <v>431</v>
      </c>
      <c r="H28" s="263" t="s">
        <v>6371</v>
      </c>
      <c r="I28" s="249" t="s">
        <v>6372</v>
      </c>
      <c r="J28" s="236"/>
      <c r="K28" s="226" t="s">
        <v>6373</v>
      </c>
      <c r="L28" s="226" t="s">
        <v>2604</v>
      </c>
      <c r="M28" s="246" t="s">
        <v>4252</v>
      </c>
      <c r="N28" s="246">
        <v>2012.0</v>
      </c>
      <c r="O28" s="270" t="s">
        <v>6374</v>
      </c>
      <c r="P28" s="283"/>
      <c r="Q28" s="246"/>
      <c r="R28" s="246"/>
      <c r="S28" s="246"/>
      <c r="T28" s="246"/>
      <c r="U28" s="284"/>
      <c r="V28" s="281">
        <v>3.0</v>
      </c>
      <c r="W28" s="264" t="s">
        <v>6380</v>
      </c>
      <c r="X28" s="275" t="s">
        <v>6315</v>
      </c>
      <c r="Y28" s="200"/>
    </row>
    <row r="29" ht="88.5" customHeight="1">
      <c r="A29" s="265" t="s">
        <v>462</v>
      </c>
      <c r="B29" s="266" t="s">
        <v>64</v>
      </c>
      <c r="C29" s="266" t="s">
        <v>387</v>
      </c>
      <c r="D29" s="267" t="s">
        <v>3297</v>
      </c>
      <c r="E29" s="244" t="s">
        <v>388</v>
      </c>
      <c r="F29" s="244"/>
      <c r="G29" s="269" t="s">
        <v>111</v>
      </c>
      <c r="H29" s="227" t="s">
        <v>6381</v>
      </c>
      <c r="I29" s="249" t="s">
        <v>6382</v>
      </c>
      <c r="J29" s="236"/>
      <c r="K29" s="226" t="s">
        <v>6383</v>
      </c>
      <c r="L29" s="246" t="s">
        <v>1374</v>
      </c>
      <c r="M29" s="246" t="s">
        <v>4860</v>
      </c>
      <c r="N29" s="246">
        <v>2015.0</v>
      </c>
      <c r="O29" s="270" t="s">
        <v>6384</v>
      </c>
      <c r="P29" s="283"/>
      <c r="Q29" s="246"/>
      <c r="R29" s="246"/>
      <c r="S29" s="246"/>
      <c r="T29" s="270"/>
      <c r="U29" s="274"/>
      <c r="V29" s="240">
        <v>4.0</v>
      </c>
      <c r="W29" s="264" t="s">
        <v>6385</v>
      </c>
      <c r="X29" s="204" t="s">
        <v>6386</v>
      </c>
      <c r="Y29" s="200"/>
    </row>
    <row r="30" ht="64.5" customHeight="1">
      <c r="A30" s="265" t="s">
        <v>462</v>
      </c>
      <c r="B30" s="266" t="s">
        <v>64</v>
      </c>
      <c r="C30" s="266" t="s">
        <v>387</v>
      </c>
      <c r="D30" s="267" t="s">
        <v>3297</v>
      </c>
      <c r="E30" s="268" t="s">
        <v>6387</v>
      </c>
      <c r="F30" s="244"/>
      <c r="G30" s="269" t="s">
        <v>431</v>
      </c>
      <c r="H30" s="263" t="s">
        <v>6388</v>
      </c>
      <c r="I30" s="249" t="s">
        <v>6389</v>
      </c>
      <c r="J30" s="236"/>
      <c r="K30" s="226" t="s">
        <v>6390</v>
      </c>
      <c r="L30" s="246" t="s">
        <v>2442</v>
      </c>
      <c r="M30" s="246" t="s">
        <v>6391</v>
      </c>
      <c r="N30" s="246">
        <v>2014.0</v>
      </c>
      <c r="O30" s="270" t="s">
        <v>6392</v>
      </c>
      <c r="P30" s="283"/>
      <c r="Q30" s="246"/>
      <c r="R30" s="246"/>
      <c r="S30" s="246"/>
      <c r="T30" s="246"/>
      <c r="U30" s="274" t="s">
        <v>6303</v>
      </c>
      <c r="V30" s="248">
        <v>3.0</v>
      </c>
      <c r="W30" s="264" t="s">
        <v>6393</v>
      </c>
      <c r="X30" s="204" t="s">
        <v>6394</v>
      </c>
      <c r="Y30" s="200"/>
      <c r="Z30" s="188"/>
    </row>
    <row r="31" ht="72.75" customHeight="1">
      <c r="A31" s="265" t="s">
        <v>462</v>
      </c>
      <c r="B31" s="266" t="s">
        <v>64</v>
      </c>
      <c r="C31" s="266" t="s">
        <v>387</v>
      </c>
      <c r="D31" s="267" t="s">
        <v>3297</v>
      </c>
      <c r="E31" s="268" t="s">
        <v>388</v>
      </c>
      <c r="F31" s="244"/>
      <c r="G31" s="276" t="s">
        <v>431</v>
      </c>
      <c r="H31" s="263" t="s">
        <v>6395</v>
      </c>
      <c r="I31" s="236"/>
      <c r="J31" s="236"/>
      <c r="K31" s="246" t="s">
        <v>1506</v>
      </c>
      <c r="L31" s="226" t="s">
        <v>6396</v>
      </c>
      <c r="M31" s="226" t="s">
        <v>6397</v>
      </c>
      <c r="N31" s="246">
        <v>2007.0</v>
      </c>
      <c r="O31" s="270" t="s">
        <v>6398</v>
      </c>
      <c r="P31" s="283"/>
      <c r="Q31" s="246"/>
      <c r="R31" s="226"/>
      <c r="S31" s="246"/>
      <c r="T31" s="270"/>
      <c r="U31" s="274" t="s">
        <v>6324</v>
      </c>
      <c r="V31" s="240">
        <v>4.0</v>
      </c>
      <c r="W31" s="264" t="s">
        <v>6399</v>
      </c>
      <c r="X31" s="275" t="s">
        <v>6400</v>
      </c>
      <c r="Y31" s="200"/>
    </row>
    <row r="32" ht="106.5" customHeight="1">
      <c r="A32" s="265" t="s">
        <v>462</v>
      </c>
      <c r="B32" s="266" t="s">
        <v>64</v>
      </c>
      <c r="C32" s="266" t="s">
        <v>387</v>
      </c>
      <c r="D32" s="267" t="s">
        <v>3297</v>
      </c>
      <c r="E32" s="268" t="s">
        <v>6401</v>
      </c>
      <c r="F32" s="244"/>
      <c r="G32" s="276" t="s">
        <v>431</v>
      </c>
      <c r="H32" s="227" t="s">
        <v>6402</v>
      </c>
      <c r="I32" s="236"/>
      <c r="J32" s="236"/>
      <c r="K32" s="246" t="s">
        <v>2600</v>
      </c>
      <c r="L32" s="246" t="s">
        <v>2602</v>
      </c>
      <c r="M32" s="246" t="s">
        <v>2602</v>
      </c>
      <c r="N32" s="246">
        <v>2012.0</v>
      </c>
      <c r="O32" s="270" t="s">
        <v>6403</v>
      </c>
      <c r="P32" s="283"/>
      <c r="Q32" s="246"/>
      <c r="R32" s="246"/>
      <c r="S32" s="246"/>
      <c r="T32" s="246"/>
      <c r="U32" s="274"/>
      <c r="V32" s="240">
        <v>4.0</v>
      </c>
      <c r="W32" s="264" t="s">
        <v>6404</v>
      </c>
      <c r="X32" s="200" t="s">
        <v>6180</v>
      </c>
      <c r="Y32" s="200"/>
    </row>
    <row r="33" ht="102.75" customHeight="1">
      <c r="A33" s="265" t="s">
        <v>462</v>
      </c>
      <c r="B33" s="266" t="s">
        <v>64</v>
      </c>
      <c r="C33" s="266" t="s">
        <v>490</v>
      </c>
      <c r="D33" s="267" t="s">
        <v>684</v>
      </c>
      <c r="E33" s="268" t="s">
        <v>247</v>
      </c>
      <c r="F33" s="268"/>
      <c r="G33" s="276" t="s">
        <v>117</v>
      </c>
      <c r="H33" s="227" t="s">
        <v>6405</v>
      </c>
      <c r="I33" s="249" t="s">
        <v>6406</v>
      </c>
      <c r="J33" s="236"/>
      <c r="K33" s="246"/>
      <c r="L33" s="246"/>
      <c r="M33" s="246"/>
      <c r="N33" s="246"/>
      <c r="O33" s="246"/>
      <c r="P33" s="246"/>
      <c r="Q33" s="246"/>
      <c r="R33" s="246"/>
      <c r="S33" s="246"/>
      <c r="T33" s="246"/>
      <c r="U33" s="274"/>
      <c r="V33" s="248">
        <v>3.0</v>
      </c>
      <c r="W33" s="264" t="s">
        <v>6407</v>
      </c>
      <c r="X33" s="204" t="s">
        <v>6408</v>
      </c>
      <c r="Y33" s="200"/>
    </row>
    <row r="34" ht="78.0" customHeight="1">
      <c r="A34" s="265" t="s">
        <v>462</v>
      </c>
      <c r="B34" s="266" t="s">
        <v>64</v>
      </c>
      <c r="C34" s="266" t="s">
        <v>490</v>
      </c>
      <c r="D34" s="267" t="s">
        <v>684</v>
      </c>
      <c r="E34" s="268" t="s">
        <v>247</v>
      </c>
      <c r="F34" s="244"/>
      <c r="G34" s="276" t="s">
        <v>431</v>
      </c>
      <c r="H34" s="227" t="s">
        <v>6409</v>
      </c>
      <c r="I34" s="236"/>
      <c r="J34" s="236"/>
      <c r="K34" s="226" t="s">
        <v>6410</v>
      </c>
      <c r="L34" s="246" t="s">
        <v>188</v>
      </c>
      <c r="M34" s="226" t="s">
        <v>6411</v>
      </c>
      <c r="N34" s="246">
        <v>2004.0</v>
      </c>
      <c r="O34" s="270" t="s">
        <v>6412</v>
      </c>
      <c r="P34" s="283"/>
      <c r="Q34" s="246"/>
      <c r="R34" s="246"/>
      <c r="S34" s="246"/>
      <c r="T34" s="246"/>
      <c r="U34" s="274"/>
      <c r="V34" s="240">
        <v>3.0</v>
      </c>
      <c r="W34" s="264" t="s">
        <v>6413</v>
      </c>
      <c r="X34" s="200" t="s">
        <v>846</v>
      </c>
      <c r="Y34" s="200"/>
    </row>
    <row r="35" ht="84.75" customHeight="1">
      <c r="A35" s="285" t="s">
        <v>6250</v>
      </c>
      <c r="B35" s="267" t="s">
        <v>64</v>
      </c>
      <c r="C35" s="267" t="s">
        <v>490</v>
      </c>
      <c r="D35" s="267" t="s">
        <v>684</v>
      </c>
      <c r="E35" s="268" t="s">
        <v>267</v>
      </c>
      <c r="F35" s="268"/>
      <c r="G35" s="276" t="s">
        <v>431</v>
      </c>
      <c r="H35" s="227" t="s">
        <v>6414</v>
      </c>
      <c r="I35" s="249" t="s">
        <v>6415</v>
      </c>
      <c r="J35" s="228"/>
      <c r="K35" s="226"/>
      <c r="L35" s="226"/>
      <c r="M35" s="226"/>
      <c r="N35" s="226"/>
      <c r="O35" s="226"/>
      <c r="P35" s="226"/>
      <c r="Q35" s="226"/>
      <c r="R35" s="226"/>
      <c r="S35" s="226"/>
      <c r="T35" s="226"/>
      <c r="U35" s="284"/>
      <c r="V35" s="281">
        <v>3.0</v>
      </c>
      <c r="W35" s="264" t="s">
        <v>6416</v>
      </c>
      <c r="X35" s="204" t="s">
        <v>6417</v>
      </c>
      <c r="Y35" s="204"/>
    </row>
    <row r="36" ht="63.0" customHeight="1">
      <c r="A36" s="285" t="s">
        <v>462</v>
      </c>
      <c r="B36" s="267" t="s">
        <v>64</v>
      </c>
      <c r="C36" s="267" t="s">
        <v>490</v>
      </c>
      <c r="D36" s="267" t="s">
        <v>491</v>
      </c>
      <c r="E36" s="268" t="s">
        <v>6418</v>
      </c>
      <c r="F36" s="268"/>
      <c r="G36" s="286" t="s">
        <v>6419</v>
      </c>
      <c r="H36" s="263" t="s">
        <v>6420</v>
      </c>
      <c r="I36" s="228" t="s">
        <v>6421</v>
      </c>
      <c r="J36" s="228" t="s">
        <v>6422</v>
      </c>
      <c r="K36" s="226"/>
      <c r="L36" s="226"/>
      <c r="M36" s="226"/>
      <c r="N36" s="226"/>
      <c r="O36" s="226"/>
      <c r="P36" s="226"/>
      <c r="Q36" s="226"/>
      <c r="R36" s="226"/>
      <c r="S36" s="226"/>
      <c r="T36" s="226"/>
      <c r="U36" s="284" t="s">
        <v>6423</v>
      </c>
      <c r="V36" s="280">
        <v>4.0</v>
      </c>
      <c r="W36" s="264" t="s">
        <v>6424</v>
      </c>
      <c r="X36" s="204" t="s">
        <v>610</v>
      </c>
      <c r="Y36" s="204"/>
    </row>
    <row r="37" ht="67.5" customHeight="1">
      <c r="A37" s="285" t="s">
        <v>462</v>
      </c>
      <c r="B37" s="267" t="s">
        <v>173</v>
      </c>
      <c r="C37" s="267" t="s">
        <v>490</v>
      </c>
      <c r="D37" s="267" t="s">
        <v>491</v>
      </c>
      <c r="E37" s="268" t="s">
        <v>388</v>
      </c>
      <c r="F37" s="268"/>
      <c r="G37" s="286" t="s">
        <v>6306</v>
      </c>
      <c r="H37" s="263" t="s">
        <v>6425</v>
      </c>
      <c r="I37" s="228" t="s">
        <v>6426</v>
      </c>
      <c r="J37" s="228" t="s">
        <v>6427</v>
      </c>
      <c r="K37" s="226"/>
      <c r="L37" s="226" t="s">
        <v>1894</v>
      </c>
      <c r="M37" s="226" t="s">
        <v>1571</v>
      </c>
      <c r="N37" s="287">
        <v>41453.0</v>
      </c>
      <c r="O37" s="278" t="str">
        <f>HYPERLINK("https://www.psychologytoday.com/blog/culture-conscious/201306/is-cognitive-dissonance-universal","https://www.psychologytoday.com/blog/culture-conscious/201306/is-cognitive-dissonance-universal")</f>
        <v>https://www.psychologytoday.com/blog/culture-conscious/201306/is-cognitive-dissonance-universal</v>
      </c>
      <c r="P37" s="278"/>
      <c r="Q37" s="226"/>
      <c r="R37" s="226"/>
      <c r="S37" s="226"/>
      <c r="T37" s="226"/>
      <c r="U37" s="284" t="s">
        <v>6303</v>
      </c>
      <c r="V37" s="281">
        <v>4.0</v>
      </c>
      <c r="W37" s="264" t="s">
        <v>6428</v>
      </c>
      <c r="X37" s="204"/>
      <c r="Y37" s="204"/>
    </row>
  </sheetData>
  <hyperlinks>
    <hyperlink r:id="rId1" ref="O12"/>
    <hyperlink r:id="rId2" ref="O14"/>
    <hyperlink r:id="rId3" ref="O25"/>
    <hyperlink r:id="rId4" ref="O37"/>
  </hyperlinks>
  <drawing r:id="rId5"/>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3.44" defaultRowHeight="15.0"/>
  <cols>
    <col customWidth="1" min="1" max="1" width="17.44"/>
    <col customWidth="1" min="2" max="2" width="14.0"/>
    <col customWidth="1" min="3" max="3" width="16.0"/>
    <col customWidth="1" min="4" max="4" width="17.44"/>
    <col customWidth="1" min="5" max="5" width="12.0"/>
    <col customWidth="1" min="6" max="6" width="35.44"/>
    <col customWidth="1" min="7" max="8" width="17.44"/>
    <col customWidth="1" min="9" max="9" width="33.44"/>
    <col customWidth="1" min="10" max="12" width="17.44"/>
    <col customWidth="1" min="13" max="13" width="24.0"/>
    <col customWidth="1" min="14" max="14" width="17.44"/>
    <col customWidth="1" min="15" max="15" width="27.44"/>
    <col customWidth="1" min="16" max="17" width="17.44"/>
    <col customWidth="1" min="18" max="18" width="52.44"/>
    <col customWidth="1" min="19" max="26" width="17.44"/>
  </cols>
  <sheetData>
    <row r="1" ht="168.75" customHeight="1">
      <c r="A1" s="288" t="s">
        <v>6438</v>
      </c>
      <c r="B1" s="289" t="s">
        <v>6441</v>
      </c>
      <c r="C1" s="289" t="s">
        <v>6442</v>
      </c>
      <c r="D1" s="289" t="s">
        <v>6443</v>
      </c>
      <c r="E1" s="289" t="s">
        <v>6444</v>
      </c>
      <c r="F1" s="289" t="s">
        <v>6445</v>
      </c>
      <c r="G1" s="289" t="s">
        <v>6446</v>
      </c>
      <c r="H1" s="289" t="s">
        <v>6447</v>
      </c>
      <c r="I1" s="289" t="s">
        <v>6448</v>
      </c>
      <c r="J1" s="289" t="s">
        <v>6449</v>
      </c>
      <c r="K1" s="289" t="s">
        <v>6450</v>
      </c>
      <c r="L1" s="290" t="s">
        <v>6451</v>
      </c>
      <c r="M1" s="291" t="s">
        <v>67</v>
      </c>
      <c r="N1" s="292" t="s">
        <v>24</v>
      </c>
      <c r="O1" s="293" t="s">
        <v>6452</v>
      </c>
      <c r="P1" s="289" t="s">
        <v>6453</v>
      </c>
      <c r="Q1" s="289" t="s">
        <v>6454</v>
      </c>
      <c r="R1" s="289" t="s">
        <v>6455</v>
      </c>
      <c r="S1" s="288"/>
      <c r="T1" s="288"/>
      <c r="U1" s="288"/>
      <c r="V1" s="288"/>
      <c r="W1" s="288"/>
      <c r="X1" s="288"/>
      <c r="Y1" s="288"/>
      <c r="Z1" s="288"/>
    </row>
    <row r="2" ht="29.25" customHeight="1">
      <c r="A2" s="294" t="s">
        <v>6456</v>
      </c>
      <c r="B2" s="294" t="s">
        <v>6457</v>
      </c>
      <c r="C2" s="294"/>
      <c r="D2" s="294" t="s">
        <v>6458</v>
      </c>
      <c r="E2" s="294" t="s">
        <v>6460</v>
      </c>
      <c r="F2" s="294" t="s">
        <v>6463</v>
      </c>
      <c r="G2" s="295"/>
      <c r="H2" s="295"/>
      <c r="I2" s="294" t="s">
        <v>6465</v>
      </c>
      <c r="J2" s="295"/>
      <c r="K2" s="295"/>
      <c r="L2" s="295"/>
      <c r="M2" s="295"/>
      <c r="N2" s="296" t="str">
        <f>HYPERLINK("http://www.aceee.org/","www.aceee.org")</f>
        <v>www.aceee.org</v>
      </c>
      <c r="O2" s="297"/>
      <c r="P2" s="295"/>
      <c r="Q2" s="295"/>
      <c r="R2" s="295" t="s">
        <v>6466</v>
      </c>
      <c r="S2" s="295"/>
      <c r="T2" s="295"/>
      <c r="U2" s="295"/>
      <c r="V2" s="295"/>
      <c r="W2" s="295"/>
      <c r="X2" s="295"/>
      <c r="Y2" s="295"/>
      <c r="Z2" s="295"/>
    </row>
    <row r="3" ht="29.25" customHeight="1">
      <c r="A3" s="294" t="s">
        <v>6468</v>
      </c>
      <c r="B3" s="298" t="s">
        <v>6470</v>
      </c>
      <c r="C3" s="295"/>
      <c r="D3" s="298" t="s">
        <v>6473</v>
      </c>
      <c r="E3" s="299"/>
      <c r="F3" s="300" t="s">
        <v>6478</v>
      </c>
      <c r="G3" s="295"/>
      <c r="H3" s="295"/>
      <c r="I3" s="301" t="str">
        <f>HYPERLINK("http://www.nature.com/nclimate/journal/v1/n1/full/nclimate1080.html","http://www.nature.com/nclimate/journal/v1/n1/full/nclimate1080.html")</f>
        <v>http://www.nature.com/nclimate/journal/v1/n1/full/nclimate1080.html</v>
      </c>
      <c r="J3" s="295"/>
      <c r="K3" s="295"/>
      <c r="L3" s="295"/>
      <c r="M3" s="298" t="s">
        <v>6479</v>
      </c>
      <c r="N3" s="302" t="str">
        <f>HYPERLINK("http://www.understanding-risk.org/","http://www.understanding-risk.org/")</f>
        <v>http://www.understanding-risk.org/</v>
      </c>
      <c r="O3" s="297"/>
      <c r="P3" s="295"/>
      <c r="Q3" s="295"/>
      <c r="R3" s="295" t="s">
        <v>677</v>
      </c>
      <c r="S3" s="295"/>
      <c r="T3" s="295"/>
      <c r="U3" s="295"/>
      <c r="V3" s="295"/>
      <c r="W3" s="295"/>
      <c r="X3" s="295"/>
      <c r="Y3" s="295"/>
      <c r="Z3" s="295"/>
    </row>
    <row r="4" ht="29.25" customHeight="1">
      <c r="A4" s="294" t="s">
        <v>6468</v>
      </c>
      <c r="B4" s="294" t="s">
        <v>3850</v>
      </c>
      <c r="C4" s="294"/>
      <c r="D4" s="303"/>
      <c r="E4" s="299"/>
      <c r="F4" s="300" t="s">
        <v>6481</v>
      </c>
      <c r="G4" s="295"/>
      <c r="H4" s="295"/>
      <c r="I4" s="295"/>
      <c r="J4" s="295"/>
      <c r="K4" s="295"/>
      <c r="L4" s="295"/>
      <c r="M4" s="295"/>
      <c r="N4" s="296" t="str">
        <f>HYPERLINK("http://inudgeyou.com/","http://inudgeyou.com/")</f>
        <v>http://inudgeyou.com/</v>
      </c>
      <c r="O4" s="297"/>
      <c r="P4" s="295"/>
      <c r="Q4" s="295"/>
      <c r="R4" s="295" t="s">
        <v>677</v>
      </c>
      <c r="S4" s="295"/>
      <c r="T4" s="295"/>
      <c r="U4" s="295"/>
      <c r="V4" s="295"/>
      <c r="W4" s="295"/>
      <c r="X4" s="295"/>
      <c r="Y4" s="295"/>
      <c r="Z4" s="295"/>
    </row>
    <row r="5" ht="29.25" customHeight="1">
      <c r="A5" s="295"/>
      <c r="B5" s="304" t="s">
        <v>6482</v>
      </c>
      <c r="C5" s="304" t="s">
        <v>6483</v>
      </c>
      <c r="D5" s="304" t="s">
        <v>6484</v>
      </c>
      <c r="E5" s="304" t="s">
        <v>6485</v>
      </c>
      <c r="F5" s="304" t="s">
        <v>6486</v>
      </c>
      <c r="G5" s="304" t="s">
        <v>6487</v>
      </c>
      <c r="H5" s="304" t="s">
        <v>6488</v>
      </c>
      <c r="I5" s="304" t="s">
        <v>6489</v>
      </c>
      <c r="J5" s="304" t="s">
        <v>6490</v>
      </c>
      <c r="K5" s="304" t="s">
        <v>6491</v>
      </c>
      <c r="L5" s="304" t="s">
        <v>6492</v>
      </c>
      <c r="M5" s="304"/>
      <c r="N5" s="305" t="str">
        <f>HYPERLINK("http://www.aceee.org/about/programs/Behavior","http://www.aceee.org/about/programs/Behavior")</f>
        <v>http://www.aceee.org/about/programs/Behavior</v>
      </c>
      <c r="O5" s="304" t="s">
        <v>6493</v>
      </c>
      <c r="P5" s="304" t="s">
        <v>6494</v>
      </c>
      <c r="Q5" s="295"/>
      <c r="R5" s="295" t="s">
        <v>6466</v>
      </c>
      <c r="S5" s="295"/>
      <c r="T5" s="295"/>
      <c r="U5" s="295"/>
      <c r="V5" s="295"/>
      <c r="W5" s="295"/>
      <c r="X5" s="295"/>
      <c r="Y5" s="295"/>
      <c r="Z5" s="295"/>
    </row>
    <row r="6" ht="29.25" customHeight="1">
      <c r="A6" s="295"/>
      <c r="B6" s="304" t="s">
        <v>6495</v>
      </c>
      <c r="C6" s="304"/>
      <c r="D6" s="304"/>
      <c r="E6" s="304"/>
      <c r="F6" s="304" t="s">
        <v>6496</v>
      </c>
      <c r="G6" s="304" t="s">
        <v>6487</v>
      </c>
      <c r="H6" s="304" t="s">
        <v>530</v>
      </c>
      <c r="I6" s="304" t="s">
        <v>6497</v>
      </c>
      <c r="J6" s="304" t="s">
        <v>6498</v>
      </c>
      <c r="K6" s="304" t="s">
        <v>6499</v>
      </c>
      <c r="L6" s="304"/>
      <c r="M6" s="304"/>
      <c r="N6" s="305" t="str">
        <f>HYPERLINK("https://analystinstitute.org/","https://analystinstitute.org/")</f>
        <v>https://analystinstitute.org/</v>
      </c>
      <c r="O6" s="304"/>
      <c r="P6" s="304" t="s">
        <v>530</v>
      </c>
      <c r="Q6" s="295"/>
      <c r="R6" s="295" t="s">
        <v>6466</v>
      </c>
      <c r="S6" s="295"/>
      <c r="T6" s="295"/>
      <c r="U6" s="295"/>
      <c r="V6" s="295"/>
      <c r="W6" s="295"/>
      <c r="X6" s="295"/>
      <c r="Y6" s="295"/>
      <c r="Z6" s="295"/>
    </row>
    <row r="7" ht="29.25" customHeight="1">
      <c r="A7" s="295"/>
      <c r="B7" s="304" t="s">
        <v>6500</v>
      </c>
      <c r="C7" s="304" t="s">
        <v>6501</v>
      </c>
      <c r="D7" s="304"/>
      <c r="E7" s="304" t="s">
        <v>6502</v>
      </c>
      <c r="F7" s="304" t="s">
        <v>6503</v>
      </c>
      <c r="G7" s="304"/>
      <c r="H7" s="304" t="s">
        <v>6504</v>
      </c>
      <c r="I7" s="304" t="s">
        <v>6505</v>
      </c>
      <c r="J7" s="304" t="s">
        <v>6506</v>
      </c>
      <c r="K7" s="304" t="s">
        <v>6507</v>
      </c>
      <c r="L7" s="304" t="s">
        <v>6508</v>
      </c>
      <c r="M7" s="304"/>
      <c r="N7" s="305" t="str">
        <f>HYPERLINK("http://ceed.edu.au/","http://ceed.edu.au/")</f>
        <v>http://ceed.edu.au/</v>
      </c>
      <c r="O7" s="306"/>
      <c r="P7" s="304" t="s">
        <v>530</v>
      </c>
      <c r="Q7" s="295"/>
      <c r="R7" s="295" t="s">
        <v>677</v>
      </c>
      <c r="S7" s="295"/>
      <c r="T7" s="295"/>
      <c r="U7" s="295"/>
      <c r="V7" s="295"/>
      <c r="W7" s="295"/>
      <c r="X7" s="295"/>
      <c r="Y7" s="295"/>
      <c r="Z7" s="295"/>
    </row>
    <row r="8" ht="29.25" customHeight="1">
      <c r="A8" s="295"/>
      <c r="B8" s="304" t="s">
        <v>6509</v>
      </c>
      <c r="C8" s="304" t="s">
        <v>6510</v>
      </c>
      <c r="D8" s="304" t="s">
        <v>6511</v>
      </c>
      <c r="E8" s="304" t="s">
        <v>6512</v>
      </c>
      <c r="F8" s="304" t="s">
        <v>6513</v>
      </c>
      <c r="G8" s="304" t="s">
        <v>6487</v>
      </c>
      <c r="H8" s="304" t="s">
        <v>530</v>
      </c>
      <c r="I8" s="304" t="s">
        <v>6514</v>
      </c>
      <c r="J8" s="304" t="s">
        <v>6515</v>
      </c>
      <c r="K8" s="304" t="s">
        <v>6516</v>
      </c>
      <c r="L8" s="304" t="s">
        <v>6517</v>
      </c>
      <c r="M8" s="304" t="s">
        <v>6518</v>
      </c>
      <c r="N8" s="305" t="str">
        <f>HYPERLINK("http://www.acrwebsite.org/","http://www.acrwebsite.org/")</f>
        <v>http://www.acrwebsite.org/</v>
      </c>
      <c r="O8" s="304"/>
      <c r="P8" s="304" t="s">
        <v>530</v>
      </c>
      <c r="Q8" s="295"/>
      <c r="R8" s="295" t="s">
        <v>6466</v>
      </c>
      <c r="S8" s="295"/>
      <c r="T8" s="295"/>
      <c r="U8" s="295"/>
      <c r="V8" s="295"/>
      <c r="W8" s="295"/>
      <c r="X8" s="295"/>
      <c r="Y8" s="295"/>
      <c r="Z8" s="295"/>
    </row>
    <row r="9" ht="29.25" customHeight="1">
      <c r="A9" s="295"/>
      <c r="B9" s="304" t="s">
        <v>6520</v>
      </c>
      <c r="C9" s="304" t="s">
        <v>6523</v>
      </c>
      <c r="D9" s="304" t="s">
        <v>6524</v>
      </c>
      <c r="E9" s="304" t="s">
        <v>6525</v>
      </c>
      <c r="F9" s="304" t="s">
        <v>6526</v>
      </c>
      <c r="G9" s="304" t="s">
        <v>6487</v>
      </c>
      <c r="H9" s="304" t="s">
        <v>1105</v>
      </c>
      <c r="I9" s="304" t="s">
        <v>1105</v>
      </c>
      <c r="J9" s="304" t="s">
        <v>6527</v>
      </c>
      <c r="K9" s="304" t="s">
        <v>6528</v>
      </c>
      <c r="L9" s="304" t="s">
        <v>1105</v>
      </c>
      <c r="M9" s="304" t="s">
        <v>6529</v>
      </c>
      <c r="N9" s="305" t="str">
        <f>HYPERLINK("http://www.anderson.ucla.edu/faculty/interdisciplinary-group-in-behavioral-decision-making","http://www.anderson.ucla.edu/faculty/interdisciplinary-group-in-behavioral-decision-making")</f>
        <v>http://www.anderson.ucla.edu/faculty/interdisciplinary-group-in-behavioral-decision-making</v>
      </c>
      <c r="O9" s="304"/>
      <c r="P9" s="304" t="s">
        <v>530</v>
      </c>
      <c r="Q9" s="295"/>
      <c r="R9" s="295" t="s">
        <v>6466</v>
      </c>
      <c r="S9" s="295"/>
      <c r="T9" s="295"/>
      <c r="U9" s="295"/>
      <c r="V9" s="295"/>
      <c r="W9" s="295"/>
      <c r="X9" s="295"/>
      <c r="Y9" s="295"/>
      <c r="Z9" s="295"/>
    </row>
    <row r="10" ht="29.25" customHeight="1">
      <c r="A10" s="295"/>
      <c r="B10" s="304" t="s">
        <v>6534</v>
      </c>
      <c r="C10" s="304" t="s">
        <v>6536</v>
      </c>
      <c r="D10" s="304" t="s">
        <v>6537</v>
      </c>
      <c r="E10" s="304" t="s">
        <v>6539</v>
      </c>
      <c r="F10" s="304" t="s">
        <v>6540</v>
      </c>
      <c r="G10" s="304" t="s">
        <v>6487</v>
      </c>
      <c r="H10" s="304" t="s">
        <v>6541</v>
      </c>
      <c r="I10" s="304" t="s">
        <v>6542</v>
      </c>
      <c r="J10" s="304" t="s">
        <v>6543</v>
      </c>
      <c r="K10" s="304" t="s">
        <v>6544</v>
      </c>
      <c r="L10" s="304" t="s">
        <v>6545</v>
      </c>
      <c r="M10" s="307"/>
      <c r="N10" s="308" t="str">
        <f>HYPERLINK("https://www.gov.uk/government/organisations/behavioural-insights-team","http://www.behaviouralinsights.co.uk/")</f>
        <v>http://www.behaviouralinsights.co.uk/</v>
      </c>
      <c r="O10" s="304" t="s">
        <v>6546</v>
      </c>
      <c r="P10" s="304" t="s">
        <v>6547</v>
      </c>
      <c r="Q10" s="295"/>
      <c r="R10" s="295" t="s">
        <v>677</v>
      </c>
      <c r="S10" s="295"/>
      <c r="T10" s="295"/>
      <c r="U10" s="295"/>
      <c r="V10" s="295"/>
      <c r="W10" s="295"/>
      <c r="X10" s="295"/>
      <c r="Y10" s="295"/>
      <c r="Z10" s="295"/>
    </row>
    <row r="11" ht="29.25" customHeight="1">
      <c r="A11" s="295"/>
      <c r="B11" s="304" t="s">
        <v>6548</v>
      </c>
      <c r="C11" s="304"/>
      <c r="D11" s="304" t="s">
        <v>1105</v>
      </c>
      <c r="E11" s="304" t="s">
        <v>6485</v>
      </c>
      <c r="F11" s="304" t="s">
        <v>6549</v>
      </c>
      <c r="G11" s="304" t="s">
        <v>6487</v>
      </c>
      <c r="H11" s="304" t="s">
        <v>6550</v>
      </c>
      <c r="I11" s="304"/>
      <c r="J11" s="304" t="s">
        <v>6551</v>
      </c>
      <c r="K11" s="304" t="s">
        <v>6552</v>
      </c>
      <c r="L11" s="304"/>
      <c r="M11" s="304"/>
      <c r="N11" s="308" t="str">
        <f>HYPERLINK("http://behavioralpolicy.org/","http://behavioralpolicy.org/")</f>
        <v>http://behavioralpolicy.org/</v>
      </c>
      <c r="O11" s="304" t="s">
        <v>6553</v>
      </c>
      <c r="P11" s="304" t="s">
        <v>530</v>
      </c>
      <c r="Q11" s="309" t="str">
        <f>HYPERLINK("https://twitter.com/BeSciPol","@BeSciPol ")</f>
        <v>@BeSciPol </v>
      </c>
      <c r="R11" s="295" t="s">
        <v>6554</v>
      </c>
      <c r="S11" s="295"/>
      <c r="T11" s="295"/>
      <c r="U11" s="295"/>
      <c r="V11" s="295"/>
      <c r="W11" s="295"/>
      <c r="X11" s="295"/>
      <c r="Y11" s="295"/>
      <c r="Z11" s="295"/>
    </row>
    <row r="12" ht="29.25" customHeight="1">
      <c r="A12" s="295"/>
      <c r="B12" s="304" t="s">
        <v>6555</v>
      </c>
      <c r="C12" s="304" t="s">
        <v>6556</v>
      </c>
      <c r="D12" s="304" t="s">
        <v>6557</v>
      </c>
      <c r="E12" s="304" t="s">
        <v>6558</v>
      </c>
      <c r="F12" s="304" t="s">
        <v>6559</v>
      </c>
      <c r="G12" s="304" t="s">
        <v>6487</v>
      </c>
      <c r="H12" s="304" t="s">
        <v>530</v>
      </c>
      <c r="I12" s="304" t="s">
        <v>6560</v>
      </c>
      <c r="J12" s="304" t="s">
        <v>6561</v>
      </c>
      <c r="K12" s="304" t="s">
        <v>6562</v>
      </c>
      <c r="L12" s="304" t="s">
        <v>1105</v>
      </c>
      <c r="M12" s="304" t="s">
        <v>6563</v>
      </c>
      <c r="N12" s="304" t="s">
        <v>6564</v>
      </c>
      <c r="O12" s="306"/>
      <c r="P12" s="304" t="s">
        <v>530</v>
      </c>
      <c r="Q12" s="295"/>
      <c r="R12" s="295" t="s">
        <v>6565</v>
      </c>
      <c r="S12" s="295"/>
      <c r="T12" s="295"/>
      <c r="U12" s="295"/>
      <c r="V12" s="295"/>
      <c r="W12" s="295"/>
      <c r="X12" s="295"/>
      <c r="Y12" s="295"/>
      <c r="Z12" s="295"/>
    </row>
    <row r="13" ht="29.25" customHeight="1">
      <c r="A13" s="295"/>
      <c r="B13" s="304" t="s">
        <v>6566</v>
      </c>
      <c r="C13" s="304"/>
      <c r="D13" s="304" t="s">
        <v>1105</v>
      </c>
      <c r="E13" s="304" t="s">
        <v>6567</v>
      </c>
      <c r="F13" s="304" t="s">
        <v>6568</v>
      </c>
      <c r="G13" s="304" t="s">
        <v>6569</v>
      </c>
      <c r="H13" s="304" t="s">
        <v>1105</v>
      </c>
      <c r="I13" s="304"/>
      <c r="J13" s="304" t="s">
        <v>6570</v>
      </c>
      <c r="K13" s="304" t="s">
        <v>6571</v>
      </c>
      <c r="L13" s="304" t="s">
        <v>6572</v>
      </c>
      <c r="M13" s="304"/>
      <c r="N13" s="308" t="str">
        <f>HYPERLINK("http://www.brainfacts.org/","http://www.brainfacts.org/")</f>
        <v>http://www.brainfacts.org/</v>
      </c>
      <c r="O13" s="304" t="s">
        <v>6573</v>
      </c>
      <c r="P13" s="304" t="s">
        <v>530</v>
      </c>
      <c r="Q13" s="309" t="str">
        <f>HYPERLINK("https://twitter.com/Brain_Facts_org","@Brain_Facts_org")</f>
        <v>@Brain_Facts_org</v>
      </c>
      <c r="R13" s="295" t="s">
        <v>6466</v>
      </c>
      <c r="S13" s="295"/>
      <c r="T13" s="295"/>
      <c r="U13" s="295"/>
      <c r="V13" s="295"/>
      <c r="W13" s="295"/>
      <c r="X13" s="295"/>
      <c r="Y13" s="295"/>
      <c r="Z13" s="295"/>
    </row>
    <row r="14" ht="29.25" customHeight="1">
      <c r="A14" s="295"/>
      <c r="B14" s="304" t="s">
        <v>6574</v>
      </c>
      <c r="C14" s="304" t="s">
        <v>6575</v>
      </c>
      <c r="D14" s="304" t="s">
        <v>1105</v>
      </c>
      <c r="E14" s="304" t="s">
        <v>6576</v>
      </c>
      <c r="F14" s="304" t="s">
        <v>6577</v>
      </c>
      <c r="G14" s="304" t="s">
        <v>6578</v>
      </c>
      <c r="H14" s="304" t="s">
        <v>1105</v>
      </c>
      <c r="I14" s="304" t="s">
        <v>6579</v>
      </c>
      <c r="J14" s="304" t="s">
        <v>6580</v>
      </c>
      <c r="K14" s="304" t="s">
        <v>6581</v>
      </c>
      <c r="L14" s="304" t="s">
        <v>6582</v>
      </c>
      <c r="M14" s="304" t="s">
        <v>6583</v>
      </c>
      <c r="N14" s="308" t="str">
        <f>HYPERLINK("http://www.busaracenter.org/","http://www.busaracenter.org/")</f>
        <v>http://www.busaracenter.org/</v>
      </c>
      <c r="O14" s="306" t="s">
        <v>6589</v>
      </c>
      <c r="P14" s="304" t="s">
        <v>530</v>
      </c>
      <c r="Q14" s="309" t="str">
        <f>HYPERLINK("https://twitter.com/BusaraCenter","@BusaraCenter")</f>
        <v>@BusaraCenter</v>
      </c>
      <c r="R14" s="295" t="s">
        <v>6466</v>
      </c>
      <c r="S14" s="295"/>
      <c r="T14" s="295"/>
      <c r="U14" s="295"/>
      <c r="V14" s="295"/>
      <c r="W14" s="295"/>
      <c r="X14" s="295"/>
      <c r="Y14" s="295"/>
      <c r="Z14" s="295"/>
    </row>
    <row r="15" ht="29.25" customHeight="1">
      <c r="A15" s="295"/>
      <c r="B15" s="304" t="s">
        <v>6591</v>
      </c>
      <c r="C15" s="304"/>
      <c r="D15" s="304" t="s">
        <v>1105</v>
      </c>
      <c r="E15" s="304" t="s">
        <v>6485</v>
      </c>
      <c r="F15" s="304" t="s">
        <v>6592</v>
      </c>
      <c r="G15" s="304" t="s">
        <v>6487</v>
      </c>
      <c r="H15" s="304" t="s">
        <v>6593</v>
      </c>
      <c r="I15" s="304"/>
      <c r="J15" s="304" t="s">
        <v>6594</v>
      </c>
      <c r="K15" s="304" t="s">
        <v>6595</v>
      </c>
      <c r="L15" s="304"/>
      <c r="M15" s="304" t="s">
        <v>6596</v>
      </c>
      <c r="N15" s="304" t="s">
        <v>6597</v>
      </c>
      <c r="O15" s="304"/>
      <c r="P15" s="304" t="s">
        <v>530</v>
      </c>
      <c r="Q15" s="295"/>
      <c r="R15" s="295" t="s">
        <v>677</v>
      </c>
      <c r="S15" s="295"/>
      <c r="T15" s="295"/>
      <c r="U15" s="295"/>
      <c r="V15" s="295"/>
      <c r="W15" s="295"/>
      <c r="X15" s="295"/>
      <c r="Y15" s="295"/>
      <c r="Z15" s="295"/>
    </row>
    <row r="16" ht="29.25" customHeight="1">
      <c r="A16" s="295"/>
      <c r="B16" s="304" t="s">
        <v>6598</v>
      </c>
      <c r="C16" s="304" t="s">
        <v>6599</v>
      </c>
      <c r="D16" s="304" t="s">
        <v>6600</v>
      </c>
      <c r="E16" s="304" t="s">
        <v>6525</v>
      </c>
      <c r="F16" s="304" t="s">
        <v>6601</v>
      </c>
      <c r="G16" s="304" t="s">
        <v>6487</v>
      </c>
      <c r="H16" s="304" t="s">
        <v>1105</v>
      </c>
      <c r="I16" s="304" t="s">
        <v>1105</v>
      </c>
      <c r="J16" s="304" t="s">
        <v>6515</v>
      </c>
      <c r="K16" s="304" t="s">
        <v>6602</v>
      </c>
      <c r="L16" s="304" t="s">
        <v>1105</v>
      </c>
      <c r="M16" s="304" t="s">
        <v>6603</v>
      </c>
      <c r="N16" s="308" t="str">
        <f>HYPERLINK("http://www.cbdr.cmu.edu/index.asp","http://www.cbdr.cmu.edu/index.asp")</f>
        <v>http://www.cbdr.cmu.edu/index.asp</v>
      </c>
      <c r="O16" s="304"/>
      <c r="P16" s="304" t="s">
        <v>530</v>
      </c>
      <c r="Q16" s="295"/>
      <c r="R16" s="295"/>
      <c r="S16" s="295"/>
      <c r="T16" s="295"/>
      <c r="U16" s="295"/>
      <c r="V16" s="295"/>
      <c r="W16" s="295"/>
      <c r="X16" s="295"/>
      <c r="Y16" s="295"/>
      <c r="Z16" s="295"/>
    </row>
    <row r="17" ht="29.25" customHeight="1">
      <c r="A17" s="295"/>
      <c r="B17" s="304" t="s">
        <v>6604</v>
      </c>
      <c r="C17" s="304" t="s">
        <v>6599</v>
      </c>
      <c r="D17" s="304" t="s">
        <v>6600</v>
      </c>
      <c r="E17" s="304" t="s">
        <v>6558</v>
      </c>
      <c r="F17" s="304" t="s">
        <v>6605</v>
      </c>
      <c r="G17" s="304" t="s">
        <v>6487</v>
      </c>
      <c r="H17" s="304" t="s">
        <v>6606</v>
      </c>
      <c r="I17" s="304" t="s">
        <v>6607</v>
      </c>
      <c r="J17" s="304" t="s">
        <v>6608</v>
      </c>
      <c r="K17" s="304" t="s">
        <v>6609</v>
      </c>
      <c r="L17" s="304" t="s">
        <v>1105</v>
      </c>
      <c r="M17" s="304" t="s">
        <v>6610</v>
      </c>
      <c r="N17" s="304" t="s">
        <v>6611</v>
      </c>
      <c r="O17" s="306" t="s">
        <v>6612</v>
      </c>
      <c r="P17" s="304" t="s">
        <v>6613</v>
      </c>
      <c r="Q17" s="295"/>
      <c r="R17" s="295"/>
      <c r="S17" s="295"/>
      <c r="T17" s="295"/>
      <c r="U17" s="295"/>
      <c r="V17" s="295"/>
      <c r="W17" s="295"/>
      <c r="X17" s="295"/>
      <c r="Y17" s="295"/>
      <c r="Z17" s="295"/>
    </row>
    <row r="18" ht="29.25" customHeight="1">
      <c r="A18" s="295"/>
      <c r="B18" s="304" t="s">
        <v>6614</v>
      </c>
      <c r="C18" s="304" t="s">
        <v>6615</v>
      </c>
      <c r="D18" s="304" t="s">
        <v>2029</v>
      </c>
      <c r="E18" s="304" t="s">
        <v>6616</v>
      </c>
      <c r="F18" s="304" t="s">
        <v>6617</v>
      </c>
      <c r="G18" s="304" t="s">
        <v>6487</v>
      </c>
      <c r="H18" s="304" t="s">
        <v>6618</v>
      </c>
      <c r="I18" s="304" t="s">
        <v>6619</v>
      </c>
      <c r="J18" s="304" t="s">
        <v>6620</v>
      </c>
      <c r="K18" s="304" t="s">
        <v>6621</v>
      </c>
      <c r="L18" s="304"/>
      <c r="M18" s="304" t="s">
        <v>6622</v>
      </c>
      <c r="N18" s="304" t="s">
        <v>6623</v>
      </c>
      <c r="O18" s="306" t="s">
        <v>6624</v>
      </c>
      <c r="P18" s="304" t="s">
        <v>6625</v>
      </c>
      <c r="Q18" s="309" t="str">
        <f>HYPERLINK("https://twitter.com/Mason4C","@Mason4C")</f>
        <v>@Mason4C</v>
      </c>
      <c r="R18" s="295"/>
      <c r="S18" s="295"/>
      <c r="T18" s="295"/>
      <c r="U18" s="295"/>
      <c r="V18" s="295"/>
      <c r="W18" s="295"/>
      <c r="X18" s="295"/>
      <c r="Y18" s="295"/>
      <c r="Z18" s="295"/>
    </row>
    <row r="19" ht="29.25" customHeight="1">
      <c r="A19" s="295"/>
      <c r="B19" s="304" t="s">
        <v>6626</v>
      </c>
      <c r="C19" s="304" t="s">
        <v>6627</v>
      </c>
      <c r="D19" s="304" t="s">
        <v>6628</v>
      </c>
      <c r="E19" s="304" t="s">
        <v>6525</v>
      </c>
      <c r="F19" s="304" t="s">
        <v>6629</v>
      </c>
      <c r="G19" s="304" t="s">
        <v>6487</v>
      </c>
      <c r="H19" s="304" t="s">
        <v>1105</v>
      </c>
      <c r="I19" s="304" t="s">
        <v>6630</v>
      </c>
      <c r="J19" s="304" t="s">
        <v>6570</v>
      </c>
      <c r="K19" s="304" t="s">
        <v>6631</v>
      </c>
      <c r="L19" s="304" t="s">
        <v>1105</v>
      </c>
      <c r="M19" s="304" t="s">
        <v>6632</v>
      </c>
      <c r="N19" s="304" t="s">
        <v>6633</v>
      </c>
      <c r="O19" s="304" t="s">
        <v>6634</v>
      </c>
      <c r="P19" s="304" t="s">
        <v>530</v>
      </c>
      <c r="Q19" s="295"/>
      <c r="R19" s="295"/>
      <c r="S19" s="295"/>
      <c r="T19" s="295"/>
      <c r="U19" s="295"/>
      <c r="V19" s="295"/>
      <c r="W19" s="295"/>
      <c r="X19" s="295"/>
      <c r="Y19" s="295"/>
      <c r="Z19" s="295"/>
    </row>
    <row r="20" ht="29.25" customHeight="1">
      <c r="A20" s="295"/>
      <c r="B20" s="304" t="s">
        <v>6635</v>
      </c>
      <c r="C20" s="304" t="s">
        <v>6636</v>
      </c>
      <c r="D20" s="304" t="s">
        <v>5152</v>
      </c>
      <c r="E20" s="304" t="s">
        <v>6525</v>
      </c>
      <c r="F20" s="304" t="s">
        <v>6637</v>
      </c>
      <c r="G20" s="304" t="s">
        <v>6638</v>
      </c>
      <c r="H20" s="304" t="s">
        <v>6639</v>
      </c>
      <c r="I20" s="304" t="s">
        <v>6640</v>
      </c>
      <c r="J20" s="304" t="s">
        <v>6570</v>
      </c>
      <c r="K20" s="304" t="s">
        <v>6528</v>
      </c>
      <c r="L20" s="304" t="s">
        <v>1105</v>
      </c>
      <c r="M20" s="304"/>
      <c r="N20" s="304" t="s">
        <v>6641</v>
      </c>
      <c r="O20" s="306" t="s">
        <v>6642</v>
      </c>
      <c r="P20" s="304" t="s">
        <v>530</v>
      </c>
      <c r="Q20" s="295"/>
      <c r="R20" s="295"/>
      <c r="S20" s="295"/>
      <c r="T20" s="295"/>
      <c r="U20" s="295"/>
      <c r="V20" s="295"/>
      <c r="W20" s="295"/>
      <c r="X20" s="295"/>
      <c r="Y20" s="295"/>
      <c r="Z20" s="295"/>
    </row>
    <row r="21" ht="29.25" customHeight="1">
      <c r="A21" s="295"/>
      <c r="B21" s="304" t="s">
        <v>6643</v>
      </c>
      <c r="C21" s="304" t="s">
        <v>6644</v>
      </c>
      <c r="D21" s="304" t="s">
        <v>6645</v>
      </c>
      <c r="E21" s="304" t="s">
        <v>6646</v>
      </c>
      <c r="F21" s="304" t="s">
        <v>6647</v>
      </c>
      <c r="G21" s="304" t="s">
        <v>6487</v>
      </c>
      <c r="H21" s="304" t="s">
        <v>769</v>
      </c>
      <c r="I21" s="304" t="s">
        <v>6648</v>
      </c>
      <c r="J21" s="304" t="s">
        <v>6620</v>
      </c>
      <c r="K21" s="304" t="s">
        <v>6649</v>
      </c>
      <c r="L21" s="304" t="s">
        <v>6650</v>
      </c>
      <c r="M21" s="304" t="s">
        <v>6651</v>
      </c>
      <c r="N21" s="308" t="str">
        <f>HYPERLINK("http://cred.columbia.edu/","http://cred.columbia.edu/")</f>
        <v>http://cred.columbia.edu/</v>
      </c>
      <c r="O21" s="304" t="s">
        <v>6652</v>
      </c>
      <c r="P21" s="304" t="s">
        <v>6653</v>
      </c>
      <c r="Q21" s="309" t="str">
        <f>HYPERLINK("https://twitter.com/ColumbiaCRED","@ColumbiaCRED ")</f>
        <v>@ColumbiaCRED </v>
      </c>
      <c r="R21" s="295"/>
      <c r="S21" s="295"/>
      <c r="T21" s="295"/>
      <c r="U21" s="295"/>
      <c r="V21" s="295"/>
      <c r="W21" s="295"/>
      <c r="X21" s="295"/>
      <c r="Y21" s="295"/>
      <c r="Z21" s="295"/>
    </row>
    <row r="22" ht="29.25" customHeight="1">
      <c r="A22" s="295"/>
      <c r="B22" s="304" t="s">
        <v>6654</v>
      </c>
      <c r="C22" s="304" t="s">
        <v>6599</v>
      </c>
      <c r="D22" s="304" t="s">
        <v>6600</v>
      </c>
      <c r="E22" s="304" t="s">
        <v>6558</v>
      </c>
      <c r="F22" s="304" t="s">
        <v>6655</v>
      </c>
      <c r="G22" s="304" t="s">
        <v>6656</v>
      </c>
      <c r="H22" s="304" t="s">
        <v>530</v>
      </c>
      <c r="I22" s="304" t="s">
        <v>6657</v>
      </c>
      <c r="J22" s="304" t="s">
        <v>6658</v>
      </c>
      <c r="K22" s="304" t="s">
        <v>6659</v>
      </c>
      <c r="L22" s="304" t="s">
        <v>1105</v>
      </c>
      <c r="M22" s="304"/>
      <c r="N22" s="304" t="s">
        <v>6660</v>
      </c>
      <c r="O22" s="306"/>
      <c r="P22" s="304" t="s">
        <v>530</v>
      </c>
      <c r="Q22" s="295"/>
      <c r="R22" s="295"/>
      <c r="S22" s="295"/>
      <c r="T22" s="295"/>
      <c r="U22" s="295"/>
      <c r="V22" s="295"/>
      <c r="W22" s="295"/>
      <c r="X22" s="295"/>
      <c r="Y22" s="295"/>
      <c r="Z22" s="295"/>
    </row>
    <row r="23" ht="29.25" customHeight="1">
      <c r="A23" s="295"/>
      <c r="B23" s="304" t="s">
        <v>6661</v>
      </c>
      <c r="C23" s="304" t="s">
        <v>6536</v>
      </c>
      <c r="D23" s="304" t="s">
        <v>6662</v>
      </c>
      <c r="E23" s="304" t="s">
        <v>6558</v>
      </c>
      <c r="F23" s="304" t="s">
        <v>6663</v>
      </c>
      <c r="G23" s="304" t="s">
        <v>6664</v>
      </c>
      <c r="H23" s="304" t="s">
        <v>6665</v>
      </c>
      <c r="I23" s="304" t="s">
        <v>6666</v>
      </c>
      <c r="J23" s="304" t="s">
        <v>6667</v>
      </c>
      <c r="K23" s="304" t="s">
        <v>6668</v>
      </c>
      <c r="L23" s="304" t="s">
        <v>6669</v>
      </c>
      <c r="M23" s="304" t="s">
        <v>6670</v>
      </c>
      <c r="N23" s="304" t="s">
        <v>6671</v>
      </c>
      <c r="O23" s="306"/>
      <c r="P23" s="304" t="s">
        <v>6672</v>
      </c>
      <c r="Q23" s="309" t="str">
        <f>HYPERLINK("https://twitter.com/CCCEP","@CCCEP")</f>
        <v>@CCCEP</v>
      </c>
      <c r="R23" s="295"/>
      <c r="S23" s="295"/>
      <c r="T23" s="295"/>
      <c r="U23" s="295"/>
      <c r="V23" s="295"/>
      <c r="W23" s="295"/>
      <c r="X23" s="295"/>
      <c r="Y23" s="295"/>
      <c r="Z23" s="295"/>
    </row>
    <row r="24" ht="29.25" customHeight="1">
      <c r="A24" s="295"/>
      <c r="B24" s="304" t="s">
        <v>6673</v>
      </c>
      <c r="C24" s="304" t="s">
        <v>6674</v>
      </c>
      <c r="D24" s="304" t="s">
        <v>6675</v>
      </c>
      <c r="E24" s="304" t="s">
        <v>6646</v>
      </c>
      <c r="F24" s="304" t="s">
        <v>6676</v>
      </c>
      <c r="G24" s="304" t="s">
        <v>6487</v>
      </c>
      <c r="H24" s="304" t="s">
        <v>6677</v>
      </c>
      <c r="I24" s="304" t="s">
        <v>6678</v>
      </c>
      <c r="J24" s="304" t="s">
        <v>6679</v>
      </c>
      <c r="K24" s="304" t="s">
        <v>6680</v>
      </c>
      <c r="L24" s="304" t="s">
        <v>6681</v>
      </c>
      <c r="M24" s="307"/>
      <c r="N24" s="308" t="str">
        <f>HYPERLINK("http://lubswww.leeds.ac.uk/cdr/introduction/","http://lubswww.leeds.ac.uk/cdr/introduction/")</f>
        <v>http://lubswww.leeds.ac.uk/cdr/introduction/</v>
      </c>
      <c r="O24" s="304" t="s">
        <v>6682</v>
      </c>
      <c r="P24" s="304" t="s">
        <v>530</v>
      </c>
      <c r="Q24" s="295"/>
      <c r="R24" s="295"/>
      <c r="S24" s="295"/>
      <c r="T24" s="295"/>
      <c r="U24" s="295"/>
      <c r="V24" s="295"/>
      <c r="W24" s="295"/>
      <c r="X24" s="295"/>
      <c r="Y24" s="295"/>
      <c r="Z24" s="295"/>
    </row>
    <row r="25" ht="29.25" customHeight="1">
      <c r="A25" s="295"/>
      <c r="B25" s="304" t="s">
        <v>6683</v>
      </c>
      <c r="C25" s="304" t="s">
        <v>6684</v>
      </c>
      <c r="D25" s="304" t="s">
        <v>5772</v>
      </c>
      <c r="E25" s="304" t="s">
        <v>6525</v>
      </c>
      <c r="F25" s="304" t="s">
        <v>6685</v>
      </c>
      <c r="G25" s="304" t="s">
        <v>6487</v>
      </c>
      <c r="H25" s="304" t="s">
        <v>769</v>
      </c>
      <c r="I25" s="304" t="s">
        <v>6686</v>
      </c>
      <c r="J25" s="304" t="s">
        <v>6687</v>
      </c>
      <c r="K25" s="304" t="s">
        <v>6688</v>
      </c>
      <c r="L25" s="304" t="s">
        <v>6689</v>
      </c>
      <c r="M25" s="307"/>
      <c r="N25" s="308" t="str">
        <f>HYPERLINK("http://changelabs.stanford.edu/","http://changelabs.stanford.edu/")</f>
        <v>http://changelabs.stanford.edu/</v>
      </c>
      <c r="O25" s="304" t="s">
        <v>6690</v>
      </c>
      <c r="P25" s="304" t="s">
        <v>6691</v>
      </c>
      <c r="Q25" s="295"/>
      <c r="R25" s="295"/>
      <c r="S25" s="295"/>
      <c r="T25" s="295"/>
      <c r="U25" s="295"/>
      <c r="V25" s="295"/>
      <c r="W25" s="295"/>
      <c r="X25" s="295"/>
      <c r="Y25" s="295"/>
      <c r="Z25" s="295"/>
    </row>
    <row r="26" ht="29.25" customHeight="1">
      <c r="A26" s="295"/>
      <c r="B26" s="304" t="s">
        <v>6692</v>
      </c>
      <c r="C26" s="304" t="s">
        <v>6693</v>
      </c>
      <c r="D26" s="304" t="s">
        <v>6694</v>
      </c>
      <c r="E26" s="304" t="s">
        <v>6525</v>
      </c>
      <c r="F26" s="304" t="s">
        <v>6695</v>
      </c>
      <c r="G26" s="304" t="s">
        <v>6487</v>
      </c>
      <c r="H26" s="304" t="s">
        <v>530</v>
      </c>
      <c r="I26" s="304" t="s">
        <v>1105</v>
      </c>
      <c r="J26" s="304" t="s">
        <v>6570</v>
      </c>
      <c r="K26" s="304" t="s">
        <v>6696</v>
      </c>
      <c r="L26" s="304" t="s">
        <v>1105</v>
      </c>
      <c r="M26" s="304" t="s">
        <v>6697</v>
      </c>
      <c r="N26" s="308" t="str">
        <f>HYPERLINK("http://blogg.nhh.no/thechoicelab/","http://blogg.nhh.no/thechoicelab/")</f>
        <v>http://blogg.nhh.no/thechoicelab/</v>
      </c>
      <c r="O26" s="304" t="s">
        <v>6701</v>
      </c>
      <c r="P26" s="304" t="s">
        <v>530</v>
      </c>
      <c r="Q26" s="309" t="str">
        <f>HYPERLINK("https://twitter.com/TheChoiceLab","@TheChoiceLab")</f>
        <v>@TheChoiceLab</v>
      </c>
      <c r="R26" s="295"/>
      <c r="S26" s="295"/>
      <c r="T26" s="295"/>
      <c r="U26" s="295"/>
      <c r="V26" s="295"/>
      <c r="W26" s="295"/>
      <c r="X26" s="295"/>
      <c r="Y26" s="295"/>
      <c r="Z26" s="295"/>
    </row>
    <row r="27" ht="29.25" customHeight="1">
      <c r="A27" s="295"/>
      <c r="B27" s="304" t="s">
        <v>6703</v>
      </c>
      <c r="C27" s="304" t="s">
        <v>6674</v>
      </c>
      <c r="D27" s="304" t="s">
        <v>6675</v>
      </c>
      <c r="E27" s="304" t="s">
        <v>6646</v>
      </c>
      <c r="F27" s="304" t="s">
        <v>6704</v>
      </c>
      <c r="G27" s="304" t="s">
        <v>6705</v>
      </c>
      <c r="H27" s="304" t="s">
        <v>6706</v>
      </c>
      <c r="I27" s="304" t="s">
        <v>6707</v>
      </c>
      <c r="J27" s="304" t="s">
        <v>6515</v>
      </c>
      <c r="K27" s="304" t="s">
        <v>6708</v>
      </c>
      <c r="L27" s="304" t="s">
        <v>1105</v>
      </c>
      <c r="M27" s="304"/>
      <c r="N27" s="304" t="s">
        <v>6709</v>
      </c>
      <c r="O27" s="306"/>
      <c r="P27" s="304" t="s">
        <v>530</v>
      </c>
      <c r="Q27" s="295"/>
      <c r="R27" s="295"/>
      <c r="S27" s="295"/>
      <c r="T27" s="295"/>
      <c r="U27" s="295"/>
      <c r="V27" s="295"/>
      <c r="W27" s="295"/>
      <c r="X27" s="295"/>
      <c r="Y27" s="295"/>
      <c r="Z27" s="295"/>
    </row>
    <row r="28" ht="29.25" customHeight="1">
      <c r="A28" s="295"/>
      <c r="B28" s="304" t="s">
        <v>1441</v>
      </c>
      <c r="C28" s="304"/>
      <c r="D28" s="304" t="s">
        <v>6710</v>
      </c>
      <c r="E28" s="304" t="s">
        <v>6485</v>
      </c>
      <c r="F28" s="304" t="s">
        <v>6711</v>
      </c>
      <c r="G28" s="304" t="s">
        <v>6487</v>
      </c>
      <c r="H28" s="304" t="s">
        <v>6618</v>
      </c>
      <c r="I28" s="304" t="s">
        <v>6712</v>
      </c>
      <c r="J28" s="304" t="s">
        <v>6713</v>
      </c>
      <c r="K28" s="304" t="s">
        <v>6716</v>
      </c>
      <c r="L28" s="304" t="s">
        <v>6718</v>
      </c>
      <c r="M28" s="304" t="s">
        <v>6719</v>
      </c>
      <c r="N28" s="304" t="s">
        <v>6720</v>
      </c>
      <c r="O28" s="304"/>
      <c r="P28" s="304" t="s">
        <v>6721</v>
      </c>
      <c r="Q28" s="309" t="str">
        <f>HYPERLINK("https://twitter.com/climateaccess","@climateaccess")</f>
        <v>@climateaccess</v>
      </c>
      <c r="R28" s="295"/>
      <c r="S28" s="295"/>
      <c r="T28" s="295"/>
      <c r="U28" s="295"/>
      <c r="V28" s="295"/>
      <c r="W28" s="295"/>
      <c r="X28" s="295"/>
      <c r="Y28" s="295"/>
      <c r="Z28" s="295"/>
    </row>
    <row r="29" ht="29.25" customHeight="1">
      <c r="A29" s="295"/>
      <c r="B29" s="304" t="s">
        <v>1787</v>
      </c>
      <c r="C29" s="304" t="s">
        <v>6723</v>
      </c>
      <c r="D29" s="304"/>
      <c r="E29" s="304" t="s">
        <v>6576</v>
      </c>
      <c r="F29" s="304" t="s">
        <v>6724</v>
      </c>
      <c r="G29" s="304" t="s">
        <v>6487</v>
      </c>
      <c r="H29" s="304" t="s">
        <v>6725</v>
      </c>
      <c r="I29" s="304" t="s">
        <v>6726</v>
      </c>
      <c r="J29" s="304" t="s">
        <v>6727</v>
      </c>
      <c r="K29" s="304" t="s">
        <v>6728</v>
      </c>
      <c r="L29" s="304" t="s">
        <v>6729</v>
      </c>
      <c r="M29" s="304" t="s">
        <v>6730</v>
      </c>
      <c r="N29" s="304" t="s">
        <v>6731</v>
      </c>
      <c r="O29" s="306" t="s">
        <v>6732</v>
      </c>
      <c r="P29" s="304" t="s">
        <v>6625</v>
      </c>
      <c r="Q29" s="295"/>
      <c r="R29" s="295"/>
      <c r="S29" s="295"/>
      <c r="T29" s="295"/>
      <c r="U29" s="295"/>
      <c r="V29" s="295"/>
      <c r="W29" s="295"/>
      <c r="X29" s="295"/>
      <c r="Y29" s="295"/>
      <c r="Z29" s="295"/>
    </row>
    <row r="30" ht="29.25" customHeight="1">
      <c r="A30" s="295"/>
      <c r="B30" s="304" t="s">
        <v>6733</v>
      </c>
      <c r="C30" s="304"/>
      <c r="D30" s="304" t="s">
        <v>1105</v>
      </c>
      <c r="E30" s="304" t="s">
        <v>6734</v>
      </c>
      <c r="F30" s="304" t="s">
        <v>6735</v>
      </c>
      <c r="G30" s="304" t="s">
        <v>6487</v>
      </c>
      <c r="H30" s="304" t="s">
        <v>769</v>
      </c>
      <c r="I30" s="304" t="s">
        <v>6736</v>
      </c>
      <c r="J30" s="304" t="s">
        <v>6737</v>
      </c>
      <c r="K30" s="304" t="s">
        <v>6738</v>
      </c>
      <c r="L30" s="304" t="s">
        <v>6739</v>
      </c>
      <c r="M30" s="307"/>
      <c r="N30" s="308" t="str">
        <f>HYPERLINK("http://valuesandframes.org/","http://valuesandframes.org/")</f>
        <v>http://valuesandframes.org/</v>
      </c>
      <c r="O30" s="306" t="s">
        <v>6740</v>
      </c>
      <c r="P30" s="304" t="s">
        <v>769</v>
      </c>
      <c r="Q30" s="295"/>
      <c r="R30" s="295"/>
      <c r="S30" s="295"/>
      <c r="T30" s="295"/>
      <c r="U30" s="295"/>
      <c r="V30" s="295"/>
      <c r="W30" s="295"/>
      <c r="X30" s="295"/>
      <c r="Y30" s="295"/>
      <c r="Z30" s="295"/>
    </row>
    <row r="31" ht="29.25" customHeight="1">
      <c r="A31" s="295"/>
      <c r="B31" s="304" t="s">
        <v>6741</v>
      </c>
      <c r="C31" s="304" t="s">
        <v>6742</v>
      </c>
      <c r="D31" s="304" t="s">
        <v>6743</v>
      </c>
      <c r="E31" s="304" t="s">
        <v>6525</v>
      </c>
      <c r="F31" s="304"/>
      <c r="G31" s="304"/>
      <c r="H31" s="304"/>
      <c r="I31" s="304"/>
      <c r="J31" s="304"/>
      <c r="K31" s="304"/>
      <c r="L31" s="304"/>
      <c r="M31" s="304" t="s">
        <v>6744</v>
      </c>
      <c r="N31" s="308" t="s">
        <v>6745</v>
      </c>
      <c r="O31" s="306"/>
      <c r="P31" s="304"/>
      <c r="Q31" s="295"/>
      <c r="R31" s="295"/>
      <c r="S31" s="295"/>
      <c r="T31" s="295"/>
      <c r="U31" s="295"/>
      <c r="V31" s="295"/>
      <c r="W31" s="295"/>
      <c r="X31" s="295"/>
      <c r="Y31" s="295"/>
      <c r="Z31" s="295"/>
    </row>
    <row r="32" ht="29.25" customHeight="1">
      <c r="A32" s="295"/>
      <c r="B32" s="304" t="s">
        <v>6746</v>
      </c>
      <c r="C32" s="304"/>
      <c r="D32" s="304"/>
      <c r="E32" s="304"/>
      <c r="F32" s="304" t="s">
        <v>6747</v>
      </c>
      <c r="G32" s="304" t="s">
        <v>6748</v>
      </c>
      <c r="H32" s="304"/>
      <c r="I32" s="304"/>
      <c r="J32" s="304"/>
      <c r="K32" s="304"/>
      <c r="L32" s="304"/>
      <c r="M32" s="304" t="s">
        <v>6749</v>
      </c>
      <c r="N32" s="304" t="s">
        <v>6750</v>
      </c>
      <c r="O32" s="306"/>
      <c r="P32" s="304" t="s">
        <v>530</v>
      </c>
      <c r="Q32" s="295"/>
      <c r="R32" s="295"/>
      <c r="S32" s="295"/>
      <c r="T32" s="295"/>
      <c r="U32" s="295"/>
      <c r="V32" s="295"/>
      <c r="W32" s="295"/>
      <c r="X32" s="295"/>
      <c r="Y32" s="295"/>
      <c r="Z32" s="295"/>
    </row>
    <row r="33" ht="29.25" customHeight="1">
      <c r="A33" s="295"/>
      <c r="B33" s="304" t="s">
        <v>6751</v>
      </c>
      <c r="C33" s="304" t="s">
        <v>6752</v>
      </c>
      <c r="D33" s="304" t="s">
        <v>1105</v>
      </c>
      <c r="E33" s="304" t="s">
        <v>6753</v>
      </c>
      <c r="F33" s="304" t="s">
        <v>6754</v>
      </c>
      <c r="G33" s="304" t="s">
        <v>6755</v>
      </c>
      <c r="H33" s="304" t="s">
        <v>769</v>
      </c>
      <c r="I33" s="304" t="s">
        <v>6756</v>
      </c>
      <c r="J33" s="304" t="s">
        <v>6570</v>
      </c>
      <c r="K33" s="304" t="s">
        <v>6528</v>
      </c>
      <c r="L33" s="304" t="s">
        <v>6757</v>
      </c>
      <c r="M33" s="304" t="s">
        <v>6758</v>
      </c>
      <c r="N33" s="308" t="str">
        <f>HYPERLINK("http://www.decisionresearch.org/research/environment/","http://www.decisionresearch.org/research/environment/")</f>
        <v>http://www.decisionresearch.org/research/environment/</v>
      </c>
      <c r="O33" s="304" t="s">
        <v>6759</v>
      </c>
      <c r="P33" s="304" t="s">
        <v>769</v>
      </c>
      <c r="Q33" s="295"/>
      <c r="R33" s="309"/>
      <c r="S33" s="295"/>
      <c r="T33" s="295"/>
      <c r="U33" s="295"/>
      <c r="V33" s="295"/>
      <c r="W33" s="295"/>
      <c r="X33" s="295"/>
      <c r="Y33" s="295"/>
      <c r="Z33" s="295"/>
    </row>
    <row r="34" ht="29.25" customHeight="1">
      <c r="A34" s="295"/>
      <c r="B34" s="304" t="s">
        <v>6760</v>
      </c>
      <c r="C34" s="304" t="s">
        <v>6761</v>
      </c>
      <c r="D34" s="304" t="s">
        <v>6762</v>
      </c>
      <c r="E34" s="304" t="s">
        <v>6558</v>
      </c>
      <c r="F34" s="304" t="s">
        <v>6763</v>
      </c>
      <c r="G34" s="304"/>
      <c r="H34" s="304" t="s">
        <v>6764</v>
      </c>
      <c r="I34" s="304" t="s">
        <v>6765</v>
      </c>
      <c r="J34" s="304" t="s">
        <v>6766</v>
      </c>
      <c r="K34" s="304" t="s">
        <v>6767</v>
      </c>
      <c r="L34" s="304" t="s">
        <v>6768</v>
      </c>
      <c r="M34" s="304"/>
      <c r="N34" s="308" t="str">
        <f>HYPERLINK("http://dcdc.asu.edu/","http://dcdc.asu.edu/")</f>
        <v>http://dcdc.asu.edu/</v>
      </c>
      <c r="O34" s="304" t="s">
        <v>6769</v>
      </c>
      <c r="P34" s="304" t="s">
        <v>6770</v>
      </c>
      <c r="Q34" s="295"/>
      <c r="R34" s="295"/>
      <c r="S34" s="295"/>
      <c r="T34" s="295"/>
      <c r="U34" s="295"/>
      <c r="V34" s="295"/>
      <c r="W34" s="295"/>
      <c r="X34" s="295"/>
      <c r="Y34" s="295"/>
      <c r="Z34" s="295"/>
    </row>
    <row r="35" ht="29.25" customHeight="1">
      <c r="A35" s="295"/>
      <c r="B35" s="304" t="s">
        <v>6771</v>
      </c>
      <c r="C35" s="304" t="s">
        <v>6684</v>
      </c>
      <c r="D35" s="304" t="s">
        <v>5772</v>
      </c>
      <c r="E35" s="304" t="s">
        <v>6558</v>
      </c>
      <c r="F35" s="304" t="s">
        <v>6772</v>
      </c>
      <c r="G35" s="304" t="s">
        <v>6487</v>
      </c>
      <c r="H35" s="304" t="s">
        <v>530</v>
      </c>
      <c r="I35" s="304"/>
      <c r="J35" s="304" t="s">
        <v>6570</v>
      </c>
      <c r="K35" s="304" t="s">
        <v>6528</v>
      </c>
      <c r="L35" s="304"/>
      <c r="M35" s="304"/>
      <c r="N35" s="304" t="s">
        <v>6773</v>
      </c>
      <c r="O35" s="306"/>
      <c r="P35" s="304" t="s">
        <v>530</v>
      </c>
      <c r="Q35" s="295"/>
      <c r="R35" s="295"/>
      <c r="S35" s="295"/>
      <c r="T35" s="295"/>
      <c r="U35" s="295"/>
      <c r="V35" s="295"/>
      <c r="W35" s="295"/>
      <c r="X35" s="295"/>
      <c r="Y35" s="295"/>
      <c r="Z35" s="295"/>
    </row>
    <row r="36" ht="29.25" customHeight="1">
      <c r="A36" s="295"/>
      <c r="B36" s="304" t="s">
        <v>6774</v>
      </c>
      <c r="C36" s="304"/>
      <c r="D36" s="304"/>
      <c r="E36" s="304" t="s">
        <v>6485</v>
      </c>
      <c r="F36" s="304" t="s">
        <v>6775</v>
      </c>
      <c r="G36" s="304" t="s">
        <v>6487</v>
      </c>
      <c r="H36" s="304" t="s">
        <v>530</v>
      </c>
      <c r="I36" s="304"/>
      <c r="J36" s="304" t="s">
        <v>6776</v>
      </c>
      <c r="K36" s="304" t="s">
        <v>6777</v>
      </c>
      <c r="L36" s="304" t="s">
        <v>6778</v>
      </c>
      <c r="M36" s="304" t="s">
        <v>6779</v>
      </c>
      <c r="N36" s="304" t="s">
        <v>6780</v>
      </c>
      <c r="O36" s="306"/>
      <c r="P36" s="304" t="s">
        <v>530</v>
      </c>
      <c r="Q36" s="295"/>
      <c r="R36" s="295"/>
      <c r="S36" s="295"/>
      <c r="T36" s="295"/>
      <c r="U36" s="295"/>
      <c r="V36" s="295"/>
      <c r="W36" s="295"/>
      <c r="X36" s="295"/>
      <c r="Y36" s="295"/>
      <c r="Z36" s="295"/>
    </row>
    <row r="37" ht="29.25" customHeight="1">
      <c r="A37" s="295"/>
      <c r="B37" s="304" t="s">
        <v>6781</v>
      </c>
      <c r="C37" s="304" t="s">
        <v>6523</v>
      </c>
      <c r="D37" s="304" t="s">
        <v>6524</v>
      </c>
      <c r="E37" s="304" t="s">
        <v>6558</v>
      </c>
      <c r="F37" s="304"/>
      <c r="G37" s="304" t="s">
        <v>6487</v>
      </c>
      <c r="H37" s="304" t="s">
        <v>530</v>
      </c>
      <c r="I37" s="304" t="s">
        <v>6782</v>
      </c>
      <c r="J37" s="304" t="s">
        <v>6570</v>
      </c>
      <c r="K37" s="304" t="s">
        <v>6680</v>
      </c>
      <c r="L37" s="304"/>
      <c r="M37" s="304"/>
      <c r="N37" s="308" t="str">
        <f>HYPERLINK("http://fox-lab.org/","http://fox-lab.org/")</f>
        <v>http://fox-lab.org/</v>
      </c>
      <c r="O37" s="306"/>
      <c r="P37" s="304" t="s">
        <v>530</v>
      </c>
      <c r="Q37" s="310" t="str">
        <f>HYPERLINK("https://twitter.com/FoxLabUCLA","@FoxLabUCLA")</f>
        <v>@FoxLabUCLA</v>
      </c>
      <c r="R37" s="295"/>
      <c r="S37" s="295"/>
      <c r="T37" s="295"/>
      <c r="U37" s="295"/>
      <c r="V37" s="295"/>
      <c r="W37" s="295"/>
      <c r="X37" s="295"/>
      <c r="Y37" s="295"/>
      <c r="Z37" s="295"/>
    </row>
    <row r="38" ht="29.25" customHeight="1">
      <c r="A38" s="295"/>
      <c r="B38" s="304" t="s">
        <v>6783</v>
      </c>
      <c r="C38" s="304" t="s">
        <v>6784</v>
      </c>
      <c r="D38" s="304" t="s">
        <v>6785</v>
      </c>
      <c r="E38" s="304" t="s">
        <v>6485</v>
      </c>
      <c r="F38" s="304" t="s">
        <v>6786</v>
      </c>
      <c r="G38" s="304" t="s">
        <v>6487</v>
      </c>
      <c r="H38" s="304" t="s">
        <v>769</v>
      </c>
      <c r="I38" s="304" t="s">
        <v>6787</v>
      </c>
      <c r="J38" s="304"/>
      <c r="K38" s="304" t="s">
        <v>6788</v>
      </c>
      <c r="L38" s="304"/>
      <c r="M38" s="304" t="s">
        <v>6789</v>
      </c>
      <c r="N38" s="304" t="s">
        <v>6790</v>
      </c>
      <c r="O38" s="304"/>
      <c r="P38" s="304" t="s">
        <v>769</v>
      </c>
      <c r="Q38" s="309" t="str">
        <f>HYPERLINK("https://twitter.com/GreeNudge","@GreeNudge")</f>
        <v>@GreeNudge</v>
      </c>
      <c r="R38" s="295"/>
      <c r="S38" s="295"/>
      <c r="T38" s="295"/>
      <c r="U38" s="295"/>
      <c r="V38" s="295"/>
      <c r="W38" s="295"/>
      <c r="X38" s="295"/>
      <c r="Y38" s="295"/>
      <c r="Z38" s="295"/>
    </row>
    <row r="39" ht="29.25" customHeight="1">
      <c r="A39" s="295"/>
      <c r="B39" s="304" t="s">
        <v>6791</v>
      </c>
      <c r="C39" s="304" t="s">
        <v>6644</v>
      </c>
      <c r="D39" s="304" t="s">
        <v>1105</v>
      </c>
      <c r="E39" s="304" t="s">
        <v>6792</v>
      </c>
      <c r="F39" s="304" t="s">
        <v>6793</v>
      </c>
      <c r="G39" s="304" t="s">
        <v>6487</v>
      </c>
      <c r="H39" s="304" t="s">
        <v>530</v>
      </c>
      <c r="I39" s="304" t="s">
        <v>6794</v>
      </c>
      <c r="J39" s="304" t="s">
        <v>6727</v>
      </c>
      <c r="K39" s="304" t="s">
        <v>6795</v>
      </c>
      <c r="L39" s="304" t="s">
        <v>6796</v>
      </c>
      <c r="M39" s="304" t="s">
        <v>6797</v>
      </c>
      <c r="N39" s="308" t="s">
        <v>6798</v>
      </c>
      <c r="O39" s="304"/>
      <c r="P39" s="304" t="s">
        <v>530</v>
      </c>
      <c r="Q39" s="309" t="str">
        <f>HYPERLINK("https://twitter.com/HInstitute","@HInstitute")</f>
        <v>@HInstitute</v>
      </c>
      <c r="R39" s="295"/>
      <c r="S39" s="295"/>
      <c r="T39" s="295"/>
      <c r="U39" s="295"/>
      <c r="V39" s="295"/>
      <c r="W39" s="295"/>
      <c r="X39" s="295"/>
      <c r="Y39" s="295"/>
      <c r="Z39" s="295"/>
    </row>
    <row r="40" ht="29.25" customHeight="1">
      <c r="A40" s="295"/>
      <c r="B40" s="304" t="s">
        <v>6799</v>
      </c>
      <c r="C40" s="304" t="s">
        <v>6800</v>
      </c>
      <c r="D40" s="304" t="s">
        <v>6801</v>
      </c>
      <c r="E40" s="304" t="s">
        <v>6558</v>
      </c>
      <c r="F40" s="304" t="s">
        <v>6802</v>
      </c>
      <c r="G40" s="304" t="s">
        <v>6487</v>
      </c>
      <c r="H40" s="304" t="s">
        <v>530</v>
      </c>
      <c r="I40" s="304" t="s">
        <v>6803</v>
      </c>
      <c r="J40" s="304" t="s">
        <v>6570</v>
      </c>
      <c r="K40" s="304" t="s">
        <v>6804</v>
      </c>
      <c r="L40" s="304" t="s">
        <v>6805</v>
      </c>
      <c r="M40" s="304"/>
      <c r="N40" s="304" t="s">
        <v>6806</v>
      </c>
      <c r="O40" s="304" t="s">
        <v>6807</v>
      </c>
      <c r="P40" s="304" t="s">
        <v>530</v>
      </c>
      <c r="Q40" s="309" t="str">
        <f>HYPERLINK("https://twitter.com/harvard_dsl","@harvard_dsl")</f>
        <v>@harvard_dsl</v>
      </c>
      <c r="R40" s="295"/>
      <c r="S40" s="295"/>
      <c r="T40" s="295"/>
      <c r="U40" s="295"/>
      <c r="V40" s="295"/>
      <c r="W40" s="295"/>
      <c r="X40" s="295"/>
      <c r="Y40" s="295"/>
      <c r="Z40" s="295"/>
    </row>
    <row r="41" ht="29.25" customHeight="1">
      <c r="A41" s="295"/>
      <c r="B41" s="304" t="s">
        <v>6808</v>
      </c>
      <c r="C41" s="304" t="s">
        <v>6644</v>
      </c>
      <c r="D41" s="304" t="s">
        <v>1105</v>
      </c>
      <c r="E41" s="304" t="s">
        <v>6485</v>
      </c>
      <c r="F41" s="304" t="s">
        <v>6809</v>
      </c>
      <c r="G41" s="304" t="s">
        <v>6487</v>
      </c>
      <c r="H41" s="304" t="s">
        <v>530</v>
      </c>
      <c r="I41" s="304" t="s">
        <v>6810</v>
      </c>
      <c r="J41" s="304" t="s">
        <v>6811</v>
      </c>
      <c r="K41" s="304" t="s">
        <v>6812</v>
      </c>
      <c r="L41" s="304"/>
      <c r="M41" s="304"/>
      <c r="N41" s="304" t="s">
        <v>6813</v>
      </c>
      <c r="O41" s="304"/>
      <c r="P41" s="304" t="s">
        <v>6814</v>
      </c>
      <c r="Q41" s="309" t="str">
        <f>HYPERLINK("https://twitter.com/ideas42","@ideas42")</f>
        <v>@ideas42</v>
      </c>
      <c r="R41" s="295"/>
      <c r="S41" s="295"/>
      <c r="T41" s="295"/>
      <c r="U41" s="295"/>
      <c r="V41" s="295"/>
      <c r="W41" s="295"/>
      <c r="X41" s="295"/>
      <c r="Y41" s="295"/>
      <c r="Z41" s="295"/>
    </row>
    <row r="42" ht="29.25" customHeight="1">
      <c r="A42" s="295"/>
      <c r="B42" s="295" t="s">
        <v>6815</v>
      </c>
      <c r="C42" s="295" t="s">
        <v>6761</v>
      </c>
      <c r="D42" s="295"/>
      <c r="E42" s="295"/>
      <c r="F42" s="295" t="s">
        <v>6816</v>
      </c>
      <c r="G42" s="295" t="s">
        <v>6487</v>
      </c>
      <c r="H42" s="295" t="s">
        <v>530</v>
      </c>
      <c r="I42" s="295"/>
      <c r="J42" s="295" t="s">
        <v>6594</v>
      </c>
      <c r="K42" s="295" t="s">
        <v>6817</v>
      </c>
      <c r="L42" s="295" t="s">
        <v>6818</v>
      </c>
      <c r="M42" s="295" t="s">
        <v>6819</v>
      </c>
      <c r="N42" s="295"/>
      <c r="O42" s="297"/>
      <c r="P42" s="295" t="s">
        <v>530</v>
      </c>
      <c r="Q42" s="295"/>
      <c r="R42" s="295"/>
      <c r="S42" s="295"/>
      <c r="T42" s="295"/>
      <c r="U42" s="295"/>
      <c r="V42" s="295"/>
      <c r="W42" s="295"/>
      <c r="X42" s="295"/>
      <c r="Y42" s="295"/>
      <c r="Z42" s="295"/>
    </row>
    <row r="43" ht="29.25" customHeight="1">
      <c r="A43" s="295"/>
      <c r="B43" s="304" t="s">
        <v>6820</v>
      </c>
      <c r="C43" s="304" t="s">
        <v>6821</v>
      </c>
      <c r="D43" s="304" t="s">
        <v>6822</v>
      </c>
      <c r="E43" s="304" t="s">
        <v>6558</v>
      </c>
      <c r="F43" s="304"/>
      <c r="G43" s="304" t="s">
        <v>6487</v>
      </c>
      <c r="H43" s="304" t="s">
        <v>6823</v>
      </c>
      <c r="I43" s="304" t="s">
        <v>6824</v>
      </c>
      <c r="J43" s="304" t="s">
        <v>6570</v>
      </c>
      <c r="K43" s="304" t="s">
        <v>6825</v>
      </c>
      <c r="L43" s="304" t="s">
        <v>6826</v>
      </c>
      <c r="M43" s="304"/>
      <c r="N43" s="308" t="str">
        <f>HYPERLINK("http://www.ied.ethz.ch/","http://www.ied.ethz.ch/")</f>
        <v>http://www.ied.ethz.ch/</v>
      </c>
      <c r="O43" s="304"/>
      <c r="P43" s="304" t="s">
        <v>6827</v>
      </c>
      <c r="Q43" s="295"/>
      <c r="R43" s="295"/>
      <c r="S43" s="295"/>
      <c r="T43" s="295"/>
      <c r="U43" s="295"/>
      <c r="V43" s="295"/>
      <c r="W43" s="295"/>
      <c r="X43" s="295"/>
      <c r="Y43" s="295"/>
      <c r="Z43" s="295"/>
    </row>
    <row r="44" ht="29.25" customHeight="1">
      <c r="A44" s="295"/>
      <c r="B44" s="304" t="s">
        <v>6828</v>
      </c>
      <c r="C44" s="304" t="s">
        <v>6829</v>
      </c>
      <c r="D44" s="304"/>
      <c r="E44" s="304" t="s">
        <v>6830</v>
      </c>
      <c r="F44" s="304" t="s">
        <v>6831</v>
      </c>
      <c r="G44" s="304" t="s">
        <v>6487</v>
      </c>
      <c r="H44" s="304" t="s">
        <v>530</v>
      </c>
      <c r="I44" s="304" t="s">
        <v>6832</v>
      </c>
      <c r="J44" s="304" t="s">
        <v>6833</v>
      </c>
      <c r="K44" s="304" t="s">
        <v>6834</v>
      </c>
      <c r="L44" s="304"/>
      <c r="M44" s="304" t="s">
        <v>6835</v>
      </c>
      <c r="N44" s="304" t="s">
        <v>6836</v>
      </c>
      <c r="O44" s="306"/>
      <c r="P44" s="304" t="s">
        <v>530</v>
      </c>
      <c r="Q44" s="295"/>
      <c r="R44" s="295"/>
      <c r="S44" s="295"/>
      <c r="T44" s="295"/>
      <c r="U44" s="295"/>
      <c r="V44" s="295"/>
      <c r="W44" s="295"/>
      <c r="X44" s="295"/>
      <c r="Y44" s="295"/>
      <c r="Z44" s="295"/>
    </row>
    <row r="45" ht="29.25" customHeight="1">
      <c r="A45" s="295"/>
      <c r="B45" s="295" t="s">
        <v>6837</v>
      </c>
      <c r="C45" s="295"/>
      <c r="D45" s="295" t="s">
        <v>1105</v>
      </c>
      <c r="E45" s="295" t="s">
        <v>6576</v>
      </c>
      <c r="F45" s="295" t="s">
        <v>6838</v>
      </c>
      <c r="G45" s="295" t="s">
        <v>6487</v>
      </c>
      <c r="H45" s="295" t="s">
        <v>530</v>
      </c>
      <c r="I45" s="295" t="s">
        <v>6839</v>
      </c>
      <c r="J45" s="295" t="s">
        <v>6594</v>
      </c>
      <c r="K45" s="295" t="s">
        <v>6840</v>
      </c>
      <c r="L45" s="295" t="s">
        <v>6841</v>
      </c>
      <c r="M45" s="304" t="s">
        <v>6842</v>
      </c>
      <c r="N45" s="295" t="s">
        <v>6843</v>
      </c>
      <c r="O45" s="297"/>
      <c r="P45" s="295" t="s">
        <v>6845</v>
      </c>
      <c r="Q45" s="309" t="str">
        <f>HYPERLINK("https://twitter.com/IrrationalLabs","@IrrationalLabs")</f>
        <v>@IrrationalLabs</v>
      </c>
      <c r="R45" s="295"/>
      <c r="S45" s="295"/>
      <c r="T45" s="295"/>
      <c r="U45" s="295"/>
      <c r="V45" s="295"/>
      <c r="W45" s="295"/>
      <c r="X45" s="295"/>
      <c r="Y45" s="295"/>
      <c r="Z45" s="295"/>
    </row>
    <row r="46" ht="29.25" customHeight="1">
      <c r="A46" s="295"/>
      <c r="B46" s="304" t="s">
        <v>6846</v>
      </c>
      <c r="C46" s="304" t="s">
        <v>6800</v>
      </c>
      <c r="D46" s="304" t="s">
        <v>6847</v>
      </c>
      <c r="E46" s="304" t="s">
        <v>6646</v>
      </c>
      <c r="F46" s="304" t="s">
        <v>6848</v>
      </c>
      <c r="G46" s="304" t="s">
        <v>6849</v>
      </c>
      <c r="H46" s="304" t="s">
        <v>6850</v>
      </c>
      <c r="I46" s="304" t="s">
        <v>6851</v>
      </c>
      <c r="J46" s="304" t="s">
        <v>6852</v>
      </c>
      <c r="K46" s="304" t="s">
        <v>6853</v>
      </c>
      <c r="L46" s="304" t="s">
        <v>6854</v>
      </c>
      <c r="M46" s="304"/>
      <c r="N46" s="304" t="s">
        <v>6855</v>
      </c>
      <c r="O46" s="306" t="s">
        <v>6856</v>
      </c>
      <c r="P46" s="304" t="s">
        <v>530</v>
      </c>
      <c r="Q46" s="295"/>
      <c r="R46" s="295"/>
      <c r="S46" s="295"/>
      <c r="T46" s="295"/>
      <c r="U46" s="295"/>
      <c r="V46" s="295"/>
      <c r="W46" s="295"/>
      <c r="X46" s="295"/>
      <c r="Y46" s="295"/>
      <c r="Z46" s="295"/>
    </row>
    <row r="47" ht="29.25" customHeight="1">
      <c r="A47" s="295"/>
      <c r="B47" s="304" t="s">
        <v>6857</v>
      </c>
      <c r="C47" s="304" t="s">
        <v>6501</v>
      </c>
      <c r="D47" s="304"/>
      <c r="E47" s="304"/>
      <c r="F47" s="304" t="s">
        <v>6858</v>
      </c>
      <c r="G47" s="304" t="s">
        <v>6487</v>
      </c>
      <c r="H47" s="304" t="s">
        <v>6859</v>
      </c>
      <c r="I47" s="304"/>
      <c r="J47" s="304" t="s">
        <v>6860</v>
      </c>
      <c r="K47" s="304" t="s">
        <v>6861</v>
      </c>
      <c r="L47" s="304"/>
      <c r="M47" s="304"/>
      <c r="N47" s="304" t="s">
        <v>6862</v>
      </c>
      <c r="O47" s="306"/>
      <c r="P47" s="304" t="s">
        <v>530</v>
      </c>
      <c r="Q47" s="295"/>
      <c r="R47" s="295"/>
      <c r="S47" s="295"/>
      <c r="T47" s="295"/>
      <c r="U47" s="295"/>
      <c r="V47" s="295"/>
      <c r="W47" s="295"/>
      <c r="X47" s="295"/>
      <c r="Y47" s="295"/>
      <c r="Z47" s="295"/>
    </row>
    <row r="48" ht="29.25" customHeight="1">
      <c r="A48" s="295"/>
      <c r="B48" s="304" t="s">
        <v>1363</v>
      </c>
      <c r="C48" s="304" t="s">
        <v>6829</v>
      </c>
      <c r="D48" s="304" t="s">
        <v>1105</v>
      </c>
      <c r="E48" s="304" t="s">
        <v>6863</v>
      </c>
      <c r="F48" s="304" t="s">
        <v>6864</v>
      </c>
      <c r="G48" s="304" t="s">
        <v>6487</v>
      </c>
      <c r="H48" s="304" t="s">
        <v>6488</v>
      </c>
      <c r="I48" s="304" t="s">
        <v>6865</v>
      </c>
      <c r="J48" s="304" t="s">
        <v>6866</v>
      </c>
      <c r="K48" s="304" t="s">
        <v>6867</v>
      </c>
      <c r="L48" s="304" t="s">
        <v>6868</v>
      </c>
      <c r="M48" s="304"/>
      <c r="N48" s="304" t="s">
        <v>6869</v>
      </c>
      <c r="O48" s="306"/>
      <c r="P48" s="304" t="s">
        <v>6870</v>
      </c>
      <c r="Q48" s="309" t="str">
        <f>HYPERLINK("https://twitter.com/Opower","@Opower")</f>
        <v>@Opower</v>
      </c>
      <c r="R48" s="295"/>
      <c r="S48" s="295"/>
      <c r="T48" s="295"/>
      <c r="U48" s="295"/>
      <c r="V48" s="295"/>
      <c r="W48" s="295"/>
      <c r="X48" s="295"/>
      <c r="Y48" s="295"/>
      <c r="Z48" s="295"/>
    </row>
    <row r="49" ht="29.25" customHeight="1">
      <c r="A49" s="295"/>
      <c r="B49" s="304" t="s">
        <v>6871</v>
      </c>
      <c r="C49" s="304" t="s">
        <v>6872</v>
      </c>
      <c r="D49" s="304" t="s">
        <v>1255</v>
      </c>
      <c r="E49" s="304" t="s">
        <v>6753</v>
      </c>
      <c r="F49" s="304" t="s">
        <v>6873</v>
      </c>
      <c r="G49" s="304" t="s">
        <v>2081</v>
      </c>
      <c r="H49" s="304" t="s">
        <v>6874</v>
      </c>
      <c r="I49" s="304" t="s">
        <v>6875</v>
      </c>
      <c r="J49" s="304" t="s">
        <v>6727</v>
      </c>
      <c r="K49" s="304" t="s">
        <v>6876</v>
      </c>
      <c r="L49" s="304" t="s">
        <v>6877</v>
      </c>
      <c r="M49" s="304" t="s">
        <v>6878</v>
      </c>
      <c r="N49" s="308" t="str">
        <f>HYPERLINK("http://www.resource-media.org/","http://www.resource-media.org/")</f>
        <v>http://www.resource-media.org/</v>
      </c>
      <c r="O49" s="304" t="s">
        <v>6879</v>
      </c>
      <c r="P49" s="304" t="s">
        <v>6880</v>
      </c>
      <c r="Q49" s="309" t="str">
        <f>HYPERLINK("https://twitter.com/RMedia","@RMedia")</f>
        <v>@RMedia</v>
      </c>
      <c r="R49" s="295"/>
      <c r="S49" s="295"/>
      <c r="T49" s="295"/>
      <c r="U49" s="295"/>
      <c r="V49" s="295"/>
      <c r="W49" s="295"/>
      <c r="X49" s="295"/>
      <c r="Y49" s="295"/>
      <c r="Z49" s="295"/>
    </row>
    <row r="50" ht="29.25" customHeight="1">
      <c r="A50" s="295"/>
      <c r="B50" s="304" t="s">
        <v>6881</v>
      </c>
      <c r="C50" s="304"/>
      <c r="D50" s="304" t="s">
        <v>1105</v>
      </c>
      <c r="E50" s="304" t="s">
        <v>6558</v>
      </c>
      <c r="F50" s="304" t="s">
        <v>6883</v>
      </c>
      <c r="G50" s="304" t="s">
        <v>6487</v>
      </c>
      <c r="H50" s="304" t="s">
        <v>530</v>
      </c>
      <c r="I50" s="304"/>
      <c r="J50" s="304" t="s">
        <v>6884</v>
      </c>
      <c r="K50" s="304" t="s">
        <v>6885</v>
      </c>
      <c r="L50" s="304" t="s">
        <v>6886</v>
      </c>
      <c r="M50" s="304" t="s">
        <v>6887</v>
      </c>
      <c r="N50" s="304" t="s">
        <v>6888</v>
      </c>
      <c r="O50" s="304"/>
      <c r="P50" s="304" t="s">
        <v>530</v>
      </c>
      <c r="Q50" s="295"/>
      <c r="R50" s="295"/>
      <c r="S50" s="295"/>
      <c r="T50" s="295"/>
      <c r="U50" s="295"/>
      <c r="V50" s="295"/>
      <c r="W50" s="295"/>
      <c r="X50" s="295"/>
      <c r="Y50" s="295"/>
      <c r="Z50" s="295"/>
    </row>
    <row r="51" ht="29.25" customHeight="1">
      <c r="A51" s="295"/>
      <c r="B51" s="304" t="s">
        <v>6889</v>
      </c>
      <c r="C51" s="304" t="s">
        <v>6644</v>
      </c>
      <c r="D51" s="304" t="s">
        <v>6890</v>
      </c>
      <c r="E51" s="304" t="s">
        <v>6485</v>
      </c>
      <c r="F51" s="304" t="s">
        <v>6891</v>
      </c>
      <c r="G51" s="304" t="s">
        <v>6487</v>
      </c>
      <c r="H51" s="304" t="s">
        <v>6488</v>
      </c>
      <c r="I51" s="304" t="s">
        <v>6892</v>
      </c>
      <c r="J51" s="304" t="s">
        <v>6893</v>
      </c>
      <c r="K51" s="304" t="s">
        <v>6894</v>
      </c>
      <c r="L51" s="304"/>
      <c r="M51" s="304" t="s">
        <v>6895</v>
      </c>
      <c r="N51" s="304" t="s">
        <v>6896</v>
      </c>
      <c r="O51" s="306"/>
      <c r="P51" s="304" t="s">
        <v>6897</v>
      </c>
      <c r="Q51" s="295"/>
      <c r="R51" s="295"/>
      <c r="S51" s="295"/>
      <c r="T51" s="295"/>
      <c r="U51" s="295"/>
      <c r="V51" s="295"/>
      <c r="W51" s="295"/>
      <c r="X51" s="295"/>
      <c r="Y51" s="295"/>
      <c r="Z51" s="295"/>
    </row>
    <row r="52" ht="29.25" customHeight="1">
      <c r="A52" s="295"/>
      <c r="B52" s="304" t="s">
        <v>2724</v>
      </c>
      <c r="C52" s="304" t="s">
        <v>1105</v>
      </c>
      <c r="D52" s="304" t="s">
        <v>1105</v>
      </c>
      <c r="E52" s="304" t="s">
        <v>6792</v>
      </c>
      <c r="F52" s="304" t="s">
        <v>6899</v>
      </c>
      <c r="G52" s="304" t="s">
        <v>6900</v>
      </c>
      <c r="H52" s="304" t="s">
        <v>6901</v>
      </c>
      <c r="I52" s="304" t="s">
        <v>6902</v>
      </c>
      <c r="J52" s="304" t="s">
        <v>6903</v>
      </c>
      <c r="K52" s="304" t="s">
        <v>6904</v>
      </c>
      <c r="L52" s="304" t="s">
        <v>6905</v>
      </c>
      <c r="M52" s="304" t="s">
        <v>6906</v>
      </c>
      <c r="N52" s="304" t="s">
        <v>6907</v>
      </c>
      <c r="O52" s="306" t="s">
        <v>6908</v>
      </c>
      <c r="P52" s="304" t="s">
        <v>6625</v>
      </c>
      <c r="Q52" s="309" t="str">
        <f>HYPERLINK("https://twitter.com/talkingclimates","@talkingclimates")</f>
        <v>@talkingclimates</v>
      </c>
      <c r="R52" s="295"/>
      <c r="S52" s="295"/>
      <c r="T52" s="295"/>
      <c r="U52" s="295"/>
      <c r="V52" s="295"/>
      <c r="W52" s="295"/>
      <c r="X52" s="295"/>
      <c r="Y52" s="295"/>
      <c r="Z52" s="295"/>
    </row>
    <row r="53" ht="29.25" customHeight="1">
      <c r="A53" s="295"/>
      <c r="B53" s="304" t="s">
        <v>6909</v>
      </c>
      <c r="C53" s="304" t="s">
        <v>6910</v>
      </c>
      <c r="D53" s="304" t="s">
        <v>6911</v>
      </c>
      <c r="E53" s="304" t="s">
        <v>6912</v>
      </c>
      <c r="F53" s="304" t="s">
        <v>6913</v>
      </c>
      <c r="G53" s="304" t="s">
        <v>6487</v>
      </c>
      <c r="H53" s="304" t="s">
        <v>6914</v>
      </c>
      <c r="I53" s="304"/>
      <c r="J53" s="304" t="s">
        <v>6506</v>
      </c>
      <c r="K53" s="304" t="s">
        <v>6602</v>
      </c>
      <c r="L53" s="304"/>
      <c r="M53" s="304"/>
      <c r="N53" s="304" t="s">
        <v>6915</v>
      </c>
      <c r="O53" s="304"/>
      <c r="P53" s="304" t="s">
        <v>530</v>
      </c>
      <c r="Q53" s="309" t="str">
        <f>HYPERLINK("https://twitter.com/ConservationDec","@ConservationDec")</f>
        <v>@ConservationDec</v>
      </c>
      <c r="R53" s="295"/>
      <c r="S53" s="295"/>
      <c r="T53" s="295"/>
      <c r="U53" s="295"/>
      <c r="V53" s="295"/>
      <c r="W53" s="295"/>
      <c r="X53" s="295"/>
      <c r="Y53" s="295"/>
      <c r="Z53" s="295"/>
    </row>
    <row r="54" ht="29.25" customHeight="1">
      <c r="A54" s="295"/>
      <c r="B54" s="304" t="s">
        <v>6916</v>
      </c>
      <c r="C54" s="304"/>
      <c r="D54" s="304" t="s">
        <v>6917</v>
      </c>
      <c r="E54" s="304" t="s">
        <v>6558</v>
      </c>
      <c r="F54" s="304" t="s">
        <v>6918</v>
      </c>
      <c r="G54" s="304" t="s">
        <v>6919</v>
      </c>
      <c r="H54" s="304" t="s">
        <v>6920</v>
      </c>
      <c r="I54" s="304" t="s">
        <v>6921</v>
      </c>
      <c r="J54" s="304" t="s">
        <v>6608</v>
      </c>
      <c r="K54" s="304" t="s">
        <v>6922</v>
      </c>
      <c r="L54" s="304"/>
      <c r="M54" s="304"/>
      <c r="N54" s="304" t="s">
        <v>6923</v>
      </c>
      <c r="O54" s="306"/>
      <c r="P54" s="304" t="s">
        <v>530</v>
      </c>
      <c r="Q54" s="295"/>
      <c r="R54" s="295"/>
      <c r="S54" s="295"/>
      <c r="T54" s="295"/>
      <c r="U54" s="295"/>
      <c r="V54" s="295"/>
      <c r="W54" s="295"/>
      <c r="X54" s="295"/>
      <c r="Y54" s="295"/>
      <c r="Z54" s="295"/>
    </row>
    <row r="55" ht="29.25" customHeight="1">
      <c r="A55" s="295"/>
      <c r="B55" s="304" t="s">
        <v>6924</v>
      </c>
      <c r="C55" s="304"/>
      <c r="D55" s="304" t="s">
        <v>6925</v>
      </c>
      <c r="E55" s="304" t="s">
        <v>6926</v>
      </c>
      <c r="F55" s="304" t="s">
        <v>6927</v>
      </c>
      <c r="G55" s="304" t="s">
        <v>6487</v>
      </c>
      <c r="H55" s="304" t="s">
        <v>530</v>
      </c>
      <c r="I55" s="304" t="s">
        <v>6928</v>
      </c>
      <c r="J55" s="304" t="s">
        <v>6852</v>
      </c>
      <c r="K55" s="304" t="s">
        <v>6929</v>
      </c>
      <c r="L55" s="304"/>
      <c r="M55" s="304"/>
      <c r="N55" s="304" t="s">
        <v>6930</v>
      </c>
      <c r="O55" s="304"/>
      <c r="P55" s="304" t="s">
        <v>530</v>
      </c>
      <c r="Q55" s="295"/>
      <c r="R55" s="295"/>
      <c r="S55" s="295"/>
      <c r="T55" s="295"/>
      <c r="U55" s="295"/>
      <c r="V55" s="295"/>
      <c r="W55" s="295"/>
      <c r="X55" s="295"/>
      <c r="Y55" s="295"/>
      <c r="Z55" s="295"/>
    </row>
    <row r="56" ht="29.25" customHeight="1">
      <c r="A56" s="295"/>
      <c r="B56" s="304" t="s">
        <v>6931</v>
      </c>
      <c r="C56" s="304" t="s">
        <v>6932</v>
      </c>
      <c r="D56" s="304" t="s">
        <v>1105</v>
      </c>
      <c r="E56" s="304" t="s">
        <v>6792</v>
      </c>
      <c r="F56" s="304" t="s">
        <v>6933</v>
      </c>
      <c r="G56" s="304" t="s">
        <v>6487</v>
      </c>
      <c r="H56" s="304" t="s">
        <v>6934</v>
      </c>
      <c r="I56" s="304" t="s">
        <v>6935</v>
      </c>
      <c r="J56" s="304" t="s">
        <v>6727</v>
      </c>
      <c r="K56" s="304" t="s">
        <v>6936</v>
      </c>
      <c r="L56" s="304" t="s">
        <v>6937</v>
      </c>
      <c r="M56" s="307" t="s">
        <v>6938</v>
      </c>
      <c r="N56" s="304" t="s">
        <v>6939</v>
      </c>
      <c r="O56" s="304" t="s">
        <v>6940</v>
      </c>
      <c r="P56" s="304" t="s">
        <v>530</v>
      </c>
      <c r="Q56" s="295"/>
      <c r="R56" s="295"/>
      <c r="S56" s="295"/>
      <c r="T56" s="295"/>
      <c r="U56" s="295"/>
      <c r="V56" s="295"/>
      <c r="W56" s="295"/>
      <c r="X56" s="295"/>
      <c r="Y56" s="295"/>
      <c r="Z56" s="295"/>
    </row>
    <row r="57" ht="29.25" customHeight="1">
      <c r="A57" s="295"/>
      <c r="B57" s="304" t="s">
        <v>6941</v>
      </c>
      <c r="C57" s="304"/>
      <c r="D57" s="304" t="s">
        <v>6942</v>
      </c>
      <c r="E57" s="304" t="s">
        <v>6943</v>
      </c>
      <c r="F57" s="304" t="s">
        <v>6944</v>
      </c>
      <c r="G57" s="304" t="s">
        <v>6945</v>
      </c>
      <c r="H57" s="304" t="s">
        <v>530</v>
      </c>
      <c r="I57" s="304"/>
      <c r="J57" s="304" t="s">
        <v>6946</v>
      </c>
      <c r="K57" s="304" t="s">
        <v>6688</v>
      </c>
      <c r="L57" s="304"/>
      <c r="M57" s="304"/>
      <c r="N57" s="304" t="s">
        <v>6947</v>
      </c>
      <c r="O57" s="304"/>
      <c r="P57" s="304" t="s">
        <v>530</v>
      </c>
      <c r="Q57" s="295"/>
      <c r="R57" s="295"/>
      <c r="S57" s="304"/>
      <c r="T57" s="304"/>
      <c r="U57" s="304"/>
      <c r="V57" s="304"/>
      <c r="W57" s="304"/>
      <c r="X57" s="304"/>
      <c r="Y57" s="304"/>
      <c r="Z57" s="304"/>
    </row>
    <row r="58" ht="29.25" customHeight="1">
      <c r="A58" s="295"/>
      <c r="B58" s="304" t="s">
        <v>6948</v>
      </c>
      <c r="C58" s="304" t="s">
        <v>6536</v>
      </c>
      <c r="D58" s="304" t="s">
        <v>6949</v>
      </c>
      <c r="E58" s="304" t="s">
        <v>6558</v>
      </c>
      <c r="F58" s="304" t="s">
        <v>6950</v>
      </c>
      <c r="G58" s="304" t="s">
        <v>6487</v>
      </c>
      <c r="H58" s="304" t="s">
        <v>530</v>
      </c>
      <c r="I58" s="304" t="s">
        <v>6951</v>
      </c>
      <c r="J58" s="304" t="s">
        <v>6952</v>
      </c>
      <c r="K58" s="304" t="s">
        <v>6953</v>
      </c>
      <c r="L58" s="304"/>
      <c r="M58" s="304"/>
      <c r="N58" s="304" t="s">
        <v>6954</v>
      </c>
      <c r="O58" s="304"/>
      <c r="P58" s="304" t="s">
        <v>530</v>
      </c>
      <c r="Q58" s="295"/>
      <c r="R58" s="295"/>
      <c r="S58" s="295"/>
      <c r="T58" s="295"/>
      <c r="U58" s="295"/>
      <c r="V58" s="295"/>
      <c r="W58" s="295"/>
      <c r="X58" s="295"/>
      <c r="Y58" s="295"/>
      <c r="Z58" s="295"/>
    </row>
    <row r="59" ht="29.25" customHeight="1">
      <c r="A59" s="295"/>
      <c r="B59" s="304" t="s">
        <v>6955</v>
      </c>
      <c r="C59" s="304" t="s">
        <v>6956</v>
      </c>
      <c r="D59" s="304" t="s">
        <v>6957</v>
      </c>
      <c r="E59" s="304" t="s">
        <v>6616</v>
      </c>
      <c r="F59" s="304" t="s">
        <v>6958</v>
      </c>
      <c r="G59" s="304" t="s">
        <v>6487</v>
      </c>
      <c r="H59" s="304" t="s">
        <v>530</v>
      </c>
      <c r="I59" s="304" t="s">
        <v>6960</v>
      </c>
      <c r="J59" s="304" t="s">
        <v>6570</v>
      </c>
      <c r="K59" s="304" t="s">
        <v>6961</v>
      </c>
      <c r="L59" s="304"/>
      <c r="M59" s="304"/>
      <c r="N59" s="304" t="s">
        <v>6962</v>
      </c>
      <c r="O59" s="306" t="s">
        <v>6963</v>
      </c>
      <c r="P59" s="304" t="s">
        <v>530</v>
      </c>
      <c r="Q59" s="295"/>
      <c r="R59" s="295"/>
      <c r="S59" s="295"/>
      <c r="T59" s="295"/>
      <c r="U59" s="295"/>
      <c r="V59" s="295"/>
      <c r="W59" s="295"/>
      <c r="X59" s="295"/>
      <c r="Y59" s="295"/>
      <c r="Z59" s="295"/>
    </row>
    <row r="60" ht="29.25" customHeight="1">
      <c r="A60" s="304"/>
      <c r="B60" s="304" t="s">
        <v>6964</v>
      </c>
      <c r="C60" s="304" t="s">
        <v>6965</v>
      </c>
      <c r="D60" s="304" t="s">
        <v>6917</v>
      </c>
      <c r="E60" s="304" t="s">
        <v>6525</v>
      </c>
      <c r="F60" s="304" t="s">
        <v>6966</v>
      </c>
      <c r="G60" s="304" t="s">
        <v>6487</v>
      </c>
      <c r="H60" s="304" t="s">
        <v>6618</v>
      </c>
      <c r="I60" s="304" t="s">
        <v>6967</v>
      </c>
      <c r="J60" s="304" t="s">
        <v>6968</v>
      </c>
      <c r="K60" s="304" t="s">
        <v>6969</v>
      </c>
      <c r="L60" s="304" t="s">
        <v>6970</v>
      </c>
      <c r="M60" s="304"/>
      <c r="N60" s="304" t="s">
        <v>6971</v>
      </c>
      <c r="O60" s="306" t="s">
        <v>6972</v>
      </c>
      <c r="P60" s="304" t="s">
        <v>530</v>
      </c>
      <c r="Q60" s="309" t="str">
        <f>HYPERLINK("https://twitter.com/yalefesclimate","@yalefesclimate")</f>
        <v>@yalefesclimate</v>
      </c>
      <c r="R60" s="304"/>
      <c r="S60" s="295"/>
      <c r="T60" s="295"/>
      <c r="U60" s="295"/>
      <c r="V60" s="295"/>
      <c r="W60" s="295"/>
      <c r="X60" s="295"/>
      <c r="Y60" s="295"/>
      <c r="Z60" s="295"/>
    </row>
    <row r="61" ht="29.25" customHeight="1">
      <c r="A61" s="295"/>
      <c r="B61" s="295" t="s">
        <v>6973</v>
      </c>
      <c r="C61" s="295"/>
      <c r="D61" s="295"/>
      <c r="E61" s="295"/>
      <c r="F61" s="295"/>
      <c r="G61" s="295"/>
      <c r="H61" s="295"/>
      <c r="I61" s="295"/>
      <c r="J61" s="295"/>
      <c r="K61" s="295"/>
      <c r="L61" s="295"/>
      <c r="M61" s="295"/>
      <c r="N61" s="295" t="s">
        <v>6974</v>
      </c>
      <c r="O61" s="297"/>
      <c r="P61" s="295"/>
      <c r="Q61" s="309" t="str">
        <f>HYPERLINK("https://twitter.com/HuntingDynasty","@HuntingDynasty")</f>
        <v>@HuntingDynasty</v>
      </c>
      <c r="R61" s="295"/>
      <c r="S61" s="295"/>
      <c r="T61" s="295"/>
      <c r="U61" s="295"/>
      <c r="V61" s="295"/>
      <c r="W61" s="295"/>
      <c r="X61" s="295"/>
      <c r="Y61" s="295"/>
      <c r="Z61" s="295"/>
    </row>
    <row r="62" ht="29.25" customHeight="1">
      <c r="A62" s="295"/>
      <c r="B62" s="295" t="s">
        <v>6975</v>
      </c>
      <c r="C62" s="295" t="s">
        <v>6483</v>
      </c>
      <c r="D62" s="295" t="s">
        <v>6976</v>
      </c>
      <c r="E62" s="295" t="s">
        <v>6977</v>
      </c>
      <c r="F62" s="295" t="s">
        <v>6978</v>
      </c>
      <c r="G62" s="295" t="s">
        <v>6487</v>
      </c>
      <c r="H62" s="295" t="s">
        <v>6979</v>
      </c>
      <c r="I62" s="295" t="s">
        <v>6980</v>
      </c>
      <c r="J62" s="295" t="s">
        <v>6981</v>
      </c>
      <c r="K62" s="295" t="s">
        <v>6788</v>
      </c>
      <c r="L62" s="295"/>
      <c r="M62" s="295"/>
      <c r="N62" s="295" t="s">
        <v>6982</v>
      </c>
      <c r="O62" s="297"/>
      <c r="P62" s="295" t="s">
        <v>6983</v>
      </c>
      <c r="Q62" s="309" t="str">
        <f>HYPERLINK("https://twitter.com/wbclimatechange","@wbclimatechange")</f>
        <v>@wbclimatechange</v>
      </c>
      <c r="R62" s="295"/>
      <c r="S62" s="295"/>
      <c r="T62" s="295"/>
      <c r="U62" s="295"/>
      <c r="V62" s="295"/>
      <c r="W62" s="295"/>
      <c r="X62" s="295"/>
      <c r="Y62" s="295"/>
      <c r="Z62" s="295"/>
    </row>
    <row r="63" ht="29.25" customHeight="1">
      <c r="A63" s="295"/>
      <c r="B63" s="295" t="s">
        <v>6984</v>
      </c>
      <c r="C63" s="295" t="s">
        <v>6536</v>
      </c>
      <c r="D63" s="295"/>
      <c r="E63" s="295" t="s">
        <v>6985</v>
      </c>
      <c r="F63" s="295"/>
      <c r="G63" s="295" t="s">
        <v>6487</v>
      </c>
      <c r="H63" s="295" t="s">
        <v>769</v>
      </c>
      <c r="I63" s="304" t="s">
        <v>6986</v>
      </c>
      <c r="J63" s="295" t="s">
        <v>6860</v>
      </c>
      <c r="K63" s="295" t="s">
        <v>6987</v>
      </c>
      <c r="L63" s="295"/>
      <c r="M63" s="295"/>
      <c r="N63" s="295" t="s">
        <v>6988</v>
      </c>
      <c r="O63" s="297"/>
      <c r="P63" s="295"/>
      <c r="Q63" s="309" t="str">
        <f>HYPERLINK("https://twitter.com/DefraGovUK","@DefraGovUK")</f>
        <v>@DefraGovUK</v>
      </c>
      <c r="R63" s="295"/>
      <c r="S63" s="295"/>
      <c r="T63" s="295"/>
      <c r="U63" s="295"/>
      <c r="V63" s="295"/>
      <c r="W63" s="295"/>
      <c r="X63" s="295"/>
      <c r="Y63" s="295"/>
      <c r="Z63" s="295"/>
    </row>
    <row r="64" ht="29.25" customHeight="1">
      <c r="A64" s="295"/>
      <c r="B64" s="295" t="s">
        <v>6989</v>
      </c>
      <c r="C64" s="295"/>
      <c r="D64" s="295"/>
      <c r="E64" s="295"/>
      <c r="F64" s="295"/>
      <c r="G64" s="295"/>
      <c r="H64" s="295" t="s">
        <v>6990</v>
      </c>
      <c r="I64" s="295" t="s">
        <v>6991</v>
      </c>
      <c r="J64" s="295" t="s">
        <v>6860</v>
      </c>
      <c r="K64" s="295" t="s">
        <v>6992</v>
      </c>
      <c r="L64" s="295"/>
      <c r="M64" s="295"/>
      <c r="N64" s="295" t="s">
        <v>6993</v>
      </c>
      <c r="O64" s="297"/>
      <c r="P64" s="295"/>
      <c r="Q64" s="309" t="str">
        <f>HYPERLINK("https://twitter.com/wef","@wef")</f>
        <v>@wef</v>
      </c>
      <c r="R64" s="295"/>
      <c r="S64" s="295"/>
      <c r="T64" s="295"/>
      <c r="U64" s="295"/>
      <c r="V64" s="295"/>
      <c r="W64" s="295"/>
      <c r="X64" s="295"/>
      <c r="Y64" s="295"/>
      <c r="Z64" s="295"/>
    </row>
    <row r="65" ht="29.25" customHeight="1">
      <c r="A65" s="295"/>
      <c r="B65" s="295" t="s">
        <v>6994</v>
      </c>
      <c r="C65" s="295" t="s">
        <v>6536</v>
      </c>
      <c r="D65" s="295"/>
      <c r="E65" s="295" t="s">
        <v>6830</v>
      </c>
      <c r="F65" s="295" t="s">
        <v>6995</v>
      </c>
      <c r="G65" s="295" t="s">
        <v>6487</v>
      </c>
      <c r="H65" s="295" t="s">
        <v>6996</v>
      </c>
      <c r="I65" s="295"/>
      <c r="J65" s="295"/>
      <c r="K65" s="295" t="s">
        <v>6997</v>
      </c>
      <c r="L65" s="295" t="s">
        <v>6998</v>
      </c>
      <c r="M65" s="295" t="s">
        <v>6999</v>
      </c>
      <c r="N65" s="295" t="s">
        <v>7000</v>
      </c>
      <c r="O65" s="297"/>
      <c r="P65" s="295"/>
      <c r="Q65" s="295"/>
      <c r="R65" s="295"/>
      <c r="S65" s="295"/>
      <c r="T65" s="295"/>
      <c r="U65" s="295"/>
      <c r="V65" s="295"/>
      <c r="W65" s="295"/>
      <c r="X65" s="295"/>
      <c r="Y65" s="295"/>
      <c r="Z65" s="295"/>
    </row>
    <row r="66" ht="29.25" customHeight="1">
      <c r="A66" s="295"/>
      <c r="B66" s="295" t="s">
        <v>7001</v>
      </c>
      <c r="C66" s="295"/>
      <c r="D66" s="295"/>
      <c r="E66" s="295"/>
      <c r="F66" s="295"/>
      <c r="G66" s="295"/>
      <c r="H66" s="295"/>
      <c r="I66" s="295"/>
      <c r="J66" s="295"/>
      <c r="K66" s="295"/>
      <c r="L66" s="295"/>
      <c r="M66" s="295"/>
      <c r="N66" s="295" t="s">
        <v>7002</v>
      </c>
      <c r="O66" s="297"/>
      <c r="P66" s="295"/>
      <c r="Q66" s="295"/>
      <c r="R66" s="295"/>
      <c r="S66" s="295"/>
      <c r="T66" s="295"/>
      <c r="U66" s="295"/>
      <c r="V66" s="295"/>
      <c r="W66" s="295"/>
      <c r="X66" s="295"/>
      <c r="Y66" s="295"/>
      <c r="Z66" s="295"/>
    </row>
    <row r="67" ht="29.25" customHeight="1">
      <c r="A67" s="295"/>
      <c r="B67" s="295" t="s">
        <v>7003</v>
      </c>
      <c r="C67" s="295"/>
      <c r="D67" s="295"/>
      <c r="E67" s="295"/>
      <c r="F67" s="295" t="s">
        <v>7004</v>
      </c>
      <c r="G67" s="295"/>
      <c r="H67" s="295"/>
      <c r="I67" s="295"/>
      <c r="J67" s="295"/>
      <c r="K67" s="295"/>
      <c r="L67" s="295"/>
      <c r="M67" s="295"/>
      <c r="N67" s="295" t="s">
        <v>7005</v>
      </c>
      <c r="O67" s="297"/>
      <c r="P67" s="295"/>
      <c r="Q67" s="295"/>
      <c r="R67" s="295"/>
      <c r="S67" s="295"/>
      <c r="T67" s="295"/>
      <c r="U67" s="295"/>
      <c r="V67" s="295"/>
      <c r="W67" s="295"/>
      <c r="X67" s="295"/>
      <c r="Y67" s="295"/>
      <c r="Z67" s="295"/>
    </row>
    <row r="68" ht="29.25" customHeight="1">
      <c r="A68" s="295"/>
      <c r="B68" s="295" t="s">
        <v>7006</v>
      </c>
      <c r="C68" s="295" t="s">
        <v>6536</v>
      </c>
      <c r="D68" s="295" t="s">
        <v>6949</v>
      </c>
      <c r="E68" s="295"/>
      <c r="F68" s="295"/>
      <c r="G68" s="295"/>
      <c r="H68" s="295"/>
      <c r="I68" s="295"/>
      <c r="J68" s="295"/>
      <c r="K68" s="295"/>
      <c r="L68" s="295"/>
      <c r="M68" s="295"/>
      <c r="N68" s="295" t="s">
        <v>7007</v>
      </c>
      <c r="O68" s="297"/>
      <c r="P68" s="295"/>
      <c r="Q68" s="309" t="str">
        <f>HYPERLINK("https://twitter.com/BehaviourSci","@BehaviourSci")</f>
        <v>@BehaviourSci</v>
      </c>
      <c r="R68" s="295"/>
      <c r="S68" s="295"/>
      <c r="T68" s="295"/>
      <c r="U68" s="295"/>
      <c r="V68" s="295"/>
      <c r="W68" s="295"/>
      <c r="X68" s="295"/>
      <c r="Y68" s="295"/>
      <c r="Z68" s="295"/>
    </row>
    <row r="69" ht="29.25" customHeight="1">
      <c r="A69" s="295"/>
      <c r="B69" s="295" t="s">
        <v>7008</v>
      </c>
      <c r="C69" s="295"/>
      <c r="D69" s="295" t="s">
        <v>5152</v>
      </c>
      <c r="E69" s="295"/>
      <c r="F69" s="295"/>
      <c r="G69" s="295"/>
      <c r="H69" s="295" t="s">
        <v>7009</v>
      </c>
      <c r="I69" s="295" t="s">
        <v>7010</v>
      </c>
      <c r="J69" s="295"/>
      <c r="K69" s="295"/>
      <c r="L69" s="295"/>
      <c r="M69" s="295"/>
      <c r="N69" s="295" t="s">
        <v>7011</v>
      </c>
      <c r="O69" s="297"/>
      <c r="P69" s="295"/>
      <c r="Q69" s="295"/>
      <c r="R69" s="295"/>
      <c r="S69" s="295"/>
      <c r="T69" s="295"/>
      <c r="U69" s="295"/>
      <c r="V69" s="295"/>
      <c r="W69" s="295"/>
      <c r="X69" s="295"/>
      <c r="Y69" s="295"/>
      <c r="Z69" s="295"/>
    </row>
    <row r="70" ht="29.25" customHeight="1">
      <c r="A70" s="295"/>
      <c r="B70" s="295" t="s">
        <v>7012</v>
      </c>
      <c r="C70" s="295"/>
      <c r="D70" s="295" t="s">
        <v>7013</v>
      </c>
      <c r="E70" s="295"/>
      <c r="F70" s="295" t="s">
        <v>7014</v>
      </c>
      <c r="G70" s="295"/>
      <c r="H70" s="295" t="s">
        <v>6488</v>
      </c>
      <c r="I70" s="295"/>
      <c r="J70" s="295"/>
      <c r="K70" s="295"/>
      <c r="L70" s="295"/>
      <c r="M70" s="295"/>
      <c r="N70" s="295" t="s">
        <v>7015</v>
      </c>
      <c r="O70" s="297"/>
      <c r="P70" s="295"/>
      <c r="Q70" s="295"/>
      <c r="R70" s="295"/>
      <c r="S70" s="295"/>
      <c r="T70" s="295"/>
      <c r="U70" s="295"/>
      <c r="V70" s="295"/>
      <c r="W70" s="295"/>
      <c r="X70" s="295"/>
      <c r="Y70" s="295"/>
      <c r="Z70" s="295"/>
    </row>
    <row r="71" ht="29.25" customHeight="1">
      <c r="A71" s="295"/>
      <c r="B71" s="295" t="s">
        <v>7016</v>
      </c>
      <c r="C71" s="295"/>
      <c r="D71" s="295"/>
      <c r="E71" s="295" t="s">
        <v>7017</v>
      </c>
      <c r="F71" s="295" t="s">
        <v>7018</v>
      </c>
      <c r="G71" s="295"/>
      <c r="H71" s="295" t="s">
        <v>7019</v>
      </c>
      <c r="I71" s="295" t="s">
        <v>7020</v>
      </c>
      <c r="J71" s="295"/>
      <c r="K71" s="295"/>
      <c r="L71" s="295"/>
      <c r="M71" s="295"/>
      <c r="N71" s="295" t="s">
        <v>7021</v>
      </c>
      <c r="O71" s="297"/>
      <c r="P71" s="295"/>
      <c r="Q71" s="295"/>
      <c r="R71" s="295"/>
      <c r="S71" s="295"/>
      <c r="T71" s="295"/>
      <c r="U71" s="295"/>
      <c r="V71" s="295"/>
      <c r="W71" s="295"/>
      <c r="X71" s="295"/>
      <c r="Y71" s="295"/>
      <c r="Z71" s="295"/>
    </row>
    <row r="72" ht="29.25" customHeight="1">
      <c r="A72" s="295"/>
      <c r="B72" s="295" t="s">
        <v>7022</v>
      </c>
      <c r="C72" s="295"/>
      <c r="D72" s="295"/>
      <c r="E72" s="295"/>
      <c r="F72" s="295" t="s">
        <v>7023</v>
      </c>
      <c r="G72" s="295"/>
      <c r="H72" s="295" t="s">
        <v>7024</v>
      </c>
      <c r="I72" s="295"/>
      <c r="J72" s="295"/>
      <c r="K72" s="295"/>
      <c r="L72" s="295"/>
      <c r="M72" s="295"/>
      <c r="N72" s="295" t="s">
        <v>7025</v>
      </c>
      <c r="O72" s="297"/>
      <c r="P72" s="295" t="s">
        <v>7026</v>
      </c>
      <c r="Q72" s="295"/>
      <c r="R72" s="295"/>
      <c r="S72" s="295"/>
      <c r="T72" s="295"/>
      <c r="U72" s="295"/>
      <c r="V72" s="295"/>
      <c r="W72" s="295"/>
      <c r="X72" s="295"/>
      <c r="Y72" s="295"/>
      <c r="Z72" s="295"/>
    </row>
    <row r="73" ht="29.25" customHeight="1">
      <c r="A73" s="295"/>
      <c r="B73" s="295" t="s">
        <v>1526</v>
      </c>
      <c r="C73" s="295" t="s">
        <v>6483</v>
      </c>
      <c r="D73" s="295"/>
      <c r="E73" s="295"/>
      <c r="F73" s="295" t="s">
        <v>7027</v>
      </c>
      <c r="G73" s="295" t="s">
        <v>7028</v>
      </c>
      <c r="H73" s="295" t="s">
        <v>7029</v>
      </c>
      <c r="I73" s="295"/>
      <c r="J73" s="295"/>
      <c r="K73" s="295"/>
      <c r="L73" s="295"/>
      <c r="M73" s="295"/>
      <c r="N73" s="295" t="s">
        <v>7030</v>
      </c>
      <c r="O73" s="297"/>
      <c r="P73" s="295"/>
      <c r="Q73" s="295"/>
      <c r="R73" s="295"/>
      <c r="S73" s="295"/>
      <c r="T73" s="295"/>
      <c r="U73" s="295"/>
      <c r="V73" s="295"/>
      <c r="W73" s="295"/>
      <c r="X73" s="295"/>
      <c r="Y73" s="295"/>
      <c r="Z73" s="295"/>
    </row>
    <row r="74" ht="29.25" customHeight="1">
      <c r="A74" s="295"/>
      <c r="B74" s="295" t="s">
        <v>7031</v>
      </c>
      <c r="C74" s="295" t="s">
        <v>7032</v>
      </c>
      <c r="D74" s="295" t="s">
        <v>7033</v>
      </c>
      <c r="E74" s="295"/>
      <c r="F74" s="295"/>
      <c r="G74" s="295"/>
      <c r="H74" s="295"/>
      <c r="I74" s="295" t="s">
        <v>7034</v>
      </c>
      <c r="J74" s="295"/>
      <c r="K74" s="295"/>
      <c r="L74" s="295"/>
      <c r="M74" s="295"/>
      <c r="N74" s="295" t="s">
        <v>7035</v>
      </c>
      <c r="O74" s="297"/>
      <c r="P74" s="295"/>
      <c r="Q74" s="295"/>
      <c r="R74" s="295"/>
      <c r="S74" s="295"/>
      <c r="T74" s="295"/>
      <c r="U74" s="295"/>
      <c r="V74" s="295"/>
      <c r="W74" s="295"/>
      <c r="X74" s="295"/>
      <c r="Y74" s="295"/>
      <c r="Z74" s="295"/>
    </row>
    <row r="75" ht="29.25" customHeight="1">
      <c r="A75" s="295"/>
      <c r="B75" s="295" t="s">
        <v>7036</v>
      </c>
      <c r="C75" s="295" t="s">
        <v>6391</v>
      </c>
      <c r="D75" s="295" t="s">
        <v>7037</v>
      </c>
      <c r="E75" s="295" t="s">
        <v>7017</v>
      </c>
      <c r="F75" s="295"/>
      <c r="G75" s="295"/>
      <c r="H75" s="295"/>
      <c r="I75" s="295"/>
      <c r="J75" s="295"/>
      <c r="K75" s="295"/>
      <c r="L75" s="295"/>
      <c r="M75" s="295"/>
      <c r="N75" s="295" t="s">
        <v>7038</v>
      </c>
      <c r="O75" s="297"/>
      <c r="P75" s="295"/>
      <c r="Q75" s="295"/>
      <c r="R75" s="295"/>
      <c r="S75" s="295"/>
      <c r="T75" s="295"/>
      <c r="U75" s="295"/>
      <c r="V75" s="295"/>
      <c r="W75" s="295"/>
      <c r="X75" s="295"/>
      <c r="Y75" s="295"/>
      <c r="Z75" s="295"/>
    </row>
    <row r="76" ht="29.25" customHeight="1">
      <c r="A76" s="295"/>
      <c r="B76" s="295" t="s">
        <v>3508</v>
      </c>
      <c r="C76" s="295"/>
      <c r="D76" s="295"/>
      <c r="E76" s="295"/>
      <c r="F76" s="295"/>
      <c r="G76" s="295"/>
      <c r="H76" s="295" t="s">
        <v>769</v>
      </c>
      <c r="I76" s="295" t="s">
        <v>7039</v>
      </c>
      <c r="J76" s="295"/>
      <c r="K76" s="295" t="s">
        <v>7040</v>
      </c>
      <c r="L76" s="295"/>
      <c r="M76" s="295"/>
      <c r="N76" s="295"/>
      <c r="O76" s="297"/>
      <c r="P76" s="295"/>
      <c r="Q76" s="295"/>
      <c r="R76" s="295"/>
      <c r="S76" s="295"/>
      <c r="T76" s="295"/>
      <c r="U76" s="295"/>
      <c r="V76" s="295"/>
      <c r="W76" s="295"/>
      <c r="X76" s="295"/>
      <c r="Y76" s="295"/>
      <c r="Z76" s="295"/>
    </row>
    <row r="77" ht="29.25" customHeight="1">
      <c r="A77" s="295" t="s">
        <v>7041</v>
      </c>
      <c r="B77" s="2" t="s">
        <v>7042</v>
      </c>
      <c r="C77" s="303" t="s">
        <v>7043</v>
      </c>
      <c r="D77" s="303" t="s">
        <v>7044</v>
      </c>
      <c r="E77" s="299" t="s">
        <v>7045</v>
      </c>
      <c r="F77" s="311" t="s">
        <v>7046</v>
      </c>
      <c r="G77" s="295"/>
      <c r="H77" s="295"/>
      <c r="I77" s="295"/>
      <c r="J77" s="295"/>
      <c r="K77" s="295"/>
      <c r="L77" s="295"/>
      <c r="M77" s="295"/>
      <c r="N77" s="295" t="s">
        <v>7053</v>
      </c>
      <c r="O77" s="297"/>
      <c r="P77" s="295"/>
      <c r="Q77" s="295"/>
      <c r="R77" s="295"/>
      <c r="S77" s="295"/>
      <c r="T77" s="295"/>
      <c r="U77" s="295"/>
      <c r="V77" s="295"/>
      <c r="W77" s="295"/>
      <c r="X77" s="295"/>
      <c r="Y77" s="295"/>
      <c r="Z77" s="295"/>
    </row>
    <row r="78" ht="29.25" customHeight="1">
      <c r="A78" s="295" t="s">
        <v>7054</v>
      </c>
      <c r="B78" s="303" t="s">
        <v>7055</v>
      </c>
      <c r="C78" s="303"/>
      <c r="D78" s="2" t="s">
        <v>2350</v>
      </c>
      <c r="E78" s="299" t="s">
        <v>7056</v>
      </c>
      <c r="F78" s="311"/>
      <c r="G78" s="295"/>
      <c r="H78" s="295" t="s">
        <v>7058</v>
      </c>
      <c r="I78" s="295" t="s">
        <v>7059</v>
      </c>
      <c r="J78" s="295"/>
      <c r="K78" s="295"/>
      <c r="L78" s="295"/>
      <c r="M78" s="295"/>
      <c r="N78" s="295" t="s">
        <v>7060</v>
      </c>
      <c r="O78" s="297"/>
      <c r="P78" s="295"/>
      <c r="Q78" s="295"/>
      <c r="R78" s="295"/>
      <c r="S78" s="295"/>
      <c r="T78" s="295"/>
      <c r="U78" s="295"/>
      <c r="V78" s="295"/>
      <c r="W78" s="295"/>
      <c r="X78" s="295"/>
      <c r="Y78" s="295"/>
      <c r="Z78" s="295"/>
    </row>
    <row r="79" ht="29.25" customHeight="1">
      <c r="A79" s="295" t="s">
        <v>7041</v>
      </c>
      <c r="B79" s="295" t="s">
        <v>7061</v>
      </c>
      <c r="C79" s="295"/>
      <c r="D79" s="295"/>
      <c r="E79" s="295"/>
      <c r="F79" s="311"/>
      <c r="G79" s="295"/>
      <c r="H79" s="295"/>
      <c r="I79" s="295"/>
      <c r="J79" s="295"/>
      <c r="K79" s="295"/>
      <c r="L79" s="295"/>
      <c r="M79" s="295"/>
      <c r="N79" s="295"/>
      <c r="O79" s="297"/>
      <c r="P79" s="295"/>
      <c r="Q79" s="295"/>
      <c r="R79" s="295"/>
      <c r="S79" s="312"/>
      <c r="T79" s="312"/>
      <c r="U79" s="312"/>
      <c r="V79" s="312"/>
      <c r="W79" s="312"/>
      <c r="X79" s="312"/>
      <c r="Y79" s="312"/>
      <c r="Z79" s="312"/>
    </row>
    <row r="80" ht="29.25" customHeight="1">
      <c r="A80" s="295" t="s">
        <v>323</v>
      </c>
      <c r="B80" s="295" t="s">
        <v>7062</v>
      </c>
      <c r="C80" s="295"/>
      <c r="D80" s="295" t="s">
        <v>7063</v>
      </c>
      <c r="E80" s="295"/>
      <c r="F80" s="304" t="s">
        <v>7064</v>
      </c>
      <c r="G80" s="295"/>
      <c r="H80" s="295" t="s">
        <v>428</v>
      </c>
      <c r="I80" s="295"/>
      <c r="J80" s="295"/>
      <c r="K80" s="295" t="s">
        <v>7065</v>
      </c>
      <c r="L80" s="295"/>
      <c r="M80" s="295"/>
      <c r="N80" s="295"/>
      <c r="O80" s="297"/>
      <c r="P80" s="295"/>
      <c r="Q80" s="295"/>
      <c r="R80" s="295"/>
      <c r="S80" s="295"/>
      <c r="T80" s="295"/>
      <c r="U80" s="295"/>
      <c r="V80" s="295"/>
      <c r="W80" s="295"/>
      <c r="X80" s="295"/>
      <c r="Y80" s="295"/>
      <c r="Z80" s="295"/>
    </row>
    <row r="81" ht="29.25" customHeight="1">
      <c r="A81" s="295"/>
      <c r="B81" s="295"/>
      <c r="C81" s="295"/>
      <c r="D81" s="295"/>
      <c r="E81" s="295"/>
      <c r="F81" s="295"/>
      <c r="G81" s="295"/>
      <c r="H81" s="295"/>
      <c r="I81" s="295"/>
      <c r="J81" s="295"/>
      <c r="K81" s="295"/>
      <c r="L81" s="295"/>
      <c r="M81" s="295"/>
      <c r="N81" s="295"/>
      <c r="O81" s="297"/>
      <c r="P81" s="295"/>
      <c r="Q81" s="295"/>
      <c r="R81" s="295"/>
      <c r="S81" s="295"/>
      <c r="T81" s="295"/>
      <c r="U81" s="295"/>
      <c r="V81" s="295"/>
      <c r="W81" s="295"/>
      <c r="X81" s="295"/>
      <c r="Y81" s="295"/>
      <c r="Z81" s="295"/>
    </row>
    <row r="82" ht="29.25" customHeight="1">
      <c r="A82" s="295"/>
      <c r="B82" s="295"/>
      <c r="C82" s="295"/>
      <c r="D82" s="295"/>
      <c r="E82" s="295"/>
      <c r="F82" s="295"/>
      <c r="G82" s="295"/>
      <c r="H82" s="295"/>
      <c r="I82" s="295"/>
      <c r="J82" s="295"/>
      <c r="K82" s="295"/>
      <c r="L82" s="295"/>
      <c r="M82" s="295"/>
      <c r="N82" s="295"/>
      <c r="O82" s="297"/>
      <c r="P82" s="295"/>
      <c r="Q82" s="295"/>
      <c r="R82" s="295"/>
      <c r="S82" s="295"/>
      <c r="T82" s="295"/>
      <c r="U82" s="295"/>
      <c r="V82" s="295"/>
      <c r="W82" s="295"/>
      <c r="X82" s="295"/>
      <c r="Y82" s="295"/>
      <c r="Z82" s="295"/>
    </row>
    <row r="83" ht="29.25" customHeight="1">
      <c r="A83" s="295"/>
      <c r="B83" s="295"/>
      <c r="C83" s="295"/>
      <c r="D83" s="295"/>
      <c r="E83" s="295"/>
      <c r="F83" s="295"/>
      <c r="G83" s="295"/>
      <c r="H83" s="295"/>
      <c r="I83" s="295"/>
      <c r="J83" s="295"/>
      <c r="K83" s="295"/>
      <c r="L83" s="295"/>
      <c r="M83" s="295"/>
      <c r="N83" s="295"/>
      <c r="O83" s="297"/>
      <c r="P83" s="295"/>
      <c r="Q83" s="295"/>
      <c r="R83" s="295"/>
      <c r="S83" s="295"/>
      <c r="T83" s="295"/>
      <c r="U83" s="295"/>
      <c r="V83" s="295"/>
      <c r="W83" s="295"/>
      <c r="X83" s="295"/>
      <c r="Y83" s="295"/>
      <c r="Z83" s="295"/>
    </row>
    <row r="84" ht="29.25" customHeight="1">
      <c r="A84" s="295"/>
      <c r="B84" s="295"/>
      <c r="C84" s="295"/>
      <c r="D84" s="295"/>
      <c r="E84" s="295"/>
      <c r="F84" s="295"/>
      <c r="G84" s="295"/>
      <c r="H84" s="295"/>
      <c r="I84" s="295"/>
      <c r="J84" s="295"/>
      <c r="K84" s="295"/>
      <c r="L84" s="295"/>
      <c r="M84" s="295"/>
      <c r="N84" s="295"/>
      <c r="O84" s="297"/>
      <c r="P84" s="295"/>
      <c r="Q84" s="295"/>
      <c r="R84" s="295"/>
      <c r="S84" s="295"/>
      <c r="T84" s="295"/>
      <c r="U84" s="295"/>
      <c r="V84" s="295"/>
      <c r="W84" s="295"/>
      <c r="X84" s="295"/>
      <c r="Y84" s="295"/>
      <c r="Z84" s="295"/>
    </row>
    <row r="85" ht="29.25" customHeight="1">
      <c r="A85" s="295"/>
      <c r="B85" s="295"/>
      <c r="C85" s="295"/>
      <c r="D85" s="295"/>
      <c r="E85" s="295"/>
      <c r="F85" s="295"/>
      <c r="G85" s="295"/>
      <c r="H85" s="295"/>
      <c r="I85" s="295"/>
      <c r="J85" s="295"/>
      <c r="K85" s="295"/>
      <c r="L85" s="295"/>
      <c r="M85" s="295"/>
      <c r="N85" s="295"/>
      <c r="O85" s="297"/>
      <c r="P85" s="295"/>
      <c r="Q85" s="295"/>
      <c r="R85" s="295"/>
      <c r="S85" s="295"/>
      <c r="T85" s="295"/>
      <c r="U85" s="295"/>
      <c r="V85" s="295"/>
      <c r="W85" s="295"/>
      <c r="X85" s="295"/>
      <c r="Y85" s="295"/>
      <c r="Z85" s="295"/>
    </row>
    <row r="86" ht="29.25" customHeight="1">
      <c r="A86" s="295"/>
      <c r="B86" s="295"/>
      <c r="C86" s="295"/>
      <c r="D86" s="295"/>
      <c r="E86" s="295"/>
      <c r="F86" s="295"/>
      <c r="G86" s="295"/>
      <c r="H86" s="295"/>
      <c r="I86" s="295"/>
      <c r="J86" s="295"/>
      <c r="K86" s="295"/>
      <c r="L86" s="295"/>
      <c r="M86" s="295"/>
      <c r="N86" s="295"/>
      <c r="O86" s="297"/>
      <c r="P86" s="295"/>
      <c r="Q86" s="295"/>
      <c r="R86" s="295"/>
      <c r="S86" s="295"/>
      <c r="T86" s="295"/>
      <c r="U86" s="295"/>
      <c r="V86" s="295"/>
      <c r="W86" s="295"/>
      <c r="X86" s="295"/>
      <c r="Y86" s="295"/>
      <c r="Z86" s="295"/>
    </row>
    <row r="87" ht="29.25" customHeight="1">
      <c r="A87" s="295"/>
      <c r="B87" s="295"/>
      <c r="C87" s="295"/>
      <c r="D87" s="295"/>
      <c r="E87" s="295"/>
      <c r="F87" s="295"/>
      <c r="G87" s="295"/>
      <c r="H87" s="295"/>
      <c r="I87" s="295"/>
      <c r="J87" s="295"/>
      <c r="K87" s="295"/>
      <c r="L87" s="295"/>
      <c r="M87" s="295"/>
      <c r="N87" s="295"/>
      <c r="O87" s="297"/>
      <c r="P87" s="295"/>
      <c r="Q87" s="295"/>
      <c r="R87" s="295"/>
      <c r="S87" s="295"/>
      <c r="T87" s="295"/>
      <c r="U87" s="295"/>
      <c r="V87" s="295"/>
      <c r="W87" s="295"/>
      <c r="X87" s="295"/>
      <c r="Y87" s="295"/>
      <c r="Z87" s="295"/>
    </row>
    <row r="88" ht="29.25" customHeight="1">
      <c r="A88" s="295"/>
      <c r="B88" s="295"/>
      <c r="C88" s="295"/>
      <c r="D88" s="295"/>
      <c r="E88" s="295"/>
      <c r="F88" s="295"/>
      <c r="G88" s="295"/>
      <c r="H88" s="295"/>
      <c r="I88" s="295"/>
      <c r="J88" s="295"/>
      <c r="K88" s="295"/>
      <c r="L88" s="295"/>
      <c r="M88" s="295"/>
      <c r="N88" s="295"/>
      <c r="O88" s="297"/>
      <c r="P88" s="295"/>
      <c r="Q88" s="295"/>
      <c r="R88" s="295"/>
      <c r="S88" s="295"/>
      <c r="T88" s="295"/>
      <c r="U88" s="295"/>
      <c r="V88" s="295"/>
      <c r="W88" s="295"/>
      <c r="X88" s="295"/>
      <c r="Y88" s="295"/>
      <c r="Z88" s="295"/>
    </row>
    <row r="89" ht="29.25" customHeight="1">
      <c r="A89" s="295"/>
      <c r="B89" s="295"/>
      <c r="C89" s="295"/>
      <c r="D89" s="295"/>
      <c r="E89" s="295"/>
      <c r="F89" s="295"/>
      <c r="G89" s="295"/>
      <c r="H89" s="295"/>
      <c r="I89" s="295"/>
      <c r="J89" s="295"/>
      <c r="K89" s="295"/>
      <c r="L89" s="295"/>
      <c r="M89" s="295"/>
      <c r="N89" s="295"/>
      <c r="O89" s="297"/>
      <c r="P89" s="295"/>
      <c r="Q89" s="295"/>
      <c r="R89" s="295"/>
      <c r="S89" s="295"/>
      <c r="T89" s="295"/>
      <c r="U89" s="295"/>
      <c r="V89" s="295"/>
      <c r="W89" s="295"/>
      <c r="X89" s="295"/>
      <c r="Y89" s="295"/>
      <c r="Z89" s="295"/>
    </row>
    <row r="90" ht="29.25" customHeight="1">
      <c r="A90" s="295"/>
      <c r="B90" s="295"/>
      <c r="C90" s="295"/>
      <c r="D90" s="295"/>
      <c r="E90" s="295"/>
      <c r="F90" s="295"/>
      <c r="G90" s="295"/>
      <c r="H90" s="295"/>
      <c r="I90" s="295"/>
      <c r="J90" s="295"/>
      <c r="K90" s="295"/>
      <c r="L90" s="295"/>
      <c r="M90" s="295"/>
      <c r="N90" s="295"/>
      <c r="O90" s="297"/>
      <c r="P90" s="295"/>
      <c r="Q90" s="295"/>
      <c r="R90" s="295"/>
      <c r="S90" s="295"/>
      <c r="T90" s="295"/>
      <c r="U90" s="295"/>
      <c r="V90" s="295"/>
      <c r="W90" s="295"/>
      <c r="X90" s="295"/>
      <c r="Y90" s="295"/>
      <c r="Z90" s="295"/>
    </row>
    <row r="91" ht="29.25" customHeight="1">
      <c r="A91" s="295"/>
      <c r="B91" s="295"/>
      <c r="C91" s="295"/>
      <c r="D91" s="295"/>
      <c r="E91" s="295"/>
      <c r="F91" s="295"/>
      <c r="G91" s="295"/>
      <c r="H91" s="295"/>
      <c r="I91" s="295"/>
      <c r="J91" s="295"/>
      <c r="K91" s="295"/>
      <c r="L91" s="295"/>
      <c r="M91" s="295"/>
      <c r="N91" s="295"/>
      <c r="O91" s="297"/>
      <c r="P91" s="295"/>
      <c r="Q91" s="295"/>
      <c r="R91" s="295"/>
      <c r="S91" s="295"/>
      <c r="T91" s="295"/>
      <c r="U91" s="295"/>
      <c r="V91" s="295"/>
      <c r="W91" s="295"/>
      <c r="X91" s="295"/>
      <c r="Y91" s="295"/>
      <c r="Z91" s="295"/>
    </row>
    <row r="92" ht="29.25" customHeight="1">
      <c r="A92" s="295"/>
      <c r="B92" s="295"/>
      <c r="C92" s="295"/>
      <c r="D92" s="295"/>
      <c r="E92" s="295"/>
      <c r="F92" s="295"/>
      <c r="G92" s="295"/>
      <c r="H92" s="295"/>
      <c r="I92" s="295"/>
      <c r="J92" s="295"/>
      <c r="K92" s="295"/>
      <c r="L92" s="295"/>
      <c r="M92" s="295"/>
      <c r="N92" s="295"/>
      <c r="O92" s="297"/>
      <c r="P92" s="295"/>
      <c r="Q92" s="295"/>
      <c r="R92" s="295"/>
      <c r="S92" s="295"/>
      <c r="T92" s="295"/>
      <c r="U92" s="295"/>
      <c r="V92" s="295"/>
      <c r="W92" s="295"/>
      <c r="X92" s="295"/>
      <c r="Y92" s="295"/>
      <c r="Z92" s="295"/>
    </row>
    <row r="93" ht="29.25" customHeight="1">
      <c r="A93" s="295"/>
      <c r="B93" s="295"/>
      <c r="C93" s="295"/>
      <c r="D93" s="295"/>
      <c r="E93" s="295"/>
      <c r="F93" s="295"/>
      <c r="G93" s="295"/>
      <c r="H93" s="295"/>
      <c r="I93" s="295"/>
      <c r="J93" s="295"/>
      <c r="K93" s="295"/>
      <c r="L93" s="295"/>
      <c r="M93" s="295"/>
      <c r="N93" s="295"/>
      <c r="O93" s="297"/>
      <c r="P93" s="295"/>
      <c r="Q93" s="295"/>
      <c r="R93" s="295"/>
      <c r="S93" s="295"/>
      <c r="T93" s="295"/>
      <c r="U93" s="295"/>
      <c r="V93" s="295"/>
      <c r="W93" s="295"/>
      <c r="X93" s="295"/>
      <c r="Y93" s="295"/>
      <c r="Z93" s="295"/>
    </row>
    <row r="94" ht="29.25" customHeight="1">
      <c r="A94" s="295"/>
      <c r="B94" s="295"/>
      <c r="C94" s="295"/>
      <c r="D94" s="295"/>
      <c r="E94" s="295"/>
      <c r="F94" s="295"/>
      <c r="G94" s="295"/>
      <c r="H94" s="295"/>
      <c r="I94" s="295"/>
      <c r="J94" s="295"/>
      <c r="K94" s="295"/>
      <c r="L94" s="295"/>
      <c r="M94" s="295"/>
      <c r="N94" s="295"/>
      <c r="O94" s="297"/>
      <c r="P94" s="295"/>
      <c r="Q94" s="295"/>
      <c r="R94" s="295"/>
      <c r="S94" s="295"/>
      <c r="T94" s="295"/>
      <c r="U94" s="295"/>
      <c r="V94" s="295"/>
      <c r="W94" s="295"/>
      <c r="X94" s="295"/>
      <c r="Y94" s="295"/>
      <c r="Z94" s="295"/>
    </row>
    <row r="95" ht="29.25" customHeight="1">
      <c r="A95" s="295"/>
      <c r="B95" s="295"/>
      <c r="C95" s="295"/>
      <c r="D95" s="295"/>
      <c r="E95" s="295"/>
      <c r="F95" s="295"/>
      <c r="G95" s="295"/>
      <c r="H95" s="295"/>
      <c r="I95" s="295"/>
      <c r="J95" s="295"/>
      <c r="K95" s="295"/>
      <c r="L95" s="295"/>
      <c r="M95" s="295"/>
      <c r="N95" s="295"/>
      <c r="O95" s="297"/>
      <c r="P95" s="295"/>
      <c r="Q95" s="295"/>
      <c r="R95" s="295"/>
      <c r="S95" s="295"/>
      <c r="T95" s="295"/>
      <c r="U95" s="295"/>
      <c r="V95" s="295"/>
      <c r="W95" s="295"/>
      <c r="X95" s="295"/>
      <c r="Y95" s="295"/>
      <c r="Z95" s="295"/>
    </row>
    <row r="96" ht="29.25" customHeight="1">
      <c r="A96" s="295"/>
      <c r="B96" s="295"/>
      <c r="C96" s="295"/>
      <c r="D96" s="295"/>
      <c r="E96" s="295"/>
      <c r="F96" s="295"/>
      <c r="G96" s="295"/>
      <c r="H96" s="295"/>
      <c r="I96" s="295"/>
      <c r="J96" s="295"/>
      <c r="K96" s="295"/>
      <c r="L96" s="295"/>
      <c r="M96" s="295"/>
      <c r="N96" s="295"/>
      <c r="O96" s="297"/>
      <c r="P96" s="295"/>
      <c r="Q96" s="295"/>
      <c r="R96" s="295"/>
      <c r="S96" s="295"/>
      <c r="T96" s="295"/>
      <c r="U96" s="295"/>
      <c r="V96" s="295"/>
      <c r="W96" s="295"/>
      <c r="X96" s="295"/>
      <c r="Y96" s="295"/>
      <c r="Z96" s="295"/>
    </row>
    <row r="97" ht="29.25" customHeight="1">
      <c r="A97" s="295"/>
      <c r="B97" s="295"/>
      <c r="C97" s="295"/>
      <c r="D97" s="295"/>
      <c r="E97" s="295"/>
      <c r="F97" s="295"/>
      <c r="G97" s="295"/>
      <c r="H97" s="295"/>
      <c r="I97" s="295"/>
      <c r="J97" s="295"/>
      <c r="K97" s="295"/>
      <c r="L97" s="295"/>
      <c r="M97" s="295"/>
      <c r="N97" s="295"/>
      <c r="O97" s="297"/>
      <c r="P97" s="295"/>
      <c r="Q97" s="295"/>
      <c r="R97" s="295"/>
      <c r="S97" s="295"/>
      <c r="T97" s="295"/>
      <c r="U97" s="295"/>
      <c r="V97" s="295"/>
      <c r="W97" s="295"/>
      <c r="X97" s="295"/>
      <c r="Y97" s="295"/>
      <c r="Z97" s="295"/>
    </row>
    <row r="98" ht="29.25" customHeight="1">
      <c r="A98" s="295"/>
      <c r="B98" s="295"/>
      <c r="C98" s="295"/>
      <c r="D98" s="295"/>
      <c r="E98" s="295"/>
      <c r="F98" s="295"/>
      <c r="G98" s="295"/>
      <c r="H98" s="295"/>
      <c r="I98" s="295"/>
      <c r="J98" s="295"/>
      <c r="K98" s="295"/>
      <c r="L98" s="295"/>
      <c r="M98" s="295"/>
      <c r="N98" s="295"/>
      <c r="O98" s="297"/>
      <c r="P98" s="295"/>
      <c r="Q98" s="295"/>
      <c r="R98" s="295"/>
      <c r="S98" s="295"/>
      <c r="T98" s="295"/>
      <c r="U98" s="295"/>
      <c r="V98" s="295"/>
      <c r="W98" s="295"/>
      <c r="X98" s="295"/>
      <c r="Y98" s="295"/>
      <c r="Z98" s="295"/>
    </row>
    <row r="99" ht="29.25" customHeight="1">
      <c r="A99" s="295"/>
      <c r="B99" s="295"/>
      <c r="C99" s="295"/>
      <c r="D99" s="295"/>
      <c r="E99" s="295"/>
      <c r="F99" s="295"/>
      <c r="G99" s="295"/>
      <c r="H99" s="295"/>
      <c r="I99" s="295"/>
      <c r="J99" s="295"/>
      <c r="K99" s="295"/>
      <c r="L99" s="295"/>
      <c r="M99" s="295"/>
      <c r="N99" s="295"/>
      <c r="O99" s="297"/>
      <c r="P99" s="295"/>
      <c r="Q99" s="295"/>
      <c r="R99" s="295"/>
      <c r="S99" s="295"/>
      <c r="T99" s="295"/>
      <c r="U99" s="295"/>
      <c r="V99" s="295"/>
      <c r="W99" s="295"/>
      <c r="X99" s="295"/>
      <c r="Y99" s="295"/>
      <c r="Z99" s="295"/>
    </row>
    <row r="100" ht="29.25" customHeight="1">
      <c r="A100" s="295"/>
      <c r="B100" s="295"/>
      <c r="C100" s="295"/>
      <c r="D100" s="295"/>
      <c r="E100" s="295"/>
      <c r="F100" s="295"/>
      <c r="G100" s="295"/>
      <c r="H100" s="295"/>
      <c r="I100" s="295"/>
      <c r="J100" s="295"/>
      <c r="K100" s="295"/>
      <c r="L100" s="295"/>
      <c r="M100" s="295"/>
      <c r="N100" s="295"/>
      <c r="O100" s="297"/>
      <c r="P100" s="295"/>
      <c r="Q100" s="295"/>
      <c r="R100" s="295"/>
      <c r="S100" s="295"/>
      <c r="T100" s="295"/>
      <c r="U100" s="295"/>
      <c r="V100" s="295"/>
      <c r="W100" s="295"/>
      <c r="X100" s="295"/>
      <c r="Y100" s="295"/>
      <c r="Z100" s="295"/>
    </row>
    <row r="101" ht="29.25" customHeight="1">
      <c r="A101" s="295"/>
      <c r="B101" s="295"/>
      <c r="C101" s="295"/>
      <c r="D101" s="295"/>
      <c r="E101" s="295"/>
      <c r="F101" s="295"/>
      <c r="G101" s="295"/>
      <c r="H101" s="295"/>
      <c r="I101" s="295"/>
      <c r="J101" s="295"/>
      <c r="K101" s="295"/>
      <c r="L101" s="295"/>
      <c r="M101" s="295"/>
      <c r="N101" s="295"/>
      <c r="O101" s="297"/>
      <c r="P101" s="295"/>
      <c r="Q101" s="295"/>
      <c r="R101" s="295"/>
      <c r="S101" s="295"/>
      <c r="T101" s="295"/>
      <c r="U101" s="295"/>
      <c r="V101" s="295"/>
      <c r="W101" s="295"/>
      <c r="X101" s="295"/>
      <c r="Y101" s="295"/>
      <c r="Z101" s="295"/>
    </row>
    <row r="102" ht="29.25" customHeight="1">
      <c r="A102" s="295"/>
      <c r="B102" s="295"/>
      <c r="C102" s="295"/>
      <c r="D102" s="295"/>
      <c r="E102" s="295"/>
      <c r="F102" s="295"/>
      <c r="G102" s="295"/>
      <c r="H102" s="295"/>
      <c r="I102" s="295"/>
      <c r="J102" s="295"/>
      <c r="K102" s="295"/>
      <c r="L102" s="295"/>
      <c r="M102" s="295"/>
      <c r="N102" s="295"/>
      <c r="O102" s="297"/>
      <c r="P102" s="295"/>
      <c r="Q102" s="295"/>
      <c r="R102" s="295"/>
      <c r="S102" s="295"/>
      <c r="T102" s="295"/>
      <c r="U102" s="295"/>
      <c r="V102" s="295"/>
      <c r="W102" s="295"/>
      <c r="X102" s="295"/>
      <c r="Y102" s="295"/>
      <c r="Z102" s="295"/>
    </row>
    <row r="103" ht="29.25" customHeight="1">
      <c r="A103" s="295"/>
      <c r="B103" s="295"/>
      <c r="C103" s="295"/>
      <c r="D103" s="295"/>
      <c r="E103" s="295"/>
      <c r="F103" s="295"/>
      <c r="G103" s="295"/>
      <c r="H103" s="295"/>
      <c r="I103" s="295"/>
      <c r="J103" s="295"/>
      <c r="K103" s="295"/>
      <c r="L103" s="295"/>
      <c r="M103" s="295"/>
      <c r="N103" s="295"/>
      <c r="O103" s="297"/>
      <c r="P103" s="295"/>
      <c r="Q103" s="295"/>
      <c r="R103" s="295"/>
      <c r="S103" s="295"/>
      <c r="T103" s="295"/>
      <c r="U103" s="295"/>
      <c r="V103" s="295"/>
      <c r="W103" s="295"/>
      <c r="X103" s="295"/>
      <c r="Y103" s="295"/>
      <c r="Z103" s="295"/>
    </row>
    <row r="104" ht="29.25" customHeight="1">
      <c r="A104" s="295"/>
      <c r="B104" s="295"/>
      <c r="C104" s="295"/>
      <c r="D104" s="295"/>
      <c r="E104" s="295"/>
      <c r="F104" s="295"/>
      <c r="G104" s="295"/>
      <c r="H104" s="295"/>
      <c r="I104" s="295"/>
      <c r="J104" s="295"/>
      <c r="K104" s="295"/>
      <c r="L104" s="295"/>
      <c r="M104" s="295"/>
      <c r="N104" s="295"/>
      <c r="O104" s="297"/>
      <c r="P104" s="295"/>
      <c r="Q104" s="295"/>
      <c r="R104" s="295"/>
      <c r="S104" s="295"/>
      <c r="T104" s="295"/>
      <c r="U104" s="295"/>
      <c r="V104" s="295"/>
      <c r="W104" s="295"/>
      <c r="X104" s="295"/>
      <c r="Y104" s="295"/>
      <c r="Z104" s="295"/>
    </row>
    <row r="105" ht="29.25" customHeight="1">
      <c r="A105" s="295"/>
      <c r="B105" s="295"/>
      <c r="C105" s="295"/>
      <c r="D105" s="295"/>
      <c r="E105" s="295"/>
      <c r="F105" s="295"/>
      <c r="G105" s="295"/>
      <c r="H105" s="295"/>
      <c r="I105" s="295"/>
      <c r="J105" s="295"/>
      <c r="K105" s="295"/>
      <c r="L105" s="295"/>
      <c r="M105" s="295"/>
      <c r="N105" s="295"/>
      <c r="O105" s="297"/>
      <c r="P105" s="295"/>
      <c r="Q105" s="295"/>
      <c r="R105" s="295"/>
      <c r="S105" s="295"/>
      <c r="T105" s="295"/>
      <c r="U105" s="295"/>
      <c r="V105" s="295"/>
      <c r="W105" s="295"/>
      <c r="X105" s="295"/>
      <c r="Y105" s="295"/>
      <c r="Z105" s="295"/>
    </row>
    <row r="106" ht="29.25" customHeight="1">
      <c r="A106" s="295"/>
      <c r="B106" s="295"/>
      <c r="C106" s="295"/>
      <c r="D106" s="295"/>
      <c r="E106" s="295"/>
      <c r="F106" s="295"/>
      <c r="G106" s="295"/>
      <c r="H106" s="295"/>
      <c r="I106" s="295"/>
      <c r="J106" s="295"/>
      <c r="K106" s="295"/>
      <c r="L106" s="295"/>
      <c r="M106" s="295"/>
      <c r="N106" s="295"/>
      <c r="O106" s="297"/>
      <c r="P106" s="295"/>
      <c r="Q106" s="295"/>
      <c r="R106" s="295"/>
      <c r="S106" s="295"/>
      <c r="T106" s="295"/>
      <c r="U106" s="295"/>
      <c r="V106" s="295"/>
      <c r="W106" s="295"/>
      <c r="X106" s="295"/>
      <c r="Y106" s="295"/>
      <c r="Z106" s="295"/>
    </row>
    <row r="107" ht="29.25" customHeight="1">
      <c r="A107" s="295"/>
      <c r="B107" s="295"/>
      <c r="C107" s="295"/>
      <c r="D107" s="295"/>
      <c r="E107" s="295"/>
      <c r="F107" s="295"/>
      <c r="G107" s="295"/>
      <c r="H107" s="295"/>
      <c r="I107" s="295"/>
      <c r="J107" s="295"/>
      <c r="K107" s="295"/>
      <c r="L107" s="295"/>
      <c r="M107" s="295"/>
      <c r="N107" s="295"/>
      <c r="O107" s="297"/>
      <c r="P107" s="295"/>
      <c r="Q107" s="295"/>
      <c r="R107" s="295"/>
      <c r="S107" s="295"/>
      <c r="T107" s="295"/>
      <c r="U107" s="295"/>
      <c r="V107" s="295"/>
      <c r="W107" s="295"/>
      <c r="X107" s="295"/>
      <c r="Y107" s="295"/>
      <c r="Z107" s="295"/>
    </row>
    <row r="108" ht="29.25" customHeight="1">
      <c r="A108" s="295"/>
      <c r="B108" s="295"/>
      <c r="C108" s="295"/>
      <c r="D108" s="295"/>
      <c r="E108" s="295"/>
      <c r="F108" s="295"/>
      <c r="G108" s="295"/>
      <c r="H108" s="295"/>
      <c r="I108" s="295"/>
      <c r="J108" s="295"/>
      <c r="K108" s="295"/>
      <c r="L108" s="295"/>
      <c r="M108" s="295"/>
      <c r="N108" s="295"/>
      <c r="O108" s="297"/>
      <c r="P108" s="295"/>
      <c r="Q108" s="295"/>
      <c r="R108" s="295"/>
      <c r="S108" s="295"/>
      <c r="T108" s="295"/>
      <c r="U108" s="295"/>
      <c r="V108" s="295"/>
      <c r="W108" s="295"/>
      <c r="X108" s="295"/>
      <c r="Y108" s="295"/>
      <c r="Z108" s="295"/>
    </row>
    <row r="109" ht="29.25" customHeight="1">
      <c r="A109" s="295"/>
      <c r="B109" s="295"/>
      <c r="C109" s="295"/>
      <c r="D109" s="295"/>
      <c r="E109" s="295"/>
      <c r="F109" s="295"/>
      <c r="G109" s="295"/>
      <c r="H109" s="295"/>
      <c r="I109" s="295"/>
      <c r="J109" s="295"/>
      <c r="K109" s="295"/>
      <c r="L109" s="295"/>
      <c r="M109" s="295"/>
      <c r="N109" s="295"/>
      <c r="O109" s="297"/>
      <c r="P109" s="295"/>
      <c r="Q109" s="295"/>
      <c r="R109" s="295"/>
      <c r="S109" s="295"/>
      <c r="T109" s="295"/>
      <c r="U109" s="295"/>
      <c r="V109" s="295"/>
      <c r="W109" s="295"/>
      <c r="X109" s="295"/>
      <c r="Y109" s="295"/>
      <c r="Z109" s="295"/>
    </row>
    <row r="110" ht="29.25" customHeight="1">
      <c r="A110" s="295"/>
      <c r="B110" s="295"/>
      <c r="C110" s="295"/>
      <c r="D110" s="295"/>
      <c r="E110" s="295"/>
      <c r="F110" s="295"/>
      <c r="G110" s="295"/>
      <c r="H110" s="295"/>
      <c r="I110" s="295"/>
      <c r="J110" s="295"/>
      <c r="K110" s="295"/>
      <c r="L110" s="295"/>
      <c r="M110" s="295"/>
      <c r="N110" s="295"/>
      <c r="O110" s="297"/>
      <c r="P110" s="295"/>
      <c r="Q110" s="295"/>
      <c r="R110" s="295"/>
      <c r="S110" s="295"/>
      <c r="T110" s="295"/>
      <c r="U110" s="295"/>
      <c r="V110" s="295"/>
      <c r="W110" s="295"/>
      <c r="X110" s="295"/>
      <c r="Y110" s="295"/>
      <c r="Z110" s="295"/>
    </row>
    <row r="111" ht="29.25" customHeight="1">
      <c r="A111" s="295"/>
      <c r="B111" s="295"/>
      <c r="C111" s="295"/>
      <c r="D111" s="295"/>
      <c r="E111" s="295"/>
      <c r="F111" s="295"/>
      <c r="G111" s="295"/>
      <c r="H111" s="295"/>
      <c r="I111" s="295"/>
      <c r="J111" s="295"/>
      <c r="K111" s="295"/>
      <c r="L111" s="295"/>
      <c r="M111" s="295"/>
      <c r="N111" s="295"/>
      <c r="O111" s="297"/>
      <c r="P111" s="295"/>
      <c r="Q111" s="295"/>
      <c r="R111" s="295"/>
      <c r="S111" s="295"/>
      <c r="T111" s="295"/>
      <c r="U111" s="295"/>
      <c r="V111" s="295"/>
      <c r="W111" s="295"/>
      <c r="X111" s="295"/>
      <c r="Y111" s="295"/>
      <c r="Z111" s="295"/>
    </row>
    <row r="112" ht="29.25" customHeight="1">
      <c r="A112" s="295"/>
      <c r="B112" s="295"/>
      <c r="C112" s="295"/>
      <c r="D112" s="295"/>
      <c r="E112" s="295"/>
      <c r="F112" s="295"/>
      <c r="G112" s="295"/>
      <c r="H112" s="295"/>
      <c r="I112" s="295"/>
      <c r="J112" s="295"/>
      <c r="K112" s="295"/>
      <c r="L112" s="295"/>
      <c r="M112" s="295"/>
      <c r="N112" s="295"/>
      <c r="O112" s="297"/>
      <c r="P112" s="295"/>
      <c r="Q112" s="295"/>
      <c r="R112" s="295"/>
      <c r="S112" s="295"/>
      <c r="T112" s="295"/>
      <c r="U112" s="295"/>
      <c r="V112" s="295"/>
      <c r="W112" s="295"/>
      <c r="X112" s="295"/>
      <c r="Y112" s="295"/>
      <c r="Z112" s="295"/>
    </row>
    <row r="113" ht="29.25" customHeight="1">
      <c r="A113" s="295"/>
      <c r="B113" s="295"/>
      <c r="C113" s="295"/>
      <c r="D113" s="295"/>
      <c r="E113" s="295"/>
      <c r="F113" s="295"/>
      <c r="G113" s="295"/>
      <c r="H113" s="295"/>
      <c r="I113" s="295"/>
      <c r="J113" s="295"/>
      <c r="K113" s="295"/>
      <c r="L113" s="295"/>
      <c r="M113" s="295"/>
      <c r="N113" s="295"/>
      <c r="O113" s="297"/>
      <c r="P113" s="295"/>
      <c r="Q113" s="295"/>
      <c r="R113" s="295"/>
      <c r="S113" s="295"/>
      <c r="T113" s="295"/>
      <c r="U113" s="295"/>
      <c r="V113" s="295"/>
      <c r="W113" s="295"/>
      <c r="X113" s="295"/>
      <c r="Y113" s="295"/>
      <c r="Z113" s="295"/>
    </row>
    <row r="114" ht="29.25" customHeight="1">
      <c r="A114" s="295"/>
      <c r="B114" s="295"/>
      <c r="C114" s="295"/>
      <c r="D114" s="295"/>
      <c r="E114" s="295"/>
      <c r="F114" s="295"/>
      <c r="G114" s="295"/>
      <c r="H114" s="295"/>
      <c r="I114" s="295"/>
      <c r="J114" s="295"/>
      <c r="K114" s="295"/>
      <c r="L114" s="295"/>
      <c r="M114" s="295"/>
      <c r="N114" s="295"/>
      <c r="O114" s="297"/>
      <c r="P114" s="295"/>
      <c r="Q114" s="295"/>
      <c r="R114" s="295"/>
      <c r="S114" s="295"/>
      <c r="T114" s="295"/>
      <c r="U114" s="295"/>
      <c r="V114" s="295"/>
      <c r="W114" s="295"/>
      <c r="X114" s="295"/>
      <c r="Y114" s="295"/>
      <c r="Z114" s="295"/>
    </row>
    <row r="115" ht="29.25" customHeight="1">
      <c r="A115" s="295"/>
      <c r="B115" s="295"/>
      <c r="C115" s="295"/>
      <c r="D115" s="295"/>
      <c r="E115" s="295"/>
      <c r="F115" s="295"/>
      <c r="G115" s="295"/>
      <c r="H115" s="295"/>
      <c r="I115" s="295"/>
      <c r="J115" s="295"/>
      <c r="K115" s="295"/>
      <c r="L115" s="295"/>
      <c r="M115" s="295"/>
      <c r="N115" s="295"/>
      <c r="O115" s="297"/>
      <c r="P115" s="295"/>
      <c r="Q115" s="295"/>
      <c r="R115" s="295"/>
      <c r="S115" s="295"/>
      <c r="T115" s="295"/>
      <c r="U115" s="295"/>
      <c r="V115" s="295"/>
      <c r="W115" s="295"/>
      <c r="X115" s="295"/>
      <c r="Y115" s="295"/>
      <c r="Z115" s="295"/>
    </row>
    <row r="116" ht="29.25" customHeight="1">
      <c r="A116" s="295"/>
      <c r="B116" s="295"/>
      <c r="C116" s="295"/>
      <c r="D116" s="295"/>
      <c r="E116" s="295"/>
      <c r="F116" s="295"/>
      <c r="G116" s="295"/>
      <c r="H116" s="295"/>
      <c r="I116" s="295"/>
      <c r="J116" s="295"/>
      <c r="K116" s="295"/>
      <c r="L116" s="295"/>
      <c r="M116" s="295"/>
      <c r="N116" s="295"/>
      <c r="O116" s="297"/>
      <c r="P116" s="295"/>
      <c r="Q116" s="295"/>
      <c r="R116" s="295"/>
      <c r="S116" s="295"/>
      <c r="T116" s="295"/>
      <c r="U116" s="295"/>
      <c r="V116" s="295"/>
      <c r="W116" s="295"/>
      <c r="X116" s="295"/>
      <c r="Y116" s="295"/>
      <c r="Z116" s="295"/>
    </row>
    <row r="117" ht="29.25" customHeight="1">
      <c r="A117" s="295"/>
      <c r="B117" s="295"/>
      <c r="C117" s="295"/>
      <c r="D117" s="295"/>
      <c r="E117" s="295"/>
      <c r="F117" s="295"/>
      <c r="G117" s="295"/>
      <c r="H117" s="295"/>
      <c r="I117" s="295"/>
      <c r="J117" s="295"/>
      <c r="K117" s="295"/>
      <c r="L117" s="295"/>
      <c r="M117" s="295"/>
      <c r="N117" s="295"/>
      <c r="O117" s="297"/>
      <c r="P117" s="295"/>
      <c r="Q117" s="295"/>
      <c r="R117" s="295"/>
      <c r="S117" s="295"/>
      <c r="T117" s="295"/>
      <c r="U117" s="295"/>
      <c r="V117" s="295"/>
      <c r="W117" s="295"/>
      <c r="X117" s="295"/>
      <c r="Y117" s="295"/>
      <c r="Z117" s="295"/>
    </row>
    <row r="118" ht="29.25" customHeight="1">
      <c r="A118" s="295"/>
      <c r="B118" s="295"/>
      <c r="C118" s="295"/>
      <c r="D118" s="295"/>
      <c r="E118" s="295"/>
      <c r="F118" s="295"/>
      <c r="G118" s="295"/>
      <c r="H118" s="295"/>
      <c r="I118" s="295"/>
      <c r="J118" s="295"/>
      <c r="K118" s="295"/>
      <c r="L118" s="295"/>
      <c r="M118" s="295"/>
      <c r="N118" s="295"/>
      <c r="O118" s="297"/>
      <c r="P118" s="295"/>
      <c r="Q118" s="295"/>
      <c r="R118" s="295"/>
      <c r="S118" s="295"/>
      <c r="T118" s="295"/>
      <c r="U118" s="295"/>
      <c r="V118" s="295"/>
      <c r="W118" s="295"/>
      <c r="X118" s="295"/>
      <c r="Y118" s="295"/>
      <c r="Z118" s="295"/>
    </row>
    <row r="119" ht="29.25" customHeight="1">
      <c r="A119" s="295"/>
      <c r="B119" s="295"/>
      <c r="C119" s="295"/>
      <c r="D119" s="295"/>
      <c r="E119" s="295"/>
      <c r="F119" s="295"/>
      <c r="G119" s="295"/>
      <c r="H119" s="295"/>
      <c r="I119" s="295"/>
      <c r="J119" s="295"/>
      <c r="K119" s="295"/>
      <c r="L119" s="295"/>
      <c r="M119" s="295"/>
      <c r="N119" s="295"/>
      <c r="O119" s="297"/>
      <c r="P119" s="295"/>
      <c r="Q119" s="295"/>
      <c r="R119" s="295"/>
      <c r="S119" s="295"/>
      <c r="T119" s="295"/>
      <c r="U119" s="295"/>
      <c r="V119" s="295"/>
      <c r="W119" s="295"/>
      <c r="X119" s="295"/>
      <c r="Y119" s="295"/>
      <c r="Z119" s="295"/>
    </row>
    <row r="120" ht="29.25" customHeight="1">
      <c r="A120" s="295"/>
      <c r="B120" s="295"/>
      <c r="C120" s="295"/>
      <c r="D120" s="295"/>
      <c r="E120" s="295"/>
      <c r="F120" s="295"/>
      <c r="G120" s="295"/>
      <c r="H120" s="295"/>
      <c r="I120" s="295"/>
      <c r="J120" s="295"/>
      <c r="K120" s="295"/>
      <c r="L120" s="295"/>
      <c r="M120" s="295"/>
      <c r="N120" s="295"/>
      <c r="O120" s="297"/>
      <c r="P120" s="295"/>
      <c r="Q120" s="295"/>
      <c r="R120" s="295"/>
      <c r="S120" s="295"/>
      <c r="T120" s="295"/>
      <c r="U120" s="295"/>
      <c r="V120" s="295"/>
      <c r="W120" s="295"/>
      <c r="X120" s="295"/>
      <c r="Y120" s="295"/>
      <c r="Z120" s="295"/>
    </row>
    <row r="121" ht="29.25" customHeight="1">
      <c r="A121" s="295"/>
      <c r="B121" s="295"/>
      <c r="C121" s="295"/>
      <c r="D121" s="295"/>
      <c r="E121" s="295"/>
      <c r="F121" s="295"/>
      <c r="G121" s="295"/>
      <c r="H121" s="295"/>
      <c r="I121" s="295"/>
      <c r="J121" s="295"/>
      <c r="K121" s="295"/>
      <c r="L121" s="295"/>
      <c r="M121" s="295"/>
      <c r="N121" s="295"/>
      <c r="O121" s="297"/>
      <c r="P121" s="295"/>
      <c r="Q121" s="295"/>
      <c r="R121" s="295"/>
      <c r="S121" s="295"/>
      <c r="T121" s="295"/>
      <c r="U121" s="295"/>
      <c r="V121" s="295"/>
      <c r="W121" s="295"/>
      <c r="X121" s="295"/>
      <c r="Y121" s="295"/>
      <c r="Z121" s="295"/>
    </row>
    <row r="122" ht="29.25" customHeight="1">
      <c r="A122" s="295"/>
      <c r="B122" s="295"/>
      <c r="C122" s="295"/>
      <c r="D122" s="295"/>
      <c r="E122" s="295"/>
      <c r="F122" s="295"/>
      <c r="G122" s="295"/>
      <c r="H122" s="295"/>
      <c r="I122" s="295"/>
      <c r="J122" s="295"/>
      <c r="K122" s="295"/>
      <c r="L122" s="295"/>
      <c r="M122" s="295"/>
      <c r="N122" s="295"/>
      <c r="O122" s="297"/>
      <c r="P122" s="295"/>
      <c r="Q122" s="295"/>
      <c r="R122" s="295"/>
      <c r="S122" s="295"/>
      <c r="T122" s="295"/>
      <c r="U122" s="295"/>
      <c r="V122" s="295"/>
      <c r="W122" s="295"/>
      <c r="X122" s="295"/>
      <c r="Y122" s="295"/>
      <c r="Z122" s="295"/>
    </row>
    <row r="123" ht="29.25" customHeight="1">
      <c r="A123" s="295"/>
      <c r="B123" s="295"/>
      <c r="C123" s="295"/>
      <c r="D123" s="295"/>
      <c r="E123" s="295"/>
      <c r="F123" s="295"/>
      <c r="G123" s="295"/>
      <c r="H123" s="295"/>
      <c r="I123" s="295"/>
      <c r="J123" s="295"/>
      <c r="K123" s="295"/>
      <c r="L123" s="295"/>
      <c r="M123" s="295"/>
      <c r="N123" s="295"/>
      <c r="O123" s="297"/>
      <c r="P123" s="295"/>
      <c r="Q123" s="295"/>
      <c r="R123" s="295"/>
      <c r="S123" s="295"/>
      <c r="T123" s="295"/>
      <c r="U123" s="295"/>
      <c r="V123" s="295"/>
      <c r="W123" s="295"/>
      <c r="X123" s="295"/>
      <c r="Y123" s="295"/>
      <c r="Z123" s="295"/>
    </row>
    <row r="124" ht="29.25" customHeight="1">
      <c r="A124" s="295"/>
      <c r="B124" s="295"/>
      <c r="C124" s="295"/>
      <c r="D124" s="295"/>
      <c r="E124" s="295"/>
      <c r="F124" s="295"/>
      <c r="G124" s="295"/>
      <c r="H124" s="295"/>
      <c r="I124" s="295"/>
      <c r="J124" s="295"/>
      <c r="K124" s="295"/>
      <c r="L124" s="295"/>
      <c r="M124" s="295"/>
      <c r="N124" s="295"/>
      <c r="O124" s="297"/>
      <c r="P124" s="295"/>
      <c r="Q124" s="295"/>
      <c r="R124" s="295"/>
      <c r="S124" s="295"/>
      <c r="T124" s="295"/>
      <c r="U124" s="295"/>
      <c r="V124" s="295"/>
      <c r="W124" s="295"/>
      <c r="X124" s="295"/>
      <c r="Y124" s="295"/>
      <c r="Z124" s="295"/>
    </row>
    <row r="125" ht="29.25" customHeight="1">
      <c r="A125" s="295"/>
      <c r="B125" s="295"/>
      <c r="C125" s="295"/>
      <c r="D125" s="295"/>
      <c r="E125" s="295"/>
      <c r="F125" s="295"/>
      <c r="G125" s="295"/>
      <c r="H125" s="295"/>
      <c r="I125" s="295"/>
      <c r="J125" s="295"/>
      <c r="K125" s="295"/>
      <c r="L125" s="295"/>
      <c r="M125" s="295"/>
      <c r="N125" s="295"/>
      <c r="O125" s="297"/>
      <c r="P125" s="295"/>
      <c r="Q125" s="295"/>
      <c r="R125" s="295"/>
      <c r="S125" s="295"/>
      <c r="T125" s="295"/>
      <c r="U125" s="295"/>
      <c r="V125" s="295"/>
      <c r="W125" s="295"/>
      <c r="X125" s="295"/>
      <c r="Y125" s="295"/>
      <c r="Z125" s="295"/>
    </row>
    <row r="126" ht="29.25" customHeight="1">
      <c r="A126" s="295"/>
      <c r="B126" s="295"/>
      <c r="C126" s="295"/>
      <c r="D126" s="295"/>
      <c r="E126" s="295"/>
      <c r="F126" s="295"/>
      <c r="G126" s="295"/>
      <c r="H126" s="295"/>
      <c r="I126" s="295"/>
      <c r="J126" s="295"/>
      <c r="K126" s="295"/>
      <c r="L126" s="295"/>
      <c r="M126" s="295"/>
      <c r="N126" s="295"/>
      <c r="O126" s="297"/>
      <c r="P126" s="295"/>
      <c r="Q126" s="295"/>
      <c r="R126" s="295"/>
      <c r="S126" s="295"/>
      <c r="T126" s="295"/>
      <c r="U126" s="295"/>
      <c r="V126" s="295"/>
      <c r="W126" s="295"/>
      <c r="X126" s="295"/>
      <c r="Y126" s="295"/>
      <c r="Z126" s="295"/>
    </row>
    <row r="127" ht="29.25" customHeight="1">
      <c r="A127" s="295"/>
      <c r="B127" s="295"/>
      <c r="C127" s="295"/>
      <c r="D127" s="295"/>
      <c r="E127" s="295"/>
      <c r="F127" s="295"/>
      <c r="G127" s="295"/>
      <c r="H127" s="295"/>
      <c r="I127" s="295"/>
      <c r="J127" s="295"/>
      <c r="K127" s="295"/>
      <c r="L127" s="295"/>
      <c r="M127" s="295"/>
      <c r="N127" s="295"/>
      <c r="O127" s="297"/>
      <c r="P127" s="295"/>
      <c r="Q127" s="295"/>
      <c r="R127" s="295"/>
      <c r="S127" s="295"/>
      <c r="T127" s="295"/>
      <c r="U127" s="295"/>
      <c r="V127" s="295"/>
      <c r="W127" s="295"/>
      <c r="X127" s="295"/>
      <c r="Y127" s="295"/>
      <c r="Z127" s="295"/>
    </row>
    <row r="128" ht="29.25" customHeight="1">
      <c r="A128" s="295"/>
      <c r="B128" s="295"/>
      <c r="C128" s="295"/>
      <c r="D128" s="295"/>
      <c r="E128" s="295"/>
      <c r="F128" s="295"/>
      <c r="G128" s="295"/>
      <c r="H128" s="295"/>
      <c r="I128" s="295"/>
      <c r="J128" s="295"/>
      <c r="K128" s="295"/>
      <c r="L128" s="295"/>
      <c r="M128" s="295"/>
      <c r="N128" s="295"/>
      <c r="O128" s="297"/>
      <c r="P128" s="295"/>
      <c r="Q128" s="295"/>
      <c r="R128" s="295"/>
      <c r="S128" s="295"/>
      <c r="T128" s="295"/>
      <c r="U128" s="295"/>
      <c r="V128" s="295"/>
      <c r="W128" s="295"/>
      <c r="X128" s="295"/>
      <c r="Y128" s="295"/>
      <c r="Z128" s="295"/>
    </row>
    <row r="129" ht="29.25" customHeight="1">
      <c r="A129" s="295"/>
      <c r="B129" s="295"/>
      <c r="C129" s="295"/>
      <c r="D129" s="295"/>
      <c r="E129" s="295"/>
      <c r="F129" s="295"/>
      <c r="G129" s="295"/>
      <c r="H129" s="295"/>
      <c r="I129" s="295"/>
      <c r="J129" s="295"/>
      <c r="K129" s="295"/>
      <c r="L129" s="295"/>
      <c r="M129" s="295"/>
      <c r="N129" s="295"/>
      <c r="O129" s="297"/>
      <c r="P129" s="295"/>
      <c r="Q129" s="295"/>
      <c r="R129" s="295"/>
      <c r="S129" s="295"/>
      <c r="T129" s="295"/>
      <c r="U129" s="295"/>
      <c r="V129" s="295"/>
      <c r="W129" s="295"/>
      <c r="X129" s="295"/>
      <c r="Y129" s="295"/>
      <c r="Z129" s="295"/>
    </row>
    <row r="130" ht="29.25" customHeight="1">
      <c r="A130" s="295"/>
      <c r="B130" s="295"/>
      <c r="C130" s="295"/>
      <c r="D130" s="295"/>
      <c r="E130" s="295"/>
      <c r="F130" s="295"/>
      <c r="G130" s="295"/>
      <c r="H130" s="295"/>
      <c r="I130" s="295"/>
      <c r="J130" s="295"/>
      <c r="K130" s="295"/>
      <c r="L130" s="295"/>
      <c r="M130" s="295"/>
      <c r="N130" s="295"/>
      <c r="O130" s="297"/>
      <c r="P130" s="295"/>
      <c r="Q130" s="295"/>
      <c r="R130" s="295"/>
      <c r="S130" s="295"/>
      <c r="T130" s="295"/>
      <c r="U130" s="295"/>
      <c r="V130" s="295"/>
      <c r="W130" s="295"/>
      <c r="X130" s="295"/>
      <c r="Y130" s="295"/>
      <c r="Z130" s="295"/>
    </row>
    <row r="131" ht="29.25" customHeight="1">
      <c r="A131" s="295"/>
      <c r="B131" s="295"/>
      <c r="C131" s="295"/>
      <c r="D131" s="295"/>
      <c r="E131" s="295"/>
      <c r="F131" s="295"/>
      <c r="G131" s="295"/>
      <c r="H131" s="295"/>
      <c r="I131" s="295"/>
      <c r="J131" s="295"/>
      <c r="K131" s="295"/>
      <c r="L131" s="295"/>
      <c r="M131" s="295"/>
      <c r="N131" s="295"/>
      <c r="O131" s="297"/>
      <c r="P131" s="295"/>
      <c r="Q131" s="295"/>
      <c r="R131" s="295"/>
      <c r="S131" s="295"/>
      <c r="T131" s="295"/>
      <c r="U131" s="295"/>
      <c r="V131" s="295"/>
      <c r="W131" s="295"/>
      <c r="X131" s="295"/>
      <c r="Y131" s="295"/>
      <c r="Z131" s="295"/>
    </row>
    <row r="132" ht="29.25" customHeight="1">
      <c r="A132" s="295"/>
      <c r="B132" s="295"/>
      <c r="C132" s="295"/>
      <c r="D132" s="295"/>
      <c r="E132" s="295"/>
      <c r="F132" s="295"/>
      <c r="G132" s="295"/>
      <c r="H132" s="295"/>
      <c r="I132" s="295"/>
      <c r="J132" s="295"/>
      <c r="K132" s="295"/>
      <c r="L132" s="295"/>
      <c r="M132" s="295"/>
      <c r="N132" s="295"/>
      <c r="O132" s="297"/>
      <c r="P132" s="295"/>
      <c r="Q132" s="295"/>
      <c r="R132" s="295"/>
      <c r="S132" s="295"/>
      <c r="T132" s="295"/>
      <c r="U132" s="295"/>
      <c r="V132" s="295"/>
      <c r="W132" s="295"/>
      <c r="X132" s="295"/>
      <c r="Y132" s="295"/>
      <c r="Z132" s="295"/>
    </row>
    <row r="133" ht="29.25" customHeight="1">
      <c r="A133" s="295"/>
      <c r="B133" s="295"/>
      <c r="C133" s="295"/>
      <c r="D133" s="295"/>
      <c r="E133" s="295"/>
      <c r="F133" s="295"/>
      <c r="G133" s="295"/>
      <c r="H133" s="295"/>
      <c r="I133" s="295"/>
      <c r="J133" s="295"/>
      <c r="K133" s="295"/>
      <c r="L133" s="295"/>
      <c r="M133" s="295"/>
      <c r="N133" s="295"/>
      <c r="O133" s="297"/>
      <c r="P133" s="295"/>
      <c r="Q133" s="295"/>
      <c r="R133" s="295"/>
      <c r="S133" s="295"/>
      <c r="T133" s="295"/>
      <c r="U133" s="295"/>
      <c r="V133" s="295"/>
      <c r="W133" s="295"/>
      <c r="X133" s="295"/>
      <c r="Y133" s="295"/>
      <c r="Z133" s="295"/>
    </row>
    <row r="134" ht="29.25" customHeight="1">
      <c r="A134" s="295"/>
      <c r="B134" s="295"/>
      <c r="C134" s="295"/>
      <c r="D134" s="295"/>
      <c r="E134" s="295"/>
      <c r="F134" s="295"/>
      <c r="G134" s="295"/>
      <c r="H134" s="295"/>
      <c r="I134" s="295"/>
      <c r="J134" s="295"/>
      <c r="K134" s="295"/>
      <c r="L134" s="295"/>
      <c r="M134" s="295"/>
      <c r="N134" s="295"/>
      <c r="O134" s="297"/>
      <c r="P134" s="295"/>
      <c r="Q134" s="295"/>
      <c r="R134" s="295"/>
      <c r="S134" s="295"/>
      <c r="T134" s="295"/>
      <c r="U134" s="295"/>
      <c r="V134" s="295"/>
      <c r="W134" s="295"/>
      <c r="X134" s="295"/>
      <c r="Y134" s="295"/>
      <c r="Z134" s="295"/>
    </row>
    <row r="135" ht="29.25" customHeight="1">
      <c r="A135" s="295"/>
      <c r="B135" s="295"/>
      <c r="C135" s="295"/>
      <c r="D135" s="295"/>
      <c r="E135" s="295"/>
      <c r="F135" s="295"/>
      <c r="G135" s="295"/>
      <c r="H135" s="295"/>
      <c r="I135" s="295"/>
      <c r="J135" s="295"/>
      <c r="K135" s="295"/>
      <c r="L135" s="295"/>
      <c r="M135" s="295"/>
      <c r="N135" s="295"/>
      <c r="O135" s="297"/>
      <c r="P135" s="295"/>
      <c r="Q135" s="295"/>
      <c r="R135" s="295"/>
      <c r="S135" s="295"/>
      <c r="T135" s="295"/>
      <c r="U135" s="295"/>
      <c r="V135" s="295"/>
      <c r="W135" s="295"/>
      <c r="X135" s="295"/>
      <c r="Y135" s="295"/>
      <c r="Z135" s="295"/>
    </row>
    <row r="136" ht="29.25" customHeight="1">
      <c r="A136" s="295"/>
      <c r="B136" s="295"/>
      <c r="C136" s="295"/>
      <c r="D136" s="295"/>
      <c r="E136" s="295"/>
      <c r="F136" s="295"/>
      <c r="G136" s="295"/>
      <c r="H136" s="295"/>
      <c r="I136" s="295"/>
      <c r="J136" s="295"/>
      <c r="K136" s="295"/>
      <c r="L136" s="295"/>
      <c r="M136" s="295"/>
      <c r="N136" s="295"/>
      <c r="O136" s="297"/>
      <c r="P136" s="295"/>
      <c r="Q136" s="295"/>
      <c r="R136" s="295"/>
      <c r="S136" s="295"/>
      <c r="T136" s="295"/>
      <c r="U136" s="295"/>
      <c r="V136" s="295"/>
      <c r="W136" s="295"/>
      <c r="X136" s="295"/>
      <c r="Y136" s="295"/>
      <c r="Z136" s="295"/>
    </row>
    <row r="137" ht="29.25" customHeight="1">
      <c r="A137" s="295"/>
      <c r="B137" s="295"/>
      <c r="C137" s="295"/>
      <c r="D137" s="295"/>
      <c r="E137" s="295"/>
      <c r="F137" s="295"/>
      <c r="G137" s="295"/>
      <c r="H137" s="295"/>
      <c r="I137" s="295"/>
      <c r="J137" s="295"/>
      <c r="K137" s="295"/>
      <c r="L137" s="295"/>
      <c r="M137" s="295"/>
      <c r="N137" s="295"/>
      <c r="O137" s="297"/>
      <c r="P137" s="295"/>
      <c r="Q137" s="295"/>
      <c r="R137" s="295"/>
      <c r="S137" s="295"/>
      <c r="T137" s="295"/>
      <c r="U137" s="295"/>
      <c r="V137" s="295"/>
      <c r="W137" s="295"/>
      <c r="X137" s="295"/>
      <c r="Y137" s="295"/>
      <c r="Z137" s="295"/>
    </row>
    <row r="138" ht="29.25" customHeight="1">
      <c r="A138" s="295"/>
      <c r="B138" s="295"/>
      <c r="C138" s="295"/>
      <c r="D138" s="295"/>
      <c r="E138" s="295"/>
      <c r="F138" s="295"/>
      <c r="G138" s="295"/>
      <c r="H138" s="295"/>
      <c r="I138" s="295"/>
      <c r="J138" s="295"/>
      <c r="K138" s="295"/>
      <c r="L138" s="295"/>
      <c r="M138" s="295"/>
      <c r="N138" s="295"/>
      <c r="O138" s="297"/>
      <c r="P138" s="295"/>
      <c r="Q138" s="295"/>
      <c r="R138" s="295"/>
      <c r="S138" s="295"/>
      <c r="T138" s="295"/>
      <c r="U138" s="295"/>
      <c r="V138" s="295"/>
      <c r="W138" s="295"/>
      <c r="X138" s="295"/>
      <c r="Y138" s="295"/>
      <c r="Z138" s="295"/>
    </row>
    <row r="139" ht="29.25" customHeight="1">
      <c r="A139" s="295"/>
      <c r="B139" s="295"/>
      <c r="C139" s="295"/>
      <c r="D139" s="295"/>
      <c r="E139" s="295"/>
      <c r="F139" s="295"/>
      <c r="G139" s="295"/>
      <c r="H139" s="295"/>
      <c r="I139" s="295"/>
      <c r="J139" s="295"/>
      <c r="K139" s="295"/>
      <c r="L139" s="295"/>
      <c r="M139" s="295"/>
      <c r="N139" s="295"/>
      <c r="O139" s="297"/>
      <c r="P139" s="295"/>
      <c r="Q139" s="295"/>
      <c r="R139" s="295"/>
      <c r="S139" s="295"/>
      <c r="T139" s="295"/>
      <c r="U139" s="295"/>
      <c r="V139" s="295"/>
      <c r="W139" s="295"/>
      <c r="X139" s="295"/>
      <c r="Y139" s="295"/>
      <c r="Z139" s="295"/>
    </row>
    <row r="140" ht="29.25" customHeight="1">
      <c r="A140" s="295"/>
      <c r="B140" s="295"/>
      <c r="C140" s="295"/>
      <c r="D140" s="295"/>
      <c r="E140" s="295"/>
      <c r="F140" s="295"/>
      <c r="G140" s="295"/>
      <c r="H140" s="295"/>
      <c r="I140" s="295"/>
      <c r="J140" s="295"/>
      <c r="K140" s="295"/>
      <c r="L140" s="295"/>
      <c r="M140" s="295"/>
      <c r="N140" s="295"/>
      <c r="O140" s="297"/>
      <c r="P140" s="295"/>
      <c r="Q140" s="295"/>
      <c r="R140" s="295"/>
      <c r="S140" s="295"/>
      <c r="T140" s="295"/>
      <c r="U140" s="295"/>
      <c r="V140" s="295"/>
      <c r="W140" s="295"/>
      <c r="X140" s="295"/>
      <c r="Y140" s="295"/>
      <c r="Z140" s="295"/>
    </row>
    <row r="141" ht="29.25" customHeight="1">
      <c r="A141" s="295"/>
      <c r="B141" s="295"/>
      <c r="C141" s="295"/>
      <c r="D141" s="295"/>
      <c r="E141" s="295"/>
      <c r="F141" s="295"/>
      <c r="G141" s="295"/>
      <c r="H141" s="295"/>
      <c r="I141" s="295"/>
      <c r="J141" s="295"/>
      <c r="K141" s="295"/>
      <c r="L141" s="295"/>
      <c r="M141" s="295"/>
      <c r="N141" s="295"/>
      <c r="O141" s="297"/>
      <c r="P141" s="295"/>
      <c r="Q141" s="295"/>
      <c r="R141" s="295"/>
      <c r="S141" s="295"/>
      <c r="T141" s="295"/>
      <c r="U141" s="295"/>
      <c r="V141" s="295"/>
      <c r="W141" s="295"/>
      <c r="X141" s="295"/>
      <c r="Y141" s="295"/>
      <c r="Z141" s="295"/>
    </row>
    <row r="142" ht="29.25" customHeight="1">
      <c r="A142" s="295"/>
      <c r="B142" s="295"/>
      <c r="C142" s="295"/>
      <c r="D142" s="295"/>
      <c r="E142" s="295"/>
      <c r="F142" s="295"/>
      <c r="G142" s="295"/>
      <c r="H142" s="295"/>
      <c r="I142" s="295"/>
      <c r="J142" s="295"/>
      <c r="K142" s="295"/>
      <c r="L142" s="295"/>
      <c r="M142" s="295"/>
      <c r="N142" s="295"/>
      <c r="O142" s="297"/>
      <c r="P142" s="295"/>
      <c r="Q142" s="295"/>
      <c r="R142" s="295"/>
      <c r="S142" s="295"/>
      <c r="T142" s="295"/>
      <c r="U142" s="295"/>
      <c r="V142" s="295"/>
      <c r="W142" s="295"/>
      <c r="X142" s="295"/>
      <c r="Y142" s="295"/>
      <c r="Z142" s="295"/>
    </row>
    <row r="143" ht="29.25" customHeight="1">
      <c r="A143" s="295"/>
      <c r="B143" s="295"/>
      <c r="C143" s="295"/>
      <c r="D143" s="295"/>
      <c r="E143" s="295"/>
      <c r="F143" s="295"/>
      <c r="G143" s="295"/>
      <c r="H143" s="295"/>
      <c r="I143" s="295"/>
      <c r="J143" s="295"/>
      <c r="K143" s="295"/>
      <c r="L143" s="295"/>
      <c r="M143" s="295"/>
      <c r="N143" s="295"/>
      <c r="O143" s="297"/>
      <c r="P143" s="295"/>
      <c r="Q143" s="295"/>
      <c r="R143" s="295"/>
      <c r="S143" s="295"/>
      <c r="T143" s="295"/>
      <c r="U143" s="295"/>
      <c r="V143" s="295"/>
      <c r="W143" s="295"/>
      <c r="X143" s="295"/>
      <c r="Y143" s="295"/>
      <c r="Z143" s="295"/>
    </row>
    <row r="144" ht="29.25" customHeight="1">
      <c r="A144" s="295"/>
      <c r="B144" s="295"/>
      <c r="C144" s="295"/>
      <c r="D144" s="295"/>
      <c r="E144" s="295"/>
      <c r="F144" s="295"/>
      <c r="G144" s="295"/>
      <c r="H144" s="295"/>
      <c r="I144" s="295"/>
      <c r="J144" s="295"/>
      <c r="K144" s="295"/>
      <c r="L144" s="295"/>
      <c r="M144" s="295"/>
      <c r="N144" s="295"/>
      <c r="O144" s="297"/>
      <c r="P144" s="295"/>
      <c r="Q144" s="295"/>
      <c r="R144" s="295"/>
      <c r="S144" s="295"/>
      <c r="T144" s="295"/>
      <c r="U144" s="295"/>
      <c r="V144" s="295"/>
      <c r="W144" s="295"/>
      <c r="X144" s="295"/>
      <c r="Y144" s="295"/>
      <c r="Z144" s="295"/>
    </row>
    <row r="145" ht="29.25" customHeight="1">
      <c r="A145" s="295"/>
      <c r="B145" s="295"/>
      <c r="C145" s="295"/>
      <c r="D145" s="295"/>
      <c r="E145" s="295"/>
      <c r="F145" s="295"/>
      <c r="G145" s="295"/>
      <c r="H145" s="295"/>
      <c r="I145" s="295"/>
      <c r="J145" s="295"/>
      <c r="K145" s="295"/>
      <c r="L145" s="295"/>
      <c r="M145" s="295"/>
      <c r="N145" s="295"/>
      <c r="O145" s="297"/>
      <c r="P145" s="295"/>
      <c r="Q145" s="295"/>
      <c r="R145" s="295"/>
      <c r="S145" s="295"/>
      <c r="T145" s="295"/>
      <c r="U145" s="295"/>
      <c r="V145" s="295"/>
      <c r="W145" s="295"/>
      <c r="X145" s="295"/>
      <c r="Y145" s="295"/>
      <c r="Z145" s="295"/>
    </row>
    <row r="146" ht="29.25" customHeight="1">
      <c r="A146" s="295"/>
      <c r="B146" s="295"/>
      <c r="C146" s="295"/>
      <c r="D146" s="295"/>
      <c r="E146" s="295"/>
      <c r="F146" s="295"/>
      <c r="G146" s="295"/>
      <c r="H146" s="295"/>
      <c r="I146" s="295"/>
      <c r="J146" s="295"/>
      <c r="K146" s="295"/>
      <c r="L146" s="295"/>
      <c r="M146" s="295"/>
      <c r="N146" s="295"/>
      <c r="O146" s="297"/>
      <c r="P146" s="295"/>
      <c r="Q146" s="295"/>
      <c r="R146" s="295"/>
      <c r="S146" s="295"/>
      <c r="T146" s="295"/>
      <c r="U146" s="295"/>
      <c r="V146" s="295"/>
      <c r="W146" s="295"/>
      <c r="X146" s="295"/>
      <c r="Y146" s="295"/>
      <c r="Z146" s="295"/>
    </row>
    <row r="147" ht="29.25" customHeight="1">
      <c r="A147" s="295"/>
      <c r="B147" s="295"/>
      <c r="C147" s="295"/>
      <c r="D147" s="295"/>
      <c r="E147" s="295"/>
      <c r="F147" s="295"/>
      <c r="G147" s="295"/>
      <c r="H147" s="295"/>
      <c r="I147" s="295"/>
      <c r="J147" s="295"/>
      <c r="K147" s="295"/>
      <c r="L147" s="295"/>
      <c r="M147" s="295"/>
      <c r="N147" s="295"/>
      <c r="O147" s="297"/>
      <c r="P147" s="295"/>
      <c r="Q147" s="295"/>
      <c r="R147" s="295"/>
      <c r="S147" s="295"/>
      <c r="T147" s="295"/>
      <c r="U147" s="295"/>
      <c r="V147" s="295"/>
      <c r="W147" s="295"/>
      <c r="X147" s="295"/>
      <c r="Y147" s="295"/>
      <c r="Z147" s="295"/>
    </row>
    <row r="148" ht="29.25" customHeight="1">
      <c r="A148" s="295"/>
      <c r="B148" s="295"/>
      <c r="C148" s="295"/>
      <c r="D148" s="295"/>
      <c r="E148" s="295"/>
      <c r="F148" s="295"/>
      <c r="G148" s="295"/>
      <c r="H148" s="295"/>
      <c r="I148" s="295"/>
      <c r="J148" s="295"/>
      <c r="K148" s="295"/>
      <c r="L148" s="295"/>
      <c r="M148" s="295"/>
      <c r="N148" s="295"/>
      <c r="O148" s="297"/>
      <c r="P148" s="295"/>
      <c r="Q148" s="295"/>
      <c r="R148" s="295"/>
      <c r="S148" s="295"/>
      <c r="T148" s="295"/>
      <c r="U148" s="295"/>
      <c r="V148" s="295"/>
      <c r="W148" s="295"/>
      <c r="X148" s="295"/>
      <c r="Y148" s="295"/>
      <c r="Z148" s="295"/>
    </row>
    <row r="149" ht="29.25" customHeight="1">
      <c r="A149" s="295"/>
      <c r="B149" s="295"/>
      <c r="C149" s="295"/>
      <c r="D149" s="295"/>
      <c r="E149" s="295"/>
      <c r="F149" s="295"/>
      <c r="G149" s="295"/>
      <c r="H149" s="295"/>
      <c r="I149" s="295"/>
      <c r="J149" s="295"/>
      <c r="K149" s="295"/>
      <c r="L149" s="295"/>
      <c r="M149" s="295"/>
      <c r="N149" s="295"/>
      <c r="O149" s="297"/>
      <c r="P149" s="295"/>
      <c r="Q149" s="295"/>
      <c r="R149" s="295"/>
      <c r="S149" s="295"/>
      <c r="T149" s="295"/>
      <c r="U149" s="295"/>
      <c r="V149" s="295"/>
      <c r="W149" s="295"/>
      <c r="X149" s="295"/>
      <c r="Y149" s="295"/>
      <c r="Z149" s="295"/>
    </row>
    <row r="150" ht="29.25" customHeight="1">
      <c r="A150" s="295"/>
      <c r="B150" s="295"/>
      <c r="C150" s="295"/>
      <c r="D150" s="295"/>
      <c r="E150" s="295"/>
      <c r="F150" s="295"/>
      <c r="G150" s="295"/>
      <c r="H150" s="295"/>
      <c r="I150" s="295"/>
      <c r="J150" s="295"/>
      <c r="K150" s="295"/>
      <c r="L150" s="295"/>
      <c r="M150" s="295"/>
      <c r="N150" s="295"/>
      <c r="O150" s="297"/>
      <c r="P150" s="295"/>
      <c r="Q150" s="295"/>
      <c r="R150" s="295"/>
      <c r="S150" s="295"/>
      <c r="T150" s="295"/>
      <c r="U150" s="295"/>
      <c r="V150" s="295"/>
      <c r="W150" s="295"/>
      <c r="X150" s="295"/>
      <c r="Y150" s="295"/>
      <c r="Z150" s="295"/>
    </row>
    <row r="151" ht="29.25" customHeight="1">
      <c r="A151" s="295"/>
      <c r="B151" s="295"/>
      <c r="C151" s="295"/>
      <c r="D151" s="295"/>
      <c r="E151" s="295"/>
      <c r="F151" s="295"/>
      <c r="G151" s="295"/>
      <c r="H151" s="295"/>
      <c r="I151" s="295"/>
      <c r="J151" s="295"/>
      <c r="K151" s="295"/>
      <c r="L151" s="295"/>
      <c r="M151" s="295"/>
      <c r="N151" s="295"/>
      <c r="O151" s="297"/>
      <c r="P151" s="295"/>
      <c r="Q151" s="295"/>
      <c r="R151" s="295"/>
      <c r="S151" s="295"/>
      <c r="T151" s="295"/>
      <c r="U151" s="295"/>
      <c r="V151" s="295"/>
      <c r="W151" s="295"/>
      <c r="X151" s="295"/>
      <c r="Y151" s="295"/>
      <c r="Z151" s="295"/>
    </row>
    <row r="152" ht="29.25" customHeight="1">
      <c r="A152" s="295"/>
      <c r="B152" s="295"/>
      <c r="C152" s="295"/>
      <c r="D152" s="295"/>
      <c r="E152" s="295"/>
      <c r="F152" s="295"/>
      <c r="G152" s="295"/>
      <c r="H152" s="295"/>
      <c r="I152" s="295"/>
      <c r="J152" s="295"/>
      <c r="K152" s="295"/>
      <c r="L152" s="295"/>
      <c r="M152" s="295"/>
      <c r="N152" s="295"/>
      <c r="O152" s="297"/>
      <c r="P152" s="295"/>
      <c r="Q152" s="295"/>
      <c r="R152" s="295"/>
      <c r="S152" s="295"/>
      <c r="T152" s="295"/>
      <c r="U152" s="295"/>
      <c r="V152" s="295"/>
      <c r="W152" s="295"/>
      <c r="X152" s="295"/>
      <c r="Y152" s="295"/>
      <c r="Z152" s="295"/>
    </row>
    <row r="153" ht="29.25" customHeight="1">
      <c r="A153" s="295"/>
      <c r="B153" s="295"/>
      <c r="C153" s="295"/>
      <c r="D153" s="295"/>
      <c r="E153" s="295"/>
      <c r="F153" s="295"/>
      <c r="G153" s="295"/>
      <c r="H153" s="295"/>
      <c r="I153" s="295"/>
      <c r="J153" s="295"/>
      <c r="K153" s="295"/>
      <c r="L153" s="295"/>
      <c r="M153" s="295"/>
      <c r="N153" s="295"/>
      <c r="O153" s="297"/>
      <c r="P153" s="295"/>
      <c r="Q153" s="295"/>
      <c r="R153" s="295"/>
      <c r="S153" s="295"/>
      <c r="T153" s="295"/>
      <c r="U153" s="295"/>
      <c r="V153" s="295"/>
      <c r="W153" s="295"/>
      <c r="X153" s="295"/>
      <c r="Y153" s="295"/>
      <c r="Z153" s="295"/>
    </row>
    <row r="154" ht="29.25" customHeight="1">
      <c r="A154" s="295"/>
      <c r="B154" s="295"/>
      <c r="C154" s="295"/>
      <c r="D154" s="295"/>
      <c r="E154" s="295"/>
      <c r="F154" s="295"/>
      <c r="G154" s="295"/>
      <c r="H154" s="295"/>
      <c r="I154" s="295"/>
      <c r="J154" s="295"/>
      <c r="K154" s="295"/>
      <c r="L154" s="295"/>
      <c r="M154" s="295"/>
      <c r="N154" s="295"/>
      <c r="O154" s="297"/>
      <c r="P154" s="295"/>
      <c r="Q154" s="295"/>
      <c r="R154" s="295"/>
      <c r="S154" s="295"/>
      <c r="T154" s="295"/>
      <c r="U154" s="295"/>
      <c r="V154" s="295"/>
      <c r="W154" s="295"/>
      <c r="X154" s="295"/>
      <c r="Y154" s="295"/>
      <c r="Z154" s="295"/>
    </row>
    <row r="155" ht="29.25" customHeight="1">
      <c r="A155" s="295"/>
      <c r="B155" s="295"/>
      <c r="C155" s="295"/>
      <c r="D155" s="295"/>
      <c r="E155" s="295"/>
      <c r="F155" s="295"/>
      <c r="G155" s="295"/>
      <c r="H155" s="295"/>
      <c r="I155" s="295"/>
      <c r="J155" s="295"/>
      <c r="K155" s="295"/>
      <c r="L155" s="295"/>
      <c r="M155" s="295"/>
      <c r="N155" s="295"/>
      <c r="O155" s="297"/>
      <c r="P155" s="295"/>
      <c r="Q155" s="295"/>
      <c r="R155" s="295"/>
      <c r="S155" s="295"/>
      <c r="T155" s="295"/>
      <c r="U155" s="295"/>
      <c r="V155" s="295"/>
      <c r="W155" s="295"/>
      <c r="X155" s="295"/>
      <c r="Y155" s="295"/>
      <c r="Z155" s="295"/>
    </row>
    <row r="156" ht="29.25" customHeight="1">
      <c r="A156" s="295"/>
      <c r="B156" s="295"/>
      <c r="C156" s="295"/>
      <c r="D156" s="295"/>
      <c r="E156" s="295"/>
      <c r="F156" s="295"/>
      <c r="G156" s="295"/>
      <c r="H156" s="295"/>
      <c r="I156" s="295"/>
      <c r="J156" s="295"/>
      <c r="K156" s="295"/>
      <c r="L156" s="295"/>
      <c r="M156" s="295"/>
      <c r="N156" s="295"/>
      <c r="O156" s="297"/>
      <c r="P156" s="295"/>
      <c r="Q156" s="295"/>
      <c r="R156" s="295"/>
      <c r="S156" s="295"/>
      <c r="T156" s="295"/>
      <c r="U156" s="295"/>
      <c r="V156" s="295"/>
      <c r="W156" s="295"/>
      <c r="X156" s="295"/>
      <c r="Y156" s="295"/>
      <c r="Z156" s="295"/>
    </row>
    <row r="157" ht="29.25" customHeight="1">
      <c r="A157" s="295"/>
      <c r="B157" s="295"/>
      <c r="C157" s="295"/>
      <c r="D157" s="295"/>
      <c r="E157" s="295"/>
      <c r="F157" s="295"/>
      <c r="G157" s="295"/>
      <c r="H157" s="295"/>
      <c r="I157" s="295"/>
      <c r="J157" s="295"/>
      <c r="K157" s="295"/>
      <c r="L157" s="295"/>
      <c r="M157" s="295"/>
      <c r="N157" s="295"/>
      <c r="O157" s="297"/>
      <c r="P157" s="295"/>
      <c r="Q157" s="295"/>
      <c r="R157" s="295"/>
      <c r="S157" s="295"/>
      <c r="T157" s="295"/>
      <c r="U157" s="295"/>
      <c r="V157" s="295"/>
      <c r="W157" s="295"/>
      <c r="X157" s="295"/>
      <c r="Y157" s="295"/>
      <c r="Z157" s="295"/>
    </row>
    <row r="158" ht="29.25" customHeight="1">
      <c r="A158" s="295"/>
      <c r="B158" s="295"/>
      <c r="C158" s="295"/>
      <c r="D158" s="295"/>
      <c r="E158" s="295"/>
      <c r="F158" s="295"/>
      <c r="G158" s="295"/>
      <c r="H158" s="295"/>
      <c r="I158" s="295"/>
      <c r="J158" s="295"/>
      <c r="K158" s="295"/>
      <c r="L158" s="295"/>
      <c r="M158" s="295"/>
      <c r="N158" s="295"/>
      <c r="O158" s="297"/>
      <c r="P158" s="295"/>
      <c r="Q158" s="295"/>
      <c r="R158" s="295"/>
      <c r="S158" s="295"/>
      <c r="T158" s="295"/>
      <c r="U158" s="295"/>
      <c r="V158" s="295"/>
      <c r="W158" s="295"/>
      <c r="X158" s="295"/>
      <c r="Y158" s="295"/>
      <c r="Z158" s="295"/>
    </row>
    <row r="159" ht="29.25" customHeight="1">
      <c r="A159" s="295"/>
      <c r="B159" s="295"/>
      <c r="C159" s="295"/>
      <c r="D159" s="295"/>
      <c r="E159" s="295"/>
      <c r="F159" s="295"/>
      <c r="G159" s="295"/>
      <c r="H159" s="295"/>
      <c r="I159" s="295"/>
      <c r="J159" s="295"/>
      <c r="K159" s="295"/>
      <c r="L159" s="295"/>
      <c r="M159" s="295"/>
      <c r="N159" s="295"/>
      <c r="O159" s="297"/>
      <c r="P159" s="295"/>
      <c r="Q159" s="295"/>
      <c r="R159" s="295"/>
      <c r="S159" s="295"/>
      <c r="T159" s="295"/>
      <c r="U159" s="295"/>
      <c r="V159" s="295"/>
      <c r="W159" s="295"/>
      <c r="X159" s="295"/>
      <c r="Y159" s="295"/>
      <c r="Z159" s="295"/>
    </row>
    <row r="160" ht="29.25" customHeight="1">
      <c r="A160" s="295"/>
      <c r="B160" s="295"/>
      <c r="C160" s="295"/>
      <c r="D160" s="295"/>
      <c r="E160" s="295"/>
      <c r="F160" s="295"/>
      <c r="G160" s="295"/>
      <c r="H160" s="295"/>
      <c r="I160" s="295"/>
      <c r="J160" s="295"/>
      <c r="K160" s="295"/>
      <c r="L160" s="295"/>
      <c r="M160" s="295"/>
      <c r="N160" s="295"/>
      <c r="O160" s="297"/>
      <c r="P160" s="295"/>
      <c r="Q160" s="295"/>
      <c r="R160" s="295"/>
      <c r="S160" s="295"/>
      <c r="T160" s="295"/>
      <c r="U160" s="295"/>
      <c r="V160" s="295"/>
      <c r="W160" s="295"/>
      <c r="X160" s="295"/>
      <c r="Y160" s="295"/>
      <c r="Z160" s="295"/>
    </row>
    <row r="161" ht="29.25" customHeight="1">
      <c r="A161" s="295"/>
      <c r="B161" s="295"/>
      <c r="C161" s="295"/>
      <c r="D161" s="295"/>
      <c r="E161" s="295"/>
      <c r="F161" s="295"/>
      <c r="G161" s="295"/>
      <c r="H161" s="295"/>
      <c r="I161" s="295"/>
      <c r="J161" s="295"/>
      <c r="K161" s="295"/>
      <c r="L161" s="295"/>
      <c r="M161" s="295"/>
      <c r="N161" s="295"/>
      <c r="O161" s="297"/>
      <c r="P161" s="295"/>
      <c r="Q161" s="295"/>
      <c r="R161" s="295"/>
      <c r="S161" s="295"/>
      <c r="T161" s="295"/>
      <c r="U161" s="295"/>
      <c r="V161" s="295"/>
      <c r="W161" s="295"/>
      <c r="X161" s="295"/>
      <c r="Y161" s="295"/>
      <c r="Z161" s="295"/>
    </row>
    <row r="162" ht="29.25" customHeight="1">
      <c r="A162" s="295"/>
      <c r="B162" s="295"/>
      <c r="C162" s="295"/>
      <c r="D162" s="295"/>
      <c r="E162" s="295"/>
      <c r="F162" s="295"/>
      <c r="G162" s="295"/>
      <c r="H162" s="295"/>
      <c r="I162" s="295"/>
      <c r="J162" s="295"/>
      <c r="K162" s="295"/>
      <c r="L162" s="295"/>
      <c r="M162" s="295"/>
      <c r="N162" s="295"/>
      <c r="O162" s="297"/>
      <c r="P162" s="295"/>
      <c r="Q162" s="295"/>
      <c r="R162" s="295"/>
      <c r="S162" s="295"/>
      <c r="T162" s="295"/>
      <c r="U162" s="295"/>
      <c r="V162" s="295"/>
      <c r="W162" s="295"/>
      <c r="X162" s="295"/>
      <c r="Y162" s="295"/>
      <c r="Z162" s="295"/>
    </row>
    <row r="163" ht="29.25" customHeight="1">
      <c r="A163" s="295"/>
      <c r="B163" s="295"/>
      <c r="C163" s="295"/>
      <c r="D163" s="295"/>
      <c r="E163" s="295"/>
      <c r="F163" s="295"/>
      <c r="G163" s="295"/>
      <c r="H163" s="295"/>
      <c r="I163" s="295"/>
      <c r="J163" s="295"/>
      <c r="K163" s="295"/>
      <c r="L163" s="295"/>
      <c r="M163" s="295"/>
      <c r="N163" s="295"/>
      <c r="O163" s="297"/>
      <c r="P163" s="295"/>
      <c r="Q163" s="295"/>
      <c r="R163" s="295"/>
      <c r="S163" s="295"/>
      <c r="T163" s="295"/>
      <c r="U163" s="295"/>
      <c r="V163" s="295"/>
      <c r="W163" s="295"/>
      <c r="X163" s="295"/>
      <c r="Y163" s="295"/>
      <c r="Z163" s="295"/>
    </row>
    <row r="164" ht="29.25" customHeight="1">
      <c r="A164" s="295"/>
      <c r="B164" s="295"/>
      <c r="C164" s="295"/>
      <c r="D164" s="295"/>
      <c r="E164" s="295"/>
      <c r="F164" s="295"/>
      <c r="G164" s="295"/>
      <c r="H164" s="295"/>
      <c r="I164" s="295"/>
      <c r="J164" s="295"/>
      <c r="K164" s="295"/>
      <c r="L164" s="295"/>
      <c r="M164" s="295"/>
      <c r="N164" s="295"/>
      <c r="O164" s="297"/>
      <c r="P164" s="295"/>
      <c r="Q164" s="295"/>
      <c r="R164" s="295"/>
      <c r="S164" s="295"/>
      <c r="T164" s="295"/>
      <c r="U164" s="295"/>
      <c r="V164" s="295"/>
      <c r="W164" s="295"/>
      <c r="X164" s="295"/>
      <c r="Y164" s="295"/>
      <c r="Z164" s="295"/>
    </row>
    <row r="165" ht="29.25" customHeight="1">
      <c r="A165" s="295"/>
      <c r="B165" s="295"/>
      <c r="C165" s="295"/>
      <c r="D165" s="295"/>
      <c r="E165" s="295"/>
      <c r="F165" s="295"/>
      <c r="G165" s="295"/>
      <c r="H165" s="295"/>
      <c r="I165" s="295"/>
      <c r="J165" s="295"/>
      <c r="K165" s="295"/>
      <c r="L165" s="295"/>
      <c r="M165" s="295"/>
      <c r="N165" s="295"/>
      <c r="O165" s="297"/>
      <c r="P165" s="295"/>
      <c r="Q165" s="295"/>
      <c r="R165" s="295"/>
      <c r="S165" s="295"/>
      <c r="T165" s="295"/>
      <c r="U165" s="295"/>
      <c r="V165" s="295"/>
      <c r="W165" s="295"/>
      <c r="X165" s="295"/>
      <c r="Y165" s="295"/>
      <c r="Z165" s="295"/>
    </row>
    <row r="166" ht="29.25" customHeight="1">
      <c r="A166" s="295"/>
      <c r="B166" s="295"/>
      <c r="C166" s="295"/>
      <c r="D166" s="295"/>
      <c r="E166" s="295"/>
      <c r="F166" s="295"/>
      <c r="G166" s="295"/>
      <c r="H166" s="295"/>
      <c r="I166" s="295"/>
      <c r="J166" s="295"/>
      <c r="K166" s="295"/>
      <c r="L166" s="295"/>
      <c r="M166" s="295"/>
      <c r="N166" s="295"/>
      <c r="O166" s="297"/>
      <c r="P166" s="295"/>
      <c r="Q166" s="295"/>
      <c r="R166" s="295"/>
      <c r="S166" s="295"/>
      <c r="T166" s="295"/>
      <c r="U166" s="295"/>
      <c r="V166" s="295"/>
      <c r="W166" s="295"/>
      <c r="X166" s="295"/>
      <c r="Y166" s="295"/>
      <c r="Z166" s="295"/>
    </row>
    <row r="167" ht="29.25" customHeight="1">
      <c r="A167" s="295"/>
      <c r="B167" s="295"/>
      <c r="C167" s="295"/>
      <c r="D167" s="295"/>
      <c r="E167" s="295"/>
      <c r="F167" s="295"/>
      <c r="G167" s="295"/>
      <c r="H167" s="295"/>
      <c r="I167" s="295"/>
      <c r="J167" s="295"/>
      <c r="K167" s="295"/>
      <c r="L167" s="295"/>
      <c r="M167" s="295"/>
      <c r="N167" s="295"/>
      <c r="O167" s="297"/>
      <c r="P167" s="295"/>
      <c r="Q167" s="295"/>
      <c r="R167" s="295"/>
      <c r="S167" s="295"/>
      <c r="T167" s="295"/>
      <c r="U167" s="295"/>
      <c r="V167" s="295"/>
      <c r="W167" s="295"/>
      <c r="X167" s="295"/>
      <c r="Y167" s="295"/>
      <c r="Z167" s="295"/>
    </row>
    <row r="168" ht="29.25" customHeight="1">
      <c r="A168" s="295"/>
      <c r="B168" s="295"/>
      <c r="C168" s="295"/>
      <c r="D168" s="295"/>
      <c r="E168" s="295"/>
      <c r="F168" s="295"/>
      <c r="G168" s="295"/>
      <c r="H168" s="295"/>
      <c r="I168" s="295"/>
      <c r="J168" s="295"/>
      <c r="K168" s="295"/>
      <c r="L168" s="295"/>
      <c r="M168" s="295"/>
      <c r="N168" s="295"/>
      <c r="O168" s="297"/>
      <c r="P168" s="295"/>
      <c r="Q168" s="295"/>
      <c r="R168" s="295"/>
      <c r="S168" s="295"/>
      <c r="T168" s="295"/>
      <c r="U168" s="295"/>
      <c r="V168" s="295"/>
      <c r="W168" s="295"/>
      <c r="X168" s="295"/>
      <c r="Y168" s="295"/>
      <c r="Z168" s="295"/>
    </row>
    <row r="169" ht="29.25" customHeight="1">
      <c r="A169" s="295"/>
      <c r="B169" s="295"/>
      <c r="C169" s="295"/>
      <c r="D169" s="295"/>
      <c r="E169" s="295"/>
      <c r="F169" s="295"/>
      <c r="G169" s="295"/>
      <c r="H169" s="295"/>
      <c r="I169" s="295"/>
      <c r="J169" s="295"/>
      <c r="K169" s="295"/>
      <c r="L169" s="295"/>
      <c r="M169" s="295"/>
      <c r="N169" s="295"/>
      <c r="O169" s="297"/>
      <c r="P169" s="295"/>
      <c r="Q169" s="295"/>
      <c r="R169" s="295"/>
      <c r="S169" s="295"/>
      <c r="T169" s="295"/>
      <c r="U169" s="295"/>
      <c r="V169" s="295"/>
      <c r="W169" s="295"/>
      <c r="X169" s="295"/>
      <c r="Y169" s="295"/>
      <c r="Z169" s="295"/>
    </row>
    <row r="170" ht="29.25" customHeight="1">
      <c r="A170" s="295"/>
      <c r="B170" s="295"/>
      <c r="C170" s="295"/>
      <c r="D170" s="295"/>
      <c r="E170" s="295"/>
      <c r="F170" s="295"/>
      <c r="G170" s="295"/>
      <c r="H170" s="295"/>
      <c r="I170" s="295"/>
      <c r="J170" s="295"/>
      <c r="K170" s="295"/>
      <c r="L170" s="295"/>
      <c r="M170" s="295"/>
      <c r="N170" s="295"/>
      <c r="O170" s="297"/>
      <c r="P170" s="295"/>
      <c r="Q170" s="295"/>
      <c r="R170" s="295"/>
      <c r="S170" s="295"/>
      <c r="T170" s="295"/>
      <c r="U170" s="295"/>
      <c r="V170" s="295"/>
      <c r="W170" s="295"/>
      <c r="X170" s="295"/>
      <c r="Y170" s="295"/>
      <c r="Z170" s="295"/>
    </row>
    <row r="171" ht="29.25" customHeight="1">
      <c r="A171" s="295"/>
      <c r="B171" s="295"/>
      <c r="C171" s="295"/>
      <c r="D171" s="295"/>
      <c r="E171" s="295"/>
      <c r="F171" s="295"/>
      <c r="G171" s="295"/>
      <c r="H171" s="295"/>
      <c r="I171" s="295"/>
      <c r="J171" s="295"/>
      <c r="K171" s="295"/>
      <c r="L171" s="295"/>
      <c r="M171" s="295"/>
      <c r="N171" s="295"/>
      <c r="O171" s="297"/>
      <c r="P171" s="295"/>
      <c r="Q171" s="295"/>
      <c r="R171" s="295"/>
      <c r="S171" s="295"/>
      <c r="T171" s="295"/>
      <c r="U171" s="295"/>
      <c r="V171" s="295"/>
      <c r="W171" s="295"/>
      <c r="X171" s="295"/>
      <c r="Y171" s="295"/>
      <c r="Z171" s="295"/>
    </row>
    <row r="172" ht="29.25" customHeight="1">
      <c r="A172" s="295"/>
      <c r="B172" s="295"/>
      <c r="C172" s="295"/>
      <c r="D172" s="295"/>
      <c r="E172" s="295"/>
      <c r="F172" s="295"/>
      <c r="G172" s="295"/>
      <c r="H172" s="295"/>
      <c r="I172" s="295"/>
      <c r="J172" s="295"/>
      <c r="K172" s="295"/>
      <c r="L172" s="295"/>
      <c r="M172" s="295"/>
      <c r="N172" s="295"/>
      <c r="O172" s="297"/>
      <c r="P172" s="295"/>
      <c r="Q172" s="295"/>
      <c r="R172" s="295"/>
      <c r="S172" s="295"/>
      <c r="T172" s="295"/>
      <c r="U172" s="295"/>
      <c r="V172" s="295"/>
      <c r="W172" s="295"/>
      <c r="X172" s="295"/>
      <c r="Y172" s="295"/>
      <c r="Z172" s="295"/>
    </row>
    <row r="173" ht="29.25" customHeight="1">
      <c r="A173" s="295"/>
      <c r="B173" s="295"/>
      <c r="C173" s="295"/>
      <c r="D173" s="295"/>
      <c r="E173" s="295"/>
      <c r="F173" s="295"/>
      <c r="G173" s="295"/>
      <c r="H173" s="295"/>
      <c r="I173" s="295"/>
      <c r="J173" s="295"/>
      <c r="K173" s="295"/>
      <c r="L173" s="295"/>
      <c r="M173" s="295"/>
      <c r="N173" s="295"/>
      <c r="O173" s="297"/>
      <c r="P173" s="295"/>
      <c r="Q173" s="295"/>
      <c r="R173" s="295"/>
      <c r="S173" s="295"/>
      <c r="T173" s="295"/>
      <c r="U173" s="295"/>
      <c r="V173" s="295"/>
      <c r="W173" s="295"/>
      <c r="X173" s="295"/>
      <c r="Y173" s="295"/>
      <c r="Z173" s="295"/>
    </row>
    <row r="174" ht="29.25" customHeight="1">
      <c r="A174" s="295"/>
      <c r="B174" s="295"/>
      <c r="C174" s="295"/>
      <c r="D174" s="295"/>
      <c r="E174" s="295"/>
      <c r="F174" s="295"/>
      <c r="G174" s="295"/>
      <c r="H174" s="295"/>
      <c r="I174" s="295"/>
      <c r="J174" s="295"/>
      <c r="K174" s="295"/>
      <c r="L174" s="295"/>
      <c r="M174" s="295"/>
      <c r="N174" s="295"/>
      <c r="O174" s="297"/>
      <c r="P174" s="295"/>
      <c r="Q174" s="295"/>
      <c r="R174" s="295"/>
      <c r="S174" s="295"/>
      <c r="T174" s="295"/>
      <c r="U174" s="295"/>
      <c r="V174" s="295"/>
      <c r="W174" s="295"/>
      <c r="X174" s="295"/>
      <c r="Y174" s="295"/>
      <c r="Z174" s="295"/>
    </row>
    <row r="175" ht="29.25" customHeight="1">
      <c r="A175" s="295"/>
      <c r="B175" s="295"/>
      <c r="C175" s="295"/>
      <c r="D175" s="295"/>
      <c r="E175" s="295"/>
      <c r="F175" s="295"/>
      <c r="G175" s="295"/>
      <c r="H175" s="295"/>
      <c r="I175" s="295"/>
      <c r="J175" s="295"/>
      <c r="K175" s="295"/>
      <c r="L175" s="295"/>
      <c r="M175" s="295"/>
      <c r="N175" s="295"/>
      <c r="O175" s="297"/>
      <c r="P175" s="295"/>
      <c r="Q175" s="295"/>
      <c r="R175" s="295"/>
      <c r="S175" s="295"/>
      <c r="T175" s="295"/>
      <c r="U175" s="295"/>
      <c r="V175" s="295"/>
      <c r="W175" s="295"/>
      <c r="X175" s="295"/>
      <c r="Y175" s="295"/>
      <c r="Z175" s="295"/>
    </row>
    <row r="176" ht="29.25" customHeight="1">
      <c r="A176" s="295"/>
      <c r="B176" s="295"/>
      <c r="C176" s="295"/>
      <c r="D176" s="295"/>
      <c r="E176" s="295"/>
      <c r="F176" s="295"/>
      <c r="G176" s="295"/>
      <c r="H176" s="295"/>
      <c r="I176" s="295"/>
      <c r="J176" s="295"/>
      <c r="K176" s="295"/>
      <c r="L176" s="295"/>
      <c r="M176" s="295"/>
      <c r="N176" s="295"/>
      <c r="O176" s="297"/>
      <c r="P176" s="295"/>
      <c r="Q176" s="295"/>
      <c r="R176" s="295"/>
      <c r="S176" s="295"/>
      <c r="T176" s="295"/>
      <c r="U176" s="295"/>
      <c r="V176" s="295"/>
      <c r="W176" s="295"/>
      <c r="X176" s="295"/>
      <c r="Y176" s="295"/>
      <c r="Z176" s="295"/>
    </row>
    <row r="177" ht="29.25" customHeight="1">
      <c r="A177" s="295"/>
      <c r="B177" s="295"/>
      <c r="C177" s="295"/>
      <c r="D177" s="295"/>
      <c r="E177" s="295"/>
      <c r="F177" s="295"/>
      <c r="G177" s="295"/>
      <c r="H177" s="295"/>
      <c r="I177" s="295"/>
      <c r="J177" s="295"/>
      <c r="K177" s="295"/>
      <c r="L177" s="295"/>
      <c r="M177" s="295"/>
      <c r="N177" s="295"/>
      <c r="O177" s="297"/>
      <c r="P177" s="295"/>
      <c r="Q177" s="295"/>
      <c r="R177" s="295"/>
      <c r="S177" s="295"/>
      <c r="T177" s="295"/>
      <c r="U177" s="295"/>
      <c r="V177" s="295"/>
      <c r="W177" s="295"/>
      <c r="X177" s="295"/>
      <c r="Y177" s="295"/>
      <c r="Z177" s="295"/>
    </row>
    <row r="178" ht="29.25" customHeight="1">
      <c r="A178" s="295"/>
      <c r="B178" s="295"/>
      <c r="C178" s="295"/>
      <c r="D178" s="295"/>
      <c r="E178" s="295"/>
      <c r="F178" s="295"/>
      <c r="G178" s="295"/>
      <c r="H178" s="295"/>
      <c r="I178" s="295"/>
      <c r="J178" s="295"/>
      <c r="K178" s="295"/>
      <c r="L178" s="295"/>
      <c r="M178" s="295"/>
      <c r="N178" s="295"/>
      <c r="O178" s="297"/>
      <c r="P178" s="295"/>
      <c r="Q178" s="295"/>
      <c r="R178" s="295"/>
      <c r="S178" s="295"/>
      <c r="T178" s="295"/>
      <c r="U178" s="295"/>
      <c r="V178" s="295"/>
      <c r="W178" s="295"/>
      <c r="X178" s="295"/>
      <c r="Y178" s="295"/>
      <c r="Z178" s="295"/>
    </row>
    <row r="179" ht="29.25" customHeight="1">
      <c r="A179" s="295"/>
      <c r="B179" s="295"/>
      <c r="C179" s="295"/>
      <c r="D179" s="295"/>
      <c r="E179" s="295"/>
      <c r="F179" s="295"/>
      <c r="G179" s="295"/>
      <c r="H179" s="295"/>
      <c r="I179" s="295"/>
      <c r="J179" s="295"/>
      <c r="K179" s="295"/>
      <c r="L179" s="295"/>
      <c r="M179" s="295"/>
      <c r="N179" s="295"/>
      <c r="O179" s="297"/>
      <c r="P179" s="295"/>
      <c r="Q179" s="295"/>
      <c r="R179" s="295"/>
      <c r="S179" s="295"/>
      <c r="T179" s="295"/>
      <c r="U179" s="295"/>
      <c r="V179" s="295"/>
      <c r="W179" s="295"/>
      <c r="X179" s="295"/>
      <c r="Y179" s="295"/>
      <c r="Z179" s="295"/>
    </row>
    <row r="180" ht="29.25" customHeight="1">
      <c r="A180" s="295"/>
      <c r="B180" s="295"/>
      <c r="C180" s="295"/>
      <c r="D180" s="295"/>
      <c r="E180" s="295"/>
      <c r="F180" s="295"/>
      <c r="G180" s="295"/>
      <c r="H180" s="295"/>
      <c r="I180" s="295"/>
      <c r="J180" s="295"/>
      <c r="K180" s="295"/>
      <c r="L180" s="295"/>
      <c r="M180" s="295"/>
      <c r="N180" s="295"/>
      <c r="O180" s="297"/>
      <c r="P180" s="295"/>
      <c r="Q180" s="295"/>
      <c r="R180" s="295"/>
      <c r="S180" s="295"/>
      <c r="T180" s="295"/>
      <c r="U180" s="295"/>
      <c r="V180" s="295"/>
      <c r="W180" s="295"/>
      <c r="X180" s="295"/>
      <c r="Y180" s="295"/>
      <c r="Z180" s="295"/>
    </row>
    <row r="181" ht="29.25" customHeight="1">
      <c r="A181" s="295"/>
      <c r="B181" s="295"/>
      <c r="C181" s="295"/>
      <c r="D181" s="295"/>
      <c r="E181" s="295"/>
      <c r="F181" s="295"/>
      <c r="G181" s="295"/>
      <c r="H181" s="295"/>
      <c r="I181" s="295"/>
      <c r="J181" s="295"/>
      <c r="K181" s="295"/>
      <c r="L181" s="295"/>
      <c r="M181" s="295"/>
      <c r="N181" s="295"/>
      <c r="O181" s="297"/>
      <c r="P181" s="295"/>
      <c r="Q181" s="295"/>
      <c r="R181" s="295"/>
      <c r="S181" s="295"/>
      <c r="T181" s="295"/>
      <c r="U181" s="295"/>
      <c r="V181" s="295"/>
      <c r="W181" s="295"/>
      <c r="X181" s="295"/>
      <c r="Y181" s="295"/>
      <c r="Z181" s="295"/>
    </row>
    <row r="182" ht="29.25" customHeight="1">
      <c r="A182" s="295"/>
      <c r="B182" s="295"/>
      <c r="C182" s="295"/>
      <c r="D182" s="295"/>
      <c r="E182" s="295"/>
      <c r="F182" s="295"/>
      <c r="G182" s="295"/>
      <c r="H182" s="295"/>
      <c r="I182" s="295"/>
      <c r="J182" s="295"/>
      <c r="K182" s="295"/>
      <c r="L182" s="295"/>
      <c r="M182" s="295"/>
      <c r="N182" s="295"/>
      <c r="O182" s="297"/>
      <c r="P182" s="295"/>
      <c r="Q182" s="295"/>
      <c r="R182" s="295"/>
      <c r="S182" s="295"/>
      <c r="T182" s="295"/>
      <c r="U182" s="295"/>
      <c r="V182" s="295"/>
      <c r="W182" s="295"/>
      <c r="X182" s="295"/>
      <c r="Y182" s="295"/>
      <c r="Z182" s="295"/>
    </row>
    <row r="183" ht="29.25" customHeight="1">
      <c r="A183" s="295"/>
      <c r="B183" s="295"/>
      <c r="C183" s="295"/>
      <c r="D183" s="295"/>
      <c r="E183" s="295"/>
      <c r="F183" s="295"/>
      <c r="G183" s="295"/>
      <c r="H183" s="295"/>
      <c r="I183" s="295"/>
      <c r="J183" s="295"/>
      <c r="K183" s="295"/>
      <c r="L183" s="295"/>
      <c r="M183" s="295"/>
      <c r="N183" s="295"/>
      <c r="O183" s="297"/>
      <c r="P183" s="295"/>
      <c r="Q183" s="295"/>
      <c r="R183" s="295"/>
      <c r="S183" s="295"/>
      <c r="T183" s="295"/>
      <c r="U183" s="295"/>
      <c r="V183" s="295"/>
      <c r="W183" s="295"/>
      <c r="X183" s="295"/>
      <c r="Y183" s="295"/>
      <c r="Z183" s="295"/>
    </row>
    <row r="184" ht="29.25" customHeight="1">
      <c r="A184" s="295"/>
      <c r="B184" s="295"/>
      <c r="C184" s="295"/>
      <c r="D184" s="295"/>
      <c r="E184" s="295"/>
      <c r="F184" s="295"/>
      <c r="G184" s="295"/>
      <c r="H184" s="295"/>
      <c r="I184" s="295"/>
      <c r="J184" s="295"/>
      <c r="K184" s="295"/>
      <c r="L184" s="295"/>
      <c r="M184" s="295"/>
      <c r="N184" s="295"/>
      <c r="O184" s="297"/>
      <c r="P184" s="295"/>
      <c r="Q184" s="295"/>
      <c r="R184" s="295"/>
      <c r="S184" s="295"/>
      <c r="T184" s="295"/>
      <c r="U184" s="295"/>
      <c r="V184" s="295"/>
      <c r="W184" s="295"/>
      <c r="X184" s="295"/>
      <c r="Y184" s="295"/>
      <c r="Z184" s="295"/>
    </row>
    <row r="185" ht="29.25" customHeight="1">
      <c r="A185" s="295"/>
      <c r="B185" s="295"/>
      <c r="C185" s="295"/>
      <c r="D185" s="295"/>
      <c r="E185" s="295"/>
      <c r="F185" s="295"/>
      <c r="G185" s="295"/>
      <c r="H185" s="295"/>
      <c r="I185" s="295"/>
      <c r="J185" s="295"/>
      <c r="K185" s="295"/>
      <c r="L185" s="295"/>
      <c r="M185" s="295"/>
      <c r="N185" s="295"/>
      <c r="O185" s="297"/>
      <c r="P185" s="295"/>
      <c r="Q185" s="295"/>
      <c r="R185" s="295"/>
      <c r="S185" s="295"/>
      <c r="T185" s="295"/>
      <c r="U185" s="295"/>
      <c r="V185" s="295"/>
      <c r="W185" s="295"/>
      <c r="X185" s="295"/>
      <c r="Y185" s="295"/>
      <c r="Z185" s="295"/>
    </row>
    <row r="186" ht="29.25" customHeight="1">
      <c r="A186" s="295"/>
      <c r="B186" s="295"/>
      <c r="C186" s="295"/>
      <c r="D186" s="295"/>
      <c r="E186" s="295"/>
      <c r="F186" s="295"/>
      <c r="G186" s="295"/>
      <c r="H186" s="295"/>
      <c r="I186" s="295"/>
      <c r="J186" s="295"/>
      <c r="K186" s="295"/>
      <c r="L186" s="295"/>
      <c r="M186" s="295"/>
      <c r="N186" s="295"/>
      <c r="O186" s="297"/>
      <c r="P186" s="295"/>
      <c r="Q186" s="295"/>
      <c r="R186" s="295"/>
      <c r="S186" s="295"/>
      <c r="T186" s="295"/>
      <c r="U186" s="295"/>
      <c r="V186" s="295"/>
      <c r="W186" s="295"/>
      <c r="X186" s="295"/>
      <c r="Y186" s="295"/>
      <c r="Z186" s="295"/>
    </row>
    <row r="187" ht="29.25" customHeight="1">
      <c r="A187" s="295"/>
      <c r="B187" s="295"/>
      <c r="C187" s="295"/>
      <c r="D187" s="295"/>
      <c r="E187" s="295"/>
      <c r="F187" s="295"/>
      <c r="G187" s="295"/>
      <c r="H187" s="295"/>
      <c r="I187" s="295"/>
      <c r="J187" s="295"/>
      <c r="K187" s="295"/>
      <c r="L187" s="295"/>
      <c r="M187" s="295"/>
      <c r="N187" s="295"/>
      <c r="O187" s="297"/>
      <c r="P187" s="295"/>
      <c r="Q187" s="295"/>
      <c r="R187" s="295"/>
      <c r="S187" s="295"/>
      <c r="T187" s="295"/>
      <c r="U187" s="295"/>
      <c r="V187" s="295"/>
      <c r="W187" s="295"/>
      <c r="X187" s="295"/>
      <c r="Y187" s="295"/>
      <c r="Z187" s="295"/>
    </row>
    <row r="188" ht="29.25" customHeight="1">
      <c r="A188" s="295"/>
      <c r="B188" s="295"/>
      <c r="C188" s="295"/>
      <c r="D188" s="295"/>
      <c r="E188" s="295"/>
      <c r="F188" s="295"/>
      <c r="G188" s="295"/>
      <c r="H188" s="295"/>
      <c r="I188" s="295"/>
      <c r="J188" s="295"/>
      <c r="K188" s="295"/>
      <c r="L188" s="295"/>
      <c r="M188" s="295"/>
      <c r="N188" s="295"/>
      <c r="O188" s="297"/>
      <c r="P188" s="295"/>
      <c r="Q188" s="295"/>
      <c r="R188" s="295"/>
      <c r="S188" s="295"/>
      <c r="T188" s="295"/>
      <c r="U188" s="295"/>
      <c r="V188" s="295"/>
      <c r="W188" s="295"/>
      <c r="X188" s="295"/>
      <c r="Y188" s="295"/>
      <c r="Z188" s="295"/>
    </row>
    <row r="189" ht="29.25" customHeight="1">
      <c r="A189" s="295"/>
      <c r="B189" s="295"/>
      <c r="C189" s="295"/>
      <c r="D189" s="295"/>
      <c r="E189" s="295"/>
      <c r="F189" s="295"/>
      <c r="G189" s="295"/>
      <c r="H189" s="295"/>
      <c r="I189" s="295"/>
      <c r="J189" s="295"/>
      <c r="K189" s="295"/>
      <c r="L189" s="295"/>
      <c r="M189" s="295"/>
      <c r="N189" s="295"/>
      <c r="O189" s="297"/>
      <c r="P189" s="295"/>
      <c r="Q189" s="295"/>
      <c r="R189" s="295"/>
      <c r="S189" s="295"/>
      <c r="T189" s="295"/>
      <c r="U189" s="295"/>
      <c r="V189" s="295"/>
      <c r="W189" s="295"/>
      <c r="X189" s="295"/>
      <c r="Y189" s="295"/>
      <c r="Z189" s="295"/>
    </row>
    <row r="190" ht="29.25" customHeight="1">
      <c r="A190" s="295"/>
      <c r="B190" s="295"/>
      <c r="C190" s="295"/>
      <c r="D190" s="295"/>
      <c r="E190" s="295"/>
      <c r="F190" s="295"/>
      <c r="G190" s="295"/>
      <c r="H190" s="295"/>
      <c r="I190" s="295"/>
      <c r="J190" s="295"/>
      <c r="K190" s="295"/>
      <c r="L190" s="295"/>
      <c r="M190" s="295"/>
      <c r="N190" s="295"/>
      <c r="O190" s="297"/>
      <c r="P190" s="295"/>
      <c r="Q190" s="295"/>
      <c r="R190" s="295"/>
      <c r="S190" s="295"/>
      <c r="T190" s="295"/>
      <c r="U190" s="295"/>
      <c r="V190" s="295"/>
      <c r="W190" s="295"/>
      <c r="X190" s="295"/>
      <c r="Y190" s="295"/>
      <c r="Z190" s="295"/>
    </row>
    <row r="191" ht="29.25" customHeight="1">
      <c r="A191" s="295"/>
      <c r="B191" s="295"/>
      <c r="C191" s="295"/>
      <c r="D191" s="295"/>
      <c r="E191" s="295"/>
      <c r="F191" s="295"/>
      <c r="G191" s="295"/>
      <c r="H191" s="295"/>
      <c r="I191" s="295"/>
      <c r="J191" s="295"/>
      <c r="K191" s="295"/>
      <c r="L191" s="295"/>
      <c r="M191" s="295"/>
      <c r="N191" s="295"/>
      <c r="O191" s="297"/>
      <c r="P191" s="295"/>
      <c r="Q191" s="295"/>
      <c r="R191" s="295"/>
      <c r="S191" s="295"/>
      <c r="T191" s="295"/>
      <c r="U191" s="295"/>
      <c r="V191" s="295"/>
      <c r="W191" s="295"/>
      <c r="X191" s="295"/>
      <c r="Y191" s="295"/>
      <c r="Z191" s="295"/>
    </row>
    <row r="192" ht="29.25" customHeight="1">
      <c r="A192" s="295"/>
      <c r="B192" s="295"/>
      <c r="C192" s="295"/>
      <c r="D192" s="295"/>
      <c r="E192" s="295"/>
      <c r="F192" s="295"/>
      <c r="G192" s="295"/>
      <c r="H192" s="295"/>
      <c r="I192" s="295"/>
      <c r="J192" s="295"/>
      <c r="K192" s="295"/>
      <c r="L192" s="295"/>
      <c r="M192" s="295"/>
      <c r="N192" s="295"/>
      <c r="O192" s="297"/>
      <c r="P192" s="295"/>
      <c r="Q192" s="295"/>
      <c r="R192" s="295"/>
      <c r="S192" s="295"/>
      <c r="T192" s="295"/>
      <c r="U192" s="295"/>
      <c r="V192" s="295"/>
      <c r="W192" s="295"/>
      <c r="X192" s="295"/>
      <c r="Y192" s="295"/>
      <c r="Z192" s="295"/>
    </row>
    <row r="193" ht="29.25" customHeight="1">
      <c r="A193" s="295"/>
      <c r="B193" s="295"/>
      <c r="C193" s="295"/>
      <c r="D193" s="295"/>
      <c r="E193" s="295"/>
      <c r="F193" s="295"/>
      <c r="G193" s="295"/>
      <c r="H193" s="295"/>
      <c r="I193" s="295"/>
      <c r="J193" s="295"/>
      <c r="K193" s="295"/>
      <c r="L193" s="295"/>
      <c r="M193" s="295"/>
      <c r="N193" s="295"/>
      <c r="O193" s="297"/>
      <c r="P193" s="295"/>
      <c r="Q193" s="295"/>
      <c r="R193" s="295"/>
      <c r="S193" s="295"/>
      <c r="T193" s="295"/>
      <c r="U193" s="295"/>
      <c r="V193" s="295"/>
      <c r="W193" s="295"/>
      <c r="X193" s="295"/>
      <c r="Y193" s="295"/>
      <c r="Z193" s="295"/>
    </row>
    <row r="194" ht="29.25" customHeight="1">
      <c r="A194" s="295"/>
      <c r="B194" s="295"/>
      <c r="C194" s="295"/>
      <c r="D194" s="295"/>
      <c r="E194" s="295"/>
      <c r="F194" s="295"/>
      <c r="G194" s="295"/>
      <c r="H194" s="295"/>
      <c r="I194" s="295"/>
      <c r="J194" s="295"/>
      <c r="K194" s="295"/>
      <c r="L194" s="295"/>
      <c r="M194" s="295"/>
      <c r="N194" s="295"/>
      <c r="O194" s="297"/>
      <c r="P194" s="295"/>
      <c r="Q194" s="295"/>
      <c r="R194" s="295"/>
      <c r="S194" s="295"/>
      <c r="T194" s="295"/>
      <c r="U194" s="295"/>
      <c r="V194" s="295"/>
      <c r="W194" s="295"/>
      <c r="X194" s="295"/>
      <c r="Y194" s="295"/>
      <c r="Z194" s="295"/>
    </row>
    <row r="195" ht="29.25" customHeight="1">
      <c r="A195" s="295"/>
      <c r="B195" s="295"/>
      <c r="C195" s="295"/>
      <c r="D195" s="295"/>
      <c r="E195" s="295"/>
      <c r="F195" s="295"/>
      <c r="G195" s="295"/>
      <c r="H195" s="295"/>
      <c r="I195" s="295"/>
      <c r="J195" s="295"/>
      <c r="K195" s="295"/>
      <c r="L195" s="295"/>
      <c r="M195" s="295"/>
      <c r="N195" s="295"/>
      <c r="O195" s="297"/>
      <c r="P195" s="295"/>
      <c r="Q195" s="295"/>
      <c r="R195" s="295"/>
      <c r="S195" s="295"/>
      <c r="T195" s="295"/>
      <c r="U195" s="295"/>
      <c r="V195" s="295"/>
      <c r="W195" s="295"/>
      <c r="X195" s="295"/>
      <c r="Y195" s="295"/>
      <c r="Z195" s="295"/>
    </row>
    <row r="196" ht="29.25" customHeight="1">
      <c r="A196" s="295"/>
      <c r="B196" s="295"/>
      <c r="C196" s="295"/>
      <c r="D196" s="295"/>
      <c r="E196" s="295"/>
      <c r="F196" s="295"/>
      <c r="G196" s="295"/>
      <c r="H196" s="295"/>
      <c r="I196" s="295"/>
      <c r="J196" s="295"/>
      <c r="K196" s="295"/>
      <c r="L196" s="295"/>
      <c r="M196" s="295"/>
      <c r="N196" s="295"/>
      <c r="O196" s="297"/>
      <c r="P196" s="295"/>
      <c r="Q196" s="295"/>
      <c r="R196" s="295"/>
      <c r="S196" s="295"/>
      <c r="T196" s="295"/>
      <c r="U196" s="295"/>
      <c r="V196" s="295"/>
      <c r="W196" s="295"/>
      <c r="X196" s="295"/>
      <c r="Y196" s="295"/>
      <c r="Z196" s="295"/>
    </row>
    <row r="197" ht="29.25" customHeight="1">
      <c r="A197" s="295"/>
      <c r="B197" s="295"/>
      <c r="C197" s="295"/>
      <c r="D197" s="295"/>
      <c r="E197" s="295"/>
      <c r="F197" s="295"/>
      <c r="G197" s="295"/>
      <c r="H197" s="295"/>
      <c r="I197" s="295"/>
      <c r="J197" s="295"/>
      <c r="K197" s="295"/>
      <c r="L197" s="295"/>
      <c r="M197" s="295"/>
      <c r="N197" s="295"/>
      <c r="O197" s="297"/>
      <c r="P197" s="295"/>
      <c r="Q197" s="295"/>
      <c r="R197" s="295"/>
      <c r="S197" s="295"/>
      <c r="T197" s="295"/>
      <c r="U197" s="295"/>
      <c r="V197" s="295"/>
      <c r="W197" s="295"/>
      <c r="X197" s="295"/>
      <c r="Y197" s="295"/>
      <c r="Z197" s="295"/>
    </row>
    <row r="198" ht="29.25" customHeight="1">
      <c r="A198" s="295"/>
      <c r="B198" s="295"/>
      <c r="C198" s="295"/>
      <c r="D198" s="295"/>
      <c r="E198" s="295"/>
      <c r="F198" s="295"/>
      <c r="G198" s="295"/>
      <c r="H198" s="295"/>
      <c r="I198" s="295"/>
      <c r="J198" s="295"/>
      <c r="K198" s="295"/>
      <c r="L198" s="295"/>
      <c r="M198" s="295"/>
      <c r="N198" s="295"/>
      <c r="O198" s="297"/>
      <c r="P198" s="295"/>
      <c r="Q198" s="295"/>
      <c r="R198" s="295"/>
      <c r="S198" s="295"/>
      <c r="T198" s="295"/>
      <c r="U198" s="295"/>
      <c r="V198" s="295"/>
      <c r="W198" s="295"/>
      <c r="X198" s="295"/>
      <c r="Y198" s="295"/>
      <c r="Z198" s="295"/>
    </row>
    <row r="199" ht="29.25" customHeight="1">
      <c r="A199" s="295"/>
      <c r="B199" s="295"/>
      <c r="C199" s="295"/>
      <c r="D199" s="295"/>
      <c r="E199" s="295"/>
      <c r="F199" s="295"/>
      <c r="G199" s="295"/>
      <c r="H199" s="295"/>
      <c r="I199" s="295"/>
      <c r="J199" s="295"/>
      <c r="K199" s="295"/>
      <c r="L199" s="295"/>
      <c r="M199" s="295"/>
      <c r="N199" s="295"/>
      <c r="O199" s="297"/>
      <c r="P199" s="295"/>
      <c r="Q199" s="295"/>
      <c r="R199" s="295"/>
      <c r="S199" s="295"/>
      <c r="T199" s="295"/>
      <c r="U199" s="295"/>
      <c r="V199" s="295"/>
      <c r="W199" s="295"/>
      <c r="X199" s="295"/>
      <c r="Y199" s="295"/>
      <c r="Z199" s="295"/>
    </row>
    <row r="200" ht="29.25" customHeight="1">
      <c r="A200" s="295"/>
      <c r="B200" s="295"/>
      <c r="C200" s="295"/>
      <c r="D200" s="295"/>
      <c r="E200" s="295"/>
      <c r="F200" s="295"/>
      <c r="G200" s="295"/>
      <c r="H200" s="295"/>
      <c r="I200" s="295"/>
      <c r="J200" s="295"/>
      <c r="K200" s="295"/>
      <c r="L200" s="295"/>
      <c r="M200" s="295"/>
      <c r="N200" s="295"/>
      <c r="O200" s="297"/>
      <c r="P200" s="295"/>
      <c r="Q200" s="295"/>
      <c r="R200" s="295"/>
      <c r="S200" s="295"/>
      <c r="T200" s="295"/>
      <c r="U200" s="295"/>
      <c r="V200" s="295"/>
      <c r="W200" s="295"/>
      <c r="X200" s="295"/>
      <c r="Y200" s="295"/>
      <c r="Z200" s="295"/>
    </row>
    <row r="201" ht="29.25" customHeight="1">
      <c r="A201" s="295"/>
      <c r="B201" s="295"/>
      <c r="C201" s="295"/>
      <c r="D201" s="295"/>
      <c r="E201" s="295"/>
      <c r="F201" s="295"/>
      <c r="G201" s="295"/>
      <c r="H201" s="295"/>
      <c r="I201" s="295"/>
      <c r="J201" s="295"/>
      <c r="K201" s="295"/>
      <c r="L201" s="295"/>
      <c r="M201" s="295"/>
      <c r="N201" s="295"/>
      <c r="O201" s="297"/>
      <c r="P201" s="295"/>
      <c r="Q201" s="295"/>
      <c r="R201" s="295"/>
      <c r="S201" s="295"/>
      <c r="T201" s="295"/>
      <c r="U201" s="295"/>
      <c r="V201" s="295"/>
      <c r="W201" s="295"/>
      <c r="X201" s="295"/>
      <c r="Y201" s="295"/>
      <c r="Z201" s="295"/>
    </row>
    <row r="202" ht="29.25" customHeight="1">
      <c r="A202" s="295"/>
      <c r="B202" s="295"/>
      <c r="C202" s="295"/>
      <c r="D202" s="295"/>
      <c r="E202" s="295"/>
      <c r="F202" s="295"/>
      <c r="G202" s="295"/>
      <c r="H202" s="295"/>
      <c r="I202" s="295"/>
      <c r="J202" s="295"/>
      <c r="K202" s="295"/>
      <c r="L202" s="295"/>
      <c r="M202" s="295"/>
      <c r="N202" s="295"/>
      <c r="O202" s="297"/>
      <c r="P202" s="295"/>
      <c r="Q202" s="295"/>
      <c r="R202" s="295"/>
      <c r="S202" s="295"/>
      <c r="T202" s="295"/>
      <c r="U202" s="295"/>
      <c r="V202" s="295"/>
      <c r="W202" s="295"/>
      <c r="X202" s="295"/>
      <c r="Y202" s="295"/>
      <c r="Z202" s="295"/>
    </row>
    <row r="203" ht="29.25" customHeight="1">
      <c r="A203" s="295"/>
      <c r="B203" s="295"/>
      <c r="C203" s="295"/>
      <c r="D203" s="295"/>
      <c r="E203" s="295"/>
      <c r="F203" s="295"/>
      <c r="G203" s="295"/>
      <c r="H203" s="295"/>
      <c r="I203" s="295"/>
      <c r="J203" s="295"/>
      <c r="K203" s="295"/>
      <c r="L203" s="295"/>
      <c r="M203" s="295"/>
      <c r="N203" s="295"/>
      <c r="O203" s="297"/>
      <c r="P203" s="295"/>
      <c r="Q203" s="295"/>
      <c r="R203" s="295"/>
      <c r="S203" s="295"/>
      <c r="T203" s="295"/>
      <c r="U203" s="295"/>
      <c r="V203" s="295"/>
      <c r="W203" s="295"/>
      <c r="X203" s="295"/>
      <c r="Y203" s="295"/>
      <c r="Z203" s="295"/>
    </row>
    <row r="204" ht="29.25" customHeight="1">
      <c r="A204" s="295"/>
      <c r="B204" s="295"/>
      <c r="C204" s="295"/>
      <c r="D204" s="295"/>
      <c r="E204" s="295"/>
      <c r="F204" s="295"/>
      <c r="G204" s="295"/>
      <c r="H204" s="295"/>
      <c r="I204" s="295"/>
      <c r="J204" s="295"/>
      <c r="K204" s="295"/>
      <c r="L204" s="295"/>
      <c r="M204" s="295"/>
      <c r="N204" s="295"/>
      <c r="O204" s="297"/>
      <c r="P204" s="295"/>
      <c r="Q204" s="295"/>
      <c r="R204" s="295"/>
      <c r="S204" s="295"/>
      <c r="T204" s="295"/>
      <c r="U204" s="295"/>
      <c r="V204" s="295"/>
      <c r="W204" s="295"/>
      <c r="X204" s="295"/>
      <c r="Y204" s="295"/>
      <c r="Z204" s="295"/>
    </row>
    <row r="205" ht="29.25" customHeight="1">
      <c r="A205" s="295"/>
      <c r="B205" s="295"/>
      <c r="C205" s="295"/>
      <c r="D205" s="295"/>
      <c r="E205" s="295"/>
      <c r="F205" s="295"/>
      <c r="G205" s="295"/>
      <c r="H205" s="295"/>
      <c r="I205" s="295"/>
      <c r="J205" s="295"/>
      <c r="K205" s="295"/>
      <c r="L205" s="295"/>
      <c r="M205" s="295"/>
      <c r="N205" s="295"/>
      <c r="O205" s="297"/>
      <c r="P205" s="295"/>
      <c r="Q205" s="295"/>
      <c r="R205" s="295"/>
      <c r="S205" s="295"/>
      <c r="T205" s="295"/>
      <c r="U205" s="295"/>
      <c r="V205" s="295"/>
      <c r="W205" s="295"/>
      <c r="X205" s="295"/>
      <c r="Y205" s="295"/>
      <c r="Z205" s="295"/>
    </row>
    <row r="206" ht="29.25" customHeight="1">
      <c r="A206" s="295"/>
      <c r="B206" s="295"/>
      <c r="C206" s="295"/>
      <c r="D206" s="295"/>
      <c r="E206" s="295"/>
      <c r="F206" s="295"/>
      <c r="G206" s="295"/>
      <c r="H206" s="295"/>
      <c r="I206" s="295"/>
      <c r="J206" s="295"/>
      <c r="K206" s="295"/>
      <c r="L206" s="295"/>
      <c r="M206" s="295"/>
      <c r="N206" s="295"/>
      <c r="O206" s="297"/>
      <c r="P206" s="295"/>
      <c r="Q206" s="295"/>
      <c r="R206" s="295"/>
      <c r="S206" s="295"/>
      <c r="T206" s="295"/>
      <c r="U206" s="295"/>
      <c r="V206" s="295"/>
      <c r="W206" s="295"/>
      <c r="X206" s="295"/>
      <c r="Y206" s="295"/>
      <c r="Z206" s="295"/>
    </row>
    <row r="207" ht="29.25" customHeight="1">
      <c r="A207" s="295"/>
      <c r="B207" s="295"/>
      <c r="C207" s="295"/>
      <c r="D207" s="295"/>
      <c r="E207" s="295"/>
      <c r="F207" s="295"/>
      <c r="G207" s="295"/>
      <c r="H207" s="295"/>
      <c r="I207" s="295"/>
      <c r="J207" s="295"/>
      <c r="K207" s="295"/>
      <c r="L207" s="295"/>
      <c r="M207" s="295"/>
      <c r="N207" s="295"/>
      <c r="O207" s="297"/>
      <c r="P207" s="295"/>
      <c r="Q207" s="295"/>
      <c r="R207" s="295"/>
      <c r="S207" s="295"/>
      <c r="T207" s="295"/>
      <c r="U207" s="295"/>
      <c r="V207" s="295"/>
      <c r="W207" s="295"/>
      <c r="X207" s="295"/>
      <c r="Y207" s="295"/>
      <c r="Z207" s="295"/>
    </row>
    <row r="208" ht="29.25" customHeight="1">
      <c r="A208" s="295"/>
      <c r="B208" s="295"/>
      <c r="C208" s="295"/>
      <c r="D208" s="295"/>
      <c r="E208" s="295"/>
      <c r="F208" s="295"/>
      <c r="G208" s="295"/>
      <c r="H208" s="295"/>
      <c r="I208" s="295"/>
      <c r="J208" s="295"/>
      <c r="K208" s="295"/>
      <c r="L208" s="295"/>
      <c r="M208" s="295"/>
      <c r="N208" s="295"/>
      <c r="O208" s="297"/>
      <c r="P208" s="295"/>
      <c r="Q208" s="295"/>
      <c r="R208" s="295"/>
      <c r="S208" s="295"/>
      <c r="T208" s="295"/>
      <c r="U208" s="295"/>
      <c r="V208" s="295"/>
      <c r="W208" s="295"/>
      <c r="X208" s="295"/>
      <c r="Y208" s="295"/>
      <c r="Z208" s="295"/>
    </row>
    <row r="209" ht="29.25" customHeight="1">
      <c r="A209" s="295"/>
      <c r="B209" s="295"/>
      <c r="C209" s="295"/>
      <c r="D209" s="295"/>
      <c r="E209" s="295"/>
      <c r="F209" s="295"/>
      <c r="G209" s="295"/>
      <c r="H209" s="295"/>
      <c r="I209" s="295"/>
      <c r="J209" s="295"/>
      <c r="K209" s="295"/>
      <c r="L209" s="295"/>
      <c r="M209" s="295"/>
      <c r="N209" s="295"/>
      <c r="O209" s="297"/>
      <c r="P209" s="295"/>
      <c r="Q209" s="295"/>
      <c r="R209" s="295"/>
      <c r="S209" s="295"/>
      <c r="T209" s="295"/>
      <c r="U209" s="295"/>
      <c r="V209" s="295"/>
      <c r="W209" s="295"/>
      <c r="X209" s="295"/>
      <c r="Y209" s="295"/>
      <c r="Z209" s="295"/>
    </row>
    <row r="210" ht="29.25" customHeight="1">
      <c r="A210" s="295"/>
      <c r="B210" s="295"/>
      <c r="C210" s="295"/>
      <c r="D210" s="295"/>
      <c r="E210" s="295"/>
      <c r="F210" s="295"/>
      <c r="G210" s="295"/>
      <c r="H210" s="295"/>
      <c r="I210" s="295"/>
      <c r="J210" s="295"/>
      <c r="K210" s="295"/>
      <c r="L210" s="295"/>
      <c r="M210" s="295"/>
      <c r="N210" s="295"/>
      <c r="O210" s="297"/>
      <c r="P210" s="295"/>
      <c r="Q210" s="295"/>
      <c r="R210" s="295"/>
      <c r="S210" s="295"/>
      <c r="T210" s="295"/>
      <c r="U210" s="295"/>
      <c r="V210" s="295"/>
      <c r="W210" s="295"/>
      <c r="X210" s="295"/>
      <c r="Y210" s="295"/>
      <c r="Z210" s="295"/>
    </row>
    <row r="211" ht="29.25" customHeight="1">
      <c r="A211" s="295"/>
      <c r="B211" s="295"/>
      <c r="C211" s="295"/>
      <c r="D211" s="295"/>
      <c r="E211" s="295"/>
      <c r="F211" s="295"/>
      <c r="G211" s="295"/>
      <c r="H211" s="295"/>
      <c r="I211" s="295"/>
      <c r="J211" s="295"/>
      <c r="K211" s="295"/>
      <c r="L211" s="295"/>
      <c r="M211" s="295"/>
      <c r="N211" s="295"/>
      <c r="O211" s="297"/>
      <c r="P211" s="295"/>
      <c r="Q211" s="295"/>
      <c r="R211" s="295"/>
      <c r="S211" s="295"/>
      <c r="T211" s="295"/>
      <c r="U211" s="295"/>
      <c r="V211" s="295"/>
      <c r="W211" s="295"/>
      <c r="X211" s="295"/>
      <c r="Y211" s="295"/>
      <c r="Z211" s="295"/>
    </row>
    <row r="212" ht="29.25" customHeight="1">
      <c r="A212" s="295"/>
      <c r="B212" s="295"/>
      <c r="C212" s="295"/>
      <c r="D212" s="295"/>
      <c r="E212" s="295"/>
      <c r="F212" s="295"/>
      <c r="G212" s="295"/>
      <c r="H212" s="295"/>
      <c r="I212" s="295"/>
      <c r="J212" s="295"/>
      <c r="K212" s="295"/>
      <c r="L212" s="295"/>
      <c r="M212" s="295"/>
      <c r="N212" s="295"/>
      <c r="O212" s="297"/>
      <c r="P212" s="295"/>
      <c r="Q212" s="295"/>
      <c r="R212" s="295"/>
      <c r="S212" s="295"/>
      <c r="T212" s="295"/>
      <c r="U212" s="295"/>
      <c r="V212" s="295"/>
      <c r="W212" s="295"/>
      <c r="X212" s="295"/>
      <c r="Y212" s="295"/>
      <c r="Z212" s="295"/>
    </row>
    <row r="213" ht="29.25" customHeight="1">
      <c r="A213" s="295"/>
      <c r="B213" s="295"/>
      <c r="C213" s="295"/>
      <c r="D213" s="295"/>
      <c r="E213" s="295"/>
      <c r="F213" s="295"/>
      <c r="G213" s="295"/>
      <c r="H213" s="295"/>
      <c r="I213" s="295"/>
      <c r="J213" s="295"/>
      <c r="K213" s="295"/>
      <c r="L213" s="295"/>
      <c r="M213" s="295"/>
      <c r="N213" s="295"/>
      <c r="O213" s="297"/>
      <c r="P213" s="295"/>
      <c r="Q213" s="295"/>
      <c r="R213" s="295"/>
      <c r="S213" s="295"/>
      <c r="T213" s="295"/>
      <c r="U213" s="295"/>
      <c r="V213" s="295"/>
      <c r="W213" s="295"/>
      <c r="X213" s="295"/>
      <c r="Y213" s="295"/>
      <c r="Z213" s="295"/>
    </row>
    <row r="214" ht="29.25" customHeight="1">
      <c r="A214" s="295"/>
      <c r="B214" s="295"/>
      <c r="C214" s="295"/>
      <c r="D214" s="295"/>
      <c r="E214" s="295"/>
      <c r="F214" s="295"/>
      <c r="G214" s="295"/>
      <c r="H214" s="295"/>
      <c r="I214" s="295"/>
      <c r="J214" s="295"/>
      <c r="K214" s="295"/>
      <c r="L214" s="295"/>
      <c r="M214" s="295"/>
      <c r="N214" s="295"/>
      <c r="O214" s="297"/>
      <c r="P214" s="295"/>
      <c r="Q214" s="295"/>
      <c r="R214" s="295"/>
      <c r="S214" s="295"/>
      <c r="T214" s="295"/>
      <c r="U214" s="295"/>
      <c r="V214" s="295"/>
      <c r="W214" s="295"/>
      <c r="X214" s="295"/>
      <c r="Y214" s="295"/>
      <c r="Z214" s="295"/>
    </row>
    <row r="215" ht="29.25" customHeight="1">
      <c r="A215" s="295"/>
      <c r="B215" s="295"/>
      <c r="C215" s="295"/>
      <c r="D215" s="295"/>
      <c r="E215" s="295"/>
      <c r="F215" s="295"/>
      <c r="G215" s="295"/>
      <c r="H215" s="295"/>
      <c r="I215" s="295"/>
      <c r="J215" s="295"/>
      <c r="K215" s="295"/>
      <c r="L215" s="295"/>
      <c r="M215" s="295"/>
      <c r="N215" s="295"/>
      <c r="O215" s="297"/>
      <c r="P215" s="295"/>
      <c r="Q215" s="295"/>
      <c r="R215" s="295"/>
      <c r="S215" s="295"/>
      <c r="T215" s="295"/>
      <c r="U215" s="295"/>
      <c r="V215" s="295"/>
      <c r="W215" s="295"/>
      <c r="X215" s="295"/>
      <c r="Y215" s="295"/>
      <c r="Z215" s="295"/>
    </row>
    <row r="216" ht="29.25" customHeight="1">
      <c r="A216" s="295"/>
      <c r="B216" s="295"/>
      <c r="C216" s="295"/>
      <c r="D216" s="295"/>
      <c r="E216" s="295"/>
      <c r="F216" s="295"/>
      <c r="G216" s="295"/>
      <c r="H216" s="295"/>
      <c r="I216" s="295"/>
      <c r="J216" s="295"/>
      <c r="K216" s="295"/>
      <c r="L216" s="295"/>
      <c r="M216" s="295"/>
      <c r="N216" s="295"/>
      <c r="O216" s="297"/>
      <c r="P216" s="295"/>
      <c r="Q216" s="295"/>
      <c r="R216" s="295"/>
      <c r="S216" s="295"/>
      <c r="T216" s="295"/>
      <c r="U216" s="295"/>
      <c r="V216" s="295"/>
      <c r="W216" s="295"/>
      <c r="X216" s="295"/>
      <c r="Y216" s="295"/>
      <c r="Z216" s="295"/>
    </row>
    <row r="217" ht="29.25" customHeight="1">
      <c r="A217" s="295"/>
      <c r="B217" s="295"/>
      <c r="C217" s="295"/>
      <c r="D217" s="295"/>
      <c r="E217" s="295"/>
      <c r="F217" s="295"/>
      <c r="G217" s="295"/>
      <c r="H217" s="295"/>
      <c r="I217" s="295"/>
      <c r="J217" s="295"/>
      <c r="K217" s="295"/>
      <c r="L217" s="295"/>
      <c r="M217" s="295"/>
      <c r="N217" s="295"/>
      <c r="O217" s="297"/>
      <c r="P217" s="295"/>
      <c r="Q217" s="295"/>
      <c r="R217" s="295"/>
      <c r="S217" s="295"/>
      <c r="T217" s="295"/>
      <c r="U217" s="295"/>
      <c r="V217" s="295"/>
      <c r="W217" s="295"/>
      <c r="X217" s="295"/>
      <c r="Y217" s="295"/>
      <c r="Z217" s="295"/>
    </row>
    <row r="218" ht="29.25" customHeight="1">
      <c r="A218" s="295"/>
      <c r="B218" s="295"/>
      <c r="C218" s="295"/>
      <c r="D218" s="295"/>
      <c r="E218" s="295"/>
      <c r="F218" s="295"/>
      <c r="G218" s="295"/>
      <c r="H218" s="295"/>
      <c r="I218" s="295"/>
      <c r="J218" s="295"/>
      <c r="K218" s="295"/>
      <c r="L218" s="295"/>
      <c r="M218" s="295"/>
      <c r="N218" s="295"/>
      <c r="O218" s="297"/>
      <c r="P218" s="295"/>
      <c r="Q218" s="295"/>
      <c r="R218" s="295"/>
      <c r="S218" s="295"/>
      <c r="T218" s="295"/>
      <c r="U218" s="295"/>
      <c r="V218" s="295"/>
      <c r="W218" s="295"/>
      <c r="X218" s="295"/>
      <c r="Y218" s="295"/>
      <c r="Z218" s="295"/>
    </row>
    <row r="219" ht="29.25" customHeight="1">
      <c r="A219" s="295"/>
      <c r="B219" s="295"/>
      <c r="C219" s="295"/>
      <c r="D219" s="295"/>
      <c r="E219" s="295"/>
      <c r="F219" s="295"/>
      <c r="G219" s="295"/>
      <c r="H219" s="295"/>
      <c r="I219" s="295"/>
      <c r="J219" s="295"/>
      <c r="K219" s="295"/>
      <c r="L219" s="295"/>
      <c r="M219" s="295"/>
      <c r="N219" s="295"/>
      <c r="O219" s="297"/>
      <c r="P219" s="295"/>
      <c r="Q219" s="295"/>
      <c r="R219" s="295"/>
      <c r="S219" s="295"/>
      <c r="T219" s="295"/>
      <c r="U219" s="295"/>
      <c r="V219" s="295"/>
      <c r="W219" s="295"/>
      <c r="X219" s="295"/>
      <c r="Y219" s="295"/>
      <c r="Z219" s="295"/>
    </row>
    <row r="220" ht="29.25" customHeight="1">
      <c r="A220" s="295"/>
      <c r="B220" s="295"/>
      <c r="C220" s="295"/>
      <c r="D220" s="295"/>
      <c r="E220" s="295"/>
      <c r="F220" s="295"/>
      <c r="G220" s="295"/>
      <c r="H220" s="295"/>
      <c r="I220" s="295"/>
      <c r="J220" s="295"/>
      <c r="K220" s="295"/>
      <c r="L220" s="295"/>
      <c r="M220" s="295"/>
      <c r="N220" s="295"/>
      <c r="O220" s="297"/>
      <c r="P220" s="295"/>
      <c r="Q220" s="295"/>
      <c r="R220" s="295"/>
      <c r="S220" s="295"/>
      <c r="T220" s="295"/>
      <c r="U220" s="295"/>
      <c r="V220" s="295"/>
      <c r="W220" s="295"/>
      <c r="X220" s="295"/>
      <c r="Y220" s="295"/>
      <c r="Z220" s="295"/>
    </row>
    <row r="221" ht="29.25" customHeight="1">
      <c r="A221" s="295"/>
      <c r="B221" s="295"/>
      <c r="C221" s="295"/>
      <c r="D221" s="295"/>
      <c r="E221" s="295"/>
      <c r="F221" s="295"/>
      <c r="G221" s="295"/>
      <c r="H221" s="295"/>
      <c r="I221" s="295"/>
      <c r="J221" s="295"/>
      <c r="K221" s="295"/>
      <c r="L221" s="295"/>
      <c r="M221" s="295"/>
      <c r="N221" s="295"/>
      <c r="O221" s="297"/>
      <c r="P221" s="295"/>
      <c r="Q221" s="295"/>
      <c r="R221" s="295"/>
      <c r="S221" s="295"/>
      <c r="T221" s="295"/>
      <c r="U221" s="295"/>
      <c r="V221" s="295"/>
      <c r="W221" s="295"/>
      <c r="X221" s="295"/>
      <c r="Y221" s="295"/>
      <c r="Z221" s="295"/>
    </row>
    <row r="222" ht="29.25" customHeight="1">
      <c r="A222" s="295"/>
      <c r="B222" s="295"/>
      <c r="C222" s="295"/>
      <c r="D222" s="295"/>
      <c r="E222" s="295"/>
      <c r="F222" s="295"/>
      <c r="G222" s="295"/>
      <c r="H222" s="295"/>
      <c r="I222" s="295"/>
      <c r="J222" s="295"/>
      <c r="K222" s="295"/>
      <c r="L222" s="295"/>
      <c r="M222" s="295"/>
      <c r="N222" s="295"/>
      <c r="O222" s="297"/>
      <c r="P222" s="295"/>
      <c r="Q222" s="295"/>
      <c r="R222" s="295"/>
      <c r="S222" s="295"/>
      <c r="T222" s="295"/>
      <c r="U222" s="295"/>
      <c r="V222" s="295"/>
      <c r="W222" s="295"/>
      <c r="X222" s="295"/>
      <c r="Y222" s="295"/>
      <c r="Z222" s="295"/>
    </row>
    <row r="223" ht="29.25" customHeight="1">
      <c r="A223" s="295"/>
      <c r="B223" s="295"/>
      <c r="C223" s="295"/>
      <c r="D223" s="295"/>
      <c r="E223" s="295"/>
      <c r="F223" s="295"/>
      <c r="G223" s="295"/>
      <c r="H223" s="295"/>
      <c r="I223" s="295"/>
      <c r="J223" s="295"/>
      <c r="K223" s="295"/>
      <c r="L223" s="295"/>
      <c r="M223" s="295"/>
      <c r="N223" s="295"/>
      <c r="O223" s="297"/>
      <c r="P223" s="295"/>
      <c r="Q223" s="295"/>
      <c r="R223" s="295"/>
      <c r="S223" s="295"/>
      <c r="T223" s="295"/>
      <c r="U223" s="295"/>
      <c r="V223" s="295"/>
      <c r="W223" s="295"/>
      <c r="X223" s="295"/>
      <c r="Y223" s="295"/>
      <c r="Z223" s="295"/>
    </row>
    <row r="224" ht="29.25" customHeight="1">
      <c r="A224" s="295"/>
      <c r="B224" s="295"/>
      <c r="C224" s="295"/>
      <c r="D224" s="295"/>
      <c r="E224" s="295"/>
      <c r="F224" s="295"/>
      <c r="G224" s="295"/>
      <c r="H224" s="295"/>
      <c r="I224" s="295"/>
      <c r="J224" s="295"/>
      <c r="K224" s="295"/>
      <c r="L224" s="295"/>
      <c r="M224" s="295"/>
      <c r="N224" s="295"/>
      <c r="O224" s="297"/>
      <c r="P224" s="295"/>
      <c r="Q224" s="295"/>
      <c r="R224" s="295"/>
      <c r="S224" s="295"/>
      <c r="T224" s="295"/>
      <c r="U224" s="295"/>
      <c r="V224" s="295"/>
      <c r="W224" s="295"/>
      <c r="X224" s="295"/>
      <c r="Y224" s="295"/>
      <c r="Z224" s="295"/>
    </row>
    <row r="225" ht="29.25" customHeight="1">
      <c r="A225" s="295"/>
      <c r="B225" s="295"/>
      <c r="C225" s="295"/>
      <c r="D225" s="295"/>
      <c r="E225" s="295"/>
      <c r="F225" s="295"/>
      <c r="G225" s="295"/>
      <c r="H225" s="295"/>
      <c r="I225" s="295"/>
      <c r="J225" s="295"/>
      <c r="K225" s="295"/>
      <c r="L225" s="295"/>
      <c r="M225" s="295"/>
      <c r="N225" s="295"/>
      <c r="O225" s="297"/>
      <c r="P225" s="295"/>
      <c r="Q225" s="295"/>
      <c r="R225" s="295"/>
      <c r="S225" s="295"/>
      <c r="T225" s="295"/>
      <c r="U225" s="295"/>
      <c r="V225" s="295"/>
      <c r="W225" s="295"/>
      <c r="X225" s="295"/>
      <c r="Y225" s="295"/>
      <c r="Z225" s="295"/>
    </row>
    <row r="226" ht="29.25" customHeight="1">
      <c r="A226" s="295"/>
      <c r="B226" s="295"/>
      <c r="C226" s="295"/>
      <c r="D226" s="295"/>
      <c r="E226" s="295"/>
      <c r="F226" s="295"/>
      <c r="G226" s="295"/>
      <c r="H226" s="295"/>
      <c r="I226" s="295"/>
      <c r="J226" s="295"/>
      <c r="K226" s="295"/>
      <c r="L226" s="295"/>
      <c r="M226" s="295"/>
      <c r="N226" s="295"/>
      <c r="O226" s="297"/>
      <c r="P226" s="295"/>
      <c r="Q226" s="295"/>
      <c r="R226" s="295"/>
      <c r="S226" s="295"/>
      <c r="T226" s="295"/>
      <c r="U226" s="295"/>
      <c r="V226" s="295"/>
      <c r="W226" s="295"/>
      <c r="X226" s="295"/>
      <c r="Y226" s="295"/>
      <c r="Z226" s="295"/>
    </row>
    <row r="227" ht="29.25" customHeight="1">
      <c r="A227" s="295"/>
      <c r="B227" s="295"/>
      <c r="C227" s="295"/>
      <c r="D227" s="295"/>
      <c r="E227" s="295"/>
      <c r="F227" s="295"/>
      <c r="G227" s="295"/>
      <c r="H227" s="295"/>
      <c r="I227" s="295"/>
      <c r="J227" s="295"/>
      <c r="K227" s="295"/>
      <c r="L227" s="295"/>
      <c r="M227" s="295"/>
      <c r="N227" s="295"/>
      <c r="O227" s="297"/>
      <c r="P227" s="295"/>
      <c r="Q227" s="295"/>
      <c r="R227" s="295"/>
      <c r="S227" s="295"/>
      <c r="T227" s="295"/>
      <c r="U227" s="295"/>
      <c r="V227" s="295"/>
      <c r="W227" s="295"/>
      <c r="X227" s="295"/>
      <c r="Y227" s="295"/>
      <c r="Z227" s="295"/>
    </row>
    <row r="228" ht="29.25" customHeight="1">
      <c r="A228" s="295"/>
      <c r="B228" s="295"/>
      <c r="C228" s="295"/>
      <c r="D228" s="295"/>
      <c r="E228" s="295"/>
      <c r="F228" s="295"/>
      <c r="G228" s="295"/>
      <c r="H228" s="295"/>
      <c r="I228" s="295"/>
      <c r="J228" s="295"/>
      <c r="K228" s="295"/>
      <c r="L228" s="295"/>
      <c r="M228" s="295"/>
      <c r="N228" s="295"/>
      <c r="O228" s="297"/>
      <c r="P228" s="295"/>
      <c r="Q228" s="295"/>
      <c r="R228" s="295"/>
      <c r="S228" s="295"/>
      <c r="T228" s="295"/>
      <c r="U228" s="295"/>
      <c r="V228" s="295"/>
      <c r="W228" s="295"/>
      <c r="X228" s="295"/>
      <c r="Y228" s="295"/>
      <c r="Z228" s="295"/>
    </row>
    <row r="229" ht="29.25" customHeight="1">
      <c r="A229" s="295"/>
      <c r="B229" s="295"/>
      <c r="C229" s="295"/>
      <c r="D229" s="295"/>
      <c r="E229" s="295"/>
      <c r="F229" s="295"/>
      <c r="G229" s="295"/>
      <c r="H229" s="295"/>
      <c r="I229" s="295"/>
      <c r="J229" s="295"/>
      <c r="K229" s="295"/>
      <c r="L229" s="295"/>
      <c r="M229" s="295"/>
      <c r="N229" s="295"/>
      <c r="O229" s="297"/>
      <c r="P229" s="295"/>
      <c r="Q229" s="295"/>
      <c r="R229" s="295"/>
      <c r="S229" s="295"/>
      <c r="T229" s="295"/>
      <c r="U229" s="295"/>
      <c r="V229" s="295"/>
      <c r="W229" s="295"/>
      <c r="X229" s="295"/>
      <c r="Y229" s="295"/>
      <c r="Z229" s="295"/>
    </row>
    <row r="230" ht="29.25" customHeight="1">
      <c r="A230" s="295"/>
      <c r="B230" s="295"/>
      <c r="C230" s="295"/>
      <c r="D230" s="295"/>
      <c r="E230" s="295"/>
      <c r="F230" s="295"/>
      <c r="G230" s="295"/>
      <c r="H230" s="295"/>
      <c r="I230" s="295"/>
      <c r="J230" s="295"/>
      <c r="K230" s="295"/>
      <c r="L230" s="295"/>
      <c r="M230" s="295"/>
      <c r="N230" s="295"/>
      <c r="O230" s="297"/>
      <c r="P230" s="295"/>
      <c r="Q230" s="295"/>
      <c r="R230" s="295"/>
      <c r="S230" s="295"/>
      <c r="T230" s="295"/>
      <c r="U230" s="295"/>
      <c r="V230" s="295"/>
      <c r="W230" s="295"/>
      <c r="X230" s="295"/>
      <c r="Y230" s="295"/>
      <c r="Z230" s="295"/>
    </row>
    <row r="231" ht="29.25" customHeight="1">
      <c r="A231" s="295"/>
      <c r="B231" s="295"/>
      <c r="C231" s="295"/>
      <c r="D231" s="295"/>
      <c r="E231" s="295"/>
      <c r="F231" s="295"/>
      <c r="G231" s="295"/>
      <c r="H231" s="295"/>
      <c r="I231" s="295"/>
      <c r="J231" s="295"/>
      <c r="K231" s="295"/>
      <c r="L231" s="295"/>
      <c r="M231" s="295"/>
      <c r="N231" s="295"/>
      <c r="O231" s="297"/>
      <c r="P231" s="295"/>
      <c r="Q231" s="295"/>
      <c r="R231" s="295"/>
      <c r="S231" s="295"/>
      <c r="T231" s="295"/>
      <c r="U231" s="295"/>
      <c r="V231" s="295"/>
      <c r="W231" s="295"/>
      <c r="X231" s="295"/>
      <c r="Y231" s="295"/>
      <c r="Z231" s="295"/>
    </row>
    <row r="232" ht="29.25" customHeight="1">
      <c r="A232" s="295"/>
      <c r="B232" s="295"/>
      <c r="C232" s="295"/>
      <c r="D232" s="295"/>
      <c r="E232" s="295"/>
      <c r="F232" s="295"/>
      <c r="G232" s="295"/>
      <c r="H232" s="295"/>
      <c r="I232" s="295"/>
      <c r="J232" s="295"/>
      <c r="K232" s="295"/>
      <c r="L232" s="295"/>
      <c r="M232" s="295"/>
      <c r="N232" s="295"/>
      <c r="O232" s="297"/>
      <c r="P232" s="295"/>
      <c r="Q232" s="295"/>
      <c r="R232" s="295"/>
      <c r="S232" s="295"/>
      <c r="T232" s="295"/>
      <c r="U232" s="295"/>
      <c r="V232" s="295"/>
      <c r="W232" s="295"/>
      <c r="X232" s="295"/>
      <c r="Y232" s="295"/>
      <c r="Z232" s="295"/>
    </row>
    <row r="233" ht="29.25" customHeight="1">
      <c r="A233" s="295"/>
      <c r="B233" s="295"/>
      <c r="C233" s="295"/>
      <c r="D233" s="295"/>
      <c r="E233" s="295"/>
      <c r="F233" s="295"/>
      <c r="G233" s="295"/>
      <c r="H233" s="295"/>
      <c r="I233" s="295"/>
      <c r="J233" s="295"/>
      <c r="K233" s="295"/>
      <c r="L233" s="295"/>
      <c r="M233" s="295"/>
      <c r="N233" s="295"/>
      <c r="O233" s="297"/>
      <c r="P233" s="295"/>
      <c r="Q233" s="295"/>
      <c r="R233" s="295"/>
      <c r="S233" s="295"/>
      <c r="T233" s="295"/>
      <c r="U233" s="295"/>
      <c r="V233" s="295"/>
      <c r="W233" s="295"/>
      <c r="X233" s="295"/>
      <c r="Y233" s="295"/>
      <c r="Z233" s="295"/>
    </row>
    <row r="234" ht="29.25" customHeight="1">
      <c r="A234" s="295"/>
      <c r="B234" s="295"/>
      <c r="C234" s="295"/>
      <c r="D234" s="295"/>
      <c r="E234" s="295"/>
      <c r="F234" s="295"/>
      <c r="G234" s="295"/>
      <c r="H234" s="295"/>
      <c r="I234" s="295"/>
      <c r="J234" s="295"/>
      <c r="K234" s="295"/>
      <c r="L234" s="295"/>
      <c r="M234" s="295"/>
      <c r="N234" s="295"/>
      <c r="O234" s="297"/>
      <c r="P234" s="295"/>
      <c r="Q234" s="295"/>
      <c r="R234" s="295"/>
      <c r="S234" s="295"/>
      <c r="T234" s="295"/>
      <c r="U234" s="295"/>
      <c r="V234" s="295"/>
      <c r="W234" s="295"/>
      <c r="X234" s="295"/>
      <c r="Y234" s="295"/>
      <c r="Z234" s="295"/>
    </row>
    <row r="235" ht="29.25" customHeight="1">
      <c r="A235" s="295"/>
      <c r="B235" s="295"/>
      <c r="C235" s="295"/>
      <c r="D235" s="295"/>
      <c r="E235" s="295"/>
      <c r="F235" s="295"/>
      <c r="G235" s="295"/>
      <c r="H235" s="295"/>
      <c r="I235" s="295"/>
      <c r="J235" s="295"/>
      <c r="K235" s="295"/>
      <c r="L235" s="295"/>
      <c r="M235" s="295"/>
      <c r="N235" s="295"/>
      <c r="O235" s="297"/>
      <c r="P235" s="295"/>
      <c r="Q235" s="295"/>
      <c r="R235" s="295"/>
      <c r="S235" s="295"/>
      <c r="T235" s="295"/>
      <c r="U235" s="295"/>
      <c r="V235" s="295"/>
      <c r="W235" s="295"/>
      <c r="X235" s="295"/>
      <c r="Y235" s="295"/>
      <c r="Z235" s="295"/>
    </row>
    <row r="236" ht="29.25" customHeight="1">
      <c r="A236" s="295"/>
      <c r="B236" s="295"/>
      <c r="C236" s="295"/>
      <c r="D236" s="295"/>
      <c r="E236" s="295"/>
      <c r="F236" s="295"/>
      <c r="G236" s="295"/>
      <c r="H236" s="295"/>
      <c r="I236" s="295"/>
      <c r="J236" s="295"/>
      <c r="K236" s="295"/>
      <c r="L236" s="295"/>
      <c r="M236" s="295"/>
      <c r="N236" s="295"/>
      <c r="O236" s="297"/>
      <c r="P236" s="295"/>
      <c r="Q236" s="295"/>
      <c r="R236" s="295"/>
      <c r="S236" s="295"/>
      <c r="T236" s="295"/>
      <c r="U236" s="295"/>
      <c r="V236" s="295"/>
      <c r="W236" s="295"/>
      <c r="X236" s="295"/>
      <c r="Y236" s="295"/>
      <c r="Z236" s="295"/>
    </row>
    <row r="237" ht="29.25" customHeight="1">
      <c r="A237" s="295"/>
      <c r="B237" s="295"/>
      <c r="C237" s="295"/>
      <c r="D237" s="295"/>
      <c r="E237" s="295"/>
      <c r="F237" s="295"/>
      <c r="G237" s="295"/>
      <c r="H237" s="295"/>
      <c r="I237" s="295"/>
      <c r="J237" s="295"/>
      <c r="K237" s="295"/>
      <c r="L237" s="295"/>
      <c r="M237" s="295"/>
      <c r="N237" s="295"/>
      <c r="O237" s="297"/>
      <c r="P237" s="295"/>
      <c r="Q237" s="295"/>
      <c r="R237" s="295"/>
      <c r="S237" s="295"/>
      <c r="T237" s="295"/>
      <c r="U237" s="295"/>
      <c r="V237" s="295"/>
      <c r="W237" s="295"/>
      <c r="X237" s="295"/>
      <c r="Y237" s="295"/>
      <c r="Z237" s="295"/>
    </row>
    <row r="238" ht="29.25" customHeight="1">
      <c r="A238" s="295"/>
      <c r="B238" s="295"/>
      <c r="C238" s="295"/>
      <c r="D238" s="295"/>
      <c r="E238" s="295"/>
      <c r="F238" s="295"/>
      <c r="G238" s="295"/>
      <c r="H238" s="295"/>
      <c r="I238" s="295"/>
      <c r="J238" s="295"/>
      <c r="K238" s="295"/>
      <c r="L238" s="295"/>
      <c r="M238" s="295"/>
      <c r="N238" s="295"/>
      <c r="O238" s="297"/>
      <c r="P238" s="295"/>
      <c r="Q238" s="295"/>
      <c r="R238" s="295"/>
      <c r="S238" s="295"/>
      <c r="T238" s="295"/>
      <c r="U238" s="295"/>
      <c r="V238" s="295"/>
      <c r="W238" s="295"/>
      <c r="X238" s="295"/>
      <c r="Y238" s="295"/>
      <c r="Z238" s="295"/>
    </row>
    <row r="239" ht="29.25" customHeight="1">
      <c r="A239" s="295"/>
      <c r="B239" s="295"/>
      <c r="C239" s="295"/>
      <c r="D239" s="295"/>
      <c r="E239" s="295"/>
      <c r="F239" s="295"/>
      <c r="G239" s="295"/>
      <c r="H239" s="295"/>
      <c r="I239" s="295"/>
      <c r="J239" s="295"/>
      <c r="K239" s="295"/>
      <c r="L239" s="295"/>
      <c r="M239" s="295"/>
      <c r="N239" s="295"/>
      <c r="O239" s="297"/>
      <c r="P239" s="295"/>
      <c r="Q239" s="295"/>
      <c r="R239" s="295"/>
      <c r="S239" s="295"/>
      <c r="T239" s="295"/>
      <c r="U239" s="295"/>
      <c r="V239" s="295"/>
      <c r="W239" s="295"/>
      <c r="X239" s="295"/>
      <c r="Y239" s="295"/>
      <c r="Z239" s="295"/>
    </row>
    <row r="240" ht="29.25" customHeight="1">
      <c r="A240" s="295"/>
      <c r="B240" s="295"/>
      <c r="C240" s="295"/>
      <c r="D240" s="295"/>
      <c r="E240" s="295"/>
      <c r="F240" s="295"/>
      <c r="G240" s="295"/>
      <c r="H240" s="295"/>
      <c r="I240" s="295"/>
      <c r="J240" s="295"/>
      <c r="K240" s="295"/>
      <c r="L240" s="295"/>
      <c r="M240" s="295"/>
      <c r="N240" s="295"/>
      <c r="O240" s="297"/>
      <c r="P240" s="295"/>
      <c r="Q240" s="295"/>
      <c r="R240" s="295"/>
      <c r="S240" s="295"/>
      <c r="T240" s="295"/>
      <c r="U240" s="295"/>
      <c r="V240" s="295"/>
      <c r="W240" s="295"/>
      <c r="X240" s="295"/>
      <c r="Y240" s="295"/>
      <c r="Z240" s="295"/>
    </row>
    <row r="241" ht="29.25" customHeight="1">
      <c r="A241" s="295"/>
      <c r="B241" s="295"/>
      <c r="C241" s="295"/>
      <c r="D241" s="295"/>
      <c r="E241" s="295"/>
      <c r="F241" s="295"/>
      <c r="G241" s="295"/>
      <c r="H241" s="295"/>
      <c r="I241" s="295"/>
      <c r="J241" s="295"/>
      <c r="K241" s="295"/>
      <c r="L241" s="295"/>
      <c r="M241" s="295"/>
      <c r="N241" s="295"/>
      <c r="O241" s="297"/>
      <c r="P241" s="295"/>
      <c r="Q241" s="295"/>
      <c r="R241" s="295"/>
      <c r="S241" s="295"/>
      <c r="T241" s="295"/>
      <c r="U241" s="295"/>
      <c r="V241" s="295"/>
      <c r="W241" s="295"/>
      <c r="X241" s="295"/>
      <c r="Y241" s="295"/>
      <c r="Z241" s="295"/>
    </row>
    <row r="242" ht="29.25" customHeight="1">
      <c r="A242" s="295"/>
      <c r="B242" s="295"/>
      <c r="C242" s="295"/>
      <c r="D242" s="295"/>
      <c r="E242" s="295"/>
      <c r="F242" s="295"/>
      <c r="G242" s="295"/>
      <c r="H242" s="295"/>
      <c r="I242" s="295"/>
      <c r="J242" s="295"/>
      <c r="K242" s="295"/>
      <c r="L242" s="295"/>
      <c r="M242" s="295"/>
      <c r="N242" s="295"/>
      <c r="O242" s="297"/>
      <c r="P242" s="295"/>
      <c r="Q242" s="295"/>
      <c r="R242" s="295"/>
      <c r="S242" s="295"/>
      <c r="T242" s="295"/>
      <c r="U242" s="295"/>
      <c r="V242" s="295"/>
      <c r="W242" s="295"/>
      <c r="X242" s="295"/>
      <c r="Y242" s="295"/>
      <c r="Z242" s="295"/>
    </row>
    <row r="243" ht="29.25" customHeight="1">
      <c r="A243" s="295"/>
      <c r="B243" s="295"/>
      <c r="C243" s="295"/>
      <c r="D243" s="295"/>
      <c r="E243" s="295"/>
      <c r="F243" s="295"/>
      <c r="G243" s="295"/>
      <c r="H243" s="295"/>
      <c r="I243" s="295"/>
      <c r="J243" s="295"/>
      <c r="K243" s="295"/>
      <c r="L243" s="295"/>
      <c r="M243" s="295"/>
      <c r="N243" s="295"/>
      <c r="O243" s="297"/>
      <c r="P243" s="295"/>
      <c r="Q243" s="295"/>
      <c r="R243" s="295"/>
      <c r="S243" s="295"/>
      <c r="T243" s="295"/>
      <c r="U243" s="295"/>
      <c r="V243" s="295"/>
      <c r="W243" s="295"/>
      <c r="X243" s="295"/>
      <c r="Y243" s="295"/>
      <c r="Z243" s="295"/>
    </row>
    <row r="244" ht="29.25" customHeight="1">
      <c r="A244" s="295"/>
      <c r="B244" s="295"/>
      <c r="C244" s="295"/>
      <c r="D244" s="295"/>
      <c r="E244" s="295"/>
      <c r="F244" s="295"/>
      <c r="G244" s="295"/>
      <c r="H244" s="295"/>
      <c r="I244" s="295"/>
      <c r="J244" s="295"/>
      <c r="K244" s="295"/>
      <c r="L244" s="295"/>
      <c r="M244" s="295"/>
      <c r="N244" s="295"/>
      <c r="O244" s="297"/>
      <c r="P244" s="295"/>
      <c r="Q244" s="295"/>
      <c r="R244" s="295"/>
      <c r="S244" s="295"/>
      <c r="T244" s="295"/>
      <c r="U244" s="295"/>
      <c r="V244" s="295"/>
      <c r="W244" s="295"/>
      <c r="X244" s="295"/>
      <c r="Y244" s="295"/>
      <c r="Z244" s="295"/>
    </row>
    <row r="245" ht="29.25" customHeight="1">
      <c r="A245" s="295"/>
      <c r="B245" s="295"/>
      <c r="C245" s="295"/>
      <c r="D245" s="295"/>
      <c r="E245" s="295"/>
      <c r="F245" s="295"/>
      <c r="G245" s="295"/>
      <c r="H245" s="295"/>
      <c r="I245" s="295"/>
      <c r="J245" s="295"/>
      <c r="K245" s="295"/>
      <c r="L245" s="295"/>
      <c r="M245" s="295"/>
      <c r="N245" s="295"/>
      <c r="O245" s="297"/>
      <c r="P245" s="295"/>
      <c r="Q245" s="295"/>
      <c r="R245" s="295"/>
      <c r="S245" s="295"/>
      <c r="T245" s="295"/>
      <c r="U245" s="295"/>
      <c r="V245" s="295"/>
      <c r="W245" s="295"/>
      <c r="X245" s="295"/>
      <c r="Y245" s="295"/>
      <c r="Z245" s="295"/>
    </row>
    <row r="246" ht="29.25" customHeight="1">
      <c r="A246" s="295"/>
      <c r="B246" s="295"/>
      <c r="C246" s="295"/>
      <c r="D246" s="295"/>
      <c r="E246" s="295"/>
      <c r="F246" s="295"/>
      <c r="G246" s="295"/>
      <c r="H246" s="295"/>
      <c r="I246" s="295"/>
      <c r="J246" s="295"/>
      <c r="K246" s="295"/>
      <c r="L246" s="295"/>
      <c r="M246" s="295"/>
      <c r="N246" s="295"/>
      <c r="O246" s="297"/>
      <c r="P246" s="295"/>
      <c r="Q246" s="295"/>
      <c r="R246" s="295"/>
      <c r="S246" s="295"/>
      <c r="T246" s="295"/>
      <c r="U246" s="295"/>
      <c r="V246" s="295"/>
      <c r="W246" s="295"/>
      <c r="X246" s="295"/>
      <c r="Y246" s="295"/>
      <c r="Z246" s="295"/>
    </row>
    <row r="247" ht="29.25" customHeight="1">
      <c r="A247" s="295"/>
      <c r="B247" s="295"/>
      <c r="C247" s="295"/>
      <c r="D247" s="295"/>
      <c r="E247" s="295"/>
      <c r="F247" s="295"/>
      <c r="G247" s="295"/>
      <c r="H247" s="295"/>
      <c r="I247" s="295"/>
      <c r="J247" s="295"/>
      <c r="K247" s="295"/>
      <c r="L247" s="295"/>
      <c r="M247" s="295"/>
      <c r="N247" s="295"/>
      <c r="O247" s="297"/>
      <c r="P247" s="295"/>
      <c r="Q247" s="295"/>
      <c r="R247" s="295"/>
      <c r="S247" s="295"/>
      <c r="T247" s="295"/>
      <c r="U247" s="295"/>
      <c r="V247" s="295"/>
      <c r="W247" s="295"/>
      <c r="X247" s="295"/>
      <c r="Y247" s="295"/>
      <c r="Z247" s="295"/>
    </row>
    <row r="248" ht="29.25" customHeight="1">
      <c r="A248" s="295"/>
      <c r="B248" s="295"/>
      <c r="C248" s="295"/>
      <c r="D248" s="295"/>
      <c r="E248" s="295"/>
      <c r="F248" s="295"/>
      <c r="G248" s="295"/>
      <c r="H248" s="295"/>
      <c r="I248" s="295"/>
      <c r="J248" s="295"/>
      <c r="K248" s="295"/>
      <c r="L248" s="295"/>
      <c r="M248" s="295"/>
      <c r="N248" s="295"/>
      <c r="O248" s="297"/>
      <c r="P248" s="295"/>
      <c r="Q248" s="295"/>
      <c r="R248" s="295"/>
      <c r="S248" s="295"/>
      <c r="T248" s="295"/>
      <c r="U248" s="295"/>
      <c r="V248" s="295"/>
      <c r="W248" s="295"/>
      <c r="X248" s="295"/>
      <c r="Y248" s="295"/>
      <c r="Z248" s="295"/>
    </row>
    <row r="249" ht="29.25" customHeight="1">
      <c r="A249" s="295"/>
      <c r="B249" s="295"/>
      <c r="C249" s="295"/>
      <c r="D249" s="295"/>
      <c r="E249" s="295"/>
      <c r="F249" s="295"/>
      <c r="G249" s="295"/>
      <c r="H249" s="295"/>
      <c r="I249" s="295"/>
      <c r="J249" s="295"/>
      <c r="K249" s="295"/>
      <c r="L249" s="295"/>
      <c r="M249" s="295"/>
      <c r="N249" s="295"/>
      <c r="O249" s="297"/>
      <c r="P249" s="295"/>
      <c r="Q249" s="295"/>
      <c r="R249" s="295"/>
      <c r="S249" s="295"/>
      <c r="T249" s="295"/>
      <c r="U249" s="295"/>
      <c r="V249" s="295"/>
      <c r="W249" s="295"/>
      <c r="X249" s="295"/>
      <c r="Y249" s="295"/>
      <c r="Z249" s="295"/>
    </row>
    <row r="250" ht="29.25" customHeight="1">
      <c r="A250" s="295"/>
      <c r="B250" s="295"/>
      <c r="C250" s="295"/>
      <c r="D250" s="295"/>
      <c r="E250" s="295"/>
      <c r="F250" s="295"/>
      <c r="G250" s="295"/>
      <c r="H250" s="295"/>
      <c r="I250" s="295"/>
      <c r="J250" s="295"/>
      <c r="K250" s="295"/>
      <c r="L250" s="295"/>
      <c r="M250" s="295"/>
      <c r="N250" s="295"/>
      <c r="O250" s="297"/>
      <c r="P250" s="295"/>
      <c r="Q250" s="295"/>
      <c r="R250" s="295"/>
      <c r="S250" s="295"/>
      <c r="T250" s="295"/>
      <c r="U250" s="295"/>
      <c r="V250" s="295"/>
      <c r="W250" s="295"/>
      <c r="X250" s="295"/>
      <c r="Y250" s="295"/>
      <c r="Z250" s="295"/>
    </row>
    <row r="251" ht="29.25" customHeight="1">
      <c r="A251" s="295"/>
      <c r="B251" s="295"/>
      <c r="C251" s="295"/>
      <c r="D251" s="295"/>
      <c r="E251" s="295"/>
      <c r="F251" s="295"/>
      <c r="G251" s="295"/>
      <c r="H251" s="295"/>
      <c r="I251" s="295"/>
      <c r="J251" s="295"/>
      <c r="K251" s="295"/>
      <c r="L251" s="295"/>
      <c r="M251" s="295"/>
      <c r="N251" s="295"/>
      <c r="O251" s="297"/>
      <c r="P251" s="295"/>
      <c r="Q251" s="295"/>
      <c r="R251" s="295"/>
      <c r="S251" s="295"/>
      <c r="T251" s="295"/>
      <c r="U251" s="295"/>
      <c r="V251" s="295"/>
      <c r="W251" s="295"/>
      <c r="X251" s="295"/>
      <c r="Y251" s="295"/>
      <c r="Z251" s="295"/>
    </row>
    <row r="252" ht="29.25" customHeight="1">
      <c r="A252" s="295"/>
      <c r="B252" s="295"/>
      <c r="C252" s="295"/>
      <c r="D252" s="295"/>
      <c r="E252" s="295"/>
      <c r="F252" s="295"/>
      <c r="G252" s="295"/>
      <c r="H252" s="295"/>
      <c r="I252" s="295"/>
      <c r="J252" s="295"/>
      <c r="K252" s="295"/>
      <c r="L252" s="295"/>
      <c r="M252" s="295"/>
      <c r="N252" s="295"/>
      <c r="O252" s="297"/>
      <c r="P252" s="295"/>
      <c r="Q252" s="295"/>
      <c r="R252" s="295"/>
      <c r="S252" s="295"/>
      <c r="T252" s="295"/>
      <c r="U252" s="295"/>
      <c r="V252" s="295"/>
      <c r="W252" s="295"/>
      <c r="X252" s="295"/>
      <c r="Y252" s="295"/>
      <c r="Z252" s="295"/>
    </row>
    <row r="253" ht="29.25" customHeight="1">
      <c r="A253" s="295"/>
      <c r="B253" s="295"/>
      <c r="C253" s="295"/>
      <c r="D253" s="295"/>
      <c r="E253" s="295"/>
      <c r="F253" s="295"/>
      <c r="G253" s="295"/>
      <c r="H253" s="295"/>
      <c r="I253" s="295"/>
      <c r="J253" s="295"/>
      <c r="K253" s="295"/>
      <c r="L253" s="295"/>
      <c r="M253" s="295"/>
      <c r="N253" s="295"/>
      <c r="O253" s="297"/>
      <c r="P253" s="295"/>
      <c r="Q253" s="295"/>
      <c r="R253" s="295"/>
      <c r="S253" s="295"/>
      <c r="T253" s="295"/>
      <c r="U253" s="295"/>
      <c r="V253" s="295"/>
      <c r="W253" s="295"/>
      <c r="X253" s="295"/>
      <c r="Y253" s="295"/>
      <c r="Z253" s="295"/>
    </row>
    <row r="254" ht="29.25" customHeight="1">
      <c r="A254" s="295"/>
      <c r="B254" s="295"/>
      <c r="C254" s="295"/>
      <c r="D254" s="295"/>
      <c r="E254" s="295"/>
      <c r="F254" s="295"/>
      <c r="G254" s="295"/>
      <c r="H254" s="295"/>
      <c r="I254" s="295"/>
      <c r="J254" s="295"/>
      <c r="K254" s="295"/>
      <c r="L254" s="295"/>
      <c r="M254" s="295"/>
      <c r="N254" s="295"/>
      <c r="O254" s="297"/>
      <c r="P254" s="295"/>
      <c r="Q254" s="295"/>
      <c r="R254" s="295"/>
      <c r="S254" s="295"/>
      <c r="T254" s="295"/>
      <c r="U254" s="295"/>
      <c r="V254" s="295"/>
      <c r="W254" s="295"/>
      <c r="X254" s="295"/>
      <c r="Y254" s="295"/>
      <c r="Z254" s="295"/>
    </row>
    <row r="255" ht="29.25" customHeight="1">
      <c r="A255" s="295"/>
      <c r="B255" s="295"/>
      <c r="C255" s="295"/>
      <c r="D255" s="295"/>
      <c r="E255" s="295"/>
      <c r="F255" s="295"/>
      <c r="G255" s="295"/>
      <c r="H255" s="295"/>
      <c r="I255" s="295"/>
      <c r="J255" s="295"/>
      <c r="K255" s="295"/>
      <c r="L255" s="295"/>
      <c r="M255" s="295"/>
      <c r="N255" s="295"/>
      <c r="O255" s="297"/>
      <c r="P255" s="295"/>
      <c r="Q255" s="295"/>
      <c r="R255" s="295"/>
      <c r="S255" s="295"/>
      <c r="T255" s="295"/>
      <c r="U255" s="295"/>
      <c r="V255" s="295"/>
      <c r="W255" s="295"/>
      <c r="X255" s="295"/>
      <c r="Y255" s="295"/>
      <c r="Z255" s="295"/>
    </row>
    <row r="256" ht="29.25" customHeight="1">
      <c r="A256" s="295"/>
      <c r="B256" s="295"/>
      <c r="C256" s="295"/>
      <c r="D256" s="295"/>
      <c r="E256" s="295"/>
      <c r="F256" s="295"/>
      <c r="G256" s="295"/>
      <c r="H256" s="295"/>
      <c r="I256" s="295"/>
      <c r="J256" s="295"/>
      <c r="K256" s="295"/>
      <c r="L256" s="295"/>
      <c r="M256" s="295"/>
      <c r="N256" s="295"/>
      <c r="O256" s="297"/>
      <c r="P256" s="295"/>
      <c r="Q256" s="295"/>
      <c r="R256" s="295"/>
      <c r="S256" s="295"/>
      <c r="T256" s="295"/>
      <c r="U256" s="295"/>
      <c r="V256" s="295"/>
      <c r="W256" s="295"/>
      <c r="X256" s="295"/>
      <c r="Y256" s="295"/>
      <c r="Z256" s="295"/>
    </row>
    <row r="257" ht="29.25" customHeight="1">
      <c r="A257" s="295"/>
      <c r="B257" s="295"/>
      <c r="C257" s="295"/>
      <c r="D257" s="295"/>
      <c r="E257" s="295"/>
      <c r="F257" s="295"/>
      <c r="G257" s="295"/>
      <c r="H257" s="295"/>
      <c r="I257" s="295"/>
      <c r="J257" s="295"/>
      <c r="K257" s="295"/>
      <c r="L257" s="295"/>
      <c r="M257" s="295"/>
      <c r="N257" s="295"/>
      <c r="O257" s="297"/>
      <c r="P257" s="295"/>
      <c r="Q257" s="295"/>
      <c r="R257" s="295"/>
      <c r="S257" s="295"/>
      <c r="T257" s="295"/>
      <c r="U257" s="295"/>
      <c r="V257" s="295"/>
      <c r="W257" s="295"/>
      <c r="X257" s="295"/>
      <c r="Y257" s="295"/>
      <c r="Z257" s="295"/>
    </row>
    <row r="258" ht="29.25" customHeight="1">
      <c r="A258" s="295"/>
      <c r="B258" s="295"/>
      <c r="C258" s="295"/>
      <c r="D258" s="295"/>
      <c r="E258" s="295"/>
      <c r="F258" s="295"/>
      <c r="G258" s="295"/>
      <c r="H258" s="295"/>
      <c r="I258" s="295"/>
      <c r="J258" s="295"/>
      <c r="K258" s="295"/>
      <c r="L258" s="295"/>
      <c r="M258" s="295"/>
      <c r="N258" s="295"/>
      <c r="O258" s="297"/>
      <c r="P258" s="295"/>
      <c r="Q258" s="295"/>
      <c r="R258" s="295"/>
      <c r="S258" s="295"/>
      <c r="T258" s="295"/>
      <c r="U258" s="295"/>
      <c r="V258" s="295"/>
      <c r="W258" s="295"/>
      <c r="X258" s="295"/>
      <c r="Y258" s="295"/>
      <c r="Z258" s="295"/>
    </row>
    <row r="259" ht="29.25" customHeight="1">
      <c r="A259" s="295"/>
      <c r="B259" s="295"/>
      <c r="C259" s="295"/>
      <c r="D259" s="295"/>
      <c r="E259" s="295"/>
      <c r="F259" s="295"/>
      <c r="G259" s="295"/>
      <c r="H259" s="295"/>
      <c r="I259" s="295"/>
      <c r="J259" s="295"/>
      <c r="K259" s="295"/>
      <c r="L259" s="295"/>
      <c r="M259" s="295"/>
      <c r="N259" s="295"/>
      <c r="O259" s="297"/>
      <c r="P259" s="295"/>
      <c r="Q259" s="295"/>
      <c r="R259" s="295"/>
      <c r="S259" s="295"/>
      <c r="T259" s="295"/>
      <c r="U259" s="295"/>
      <c r="V259" s="295"/>
      <c r="W259" s="295"/>
      <c r="X259" s="295"/>
      <c r="Y259" s="295"/>
      <c r="Z259" s="295"/>
    </row>
    <row r="260" ht="29.25" customHeight="1">
      <c r="A260" s="295"/>
      <c r="B260" s="295"/>
      <c r="C260" s="295"/>
      <c r="D260" s="295"/>
      <c r="E260" s="295"/>
      <c r="F260" s="295"/>
      <c r="G260" s="295"/>
      <c r="H260" s="295"/>
      <c r="I260" s="295"/>
      <c r="J260" s="295"/>
      <c r="K260" s="295"/>
      <c r="L260" s="295"/>
      <c r="M260" s="295"/>
      <c r="N260" s="295"/>
      <c r="O260" s="297"/>
      <c r="P260" s="295"/>
      <c r="Q260" s="295"/>
      <c r="R260" s="295"/>
      <c r="S260" s="295"/>
      <c r="T260" s="295"/>
      <c r="U260" s="295"/>
      <c r="V260" s="295"/>
      <c r="W260" s="295"/>
      <c r="X260" s="295"/>
      <c r="Y260" s="295"/>
      <c r="Z260" s="295"/>
    </row>
    <row r="261" ht="29.25" customHeight="1">
      <c r="A261" s="295"/>
      <c r="B261" s="295"/>
      <c r="C261" s="295"/>
      <c r="D261" s="295"/>
      <c r="E261" s="295"/>
      <c r="F261" s="295"/>
      <c r="G261" s="295"/>
      <c r="H261" s="295"/>
      <c r="I261" s="295"/>
      <c r="J261" s="295"/>
      <c r="K261" s="295"/>
      <c r="L261" s="295"/>
      <c r="M261" s="295"/>
      <c r="N261" s="295"/>
      <c r="O261" s="297"/>
      <c r="P261" s="295"/>
      <c r="Q261" s="295"/>
      <c r="R261" s="295"/>
      <c r="S261" s="295"/>
      <c r="T261" s="295"/>
      <c r="U261" s="295"/>
      <c r="V261" s="295"/>
      <c r="W261" s="295"/>
      <c r="X261" s="295"/>
      <c r="Y261" s="295"/>
      <c r="Z261" s="295"/>
    </row>
    <row r="262" ht="29.25" customHeight="1">
      <c r="A262" s="295"/>
      <c r="B262" s="295"/>
      <c r="C262" s="295"/>
      <c r="D262" s="295"/>
      <c r="E262" s="295"/>
      <c r="F262" s="295"/>
      <c r="G262" s="295"/>
      <c r="H262" s="295"/>
      <c r="I262" s="295"/>
      <c r="J262" s="295"/>
      <c r="K262" s="295"/>
      <c r="L262" s="295"/>
      <c r="M262" s="295"/>
      <c r="N262" s="295"/>
      <c r="O262" s="297"/>
      <c r="P262" s="295"/>
      <c r="Q262" s="295"/>
      <c r="R262" s="295"/>
      <c r="S262" s="295"/>
      <c r="T262" s="295"/>
      <c r="U262" s="295"/>
      <c r="V262" s="295"/>
      <c r="W262" s="295"/>
      <c r="X262" s="295"/>
      <c r="Y262" s="295"/>
      <c r="Z262" s="295"/>
    </row>
    <row r="263" ht="29.25" customHeight="1">
      <c r="A263" s="295"/>
      <c r="B263" s="295"/>
      <c r="C263" s="295"/>
      <c r="D263" s="295"/>
      <c r="E263" s="295"/>
      <c r="F263" s="295"/>
      <c r="G263" s="295"/>
      <c r="H263" s="295"/>
      <c r="I263" s="295"/>
      <c r="J263" s="295"/>
      <c r="K263" s="295"/>
      <c r="L263" s="295"/>
      <c r="M263" s="295"/>
      <c r="N263" s="295"/>
      <c r="O263" s="297"/>
      <c r="P263" s="295"/>
      <c r="Q263" s="295"/>
      <c r="R263" s="295"/>
      <c r="S263" s="295"/>
      <c r="T263" s="295"/>
      <c r="U263" s="295"/>
      <c r="V263" s="295"/>
      <c r="W263" s="295"/>
      <c r="X263" s="295"/>
      <c r="Y263" s="295"/>
      <c r="Z263" s="295"/>
    </row>
    <row r="264" ht="29.25" customHeight="1">
      <c r="A264" s="295"/>
      <c r="B264" s="295"/>
      <c r="C264" s="295"/>
      <c r="D264" s="295"/>
      <c r="E264" s="295"/>
      <c r="F264" s="295"/>
      <c r="G264" s="295"/>
      <c r="H264" s="295"/>
      <c r="I264" s="295"/>
      <c r="J264" s="295"/>
      <c r="K264" s="295"/>
      <c r="L264" s="295"/>
      <c r="M264" s="295"/>
      <c r="N264" s="295"/>
      <c r="O264" s="297"/>
      <c r="P264" s="295"/>
      <c r="Q264" s="295"/>
      <c r="R264" s="295"/>
      <c r="S264" s="295"/>
      <c r="T264" s="295"/>
      <c r="U264" s="295"/>
      <c r="V264" s="295"/>
      <c r="W264" s="295"/>
      <c r="X264" s="295"/>
      <c r="Y264" s="295"/>
      <c r="Z264" s="295"/>
    </row>
    <row r="265" ht="29.25" customHeight="1">
      <c r="A265" s="295"/>
      <c r="B265" s="295"/>
      <c r="C265" s="295"/>
      <c r="D265" s="295"/>
      <c r="E265" s="295"/>
      <c r="F265" s="295"/>
      <c r="G265" s="295"/>
      <c r="H265" s="295"/>
      <c r="I265" s="295"/>
      <c r="J265" s="295"/>
      <c r="K265" s="295"/>
      <c r="L265" s="295"/>
      <c r="M265" s="295"/>
      <c r="N265" s="295"/>
      <c r="O265" s="297"/>
      <c r="P265" s="295"/>
      <c r="Q265" s="295"/>
      <c r="R265" s="295"/>
      <c r="S265" s="295"/>
      <c r="T265" s="295"/>
      <c r="U265" s="295"/>
      <c r="V265" s="295"/>
      <c r="W265" s="295"/>
      <c r="X265" s="295"/>
      <c r="Y265" s="295"/>
      <c r="Z265" s="295"/>
    </row>
    <row r="266" ht="29.25" customHeight="1">
      <c r="A266" s="295"/>
      <c r="B266" s="295"/>
      <c r="C266" s="295"/>
      <c r="D266" s="295"/>
      <c r="E266" s="295"/>
      <c r="F266" s="295"/>
      <c r="G266" s="295"/>
      <c r="H266" s="295"/>
      <c r="I266" s="295"/>
      <c r="J266" s="295"/>
      <c r="K266" s="295"/>
      <c r="L266" s="295"/>
      <c r="M266" s="295"/>
      <c r="N266" s="295"/>
      <c r="O266" s="297"/>
      <c r="P266" s="295"/>
      <c r="Q266" s="295"/>
      <c r="R266" s="295"/>
      <c r="S266" s="295"/>
      <c r="T266" s="295"/>
      <c r="U266" s="295"/>
      <c r="V266" s="295"/>
      <c r="W266" s="295"/>
      <c r="X266" s="295"/>
      <c r="Y266" s="295"/>
      <c r="Z266" s="295"/>
    </row>
    <row r="267" ht="29.25" customHeight="1">
      <c r="A267" s="295"/>
      <c r="B267" s="295"/>
      <c r="C267" s="295"/>
      <c r="D267" s="295"/>
      <c r="E267" s="295"/>
      <c r="F267" s="295"/>
      <c r="G267" s="295"/>
      <c r="H267" s="295"/>
      <c r="I267" s="295"/>
      <c r="J267" s="295"/>
      <c r="K267" s="295"/>
      <c r="L267" s="295"/>
      <c r="M267" s="295"/>
      <c r="N267" s="295"/>
      <c r="O267" s="297"/>
      <c r="P267" s="295"/>
      <c r="Q267" s="295"/>
      <c r="R267" s="295"/>
      <c r="S267" s="295"/>
      <c r="T267" s="295"/>
      <c r="U267" s="295"/>
      <c r="V267" s="295"/>
      <c r="W267" s="295"/>
      <c r="X267" s="295"/>
      <c r="Y267" s="295"/>
      <c r="Z267" s="295"/>
    </row>
    <row r="268" ht="29.25" customHeight="1">
      <c r="A268" s="295"/>
      <c r="B268" s="295"/>
      <c r="C268" s="295"/>
      <c r="D268" s="295"/>
      <c r="E268" s="295"/>
      <c r="F268" s="295"/>
      <c r="G268" s="295"/>
      <c r="H268" s="295"/>
      <c r="I268" s="295"/>
      <c r="J268" s="295"/>
      <c r="K268" s="295"/>
      <c r="L268" s="295"/>
      <c r="M268" s="295"/>
      <c r="N268" s="295"/>
      <c r="O268" s="297"/>
      <c r="P268" s="295"/>
      <c r="Q268" s="295"/>
      <c r="R268" s="295"/>
      <c r="S268" s="295"/>
      <c r="T268" s="295"/>
      <c r="U268" s="295"/>
      <c r="V268" s="295"/>
      <c r="W268" s="295"/>
      <c r="X268" s="295"/>
      <c r="Y268" s="295"/>
      <c r="Z268" s="295"/>
    </row>
    <row r="269" ht="29.25" customHeight="1">
      <c r="A269" s="295"/>
      <c r="B269" s="295"/>
      <c r="C269" s="295"/>
      <c r="D269" s="295"/>
      <c r="E269" s="295"/>
      <c r="F269" s="295"/>
      <c r="G269" s="295"/>
      <c r="H269" s="295"/>
      <c r="I269" s="295"/>
      <c r="J269" s="295"/>
      <c r="K269" s="295"/>
      <c r="L269" s="295"/>
      <c r="M269" s="295"/>
      <c r="N269" s="295"/>
      <c r="O269" s="297"/>
      <c r="P269" s="295"/>
      <c r="Q269" s="295"/>
      <c r="R269" s="295"/>
      <c r="S269" s="295"/>
      <c r="T269" s="295"/>
      <c r="U269" s="295"/>
      <c r="V269" s="295"/>
      <c r="W269" s="295"/>
      <c r="X269" s="295"/>
      <c r="Y269" s="295"/>
      <c r="Z269" s="295"/>
    </row>
    <row r="270" ht="29.25" customHeight="1">
      <c r="A270" s="295"/>
      <c r="B270" s="295"/>
      <c r="C270" s="295"/>
      <c r="D270" s="295"/>
      <c r="E270" s="295"/>
      <c r="F270" s="295"/>
      <c r="G270" s="295"/>
      <c r="H270" s="295"/>
      <c r="I270" s="295"/>
      <c r="J270" s="295"/>
      <c r="K270" s="295"/>
      <c r="L270" s="295"/>
      <c r="M270" s="295"/>
      <c r="N270" s="295"/>
      <c r="O270" s="297"/>
      <c r="P270" s="295"/>
      <c r="Q270" s="295"/>
      <c r="R270" s="295"/>
      <c r="S270" s="295"/>
      <c r="T270" s="295"/>
      <c r="U270" s="295"/>
      <c r="V270" s="295"/>
      <c r="W270" s="295"/>
      <c r="X270" s="295"/>
      <c r="Y270" s="295"/>
      <c r="Z270" s="295"/>
    </row>
    <row r="271" ht="29.25" customHeight="1">
      <c r="A271" s="295"/>
      <c r="B271" s="295"/>
      <c r="C271" s="295"/>
      <c r="D271" s="295"/>
      <c r="E271" s="295"/>
      <c r="F271" s="295"/>
      <c r="G271" s="295"/>
      <c r="H271" s="295"/>
      <c r="I271" s="295"/>
      <c r="J271" s="295"/>
      <c r="K271" s="295"/>
      <c r="L271" s="295"/>
      <c r="M271" s="295"/>
      <c r="N271" s="295"/>
      <c r="O271" s="297"/>
      <c r="P271" s="295"/>
      <c r="Q271" s="295"/>
      <c r="R271" s="295"/>
      <c r="S271" s="295"/>
      <c r="T271" s="295"/>
      <c r="U271" s="295"/>
      <c r="V271" s="295"/>
      <c r="W271" s="295"/>
      <c r="X271" s="295"/>
      <c r="Y271" s="295"/>
      <c r="Z271" s="295"/>
    </row>
    <row r="272" ht="29.25" customHeight="1">
      <c r="A272" s="295"/>
      <c r="B272" s="295"/>
      <c r="C272" s="295"/>
      <c r="D272" s="295"/>
      <c r="E272" s="295"/>
      <c r="F272" s="295"/>
      <c r="G272" s="295"/>
      <c r="H272" s="295"/>
      <c r="I272" s="295"/>
      <c r="J272" s="295"/>
      <c r="K272" s="295"/>
      <c r="L272" s="295"/>
      <c r="M272" s="295"/>
      <c r="N272" s="295"/>
      <c r="O272" s="297"/>
      <c r="P272" s="295"/>
      <c r="Q272" s="295"/>
      <c r="R272" s="295"/>
      <c r="S272" s="295"/>
      <c r="T272" s="295"/>
      <c r="U272" s="295"/>
      <c r="V272" s="295"/>
      <c r="W272" s="295"/>
      <c r="X272" s="295"/>
      <c r="Y272" s="295"/>
      <c r="Z272" s="295"/>
    </row>
    <row r="273" ht="29.25" customHeight="1">
      <c r="A273" s="295"/>
      <c r="B273" s="295"/>
      <c r="C273" s="295"/>
      <c r="D273" s="295"/>
      <c r="E273" s="295"/>
      <c r="F273" s="295"/>
      <c r="G273" s="295"/>
      <c r="H273" s="295"/>
      <c r="I273" s="295"/>
      <c r="J273" s="295"/>
      <c r="K273" s="295"/>
      <c r="L273" s="295"/>
      <c r="M273" s="295"/>
      <c r="N273" s="295"/>
      <c r="O273" s="297"/>
      <c r="P273" s="295"/>
      <c r="Q273" s="295"/>
      <c r="R273" s="295"/>
      <c r="S273" s="295"/>
      <c r="T273" s="295"/>
      <c r="U273" s="295"/>
      <c r="V273" s="295"/>
      <c r="W273" s="295"/>
      <c r="X273" s="295"/>
      <c r="Y273" s="295"/>
      <c r="Z273" s="295"/>
    </row>
    <row r="274" ht="29.25" customHeight="1">
      <c r="A274" s="295"/>
      <c r="B274" s="295"/>
      <c r="C274" s="295"/>
      <c r="D274" s="295"/>
      <c r="E274" s="295"/>
      <c r="F274" s="295"/>
      <c r="G274" s="295"/>
      <c r="H274" s="295"/>
      <c r="I274" s="295"/>
      <c r="J274" s="295"/>
      <c r="K274" s="295"/>
      <c r="L274" s="295"/>
      <c r="M274" s="295"/>
      <c r="N274" s="295"/>
      <c r="O274" s="297"/>
      <c r="P274" s="295"/>
      <c r="Q274" s="295"/>
      <c r="R274" s="295"/>
      <c r="S274" s="295"/>
      <c r="T274" s="295"/>
      <c r="U274" s="295"/>
      <c r="V274" s="295"/>
      <c r="W274" s="295"/>
      <c r="X274" s="295"/>
      <c r="Y274" s="295"/>
      <c r="Z274" s="295"/>
    </row>
    <row r="275" ht="29.25" customHeight="1">
      <c r="A275" s="295"/>
      <c r="B275" s="295"/>
      <c r="C275" s="295"/>
      <c r="D275" s="295"/>
      <c r="E275" s="295"/>
      <c r="F275" s="295"/>
      <c r="G275" s="295"/>
      <c r="H275" s="295"/>
      <c r="I275" s="295"/>
      <c r="J275" s="295"/>
      <c r="K275" s="295"/>
      <c r="L275" s="295"/>
      <c r="M275" s="295"/>
      <c r="N275" s="295"/>
      <c r="O275" s="297"/>
      <c r="P275" s="295"/>
      <c r="Q275" s="295"/>
      <c r="R275" s="295"/>
      <c r="S275" s="295"/>
      <c r="T275" s="295"/>
      <c r="U275" s="295"/>
      <c r="V275" s="295"/>
      <c r="W275" s="295"/>
      <c r="X275" s="295"/>
      <c r="Y275" s="295"/>
      <c r="Z275" s="295"/>
    </row>
    <row r="276" ht="29.25" customHeight="1">
      <c r="A276" s="295"/>
      <c r="B276" s="295"/>
      <c r="C276" s="295"/>
      <c r="D276" s="295"/>
      <c r="E276" s="295"/>
      <c r="F276" s="295"/>
      <c r="G276" s="295"/>
      <c r="H276" s="295"/>
      <c r="I276" s="295"/>
      <c r="J276" s="295"/>
      <c r="K276" s="295"/>
      <c r="L276" s="295"/>
      <c r="M276" s="295"/>
      <c r="N276" s="295"/>
      <c r="O276" s="297"/>
      <c r="P276" s="295"/>
      <c r="Q276" s="295"/>
      <c r="R276" s="295"/>
      <c r="S276" s="295"/>
      <c r="T276" s="295"/>
      <c r="U276" s="295"/>
      <c r="V276" s="295"/>
      <c r="W276" s="295"/>
      <c r="X276" s="295"/>
      <c r="Y276" s="295"/>
      <c r="Z276" s="295"/>
    </row>
    <row r="277" ht="29.25" customHeight="1">
      <c r="A277" s="295"/>
      <c r="B277" s="295"/>
      <c r="C277" s="295"/>
      <c r="D277" s="295"/>
      <c r="E277" s="295"/>
      <c r="F277" s="295"/>
      <c r="G277" s="295"/>
      <c r="H277" s="295"/>
      <c r="I277" s="295"/>
      <c r="J277" s="295"/>
      <c r="K277" s="295"/>
      <c r="L277" s="295"/>
      <c r="M277" s="295"/>
      <c r="N277" s="295"/>
      <c r="O277" s="297"/>
      <c r="P277" s="295"/>
      <c r="Q277" s="295"/>
      <c r="R277" s="295"/>
      <c r="S277" s="295"/>
      <c r="T277" s="295"/>
      <c r="U277" s="295"/>
      <c r="V277" s="295"/>
      <c r="W277" s="295"/>
      <c r="X277" s="295"/>
      <c r="Y277" s="295"/>
      <c r="Z277" s="295"/>
    </row>
    <row r="278" ht="29.25" customHeight="1">
      <c r="A278" s="295"/>
      <c r="B278" s="295"/>
      <c r="C278" s="295"/>
      <c r="D278" s="295"/>
      <c r="E278" s="295"/>
      <c r="F278" s="295"/>
      <c r="G278" s="295"/>
      <c r="H278" s="295"/>
      <c r="I278" s="295"/>
      <c r="J278" s="295"/>
      <c r="K278" s="295"/>
      <c r="L278" s="295"/>
      <c r="M278" s="295"/>
      <c r="N278" s="295"/>
      <c r="O278" s="297"/>
      <c r="P278" s="295"/>
      <c r="Q278" s="295"/>
      <c r="R278" s="295"/>
      <c r="S278" s="295"/>
      <c r="T278" s="295"/>
      <c r="U278" s="295"/>
      <c r="V278" s="295"/>
      <c r="W278" s="295"/>
      <c r="X278" s="295"/>
      <c r="Y278" s="295"/>
      <c r="Z278" s="295"/>
    </row>
    <row r="279" ht="29.25" customHeight="1">
      <c r="A279" s="295"/>
      <c r="B279" s="295"/>
      <c r="C279" s="295"/>
      <c r="D279" s="295"/>
      <c r="E279" s="295"/>
      <c r="F279" s="295"/>
      <c r="G279" s="295"/>
      <c r="H279" s="295"/>
      <c r="I279" s="295"/>
      <c r="J279" s="295"/>
      <c r="K279" s="295"/>
      <c r="L279" s="295"/>
      <c r="M279" s="295"/>
      <c r="N279" s="295"/>
      <c r="O279" s="297"/>
      <c r="P279" s="295"/>
      <c r="Q279" s="295"/>
      <c r="R279" s="295"/>
      <c r="S279" s="295"/>
      <c r="T279" s="295"/>
      <c r="U279" s="295"/>
      <c r="V279" s="295"/>
      <c r="W279" s="295"/>
      <c r="X279" s="295"/>
      <c r="Y279" s="295"/>
      <c r="Z279" s="295"/>
    </row>
    <row r="280" ht="29.25" customHeight="1">
      <c r="A280" s="295"/>
      <c r="B280" s="295"/>
      <c r="C280" s="295"/>
      <c r="D280" s="295"/>
      <c r="E280" s="295"/>
      <c r="F280" s="295"/>
      <c r="G280" s="295"/>
      <c r="H280" s="295"/>
      <c r="I280" s="295"/>
      <c r="J280" s="295"/>
      <c r="K280" s="295"/>
      <c r="L280" s="295"/>
      <c r="M280" s="295"/>
      <c r="N280" s="295"/>
      <c r="O280" s="297"/>
      <c r="P280" s="295"/>
      <c r="Q280" s="295"/>
      <c r="R280" s="295"/>
      <c r="S280" s="295"/>
      <c r="T280" s="295"/>
      <c r="U280" s="295"/>
      <c r="V280" s="295"/>
      <c r="W280" s="295"/>
      <c r="X280" s="295"/>
      <c r="Y280" s="295"/>
      <c r="Z280" s="295"/>
    </row>
    <row r="281" ht="29.25" customHeight="1">
      <c r="A281" s="295"/>
      <c r="B281" s="295"/>
      <c r="C281" s="295"/>
      <c r="D281" s="295"/>
      <c r="E281" s="295"/>
      <c r="F281" s="295"/>
      <c r="G281" s="295"/>
      <c r="H281" s="295"/>
      <c r="I281" s="295"/>
      <c r="J281" s="295"/>
      <c r="K281" s="295"/>
      <c r="L281" s="295"/>
      <c r="M281" s="295"/>
      <c r="N281" s="295"/>
      <c r="O281" s="297"/>
      <c r="P281" s="295"/>
      <c r="Q281" s="295"/>
      <c r="R281" s="295"/>
      <c r="S281" s="295"/>
      <c r="T281" s="295"/>
      <c r="U281" s="295"/>
      <c r="V281" s="295"/>
      <c r="W281" s="295"/>
      <c r="X281" s="295"/>
      <c r="Y281" s="295"/>
      <c r="Z281" s="295"/>
    </row>
    <row r="282" ht="29.25" customHeight="1">
      <c r="A282" s="295"/>
      <c r="B282" s="295"/>
      <c r="C282" s="295"/>
      <c r="D282" s="295"/>
      <c r="E282" s="295"/>
      <c r="F282" s="295"/>
      <c r="G282" s="295"/>
      <c r="H282" s="295"/>
      <c r="I282" s="295"/>
      <c r="J282" s="295"/>
      <c r="K282" s="295"/>
      <c r="L282" s="295"/>
      <c r="M282" s="295"/>
      <c r="N282" s="295"/>
      <c r="O282" s="297"/>
      <c r="P282" s="295"/>
      <c r="Q282" s="295"/>
      <c r="R282" s="295"/>
      <c r="S282" s="295"/>
      <c r="T282" s="295"/>
      <c r="U282" s="295"/>
      <c r="V282" s="295"/>
      <c r="W282" s="295"/>
      <c r="X282" s="295"/>
      <c r="Y282" s="295"/>
      <c r="Z282" s="295"/>
    </row>
    <row r="283" ht="29.25" customHeight="1">
      <c r="A283" s="295"/>
      <c r="B283" s="295"/>
      <c r="C283" s="295"/>
      <c r="D283" s="295"/>
      <c r="E283" s="295"/>
      <c r="F283" s="295"/>
      <c r="G283" s="295"/>
      <c r="H283" s="295"/>
      <c r="I283" s="295"/>
      <c r="J283" s="295"/>
      <c r="K283" s="295"/>
      <c r="L283" s="295"/>
      <c r="M283" s="295"/>
      <c r="N283" s="295"/>
      <c r="O283" s="297"/>
      <c r="P283" s="295"/>
      <c r="Q283" s="295"/>
      <c r="R283" s="295"/>
      <c r="S283" s="295"/>
      <c r="T283" s="295"/>
      <c r="U283" s="295"/>
      <c r="V283" s="295"/>
      <c r="W283" s="295"/>
      <c r="X283" s="295"/>
      <c r="Y283" s="295"/>
      <c r="Z283" s="295"/>
    </row>
    <row r="284" ht="29.25" customHeight="1">
      <c r="A284" s="295"/>
      <c r="B284" s="295"/>
      <c r="C284" s="295"/>
      <c r="D284" s="295"/>
      <c r="E284" s="295"/>
      <c r="F284" s="295"/>
      <c r="G284" s="295"/>
      <c r="H284" s="295"/>
      <c r="I284" s="295"/>
      <c r="J284" s="295"/>
      <c r="K284" s="295"/>
      <c r="L284" s="295"/>
      <c r="M284" s="295"/>
      <c r="N284" s="295"/>
      <c r="O284" s="297"/>
      <c r="P284" s="295"/>
      <c r="Q284" s="295"/>
      <c r="R284" s="295"/>
      <c r="S284" s="295"/>
      <c r="T284" s="295"/>
      <c r="U284" s="295"/>
      <c r="V284" s="295"/>
      <c r="W284" s="295"/>
      <c r="X284" s="295"/>
      <c r="Y284" s="295"/>
      <c r="Z284" s="295"/>
    </row>
    <row r="285" ht="29.25" customHeight="1">
      <c r="A285" s="295"/>
      <c r="B285" s="295"/>
      <c r="C285" s="295"/>
      <c r="D285" s="295"/>
      <c r="E285" s="295"/>
      <c r="F285" s="295"/>
      <c r="G285" s="295"/>
      <c r="H285" s="295"/>
      <c r="I285" s="295"/>
      <c r="J285" s="295"/>
      <c r="K285" s="295"/>
      <c r="L285" s="295"/>
      <c r="M285" s="295"/>
      <c r="N285" s="295"/>
      <c r="O285" s="297"/>
      <c r="P285" s="295"/>
      <c r="Q285" s="295"/>
      <c r="R285" s="295"/>
      <c r="S285" s="295"/>
      <c r="T285" s="295"/>
      <c r="U285" s="295"/>
      <c r="V285" s="295"/>
      <c r="W285" s="295"/>
      <c r="X285" s="295"/>
      <c r="Y285" s="295"/>
      <c r="Z285" s="295"/>
    </row>
    <row r="286" ht="29.25" customHeight="1">
      <c r="A286" s="295"/>
      <c r="B286" s="295"/>
      <c r="C286" s="295"/>
      <c r="D286" s="295"/>
      <c r="E286" s="295"/>
      <c r="F286" s="295"/>
      <c r="G286" s="295"/>
      <c r="H286" s="295"/>
      <c r="I286" s="295"/>
      <c r="J286" s="295"/>
      <c r="K286" s="295"/>
      <c r="L286" s="295"/>
      <c r="M286" s="295"/>
      <c r="N286" s="295"/>
      <c r="O286" s="297"/>
      <c r="P286" s="295"/>
      <c r="Q286" s="295"/>
      <c r="R286" s="295"/>
      <c r="S286" s="295"/>
      <c r="T286" s="295"/>
      <c r="U286" s="295"/>
      <c r="V286" s="295"/>
      <c r="W286" s="295"/>
      <c r="X286" s="295"/>
      <c r="Y286" s="295"/>
      <c r="Z286" s="295"/>
    </row>
    <row r="287" ht="29.25" customHeight="1">
      <c r="A287" s="295"/>
      <c r="B287" s="295"/>
      <c r="C287" s="295"/>
      <c r="D287" s="295"/>
      <c r="E287" s="295"/>
      <c r="F287" s="295"/>
      <c r="G287" s="295"/>
      <c r="H287" s="295"/>
      <c r="I287" s="295"/>
      <c r="J287" s="295"/>
      <c r="K287" s="295"/>
      <c r="L287" s="295"/>
      <c r="M287" s="295"/>
      <c r="N287" s="295"/>
      <c r="O287" s="297"/>
      <c r="P287" s="295"/>
      <c r="Q287" s="295"/>
      <c r="R287" s="295"/>
      <c r="S287" s="295"/>
      <c r="T287" s="295"/>
      <c r="U287" s="295"/>
      <c r="V287" s="295"/>
      <c r="W287" s="295"/>
      <c r="X287" s="295"/>
      <c r="Y287" s="295"/>
      <c r="Z287" s="295"/>
    </row>
    <row r="288" ht="29.25" customHeight="1">
      <c r="A288" s="295"/>
      <c r="B288" s="295"/>
      <c r="C288" s="295"/>
      <c r="D288" s="295"/>
      <c r="E288" s="295"/>
      <c r="F288" s="295"/>
      <c r="G288" s="295"/>
      <c r="H288" s="295"/>
      <c r="I288" s="295"/>
      <c r="J288" s="295"/>
      <c r="K288" s="295"/>
      <c r="L288" s="295"/>
      <c r="M288" s="295"/>
      <c r="N288" s="295"/>
      <c r="O288" s="297"/>
      <c r="P288" s="295"/>
      <c r="Q288" s="295"/>
      <c r="R288" s="295"/>
      <c r="S288" s="295"/>
      <c r="T288" s="295"/>
      <c r="U288" s="295"/>
      <c r="V288" s="295"/>
      <c r="W288" s="295"/>
      <c r="X288" s="295"/>
      <c r="Y288" s="295"/>
      <c r="Z288" s="295"/>
    </row>
    <row r="289" ht="29.25" customHeight="1">
      <c r="A289" s="295"/>
      <c r="B289" s="295"/>
      <c r="C289" s="295"/>
      <c r="D289" s="295"/>
      <c r="E289" s="295"/>
      <c r="F289" s="295"/>
      <c r="G289" s="295"/>
      <c r="H289" s="295"/>
      <c r="I289" s="295"/>
      <c r="J289" s="295"/>
      <c r="K289" s="295"/>
      <c r="L289" s="295"/>
      <c r="M289" s="295"/>
      <c r="N289" s="295"/>
      <c r="O289" s="297"/>
      <c r="P289" s="295"/>
      <c r="Q289" s="295"/>
      <c r="R289" s="295"/>
      <c r="S289" s="295"/>
      <c r="T289" s="295"/>
      <c r="U289" s="295"/>
      <c r="V289" s="295"/>
      <c r="W289" s="295"/>
      <c r="X289" s="295"/>
      <c r="Y289" s="295"/>
      <c r="Z289" s="295"/>
    </row>
    <row r="290" ht="29.25" customHeight="1">
      <c r="A290" s="295"/>
      <c r="B290" s="295"/>
      <c r="C290" s="295"/>
      <c r="D290" s="295"/>
      <c r="E290" s="295"/>
      <c r="F290" s="295"/>
      <c r="G290" s="295"/>
      <c r="H290" s="295"/>
      <c r="I290" s="295"/>
      <c r="J290" s="295"/>
      <c r="K290" s="295"/>
      <c r="L290" s="295"/>
      <c r="M290" s="295"/>
      <c r="N290" s="295"/>
      <c r="O290" s="297"/>
      <c r="P290" s="295"/>
      <c r="Q290" s="295"/>
      <c r="R290" s="295"/>
      <c r="S290" s="295"/>
      <c r="T290" s="295"/>
      <c r="U290" s="295"/>
      <c r="V290" s="295"/>
      <c r="W290" s="295"/>
      <c r="X290" s="295"/>
      <c r="Y290" s="295"/>
      <c r="Z290" s="295"/>
    </row>
    <row r="291" ht="29.25" customHeight="1">
      <c r="A291" s="295"/>
      <c r="B291" s="295"/>
      <c r="C291" s="295"/>
      <c r="D291" s="295"/>
      <c r="E291" s="295"/>
      <c r="F291" s="295"/>
      <c r="G291" s="295"/>
      <c r="H291" s="295"/>
      <c r="I291" s="295"/>
      <c r="J291" s="295"/>
      <c r="K291" s="295"/>
      <c r="L291" s="295"/>
      <c r="M291" s="295"/>
      <c r="N291" s="295"/>
      <c r="O291" s="297"/>
      <c r="P291" s="295"/>
      <c r="Q291" s="295"/>
      <c r="R291" s="295"/>
      <c r="S291" s="295"/>
      <c r="T291" s="295"/>
      <c r="U291" s="295"/>
      <c r="V291" s="295"/>
      <c r="W291" s="295"/>
      <c r="X291" s="295"/>
      <c r="Y291" s="295"/>
      <c r="Z291" s="295"/>
    </row>
    <row r="292" ht="29.25" customHeight="1">
      <c r="A292" s="295"/>
      <c r="B292" s="295"/>
      <c r="C292" s="295"/>
      <c r="D292" s="295"/>
      <c r="E292" s="295"/>
      <c r="F292" s="295"/>
      <c r="G292" s="295"/>
      <c r="H292" s="295"/>
      <c r="I292" s="295"/>
      <c r="J292" s="295"/>
      <c r="K292" s="295"/>
      <c r="L292" s="295"/>
      <c r="M292" s="295"/>
      <c r="N292" s="295"/>
      <c r="O292" s="297"/>
      <c r="P292" s="295"/>
      <c r="Q292" s="295"/>
      <c r="R292" s="295"/>
      <c r="S292" s="295"/>
      <c r="T292" s="295"/>
      <c r="U292" s="295"/>
      <c r="V292" s="295"/>
      <c r="W292" s="295"/>
      <c r="X292" s="295"/>
      <c r="Y292" s="295"/>
      <c r="Z292" s="295"/>
    </row>
    <row r="293" ht="29.25" customHeight="1">
      <c r="A293" s="295"/>
      <c r="B293" s="295"/>
      <c r="C293" s="295"/>
      <c r="D293" s="295"/>
      <c r="E293" s="295"/>
      <c r="F293" s="295"/>
      <c r="G293" s="295"/>
      <c r="H293" s="295"/>
      <c r="I293" s="295"/>
      <c r="J293" s="295"/>
      <c r="K293" s="295"/>
      <c r="L293" s="295"/>
      <c r="M293" s="295"/>
      <c r="N293" s="295"/>
      <c r="O293" s="297"/>
      <c r="P293" s="295"/>
      <c r="Q293" s="295"/>
      <c r="R293" s="295"/>
      <c r="S293" s="295"/>
      <c r="T293" s="295"/>
      <c r="U293" s="295"/>
      <c r="V293" s="295"/>
      <c r="W293" s="295"/>
      <c r="X293" s="295"/>
      <c r="Y293" s="295"/>
      <c r="Z293" s="295"/>
    </row>
    <row r="294" ht="29.25" customHeight="1">
      <c r="A294" s="295"/>
      <c r="B294" s="295"/>
      <c r="C294" s="295"/>
      <c r="D294" s="295"/>
      <c r="E294" s="295"/>
      <c r="F294" s="295"/>
      <c r="G294" s="295"/>
      <c r="H294" s="295"/>
      <c r="I294" s="295"/>
      <c r="J294" s="295"/>
      <c r="K294" s="295"/>
      <c r="L294" s="295"/>
      <c r="M294" s="295"/>
      <c r="N294" s="295"/>
      <c r="O294" s="297"/>
      <c r="P294" s="295"/>
      <c r="Q294" s="295"/>
      <c r="R294" s="295"/>
      <c r="S294" s="295"/>
      <c r="T294" s="295"/>
      <c r="U294" s="295"/>
      <c r="V294" s="295"/>
      <c r="W294" s="295"/>
      <c r="X294" s="295"/>
      <c r="Y294" s="295"/>
      <c r="Z294" s="295"/>
    </row>
    <row r="295" ht="29.25" customHeight="1">
      <c r="A295" s="295"/>
      <c r="B295" s="295"/>
      <c r="C295" s="295"/>
      <c r="D295" s="295"/>
      <c r="E295" s="295"/>
      <c r="F295" s="295"/>
      <c r="G295" s="295"/>
      <c r="H295" s="295"/>
      <c r="I295" s="295"/>
      <c r="J295" s="295"/>
      <c r="K295" s="295"/>
      <c r="L295" s="295"/>
      <c r="M295" s="295"/>
      <c r="N295" s="295"/>
      <c r="O295" s="297"/>
      <c r="P295" s="295"/>
      <c r="Q295" s="295"/>
      <c r="R295" s="295"/>
      <c r="S295" s="295"/>
      <c r="T295" s="295"/>
      <c r="U295" s="295"/>
      <c r="V295" s="295"/>
      <c r="W295" s="295"/>
      <c r="X295" s="295"/>
      <c r="Y295" s="295"/>
      <c r="Z295" s="295"/>
    </row>
    <row r="296" ht="29.25" customHeight="1">
      <c r="A296" s="295"/>
      <c r="B296" s="295"/>
      <c r="C296" s="295"/>
      <c r="D296" s="295"/>
      <c r="E296" s="295"/>
      <c r="F296" s="295"/>
      <c r="G296" s="295"/>
      <c r="H296" s="295"/>
      <c r="I296" s="295"/>
      <c r="J296" s="295"/>
      <c r="K296" s="295"/>
      <c r="L296" s="295"/>
      <c r="M296" s="295"/>
      <c r="N296" s="295"/>
      <c r="O296" s="297"/>
      <c r="P296" s="295"/>
      <c r="Q296" s="295"/>
      <c r="R296" s="295"/>
      <c r="S296" s="295"/>
      <c r="T296" s="295"/>
      <c r="U296" s="295"/>
      <c r="V296" s="295"/>
      <c r="W296" s="295"/>
      <c r="X296" s="295"/>
      <c r="Y296" s="295"/>
      <c r="Z296" s="295"/>
    </row>
    <row r="297" ht="29.25" customHeight="1">
      <c r="A297" s="295"/>
      <c r="B297" s="295"/>
      <c r="C297" s="295"/>
      <c r="D297" s="295"/>
      <c r="E297" s="295"/>
      <c r="F297" s="295"/>
      <c r="G297" s="295"/>
      <c r="H297" s="295"/>
      <c r="I297" s="295"/>
      <c r="J297" s="295"/>
      <c r="K297" s="295"/>
      <c r="L297" s="295"/>
      <c r="M297" s="295"/>
      <c r="N297" s="295"/>
      <c r="O297" s="297"/>
      <c r="P297" s="295"/>
      <c r="Q297" s="295"/>
      <c r="R297" s="295"/>
      <c r="S297" s="295"/>
      <c r="T297" s="295"/>
      <c r="U297" s="295"/>
      <c r="V297" s="295"/>
      <c r="W297" s="295"/>
      <c r="X297" s="295"/>
      <c r="Y297" s="295"/>
      <c r="Z297" s="295"/>
    </row>
    <row r="298" ht="29.25" customHeight="1">
      <c r="A298" s="295"/>
      <c r="B298" s="295"/>
      <c r="C298" s="295"/>
      <c r="D298" s="295"/>
      <c r="E298" s="295"/>
      <c r="F298" s="295"/>
      <c r="G298" s="295"/>
      <c r="H298" s="295"/>
      <c r="I298" s="295"/>
      <c r="J298" s="295"/>
      <c r="K298" s="295"/>
      <c r="L298" s="295"/>
      <c r="M298" s="295"/>
      <c r="N298" s="295"/>
      <c r="O298" s="297"/>
      <c r="P298" s="295"/>
      <c r="Q298" s="295"/>
      <c r="R298" s="295"/>
      <c r="S298" s="295"/>
      <c r="T298" s="295"/>
      <c r="U298" s="295"/>
      <c r="V298" s="295"/>
      <c r="W298" s="295"/>
      <c r="X298" s="295"/>
      <c r="Y298" s="295"/>
      <c r="Z298" s="295"/>
    </row>
    <row r="299" ht="29.25" customHeight="1">
      <c r="A299" s="295"/>
      <c r="B299" s="295"/>
      <c r="C299" s="295"/>
      <c r="D299" s="295"/>
      <c r="E299" s="295"/>
      <c r="F299" s="295"/>
      <c r="G299" s="295"/>
      <c r="H299" s="295"/>
      <c r="I299" s="295"/>
      <c r="J299" s="295"/>
      <c r="K299" s="295"/>
      <c r="L299" s="295"/>
      <c r="M299" s="295"/>
      <c r="N299" s="295"/>
      <c r="O299" s="297"/>
      <c r="P299" s="295"/>
      <c r="Q299" s="295"/>
      <c r="R299" s="295"/>
      <c r="S299" s="295"/>
      <c r="T299" s="295"/>
      <c r="U299" s="295"/>
      <c r="V299" s="295"/>
      <c r="W299" s="295"/>
      <c r="X299" s="295"/>
      <c r="Y299" s="295"/>
      <c r="Z299" s="295"/>
    </row>
    <row r="300" ht="29.25" customHeight="1">
      <c r="A300" s="295"/>
      <c r="B300" s="295"/>
      <c r="C300" s="295"/>
      <c r="D300" s="295"/>
      <c r="E300" s="295"/>
      <c r="F300" s="295"/>
      <c r="G300" s="295"/>
      <c r="H300" s="295"/>
      <c r="I300" s="295"/>
      <c r="J300" s="295"/>
      <c r="K300" s="295"/>
      <c r="L300" s="295"/>
      <c r="M300" s="295"/>
      <c r="N300" s="295"/>
      <c r="O300" s="297"/>
      <c r="P300" s="295"/>
      <c r="Q300" s="295"/>
      <c r="R300" s="295"/>
      <c r="S300" s="295"/>
      <c r="T300" s="295"/>
      <c r="U300" s="295"/>
      <c r="V300" s="295"/>
      <c r="W300" s="295"/>
      <c r="X300" s="295"/>
      <c r="Y300" s="295"/>
      <c r="Z300" s="295"/>
    </row>
    <row r="301" ht="29.25" customHeight="1">
      <c r="A301" s="295"/>
      <c r="B301" s="295"/>
      <c r="C301" s="295"/>
      <c r="D301" s="295"/>
      <c r="E301" s="295"/>
      <c r="F301" s="295"/>
      <c r="G301" s="295"/>
      <c r="H301" s="295"/>
      <c r="I301" s="295"/>
      <c r="J301" s="295"/>
      <c r="K301" s="295"/>
      <c r="L301" s="295"/>
      <c r="M301" s="295"/>
      <c r="N301" s="295"/>
      <c r="O301" s="297"/>
      <c r="P301" s="295"/>
      <c r="Q301" s="295"/>
      <c r="R301" s="295"/>
      <c r="S301" s="295"/>
      <c r="T301" s="295"/>
      <c r="U301" s="295"/>
      <c r="V301" s="295"/>
      <c r="W301" s="295"/>
      <c r="X301" s="295"/>
      <c r="Y301" s="295"/>
      <c r="Z301" s="295"/>
    </row>
    <row r="302" ht="29.25" customHeight="1">
      <c r="A302" s="295"/>
      <c r="B302" s="295"/>
      <c r="C302" s="295"/>
      <c r="D302" s="295"/>
      <c r="E302" s="295"/>
      <c r="F302" s="295"/>
      <c r="G302" s="295"/>
      <c r="H302" s="295"/>
      <c r="I302" s="295"/>
      <c r="J302" s="295"/>
      <c r="K302" s="295"/>
      <c r="L302" s="295"/>
      <c r="M302" s="295"/>
      <c r="N302" s="295"/>
      <c r="O302" s="297"/>
      <c r="P302" s="295"/>
      <c r="Q302" s="295"/>
      <c r="R302" s="295"/>
      <c r="S302" s="295"/>
      <c r="T302" s="295"/>
      <c r="U302" s="295"/>
      <c r="V302" s="295"/>
      <c r="W302" s="295"/>
      <c r="X302" s="295"/>
      <c r="Y302" s="295"/>
      <c r="Z302" s="295"/>
    </row>
    <row r="303" ht="29.25" customHeight="1">
      <c r="A303" s="295"/>
      <c r="B303" s="295"/>
      <c r="C303" s="295"/>
      <c r="D303" s="295"/>
      <c r="E303" s="295"/>
      <c r="F303" s="295"/>
      <c r="G303" s="295"/>
      <c r="H303" s="295"/>
      <c r="I303" s="295"/>
      <c r="J303" s="295"/>
      <c r="K303" s="295"/>
      <c r="L303" s="295"/>
      <c r="M303" s="295"/>
      <c r="N303" s="295"/>
      <c r="O303" s="297"/>
      <c r="P303" s="295"/>
      <c r="Q303" s="295"/>
      <c r="R303" s="295"/>
      <c r="S303" s="295"/>
      <c r="T303" s="295"/>
      <c r="U303" s="295"/>
      <c r="V303" s="295"/>
      <c r="W303" s="295"/>
      <c r="X303" s="295"/>
      <c r="Y303" s="295"/>
      <c r="Z303" s="295"/>
    </row>
    <row r="304" ht="29.25" customHeight="1">
      <c r="A304" s="295"/>
      <c r="B304" s="295"/>
      <c r="C304" s="295"/>
      <c r="D304" s="295"/>
      <c r="E304" s="295"/>
      <c r="F304" s="295"/>
      <c r="G304" s="295"/>
      <c r="H304" s="295"/>
      <c r="I304" s="295"/>
      <c r="J304" s="295"/>
      <c r="K304" s="295"/>
      <c r="L304" s="295"/>
      <c r="M304" s="295"/>
      <c r="N304" s="295"/>
      <c r="O304" s="297"/>
      <c r="P304" s="295"/>
      <c r="Q304" s="295"/>
      <c r="R304" s="295"/>
      <c r="S304" s="295"/>
      <c r="T304" s="295"/>
      <c r="U304" s="295"/>
      <c r="V304" s="295"/>
      <c r="W304" s="295"/>
      <c r="X304" s="295"/>
      <c r="Y304" s="295"/>
      <c r="Z304" s="295"/>
    </row>
    <row r="305" ht="29.25" customHeight="1">
      <c r="A305" s="295"/>
      <c r="B305" s="295"/>
      <c r="C305" s="295"/>
      <c r="D305" s="295"/>
      <c r="E305" s="295"/>
      <c r="F305" s="295"/>
      <c r="G305" s="295"/>
      <c r="H305" s="295"/>
      <c r="I305" s="295"/>
      <c r="J305" s="295"/>
      <c r="K305" s="295"/>
      <c r="L305" s="295"/>
      <c r="M305" s="295"/>
      <c r="N305" s="295"/>
      <c r="O305" s="297"/>
      <c r="P305" s="295"/>
      <c r="Q305" s="295"/>
      <c r="R305" s="295"/>
      <c r="S305" s="295"/>
      <c r="T305" s="295"/>
      <c r="U305" s="295"/>
      <c r="V305" s="295"/>
      <c r="W305" s="295"/>
      <c r="X305" s="295"/>
      <c r="Y305" s="295"/>
      <c r="Z305" s="295"/>
    </row>
    <row r="306" ht="29.25" customHeight="1">
      <c r="A306" s="295"/>
      <c r="B306" s="295"/>
      <c r="C306" s="295"/>
      <c r="D306" s="295"/>
      <c r="E306" s="295"/>
      <c r="F306" s="295"/>
      <c r="G306" s="295"/>
      <c r="H306" s="295"/>
      <c r="I306" s="295"/>
      <c r="J306" s="295"/>
      <c r="K306" s="295"/>
      <c r="L306" s="295"/>
      <c r="M306" s="295"/>
      <c r="N306" s="295"/>
      <c r="O306" s="297"/>
      <c r="P306" s="295"/>
      <c r="Q306" s="295"/>
      <c r="R306" s="295"/>
      <c r="S306" s="295"/>
      <c r="T306" s="295"/>
      <c r="U306" s="295"/>
      <c r="V306" s="295"/>
      <c r="W306" s="295"/>
      <c r="X306" s="295"/>
      <c r="Y306" s="295"/>
      <c r="Z306" s="295"/>
    </row>
    <row r="307" ht="29.25" customHeight="1">
      <c r="A307" s="295"/>
      <c r="B307" s="295"/>
      <c r="C307" s="295"/>
      <c r="D307" s="295"/>
      <c r="E307" s="295"/>
      <c r="F307" s="295"/>
      <c r="G307" s="295"/>
      <c r="H307" s="295"/>
      <c r="I307" s="295"/>
      <c r="J307" s="295"/>
      <c r="K307" s="295"/>
      <c r="L307" s="295"/>
      <c r="M307" s="295"/>
      <c r="N307" s="295"/>
      <c r="O307" s="297"/>
      <c r="P307" s="295"/>
      <c r="Q307" s="295"/>
      <c r="R307" s="295"/>
      <c r="S307" s="295"/>
      <c r="T307" s="295"/>
      <c r="U307" s="295"/>
      <c r="V307" s="295"/>
      <c r="W307" s="295"/>
      <c r="X307" s="295"/>
      <c r="Y307" s="295"/>
      <c r="Z307" s="295"/>
    </row>
    <row r="308" ht="29.25" customHeight="1">
      <c r="A308" s="295"/>
      <c r="B308" s="295"/>
      <c r="C308" s="295"/>
      <c r="D308" s="295"/>
      <c r="E308" s="295"/>
      <c r="F308" s="295"/>
      <c r="G308" s="295"/>
      <c r="H308" s="295"/>
      <c r="I308" s="295"/>
      <c r="J308" s="295"/>
      <c r="K308" s="295"/>
      <c r="L308" s="295"/>
      <c r="M308" s="295"/>
      <c r="N308" s="295"/>
      <c r="O308" s="297"/>
      <c r="P308" s="295"/>
      <c r="Q308" s="295"/>
      <c r="R308" s="295"/>
      <c r="S308" s="295"/>
      <c r="T308" s="295"/>
      <c r="U308" s="295"/>
      <c r="V308" s="295"/>
      <c r="W308" s="295"/>
      <c r="X308" s="295"/>
      <c r="Y308" s="295"/>
      <c r="Z308" s="295"/>
    </row>
    <row r="309" ht="29.25" customHeight="1">
      <c r="A309" s="295"/>
      <c r="B309" s="295"/>
      <c r="C309" s="295"/>
      <c r="D309" s="295"/>
      <c r="E309" s="295"/>
      <c r="F309" s="295"/>
      <c r="G309" s="295"/>
      <c r="H309" s="295"/>
      <c r="I309" s="295"/>
      <c r="J309" s="295"/>
      <c r="K309" s="295"/>
      <c r="L309" s="295"/>
      <c r="M309" s="295"/>
      <c r="N309" s="295"/>
      <c r="O309" s="297"/>
      <c r="P309" s="295"/>
      <c r="Q309" s="295"/>
      <c r="R309" s="295"/>
      <c r="S309" s="295"/>
      <c r="T309" s="295"/>
      <c r="U309" s="295"/>
      <c r="V309" s="295"/>
      <c r="W309" s="295"/>
      <c r="X309" s="295"/>
      <c r="Y309" s="295"/>
      <c r="Z309" s="295"/>
    </row>
    <row r="310" ht="29.25" customHeight="1">
      <c r="A310" s="295"/>
      <c r="B310" s="295"/>
      <c r="C310" s="295"/>
      <c r="D310" s="295"/>
      <c r="E310" s="295"/>
      <c r="F310" s="295"/>
      <c r="G310" s="295"/>
      <c r="H310" s="295"/>
      <c r="I310" s="295"/>
      <c r="J310" s="295"/>
      <c r="K310" s="295"/>
      <c r="L310" s="295"/>
      <c r="M310" s="295"/>
      <c r="N310" s="295"/>
      <c r="O310" s="297"/>
      <c r="P310" s="295"/>
      <c r="Q310" s="295"/>
      <c r="R310" s="295"/>
      <c r="S310" s="295"/>
      <c r="T310" s="295"/>
      <c r="U310" s="295"/>
      <c r="V310" s="295"/>
      <c r="W310" s="295"/>
      <c r="X310" s="295"/>
      <c r="Y310" s="295"/>
      <c r="Z310" s="295"/>
    </row>
    <row r="311" ht="29.25" customHeight="1">
      <c r="A311" s="295"/>
      <c r="B311" s="295"/>
      <c r="C311" s="295"/>
      <c r="D311" s="295"/>
      <c r="E311" s="295"/>
      <c r="F311" s="295"/>
      <c r="G311" s="295"/>
      <c r="H311" s="295"/>
      <c r="I311" s="295"/>
      <c r="J311" s="295"/>
      <c r="K311" s="295"/>
      <c r="L311" s="295"/>
      <c r="M311" s="295"/>
      <c r="N311" s="295"/>
      <c r="O311" s="297"/>
      <c r="P311" s="295"/>
      <c r="Q311" s="295"/>
      <c r="R311" s="295"/>
      <c r="S311" s="295"/>
      <c r="T311" s="295"/>
      <c r="U311" s="295"/>
      <c r="V311" s="295"/>
      <c r="W311" s="295"/>
      <c r="X311" s="295"/>
      <c r="Y311" s="295"/>
      <c r="Z311" s="295"/>
    </row>
    <row r="312" ht="29.25" customHeight="1">
      <c r="A312" s="295"/>
      <c r="B312" s="295"/>
      <c r="C312" s="295"/>
      <c r="D312" s="295"/>
      <c r="E312" s="295"/>
      <c r="F312" s="295"/>
      <c r="G312" s="295"/>
      <c r="H312" s="295"/>
      <c r="I312" s="295"/>
      <c r="J312" s="295"/>
      <c r="K312" s="295"/>
      <c r="L312" s="295"/>
      <c r="M312" s="295"/>
      <c r="N312" s="295"/>
      <c r="O312" s="297"/>
      <c r="P312" s="295"/>
      <c r="Q312" s="295"/>
      <c r="R312" s="295"/>
      <c r="S312" s="295"/>
      <c r="T312" s="295"/>
      <c r="U312" s="295"/>
      <c r="V312" s="295"/>
      <c r="W312" s="295"/>
      <c r="X312" s="295"/>
      <c r="Y312" s="295"/>
      <c r="Z312" s="295"/>
    </row>
    <row r="313" ht="29.25" customHeight="1">
      <c r="A313" s="295"/>
      <c r="B313" s="295"/>
      <c r="C313" s="295"/>
      <c r="D313" s="295"/>
      <c r="E313" s="295"/>
      <c r="F313" s="295"/>
      <c r="G313" s="295"/>
      <c r="H313" s="295"/>
      <c r="I313" s="295"/>
      <c r="J313" s="295"/>
      <c r="K313" s="295"/>
      <c r="L313" s="295"/>
      <c r="M313" s="295"/>
      <c r="N313" s="295"/>
      <c r="O313" s="297"/>
      <c r="P313" s="295"/>
      <c r="Q313" s="295"/>
      <c r="R313" s="295"/>
      <c r="S313" s="295"/>
      <c r="T313" s="295"/>
      <c r="U313" s="295"/>
      <c r="V313" s="295"/>
      <c r="W313" s="295"/>
      <c r="X313" s="295"/>
      <c r="Y313" s="295"/>
      <c r="Z313" s="295"/>
    </row>
    <row r="314" ht="29.25" customHeight="1">
      <c r="A314" s="295"/>
      <c r="B314" s="295"/>
      <c r="C314" s="295"/>
      <c r="D314" s="295"/>
      <c r="E314" s="295"/>
      <c r="F314" s="295"/>
      <c r="G314" s="295"/>
      <c r="H314" s="295"/>
      <c r="I314" s="295"/>
      <c r="J314" s="295"/>
      <c r="K314" s="295"/>
      <c r="L314" s="295"/>
      <c r="M314" s="295"/>
      <c r="N314" s="295"/>
      <c r="O314" s="297"/>
      <c r="P314" s="295"/>
      <c r="Q314" s="295"/>
      <c r="R314" s="295"/>
      <c r="S314" s="295"/>
      <c r="T314" s="295"/>
      <c r="U314" s="295"/>
      <c r="V314" s="295"/>
      <c r="W314" s="295"/>
      <c r="X314" s="295"/>
      <c r="Y314" s="295"/>
      <c r="Z314" s="295"/>
    </row>
    <row r="315" ht="29.25" customHeight="1">
      <c r="A315" s="295"/>
      <c r="B315" s="295"/>
      <c r="C315" s="295"/>
      <c r="D315" s="295"/>
      <c r="E315" s="295"/>
      <c r="F315" s="295"/>
      <c r="G315" s="295"/>
      <c r="H315" s="295"/>
      <c r="I315" s="295"/>
      <c r="J315" s="295"/>
      <c r="K315" s="295"/>
      <c r="L315" s="295"/>
      <c r="M315" s="295"/>
      <c r="N315" s="295"/>
      <c r="O315" s="297"/>
      <c r="P315" s="295"/>
      <c r="Q315" s="295"/>
      <c r="R315" s="295"/>
      <c r="S315" s="295"/>
      <c r="T315" s="295"/>
      <c r="U315" s="295"/>
      <c r="V315" s="295"/>
      <c r="W315" s="295"/>
      <c r="X315" s="295"/>
      <c r="Y315" s="295"/>
      <c r="Z315" s="295"/>
    </row>
    <row r="316" ht="29.25" customHeight="1">
      <c r="A316" s="295"/>
      <c r="B316" s="295"/>
      <c r="C316" s="295"/>
      <c r="D316" s="295"/>
      <c r="E316" s="295"/>
      <c r="F316" s="295"/>
      <c r="G316" s="295"/>
      <c r="H316" s="295"/>
      <c r="I316" s="295"/>
      <c r="J316" s="295"/>
      <c r="K316" s="295"/>
      <c r="L316" s="295"/>
      <c r="M316" s="295"/>
      <c r="N316" s="295"/>
      <c r="O316" s="297"/>
      <c r="P316" s="295"/>
      <c r="Q316" s="295"/>
      <c r="R316" s="295"/>
      <c r="S316" s="295"/>
      <c r="T316" s="295"/>
      <c r="U316" s="295"/>
      <c r="V316" s="295"/>
      <c r="W316" s="295"/>
      <c r="X316" s="295"/>
      <c r="Y316" s="295"/>
      <c r="Z316" s="295"/>
    </row>
    <row r="317" ht="29.25" customHeight="1">
      <c r="A317" s="295"/>
      <c r="B317" s="295"/>
      <c r="C317" s="295"/>
      <c r="D317" s="295"/>
      <c r="E317" s="295"/>
      <c r="F317" s="295"/>
      <c r="G317" s="295"/>
      <c r="H317" s="295"/>
      <c r="I317" s="295"/>
      <c r="J317" s="295"/>
      <c r="K317" s="295"/>
      <c r="L317" s="295"/>
      <c r="M317" s="295"/>
      <c r="N317" s="295"/>
      <c r="O317" s="297"/>
      <c r="P317" s="295"/>
      <c r="Q317" s="295"/>
      <c r="R317" s="295"/>
      <c r="S317" s="295"/>
      <c r="T317" s="295"/>
      <c r="U317" s="295"/>
      <c r="V317" s="295"/>
      <c r="W317" s="295"/>
      <c r="X317" s="295"/>
      <c r="Y317" s="295"/>
      <c r="Z317" s="295"/>
    </row>
    <row r="318" ht="29.25" customHeight="1">
      <c r="A318" s="295"/>
      <c r="B318" s="295"/>
      <c r="C318" s="295"/>
      <c r="D318" s="295"/>
      <c r="E318" s="295"/>
      <c r="F318" s="295"/>
      <c r="G318" s="295"/>
      <c r="H318" s="295"/>
      <c r="I318" s="295"/>
      <c r="J318" s="295"/>
      <c r="K318" s="295"/>
      <c r="L318" s="295"/>
      <c r="M318" s="295"/>
      <c r="N318" s="295"/>
      <c r="O318" s="297"/>
      <c r="P318" s="295"/>
      <c r="Q318" s="295"/>
      <c r="R318" s="295"/>
      <c r="S318" s="295"/>
      <c r="T318" s="295"/>
      <c r="U318" s="295"/>
      <c r="V318" s="295"/>
      <c r="W318" s="295"/>
      <c r="X318" s="295"/>
      <c r="Y318" s="295"/>
      <c r="Z318" s="295"/>
    </row>
    <row r="319" ht="29.25" customHeight="1">
      <c r="A319" s="295"/>
      <c r="B319" s="295"/>
      <c r="C319" s="295"/>
      <c r="D319" s="295"/>
      <c r="E319" s="295"/>
      <c r="F319" s="295"/>
      <c r="G319" s="295"/>
      <c r="H319" s="295"/>
      <c r="I319" s="295"/>
      <c r="J319" s="295"/>
      <c r="K319" s="295"/>
      <c r="L319" s="295"/>
      <c r="M319" s="295"/>
      <c r="N319" s="295"/>
      <c r="O319" s="297"/>
      <c r="P319" s="295"/>
      <c r="Q319" s="295"/>
      <c r="R319" s="295"/>
      <c r="S319" s="295"/>
      <c r="T319" s="295"/>
      <c r="U319" s="295"/>
      <c r="V319" s="295"/>
      <c r="W319" s="295"/>
      <c r="X319" s="295"/>
      <c r="Y319" s="295"/>
      <c r="Z319" s="295"/>
    </row>
    <row r="320" ht="29.25" customHeight="1">
      <c r="A320" s="295"/>
      <c r="B320" s="295"/>
      <c r="C320" s="295"/>
      <c r="D320" s="295"/>
      <c r="E320" s="295"/>
      <c r="F320" s="295"/>
      <c r="G320" s="295"/>
      <c r="H320" s="295"/>
      <c r="I320" s="295"/>
      <c r="J320" s="295"/>
      <c r="K320" s="295"/>
      <c r="L320" s="295"/>
      <c r="M320" s="295"/>
      <c r="N320" s="295"/>
      <c r="O320" s="297"/>
      <c r="P320" s="295"/>
      <c r="Q320" s="295"/>
      <c r="R320" s="295"/>
      <c r="S320" s="295"/>
      <c r="T320" s="295"/>
      <c r="U320" s="295"/>
      <c r="V320" s="295"/>
      <c r="W320" s="295"/>
      <c r="X320" s="295"/>
      <c r="Y320" s="295"/>
      <c r="Z320" s="295"/>
    </row>
    <row r="321" ht="29.25" customHeight="1">
      <c r="A321" s="295"/>
      <c r="B321" s="295"/>
      <c r="C321" s="295"/>
      <c r="D321" s="295"/>
      <c r="E321" s="295"/>
      <c r="F321" s="295"/>
      <c r="G321" s="295"/>
      <c r="H321" s="295"/>
      <c r="I321" s="295"/>
      <c r="J321" s="295"/>
      <c r="K321" s="295"/>
      <c r="L321" s="295"/>
      <c r="M321" s="295"/>
      <c r="N321" s="295"/>
      <c r="O321" s="297"/>
      <c r="P321" s="295"/>
      <c r="Q321" s="295"/>
      <c r="R321" s="295"/>
      <c r="S321" s="295"/>
      <c r="T321" s="295"/>
      <c r="U321" s="295"/>
      <c r="V321" s="295"/>
      <c r="W321" s="295"/>
      <c r="X321" s="295"/>
      <c r="Y321" s="295"/>
      <c r="Z321" s="295"/>
    </row>
    <row r="322" ht="29.25" customHeight="1">
      <c r="A322" s="295"/>
      <c r="B322" s="295"/>
      <c r="C322" s="295"/>
      <c r="D322" s="295"/>
      <c r="E322" s="295"/>
      <c r="F322" s="295"/>
      <c r="G322" s="295"/>
      <c r="H322" s="295"/>
      <c r="I322" s="295"/>
      <c r="J322" s="295"/>
      <c r="K322" s="295"/>
      <c r="L322" s="295"/>
      <c r="M322" s="295"/>
      <c r="N322" s="295"/>
      <c r="O322" s="297"/>
      <c r="P322" s="295"/>
      <c r="Q322" s="295"/>
      <c r="R322" s="295"/>
      <c r="S322" s="295"/>
      <c r="T322" s="295"/>
      <c r="U322" s="295"/>
      <c r="V322" s="295"/>
      <c r="W322" s="295"/>
      <c r="X322" s="295"/>
      <c r="Y322" s="295"/>
      <c r="Z322" s="295"/>
    </row>
    <row r="323" ht="29.25" customHeight="1">
      <c r="A323" s="295"/>
      <c r="B323" s="295"/>
      <c r="C323" s="295"/>
      <c r="D323" s="295"/>
      <c r="E323" s="295"/>
      <c r="F323" s="295"/>
      <c r="G323" s="295"/>
      <c r="H323" s="295"/>
      <c r="I323" s="295"/>
      <c r="J323" s="295"/>
      <c r="K323" s="295"/>
      <c r="L323" s="295"/>
      <c r="M323" s="295"/>
      <c r="N323" s="295"/>
      <c r="O323" s="297"/>
      <c r="P323" s="295"/>
      <c r="Q323" s="295"/>
      <c r="R323" s="295"/>
      <c r="S323" s="295"/>
      <c r="T323" s="295"/>
      <c r="U323" s="295"/>
      <c r="V323" s="295"/>
      <c r="W323" s="295"/>
      <c r="X323" s="295"/>
      <c r="Y323" s="295"/>
      <c r="Z323" s="295"/>
    </row>
    <row r="324" ht="29.25" customHeight="1">
      <c r="A324" s="295"/>
      <c r="B324" s="295"/>
      <c r="C324" s="295"/>
      <c r="D324" s="295"/>
      <c r="E324" s="295"/>
      <c r="F324" s="295"/>
      <c r="G324" s="295"/>
      <c r="H324" s="295"/>
      <c r="I324" s="295"/>
      <c r="J324" s="295"/>
      <c r="K324" s="295"/>
      <c r="L324" s="295"/>
      <c r="M324" s="295"/>
      <c r="N324" s="295"/>
      <c r="O324" s="297"/>
      <c r="P324" s="295"/>
      <c r="Q324" s="295"/>
      <c r="R324" s="295"/>
      <c r="S324" s="295"/>
      <c r="T324" s="295"/>
      <c r="U324" s="295"/>
      <c r="V324" s="295"/>
      <c r="W324" s="295"/>
      <c r="X324" s="295"/>
      <c r="Y324" s="295"/>
      <c r="Z324" s="295"/>
    </row>
    <row r="325" ht="29.25" customHeight="1">
      <c r="A325" s="295"/>
      <c r="B325" s="295"/>
      <c r="C325" s="295"/>
      <c r="D325" s="295"/>
      <c r="E325" s="295"/>
      <c r="F325" s="295"/>
      <c r="G325" s="295"/>
      <c r="H325" s="295"/>
      <c r="I325" s="295"/>
      <c r="J325" s="295"/>
      <c r="K325" s="295"/>
      <c r="L325" s="295"/>
      <c r="M325" s="295"/>
      <c r="N325" s="295"/>
      <c r="O325" s="297"/>
      <c r="P325" s="295"/>
      <c r="Q325" s="295"/>
      <c r="R325" s="295"/>
      <c r="S325" s="295"/>
      <c r="T325" s="295"/>
      <c r="U325" s="295"/>
      <c r="V325" s="295"/>
      <c r="W325" s="295"/>
      <c r="X325" s="295"/>
      <c r="Y325" s="295"/>
      <c r="Z325" s="295"/>
    </row>
    <row r="326" ht="29.25" customHeight="1">
      <c r="A326" s="295"/>
      <c r="B326" s="295"/>
      <c r="C326" s="295"/>
      <c r="D326" s="295"/>
      <c r="E326" s="295"/>
      <c r="F326" s="295"/>
      <c r="G326" s="295"/>
      <c r="H326" s="295"/>
      <c r="I326" s="295"/>
      <c r="J326" s="295"/>
      <c r="K326" s="295"/>
      <c r="L326" s="295"/>
      <c r="M326" s="295"/>
      <c r="N326" s="295"/>
      <c r="O326" s="297"/>
      <c r="P326" s="295"/>
      <c r="Q326" s="295"/>
      <c r="R326" s="295"/>
      <c r="S326" s="295"/>
      <c r="T326" s="295"/>
      <c r="U326" s="295"/>
      <c r="V326" s="295"/>
      <c r="W326" s="295"/>
      <c r="X326" s="295"/>
      <c r="Y326" s="295"/>
      <c r="Z326" s="295"/>
    </row>
    <row r="327" ht="29.25" customHeight="1">
      <c r="A327" s="295"/>
      <c r="B327" s="295"/>
      <c r="C327" s="295"/>
      <c r="D327" s="295"/>
      <c r="E327" s="295"/>
      <c r="F327" s="295"/>
      <c r="G327" s="295"/>
      <c r="H327" s="295"/>
      <c r="I327" s="295"/>
      <c r="J327" s="295"/>
      <c r="K327" s="295"/>
      <c r="L327" s="295"/>
      <c r="M327" s="295"/>
      <c r="N327" s="295"/>
      <c r="O327" s="297"/>
      <c r="P327" s="295"/>
      <c r="Q327" s="295"/>
      <c r="R327" s="295"/>
      <c r="S327" s="295"/>
      <c r="T327" s="295"/>
      <c r="U327" s="295"/>
      <c r="V327" s="295"/>
      <c r="W327" s="295"/>
      <c r="X327" s="295"/>
      <c r="Y327" s="295"/>
      <c r="Z327" s="295"/>
    </row>
    <row r="328" ht="29.25" customHeight="1">
      <c r="A328" s="295"/>
      <c r="B328" s="295"/>
      <c r="C328" s="295"/>
      <c r="D328" s="295"/>
      <c r="E328" s="295"/>
      <c r="F328" s="295"/>
      <c r="G328" s="295"/>
      <c r="H328" s="295"/>
      <c r="I328" s="295"/>
      <c r="J328" s="295"/>
      <c r="K328" s="295"/>
      <c r="L328" s="295"/>
      <c r="M328" s="295"/>
      <c r="N328" s="295"/>
      <c r="O328" s="297"/>
      <c r="P328" s="295"/>
      <c r="Q328" s="295"/>
      <c r="R328" s="295"/>
      <c r="S328" s="295"/>
      <c r="T328" s="295"/>
      <c r="U328" s="295"/>
      <c r="V328" s="295"/>
      <c r="W328" s="295"/>
      <c r="X328" s="295"/>
      <c r="Y328" s="295"/>
      <c r="Z328" s="295"/>
    </row>
    <row r="329" ht="29.25" customHeight="1">
      <c r="A329" s="295"/>
      <c r="B329" s="295"/>
      <c r="C329" s="295"/>
      <c r="D329" s="295"/>
      <c r="E329" s="295"/>
      <c r="F329" s="295"/>
      <c r="G329" s="295"/>
      <c r="H329" s="295"/>
      <c r="I329" s="295"/>
      <c r="J329" s="295"/>
      <c r="K329" s="295"/>
      <c r="L329" s="295"/>
      <c r="M329" s="295"/>
      <c r="N329" s="295"/>
      <c r="O329" s="297"/>
      <c r="P329" s="295"/>
      <c r="Q329" s="295"/>
      <c r="R329" s="295"/>
      <c r="S329" s="295"/>
      <c r="T329" s="295"/>
      <c r="U329" s="295"/>
      <c r="V329" s="295"/>
      <c r="W329" s="295"/>
      <c r="X329" s="295"/>
      <c r="Y329" s="295"/>
      <c r="Z329" s="295"/>
    </row>
    <row r="330" ht="29.25" customHeight="1">
      <c r="A330" s="295"/>
      <c r="B330" s="295"/>
      <c r="C330" s="295"/>
      <c r="D330" s="295"/>
      <c r="E330" s="295"/>
      <c r="F330" s="295"/>
      <c r="G330" s="295"/>
      <c r="H330" s="295"/>
      <c r="I330" s="295"/>
      <c r="J330" s="295"/>
      <c r="K330" s="295"/>
      <c r="L330" s="295"/>
      <c r="M330" s="295"/>
      <c r="N330" s="295"/>
      <c r="O330" s="297"/>
      <c r="P330" s="295"/>
      <c r="Q330" s="295"/>
      <c r="R330" s="295"/>
      <c r="S330" s="295"/>
      <c r="T330" s="295"/>
      <c r="U330" s="295"/>
      <c r="V330" s="295"/>
      <c r="W330" s="295"/>
      <c r="X330" s="295"/>
      <c r="Y330" s="295"/>
      <c r="Z330" s="295"/>
    </row>
    <row r="331" ht="29.25" customHeight="1">
      <c r="A331" s="295"/>
      <c r="B331" s="295"/>
      <c r="C331" s="295"/>
      <c r="D331" s="295"/>
      <c r="E331" s="295"/>
      <c r="F331" s="295"/>
      <c r="G331" s="295"/>
      <c r="H331" s="295"/>
      <c r="I331" s="295"/>
      <c r="J331" s="295"/>
      <c r="K331" s="295"/>
      <c r="L331" s="295"/>
      <c r="M331" s="295"/>
      <c r="N331" s="295"/>
      <c r="O331" s="297"/>
      <c r="P331" s="295"/>
      <c r="Q331" s="295"/>
      <c r="R331" s="295"/>
      <c r="S331" s="295"/>
      <c r="T331" s="295"/>
      <c r="U331" s="295"/>
      <c r="V331" s="295"/>
      <c r="W331" s="295"/>
      <c r="X331" s="295"/>
      <c r="Y331" s="295"/>
      <c r="Z331" s="295"/>
    </row>
    <row r="332" ht="29.25" customHeight="1">
      <c r="A332" s="295"/>
      <c r="B332" s="295"/>
      <c r="C332" s="295"/>
      <c r="D332" s="295"/>
      <c r="E332" s="295"/>
      <c r="F332" s="295"/>
      <c r="G332" s="295"/>
      <c r="H332" s="295"/>
      <c r="I332" s="295"/>
      <c r="J332" s="295"/>
      <c r="K332" s="295"/>
      <c r="L332" s="295"/>
      <c r="M332" s="295"/>
      <c r="N332" s="295"/>
      <c r="O332" s="297"/>
      <c r="P332" s="295"/>
      <c r="Q332" s="295"/>
      <c r="R332" s="295"/>
      <c r="S332" s="295"/>
      <c r="T332" s="295"/>
      <c r="U332" s="295"/>
      <c r="V332" s="295"/>
      <c r="W332" s="295"/>
      <c r="X332" s="295"/>
      <c r="Y332" s="295"/>
      <c r="Z332" s="295"/>
    </row>
    <row r="333" ht="29.25" customHeight="1">
      <c r="A333" s="295"/>
      <c r="B333" s="295"/>
      <c r="C333" s="295"/>
      <c r="D333" s="295"/>
      <c r="E333" s="295"/>
      <c r="F333" s="295"/>
      <c r="G333" s="295"/>
      <c r="H333" s="295"/>
      <c r="I333" s="295"/>
      <c r="J333" s="295"/>
      <c r="K333" s="295"/>
      <c r="L333" s="295"/>
      <c r="M333" s="295"/>
      <c r="N333" s="295"/>
      <c r="O333" s="297"/>
      <c r="P333" s="295"/>
      <c r="Q333" s="295"/>
      <c r="R333" s="295"/>
      <c r="S333" s="295"/>
      <c r="T333" s="295"/>
      <c r="U333" s="295"/>
      <c r="V333" s="295"/>
      <c r="W333" s="295"/>
      <c r="X333" s="295"/>
      <c r="Y333" s="295"/>
      <c r="Z333" s="295"/>
    </row>
    <row r="334" ht="29.25" customHeight="1">
      <c r="A334" s="295"/>
      <c r="B334" s="295"/>
      <c r="C334" s="295"/>
      <c r="D334" s="295"/>
      <c r="E334" s="295"/>
      <c r="F334" s="295"/>
      <c r="G334" s="295"/>
      <c r="H334" s="295"/>
      <c r="I334" s="295"/>
      <c r="J334" s="295"/>
      <c r="K334" s="295"/>
      <c r="L334" s="295"/>
      <c r="M334" s="295"/>
      <c r="N334" s="295"/>
      <c r="O334" s="297"/>
      <c r="P334" s="295"/>
      <c r="Q334" s="295"/>
      <c r="R334" s="295"/>
      <c r="S334" s="295"/>
      <c r="T334" s="295"/>
      <c r="U334" s="295"/>
      <c r="V334" s="295"/>
      <c r="W334" s="295"/>
      <c r="X334" s="295"/>
      <c r="Y334" s="295"/>
      <c r="Z334" s="295"/>
    </row>
    <row r="335" ht="29.25" customHeight="1">
      <c r="A335" s="295"/>
      <c r="B335" s="295"/>
      <c r="C335" s="295"/>
      <c r="D335" s="295"/>
      <c r="E335" s="295"/>
      <c r="F335" s="295"/>
      <c r="G335" s="295"/>
      <c r="H335" s="295"/>
      <c r="I335" s="295"/>
      <c r="J335" s="295"/>
      <c r="K335" s="295"/>
      <c r="L335" s="295"/>
      <c r="M335" s="295"/>
      <c r="N335" s="295"/>
      <c r="O335" s="297"/>
      <c r="P335" s="295"/>
      <c r="Q335" s="295"/>
      <c r="R335" s="295"/>
      <c r="S335" s="295"/>
      <c r="T335" s="295"/>
      <c r="U335" s="295"/>
      <c r="V335" s="295"/>
      <c r="W335" s="295"/>
      <c r="X335" s="295"/>
      <c r="Y335" s="295"/>
      <c r="Z335" s="295"/>
    </row>
    <row r="336" ht="29.25" customHeight="1">
      <c r="A336" s="295"/>
      <c r="B336" s="295"/>
      <c r="C336" s="295"/>
      <c r="D336" s="295"/>
      <c r="E336" s="295"/>
      <c r="F336" s="295"/>
      <c r="G336" s="295"/>
      <c r="H336" s="295"/>
      <c r="I336" s="295"/>
      <c r="J336" s="295"/>
      <c r="K336" s="295"/>
      <c r="L336" s="295"/>
      <c r="M336" s="295"/>
      <c r="N336" s="295"/>
      <c r="O336" s="297"/>
      <c r="P336" s="295"/>
      <c r="Q336" s="295"/>
      <c r="R336" s="295"/>
      <c r="S336" s="295"/>
      <c r="T336" s="295"/>
      <c r="U336" s="295"/>
      <c r="V336" s="295"/>
      <c r="W336" s="295"/>
      <c r="X336" s="295"/>
      <c r="Y336" s="295"/>
      <c r="Z336" s="295"/>
    </row>
    <row r="337" ht="29.25" customHeight="1">
      <c r="A337" s="295"/>
      <c r="B337" s="295"/>
      <c r="C337" s="295"/>
      <c r="D337" s="295"/>
      <c r="E337" s="295"/>
      <c r="F337" s="295"/>
      <c r="G337" s="295"/>
      <c r="H337" s="295"/>
      <c r="I337" s="295"/>
      <c r="J337" s="295"/>
      <c r="K337" s="295"/>
      <c r="L337" s="295"/>
      <c r="M337" s="295"/>
      <c r="N337" s="295"/>
      <c r="O337" s="297"/>
      <c r="P337" s="295"/>
      <c r="Q337" s="295"/>
      <c r="R337" s="295"/>
      <c r="S337" s="295"/>
      <c r="T337" s="295"/>
      <c r="U337" s="295"/>
      <c r="V337" s="295"/>
      <c r="W337" s="295"/>
      <c r="X337" s="295"/>
      <c r="Y337" s="295"/>
      <c r="Z337" s="295"/>
    </row>
    <row r="338" ht="29.25" customHeight="1">
      <c r="A338" s="295"/>
      <c r="B338" s="295"/>
      <c r="C338" s="295"/>
      <c r="D338" s="295"/>
      <c r="E338" s="295"/>
      <c r="F338" s="295"/>
      <c r="G338" s="295"/>
      <c r="H338" s="295"/>
      <c r="I338" s="295"/>
      <c r="J338" s="295"/>
      <c r="K338" s="295"/>
      <c r="L338" s="295"/>
      <c r="M338" s="295"/>
      <c r="N338" s="295"/>
      <c r="O338" s="297"/>
      <c r="P338" s="295"/>
      <c r="Q338" s="295"/>
      <c r="R338" s="295"/>
      <c r="S338" s="295"/>
      <c r="T338" s="295"/>
      <c r="U338" s="295"/>
      <c r="V338" s="295"/>
      <c r="W338" s="295"/>
      <c r="X338" s="295"/>
      <c r="Y338" s="295"/>
      <c r="Z338" s="295"/>
    </row>
    <row r="339" ht="29.25" customHeight="1">
      <c r="A339" s="295"/>
      <c r="B339" s="295"/>
      <c r="C339" s="295"/>
      <c r="D339" s="295"/>
      <c r="E339" s="295"/>
      <c r="F339" s="295"/>
      <c r="G339" s="295"/>
      <c r="H339" s="295"/>
      <c r="I339" s="295"/>
      <c r="J339" s="295"/>
      <c r="K339" s="295"/>
      <c r="L339" s="295"/>
      <c r="M339" s="295"/>
      <c r="N339" s="295"/>
      <c r="O339" s="297"/>
      <c r="P339" s="295"/>
      <c r="Q339" s="295"/>
      <c r="R339" s="295"/>
      <c r="S339" s="295"/>
      <c r="T339" s="295"/>
      <c r="U339" s="295"/>
      <c r="V339" s="295"/>
      <c r="W339" s="295"/>
      <c r="X339" s="295"/>
      <c r="Y339" s="295"/>
      <c r="Z339" s="295"/>
    </row>
    <row r="340" ht="29.25" customHeight="1">
      <c r="A340" s="295"/>
      <c r="B340" s="295"/>
      <c r="C340" s="295"/>
      <c r="D340" s="295"/>
      <c r="E340" s="295"/>
      <c r="F340" s="295"/>
      <c r="G340" s="295"/>
      <c r="H340" s="295"/>
      <c r="I340" s="295"/>
      <c r="J340" s="295"/>
      <c r="K340" s="295"/>
      <c r="L340" s="295"/>
      <c r="M340" s="295"/>
      <c r="N340" s="295"/>
      <c r="O340" s="297"/>
      <c r="P340" s="295"/>
      <c r="Q340" s="295"/>
      <c r="R340" s="295"/>
      <c r="S340" s="295"/>
      <c r="T340" s="295"/>
      <c r="U340" s="295"/>
      <c r="V340" s="295"/>
      <c r="W340" s="295"/>
      <c r="X340" s="295"/>
      <c r="Y340" s="295"/>
      <c r="Z340" s="295"/>
    </row>
    <row r="341" ht="29.25" customHeight="1">
      <c r="A341" s="295"/>
      <c r="B341" s="295"/>
      <c r="C341" s="295"/>
      <c r="D341" s="295"/>
      <c r="E341" s="295"/>
      <c r="F341" s="295"/>
      <c r="G341" s="295"/>
      <c r="H341" s="295"/>
      <c r="I341" s="295"/>
      <c r="J341" s="295"/>
      <c r="K341" s="295"/>
      <c r="L341" s="295"/>
      <c r="M341" s="295"/>
      <c r="N341" s="295"/>
      <c r="O341" s="297"/>
      <c r="P341" s="295"/>
      <c r="Q341" s="295"/>
      <c r="R341" s="295"/>
      <c r="S341" s="295"/>
      <c r="T341" s="295"/>
      <c r="U341" s="295"/>
      <c r="V341" s="295"/>
      <c r="W341" s="295"/>
      <c r="X341" s="295"/>
      <c r="Y341" s="295"/>
      <c r="Z341" s="295"/>
    </row>
    <row r="342" ht="29.25" customHeight="1">
      <c r="A342" s="295"/>
      <c r="B342" s="295"/>
      <c r="C342" s="295"/>
      <c r="D342" s="295"/>
      <c r="E342" s="295"/>
      <c r="F342" s="295"/>
      <c r="G342" s="295"/>
      <c r="H342" s="295"/>
      <c r="I342" s="295"/>
      <c r="J342" s="295"/>
      <c r="K342" s="295"/>
      <c r="L342" s="295"/>
      <c r="M342" s="295"/>
      <c r="N342" s="295"/>
      <c r="O342" s="297"/>
      <c r="P342" s="295"/>
      <c r="Q342" s="295"/>
      <c r="R342" s="295"/>
      <c r="S342" s="295"/>
      <c r="T342" s="295"/>
      <c r="U342" s="295"/>
      <c r="V342" s="295"/>
      <c r="W342" s="295"/>
      <c r="X342" s="295"/>
      <c r="Y342" s="295"/>
      <c r="Z342" s="295"/>
    </row>
    <row r="343" ht="29.25" customHeight="1">
      <c r="A343" s="295"/>
      <c r="B343" s="295"/>
      <c r="C343" s="295"/>
      <c r="D343" s="295"/>
      <c r="E343" s="295"/>
      <c r="F343" s="295"/>
      <c r="G343" s="295"/>
      <c r="H343" s="295"/>
      <c r="I343" s="295"/>
      <c r="J343" s="295"/>
      <c r="K343" s="295"/>
      <c r="L343" s="295"/>
      <c r="M343" s="295"/>
      <c r="N343" s="295"/>
      <c r="O343" s="297"/>
      <c r="P343" s="295"/>
      <c r="Q343" s="295"/>
      <c r="R343" s="295"/>
      <c r="S343" s="295"/>
      <c r="T343" s="295"/>
      <c r="U343" s="295"/>
      <c r="V343" s="295"/>
      <c r="W343" s="295"/>
      <c r="X343" s="295"/>
      <c r="Y343" s="295"/>
      <c r="Z343" s="295"/>
    </row>
    <row r="344" ht="29.25" customHeight="1">
      <c r="A344" s="295"/>
      <c r="B344" s="295"/>
      <c r="C344" s="295"/>
      <c r="D344" s="295"/>
      <c r="E344" s="295"/>
      <c r="F344" s="295"/>
      <c r="G344" s="295"/>
      <c r="H344" s="295"/>
      <c r="I344" s="295"/>
      <c r="J344" s="295"/>
      <c r="K344" s="295"/>
      <c r="L344" s="295"/>
      <c r="M344" s="295"/>
      <c r="N344" s="295"/>
      <c r="O344" s="297"/>
      <c r="P344" s="295"/>
      <c r="Q344" s="295"/>
      <c r="R344" s="295"/>
      <c r="S344" s="295"/>
      <c r="T344" s="295"/>
      <c r="U344" s="295"/>
      <c r="V344" s="295"/>
      <c r="W344" s="295"/>
      <c r="X344" s="295"/>
      <c r="Y344" s="295"/>
      <c r="Z344" s="295"/>
    </row>
    <row r="345" ht="29.25" customHeight="1">
      <c r="A345" s="295"/>
      <c r="B345" s="295"/>
      <c r="C345" s="295"/>
      <c r="D345" s="295"/>
      <c r="E345" s="295"/>
      <c r="F345" s="295"/>
      <c r="G345" s="295"/>
      <c r="H345" s="295"/>
      <c r="I345" s="295"/>
      <c r="J345" s="295"/>
      <c r="K345" s="295"/>
      <c r="L345" s="295"/>
      <c r="M345" s="295"/>
      <c r="N345" s="295"/>
      <c r="O345" s="297"/>
      <c r="P345" s="295"/>
      <c r="Q345" s="295"/>
      <c r="R345" s="295"/>
      <c r="S345" s="295"/>
      <c r="T345" s="295"/>
      <c r="U345" s="295"/>
      <c r="V345" s="295"/>
      <c r="W345" s="295"/>
      <c r="X345" s="295"/>
      <c r="Y345" s="295"/>
      <c r="Z345" s="295"/>
    </row>
    <row r="346" ht="29.25" customHeight="1">
      <c r="A346" s="295"/>
      <c r="B346" s="295"/>
      <c r="C346" s="295"/>
      <c r="D346" s="295"/>
      <c r="E346" s="295"/>
      <c r="F346" s="295"/>
      <c r="G346" s="295"/>
      <c r="H346" s="295"/>
      <c r="I346" s="295"/>
      <c r="J346" s="295"/>
      <c r="K346" s="295"/>
      <c r="L346" s="295"/>
      <c r="M346" s="295"/>
      <c r="N346" s="295"/>
      <c r="O346" s="297"/>
      <c r="P346" s="295"/>
      <c r="Q346" s="295"/>
      <c r="R346" s="295"/>
      <c r="S346" s="295"/>
      <c r="T346" s="295"/>
      <c r="U346" s="295"/>
      <c r="V346" s="295"/>
      <c r="W346" s="295"/>
      <c r="X346" s="295"/>
      <c r="Y346" s="295"/>
      <c r="Z346" s="295"/>
    </row>
    <row r="347" ht="29.25" customHeight="1">
      <c r="A347" s="295"/>
      <c r="B347" s="295"/>
      <c r="C347" s="295"/>
      <c r="D347" s="295"/>
      <c r="E347" s="295"/>
      <c r="F347" s="295"/>
      <c r="G347" s="295"/>
      <c r="H347" s="295"/>
      <c r="I347" s="295"/>
      <c r="J347" s="295"/>
      <c r="K347" s="295"/>
      <c r="L347" s="295"/>
      <c r="M347" s="295"/>
      <c r="N347" s="295"/>
      <c r="O347" s="297"/>
      <c r="P347" s="295"/>
      <c r="Q347" s="295"/>
      <c r="R347" s="295"/>
      <c r="S347" s="295"/>
      <c r="T347" s="295"/>
      <c r="U347" s="295"/>
      <c r="V347" s="295"/>
      <c r="W347" s="295"/>
      <c r="X347" s="295"/>
      <c r="Y347" s="295"/>
      <c r="Z347" s="295"/>
    </row>
    <row r="348" ht="29.25" customHeight="1">
      <c r="A348" s="295"/>
      <c r="B348" s="295"/>
      <c r="C348" s="295"/>
      <c r="D348" s="295"/>
      <c r="E348" s="295"/>
      <c r="F348" s="295"/>
      <c r="G348" s="295"/>
      <c r="H348" s="295"/>
      <c r="I348" s="295"/>
      <c r="J348" s="295"/>
      <c r="K348" s="295"/>
      <c r="L348" s="295"/>
      <c r="M348" s="295"/>
      <c r="N348" s="295"/>
      <c r="O348" s="297"/>
      <c r="P348" s="295"/>
      <c r="Q348" s="295"/>
      <c r="R348" s="295"/>
      <c r="S348" s="295"/>
      <c r="T348" s="295"/>
      <c r="U348" s="295"/>
      <c r="V348" s="295"/>
      <c r="W348" s="295"/>
      <c r="X348" s="295"/>
      <c r="Y348" s="295"/>
      <c r="Z348" s="295"/>
    </row>
    <row r="349" ht="29.25" customHeight="1">
      <c r="A349" s="295"/>
      <c r="B349" s="295"/>
      <c r="C349" s="295"/>
      <c r="D349" s="295"/>
      <c r="E349" s="295"/>
      <c r="F349" s="295"/>
      <c r="G349" s="295"/>
      <c r="H349" s="295"/>
      <c r="I349" s="295"/>
      <c r="J349" s="295"/>
      <c r="K349" s="295"/>
      <c r="L349" s="295"/>
      <c r="M349" s="295"/>
      <c r="N349" s="295"/>
      <c r="O349" s="297"/>
      <c r="P349" s="295"/>
      <c r="Q349" s="295"/>
      <c r="R349" s="295"/>
      <c r="S349" s="295"/>
      <c r="T349" s="295"/>
      <c r="U349" s="295"/>
      <c r="V349" s="295"/>
      <c r="W349" s="295"/>
      <c r="X349" s="295"/>
      <c r="Y349" s="295"/>
      <c r="Z349" s="295"/>
    </row>
    <row r="350" ht="29.25" customHeight="1">
      <c r="A350" s="295"/>
      <c r="B350" s="295"/>
      <c r="C350" s="295"/>
      <c r="D350" s="295"/>
      <c r="E350" s="295"/>
      <c r="F350" s="295"/>
      <c r="G350" s="295"/>
      <c r="H350" s="295"/>
      <c r="I350" s="295"/>
      <c r="J350" s="295"/>
      <c r="K350" s="295"/>
      <c r="L350" s="295"/>
      <c r="M350" s="295"/>
      <c r="N350" s="295"/>
      <c r="O350" s="297"/>
      <c r="P350" s="295"/>
      <c r="Q350" s="295"/>
      <c r="R350" s="295"/>
      <c r="S350" s="295"/>
      <c r="T350" s="295"/>
      <c r="U350" s="295"/>
      <c r="V350" s="295"/>
      <c r="W350" s="295"/>
      <c r="X350" s="295"/>
      <c r="Y350" s="295"/>
      <c r="Z350" s="295"/>
    </row>
    <row r="351" ht="29.25" customHeight="1">
      <c r="A351" s="295"/>
      <c r="B351" s="295"/>
      <c r="C351" s="295"/>
      <c r="D351" s="295"/>
      <c r="E351" s="295"/>
      <c r="F351" s="295"/>
      <c r="G351" s="295"/>
      <c r="H351" s="295"/>
      <c r="I351" s="295"/>
      <c r="J351" s="295"/>
      <c r="K351" s="295"/>
      <c r="L351" s="295"/>
      <c r="M351" s="295"/>
      <c r="N351" s="295"/>
      <c r="O351" s="297"/>
      <c r="P351" s="295"/>
      <c r="Q351" s="295"/>
      <c r="R351" s="295"/>
      <c r="S351" s="295"/>
      <c r="T351" s="295"/>
      <c r="U351" s="295"/>
      <c r="V351" s="295"/>
      <c r="W351" s="295"/>
      <c r="X351" s="295"/>
      <c r="Y351" s="295"/>
      <c r="Z351" s="295"/>
    </row>
    <row r="352" ht="29.25" customHeight="1">
      <c r="A352" s="295"/>
      <c r="B352" s="295"/>
      <c r="C352" s="295"/>
      <c r="D352" s="295"/>
      <c r="E352" s="295"/>
      <c r="F352" s="295"/>
      <c r="G352" s="295"/>
      <c r="H352" s="295"/>
      <c r="I352" s="295"/>
      <c r="J352" s="295"/>
      <c r="K352" s="295"/>
      <c r="L352" s="295"/>
      <c r="M352" s="295"/>
      <c r="N352" s="295"/>
      <c r="O352" s="297"/>
      <c r="P352" s="295"/>
      <c r="Q352" s="295"/>
      <c r="R352" s="295"/>
      <c r="S352" s="295"/>
      <c r="T352" s="295"/>
      <c r="U352" s="295"/>
      <c r="V352" s="295"/>
      <c r="W352" s="295"/>
      <c r="X352" s="295"/>
      <c r="Y352" s="295"/>
      <c r="Z352" s="295"/>
    </row>
    <row r="353" ht="29.25" customHeight="1">
      <c r="A353" s="295"/>
      <c r="B353" s="295"/>
      <c r="C353" s="295"/>
      <c r="D353" s="295"/>
      <c r="E353" s="295"/>
      <c r="F353" s="295"/>
      <c r="G353" s="295"/>
      <c r="H353" s="295"/>
      <c r="I353" s="295"/>
      <c r="J353" s="295"/>
      <c r="K353" s="295"/>
      <c r="L353" s="295"/>
      <c r="M353" s="295"/>
      <c r="N353" s="295"/>
      <c r="O353" s="297"/>
      <c r="P353" s="295"/>
      <c r="Q353" s="295"/>
      <c r="R353" s="295"/>
      <c r="S353" s="295"/>
      <c r="T353" s="295"/>
      <c r="U353" s="295"/>
      <c r="V353" s="295"/>
      <c r="W353" s="295"/>
      <c r="X353" s="295"/>
      <c r="Y353" s="295"/>
      <c r="Z353" s="295"/>
    </row>
    <row r="354" ht="29.25" customHeight="1">
      <c r="A354" s="295"/>
      <c r="B354" s="295"/>
      <c r="C354" s="295"/>
      <c r="D354" s="295"/>
      <c r="E354" s="295"/>
      <c r="F354" s="295"/>
      <c r="G354" s="295"/>
      <c r="H354" s="295"/>
      <c r="I354" s="295"/>
      <c r="J354" s="295"/>
      <c r="K354" s="295"/>
      <c r="L354" s="295"/>
      <c r="M354" s="295"/>
      <c r="N354" s="295"/>
      <c r="O354" s="297"/>
      <c r="P354" s="295"/>
      <c r="Q354" s="295"/>
      <c r="R354" s="295"/>
      <c r="S354" s="295"/>
      <c r="T354" s="295"/>
      <c r="U354" s="295"/>
      <c r="V354" s="295"/>
      <c r="W354" s="295"/>
      <c r="X354" s="295"/>
      <c r="Y354" s="295"/>
      <c r="Z354" s="295"/>
    </row>
    <row r="355" ht="29.25" customHeight="1">
      <c r="A355" s="295"/>
      <c r="B355" s="295"/>
      <c r="C355" s="295"/>
      <c r="D355" s="295"/>
      <c r="E355" s="295"/>
      <c r="F355" s="295"/>
      <c r="G355" s="295"/>
      <c r="H355" s="295"/>
      <c r="I355" s="295"/>
      <c r="J355" s="295"/>
      <c r="K355" s="295"/>
      <c r="L355" s="295"/>
      <c r="M355" s="295"/>
      <c r="N355" s="295"/>
      <c r="O355" s="297"/>
      <c r="P355" s="295"/>
      <c r="Q355" s="295"/>
      <c r="R355" s="295"/>
      <c r="S355" s="295"/>
      <c r="T355" s="295"/>
      <c r="U355" s="295"/>
      <c r="V355" s="295"/>
      <c r="W355" s="295"/>
      <c r="X355" s="295"/>
      <c r="Y355" s="295"/>
      <c r="Z355" s="295"/>
    </row>
    <row r="356" ht="29.25" customHeight="1">
      <c r="A356" s="295"/>
      <c r="B356" s="295"/>
      <c r="C356" s="295"/>
      <c r="D356" s="295"/>
      <c r="E356" s="295"/>
      <c r="F356" s="295"/>
      <c r="G356" s="295"/>
      <c r="H356" s="295"/>
      <c r="I356" s="295"/>
      <c r="J356" s="295"/>
      <c r="K356" s="295"/>
      <c r="L356" s="295"/>
      <c r="M356" s="295"/>
      <c r="N356" s="295"/>
      <c r="O356" s="297"/>
      <c r="P356" s="295"/>
      <c r="Q356" s="295"/>
      <c r="R356" s="295"/>
      <c r="S356" s="295"/>
      <c r="T356" s="295"/>
      <c r="U356" s="295"/>
      <c r="V356" s="295"/>
      <c r="W356" s="295"/>
      <c r="X356" s="295"/>
      <c r="Y356" s="295"/>
      <c r="Z356" s="295"/>
    </row>
    <row r="357" ht="29.25" customHeight="1">
      <c r="A357" s="295"/>
      <c r="B357" s="295"/>
      <c r="C357" s="295"/>
      <c r="D357" s="295"/>
      <c r="E357" s="295"/>
      <c r="F357" s="295"/>
      <c r="G357" s="295"/>
      <c r="H357" s="295"/>
      <c r="I357" s="295"/>
      <c r="J357" s="295"/>
      <c r="K357" s="295"/>
      <c r="L357" s="295"/>
      <c r="M357" s="295"/>
      <c r="N357" s="295"/>
      <c r="O357" s="297"/>
      <c r="P357" s="295"/>
      <c r="Q357" s="295"/>
      <c r="R357" s="295"/>
      <c r="S357" s="295"/>
      <c r="T357" s="295"/>
      <c r="U357" s="295"/>
      <c r="V357" s="295"/>
      <c r="W357" s="295"/>
      <c r="X357" s="295"/>
      <c r="Y357" s="295"/>
      <c r="Z357" s="295"/>
    </row>
    <row r="358" ht="29.25" customHeight="1">
      <c r="A358" s="295"/>
      <c r="B358" s="295"/>
      <c r="C358" s="295"/>
      <c r="D358" s="295"/>
      <c r="E358" s="295"/>
      <c r="F358" s="295"/>
      <c r="G358" s="295"/>
      <c r="H358" s="295"/>
      <c r="I358" s="295"/>
      <c r="J358" s="295"/>
      <c r="K358" s="295"/>
      <c r="L358" s="295"/>
      <c r="M358" s="295"/>
      <c r="N358" s="295"/>
      <c r="O358" s="297"/>
      <c r="P358" s="295"/>
      <c r="Q358" s="295"/>
      <c r="R358" s="295"/>
      <c r="S358" s="295"/>
      <c r="T358" s="295"/>
      <c r="U358" s="295"/>
      <c r="V358" s="295"/>
      <c r="W358" s="295"/>
      <c r="X358" s="295"/>
      <c r="Y358" s="295"/>
      <c r="Z358" s="295"/>
    </row>
    <row r="359" ht="29.25" customHeight="1">
      <c r="A359" s="295"/>
      <c r="B359" s="295"/>
      <c r="C359" s="295"/>
      <c r="D359" s="295"/>
      <c r="E359" s="295"/>
      <c r="F359" s="295"/>
      <c r="G359" s="295"/>
      <c r="H359" s="295"/>
      <c r="I359" s="295"/>
      <c r="J359" s="295"/>
      <c r="K359" s="295"/>
      <c r="L359" s="295"/>
      <c r="M359" s="295"/>
      <c r="N359" s="295"/>
      <c r="O359" s="297"/>
      <c r="P359" s="295"/>
      <c r="Q359" s="295"/>
      <c r="R359" s="295"/>
      <c r="S359" s="295"/>
      <c r="T359" s="295"/>
      <c r="U359" s="295"/>
      <c r="V359" s="295"/>
      <c r="W359" s="295"/>
      <c r="X359" s="295"/>
      <c r="Y359" s="295"/>
      <c r="Z359" s="295"/>
    </row>
    <row r="360" ht="29.25" customHeight="1">
      <c r="A360" s="295"/>
      <c r="B360" s="295"/>
      <c r="C360" s="295"/>
      <c r="D360" s="295"/>
      <c r="E360" s="295"/>
      <c r="F360" s="295"/>
      <c r="G360" s="295"/>
      <c r="H360" s="295"/>
      <c r="I360" s="295"/>
      <c r="J360" s="295"/>
      <c r="K360" s="295"/>
      <c r="L360" s="295"/>
      <c r="M360" s="295"/>
      <c r="N360" s="295"/>
      <c r="O360" s="297"/>
      <c r="P360" s="295"/>
      <c r="Q360" s="295"/>
      <c r="R360" s="295"/>
      <c r="S360" s="295"/>
      <c r="T360" s="295"/>
      <c r="U360" s="295"/>
      <c r="V360" s="295"/>
      <c r="W360" s="295"/>
      <c r="X360" s="295"/>
      <c r="Y360" s="295"/>
      <c r="Z360" s="295"/>
    </row>
    <row r="361" ht="29.25" customHeight="1">
      <c r="A361" s="295"/>
      <c r="B361" s="295"/>
      <c r="C361" s="295"/>
      <c r="D361" s="295"/>
      <c r="E361" s="295"/>
      <c r="F361" s="295"/>
      <c r="G361" s="295"/>
      <c r="H361" s="295"/>
      <c r="I361" s="295"/>
      <c r="J361" s="295"/>
      <c r="K361" s="295"/>
      <c r="L361" s="295"/>
      <c r="M361" s="295"/>
      <c r="N361" s="295"/>
      <c r="O361" s="297"/>
      <c r="P361" s="295"/>
      <c r="Q361" s="295"/>
      <c r="R361" s="295"/>
      <c r="S361" s="295"/>
      <c r="T361" s="295"/>
      <c r="U361" s="295"/>
      <c r="V361" s="295"/>
      <c r="W361" s="295"/>
      <c r="X361" s="295"/>
      <c r="Y361" s="295"/>
      <c r="Z361" s="295"/>
    </row>
    <row r="362" ht="29.25" customHeight="1">
      <c r="A362" s="295"/>
      <c r="B362" s="295"/>
      <c r="C362" s="295"/>
      <c r="D362" s="295"/>
      <c r="E362" s="295"/>
      <c r="F362" s="295"/>
      <c r="G362" s="295"/>
      <c r="H362" s="295"/>
      <c r="I362" s="295"/>
      <c r="J362" s="295"/>
      <c r="K362" s="295"/>
      <c r="L362" s="295"/>
      <c r="M362" s="295"/>
      <c r="N362" s="295"/>
      <c r="O362" s="297"/>
      <c r="P362" s="295"/>
      <c r="Q362" s="295"/>
      <c r="R362" s="295"/>
      <c r="S362" s="295"/>
      <c r="T362" s="295"/>
      <c r="U362" s="295"/>
      <c r="V362" s="295"/>
      <c r="W362" s="295"/>
      <c r="X362" s="295"/>
      <c r="Y362" s="295"/>
      <c r="Z362" s="295"/>
    </row>
    <row r="363" ht="29.25" customHeight="1">
      <c r="A363" s="295"/>
      <c r="B363" s="295"/>
      <c r="C363" s="295"/>
      <c r="D363" s="295"/>
      <c r="E363" s="295"/>
      <c r="F363" s="295"/>
      <c r="G363" s="295"/>
      <c r="H363" s="295"/>
      <c r="I363" s="295"/>
      <c r="J363" s="295"/>
      <c r="K363" s="295"/>
      <c r="L363" s="295"/>
      <c r="M363" s="295"/>
      <c r="N363" s="295"/>
      <c r="O363" s="297"/>
      <c r="P363" s="295"/>
      <c r="Q363" s="295"/>
      <c r="R363" s="295"/>
      <c r="S363" s="295"/>
      <c r="T363" s="295"/>
      <c r="U363" s="295"/>
      <c r="V363" s="295"/>
      <c r="W363" s="295"/>
      <c r="X363" s="295"/>
      <c r="Y363" s="295"/>
      <c r="Z363" s="295"/>
    </row>
    <row r="364" ht="29.25" customHeight="1">
      <c r="A364" s="295"/>
      <c r="B364" s="295"/>
      <c r="C364" s="295"/>
      <c r="D364" s="295"/>
      <c r="E364" s="295"/>
      <c r="F364" s="295"/>
      <c r="G364" s="295"/>
      <c r="H364" s="295"/>
      <c r="I364" s="295"/>
      <c r="J364" s="295"/>
      <c r="K364" s="295"/>
      <c r="L364" s="295"/>
      <c r="M364" s="295"/>
      <c r="N364" s="295"/>
      <c r="O364" s="297"/>
      <c r="P364" s="295"/>
      <c r="Q364" s="295"/>
      <c r="R364" s="295"/>
      <c r="S364" s="295"/>
      <c r="T364" s="295"/>
      <c r="U364" s="295"/>
      <c r="V364" s="295"/>
      <c r="W364" s="295"/>
      <c r="X364" s="295"/>
      <c r="Y364" s="295"/>
      <c r="Z364" s="295"/>
    </row>
    <row r="365" ht="29.25" customHeight="1">
      <c r="A365" s="295"/>
      <c r="B365" s="295"/>
      <c r="C365" s="295"/>
      <c r="D365" s="295"/>
      <c r="E365" s="295"/>
      <c r="F365" s="295"/>
      <c r="G365" s="295"/>
      <c r="H365" s="295"/>
      <c r="I365" s="295"/>
      <c r="J365" s="295"/>
      <c r="K365" s="295"/>
      <c r="L365" s="295"/>
      <c r="M365" s="295"/>
      <c r="N365" s="295"/>
      <c r="O365" s="297"/>
      <c r="P365" s="295"/>
      <c r="Q365" s="295"/>
      <c r="R365" s="295"/>
      <c r="S365" s="295"/>
      <c r="T365" s="295"/>
      <c r="U365" s="295"/>
      <c r="V365" s="295"/>
      <c r="W365" s="295"/>
      <c r="X365" s="295"/>
      <c r="Y365" s="295"/>
      <c r="Z365" s="295"/>
    </row>
    <row r="366" ht="29.25" customHeight="1">
      <c r="A366" s="295"/>
      <c r="B366" s="295"/>
      <c r="C366" s="295"/>
      <c r="D366" s="295"/>
      <c r="E366" s="295"/>
      <c r="F366" s="295"/>
      <c r="G366" s="295"/>
      <c r="H366" s="295"/>
      <c r="I366" s="295"/>
      <c r="J366" s="295"/>
      <c r="K366" s="295"/>
      <c r="L366" s="295"/>
      <c r="M366" s="295"/>
      <c r="N366" s="295"/>
      <c r="O366" s="297"/>
      <c r="P366" s="295"/>
      <c r="Q366" s="295"/>
      <c r="R366" s="295"/>
      <c r="S366" s="295"/>
      <c r="T366" s="295"/>
      <c r="U366" s="295"/>
      <c r="V366" s="295"/>
      <c r="W366" s="295"/>
      <c r="X366" s="295"/>
      <c r="Y366" s="295"/>
      <c r="Z366" s="295"/>
    </row>
    <row r="367" ht="29.25" customHeight="1">
      <c r="A367" s="295"/>
      <c r="B367" s="295"/>
      <c r="C367" s="295"/>
      <c r="D367" s="295"/>
      <c r="E367" s="295"/>
      <c r="F367" s="295"/>
      <c r="G367" s="295"/>
      <c r="H367" s="295"/>
      <c r="I367" s="295"/>
      <c r="J367" s="295"/>
      <c r="K367" s="295"/>
      <c r="L367" s="295"/>
      <c r="M367" s="295"/>
      <c r="N367" s="295"/>
      <c r="O367" s="297"/>
      <c r="P367" s="295"/>
      <c r="Q367" s="295"/>
      <c r="R367" s="295"/>
      <c r="S367" s="295"/>
      <c r="T367" s="295"/>
      <c r="U367" s="295"/>
      <c r="V367" s="295"/>
      <c r="W367" s="295"/>
      <c r="X367" s="295"/>
      <c r="Y367" s="295"/>
      <c r="Z367" s="295"/>
    </row>
    <row r="368" ht="29.25" customHeight="1">
      <c r="A368" s="295"/>
      <c r="B368" s="295"/>
      <c r="C368" s="295"/>
      <c r="D368" s="295"/>
      <c r="E368" s="295"/>
      <c r="F368" s="295"/>
      <c r="G368" s="295"/>
      <c r="H368" s="295"/>
      <c r="I368" s="295"/>
      <c r="J368" s="295"/>
      <c r="K368" s="295"/>
      <c r="L368" s="295"/>
      <c r="M368" s="295"/>
      <c r="N368" s="295"/>
      <c r="O368" s="297"/>
      <c r="P368" s="295"/>
      <c r="Q368" s="295"/>
      <c r="R368" s="295"/>
      <c r="S368" s="295"/>
      <c r="T368" s="295"/>
      <c r="U368" s="295"/>
      <c r="V368" s="295"/>
      <c r="W368" s="295"/>
      <c r="X368" s="295"/>
      <c r="Y368" s="295"/>
      <c r="Z368" s="295"/>
    </row>
    <row r="369" ht="29.25" customHeight="1">
      <c r="A369" s="295"/>
      <c r="B369" s="295"/>
      <c r="C369" s="295"/>
      <c r="D369" s="295"/>
      <c r="E369" s="295"/>
      <c r="F369" s="295"/>
      <c r="G369" s="295"/>
      <c r="H369" s="295"/>
      <c r="I369" s="295"/>
      <c r="J369" s="295"/>
      <c r="K369" s="295"/>
      <c r="L369" s="295"/>
      <c r="M369" s="295"/>
      <c r="N369" s="295"/>
      <c r="O369" s="297"/>
      <c r="P369" s="295"/>
      <c r="Q369" s="295"/>
      <c r="R369" s="295"/>
      <c r="S369" s="295"/>
      <c r="T369" s="295"/>
      <c r="U369" s="295"/>
      <c r="V369" s="295"/>
      <c r="W369" s="295"/>
      <c r="X369" s="295"/>
      <c r="Y369" s="295"/>
      <c r="Z369" s="295"/>
    </row>
    <row r="370" ht="29.25" customHeight="1">
      <c r="A370" s="295"/>
      <c r="B370" s="295"/>
      <c r="C370" s="295"/>
      <c r="D370" s="295"/>
      <c r="E370" s="295"/>
      <c r="F370" s="295"/>
      <c r="G370" s="295"/>
      <c r="H370" s="295"/>
      <c r="I370" s="295"/>
      <c r="J370" s="295"/>
      <c r="K370" s="295"/>
      <c r="L370" s="295"/>
      <c r="M370" s="295"/>
      <c r="N370" s="295"/>
      <c r="O370" s="297"/>
      <c r="P370" s="295"/>
      <c r="Q370" s="295"/>
      <c r="R370" s="295"/>
      <c r="S370" s="295"/>
      <c r="T370" s="295"/>
      <c r="U370" s="295"/>
      <c r="V370" s="295"/>
      <c r="W370" s="295"/>
      <c r="X370" s="295"/>
      <c r="Y370" s="295"/>
      <c r="Z370" s="295"/>
    </row>
    <row r="371" ht="29.25" customHeight="1">
      <c r="A371" s="295"/>
      <c r="B371" s="295"/>
      <c r="C371" s="295"/>
      <c r="D371" s="295"/>
      <c r="E371" s="295"/>
      <c r="F371" s="295"/>
      <c r="G371" s="295"/>
      <c r="H371" s="295"/>
      <c r="I371" s="295"/>
      <c r="J371" s="295"/>
      <c r="K371" s="295"/>
      <c r="L371" s="295"/>
      <c r="M371" s="295"/>
      <c r="N371" s="295"/>
      <c r="O371" s="297"/>
      <c r="P371" s="295"/>
      <c r="Q371" s="295"/>
      <c r="R371" s="295"/>
      <c r="S371" s="295"/>
      <c r="T371" s="295"/>
      <c r="U371" s="295"/>
      <c r="V371" s="295"/>
      <c r="W371" s="295"/>
      <c r="X371" s="295"/>
      <c r="Y371" s="295"/>
      <c r="Z371" s="295"/>
    </row>
    <row r="372" ht="29.25" customHeight="1">
      <c r="A372" s="295"/>
      <c r="B372" s="295"/>
      <c r="C372" s="295"/>
      <c r="D372" s="295"/>
      <c r="E372" s="295"/>
      <c r="F372" s="295"/>
      <c r="G372" s="295"/>
      <c r="H372" s="295"/>
      <c r="I372" s="295"/>
      <c r="J372" s="295"/>
      <c r="K372" s="295"/>
      <c r="L372" s="295"/>
      <c r="M372" s="295"/>
      <c r="N372" s="295"/>
      <c r="O372" s="297"/>
      <c r="P372" s="295"/>
      <c r="Q372" s="295"/>
      <c r="R372" s="295"/>
      <c r="S372" s="295"/>
      <c r="T372" s="295"/>
      <c r="U372" s="295"/>
      <c r="V372" s="295"/>
      <c r="W372" s="295"/>
      <c r="X372" s="295"/>
      <c r="Y372" s="295"/>
      <c r="Z372" s="295"/>
    </row>
    <row r="373" ht="29.25" customHeight="1">
      <c r="A373" s="295"/>
      <c r="B373" s="295"/>
      <c r="C373" s="295"/>
      <c r="D373" s="295"/>
      <c r="E373" s="295"/>
      <c r="F373" s="295"/>
      <c r="G373" s="295"/>
      <c r="H373" s="295"/>
      <c r="I373" s="295"/>
      <c r="J373" s="295"/>
      <c r="K373" s="295"/>
      <c r="L373" s="295"/>
      <c r="M373" s="295"/>
      <c r="N373" s="295"/>
      <c r="O373" s="297"/>
      <c r="P373" s="295"/>
      <c r="Q373" s="295"/>
      <c r="R373" s="295"/>
      <c r="S373" s="295"/>
      <c r="T373" s="295"/>
      <c r="U373" s="295"/>
      <c r="V373" s="295"/>
      <c r="W373" s="295"/>
      <c r="X373" s="295"/>
      <c r="Y373" s="295"/>
      <c r="Z373" s="295"/>
    </row>
    <row r="374" ht="29.25" customHeight="1">
      <c r="A374" s="295"/>
      <c r="B374" s="295"/>
      <c r="C374" s="295"/>
      <c r="D374" s="295"/>
      <c r="E374" s="295"/>
      <c r="F374" s="295"/>
      <c r="G374" s="295"/>
      <c r="H374" s="295"/>
      <c r="I374" s="295"/>
      <c r="J374" s="295"/>
      <c r="K374" s="295"/>
      <c r="L374" s="295"/>
      <c r="M374" s="295"/>
      <c r="N374" s="295"/>
      <c r="O374" s="297"/>
      <c r="P374" s="295"/>
      <c r="Q374" s="295"/>
      <c r="R374" s="295"/>
      <c r="S374" s="295"/>
      <c r="T374" s="295"/>
      <c r="U374" s="295"/>
      <c r="V374" s="295"/>
      <c r="W374" s="295"/>
      <c r="X374" s="295"/>
      <c r="Y374" s="295"/>
      <c r="Z374" s="295"/>
    </row>
    <row r="375" ht="29.25" customHeight="1">
      <c r="A375" s="295"/>
      <c r="B375" s="295"/>
      <c r="C375" s="295"/>
      <c r="D375" s="295"/>
      <c r="E375" s="295"/>
      <c r="F375" s="295"/>
      <c r="G375" s="295"/>
      <c r="H375" s="295"/>
      <c r="I375" s="295"/>
      <c r="J375" s="295"/>
      <c r="K375" s="295"/>
      <c r="L375" s="295"/>
      <c r="M375" s="295"/>
      <c r="N375" s="295"/>
      <c r="O375" s="297"/>
      <c r="P375" s="295"/>
      <c r="Q375" s="295"/>
      <c r="R375" s="295"/>
      <c r="S375" s="295"/>
      <c r="T375" s="295"/>
      <c r="U375" s="295"/>
      <c r="V375" s="295"/>
      <c r="W375" s="295"/>
      <c r="X375" s="295"/>
      <c r="Y375" s="295"/>
      <c r="Z375" s="295"/>
    </row>
    <row r="376" ht="29.25" customHeight="1">
      <c r="A376" s="295"/>
      <c r="B376" s="295"/>
      <c r="C376" s="295"/>
      <c r="D376" s="295"/>
      <c r="E376" s="295"/>
      <c r="F376" s="295"/>
      <c r="G376" s="295"/>
      <c r="H376" s="295"/>
      <c r="I376" s="295"/>
      <c r="J376" s="295"/>
      <c r="K376" s="295"/>
      <c r="L376" s="295"/>
      <c r="M376" s="295"/>
      <c r="N376" s="295"/>
      <c r="O376" s="297"/>
      <c r="P376" s="295"/>
      <c r="Q376" s="295"/>
      <c r="R376" s="295"/>
      <c r="S376" s="295"/>
      <c r="T376" s="295"/>
      <c r="U376" s="295"/>
      <c r="V376" s="295"/>
      <c r="W376" s="295"/>
      <c r="X376" s="295"/>
      <c r="Y376" s="295"/>
      <c r="Z376" s="295"/>
    </row>
    <row r="377" ht="29.25" customHeight="1">
      <c r="A377" s="295"/>
      <c r="B377" s="295"/>
      <c r="C377" s="295"/>
      <c r="D377" s="295"/>
      <c r="E377" s="295"/>
      <c r="F377" s="295"/>
      <c r="G377" s="295"/>
      <c r="H377" s="295"/>
      <c r="I377" s="295"/>
      <c r="J377" s="295"/>
      <c r="K377" s="295"/>
      <c r="L377" s="295"/>
      <c r="M377" s="295"/>
      <c r="N377" s="295"/>
      <c r="O377" s="297"/>
      <c r="P377" s="295"/>
      <c r="Q377" s="295"/>
      <c r="R377" s="295"/>
      <c r="S377" s="295"/>
      <c r="T377" s="295"/>
      <c r="U377" s="295"/>
      <c r="V377" s="295"/>
      <c r="W377" s="295"/>
      <c r="X377" s="295"/>
      <c r="Y377" s="295"/>
      <c r="Z377" s="295"/>
    </row>
    <row r="378" ht="29.25" customHeight="1">
      <c r="A378" s="295"/>
      <c r="B378" s="295"/>
      <c r="C378" s="295"/>
      <c r="D378" s="295"/>
      <c r="E378" s="295"/>
      <c r="F378" s="295"/>
      <c r="G378" s="295"/>
      <c r="H378" s="295"/>
      <c r="I378" s="295"/>
      <c r="J378" s="295"/>
      <c r="K378" s="295"/>
      <c r="L378" s="295"/>
      <c r="M378" s="295"/>
      <c r="N378" s="295"/>
      <c r="O378" s="297"/>
      <c r="P378" s="295"/>
      <c r="Q378" s="295"/>
      <c r="R378" s="295"/>
      <c r="S378" s="295"/>
      <c r="T378" s="295"/>
      <c r="U378" s="295"/>
      <c r="V378" s="295"/>
      <c r="W378" s="295"/>
      <c r="X378" s="295"/>
      <c r="Y378" s="295"/>
      <c r="Z378" s="295"/>
    </row>
    <row r="379" ht="29.25" customHeight="1">
      <c r="A379" s="295"/>
      <c r="B379" s="295"/>
      <c r="C379" s="295"/>
      <c r="D379" s="295"/>
      <c r="E379" s="295"/>
      <c r="F379" s="295"/>
      <c r="G379" s="295"/>
      <c r="H379" s="295"/>
      <c r="I379" s="295"/>
      <c r="J379" s="295"/>
      <c r="K379" s="295"/>
      <c r="L379" s="295"/>
      <c r="M379" s="295"/>
      <c r="N379" s="295"/>
      <c r="O379" s="297"/>
      <c r="P379" s="295"/>
      <c r="Q379" s="295"/>
      <c r="R379" s="295"/>
      <c r="S379" s="295"/>
      <c r="T379" s="295"/>
      <c r="U379" s="295"/>
      <c r="V379" s="295"/>
      <c r="W379" s="295"/>
      <c r="X379" s="295"/>
      <c r="Y379" s="295"/>
      <c r="Z379" s="295"/>
    </row>
    <row r="380" ht="29.25" customHeight="1">
      <c r="A380" s="295"/>
      <c r="B380" s="295"/>
      <c r="C380" s="295"/>
      <c r="D380" s="295"/>
      <c r="E380" s="295"/>
      <c r="F380" s="295"/>
      <c r="G380" s="295"/>
      <c r="H380" s="295"/>
      <c r="I380" s="295"/>
      <c r="J380" s="295"/>
      <c r="K380" s="295"/>
      <c r="L380" s="295"/>
      <c r="M380" s="295"/>
      <c r="N380" s="295"/>
      <c r="O380" s="297"/>
      <c r="P380" s="295"/>
      <c r="Q380" s="295"/>
      <c r="R380" s="295"/>
      <c r="S380" s="295"/>
      <c r="T380" s="295"/>
      <c r="U380" s="295"/>
      <c r="V380" s="295"/>
      <c r="W380" s="295"/>
      <c r="X380" s="295"/>
      <c r="Y380" s="295"/>
      <c r="Z380" s="295"/>
    </row>
    <row r="381" ht="29.25" customHeight="1">
      <c r="A381" s="295"/>
      <c r="B381" s="295"/>
      <c r="C381" s="295"/>
      <c r="D381" s="295"/>
      <c r="E381" s="295"/>
      <c r="F381" s="295"/>
      <c r="G381" s="295"/>
      <c r="H381" s="295"/>
      <c r="I381" s="295"/>
      <c r="J381" s="295"/>
      <c r="K381" s="295"/>
      <c r="L381" s="295"/>
      <c r="M381" s="295"/>
      <c r="N381" s="295"/>
      <c r="O381" s="297"/>
      <c r="P381" s="295"/>
      <c r="Q381" s="295"/>
      <c r="R381" s="295"/>
      <c r="S381" s="295"/>
      <c r="T381" s="295"/>
      <c r="U381" s="295"/>
      <c r="V381" s="295"/>
      <c r="W381" s="295"/>
      <c r="X381" s="295"/>
      <c r="Y381" s="295"/>
      <c r="Z381" s="295"/>
    </row>
    <row r="382" ht="29.25" customHeight="1">
      <c r="A382" s="295"/>
      <c r="B382" s="295"/>
      <c r="C382" s="295"/>
      <c r="D382" s="295"/>
      <c r="E382" s="295"/>
      <c r="F382" s="295"/>
      <c r="G382" s="295"/>
      <c r="H382" s="295"/>
      <c r="I382" s="295"/>
      <c r="J382" s="295"/>
      <c r="K382" s="295"/>
      <c r="L382" s="295"/>
      <c r="M382" s="295"/>
      <c r="N382" s="295"/>
      <c r="O382" s="297"/>
      <c r="P382" s="295"/>
      <c r="Q382" s="295"/>
      <c r="R382" s="295"/>
      <c r="S382" s="295"/>
      <c r="T382" s="295"/>
      <c r="U382" s="295"/>
      <c r="V382" s="295"/>
      <c r="W382" s="295"/>
      <c r="X382" s="295"/>
      <c r="Y382" s="295"/>
      <c r="Z382" s="295"/>
    </row>
    <row r="383" ht="29.25" customHeight="1">
      <c r="A383" s="295"/>
      <c r="B383" s="295"/>
      <c r="C383" s="295"/>
      <c r="D383" s="295"/>
      <c r="E383" s="295"/>
      <c r="F383" s="295"/>
      <c r="G383" s="295"/>
      <c r="H383" s="295"/>
      <c r="I383" s="295"/>
      <c r="J383" s="295"/>
      <c r="K383" s="295"/>
      <c r="L383" s="295"/>
      <c r="M383" s="295"/>
      <c r="N383" s="295"/>
      <c r="O383" s="297"/>
      <c r="P383" s="295"/>
      <c r="Q383" s="295"/>
      <c r="R383" s="295"/>
      <c r="S383" s="295"/>
      <c r="T383" s="295"/>
      <c r="U383" s="295"/>
      <c r="V383" s="295"/>
      <c r="W383" s="295"/>
      <c r="X383" s="295"/>
      <c r="Y383" s="295"/>
      <c r="Z383" s="295"/>
    </row>
    <row r="384" ht="29.25" customHeight="1">
      <c r="A384" s="295"/>
      <c r="B384" s="295"/>
      <c r="C384" s="295"/>
      <c r="D384" s="295"/>
      <c r="E384" s="295"/>
      <c r="F384" s="295"/>
      <c r="G384" s="295"/>
      <c r="H384" s="295"/>
      <c r="I384" s="295"/>
      <c r="J384" s="295"/>
      <c r="K384" s="295"/>
      <c r="L384" s="295"/>
      <c r="M384" s="295"/>
      <c r="N384" s="295"/>
      <c r="O384" s="297"/>
      <c r="P384" s="295"/>
      <c r="Q384" s="295"/>
      <c r="R384" s="295"/>
      <c r="S384" s="295"/>
      <c r="T384" s="295"/>
      <c r="U384" s="295"/>
      <c r="V384" s="295"/>
      <c r="W384" s="295"/>
      <c r="X384" s="295"/>
      <c r="Y384" s="295"/>
      <c r="Z384" s="295"/>
    </row>
    <row r="385" ht="29.25" customHeight="1">
      <c r="A385" s="295"/>
      <c r="B385" s="295"/>
      <c r="C385" s="295"/>
      <c r="D385" s="295"/>
      <c r="E385" s="295"/>
      <c r="F385" s="295"/>
      <c r="G385" s="295"/>
      <c r="H385" s="295"/>
      <c r="I385" s="295"/>
      <c r="J385" s="295"/>
      <c r="K385" s="295"/>
      <c r="L385" s="295"/>
      <c r="M385" s="295"/>
      <c r="N385" s="295"/>
      <c r="O385" s="297"/>
      <c r="P385" s="295"/>
      <c r="Q385" s="295"/>
      <c r="R385" s="295"/>
      <c r="S385" s="295"/>
      <c r="T385" s="295"/>
      <c r="U385" s="295"/>
      <c r="V385" s="295"/>
      <c r="W385" s="295"/>
      <c r="X385" s="295"/>
      <c r="Y385" s="295"/>
      <c r="Z385" s="295"/>
    </row>
    <row r="386" ht="29.25" customHeight="1">
      <c r="A386" s="295"/>
      <c r="B386" s="295"/>
      <c r="C386" s="295"/>
      <c r="D386" s="295"/>
      <c r="E386" s="295"/>
      <c r="F386" s="295"/>
      <c r="G386" s="295"/>
      <c r="H386" s="295"/>
      <c r="I386" s="295"/>
      <c r="J386" s="295"/>
      <c r="K386" s="295"/>
      <c r="L386" s="295"/>
      <c r="M386" s="295"/>
      <c r="N386" s="295"/>
      <c r="O386" s="297"/>
      <c r="P386" s="295"/>
      <c r="Q386" s="295"/>
      <c r="R386" s="295"/>
      <c r="S386" s="295"/>
      <c r="T386" s="295"/>
      <c r="U386" s="295"/>
      <c r="V386" s="295"/>
      <c r="W386" s="295"/>
      <c r="X386" s="295"/>
      <c r="Y386" s="295"/>
      <c r="Z386" s="295"/>
    </row>
    <row r="387" ht="29.25" customHeight="1">
      <c r="A387" s="295"/>
      <c r="B387" s="295"/>
      <c r="C387" s="295"/>
      <c r="D387" s="295"/>
      <c r="E387" s="295"/>
      <c r="F387" s="295"/>
      <c r="G387" s="295"/>
      <c r="H387" s="295"/>
      <c r="I387" s="295"/>
      <c r="J387" s="295"/>
      <c r="K387" s="295"/>
      <c r="L387" s="295"/>
      <c r="M387" s="295"/>
      <c r="N387" s="295"/>
      <c r="O387" s="297"/>
      <c r="P387" s="295"/>
      <c r="Q387" s="295"/>
      <c r="R387" s="295"/>
      <c r="S387" s="295"/>
      <c r="T387" s="295"/>
      <c r="U387" s="295"/>
      <c r="V387" s="295"/>
      <c r="W387" s="295"/>
      <c r="X387" s="295"/>
      <c r="Y387" s="295"/>
      <c r="Z387" s="295"/>
    </row>
    <row r="388" ht="29.25" customHeight="1">
      <c r="A388" s="295"/>
      <c r="B388" s="295"/>
      <c r="C388" s="295"/>
      <c r="D388" s="295"/>
      <c r="E388" s="295"/>
      <c r="F388" s="295"/>
      <c r="G388" s="295"/>
      <c r="H388" s="295"/>
      <c r="I388" s="295"/>
      <c r="J388" s="295"/>
      <c r="K388" s="295"/>
      <c r="L388" s="295"/>
      <c r="M388" s="295"/>
      <c r="N388" s="295"/>
      <c r="O388" s="297"/>
      <c r="P388" s="295"/>
      <c r="Q388" s="295"/>
      <c r="R388" s="295"/>
      <c r="S388" s="295"/>
      <c r="T388" s="295"/>
      <c r="U388" s="295"/>
      <c r="V388" s="295"/>
      <c r="W388" s="295"/>
      <c r="X388" s="295"/>
      <c r="Y388" s="295"/>
      <c r="Z388" s="295"/>
    </row>
    <row r="389" ht="29.25" customHeight="1">
      <c r="A389" s="295"/>
      <c r="B389" s="295"/>
      <c r="C389" s="295"/>
      <c r="D389" s="295"/>
      <c r="E389" s="295"/>
      <c r="F389" s="295"/>
      <c r="G389" s="295"/>
      <c r="H389" s="295"/>
      <c r="I389" s="295"/>
      <c r="J389" s="295"/>
      <c r="K389" s="295"/>
      <c r="L389" s="295"/>
      <c r="M389" s="295"/>
      <c r="N389" s="295"/>
      <c r="O389" s="297"/>
      <c r="P389" s="295"/>
      <c r="Q389" s="295"/>
      <c r="R389" s="295"/>
      <c r="S389" s="295"/>
      <c r="T389" s="295"/>
      <c r="U389" s="295"/>
      <c r="V389" s="295"/>
      <c r="W389" s="295"/>
      <c r="X389" s="295"/>
      <c r="Y389" s="295"/>
      <c r="Z389" s="295"/>
    </row>
    <row r="390" ht="29.25" customHeight="1">
      <c r="A390" s="295"/>
      <c r="B390" s="295"/>
      <c r="C390" s="295"/>
      <c r="D390" s="295"/>
      <c r="E390" s="295"/>
      <c r="F390" s="295"/>
      <c r="G390" s="295"/>
      <c r="H390" s="295"/>
      <c r="I390" s="295"/>
      <c r="J390" s="295"/>
      <c r="K390" s="295"/>
      <c r="L390" s="295"/>
      <c r="M390" s="295"/>
      <c r="N390" s="295"/>
      <c r="O390" s="297"/>
      <c r="P390" s="295"/>
      <c r="Q390" s="295"/>
      <c r="R390" s="295"/>
      <c r="S390" s="295"/>
      <c r="T390" s="295"/>
      <c r="U390" s="295"/>
      <c r="V390" s="295"/>
      <c r="W390" s="295"/>
      <c r="X390" s="295"/>
      <c r="Y390" s="295"/>
      <c r="Z390" s="295"/>
    </row>
    <row r="391" ht="29.25" customHeight="1">
      <c r="A391" s="295"/>
      <c r="B391" s="295"/>
      <c r="C391" s="295"/>
      <c r="D391" s="295"/>
      <c r="E391" s="295"/>
      <c r="F391" s="295"/>
      <c r="G391" s="295"/>
      <c r="H391" s="295"/>
      <c r="I391" s="295"/>
      <c r="J391" s="295"/>
      <c r="K391" s="295"/>
      <c r="L391" s="295"/>
      <c r="M391" s="295"/>
      <c r="N391" s="295"/>
      <c r="O391" s="297"/>
      <c r="P391" s="295"/>
      <c r="Q391" s="295"/>
      <c r="R391" s="295"/>
      <c r="S391" s="295"/>
      <c r="T391" s="295"/>
      <c r="U391" s="295"/>
      <c r="V391" s="295"/>
      <c r="W391" s="295"/>
      <c r="X391" s="295"/>
      <c r="Y391" s="295"/>
      <c r="Z391" s="295"/>
    </row>
    <row r="392" ht="29.25" customHeight="1">
      <c r="A392" s="295"/>
      <c r="B392" s="295"/>
      <c r="C392" s="295"/>
      <c r="D392" s="295"/>
      <c r="E392" s="295"/>
      <c r="F392" s="295"/>
      <c r="G392" s="295"/>
      <c r="H392" s="295"/>
      <c r="I392" s="295"/>
      <c r="J392" s="295"/>
      <c r="K392" s="295"/>
      <c r="L392" s="295"/>
      <c r="M392" s="295"/>
      <c r="N392" s="295"/>
      <c r="O392" s="297"/>
      <c r="P392" s="295"/>
      <c r="Q392" s="295"/>
      <c r="R392" s="295"/>
      <c r="S392" s="295"/>
      <c r="T392" s="295"/>
      <c r="U392" s="295"/>
      <c r="V392" s="295"/>
      <c r="W392" s="295"/>
      <c r="X392" s="295"/>
      <c r="Y392" s="295"/>
      <c r="Z392" s="295"/>
    </row>
    <row r="393" ht="29.25" customHeight="1">
      <c r="A393" s="295"/>
      <c r="B393" s="295"/>
      <c r="C393" s="295"/>
      <c r="D393" s="295"/>
      <c r="E393" s="295"/>
      <c r="F393" s="295"/>
      <c r="G393" s="295"/>
      <c r="H393" s="295"/>
      <c r="I393" s="295"/>
      <c r="J393" s="295"/>
      <c r="K393" s="295"/>
      <c r="L393" s="295"/>
      <c r="M393" s="295"/>
      <c r="N393" s="295"/>
      <c r="O393" s="297"/>
      <c r="P393" s="295"/>
      <c r="Q393" s="295"/>
      <c r="R393" s="295"/>
      <c r="S393" s="295"/>
      <c r="T393" s="295"/>
      <c r="U393" s="295"/>
      <c r="V393" s="295"/>
      <c r="W393" s="295"/>
      <c r="X393" s="295"/>
      <c r="Y393" s="295"/>
      <c r="Z393" s="295"/>
    </row>
    <row r="394" ht="29.25" customHeight="1">
      <c r="A394" s="295"/>
      <c r="B394" s="295"/>
      <c r="C394" s="295"/>
      <c r="D394" s="295"/>
      <c r="E394" s="295"/>
      <c r="F394" s="295"/>
      <c r="G394" s="295"/>
      <c r="H394" s="295"/>
      <c r="I394" s="295"/>
      <c r="J394" s="295"/>
      <c r="K394" s="295"/>
      <c r="L394" s="295"/>
      <c r="M394" s="295"/>
      <c r="N394" s="295"/>
      <c r="O394" s="297"/>
      <c r="P394" s="295"/>
      <c r="Q394" s="295"/>
      <c r="R394" s="295"/>
      <c r="S394" s="295"/>
      <c r="T394" s="295"/>
      <c r="U394" s="295"/>
      <c r="V394" s="295"/>
      <c r="W394" s="295"/>
      <c r="X394" s="295"/>
      <c r="Y394" s="295"/>
      <c r="Z394" s="295"/>
    </row>
    <row r="395" ht="29.25" customHeight="1">
      <c r="A395" s="295"/>
      <c r="B395" s="295"/>
      <c r="C395" s="295"/>
      <c r="D395" s="295"/>
      <c r="E395" s="295"/>
      <c r="F395" s="295"/>
      <c r="G395" s="295"/>
      <c r="H395" s="295"/>
      <c r="I395" s="295"/>
      <c r="J395" s="295"/>
      <c r="K395" s="295"/>
      <c r="L395" s="295"/>
      <c r="M395" s="295"/>
      <c r="N395" s="295"/>
      <c r="O395" s="297"/>
      <c r="P395" s="295"/>
      <c r="Q395" s="295"/>
      <c r="R395" s="295"/>
      <c r="S395" s="295"/>
      <c r="T395" s="295"/>
      <c r="U395" s="295"/>
      <c r="V395" s="295"/>
      <c r="W395" s="295"/>
      <c r="X395" s="295"/>
      <c r="Y395" s="295"/>
      <c r="Z395" s="295"/>
    </row>
    <row r="396" ht="29.25" customHeight="1">
      <c r="A396" s="295"/>
      <c r="B396" s="295"/>
      <c r="C396" s="295"/>
      <c r="D396" s="295"/>
      <c r="E396" s="295"/>
      <c r="F396" s="295"/>
      <c r="G396" s="295"/>
      <c r="H396" s="295"/>
      <c r="I396" s="295"/>
      <c r="J396" s="295"/>
      <c r="K396" s="295"/>
      <c r="L396" s="295"/>
      <c r="M396" s="295"/>
      <c r="N396" s="295"/>
      <c r="O396" s="297"/>
      <c r="P396" s="295"/>
      <c r="Q396" s="295"/>
      <c r="R396" s="295"/>
      <c r="S396" s="295"/>
      <c r="T396" s="295"/>
      <c r="U396" s="295"/>
      <c r="V396" s="295"/>
      <c r="W396" s="295"/>
      <c r="X396" s="295"/>
      <c r="Y396" s="295"/>
      <c r="Z396" s="295"/>
    </row>
    <row r="397" ht="29.25" customHeight="1">
      <c r="A397" s="295"/>
      <c r="B397" s="295"/>
      <c r="C397" s="295"/>
      <c r="D397" s="295"/>
      <c r="E397" s="295"/>
      <c r="F397" s="295"/>
      <c r="G397" s="295"/>
      <c r="H397" s="295"/>
      <c r="I397" s="295"/>
      <c r="J397" s="295"/>
      <c r="K397" s="295"/>
      <c r="L397" s="295"/>
      <c r="M397" s="295"/>
      <c r="N397" s="295"/>
      <c r="O397" s="297"/>
      <c r="P397" s="295"/>
      <c r="Q397" s="295"/>
      <c r="R397" s="295"/>
      <c r="S397" s="295"/>
      <c r="T397" s="295"/>
      <c r="U397" s="295"/>
      <c r="V397" s="295"/>
      <c r="W397" s="295"/>
      <c r="X397" s="295"/>
      <c r="Y397" s="295"/>
      <c r="Z397" s="295"/>
    </row>
    <row r="398" ht="29.25" customHeight="1">
      <c r="A398" s="295"/>
      <c r="B398" s="295"/>
      <c r="C398" s="295"/>
      <c r="D398" s="295"/>
      <c r="E398" s="295"/>
      <c r="F398" s="295"/>
      <c r="G398" s="295"/>
      <c r="H398" s="295"/>
      <c r="I398" s="295"/>
      <c r="J398" s="295"/>
      <c r="K398" s="295"/>
      <c r="L398" s="295"/>
      <c r="M398" s="295"/>
      <c r="N398" s="295"/>
      <c r="O398" s="297"/>
      <c r="P398" s="295"/>
      <c r="Q398" s="295"/>
      <c r="R398" s="295"/>
      <c r="S398" s="295"/>
      <c r="T398" s="295"/>
      <c r="U398" s="295"/>
      <c r="V398" s="295"/>
      <c r="W398" s="295"/>
      <c r="X398" s="295"/>
      <c r="Y398" s="295"/>
      <c r="Z398" s="295"/>
    </row>
    <row r="399" ht="29.25" customHeight="1">
      <c r="A399" s="295"/>
      <c r="B399" s="295"/>
      <c r="C399" s="295"/>
      <c r="D399" s="295"/>
      <c r="E399" s="295"/>
      <c r="F399" s="295"/>
      <c r="G399" s="295"/>
      <c r="H399" s="295"/>
      <c r="I399" s="295"/>
      <c r="J399" s="295"/>
      <c r="K399" s="295"/>
      <c r="L399" s="295"/>
      <c r="M399" s="295"/>
      <c r="N399" s="295"/>
      <c r="O399" s="297"/>
      <c r="P399" s="295"/>
      <c r="Q399" s="295"/>
      <c r="R399" s="295"/>
      <c r="S399" s="295"/>
      <c r="T399" s="295"/>
      <c r="U399" s="295"/>
      <c r="V399" s="295"/>
      <c r="W399" s="295"/>
      <c r="X399" s="295"/>
      <c r="Y399" s="295"/>
      <c r="Z399" s="295"/>
    </row>
    <row r="400" ht="29.25" customHeight="1">
      <c r="A400" s="295"/>
      <c r="B400" s="295"/>
      <c r="C400" s="295"/>
      <c r="D400" s="295"/>
      <c r="E400" s="295"/>
      <c r="F400" s="295"/>
      <c r="G400" s="295"/>
      <c r="H400" s="295"/>
      <c r="I400" s="295"/>
      <c r="J400" s="295"/>
      <c r="K400" s="295"/>
      <c r="L400" s="295"/>
      <c r="M400" s="295"/>
      <c r="N400" s="295"/>
      <c r="O400" s="297"/>
      <c r="P400" s="295"/>
      <c r="Q400" s="295"/>
      <c r="R400" s="295"/>
      <c r="S400" s="295"/>
      <c r="T400" s="295"/>
      <c r="U400" s="295"/>
      <c r="V400" s="295"/>
      <c r="W400" s="295"/>
      <c r="X400" s="295"/>
      <c r="Y400" s="295"/>
      <c r="Z400" s="295"/>
    </row>
    <row r="401" ht="29.25" customHeight="1">
      <c r="A401" s="295"/>
      <c r="B401" s="295"/>
      <c r="C401" s="295"/>
      <c r="D401" s="295"/>
      <c r="E401" s="295"/>
      <c r="F401" s="295"/>
      <c r="G401" s="295"/>
      <c r="H401" s="295"/>
      <c r="I401" s="295"/>
      <c r="J401" s="295"/>
      <c r="K401" s="295"/>
      <c r="L401" s="295"/>
      <c r="M401" s="295"/>
      <c r="N401" s="295"/>
      <c r="O401" s="297"/>
      <c r="P401" s="295"/>
      <c r="Q401" s="295"/>
      <c r="R401" s="295"/>
      <c r="S401" s="295"/>
      <c r="T401" s="295"/>
      <c r="U401" s="295"/>
      <c r="V401" s="295"/>
      <c r="W401" s="295"/>
      <c r="X401" s="295"/>
      <c r="Y401" s="295"/>
      <c r="Z401" s="295"/>
    </row>
    <row r="402" ht="29.25" customHeight="1">
      <c r="A402" s="295"/>
      <c r="B402" s="295"/>
      <c r="C402" s="295"/>
      <c r="D402" s="295"/>
      <c r="E402" s="295"/>
      <c r="F402" s="295"/>
      <c r="G402" s="295"/>
      <c r="H402" s="295"/>
      <c r="I402" s="295"/>
      <c r="J402" s="295"/>
      <c r="K402" s="295"/>
      <c r="L402" s="295"/>
      <c r="M402" s="295"/>
      <c r="N402" s="295"/>
      <c r="O402" s="297"/>
      <c r="P402" s="295"/>
      <c r="Q402" s="295"/>
      <c r="R402" s="295"/>
      <c r="S402" s="295"/>
      <c r="T402" s="295"/>
      <c r="U402" s="295"/>
      <c r="V402" s="295"/>
      <c r="W402" s="295"/>
      <c r="X402" s="295"/>
      <c r="Y402" s="295"/>
      <c r="Z402" s="295"/>
    </row>
    <row r="403" ht="29.25" customHeight="1">
      <c r="A403" s="295"/>
      <c r="B403" s="295"/>
      <c r="C403" s="295"/>
      <c r="D403" s="295"/>
      <c r="E403" s="295"/>
      <c r="F403" s="295"/>
      <c r="G403" s="295"/>
      <c r="H403" s="295"/>
      <c r="I403" s="295"/>
      <c r="J403" s="295"/>
      <c r="K403" s="295"/>
      <c r="L403" s="295"/>
      <c r="M403" s="295"/>
      <c r="N403" s="295"/>
      <c r="O403" s="297"/>
      <c r="P403" s="295"/>
      <c r="Q403" s="295"/>
      <c r="R403" s="295"/>
      <c r="S403" s="295"/>
      <c r="T403" s="295"/>
      <c r="U403" s="295"/>
      <c r="V403" s="295"/>
      <c r="W403" s="295"/>
      <c r="X403" s="295"/>
      <c r="Y403" s="295"/>
      <c r="Z403" s="295"/>
    </row>
    <row r="404" ht="29.25" customHeight="1">
      <c r="A404" s="295"/>
      <c r="B404" s="295"/>
      <c r="C404" s="295"/>
      <c r="D404" s="295"/>
      <c r="E404" s="295"/>
      <c r="F404" s="295"/>
      <c r="G404" s="295"/>
      <c r="H404" s="295"/>
      <c r="I404" s="295"/>
      <c r="J404" s="295"/>
      <c r="K404" s="295"/>
      <c r="L404" s="295"/>
      <c r="M404" s="295"/>
      <c r="N404" s="295"/>
      <c r="O404" s="297"/>
      <c r="P404" s="295"/>
      <c r="Q404" s="295"/>
      <c r="R404" s="295"/>
      <c r="S404" s="295"/>
      <c r="T404" s="295"/>
      <c r="U404" s="295"/>
      <c r="V404" s="295"/>
      <c r="W404" s="295"/>
      <c r="X404" s="295"/>
      <c r="Y404" s="295"/>
      <c r="Z404" s="295"/>
    </row>
    <row r="405" ht="29.25" customHeight="1">
      <c r="A405" s="295"/>
      <c r="B405" s="295"/>
      <c r="C405" s="295"/>
      <c r="D405" s="295"/>
      <c r="E405" s="295"/>
      <c r="F405" s="295"/>
      <c r="G405" s="295"/>
      <c r="H405" s="295"/>
      <c r="I405" s="295"/>
      <c r="J405" s="295"/>
      <c r="K405" s="295"/>
      <c r="L405" s="295"/>
      <c r="M405" s="295"/>
      <c r="N405" s="295"/>
      <c r="O405" s="297"/>
      <c r="P405" s="295"/>
      <c r="Q405" s="295"/>
      <c r="R405" s="295"/>
      <c r="S405" s="295"/>
      <c r="T405" s="295"/>
      <c r="U405" s="295"/>
      <c r="V405" s="295"/>
      <c r="W405" s="295"/>
      <c r="X405" s="295"/>
      <c r="Y405" s="295"/>
      <c r="Z405" s="295"/>
    </row>
    <row r="406" ht="29.25" customHeight="1">
      <c r="A406" s="295"/>
      <c r="B406" s="295"/>
      <c r="C406" s="295"/>
      <c r="D406" s="295"/>
      <c r="E406" s="295"/>
      <c r="F406" s="295"/>
      <c r="G406" s="295"/>
      <c r="H406" s="295"/>
      <c r="I406" s="295"/>
      <c r="J406" s="295"/>
      <c r="K406" s="295"/>
      <c r="L406" s="295"/>
      <c r="M406" s="295"/>
      <c r="N406" s="295"/>
      <c r="O406" s="297"/>
      <c r="P406" s="295"/>
      <c r="Q406" s="295"/>
      <c r="R406" s="295"/>
      <c r="S406" s="295"/>
      <c r="T406" s="295"/>
      <c r="U406" s="295"/>
      <c r="V406" s="295"/>
      <c r="W406" s="295"/>
      <c r="X406" s="295"/>
      <c r="Y406" s="295"/>
      <c r="Z406" s="295"/>
    </row>
    <row r="407" ht="29.25" customHeight="1">
      <c r="A407" s="295"/>
      <c r="B407" s="295"/>
      <c r="C407" s="295"/>
      <c r="D407" s="295"/>
      <c r="E407" s="295"/>
      <c r="F407" s="295"/>
      <c r="G407" s="295"/>
      <c r="H407" s="295"/>
      <c r="I407" s="295"/>
      <c r="J407" s="295"/>
      <c r="K407" s="295"/>
      <c r="L407" s="295"/>
      <c r="M407" s="295"/>
      <c r="N407" s="295"/>
      <c r="O407" s="297"/>
      <c r="P407" s="295"/>
      <c r="Q407" s="295"/>
      <c r="R407" s="295"/>
      <c r="S407" s="295"/>
      <c r="T407" s="295"/>
      <c r="U407" s="295"/>
      <c r="V407" s="295"/>
      <c r="W407" s="295"/>
      <c r="X407" s="295"/>
      <c r="Y407" s="295"/>
      <c r="Z407" s="295"/>
    </row>
    <row r="408" ht="29.25" customHeight="1">
      <c r="A408" s="295"/>
      <c r="B408" s="295"/>
      <c r="C408" s="295"/>
      <c r="D408" s="295"/>
      <c r="E408" s="295"/>
      <c r="F408" s="295"/>
      <c r="G408" s="295"/>
      <c r="H408" s="295"/>
      <c r="I408" s="295"/>
      <c r="J408" s="295"/>
      <c r="K408" s="295"/>
      <c r="L408" s="295"/>
      <c r="M408" s="295"/>
      <c r="N408" s="295"/>
      <c r="O408" s="297"/>
      <c r="P408" s="295"/>
      <c r="Q408" s="295"/>
      <c r="R408" s="295"/>
      <c r="S408" s="295"/>
      <c r="T408" s="295"/>
      <c r="U408" s="295"/>
      <c r="V408" s="295"/>
      <c r="W408" s="295"/>
      <c r="X408" s="295"/>
      <c r="Y408" s="295"/>
      <c r="Z408" s="295"/>
    </row>
    <row r="409" ht="29.25" customHeight="1">
      <c r="A409" s="295"/>
      <c r="B409" s="295"/>
      <c r="C409" s="295"/>
      <c r="D409" s="295"/>
      <c r="E409" s="295"/>
      <c r="F409" s="295"/>
      <c r="G409" s="295"/>
      <c r="H409" s="295"/>
      <c r="I409" s="295"/>
      <c r="J409" s="295"/>
      <c r="K409" s="295"/>
      <c r="L409" s="295"/>
      <c r="M409" s="295"/>
      <c r="N409" s="295"/>
      <c r="O409" s="297"/>
      <c r="P409" s="295"/>
      <c r="Q409" s="295"/>
      <c r="R409" s="295"/>
      <c r="S409" s="295"/>
      <c r="T409" s="295"/>
      <c r="U409" s="295"/>
      <c r="V409" s="295"/>
      <c r="W409" s="295"/>
      <c r="X409" s="295"/>
      <c r="Y409" s="295"/>
      <c r="Z409" s="295"/>
    </row>
    <row r="410" ht="29.25" customHeight="1">
      <c r="A410" s="295"/>
      <c r="B410" s="295"/>
      <c r="C410" s="295"/>
      <c r="D410" s="295"/>
      <c r="E410" s="295"/>
      <c r="F410" s="295"/>
      <c r="G410" s="295"/>
      <c r="H410" s="295"/>
      <c r="I410" s="295"/>
      <c r="J410" s="295"/>
      <c r="K410" s="295"/>
      <c r="L410" s="295"/>
      <c r="M410" s="295"/>
      <c r="N410" s="295"/>
      <c r="O410" s="297"/>
      <c r="P410" s="295"/>
      <c r="Q410" s="295"/>
      <c r="R410" s="295"/>
      <c r="S410" s="295"/>
      <c r="T410" s="295"/>
      <c r="U410" s="295"/>
      <c r="V410" s="295"/>
      <c r="W410" s="295"/>
      <c r="X410" s="295"/>
      <c r="Y410" s="295"/>
      <c r="Z410" s="295"/>
    </row>
    <row r="411" ht="29.25" customHeight="1">
      <c r="A411" s="295"/>
      <c r="B411" s="295"/>
      <c r="C411" s="295"/>
      <c r="D411" s="295"/>
      <c r="E411" s="295"/>
      <c r="F411" s="295"/>
      <c r="G411" s="295"/>
      <c r="H411" s="295"/>
      <c r="I411" s="295"/>
      <c r="J411" s="295"/>
      <c r="K411" s="295"/>
      <c r="L411" s="295"/>
      <c r="M411" s="295"/>
      <c r="N411" s="295"/>
      <c r="O411" s="297"/>
      <c r="P411" s="295"/>
      <c r="Q411" s="295"/>
      <c r="R411" s="295"/>
      <c r="S411" s="295"/>
      <c r="T411" s="295"/>
      <c r="U411" s="295"/>
      <c r="V411" s="295"/>
      <c r="W411" s="295"/>
      <c r="X411" s="295"/>
      <c r="Y411" s="295"/>
      <c r="Z411" s="295"/>
    </row>
    <row r="412" ht="29.25" customHeight="1">
      <c r="A412" s="295"/>
      <c r="B412" s="295"/>
      <c r="C412" s="295"/>
      <c r="D412" s="295"/>
      <c r="E412" s="295"/>
      <c r="F412" s="295"/>
      <c r="G412" s="295"/>
      <c r="H412" s="295"/>
      <c r="I412" s="295"/>
      <c r="J412" s="295"/>
      <c r="K412" s="295"/>
      <c r="L412" s="295"/>
      <c r="M412" s="295"/>
      <c r="N412" s="295"/>
      <c r="O412" s="297"/>
      <c r="P412" s="295"/>
      <c r="Q412" s="295"/>
      <c r="R412" s="295"/>
      <c r="S412" s="295"/>
      <c r="T412" s="295"/>
      <c r="U412" s="295"/>
      <c r="V412" s="295"/>
      <c r="W412" s="295"/>
      <c r="X412" s="295"/>
      <c r="Y412" s="295"/>
      <c r="Z412" s="295"/>
    </row>
    <row r="413" ht="29.25" customHeight="1">
      <c r="A413" s="295"/>
      <c r="B413" s="295"/>
      <c r="C413" s="295"/>
      <c r="D413" s="295"/>
      <c r="E413" s="295"/>
      <c r="F413" s="295"/>
      <c r="G413" s="295"/>
      <c r="H413" s="295"/>
      <c r="I413" s="295"/>
      <c r="J413" s="295"/>
      <c r="K413" s="295"/>
      <c r="L413" s="295"/>
      <c r="M413" s="295"/>
      <c r="N413" s="295"/>
      <c r="O413" s="297"/>
      <c r="P413" s="295"/>
      <c r="Q413" s="295"/>
      <c r="R413" s="295"/>
      <c r="S413" s="295"/>
      <c r="T413" s="295"/>
      <c r="U413" s="295"/>
      <c r="V413" s="295"/>
      <c r="W413" s="295"/>
      <c r="X413" s="295"/>
      <c r="Y413" s="295"/>
      <c r="Z413" s="295"/>
    </row>
    <row r="414" ht="29.25" customHeight="1">
      <c r="A414" s="295"/>
      <c r="B414" s="295"/>
      <c r="C414" s="295"/>
      <c r="D414" s="295"/>
      <c r="E414" s="295"/>
      <c r="F414" s="295"/>
      <c r="G414" s="295"/>
      <c r="H414" s="295"/>
      <c r="I414" s="295"/>
      <c r="J414" s="295"/>
      <c r="K414" s="295"/>
      <c r="L414" s="295"/>
      <c r="M414" s="295"/>
      <c r="N414" s="295"/>
      <c r="O414" s="297"/>
      <c r="P414" s="295"/>
      <c r="Q414" s="295"/>
      <c r="R414" s="295"/>
      <c r="S414" s="295"/>
      <c r="T414" s="295"/>
      <c r="U414" s="295"/>
      <c r="V414" s="295"/>
      <c r="W414" s="295"/>
      <c r="X414" s="295"/>
      <c r="Y414" s="295"/>
      <c r="Z414" s="295"/>
    </row>
    <row r="415" ht="29.25" customHeight="1">
      <c r="A415" s="295"/>
      <c r="B415" s="295"/>
      <c r="C415" s="295"/>
      <c r="D415" s="295"/>
      <c r="E415" s="295"/>
      <c r="F415" s="295"/>
      <c r="G415" s="295"/>
      <c r="H415" s="295"/>
      <c r="I415" s="295"/>
      <c r="J415" s="295"/>
      <c r="K415" s="295"/>
      <c r="L415" s="295"/>
      <c r="M415" s="295"/>
      <c r="N415" s="295"/>
      <c r="O415" s="297"/>
      <c r="P415" s="295"/>
      <c r="Q415" s="295"/>
      <c r="R415" s="295"/>
      <c r="S415" s="295"/>
      <c r="T415" s="295"/>
      <c r="U415" s="295"/>
      <c r="V415" s="295"/>
      <c r="W415" s="295"/>
      <c r="X415" s="295"/>
      <c r="Y415" s="295"/>
      <c r="Z415" s="295"/>
    </row>
    <row r="416" ht="29.25" customHeight="1">
      <c r="A416" s="295"/>
      <c r="B416" s="295"/>
      <c r="C416" s="295"/>
      <c r="D416" s="295"/>
      <c r="E416" s="295"/>
      <c r="F416" s="295"/>
      <c r="G416" s="295"/>
      <c r="H416" s="295"/>
      <c r="I416" s="295"/>
      <c r="J416" s="295"/>
      <c r="K416" s="295"/>
      <c r="L416" s="295"/>
      <c r="M416" s="295"/>
      <c r="N416" s="295"/>
      <c r="O416" s="297"/>
      <c r="P416" s="295"/>
      <c r="Q416" s="295"/>
      <c r="R416" s="295"/>
      <c r="S416" s="295"/>
      <c r="T416" s="295"/>
      <c r="U416" s="295"/>
      <c r="V416" s="295"/>
      <c r="W416" s="295"/>
      <c r="X416" s="295"/>
      <c r="Y416" s="295"/>
      <c r="Z416" s="295"/>
    </row>
    <row r="417" ht="29.25" customHeight="1">
      <c r="A417" s="295"/>
      <c r="B417" s="295"/>
      <c r="C417" s="295"/>
      <c r="D417" s="295"/>
      <c r="E417" s="295"/>
      <c r="F417" s="295"/>
      <c r="G417" s="295"/>
      <c r="H417" s="295"/>
      <c r="I417" s="295"/>
      <c r="J417" s="295"/>
      <c r="K417" s="295"/>
      <c r="L417" s="295"/>
      <c r="M417" s="295"/>
      <c r="N417" s="295"/>
      <c r="O417" s="297"/>
      <c r="P417" s="295"/>
      <c r="Q417" s="295"/>
      <c r="R417" s="295"/>
      <c r="S417" s="295"/>
      <c r="T417" s="295"/>
      <c r="U417" s="295"/>
      <c r="V417" s="295"/>
      <c r="W417" s="295"/>
      <c r="X417" s="295"/>
      <c r="Y417" s="295"/>
      <c r="Z417" s="295"/>
    </row>
    <row r="418" ht="29.25" customHeight="1">
      <c r="A418" s="295"/>
      <c r="B418" s="295"/>
      <c r="C418" s="295"/>
      <c r="D418" s="295"/>
      <c r="E418" s="295"/>
      <c r="F418" s="295"/>
      <c r="G418" s="295"/>
      <c r="H418" s="295"/>
      <c r="I418" s="295"/>
      <c r="J418" s="295"/>
      <c r="K418" s="295"/>
      <c r="L418" s="295"/>
      <c r="M418" s="295"/>
      <c r="N418" s="295"/>
      <c r="O418" s="297"/>
      <c r="P418" s="295"/>
      <c r="Q418" s="295"/>
      <c r="R418" s="295"/>
      <c r="S418" s="295"/>
      <c r="T418" s="295"/>
      <c r="U418" s="295"/>
      <c r="V418" s="295"/>
      <c r="W418" s="295"/>
      <c r="X418" s="295"/>
      <c r="Y418" s="295"/>
      <c r="Z418" s="295"/>
    </row>
    <row r="419" ht="29.25" customHeight="1">
      <c r="A419" s="295"/>
      <c r="B419" s="295"/>
      <c r="C419" s="295"/>
      <c r="D419" s="295"/>
      <c r="E419" s="295"/>
      <c r="F419" s="295"/>
      <c r="G419" s="295"/>
      <c r="H419" s="295"/>
      <c r="I419" s="295"/>
      <c r="J419" s="295"/>
      <c r="K419" s="295"/>
      <c r="L419" s="295"/>
      <c r="M419" s="295"/>
      <c r="N419" s="295"/>
      <c r="O419" s="297"/>
      <c r="P419" s="295"/>
      <c r="Q419" s="295"/>
      <c r="R419" s="295"/>
      <c r="S419" s="295"/>
      <c r="T419" s="295"/>
      <c r="U419" s="295"/>
      <c r="V419" s="295"/>
      <c r="W419" s="295"/>
      <c r="X419" s="295"/>
      <c r="Y419" s="295"/>
      <c r="Z419" s="295"/>
    </row>
    <row r="420" ht="29.25" customHeight="1">
      <c r="A420" s="295"/>
      <c r="B420" s="295"/>
      <c r="C420" s="295"/>
      <c r="D420" s="295"/>
      <c r="E420" s="295"/>
      <c r="F420" s="295"/>
      <c r="G420" s="295"/>
      <c r="H420" s="295"/>
      <c r="I420" s="295"/>
      <c r="J420" s="295"/>
      <c r="K420" s="295"/>
      <c r="L420" s="295"/>
      <c r="M420" s="295"/>
      <c r="N420" s="295"/>
      <c r="O420" s="297"/>
      <c r="P420" s="295"/>
      <c r="Q420" s="295"/>
      <c r="R420" s="295"/>
      <c r="S420" s="295"/>
      <c r="T420" s="295"/>
      <c r="U420" s="295"/>
      <c r="V420" s="295"/>
      <c r="W420" s="295"/>
      <c r="X420" s="295"/>
      <c r="Y420" s="295"/>
      <c r="Z420" s="295"/>
    </row>
    <row r="421" ht="29.25" customHeight="1">
      <c r="A421" s="295"/>
      <c r="B421" s="295"/>
      <c r="C421" s="295"/>
      <c r="D421" s="295"/>
      <c r="E421" s="295"/>
      <c r="F421" s="295"/>
      <c r="G421" s="295"/>
      <c r="H421" s="295"/>
      <c r="I421" s="295"/>
      <c r="J421" s="295"/>
      <c r="K421" s="295"/>
      <c r="L421" s="295"/>
      <c r="M421" s="295"/>
      <c r="N421" s="295"/>
      <c r="O421" s="297"/>
      <c r="P421" s="295"/>
      <c r="Q421" s="295"/>
      <c r="R421" s="295"/>
      <c r="S421" s="295"/>
      <c r="T421" s="295"/>
      <c r="U421" s="295"/>
      <c r="V421" s="295"/>
      <c r="W421" s="295"/>
      <c r="X421" s="295"/>
      <c r="Y421" s="295"/>
      <c r="Z421" s="295"/>
    </row>
    <row r="422" ht="29.25" customHeight="1">
      <c r="A422" s="295"/>
      <c r="B422" s="295"/>
      <c r="C422" s="295"/>
      <c r="D422" s="295"/>
      <c r="E422" s="295"/>
      <c r="F422" s="295"/>
      <c r="G422" s="295"/>
      <c r="H422" s="295"/>
      <c r="I422" s="295"/>
      <c r="J422" s="295"/>
      <c r="K422" s="295"/>
      <c r="L422" s="295"/>
      <c r="M422" s="295"/>
      <c r="N422" s="295"/>
      <c r="O422" s="297"/>
      <c r="P422" s="295"/>
      <c r="Q422" s="295"/>
      <c r="R422" s="295"/>
      <c r="S422" s="295"/>
      <c r="T422" s="295"/>
      <c r="U422" s="295"/>
      <c r="V422" s="295"/>
      <c r="W422" s="295"/>
      <c r="X422" s="295"/>
      <c r="Y422" s="295"/>
      <c r="Z422" s="295"/>
    </row>
    <row r="423" ht="29.25" customHeight="1">
      <c r="A423" s="295"/>
      <c r="B423" s="295"/>
      <c r="C423" s="295"/>
      <c r="D423" s="295"/>
      <c r="E423" s="295"/>
      <c r="F423" s="295"/>
      <c r="G423" s="295"/>
      <c r="H423" s="295"/>
      <c r="I423" s="295"/>
      <c r="J423" s="295"/>
      <c r="K423" s="295"/>
      <c r="L423" s="295"/>
      <c r="M423" s="295"/>
      <c r="N423" s="295"/>
      <c r="O423" s="297"/>
      <c r="P423" s="295"/>
      <c r="Q423" s="295"/>
      <c r="R423" s="295"/>
      <c r="S423" s="295"/>
      <c r="T423" s="295"/>
      <c r="U423" s="295"/>
      <c r="V423" s="295"/>
      <c r="W423" s="295"/>
      <c r="X423" s="295"/>
      <c r="Y423" s="295"/>
      <c r="Z423" s="295"/>
    </row>
    <row r="424" ht="29.25" customHeight="1">
      <c r="A424" s="295"/>
      <c r="B424" s="295"/>
      <c r="C424" s="295"/>
      <c r="D424" s="295"/>
      <c r="E424" s="295"/>
      <c r="F424" s="295"/>
      <c r="G424" s="295"/>
      <c r="H424" s="295"/>
      <c r="I424" s="295"/>
      <c r="J424" s="295"/>
      <c r="K424" s="295"/>
      <c r="L424" s="295"/>
      <c r="M424" s="295"/>
      <c r="N424" s="295"/>
      <c r="O424" s="297"/>
      <c r="P424" s="295"/>
      <c r="Q424" s="295"/>
      <c r="R424" s="295"/>
      <c r="S424" s="295"/>
      <c r="T424" s="295"/>
      <c r="U424" s="295"/>
      <c r="V424" s="295"/>
      <c r="W424" s="295"/>
      <c r="X424" s="295"/>
      <c r="Y424" s="295"/>
      <c r="Z424" s="295"/>
    </row>
    <row r="425" ht="29.25" customHeight="1">
      <c r="A425" s="295"/>
      <c r="B425" s="295"/>
      <c r="C425" s="295"/>
      <c r="D425" s="295"/>
      <c r="E425" s="295"/>
      <c r="F425" s="295"/>
      <c r="G425" s="295"/>
      <c r="H425" s="295"/>
      <c r="I425" s="295"/>
      <c r="J425" s="295"/>
      <c r="K425" s="295"/>
      <c r="L425" s="295"/>
      <c r="M425" s="295"/>
      <c r="N425" s="295"/>
      <c r="O425" s="297"/>
      <c r="P425" s="295"/>
      <c r="Q425" s="295"/>
      <c r="R425" s="295"/>
      <c r="S425" s="295"/>
      <c r="T425" s="295"/>
      <c r="U425" s="295"/>
      <c r="V425" s="295"/>
      <c r="W425" s="295"/>
      <c r="X425" s="295"/>
      <c r="Y425" s="295"/>
      <c r="Z425" s="295"/>
    </row>
    <row r="426" ht="29.25" customHeight="1">
      <c r="A426" s="295"/>
      <c r="B426" s="295"/>
      <c r="C426" s="295"/>
      <c r="D426" s="295"/>
      <c r="E426" s="295"/>
      <c r="F426" s="295"/>
      <c r="G426" s="295"/>
      <c r="H426" s="295"/>
      <c r="I426" s="295"/>
      <c r="J426" s="295"/>
      <c r="K426" s="295"/>
      <c r="L426" s="295"/>
      <c r="M426" s="295"/>
      <c r="N426" s="295"/>
      <c r="O426" s="297"/>
      <c r="P426" s="295"/>
      <c r="Q426" s="295"/>
      <c r="R426" s="295"/>
      <c r="S426" s="295"/>
      <c r="T426" s="295"/>
      <c r="U426" s="295"/>
      <c r="V426" s="295"/>
      <c r="W426" s="295"/>
      <c r="X426" s="295"/>
      <c r="Y426" s="295"/>
      <c r="Z426" s="295"/>
    </row>
    <row r="427" ht="29.25" customHeight="1">
      <c r="A427" s="295"/>
      <c r="B427" s="295"/>
      <c r="C427" s="295"/>
      <c r="D427" s="295"/>
      <c r="E427" s="295"/>
      <c r="F427" s="295"/>
      <c r="G427" s="295"/>
      <c r="H427" s="295"/>
      <c r="I427" s="295"/>
      <c r="J427" s="295"/>
      <c r="K427" s="295"/>
      <c r="L427" s="295"/>
      <c r="M427" s="295"/>
      <c r="N427" s="295"/>
      <c r="O427" s="297"/>
      <c r="P427" s="295"/>
      <c r="Q427" s="295"/>
      <c r="R427" s="295"/>
      <c r="S427" s="295"/>
      <c r="T427" s="295"/>
      <c r="U427" s="295"/>
      <c r="V427" s="295"/>
      <c r="W427" s="295"/>
      <c r="X427" s="295"/>
      <c r="Y427" s="295"/>
      <c r="Z427" s="295"/>
    </row>
    <row r="428" ht="29.25" customHeight="1">
      <c r="A428" s="295"/>
      <c r="B428" s="295"/>
      <c r="C428" s="295"/>
      <c r="D428" s="295"/>
      <c r="E428" s="295"/>
      <c r="F428" s="295"/>
      <c r="G428" s="295"/>
      <c r="H428" s="295"/>
      <c r="I428" s="295"/>
      <c r="J428" s="295"/>
      <c r="K428" s="295"/>
      <c r="L428" s="295"/>
      <c r="M428" s="295"/>
      <c r="N428" s="295"/>
      <c r="O428" s="297"/>
      <c r="P428" s="295"/>
      <c r="Q428" s="295"/>
      <c r="R428" s="295"/>
      <c r="S428" s="295"/>
      <c r="T428" s="295"/>
      <c r="U428" s="295"/>
      <c r="V428" s="295"/>
      <c r="W428" s="295"/>
      <c r="X428" s="295"/>
      <c r="Y428" s="295"/>
      <c r="Z428" s="295"/>
    </row>
    <row r="429" ht="29.25" customHeight="1">
      <c r="A429" s="295"/>
      <c r="B429" s="295"/>
      <c r="C429" s="295"/>
      <c r="D429" s="295"/>
      <c r="E429" s="295"/>
      <c r="F429" s="295"/>
      <c r="G429" s="295"/>
      <c r="H429" s="295"/>
      <c r="I429" s="295"/>
      <c r="J429" s="295"/>
      <c r="K429" s="295"/>
      <c r="L429" s="295"/>
      <c r="M429" s="295"/>
      <c r="N429" s="295"/>
      <c r="O429" s="297"/>
      <c r="P429" s="295"/>
      <c r="Q429" s="295"/>
      <c r="R429" s="295"/>
      <c r="S429" s="295"/>
      <c r="T429" s="295"/>
      <c r="U429" s="295"/>
      <c r="V429" s="295"/>
      <c r="W429" s="295"/>
      <c r="X429" s="295"/>
      <c r="Y429" s="295"/>
      <c r="Z429" s="295"/>
    </row>
    <row r="430" ht="29.25" customHeight="1">
      <c r="A430" s="295"/>
      <c r="B430" s="295"/>
      <c r="C430" s="295"/>
      <c r="D430" s="295"/>
      <c r="E430" s="295"/>
      <c r="F430" s="295"/>
      <c r="G430" s="295"/>
      <c r="H430" s="295"/>
      <c r="I430" s="295"/>
      <c r="J430" s="295"/>
      <c r="K430" s="295"/>
      <c r="L430" s="295"/>
      <c r="M430" s="295"/>
      <c r="N430" s="295"/>
      <c r="O430" s="297"/>
      <c r="P430" s="295"/>
      <c r="Q430" s="295"/>
      <c r="R430" s="295"/>
      <c r="S430" s="295"/>
      <c r="T430" s="295"/>
      <c r="U430" s="295"/>
      <c r="V430" s="295"/>
      <c r="W430" s="295"/>
      <c r="X430" s="295"/>
      <c r="Y430" s="295"/>
      <c r="Z430" s="295"/>
    </row>
    <row r="431" ht="29.25" customHeight="1">
      <c r="A431" s="295"/>
      <c r="B431" s="295"/>
      <c r="C431" s="295"/>
      <c r="D431" s="295"/>
      <c r="E431" s="295"/>
      <c r="F431" s="295"/>
      <c r="G431" s="295"/>
      <c r="H431" s="295"/>
      <c r="I431" s="295"/>
      <c r="J431" s="295"/>
      <c r="K431" s="295"/>
      <c r="L431" s="295"/>
      <c r="M431" s="295"/>
      <c r="N431" s="295"/>
      <c r="O431" s="297"/>
      <c r="P431" s="295"/>
      <c r="Q431" s="295"/>
      <c r="R431" s="295"/>
      <c r="S431" s="295"/>
      <c r="T431" s="295"/>
      <c r="U431" s="295"/>
      <c r="V431" s="295"/>
      <c r="W431" s="295"/>
      <c r="X431" s="295"/>
      <c r="Y431" s="295"/>
      <c r="Z431" s="295"/>
    </row>
    <row r="432" ht="29.25" customHeight="1">
      <c r="A432" s="295"/>
      <c r="B432" s="295"/>
      <c r="C432" s="295"/>
      <c r="D432" s="295"/>
      <c r="E432" s="295"/>
      <c r="F432" s="295"/>
      <c r="G432" s="295"/>
      <c r="H432" s="295"/>
      <c r="I432" s="295"/>
      <c r="J432" s="295"/>
      <c r="K432" s="295"/>
      <c r="L432" s="295"/>
      <c r="M432" s="295"/>
      <c r="N432" s="295"/>
      <c r="O432" s="297"/>
      <c r="P432" s="295"/>
      <c r="Q432" s="295"/>
      <c r="R432" s="295"/>
      <c r="S432" s="295"/>
      <c r="T432" s="295"/>
      <c r="U432" s="295"/>
      <c r="V432" s="295"/>
      <c r="W432" s="295"/>
      <c r="X432" s="295"/>
      <c r="Y432" s="295"/>
      <c r="Z432" s="295"/>
    </row>
    <row r="433" ht="29.25" customHeight="1">
      <c r="A433" s="295"/>
      <c r="B433" s="295"/>
      <c r="C433" s="295"/>
      <c r="D433" s="295"/>
      <c r="E433" s="295"/>
      <c r="F433" s="295"/>
      <c r="G433" s="295"/>
      <c r="H433" s="295"/>
      <c r="I433" s="295"/>
      <c r="J433" s="295"/>
      <c r="K433" s="295"/>
      <c r="L433" s="295"/>
      <c r="M433" s="295"/>
      <c r="N433" s="295"/>
      <c r="O433" s="297"/>
      <c r="P433" s="295"/>
      <c r="Q433" s="295"/>
      <c r="R433" s="295"/>
      <c r="S433" s="295"/>
      <c r="T433" s="295"/>
      <c r="U433" s="295"/>
      <c r="V433" s="295"/>
      <c r="W433" s="295"/>
      <c r="X433" s="295"/>
      <c r="Y433" s="295"/>
      <c r="Z433" s="295"/>
    </row>
    <row r="434" ht="29.25" customHeight="1">
      <c r="A434" s="295"/>
      <c r="B434" s="295"/>
      <c r="C434" s="295"/>
      <c r="D434" s="295"/>
      <c r="E434" s="295"/>
      <c r="F434" s="295"/>
      <c r="G434" s="295"/>
      <c r="H434" s="295"/>
      <c r="I434" s="295"/>
      <c r="J434" s="295"/>
      <c r="K434" s="295"/>
      <c r="L434" s="295"/>
      <c r="M434" s="295"/>
      <c r="N434" s="295"/>
      <c r="O434" s="297"/>
      <c r="P434" s="295"/>
      <c r="Q434" s="295"/>
      <c r="R434" s="295"/>
      <c r="S434" s="295"/>
      <c r="T434" s="295"/>
      <c r="U434" s="295"/>
      <c r="V434" s="295"/>
      <c r="W434" s="295"/>
      <c r="X434" s="295"/>
      <c r="Y434" s="295"/>
      <c r="Z434" s="295"/>
    </row>
    <row r="435" ht="29.25" customHeight="1">
      <c r="A435" s="295"/>
      <c r="B435" s="295"/>
      <c r="C435" s="295"/>
      <c r="D435" s="295"/>
      <c r="E435" s="295"/>
      <c r="F435" s="295"/>
      <c r="G435" s="295"/>
      <c r="H435" s="295"/>
      <c r="I435" s="295"/>
      <c r="J435" s="295"/>
      <c r="K435" s="295"/>
      <c r="L435" s="295"/>
      <c r="M435" s="295"/>
      <c r="N435" s="295"/>
      <c r="O435" s="297"/>
      <c r="P435" s="295"/>
      <c r="Q435" s="295"/>
      <c r="R435" s="295"/>
      <c r="S435" s="295"/>
      <c r="T435" s="295"/>
      <c r="U435" s="295"/>
      <c r="V435" s="295"/>
      <c r="W435" s="295"/>
      <c r="X435" s="295"/>
      <c r="Y435" s="295"/>
      <c r="Z435" s="295"/>
    </row>
    <row r="436" ht="29.25" customHeight="1">
      <c r="A436" s="295"/>
      <c r="B436" s="295"/>
      <c r="C436" s="295"/>
      <c r="D436" s="295"/>
      <c r="E436" s="295"/>
      <c r="F436" s="295"/>
      <c r="G436" s="295"/>
      <c r="H436" s="295"/>
      <c r="I436" s="295"/>
      <c r="J436" s="295"/>
      <c r="K436" s="295"/>
      <c r="L436" s="295"/>
      <c r="M436" s="295"/>
      <c r="N436" s="295"/>
      <c r="O436" s="297"/>
      <c r="P436" s="295"/>
      <c r="Q436" s="295"/>
      <c r="R436" s="295"/>
      <c r="S436" s="295"/>
      <c r="T436" s="295"/>
      <c r="U436" s="295"/>
      <c r="V436" s="295"/>
      <c r="W436" s="295"/>
      <c r="X436" s="295"/>
      <c r="Y436" s="295"/>
      <c r="Z436" s="295"/>
    </row>
    <row r="437" ht="29.25" customHeight="1">
      <c r="A437" s="295"/>
      <c r="B437" s="295"/>
      <c r="C437" s="295"/>
      <c r="D437" s="295"/>
      <c r="E437" s="295"/>
      <c r="F437" s="295"/>
      <c r="G437" s="295"/>
      <c r="H437" s="295"/>
      <c r="I437" s="295"/>
      <c r="J437" s="295"/>
      <c r="K437" s="295"/>
      <c r="L437" s="295"/>
      <c r="M437" s="295"/>
      <c r="N437" s="295"/>
      <c r="O437" s="297"/>
      <c r="P437" s="295"/>
      <c r="Q437" s="295"/>
      <c r="R437" s="295"/>
      <c r="S437" s="295"/>
      <c r="T437" s="295"/>
      <c r="U437" s="295"/>
      <c r="V437" s="295"/>
      <c r="W437" s="295"/>
      <c r="X437" s="295"/>
      <c r="Y437" s="295"/>
      <c r="Z437" s="295"/>
    </row>
    <row r="438" ht="29.25" customHeight="1">
      <c r="A438" s="295"/>
      <c r="B438" s="295"/>
      <c r="C438" s="295"/>
      <c r="D438" s="295"/>
      <c r="E438" s="295"/>
      <c r="F438" s="295"/>
      <c r="G438" s="295"/>
      <c r="H438" s="295"/>
      <c r="I438" s="295"/>
      <c r="J438" s="295"/>
      <c r="K438" s="295"/>
      <c r="L438" s="295"/>
      <c r="M438" s="295"/>
      <c r="N438" s="295"/>
      <c r="O438" s="297"/>
      <c r="P438" s="295"/>
      <c r="Q438" s="295"/>
      <c r="R438" s="295"/>
      <c r="S438" s="295"/>
      <c r="T438" s="295"/>
      <c r="U438" s="295"/>
      <c r="V438" s="295"/>
      <c r="W438" s="295"/>
      <c r="X438" s="295"/>
      <c r="Y438" s="295"/>
      <c r="Z438" s="295"/>
    </row>
    <row r="439" ht="29.25" customHeight="1">
      <c r="A439" s="295"/>
      <c r="B439" s="295"/>
      <c r="C439" s="295"/>
      <c r="D439" s="295"/>
      <c r="E439" s="295"/>
      <c r="F439" s="295"/>
      <c r="G439" s="295"/>
      <c r="H439" s="295"/>
      <c r="I439" s="295"/>
      <c r="J439" s="295"/>
      <c r="K439" s="295"/>
      <c r="L439" s="295"/>
      <c r="M439" s="295"/>
      <c r="N439" s="295"/>
      <c r="O439" s="297"/>
      <c r="P439" s="295"/>
      <c r="Q439" s="295"/>
      <c r="R439" s="295"/>
      <c r="S439" s="295"/>
      <c r="T439" s="295"/>
      <c r="U439" s="295"/>
      <c r="V439" s="295"/>
      <c r="W439" s="295"/>
      <c r="X439" s="295"/>
      <c r="Y439" s="295"/>
      <c r="Z439" s="295"/>
    </row>
    <row r="440" ht="29.25" customHeight="1">
      <c r="A440" s="295"/>
      <c r="B440" s="295"/>
      <c r="C440" s="295"/>
      <c r="D440" s="295"/>
      <c r="E440" s="295"/>
      <c r="F440" s="295"/>
      <c r="G440" s="295"/>
      <c r="H440" s="295"/>
      <c r="I440" s="295"/>
      <c r="J440" s="295"/>
      <c r="K440" s="295"/>
      <c r="L440" s="295"/>
      <c r="M440" s="295"/>
      <c r="N440" s="295"/>
      <c r="O440" s="297"/>
      <c r="P440" s="295"/>
      <c r="Q440" s="295"/>
      <c r="R440" s="295"/>
      <c r="S440" s="295"/>
      <c r="T440" s="295"/>
      <c r="U440" s="295"/>
      <c r="V440" s="295"/>
      <c r="W440" s="295"/>
      <c r="X440" s="295"/>
      <c r="Y440" s="295"/>
      <c r="Z440" s="295"/>
    </row>
    <row r="441" ht="29.25" customHeight="1">
      <c r="A441" s="295"/>
      <c r="B441" s="295"/>
      <c r="C441" s="295"/>
      <c r="D441" s="295"/>
      <c r="E441" s="295"/>
      <c r="F441" s="295"/>
      <c r="G441" s="295"/>
      <c r="H441" s="295"/>
      <c r="I441" s="295"/>
      <c r="J441" s="295"/>
      <c r="K441" s="295"/>
      <c r="L441" s="295"/>
      <c r="M441" s="295"/>
      <c r="N441" s="295"/>
      <c r="O441" s="297"/>
      <c r="P441" s="295"/>
      <c r="Q441" s="295"/>
      <c r="R441" s="295"/>
      <c r="S441" s="295"/>
      <c r="T441" s="295"/>
      <c r="U441" s="295"/>
      <c r="V441" s="295"/>
      <c r="W441" s="295"/>
      <c r="X441" s="295"/>
      <c r="Y441" s="295"/>
      <c r="Z441" s="295"/>
    </row>
    <row r="442" ht="29.25" customHeight="1">
      <c r="A442" s="295"/>
      <c r="B442" s="295"/>
      <c r="C442" s="295"/>
      <c r="D442" s="295"/>
      <c r="E442" s="295"/>
      <c r="F442" s="295"/>
      <c r="G442" s="295"/>
      <c r="H442" s="295"/>
      <c r="I442" s="295"/>
      <c r="J442" s="295"/>
      <c r="K442" s="295"/>
      <c r="L442" s="295"/>
      <c r="M442" s="295"/>
      <c r="N442" s="295"/>
      <c r="O442" s="297"/>
      <c r="P442" s="295"/>
      <c r="Q442" s="295"/>
      <c r="R442" s="295"/>
      <c r="S442" s="295"/>
      <c r="T442" s="295"/>
      <c r="U442" s="295"/>
      <c r="V442" s="295"/>
      <c r="W442" s="295"/>
      <c r="X442" s="295"/>
      <c r="Y442" s="295"/>
      <c r="Z442" s="295"/>
    </row>
    <row r="443" ht="29.25" customHeight="1">
      <c r="A443" s="295"/>
      <c r="B443" s="295"/>
      <c r="C443" s="295"/>
      <c r="D443" s="295"/>
      <c r="E443" s="295"/>
      <c r="F443" s="295"/>
      <c r="G443" s="295"/>
      <c r="H443" s="295"/>
      <c r="I443" s="295"/>
      <c r="J443" s="295"/>
      <c r="K443" s="295"/>
      <c r="L443" s="295"/>
      <c r="M443" s="295"/>
      <c r="N443" s="295"/>
      <c r="O443" s="297"/>
      <c r="P443" s="295"/>
      <c r="Q443" s="295"/>
      <c r="R443" s="295"/>
      <c r="S443" s="295"/>
      <c r="T443" s="295"/>
      <c r="U443" s="295"/>
      <c r="V443" s="295"/>
      <c r="W443" s="295"/>
      <c r="X443" s="295"/>
      <c r="Y443" s="295"/>
      <c r="Z443" s="295"/>
    </row>
    <row r="444" ht="29.25" customHeight="1">
      <c r="A444" s="295"/>
      <c r="B444" s="295"/>
      <c r="C444" s="295"/>
      <c r="D444" s="295"/>
      <c r="E444" s="295"/>
      <c r="F444" s="295"/>
      <c r="G444" s="295"/>
      <c r="H444" s="295"/>
      <c r="I444" s="295"/>
      <c r="J444" s="295"/>
      <c r="K444" s="295"/>
      <c r="L444" s="295"/>
      <c r="M444" s="295"/>
      <c r="N444" s="295"/>
      <c r="O444" s="297"/>
      <c r="P444" s="295"/>
      <c r="Q444" s="295"/>
      <c r="R444" s="295"/>
      <c r="S444" s="295"/>
      <c r="T444" s="295"/>
      <c r="U444" s="295"/>
      <c r="V444" s="295"/>
      <c r="W444" s="295"/>
      <c r="X444" s="295"/>
      <c r="Y444" s="295"/>
      <c r="Z444" s="295"/>
    </row>
    <row r="445" ht="29.25" customHeight="1">
      <c r="A445" s="295"/>
      <c r="B445" s="295"/>
      <c r="C445" s="295"/>
      <c r="D445" s="295"/>
      <c r="E445" s="295"/>
      <c r="F445" s="295"/>
      <c r="G445" s="295"/>
      <c r="H445" s="295"/>
      <c r="I445" s="295"/>
      <c r="J445" s="295"/>
      <c r="K445" s="295"/>
      <c r="L445" s="295"/>
      <c r="M445" s="295"/>
      <c r="N445" s="295"/>
      <c r="O445" s="297"/>
      <c r="P445" s="295"/>
      <c r="Q445" s="295"/>
      <c r="R445" s="295"/>
      <c r="S445" s="295"/>
      <c r="T445" s="295"/>
      <c r="U445" s="295"/>
      <c r="V445" s="295"/>
      <c r="W445" s="295"/>
      <c r="X445" s="295"/>
      <c r="Y445" s="295"/>
      <c r="Z445" s="295"/>
    </row>
    <row r="446" ht="29.25" customHeight="1">
      <c r="A446" s="295"/>
      <c r="B446" s="295"/>
      <c r="C446" s="295"/>
      <c r="D446" s="295"/>
      <c r="E446" s="295"/>
      <c r="F446" s="295"/>
      <c r="G446" s="295"/>
      <c r="H446" s="295"/>
      <c r="I446" s="295"/>
      <c r="J446" s="295"/>
      <c r="K446" s="295"/>
      <c r="L446" s="295"/>
      <c r="M446" s="295"/>
      <c r="N446" s="295"/>
      <c r="O446" s="297"/>
      <c r="P446" s="295"/>
      <c r="Q446" s="295"/>
      <c r="R446" s="295"/>
      <c r="S446" s="295"/>
      <c r="T446" s="295"/>
      <c r="U446" s="295"/>
      <c r="V446" s="295"/>
      <c r="W446" s="295"/>
      <c r="X446" s="295"/>
      <c r="Y446" s="295"/>
      <c r="Z446" s="295"/>
    </row>
    <row r="447" ht="29.25" customHeight="1">
      <c r="A447" s="295"/>
      <c r="B447" s="295"/>
      <c r="C447" s="295"/>
      <c r="D447" s="295"/>
      <c r="E447" s="295"/>
      <c r="F447" s="295"/>
      <c r="G447" s="295"/>
      <c r="H447" s="295"/>
      <c r="I447" s="295"/>
      <c r="J447" s="295"/>
      <c r="K447" s="295"/>
      <c r="L447" s="295"/>
      <c r="M447" s="295"/>
      <c r="N447" s="295"/>
      <c r="O447" s="297"/>
      <c r="P447" s="295"/>
      <c r="Q447" s="295"/>
      <c r="R447" s="295"/>
      <c r="S447" s="295"/>
      <c r="T447" s="295"/>
      <c r="U447" s="295"/>
      <c r="V447" s="295"/>
      <c r="W447" s="295"/>
      <c r="X447" s="295"/>
      <c r="Y447" s="295"/>
      <c r="Z447" s="295"/>
    </row>
    <row r="448" ht="29.25" customHeight="1">
      <c r="A448" s="295"/>
      <c r="B448" s="295"/>
      <c r="C448" s="295"/>
      <c r="D448" s="295"/>
      <c r="E448" s="295"/>
      <c r="F448" s="295"/>
      <c r="G448" s="295"/>
      <c r="H448" s="295"/>
      <c r="I448" s="295"/>
      <c r="J448" s="295"/>
      <c r="K448" s="295"/>
      <c r="L448" s="295"/>
      <c r="M448" s="295"/>
      <c r="N448" s="295"/>
      <c r="O448" s="297"/>
      <c r="P448" s="295"/>
      <c r="Q448" s="295"/>
      <c r="R448" s="295"/>
      <c r="S448" s="295"/>
      <c r="T448" s="295"/>
      <c r="U448" s="295"/>
      <c r="V448" s="295"/>
      <c r="W448" s="295"/>
      <c r="X448" s="295"/>
      <c r="Y448" s="295"/>
      <c r="Z448" s="295"/>
    </row>
    <row r="449" ht="29.25" customHeight="1">
      <c r="A449" s="295"/>
      <c r="B449" s="295"/>
      <c r="C449" s="295"/>
      <c r="D449" s="295"/>
      <c r="E449" s="295"/>
      <c r="F449" s="295"/>
      <c r="G449" s="295"/>
      <c r="H449" s="295"/>
      <c r="I449" s="295"/>
      <c r="J449" s="295"/>
      <c r="K449" s="295"/>
      <c r="L449" s="295"/>
      <c r="M449" s="295"/>
      <c r="N449" s="295"/>
      <c r="O449" s="297"/>
      <c r="P449" s="295"/>
      <c r="Q449" s="295"/>
      <c r="R449" s="295"/>
      <c r="S449" s="295"/>
      <c r="T449" s="295"/>
      <c r="U449" s="295"/>
      <c r="V449" s="295"/>
      <c r="W449" s="295"/>
      <c r="X449" s="295"/>
      <c r="Y449" s="295"/>
      <c r="Z449" s="295"/>
    </row>
    <row r="450" ht="29.25" customHeight="1">
      <c r="A450" s="295"/>
      <c r="B450" s="295"/>
      <c r="C450" s="295"/>
      <c r="D450" s="295"/>
      <c r="E450" s="295"/>
      <c r="F450" s="295"/>
      <c r="G450" s="295"/>
      <c r="H450" s="295"/>
      <c r="I450" s="295"/>
      <c r="J450" s="295"/>
      <c r="K450" s="295"/>
      <c r="L450" s="295"/>
      <c r="M450" s="295"/>
      <c r="N450" s="295"/>
      <c r="O450" s="297"/>
      <c r="P450" s="295"/>
      <c r="Q450" s="295"/>
      <c r="R450" s="295"/>
      <c r="S450" s="295"/>
      <c r="T450" s="295"/>
      <c r="U450" s="295"/>
      <c r="V450" s="295"/>
      <c r="W450" s="295"/>
      <c r="X450" s="295"/>
      <c r="Y450" s="295"/>
      <c r="Z450" s="295"/>
    </row>
    <row r="451" ht="29.25" customHeight="1">
      <c r="A451" s="295"/>
      <c r="B451" s="295"/>
      <c r="C451" s="295"/>
      <c r="D451" s="295"/>
      <c r="E451" s="295"/>
      <c r="F451" s="295"/>
      <c r="G451" s="295"/>
      <c r="H451" s="295"/>
      <c r="I451" s="295"/>
      <c r="J451" s="295"/>
      <c r="K451" s="295"/>
      <c r="L451" s="295"/>
      <c r="M451" s="295"/>
      <c r="N451" s="295"/>
      <c r="O451" s="297"/>
      <c r="P451" s="295"/>
      <c r="Q451" s="295"/>
      <c r="R451" s="295"/>
      <c r="S451" s="295"/>
      <c r="T451" s="295"/>
      <c r="U451" s="295"/>
      <c r="V451" s="295"/>
      <c r="W451" s="295"/>
      <c r="X451" s="295"/>
      <c r="Y451" s="295"/>
      <c r="Z451" s="295"/>
    </row>
    <row r="452" ht="29.25" customHeight="1">
      <c r="A452" s="295"/>
      <c r="B452" s="295"/>
      <c r="C452" s="295"/>
      <c r="D452" s="295"/>
      <c r="E452" s="295"/>
      <c r="F452" s="295"/>
      <c r="G452" s="295"/>
      <c r="H452" s="295"/>
      <c r="I452" s="295"/>
      <c r="J452" s="295"/>
      <c r="K452" s="295"/>
      <c r="L452" s="295"/>
      <c r="M452" s="295"/>
      <c r="N452" s="295"/>
      <c r="O452" s="297"/>
      <c r="P452" s="295"/>
      <c r="Q452" s="295"/>
      <c r="R452" s="295"/>
      <c r="S452" s="295"/>
      <c r="T452" s="295"/>
      <c r="U452" s="295"/>
      <c r="V452" s="295"/>
      <c r="W452" s="295"/>
      <c r="X452" s="295"/>
      <c r="Y452" s="295"/>
      <c r="Z452" s="295"/>
    </row>
    <row r="453" ht="29.25" customHeight="1">
      <c r="A453" s="295"/>
      <c r="B453" s="295"/>
      <c r="C453" s="295"/>
      <c r="D453" s="295"/>
      <c r="E453" s="295"/>
      <c r="F453" s="295"/>
      <c r="G453" s="295"/>
      <c r="H453" s="295"/>
      <c r="I453" s="295"/>
      <c r="J453" s="295"/>
      <c r="K453" s="295"/>
      <c r="L453" s="295"/>
      <c r="M453" s="295"/>
      <c r="N453" s="295"/>
      <c r="O453" s="297"/>
      <c r="P453" s="295"/>
      <c r="Q453" s="295"/>
      <c r="R453" s="295"/>
      <c r="S453" s="295"/>
      <c r="T453" s="295"/>
      <c r="U453" s="295"/>
      <c r="V453" s="295"/>
      <c r="W453" s="295"/>
      <c r="X453" s="295"/>
      <c r="Y453" s="295"/>
      <c r="Z453" s="295"/>
    </row>
    <row r="454" ht="29.25" customHeight="1">
      <c r="A454" s="295"/>
      <c r="B454" s="295"/>
      <c r="C454" s="295"/>
      <c r="D454" s="295"/>
      <c r="E454" s="295"/>
      <c r="F454" s="295"/>
      <c r="G454" s="295"/>
      <c r="H454" s="295"/>
      <c r="I454" s="295"/>
      <c r="J454" s="295"/>
      <c r="K454" s="295"/>
      <c r="L454" s="295"/>
      <c r="M454" s="295"/>
      <c r="N454" s="295"/>
      <c r="O454" s="297"/>
      <c r="P454" s="295"/>
      <c r="Q454" s="295"/>
      <c r="R454" s="295"/>
      <c r="S454" s="295"/>
      <c r="T454" s="295"/>
      <c r="U454" s="295"/>
      <c r="V454" s="295"/>
      <c r="W454" s="295"/>
      <c r="X454" s="295"/>
      <c r="Y454" s="295"/>
      <c r="Z454" s="295"/>
    </row>
    <row r="455" ht="29.25" customHeight="1">
      <c r="A455" s="295"/>
      <c r="B455" s="295"/>
      <c r="C455" s="295"/>
      <c r="D455" s="295"/>
      <c r="E455" s="295"/>
      <c r="F455" s="295"/>
      <c r="G455" s="295"/>
      <c r="H455" s="295"/>
      <c r="I455" s="295"/>
      <c r="J455" s="295"/>
      <c r="K455" s="295"/>
      <c r="L455" s="295"/>
      <c r="M455" s="295"/>
      <c r="N455" s="295"/>
      <c r="O455" s="297"/>
      <c r="P455" s="295"/>
      <c r="Q455" s="295"/>
      <c r="R455" s="295"/>
      <c r="S455" s="295"/>
      <c r="T455" s="295"/>
      <c r="U455" s="295"/>
      <c r="V455" s="295"/>
      <c r="W455" s="295"/>
      <c r="X455" s="295"/>
      <c r="Y455" s="295"/>
      <c r="Z455" s="295"/>
    </row>
    <row r="456" ht="29.25" customHeight="1">
      <c r="A456" s="295"/>
      <c r="B456" s="295"/>
      <c r="C456" s="295"/>
      <c r="D456" s="295"/>
      <c r="E456" s="295"/>
      <c r="F456" s="295"/>
      <c r="G456" s="295"/>
      <c r="H456" s="295"/>
      <c r="I456" s="295"/>
      <c r="J456" s="295"/>
      <c r="K456" s="295"/>
      <c r="L456" s="295"/>
      <c r="M456" s="295"/>
      <c r="N456" s="295"/>
      <c r="O456" s="297"/>
      <c r="P456" s="295"/>
      <c r="Q456" s="295"/>
      <c r="R456" s="295"/>
      <c r="S456" s="295"/>
      <c r="T456" s="295"/>
      <c r="U456" s="295"/>
      <c r="V456" s="295"/>
      <c r="W456" s="295"/>
      <c r="X456" s="295"/>
      <c r="Y456" s="295"/>
      <c r="Z456" s="295"/>
    </row>
    <row r="457" ht="29.25" customHeight="1">
      <c r="A457" s="295"/>
      <c r="B457" s="295"/>
      <c r="C457" s="295"/>
      <c r="D457" s="295"/>
      <c r="E457" s="295"/>
      <c r="F457" s="295"/>
      <c r="G457" s="295"/>
      <c r="H457" s="295"/>
      <c r="I457" s="295"/>
      <c r="J457" s="295"/>
      <c r="K457" s="295"/>
      <c r="L457" s="295"/>
      <c r="M457" s="295"/>
      <c r="N457" s="295"/>
      <c r="O457" s="297"/>
      <c r="P457" s="295"/>
      <c r="Q457" s="295"/>
      <c r="R457" s="295"/>
      <c r="S457" s="295"/>
      <c r="T457" s="295"/>
      <c r="U457" s="295"/>
      <c r="V457" s="295"/>
      <c r="W457" s="295"/>
      <c r="X457" s="295"/>
      <c r="Y457" s="295"/>
      <c r="Z457" s="295"/>
    </row>
    <row r="458" ht="29.25" customHeight="1">
      <c r="A458" s="295"/>
      <c r="B458" s="295"/>
      <c r="C458" s="295"/>
      <c r="D458" s="295"/>
      <c r="E458" s="295"/>
      <c r="F458" s="295"/>
      <c r="G458" s="295"/>
      <c r="H458" s="295"/>
      <c r="I458" s="295"/>
      <c r="J458" s="295"/>
      <c r="K458" s="295"/>
      <c r="L458" s="295"/>
      <c r="M458" s="295"/>
      <c r="N458" s="295"/>
      <c r="O458" s="297"/>
      <c r="P458" s="295"/>
      <c r="Q458" s="295"/>
      <c r="R458" s="295"/>
      <c r="S458" s="295"/>
      <c r="T458" s="295"/>
      <c r="U458" s="295"/>
      <c r="V458" s="295"/>
      <c r="W458" s="295"/>
      <c r="X458" s="295"/>
      <c r="Y458" s="295"/>
      <c r="Z458" s="295"/>
    </row>
    <row r="459" ht="29.25" customHeight="1">
      <c r="A459" s="295"/>
      <c r="B459" s="295"/>
      <c r="C459" s="295"/>
      <c r="D459" s="295"/>
      <c r="E459" s="295"/>
      <c r="F459" s="295"/>
      <c r="G459" s="295"/>
      <c r="H459" s="295"/>
      <c r="I459" s="295"/>
      <c r="J459" s="295"/>
      <c r="K459" s="295"/>
      <c r="L459" s="295"/>
      <c r="M459" s="295"/>
      <c r="N459" s="295"/>
      <c r="O459" s="297"/>
      <c r="P459" s="295"/>
      <c r="Q459" s="295"/>
      <c r="R459" s="295"/>
      <c r="S459" s="295"/>
      <c r="T459" s="295"/>
      <c r="U459" s="295"/>
      <c r="V459" s="295"/>
      <c r="W459" s="295"/>
      <c r="X459" s="295"/>
      <c r="Y459" s="295"/>
      <c r="Z459" s="295"/>
    </row>
    <row r="460" ht="29.25" customHeight="1">
      <c r="A460" s="295"/>
      <c r="B460" s="295"/>
      <c r="C460" s="295"/>
      <c r="D460" s="295"/>
      <c r="E460" s="295"/>
      <c r="F460" s="295"/>
      <c r="G460" s="295"/>
      <c r="H460" s="295"/>
      <c r="I460" s="295"/>
      <c r="J460" s="295"/>
      <c r="K460" s="295"/>
      <c r="L460" s="295"/>
      <c r="M460" s="295"/>
      <c r="N460" s="295"/>
      <c r="O460" s="297"/>
      <c r="P460" s="295"/>
      <c r="Q460" s="295"/>
      <c r="R460" s="295"/>
      <c r="S460" s="295"/>
      <c r="T460" s="295"/>
      <c r="U460" s="295"/>
      <c r="V460" s="295"/>
      <c r="W460" s="295"/>
      <c r="X460" s="295"/>
      <c r="Y460" s="295"/>
      <c r="Z460" s="295"/>
    </row>
    <row r="461" ht="29.25" customHeight="1">
      <c r="A461" s="295"/>
      <c r="B461" s="295"/>
      <c r="C461" s="295"/>
      <c r="D461" s="295"/>
      <c r="E461" s="295"/>
      <c r="F461" s="295"/>
      <c r="G461" s="295"/>
      <c r="H461" s="295"/>
      <c r="I461" s="295"/>
      <c r="J461" s="295"/>
      <c r="K461" s="295"/>
      <c r="L461" s="295"/>
      <c r="M461" s="295"/>
      <c r="N461" s="295"/>
      <c r="O461" s="297"/>
      <c r="P461" s="295"/>
      <c r="Q461" s="295"/>
      <c r="R461" s="295"/>
      <c r="S461" s="295"/>
      <c r="T461" s="295"/>
      <c r="U461" s="295"/>
      <c r="V461" s="295"/>
      <c r="W461" s="295"/>
      <c r="X461" s="295"/>
      <c r="Y461" s="295"/>
      <c r="Z461" s="295"/>
    </row>
    <row r="462" ht="29.25" customHeight="1">
      <c r="A462" s="295"/>
      <c r="B462" s="295"/>
      <c r="C462" s="295"/>
      <c r="D462" s="295"/>
      <c r="E462" s="295"/>
      <c r="F462" s="295"/>
      <c r="G462" s="295"/>
      <c r="H462" s="295"/>
      <c r="I462" s="295"/>
      <c r="J462" s="295"/>
      <c r="K462" s="295"/>
      <c r="L462" s="295"/>
      <c r="M462" s="295"/>
      <c r="N462" s="295"/>
      <c r="O462" s="297"/>
      <c r="P462" s="295"/>
      <c r="Q462" s="295"/>
      <c r="R462" s="295"/>
      <c r="S462" s="295"/>
      <c r="T462" s="295"/>
      <c r="U462" s="295"/>
      <c r="V462" s="295"/>
      <c r="W462" s="295"/>
      <c r="X462" s="295"/>
      <c r="Y462" s="295"/>
      <c r="Z462" s="295"/>
    </row>
    <row r="463" ht="29.25" customHeight="1">
      <c r="A463" s="295"/>
      <c r="B463" s="295"/>
      <c r="C463" s="295"/>
      <c r="D463" s="295"/>
      <c r="E463" s="295"/>
      <c r="F463" s="295"/>
      <c r="G463" s="295"/>
      <c r="H463" s="295"/>
      <c r="I463" s="295"/>
      <c r="J463" s="295"/>
      <c r="K463" s="295"/>
      <c r="L463" s="295"/>
      <c r="M463" s="295"/>
      <c r="N463" s="295"/>
      <c r="O463" s="297"/>
      <c r="P463" s="295"/>
      <c r="Q463" s="295"/>
      <c r="R463" s="295"/>
      <c r="S463" s="295"/>
      <c r="T463" s="295"/>
      <c r="U463" s="295"/>
      <c r="V463" s="295"/>
      <c r="W463" s="295"/>
      <c r="X463" s="295"/>
      <c r="Y463" s="295"/>
      <c r="Z463" s="295"/>
    </row>
    <row r="464" ht="29.25" customHeight="1">
      <c r="A464" s="295"/>
      <c r="B464" s="295"/>
      <c r="C464" s="295"/>
      <c r="D464" s="295"/>
      <c r="E464" s="295"/>
      <c r="F464" s="295"/>
      <c r="G464" s="295"/>
      <c r="H464" s="295"/>
      <c r="I464" s="295"/>
      <c r="J464" s="295"/>
      <c r="K464" s="295"/>
      <c r="L464" s="295"/>
      <c r="M464" s="295"/>
      <c r="N464" s="295"/>
      <c r="O464" s="297"/>
      <c r="P464" s="295"/>
      <c r="Q464" s="295"/>
      <c r="R464" s="295"/>
      <c r="S464" s="295"/>
      <c r="T464" s="295"/>
      <c r="U464" s="295"/>
      <c r="V464" s="295"/>
      <c r="W464" s="295"/>
      <c r="X464" s="295"/>
      <c r="Y464" s="295"/>
      <c r="Z464" s="295"/>
    </row>
    <row r="465" ht="29.25" customHeight="1">
      <c r="A465" s="295"/>
      <c r="B465" s="295"/>
      <c r="C465" s="295"/>
      <c r="D465" s="295"/>
      <c r="E465" s="295"/>
      <c r="F465" s="295"/>
      <c r="G465" s="295"/>
      <c r="H465" s="295"/>
      <c r="I465" s="295"/>
      <c r="J465" s="295"/>
      <c r="K465" s="295"/>
      <c r="L465" s="295"/>
      <c r="M465" s="295"/>
      <c r="N465" s="295"/>
      <c r="O465" s="297"/>
      <c r="P465" s="295"/>
      <c r="Q465" s="295"/>
      <c r="R465" s="295"/>
      <c r="S465" s="295"/>
      <c r="T465" s="295"/>
      <c r="U465" s="295"/>
      <c r="V465" s="295"/>
      <c r="W465" s="295"/>
      <c r="X465" s="295"/>
      <c r="Y465" s="295"/>
      <c r="Z465" s="295"/>
    </row>
    <row r="466" ht="29.25" customHeight="1">
      <c r="A466" s="295"/>
      <c r="B466" s="295"/>
      <c r="C466" s="295"/>
      <c r="D466" s="295"/>
      <c r="E466" s="295"/>
      <c r="F466" s="295"/>
      <c r="G466" s="295"/>
      <c r="H466" s="295"/>
      <c r="I466" s="295"/>
      <c r="J466" s="295"/>
      <c r="K466" s="295"/>
      <c r="L466" s="295"/>
      <c r="M466" s="295"/>
      <c r="N466" s="295"/>
      <c r="O466" s="297"/>
      <c r="P466" s="295"/>
      <c r="Q466" s="295"/>
      <c r="R466" s="295"/>
      <c r="S466" s="295"/>
      <c r="T466" s="295"/>
      <c r="U466" s="295"/>
      <c r="V466" s="295"/>
      <c r="W466" s="295"/>
      <c r="X466" s="295"/>
      <c r="Y466" s="295"/>
      <c r="Z466" s="295"/>
    </row>
    <row r="467" ht="29.25" customHeight="1">
      <c r="A467" s="295"/>
      <c r="B467" s="295"/>
      <c r="C467" s="295"/>
      <c r="D467" s="295"/>
      <c r="E467" s="295"/>
      <c r="F467" s="295"/>
      <c r="G467" s="295"/>
      <c r="H467" s="295"/>
      <c r="I467" s="295"/>
      <c r="J467" s="295"/>
      <c r="K467" s="295"/>
      <c r="L467" s="295"/>
      <c r="M467" s="295"/>
      <c r="N467" s="295"/>
      <c r="O467" s="297"/>
      <c r="P467" s="295"/>
      <c r="Q467" s="295"/>
      <c r="R467" s="295"/>
      <c r="S467" s="295"/>
      <c r="T467" s="295"/>
      <c r="U467" s="295"/>
      <c r="V467" s="295"/>
      <c r="W467" s="295"/>
      <c r="X467" s="295"/>
      <c r="Y467" s="295"/>
      <c r="Z467" s="295"/>
    </row>
    <row r="468" ht="29.25" customHeight="1">
      <c r="A468" s="295"/>
      <c r="B468" s="295"/>
      <c r="C468" s="295"/>
      <c r="D468" s="295"/>
      <c r="E468" s="295"/>
      <c r="F468" s="295"/>
      <c r="G468" s="295"/>
      <c r="H468" s="295"/>
      <c r="I468" s="295"/>
      <c r="J468" s="295"/>
      <c r="K468" s="295"/>
      <c r="L468" s="295"/>
      <c r="M468" s="295"/>
      <c r="N468" s="295"/>
      <c r="O468" s="297"/>
      <c r="P468" s="295"/>
      <c r="Q468" s="295"/>
      <c r="R468" s="295"/>
      <c r="S468" s="295"/>
      <c r="T468" s="295"/>
      <c r="U468" s="295"/>
      <c r="V468" s="295"/>
      <c r="W468" s="295"/>
      <c r="X468" s="295"/>
      <c r="Y468" s="295"/>
      <c r="Z468" s="295"/>
    </row>
    <row r="469" ht="29.25" customHeight="1">
      <c r="A469" s="295"/>
      <c r="B469" s="295"/>
      <c r="C469" s="295"/>
      <c r="D469" s="295"/>
      <c r="E469" s="295"/>
      <c r="F469" s="295"/>
      <c r="G469" s="295"/>
      <c r="H469" s="295"/>
      <c r="I469" s="295"/>
      <c r="J469" s="295"/>
      <c r="K469" s="295"/>
      <c r="L469" s="295"/>
      <c r="M469" s="295"/>
      <c r="N469" s="295"/>
      <c r="O469" s="297"/>
      <c r="P469" s="295"/>
      <c r="Q469" s="295"/>
      <c r="R469" s="295"/>
      <c r="S469" s="295"/>
      <c r="T469" s="295"/>
      <c r="U469" s="295"/>
      <c r="V469" s="295"/>
      <c r="W469" s="295"/>
      <c r="X469" s="295"/>
      <c r="Y469" s="295"/>
      <c r="Z469" s="295"/>
    </row>
    <row r="470" ht="29.25" customHeight="1">
      <c r="A470" s="295"/>
      <c r="B470" s="295"/>
      <c r="C470" s="295"/>
      <c r="D470" s="295"/>
      <c r="E470" s="295"/>
      <c r="F470" s="295"/>
      <c r="G470" s="295"/>
      <c r="H470" s="295"/>
      <c r="I470" s="295"/>
      <c r="J470" s="295"/>
      <c r="K470" s="295"/>
      <c r="L470" s="295"/>
      <c r="M470" s="295"/>
      <c r="N470" s="295"/>
      <c r="O470" s="297"/>
      <c r="P470" s="295"/>
      <c r="Q470" s="295"/>
      <c r="R470" s="295"/>
      <c r="S470" s="295"/>
      <c r="T470" s="295"/>
      <c r="U470" s="295"/>
      <c r="V470" s="295"/>
      <c r="W470" s="295"/>
      <c r="X470" s="295"/>
      <c r="Y470" s="295"/>
      <c r="Z470" s="295"/>
    </row>
    <row r="471" ht="29.25" customHeight="1">
      <c r="A471" s="295"/>
      <c r="B471" s="295"/>
      <c r="C471" s="295"/>
      <c r="D471" s="295"/>
      <c r="E471" s="295"/>
      <c r="F471" s="295"/>
      <c r="G471" s="295"/>
      <c r="H471" s="295"/>
      <c r="I471" s="295"/>
      <c r="J471" s="295"/>
      <c r="K471" s="295"/>
      <c r="L471" s="295"/>
      <c r="M471" s="295"/>
      <c r="N471" s="295"/>
      <c r="O471" s="297"/>
      <c r="P471" s="295"/>
      <c r="Q471" s="295"/>
      <c r="R471" s="295"/>
      <c r="S471" s="295"/>
      <c r="T471" s="295"/>
      <c r="U471" s="295"/>
      <c r="V471" s="295"/>
      <c r="W471" s="295"/>
      <c r="X471" s="295"/>
      <c r="Y471" s="295"/>
      <c r="Z471" s="295"/>
    </row>
    <row r="472" ht="29.25" customHeight="1">
      <c r="A472" s="295"/>
      <c r="B472" s="295"/>
      <c r="C472" s="295"/>
      <c r="D472" s="295"/>
      <c r="E472" s="295"/>
      <c r="F472" s="295"/>
      <c r="G472" s="295"/>
      <c r="H472" s="295"/>
      <c r="I472" s="295"/>
      <c r="J472" s="295"/>
      <c r="K472" s="295"/>
      <c r="L472" s="295"/>
      <c r="M472" s="295"/>
      <c r="N472" s="295"/>
      <c r="O472" s="297"/>
      <c r="P472" s="295"/>
      <c r="Q472" s="295"/>
      <c r="R472" s="295"/>
      <c r="S472" s="295"/>
      <c r="T472" s="295"/>
      <c r="U472" s="295"/>
      <c r="V472" s="295"/>
      <c r="W472" s="295"/>
      <c r="X472" s="295"/>
      <c r="Y472" s="295"/>
      <c r="Z472" s="295"/>
    </row>
    <row r="473" ht="29.25" customHeight="1">
      <c r="A473" s="295"/>
      <c r="B473" s="295"/>
      <c r="C473" s="295"/>
      <c r="D473" s="295"/>
      <c r="E473" s="295"/>
      <c r="F473" s="295"/>
      <c r="G473" s="295"/>
      <c r="H473" s="295"/>
      <c r="I473" s="295"/>
      <c r="J473" s="295"/>
      <c r="K473" s="295"/>
      <c r="L473" s="295"/>
      <c r="M473" s="295"/>
      <c r="N473" s="295"/>
      <c r="O473" s="297"/>
      <c r="P473" s="295"/>
      <c r="Q473" s="295"/>
      <c r="R473" s="295"/>
      <c r="S473" s="295"/>
      <c r="T473" s="295"/>
      <c r="U473" s="295"/>
      <c r="V473" s="295"/>
      <c r="W473" s="295"/>
      <c r="X473" s="295"/>
      <c r="Y473" s="295"/>
      <c r="Z473" s="295"/>
    </row>
    <row r="474" ht="29.25" customHeight="1">
      <c r="A474" s="295"/>
      <c r="B474" s="295"/>
      <c r="C474" s="295"/>
      <c r="D474" s="295"/>
      <c r="E474" s="295"/>
      <c r="F474" s="295"/>
      <c r="G474" s="295"/>
      <c r="H474" s="295"/>
      <c r="I474" s="295"/>
      <c r="J474" s="295"/>
      <c r="K474" s="295"/>
      <c r="L474" s="295"/>
      <c r="M474" s="295"/>
      <c r="N474" s="295"/>
      <c r="O474" s="297"/>
      <c r="P474" s="295"/>
      <c r="Q474" s="295"/>
      <c r="R474" s="295"/>
      <c r="S474" s="295"/>
      <c r="T474" s="295"/>
      <c r="U474" s="295"/>
      <c r="V474" s="295"/>
      <c r="W474" s="295"/>
      <c r="X474" s="295"/>
      <c r="Y474" s="295"/>
      <c r="Z474" s="295"/>
    </row>
    <row r="475" ht="29.25" customHeight="1">
      <c r="A475" s="295"/>
      <c r="B475" s="295"/>
      <c r="C475" s="295"/>
      <c r="D475" s="295"/>
      <c r="E475" s="295"/>
      <c r="F475" s="295"/>
      <c r="G475" s="295"/>
      <c r="H475" s="295"/>
      <c r="I475" s="295"/>
      <c r="J475" s="295"/>
      <c r="K475" s="295"/>
      <c r="L475" s="295"/>
      <c r="M475" s="295"/>
      <c r="N475" s="295"/>
      <c r="O475" s="297"/>
      <c r="P475" s="295"/>
      <c r="Q475" s="295"/>
      <c r="R475" s="295"/>
      <c r="S475" s="295"/>
      <c r="T475" s="295"/>
      <c r="U475" s="295"/>
      <c r="V475" s="295"/>
      <c r="W475" s="295"/>
      <c r="X475" s="295"/>
      <c r="Y475" s="295"/>
      <c r="Z475" s="295"/>
    </row>
    <row r="476" ht="29.25" customHeight="1">
      <c r="A476" s="295"/>
      <c r="B476" s="295"/>
      <c r="C476" s="295"/>
      <c r="D476" s="295"/>
      <c r="E476" s="295"/>
      <c r="F476" s="295"/>
      <c r="G476" s="295"/>
      <c r="H476" s="295"/>
      <c r="I476" s="295"/>
      <c r="J476" s="295"/>
      <c r="K476" s="295"/>
      <c r="L476" s="295"/>
      <c r="M476" s="295"/>
      <c r="N476" s="295"/>
      <c r="O476" s="297"/>
      <c r="P476" s="295"/>
      <c r="Q476" s="295"/>
      <c r="R476" s="295"/>
      <c r="S476" s="295"/>
      <c r="T476" s="295"/>
      <c r="U476" s="295"/>
      <c r="V476" s="295"/>
      <c r="W476" s="295"/>
      <c r="X476" s="295"/>
      <c r="Y476" s="295"/>
      <c r="Z476" s="295"/>
    </row>
    <row r="477" ht="29.25" customHeight="1">
      <c r="A477" s="295"/>
      <c r="B477" s="295"/>
      <c r="C477" s="295"/>
      <c r="D477" s="295"/>
      <c r="E477" s="295"/>
      <c r="F477" s="295"/>
      <c r="G477" s="295"/>
      <c r="H477" s="295"/>
      <c r="I477" s="295"/>
      <c r="J477" s="295"/>
      <c r="K477" s="295"/>
      <c r="L477" s="295"/>
      <c r="M477" s="295"/>
      <c r="N477" s="295"/>
      <c r="O477" s="297"/>
      <c r="P477" s="295"/>
      <c r="Q477" s="295"/>
      <c r="R477" s="295"/>
      <c r="S477" s="295"/>
      <c r="T477" s="295"/>
      <c r="U477" s="295"/>
      <c r="V477" s="295"/>
      <c r="W477" s="295"/>
      <c r="X477" s="295"/>
      <c r="Y477" s="295"/>
      <c r="Z477" s="295"/>
    </row>
    <row r="478" ht="29.25" customHeight="1">
      <c r="A478" s="295"/>
      <c r="B478" s="295"/>
      <c r="C478" s="295"/>
      <c r="D478" s="295"/>
      <c r="E478" s="295"/>
      <c r="F478" s="295"/>
      <c r="G478" s="295"/>
      <c r="H478" s="295"/>
      <c r="I478" s="295"/>
      <c r="J478" s="295"/>
      <c r="K478" s="295"/>
      <c r="L478" s="295"/>
      <c r="M478" s="295"/>
      <c r="N478" s="295"/>
      <c r="O478" s="297"/>
      <c r="P478" s="295"/>
      <c r="Q478" s="295"/>
      <c r="R478" s="295"/>
      <c r="S478" s="295"/>
      <c r="T478" s="295"/>
      <c r="U478" s="295"/>
      <c r="V478" s="295"/>
      <c r="W478" s="295"/>
      <c r="X478" s="295"/>
      <c r="Y478" s="295"/>
      <c r="Z478" s="295"/>
    </row>
    <row r="479" ht="29.25" customHeight="1">
      <c r="A479" s="295"/>
      <c r="B479" s="295"/>
      <c r="C479" s="295"/>
      <c r="D479" s="295"/>
      <c r="E479" s="295"/>
      <c r="F479" s="295"/>
      <c r="G479" s="295"/>
      <c r="H479" s="295"/>
      <c r="I479" s="295"/>
      <c r="J479" s="295"/>
      <c r="K479" s="295"/>
      <c r="L479" s="295"/>
      <c r="M479" s="295"/>
      <c r="N479" s="295"/>
      <c r="O479" s="297"/>
      <c r="P479" s="295"/>
      <c r="Q479" s="295"/>
      <c r="R479" s="295"/>
      <c r="S479" s="295"/>
      <c r="T479" s="295"/>
      <c r="U479" s="295"/>
      <c r="V479" s="295"/>
      <c r="W479" s="295"/>
      <c r="X479" s="295"/>
      <c r="Y479" s="295"/>
      <c r="Z479" s="295"/>
    </row>
    <row r="480" ht="29.25" customHeight="1">
      <c r="A480" s="295"/>
      <c r="B480" s="295"/>
      <c r="C480" s="295"/>
      <c r="D480" s="295"/>
      <c r="E480" s="295"/>
      <c r="F480" s="295"/>
      <c r="G480" s="295"/>
      <c r="H480" s="295"/>
      <c r="I480" s="295"/>
      <c r="J480" s="295"/>
      <c r="K480" s="295"/>
      <c r="L480" s="295"/>
      <c r="M480" s="295"/>
      <c r="N480" s="295"/>
      <c r="O480" s="297"/>
      <c r="P480" s="295"/>
      <c r="Q480" s="295"/>
      <c r="R480" s="295"/>
      <c r="S480" s="295"/>
      <c r="T480" s="295"/>
      <c r="U480" s="295"/>
      <c r="V480" s="295"/>
      <c r="W480" s="295"/>
      <c r="X480" s="295"/>
      <c r="Y480" s="295"/>
      <c r="Z480" s="295"/>
    </row>
    <row r="481" ht="29.25" customHeight="1">
      <c r="A481" s="295"/>
      <c r="B481" s="295"/>
      <c r="C481" s="295"/>
      <c r="D481" s="295"/>
      <c r="E481" s="295"/>
      <c r="F481" s="295"/>
      <c r="G481" s="295"/>
      <c r="H481" s="295"/>
      <c r="I481" s="295"/>
      <c r="J481" s="295"/>
      <c r="K481" s="295"/>
      <c r="L481" s="295"/>
      <c r="M481" s="295"/>
      <c r="N481" s="295"/>
      <c r="O481" s="297"/>
      <c r="P481" s="295"/>
      <c r="Q481" s="295"/>
      <c r="R481" s="295"/>
      <c r="S481" s="295"/>
      <c r="T481" s="295"/>
      <c r="U481" s="295"/>
      <c r="V481" s="295"/>
      <c r="W481" s="295"/>
      <c r="X481" s="295"/>
      <c r="Y481" s="295"/>
      <c r="Z481" s="295"/>
    </row>
    <row r="482" ht="29.25" customHeight="1">
      <c r="A482" s="295"/>
      <c r="B482" s="295"/>
      <c r="C482" s="295"/>
      <c r="D482" s="295"/>
      <c r="E482" s="295"/>
      <c r="F482" s="295"/>
      <c r="G482" s="295"/>
      <c r="H482" s="295"/>
      <c r="I482" s="295"/>
      <c r="J482" s="295"/>
      <c r="K482" s="295"/>
      <c r="L482" s="295"/>
      <c r="M482" s="295"/>
      <c r="N482" s="295"/>
      <c r="O482" s="297"/>
      <c r="P482" s="295"/>
      <c r="Q482" s="295"/>
      <c r="R482" s="295"/>
      <c r="S482" s="295"/>
      <c r="T482" s="295"/>
      <c r="U482" s="295"/>
      <c r="V482" s="295"/>
      <c r="W482" s="295"/>
      <c r="X482" s="295"/>
      <c r="Y482" s="295"/>
      <c r="Z482" s="295"/>
    </row>
    <row r="483" ht="29.25" customHeight="1">
      <c r="A483" s="295"/>
      <c r="B483" s="295"/>
      <c r="C483" s="295"/>
      <c r="D483" s="295"/>
      <c r="E483" s="295"/>
      <c r="F483" s="295"/>
      <c r="G483" s="295"/>
      <c r="H483" s="295"/>
      <c r="I483" s="295"/>
      <c r="J483" s="295"/>
      <c r="K483" s="295"/>
      <c r="L483" s="295"/>
      <c r="M483" s="295"/>
      <c r="N483" s="295"/>
      <c r="O483" s="297"/>
      <c r="P483" s="295"/>
      <c r="Q483" s="295"/>
      <c r="R483" s="295"/>
      <c r="S483" s="295"/>
      <c r="T483" s="295"/>
      <c r="U483" s="295"/>
      <c r="V483" s="295"/>
      <c r="W483" s="295"/>
      <c r="X483" s="295"/>
      <c r="Y483" s="295"/>
      <c r="Z483" s="295"/>
    </row>
    <row r="484" ht="29.25" customHeight="1">
      <c r="A484" s="295"/>
      <c r="B484" s="295"/>
      <c r="C484" s="295"/>
      <c r="D484" s="295"/>
      <c r="E484" s="295"/>
      <c r="F484" s="295"/>
      <c r="G484" s="295"/>
      <c r="H484" s="295"/>
      <c r="I484" s="295"/>
      <c r="J484" s="295"/>
      <c r="K484" s="295"/>
      <c r="L484" s="295"/>
      <c r="M484" s="295"/>
      <c r="N484" s="295"/>
      <c r="O484" s="297"/>
      <c r="P484" s="295"/>
      <c r="Q484" s="295"/>
      <c r="R484" s="295"/>
      <c r="S484" s="295"/>
      <c r="T484" s="295"/>
      <c r="U484" s="295"/>
      <c r="V484" s="295"/>
      <c r="W484" s="295"/>
      <c r="X484" s="295"/>
      <c r="Y484" s="295"/>
      <c r="Z484" s="295"/>
    </row>
    <row r="485" ht="29.25" customHeight="1">
      <c r="A485" s="295"/>
      <c r="B485" s="295"/>
      <c r="C485" s="295"/>
      <c r="D485" s="295"/>
      <c r="E485" s="295"/>
      <c r="F485" s="295"/>
      <c r="G485" s="295"/>
      <c r="H485" s="295"/>
      <c r="I485" s="295"/>
      <c r="J485" s="295"/>
      <c r="K485" s="295"/>
      <c r="L485" s="295"/>
      <c r="M485" s="295"/>
      <c r="N485" s="295"/>
      <c r="O485" s="297"/>
      <c r="P485" s="295"/>
      <c r="Q485" s="295"/>
      <c r="R485" s="295"/>
      <c r="S485" s="295"/>
      <c r="T485" s="295"/>
      <c r="U485" s="295"/>
      <c r="V485" s="295"/>
      <c r="W485" s="295"/>
      <c r="X485" s="295"/>
      <c r="Y485" s="295"/>
      <c r="Z485" s="295"/>
    </row>
    <row r="486" ht="29.25" customHeight="1">
      <c r="A486" s="295"/>
      <c r="B486" s="295"/>
      <c r="C486" s="295"/>
      <c r="D486" s="295"/>
      <c r="E486" s="295"/>
      <c r="F486" s="295"/>
      <c r="G486" s="295"/>
      <c r="H486" s="295"/>
      <c r="I486" s="295"/>
      <c r="J486" s="295"/>
      <c r="K486" s="295"/>
      <c r="L486" s="295"/>
      <c r="M486" s="295"/>
      <c r="N486" s="295"/>
      <c r="O486" s="297"/>
      <c r="P486" s="295"/>
      <c r="Q486" s="295"/>
      <c r="R486" s="295"/>
      <c r="S486" s="295"/>
      <c r="T486" s="295"/>
      <c r="U486" s="295"/>
      <c r="V486" s="295"/>
      <c r="W486" s="295"/>
      <c r="X486" s="295"/>
      <c r="Y486" s="295"/>
      <c r="Z486" s="295"/>
    </row>
    <row r="487" ht="29.25" customHeight="1">
      <c r="A487" s="295"/>
      <c r="B487" s="295"/>
      <c r="C487" s="295"/>
      <c r="D487" s="295"/>
      <c r="E487" s="295"/>
      <c r="F487" s="295"/>
      <c r="G487" s="295"/>
      <c r="H487" s="295"/>
      <c r="I487" s="295"/>
      <c r="J487" s="295"/>
      <c r="K487" s="295"/>
      <c r="L487" s="295"/>
      <c r="M487" s="295"/>
      <c r="N487" s="295"/>
      <c r="O487" s="297"/>
      <c r="P487" s="295"/>
      <c r="Q487" s="295"/>
      <c r="R487" s="295"/>
      <c r="S487" s="295"/>
      <c r="T487" s="295"/>
      <c r="U487" s="295"/>
      <c r="V487" s="295"/>
      <c r="W487" s="295"/>
      <c r="X487" s="295"/>
      <c r="Y487" s="295"/>
      <c r="Z487" s="295"/>
    </row>
    <row r="488" ht="29.25" customHeight="1">
      <c r="A488" s="295"/>
      <c r="B488" s="295"/>
      <c r="C488" s="295"/>
      <c r="D488" s="295"/>
      <c r="E488" s="295"/>
      <c r="F488" s="295"/>
      <c r="G488" s="295"/>
      <c r="H488" s="295"/>
      <c r="I488" s="295"/>
      <c r="J488" s="295"/>
      <c r="K488" s="295"/>
      <c r="L488" s="295"/>
      <c r="M488" s="295"/>
      <c r="N488" s="295"/>
      <c r="O488" s="297"/>
      <c r="P488" s="295"/>
      <c r="Q488" s="295"/>
      <c r="R488" s="295"/>
      <c r="S488" s="295"/>
      <c r="T488" s="295"/>
      <c r="U488" s="295"/>
      <c r="V488" s="295"/>
      <c r="W488" s="295"/>
      <c r="X488" s="295"/>
      <c r="Y488" s="295"/>
      <c r="Z488" s="295"/>
    </row>
    <row r="489" ht="29.25" customHeight="1">
      <c r="A489" s="295"/>
      <c r="B489" s="295"/>
      <c r="C489" s="295"/>
      <c r="D489" s="295"/>
      <c r="E489" s="295"/>
      <c r="F489" s="295"/>
      <c r="G489" s="295"/>
      <c r="H489" s="295"/>
      <c r="I489" s="295"/>
      <c r="J489" s="295"/>
      <c r="K489" s="295"/>
      <c r="L489" s="295"/>
      <c r="M489" s="295"/>
      <c r="N489" s="295"/>
      <c r="O489" s="297"/>
      <c r="P489" s="295"/>
      <c r="Q489" s="295"/>
      <c r="R489" s="295"/>
      <c r="S489" s="295"/>
      <c r="T489" s="295"/>
      <c r="U489" s="295"/>
      <c r="V489" s="295"/>
      <c r="W489" s="295"/>
      <c r="X489" s="295"/>
      <c r="Y489" s="295"/>
      <c r="Z489" s="295"/>
    </row>
    <row r="490" ht="29.25" customHeight="1">
      <c r="A490" s="295"/>
      <c r="B490" s="295"/>
      <c r="C490" s="295"/>
      <c r="D490" s="295"/>
      <c r="E490" s="295"/>
      <c r="F490" s="295"/>
      <c r="G490" s="295"/>
      <c r="H490" s="295"/>
      <c r="I490" s="295"/>
      <c r="J490" s="295"/>
      <c r="K490" s="295"/>
      <c r="L490" s="295"/>
      <c r="M490" s="295"/>
      <c r="N490" s="295"/>
      <c r="O490" s="297"/>
      <c r="P490" s="295"/>
      <c r="Q490" s="295"/>
      <c r="R490" s="295"/>
      <c r="S490" s="295"/>
      <c r="T490" s="295"/>
      <c r="U490" s="295"/>
      <c r="V490" s="295"/>
      <c r="W490" s="295"/>
      <c r="X490" s="295"/>
      <c r="Y490" s="295"/>
      <c r="Z490" s="295"/>
    </row>
    <row r="491" ht="29.25" customHeight="1">
      <c r="A491" s="295"/>
      <c r="B491" s="295"/>
      <c r="C491" s="295"/>
      <c r="D491" s="295"/>
      <c r="E491" s="295"/>
      <c r="F491" s="295"/>
      <c r="G491" s="295"/>
      <c r="H491" s="295"/>
      <c r="I491" s="295"/>
      <c r="J491" s="295"/>
      <c r="K491" s="295"/>
      <c r="L491" s="295"/>
      <c r="M491" s="295"/>
      <c r="N491" s="295"/>
      <c r="O491" s="297"/>
      <c r="P491" s="295"/>
      <c r="Q491" s="295"/>
      <c r="R491" s="295"/>
      <c r="S491" s="295"/>
      <c r="T491" s="295"/>
      <c r="U491" s="295"/>
      <c r="V491" s="295"/>
      <c r="W491" s="295"/>
      <c r="X491" s="295"/>
      <c r="Y491" s="295"/>
      <c r="Z491" s="295"/>
    </row>
    <row r="492" ht="29.25" customHeight="1">
      <c r="A492" s="295"/>
      <c r="B492" s="295"/>
      <c r="C492" s="295"/>
      <c r="D492" s="295"/>
      <c r="E492" s="295"/>
      <c r="F492" s="295"/>
      <c r="G492" s="295"/>
      <c r="H492" s="295"/>
      <c r="I492" s="295"/>
      <c r="J492" s="295"/>
      <c r="K492" s="295"/>
      <c r="L492" s="295"/>
      <c r="M492" s="295"/>
      <c r="N492" s="295"/>
      <c r="O492" s="297"/>
      <c r="P492" s="295"/>
      <c r="Q492" s="295"/>
      <c r="R492" s="295"/>
      <c r="S492" s="295"/>
      <c r="T492" s="295"/>
      <c r="U492" s="295"/>
      <c r="V492" s="295"/>
      <c r="W492" s="295"/>
      <c r="X492" s="295"/>
      <c r="Y492" s="295"/>
      <c r="Z492" s="295"/>
    </row>
    <row r="493" ht="29.25" customHeight="1">
      <c r="A493" s="295"/>
      <c r="B493" s="295"/>
      <c r="C493" s="295"/>
      <c r="D493" s="295"/>
      <c r="E493" s="295"/>
      <c r="F493" s="295"/>
      <c r="G493" s="295"/>
      <c r="H493" s="295"/>
      <c r="I493" s="295"/>
      <c r="J493" s="295"/>
      <c r="K493" s="295"/>
      <c r="L493" s="295"/>
      <c r="M493" s="295"/>
      <c r="N493" s="295"/>
      <c r="O493" s="297"/>
      <c r="P493" s="295"/>
      <c r="Q493" s="295"/>
      <c r="R493" s="295"/>
      <c r="S493" s="295"/>
      <c r="T493" s="295"/>
      <c r="U493" s="295"/>
      <c r="V493" s="295"/>
      <c r="W493" s="295"/>
      <c r="X493" s="295"/>
      <c r="Y493" s="295"/>
      <c r="Z493" s="295"/>
    </row>
    <row r="494" ht="29.25" customHeight="1">
      <c r="A494" s="295"/>
      <c r="B494" s="295"/>
      <c r="C494" s="295"/>
      <c r="D494" s="295"/>
      <c r="E494" s="295"/>
      <c r="F494" s="295"/>
      <c r="G494" s="295"/>
      <c r="H494" s="295"/>
      <c r="I494" s="295"/>
      <c r="J494" s="295"/>
      <c r="K494" s="295"/>
      <c r="L494" s="295"/>
      <c r="M494" s="295"/>
      <c r="N494" s="295"/>
      <c r="O494" s="297"/>
      <c r="P494" s="295"/>
      <c r="Q494" s="295"/>
      <c r="R494" s="295"/>
      <c r="S494" s="295"/>
      <c r="T494" s="295"/>
      <c r="U494" s="295"/>
      <c r="V494" s="295"/>
      <c r="W494" s="295"/>
      <c r="X494" s="295"/>
      <c r="Y494" s="295"/>
      <c r="Z494" s="295"/>
    </row>
    <row r="495" ht="29.25" customHeight="1">
      <c r="A495" s="295"/>
      <c r="B495" s="295"/>
      <c r="C495" s="295"/>
      <c r="D495" s="295"/>
      <c r="E495" s="295"/>
      <c r="F495" s="295"/>
      <c r="G495" s="295"/>
      <c r="H495" s="295"/>
      <c r="I495" s="295"/>
      <c r="J495" s="295"/>
      <c r="K495" s="295"/>
      <c r="L495" s="295"/>
      <c r="M495" s="295"/>
      <c r="N495" s="295"/>
      <c r="O495" s="297"/>
      <c r="P495" s="295"/>
      <c r="Q495" s="295"/>
      <c r="R495" s="295"/>
      <c r="S495" s="295"/>
      <c r="T495" s="295"/>
      <c r="U495" s="295"/>
      <c r="V495" s="295"/>
      <c r="W495" s="295"/>
      <c r="X495" s="295"/>
      <c r="Y495" s="295"/>
      <c r="Z495" s="295"/>
    </row>
    <row r="496" ht="29.25" customHeight="1">
      <c r="A496" s="295"/>
      <c r="B496" s="295"/>
      <c r="C496" s="295"/>
      <c r="D496" s="295"/>
      <c r="E496" s="295"/>
      <c r="F496" s="295"/>
      <c r="G496" s="295"/>
      <c r="H496" s="295"/>
      <c r="I496" s="295"/>
      <c r="J496" s="295"/>
      <c r="K496" s="295"/>
      <c r="L496" s="295"/>
      <c r="M496" s="295"/>
      <c r="N496" s="295"/>
      <c r="O496" s="297"/>
      <c r="P496" s="295"/>
      <c r="Q496" s="295"/>
      <c r="R496" s="295"/>
      <c r="S496" s="295"/>
      <c r="T496" s="295"/>
      <c r="U496" s="295"/>
      <c r="V496" s="295"/>
      <c r="W496" s="295"/>
      <c r="X496" s="295"/>
      <c r="Y496" s="295"/>
      <c r="Z496" s="295"/>
    </row>
    <row r="497" ht="29.25" customHeight="1">
      <c r="A497" s="295"/>
      <c r="B497" s="295"/>
      <c r="C497" s="295"/>
      <c r="D497" s="295"/>
      <c r="E497" s="295"/>
      <c r="F497" s="295"/>
      <c r="G497" s="295"/>
      <c r="H497" s="295"/>
      <c r="I497" s="295"/>
      <c r="J497" s="295"/>
      <c r="K497" s="295"/>
      <c r="L497" s="295"/>
      <c r="M497" s="295"/>
      <c r="N497" s="295"/>
      <c r="O497" s="297"/>
      <c r="P497" s="295"/>
      <c r="Q497" s="295"/>
      <c r="R497" s="295"/>
      <c r="S497" s="295"/>
      <c r="T497" s="295"/>
      <c r="U497" s="295"/>
      <c r="V497" s="295"/>
      <c r="W497" s="295"/>
      <c r="X497" s="295"/>
      <c r="Y497" s="295"/>
      <c r="Z497" s="295"/>
    </row>
    <row r="498" ht="29.25" customHeight="1">
      <c r="A498" s="295"/>
      <c r="B498" s="295"/>
      <c r="C498" s="295"/>
      <c r="D498" s="295"/>
      <c r="E498" s="295"/>
      <c r="F498" s="295"/>
      <c r="G498" s="295"/>
      <c r="H498" s="295"/>
      <c r="I498" s="295"/>
      <c r="J498" s="295"/>
      <c r="K498" s="295"/>
      <c r="L498" s="295"/>
      <c r="M498" s="295"/>
      <c r="N498" s="295"/>
      <c r="O498" s="297"/>
      <c r="P498" s="295"/>
      <c r="Q498" s="295"/>
      <c r="R498" s="295"/>
      <c r="S498" s="295"/>
      <c r="T498" s="295"/>
      <c r="U498" s="295"/>
      <c r="V498" s="295"/>
      <c r="W498" s="295"/>
      <c r="X498" s="295"/>
      <c r="Y498" s="295"/>
      <c r="Z498" s="295"/>
    </row>
    <row r="499" ht="29.25" customHeight="1">
      <c r="A499" s="295"/>
      <c r="B499" s="295"/>
      <c r="C499" s="295"/>
      <c r="D499" s="295"/>
      <c r="E499" s="295"/>
      <c r="F499" s="295"/>
      <c r="G499" s="295"/>
      <c r="H499" s="295"/>
      <c r="I499" s="295"/>
      <c r="J499" s="295"/>
      <c r="K499" s="295"/>
      <c r="L499" s="295"/>
      <c r="M499" s="295"/>
      <c r="N499" s="295"/>
      <c r="O499" s="297"/>
      <c r="P499" s="295"/>
      <c r="Q499" s="295"/>
      <c r="R499" s="295"/>
      <c r="S499" s="295"/>
      <c r="T499" s="295"/>
      <c r="U499" s="295"/>
      <c r="V499" s="295"/>
      <c r="W499" s="295"/>
      <c r="X499" s="295"/>
      <c r="Y499" s="295"/>
      <c r="Z499" s="295"/>
    </row>
    <row r="500" ht="29.25" customHeight="1">
      <c r="A500" s="295"/>
      <c r="B500" s="295"/>
      <c r="C500" s="295"/>
      <c r="D500" s="295"/>
      <c r="E500" s="295"/>
      <c r="F500" s="295"/>
      <c r="G500" s="295"/>
      <c r="H500" s="295"/>
      <c r="I500" s="295"/>
      <c r="J500" s="295"/>
      <c r="K500" s="295"/>
      <c r="L500" s="295"/>
      <c r="M500" s="295"/>
      <c r="N500" s="295"/>
      <c r="O500" s="297"/>
      <c r="P500" s="295"/>
      <c r="Q500" s="295"/>
      <c r="R500" s="295"/>
      <c r="S500" s="295"/>
      <c r="T500" s="295"/>
      <c r="U500" s="295"/>
      <c r="V500" s="295"/>
      <c r="W500" s="295"/>
      <c r="X500" s="295"/>
      <c r="Y500" s="295"/>
      <c r="Z500" s="295"/>
    </row>
    <row r="501" ht="29.25" customHeight="1">
      <c r="A501" s="295"/>
      <c r="B501" s="295"/>
      <c r="C501" s="295"/>
      <c r="D501" s="295"/>
      <c r="E501" s="295"/>
      <c r="F501" s="295"/>
      <c r="G501" s="295"/>
      <c r="H501" s="295"/>
      <c r="I501" s="295"/>
      <c r="J501" s="295"/>
      <c r="K501" s="295"/>
      <c r="L501" s="295"/>
      <c r="M501" s="295"/>
      <c r="N501" s="295"/>
      <c r="O501" s="297"/>
      <c r="P501" s="295"/>
      <c r="Q501" s="295"/>
      <c r="R501" s="295"/>
      <c r="S501" s="295"/>
      <c r="T501" s="295"/>
      <c r="U501" s="295"/>
      <c r="V501" s="295"/>
      <c r="W501" s="295"/>
      <c r="X501" s="295"/>
      <c r="Y501" s="295"/>
      <c r="Z501" s="295"/>
    </row>
    <row r="502" ht="29.25" customHeight="1">
      <c r="A502" s="295"/>
      <c r="B502" s="295"/>
      <c r="C502" s="295"/>
      <c r="D502" s="295"/>
      <c r="E502" s="295"/>
      <c r="F502" s="295"/>
      <c r="G502" s="295"/>
      <c r="H502" s="295"/>
      <c r="I502" s="295"/>
      <c r="J502" s="295"/>
      <c r="K502" s="295"/>
      <c r="L502" s="295"/>
      <c r="M502" s="295"/>
      <c r="N502" s="295"/>
      <c r="O502" s="297"/>
      <c r="P502" s="295"/>
      <c r="Q502" s="295"/>
      <c r="R502" s="295"/>
      <c r="S502" s="295"/>
      <c r="T502" s="295"/>
      <c r="U502" s="295"/>
      <c r="V502" s="295"/>
      <c r="W502" s="295"/>
      <c r="X502" s="295"/>
      <c r="Y502" s="295"/>
      <c r="Z502" s="295"/>
    </row>
    <row r="503" ht="29.25" customHeight="1">
      <c r="A503" s="295"/>
      <c r="B503" s="295"/>
      <c r="C503" s="295"/>
      <c r="D503" s="295"/>
      <c r="E503" s="295"/>
      <c r="F503" s="295"/>
      <c r="G503" s="295"/>
      <c r="H503" s="295"/>
      <c r="I503" s="295"/>
      <c r="J503" s="295"/>
      <c r="K503" s="295"/>
      <c r="L503" s="295"/>
      <c r="M503" s="295"/>
      <c r="N503" s="295"/>
      <c r="O503" s="297"/>
      <c r="P503" s="295"/>
      <c r="Q503" s="295"/>
      <c r="R503" s="295"/>
      <c r="S503" s="295"/>
      <c r="T503" s="295"/>
      <c r="U503" s="295"/>
      <c r="V503" s="295"/>
      <c r="W503" s="295"/>
      <c r="X503" s="295"/>
      <c r="Y503" s="295"/>
      <c r="Z503" s="295"/>
    </row>
    <row r="504" ht="29.25" customHeight="1">
      <c r="A504" s="295"/>
      <c r="B504" s="295"/>
      <c r="C504" s="295"/>
      <c r="D504" s="295"/>
      <c r="E504" s="295"/>
      <c r="F504" s="295"/>
      <c r="G504" s="295"/>
      <c r="H504" s="295"/>
      <c r="I504" s="295"/>
      <c r="J504" s="295"/>
      <c r="K504" s="295"/>
      <c r="L504" s="295"/>
      <c r="M504" s="295"/>
      <c r="N504" s="295"/>
      <c r="O504" s="297"/>
      <c r="P504" s="295"/>
      <c r="Q504" s="295"/>
      <c r="R504" s="295"/>
      <c r="S504" s="295"/>
      <c r="T504" s="295"/>
      <c r="U504" s="295"/>
      <c r="V504" s="295"/>
      <c r="W504" s="295"/>
      <c r="X504" s="295"/>
      <c r="Y504" s="295"/>
      <c r="Z504" s="295"/>
    </row>
    <row r="505" ht="29.25" customHeight="1">
      <c r="A505" s="295"/>
      <c r="B505" s="295"/>
      <c r="C505" s="295"/>
      <c r="D505" s="295"/>
      <c r="E505" s="295"/>
      <c r="F505" s="295"/>
      <c r="G505" s="295"/>
      <c r="H505" s="295"/>
      <c r="I505" s="295"/>
      <c r="J505" s="295"/>
      <c r="K505" s="295"/>
      <c r="L505" s="295"/>
      <c r="M505" s="295"/>
      <c r="N505" s="295"/>
      <c r="O505" s="297"/>
      <c r="P505" s="295"/>
      <c r="Q505" s="295"/>
      <c r="R505" s="295"/>
      <c r="S505" s="295"/>
      <c r="T505" s="295"/>
      <c r="U505" s="295"/>
      <c r="V505" s="295"/>
      <c r="W505" s="295"/>
      <c r="X505" s="295"/>
      <c r="Y505" s="295"/>
      <c r="Z505" s="295"/>
    </row>
    <row r="506" ht="29.25" customHeight="1">
      <c r="A506" s="295"/>
      <c r="B506" s="295"/>
      <c r="C506" s="295"/>
      <c r="D506" s="295"/>
      <c r="E506" s="295"/>
      <c r="F506" s="295"/>
      <c r="G506" s="295"/>
      <c r="H506" s="295"/>
      <c r="I506" s="295"/>
      <c r="J506" s="295"/>
      <c r="K506" s="295"/>
      <c r="L506" s="295"/>
      <c r="M506" s="295"/>
      <c r="N506" s="295"/>
      <c r="O506" s="297"/>
      <c r="P506" s="295"/>
      <c r="Q506" s="295"/>
      <c r="R506" s="295"/>
      <c r="S506" s="295"/>
      <c r="T506" s="295"/>
      <c r="U506" s="295"/>
      <c r="V506" s="295"/>
      <c r="W506" s="295"/>
      <c r="X506" s="295"/>
      <c r="Y506" s="295"/>
      <c r="Z506" s="295"/>
    </row>
    <row r="507" ht="29.25" customHeight="1">
      <c r="A507" s="295"/>
      <c r="B507" s="295"/>
      <c r="C507" s="295"/>
      <c r="D507" s="295"/>
      <c r="E507" s="295"/>
      <c r="F507" s="295"/>
      <c r="G507" s="295"/>
      <c r="H507" s="295"/>
      <c r="I507" s="295"/>
      <c r="J507" s="295"/>
      <c r="K507" s="295"/>
      <c r="L507" s="295"/>
      <c r="M507" s="295"/>
      <c r="N507" s="295"/>
      <c r="O507" s="297"/>
      <c r="P507" s="295"/>
      <c r="Q507" s="295"/>
      <c r="R507" s="295"/>
      <c r="S507" s="295"/>
      <c r="T507" s="295"/>
      <c r="U507" s="295"/>
      <c r="V507" s="295"/>
      <c r="W507" s="295"/>
      <c r="X507" s="295"/>
      <c r="Y507" s="295"/>
      <c r="Z507" s="295"/>
    </row>
    <row r="508" ht="29.25" customHeight="1">
      <c r="A508" s="295"/>
      <c r="B508" s="295"/>
      <c r="C508" s="295"/>
      <c r="D508" s="295"/>
      <c r="E508" s="295"/>
      <c r="F508" s="295"/>
      <c r="G508" s="295"/>
      <c r="H508" s="295"/>
      <c r="I508" s="295"/>
      <c r="J508" s="295"/>
      <c r="K508" s="295"/>
      <c r="L508" s="295"/>
      <c r="M508" s="295"/>
      <c r="N508" s="295"/>
      <c r="O508" s="297"/>
      <c r="P508" s="295"/>
      <c r="Q508" s="295"/>
      <c r="R508" s="295"/>
      <c r="S508" s="295"/>
      <c r="T508" s="295"/>
      <c r="U508" s="295"/>
      <c r="V508" s="295"/>
      <c r="W508" s="295"/>
      <c r="X508" s="295"/>
      <c r="Y508" s="295"/>
      <c r="Z508" s="295"/>
    </row>
    <row r="509" ht="29.25" customHeight="1">
      <c r="A509" s="295"/>
      <c r="B509" s="295"/>
      <c r="C509" s="295"/>
      <c r="D509" s="295"/>
      <c r="E509" s="295"/>
      <c r="F509" s="295"/>
      <c r="G509" s="295"/>
      <c r="H509" s="295"/>
      <c r="I509" s="295"/>
      <c r="J509" s="295"/>
      <c r="K509" s="295"/>
      <c r="L509" s="295"/>
      <c r="M509" s="295"/>
      <c r="N509" s="295"/>
      <c r="O509" s="297"/>
      <c r="P509" s="295"/>
      <c r="Q509" s="295"/>
      <c r="R509" s="295"/>
      <c r="S509" s="295"/>
      <c r="T509" s="295"/>
      <c r="U509" s="295"/>
      <c r="V509" s="295"/>
      <c r="W509" s="295"/>
      <c r="X509" s="295"/>
      <c r="Y509" s="295"/>
      <c r="Z509" s="295"/>
    </row>
    <row r="510" ht="29.25" customHeight="1">
      <c r="A510" s="295"/>
      <c r="B510" s="295"/>
      <c r="C510" s="295"/>
      <c r="D510" s="295"/>
      <c r="E510" s="295"/>
      <c r="F510" s="295"/>
      <c r="G510" s="295"/>
      <c r="H510" s="295"/>
      <c r="I510" s="295"/>
      <c r="J510" s="295"/>
      <c r="K510" s="295"/>
      <c r="L510" s="295"/>
      <c r="M510" s="295"/>
      <c r="N510" s="295"/>
      <c r="O510" s="297"/>
      <c r="P510" s="295"/>
      <c r="Q510" s="295"/>
      <c r="R510" s="295"/>
      <c r="S510" s="295"/>
      <c r="T510" s="295"/>
      <c r="U510" s="295"/>
      <c r="V510" s="295"/>
      <c r="W510" s="295"/>
      <c r="X510" s="295"/>
      <c r="Y510" s="295"/>
      <c r="Z510" s="295"/>
    </row>
    <row r="511" ht="29.25" customHeight="1">
      <c r="A511" s="295"/>
      <c r="B511" s="295"/>
      <c r="C511" s="295"/>
      <c r="D511" s="295"/>
      <c r="E511" s="295"/>
      <c r="F511" s="295"/>
      <c r="G511" s="295"/>
      <c r="H511" s="295"/>
      <c r="I511" s="295"/>
      <c r="J511" s="295"/>
      <c r="K511" s="295"/>
      <c r="L511" s="295"/>
      <c r="M511" s="295"/>
      <c r="N511" s="295"/>
      <c r="O511" s="297"/>
      <c r="P511" s="295"/>
      <c r="Q511" s="295"/>
      <c r="R511" s="295"/>
      <c r="S511" s="295"/>
      <c r="T511" s="295"/>
      <c r="U511" s="295"/>
      <c r="V511" s="295"/>
      <c r="W511" s="295"/>
      <c r="X511" s="295"/>
      <c r="Y511" s="295"/>
      <c r="Z511" s="295"/>
    </row>
    <row r="512" ht="29.25" customHeight="1">
      <c r="A512" s="295"/>
      <c r="B512" s="295"/>
      <c r="C512" s="295"/>
      <c r="D512" s="295"/>
      <c r="E512" s="295"/>
      <c r="F512" s="295"/>
      <c r="G512" s="295"/>
      <c r="H512" s="295"/>
      <c r="I512" s="295"/>
      <c r="J512" s="295"/>
      <c r="K512" s="295"/>
      <c r="L512" s="295"/>
      <c r="M512" s="295"/>
      <c r="N512" s="295"/>
      <c r="O512" s="297"/>
      <c r="P512" s="295"/>
      <c r="Q512" s="295"/>
      <c r="R512" s="295"/>
      <c r="S512" s="295"/>
      <c r="T512" s="295"/>
      <c r="U512" s="295"/>
      <c r="V512" s="295"/>
      <c r="W512" s="295"/>
      <c r="X512" s="295"/>
      <c r="Y512" s="295"/>
      <c r="Z512" s="295"/>
    </row>
    <row r="513" ht="29.25" customHeight="1">
      <c r="A513" s="295"/>
      <c r="B513" s="295"/>
      <c r="C513" s="295"/>
      <c r="D513" s="295"/>
      <c r="E513" s="295"/>
      <c r="F513" s="295"/>
      <c r="G513" s="295"/>
      <c r="H513" s="295"/>
      <c r="I513" s="295"/>
      <c r="J513" s="295"/>
      <c r="K513" s="295"/>
      <c r="L513" s="295"/>
      <c r="M513" s="295"/>
      <c r="N513" s="295"/>
      <c r="O513" s="297"/>
      <c r="P513" s="295"/>
      <c r="Q513" s="295"/>
      <c r="R513" s="295"/>
      <c r="S513" s="295"/>
      <c r="T513" s="295"/>
      <c r="U513" s="295"/>
      <c r="V513" s="295"/>
      <c r="W513" s="295"/>
      <c r="X513" s="295"/>
      <c r="Y513" s="295"/>
      <c r="Z513" s="295"/>
    </row>
    <row r="514" ht="29.25" customHeight="1">
      <c r="A514" s="295"/>
      <c r="B514" s="295"/>
      <c r="C514" s="295"/>
      <c r="D514" s="295"/>
      <c r="E514" s="295"/>
      <c r="F514" s="295"/>
      <c r="G514" s="295"/>
      <c r="H514" s="295"/>
      <c r="I514" s="295"/>
      <c r="J514" s="295"/>
      <c r="K514" s="295"/>
      <c r="L514" s="295"/>
      <c r="M514" s="295"/>
      <c r="N514" s="295"/>
      <c r="O514" s="297"/>
      <c r="P514" s="295"/>
      <c r="Q514" s="295"/>
      <c r="R514" s="295"/>
      <c r="S514" s="295"/>
      <c r="T514" s="295"/>
      <c r="U514" s="295"/>
      <c r="V514" s="295"/>
      <c r="W514" s="295"/>
      <c r="X514" s="295"/>
      <c r="Y514" s="295"/>
      <c r="Z514" s="295"/>
    </row>
    <row r="515" ht="29.25" customHeight="1">
      <c r="A515" s="295"/>
      <c r="B515" s="295"/>
      <c r="C515" s="295"/>
      <c r="D515" s="295"/>
      <c r="E515" s="295"/>
      <c r="F515" s="295"/>
      <c r="G515" s="295"/>
      <c r="H515" s="295"/>
      <c r="I515" s="295"/>
      <c r="J515" s="295"/>
      <c r="K515" s="295"/>
      <c r="L515" s="295"/>
      <c r="M515" s="295"/>
      <c r="N515" s="295"/>
      <c r="O515" s="297"/>
      <c r="P515" s="295"/>
      <c r="Q515" s="295"/>
      <c r="R515" s="295"/>
      <c r="S515" s="295"/>
      <c r="T515" s="295"/>
      <c r="U515" s="295"/>
      <c r="V515" s="295"/>
      <c r="W515" s="295"/>
      <c r="X515" s="295"/>
      <c r="Y515" s="295"/>
      <c r="Z515" s="295"/>
    </row>
    <row r="516" ht="29.25" customHeight="1">
      <c r="A516" s="295"/>
      <c r="B516" s="295"/>
      <c r="C516" s="295"/>
      <c r="D516" s="295"/>
      <c r="E516" s="295"/>
      <c r="F516" s="295"/>
      <c r="G516" s="295"/>
      <c r="H516" s="295"/>
      <c r="I516" s="295"/>
      <c r="J516" s="295"/>
      <c r="K516" s="295"/>
      <c r="L516" s="295"/>
      <c r="M516" s="295"/>
      <c r="N516" s="295"/>
      <c r="O516" s="297"/>
      <c r="P516" s="295"/>
      <c r="Q516" s="295"/>
      <c r="R516" s="295"/>
      <c r="S516" s="295"/>
      <c r="T516" s="295"/>
      <c r="U516" s="295"/>
      <c r="V516" s="295"/>
      <c r="W516" s="295"/>
      <c r="X516" s="295"/>
      <c r="Y516" s="295"/>
      <c r="Z516" s="295"/>
    </row>
    <row r="517" ht="29.25" customHeight="1">
      <c r="A517" s="295"/>
      <c r="B517" s="295"/>
      <c r="C517" s="295"/>
      <c r="D517" s="295"/>
      <c r="E517" s="295"/>
      <c r="F517" s="295"/>
      <c r="G517" s="295"/>
      <c r="H517" s="295"/>
      <c r="I517" s="295"/>
      <c r="J517" s="295"/>
      <c r="K517" s="295"/>
      <c r="L517" s="295"/>
      <c r="M517" s="295"/>
      <c r="N517" s="295"/>
      <c r="O517" s="297"/>
      <c r="P517" s="295"/>
      <c r="Q517" s="295"/>
      <c r="R517" s="295"/>
      <c r="S517" s="295"/>
      <c r="T517" s="295"/>
      <c r="U517" s="295"/>
      <c r="V517" s="295"/>
      <c r="W517" s="295"/>
      <c r="X517" s="295"/>
      <c r="Y517" s="295"/>
      <c r="Z517" s="295"/>
    </row>
    <row r="518" ht="29.25" customHeight="1">
      <c r="A518" s="295"/>
      <c r="B518" s="295"/>
      <c r="C518" s="295"/>
      <c r="D518" s="295"/>
      <c r="E518" s="295"/>
      <c r="F518" s="295"/>
      <c r="G518" s="295"/>
      <c r="H518" s="295"/>
      <c r="I518" s="295"/>
      <c r="J518" s="295"/>
      <c r="K518" s="295"/>
      <c r="L518" s="295"/>
      <c r="M518" s="295"/>
      <c r="N518" s="295"/>
      <c r="O518" s="297"/>
      <c r="P518" s="295"/>
      <c r="Q518" s="295"/>
      <c r="R518" s="295"/>
      <c r="S518" s="295"/>
      <c r="T518" s="295"/>
      <c r="U518" s="295"/>
      <c r="V518" s="295"/>
      <c r="W518" s="295"/>
      <c r="X518" s="295"/>
      <c r="Y518" s="295"/>
      <c r="Z518" s="295"/>
    </row>
    <row r="519" ht="29.25" customHeight="1">
      <c r="A519" s="295"/>
      <c r="B519" s="295"/>
      <c r="C519" s="295"/>
      <c r="D519" s="295"/>
      <c r="E519" s="295"/>
      <c r="F519" s="295"/>
      <c r="G519" s="295"/>
      <c r="H519" s="295"/>
      <c r="I519" s="295"/>
      <c r="J519" s="295"/>
      <c r="K519" s="295"/>
      <c r="L519" s="295"/>
      <c r="M519" s="295"/>
      <c r="N519" s="295"/>
      <c r="O519" s="297"/>
      <c r="P519" s="295"/>
      <c r="Q519" s="295"/>
      <c r="R519" s="295"/>
      <c r="S519" s="295"/>
      <c r="T519" s="295"/>
      <c r="U519" s="295"/>
      <c r="V519" s="295"/>
      <c r="W519" s="295"/>
      <c r="X519" s="295"/>
      <c r="Y519" s="295"/>
      <c r="Z519" s="295"/>
    </row>
    <row r="520" ht="29.25" customHeight="1">
      <c r="A520" s="295"/>
      <c r="B520" s="295"/>
      <c r="C520" s="295"/>
      <c r="D520" s="295"/>
      <c r="E520" s="295"/>
      <c r="F520" s="295"/>
      <c r="G520" s="295"/>
      <c r="H520" s="295"/>
      <c r="I520" s="295"/>
      <c r="J520" s="295"/>
      <c r="K520" s="295"/>
      <c r="L520" s="295"/>
      <c r="M520" s="295"/>
      <c r="N520" s="295"/>
      <c r="O520" s="297"/>
      <c r="P520" s="295"/>
      <c r="Q520" s="295"/>
      <c r="R520" s="295"/>
      <c r="S520" s="295"/>
      <c r="T520" s="295"/>
      <c r="U520" s="295"/>
      <c r="V520" s="295"/>
      <c r="W520" s="295"/>
      <c r="X520" s="295"/>
      <c r="Y520" s="295"/>
      <c r="Z520" s="295"/>
    </row>
    <row r="521" ht="29.25" customHeight="1">
      <c r="A521" s="295"/>
      <c r="B521" s="295"/>
      <c r="C521" s="295"/>
      <c r="D521" s="295"/>
      <c r="E521" s="295"/>
      <c r="F521" s="295"/>
      <c r="G521" s="295"/>
      <c r="H521" s="295"/>
      <c r="I521" s="295"/>
      <c r="J521" s="295"/>
      <c r="K521" s="295"/>
      <c r="L521" s="295"/>
      <c r="M521" s="295"/>
      <c r="N521" s="295"/>
      <c r="O521" s="297"/>
      <c r="P521" s="295"/>
      <c r="Q521" s="295"/>
      <c r="R521" s="295"/>
      <c r="S521" s="295"/>
      <c r="T521" s="295"/>
      <c r="U521" s="295"/>
      <c r="V521" s="295"/>
      <c r="W521" s="295"/>
      <c r="X521" s="295"/>
      <c r="Y521" s="295"/>
      <c r="Z521" s="295"/>
    </row>
    <row r="522" ht="29.25" customHeight="1">
      <c r="A522" s="295"/>
      <c r="B522" s="295"/>
      <c r="C522" s="295"/>
      <c r="D522" s="295"/>
      <c r="E522" s="295"/>
      <c r="F522" s="295"/>
      <c r="G522" s="295"/>
      <c r="H522" s="295"/>
      <c r="I522" s="295"/>
      <c r="J522" s="295"/>
      <c r="K522" s="295"/>
      <c r="L522" s="295"/>
      <c r="M522" s="295"/>
      <c r="N522" s="295"/>
      <c r="O522" s="297"/>
      <c r="P522" s="295"/>
      <c r="Q522" s="295"/>
      <c r="R522" s="295"/>
      <c r="S522" s="295"/>
      <c r="T522" s="295"/>
      <c r="U522" s="295"/>
      <c r="V522" s="295"/>
      <c r="W522" s="295"/>
      <c r="X522" s="295"/>
      <c r="Y522" s="295"/>
      <c r="Z522" s="295"/>
    </row>
    <row r="523" ht="29.25" customHeight="1">
      <c r="A523" s="295"/>
      <c r="B523" s="295"/>
      <c r="C523" s="295"/>
      <c r="D523" s="295"/>
      <c r="E523" s="295"/>
      <c r="F523" s="295"/>
      <c r="G523" s="295"/>
      <c r="H523" s="295"/>
      <c r="I523" s="295"/>
      <c r="J523" s="295"/>
      <c r="K523" s="295"/>
      <c r="L523" s="295"/>
      <c r="M523" s="295"/>
      <c r="N523" s="295"/>
      <c r="O523" s="297"/>
      <c r="P523" s="295"/>
      <c r="Q523" s="295"/>
      <c r="R523" s="295"/>
      <c r="S523" s="295"/>
      <c r="T523" s="295"/>
      <c r="U523" s="295"/>
      <c r="V523" s="295"/>
      <c r="W523" s="295"/>
      <c r="X523" s="295"/>
      <c r="Y523" s="295"/>
      <c r="Z523" s="295"/>
    </row>
    <row r="524" ht="29.25" customHeight="1">
      <c r="A524" s="295"/>
      <c r="B524" s="295"/>
      <c r="C524" s="295"/>
      <c r="D524" s="295"/>
      <c r="E524" s="295"/>
      <c r="F524" s="295"/>
      <c r="G524" s="295"/>
      <c r="H524" s="295"/>
      <c r="I524" s="295"/>
      <c r="J524" s="295"/>
      <c r="K524" s="295"/>
      <c r="L524" s="295"/>
      <c r="M524" s="295"/>
      <c r="N524" s="295"/>
      <c r="O524" s="297"/>
      <c r="P524" s="295"/>
      <c r="Q524" s="295"/>
      <c r="R524" s="295"/>
      <c r="S524" s="295"/>
      <c r="T524" s="295"/>
      <c r="U524" s="295"/>
      <c r="V524" s="295"/>
      <c r="W524" s="295"/>
      <c r="X524" s="295"/>
      <c r="Y524" s="295"/>
      <c r="Z524" s="295"/>
    </row>
    <row r="525" ht="29.25" customHeight="1">
      <c r="A525" s="295"/>
      <c r="B525" s="295"/>
      <c r="C525" s="295"/>
      <c r="D525" s="295"/>
      <c r="E525" s="295"/>
      <c r="F525" s="295"/>
      <c r="G525" s="295"/>
      <c r="H525" s="295"/>
      <c r="I525" s="295"/>
      <c r="J525" s="295"/>
      <c r="K525" s="295"/>
      <c r="L525" s="295"/>
      <c r="M525" s="295"/>
      <c r="N525" s="295"/>
      <c r="O525" s="297"/>
      <c r="P525" s="295"/>
      <c r="Q525" s="295"/>
      <c r="R525" s="295"/>
      <c r="S525" s="295"/>
      <c r="T525" s="295"/>
      <c r="U525" s="295"/>
      <c r="V525" s="295"/>
      <c r="W525" s="295"/>
      <c r="X525" s="295"/>
      <c r="Y525" s="295"/>
      <c r="Z525" s="295"/>
    </row>
    <row r="526" ht="29.25" customHeight="1">
      <c r="A526" s="295"/>
      <c r="B526" s="295"/>
      <c r="C526" s="295"/>
      <c r="D526" s="295"/>
      <c r="E526" s="295"/>
      <c r="F526" s="295"/>
      <c r="G526" s="295"/>
      <c r="H526" s="295"/>
      <c r="I526" s="295"/>
      <c r="J526" s="295"/>
      <c r="K526" s="295"/>
      <c r="L526" s="295"/>
      <c r="M526" s="295"/>
      <c r="N526" s="295"/>
      <c r="O526" s="297"/>
      <c r="P526" s="295"/>
      <c r="Q526" s="295"/>
      <c r="R526" s="295"/>
      <c r="S526" s="295"/>
      <c r="T526" s="295"/>
      <c r="U526" s="295"/>
      <c r="V526" s="295"/>
      <c r="W526" s="295"/>
      <c r="X526" s="295"/>
      <c r="Y526" s="295"/>
      <c r="Z526" s="295"/>
    </row>
    <row r="527" ht="29.25" customHeight="1">
      <c r="A527" s="295"/>
      <c r="B527" s="295"/>
      <c r="C527" s="295"/>
      <c r="D527" s="295"/>
      <c r="E527" s="295"/>
      <c r="F527" s="295"/>
      <c r="G527" s="295"/>
      <c r="H527" s="295"/>
      <c r="I527" s="295"/>
      <c r="J527" s="295"/>
      <c r="K527" s="295"/>
      <c r="L527" s="295"/>
      <c r="M527" s="295"/>
      <c r="N527" s="295"/>
      <c r="O527" s="297"/>
      <c r="P527" s="295"/>
      <c r="Q527" s="295"/>
      <c r="R527" s="295"/>
      <c r="S527" s="295"/>
      <c r="T527" s="295"/>
      <c r="U527" s="295"/>
      <c r="V527" s="295"/>
      <c r="W527" s="295"/>
      <c r="X527" s="295"/>
      <c r="Y527" s="295"/>
      <c r="Z527" s="295"/>
    </row>
    <row r="528" ht="29.25" customHeight="1">
      <c r="A528" s="295"/>
      <c r="B528" s="295"/>
      <c r="C528" s="295"/>
      <c r="D528" s="295"/>
      <c r="E528" s="295"/>
      <c r="F528" s="295"/>
      <c r="G528" s="295"/>
      <c r="H528" s="295"/>
      <c r="I528" s="295"/>
      <c r="J528" s="295"/>
      <c r="K528" s="295"/>
      <c r="L528" s="295"/>
      <c r="M528" s="295"/>
      <c r="N528" s="295"/>
      <c r="O528" s="297"/>
      <c r="P528" s="295"/>
      <c r="Q528" s="295"/>
      <c r="R528" s="295"/>
      <c r="S528" s="295"/>
      <c r="T528" s="295"/>
      <c r="U528" s="295"/>
      <c r="V528" s="295"/>
      <c r="W528" s="295"/>
      <c r="X528" s="295"/>
      <c r="Y528" s="295"/>
      <c r="Z528" s="295"/>
    </row>
    <row r="529" ht="29.25" customHeight="1">
      <c r="A529" s="295"/>
      <c r="B529" s="295"/>
      <c r="C529" s="295"/>
      <c r="D529" s="295"/>
      <c r="E529" s="295"/>
      <c r="F529" s="295"/>
      <c r="G529" s="295"/>
      <c r="H529" s="295"/>
      <c r="I529" s="295"/>
      <c r="J529" s="295"/>
      <c r="K529" s="295"/>
      <c r="L529" s="295"/>
      <c r="M529" s="295"/>
      <c r="N529" s="295"/>
      <c r="O529" s="297"/>
      <c r="P529" s="295"/>
      <c r="Q529" s="295"/>
      <c r="R529" s="295"/>
      <c r="S529" s="295"/>
      <c r="T529" s="295"/>
      <c r="U529" s="295"/>
      <c r="V529" s="295"/>
      <c r="W529" s="295"/>
      <c r="X529" s="295"/>
      <c r="Y529" s="295"/>
      <c r="Z529" s="295"/>
    </row>
    <row r="530" ht="29.25" customHeight="1">
      <c r="A530" s="295"/>
      <c r="B530" s="295"/>
      <c r="C530" s="295"/>
      <c r="D530" s="295"/>
      <c r="E530" s="295"/>
      <c r="F530" s="295"/>
      <c r="G530" s="295"/>
      <c r="H530" s="295"/>
      <c r="I530" s="295"/>
      <c r="J530" s="295"/>
      <c r="K530" s="295"/>
      <c r="L530" s="295"/>
      <c r="M530" s="295"/>
      <c r="N530" s="295"/>
      <c r="O530" s="297"/>
      <c r="P530" s="295"/>
      <c r="Q530" s="295"/>
      <c r="R530" s="295"/>
      <c r="S530" s="295"/>
      <c r="T530" s="295"/>
      <c r="U530" s="295"/>
      <c r="V530" s="295"/>
      <c r="W530" s="295"/>
      <c r="X530" s="295"/>
      <c r="Y530" s="295"/>
      <c r="Z530" s="295"/>
    </row>
    <row r="531" ht="29.25" customHeight="1">
      <c r="A531" s="295"/>
      <c r="B531" s="295"/>
      <c r="C531" s="295"/>
      <c r="D531" s="295"/>
      <c r="E531" s="295"/>
      <c r="F531" s="295"/>
      <c r="G531" s="295"/>
      <c r="H531" s="295"/>
      <c r="I531" s="295"/>
      <c r="J531" s="295"/>
      <c r="K531" s="295"/>
      <c r="L531" s="295"/>
      <c r="M531" s="295"/>
      <c r="N531" s="295"/>
      <c r="O531" s="297"/>
      <c r="P531" s="295"/>
      <c r="Q531" s="295"/>
      <c r="R531" s="295"/>
      <c r="S531" s="295"/>
      <c r="T531" s="295"/>
      <c r="U531" s="295"/>
      <c r="V531" s="295"/>
      <c r="W531" s="295"/>
      <c r="X531" s="295"/>
      <c r="Y531" s="295"/>
      <c r="Z531" s="295"/>
    </row>
    <row r="532" ht="29.25" customHeight="1">
      <c r="A532" s="295"/>
      <c r="B532" s="295"/>
      <c r="C532" s="295"/>
      <c r="D532" s="295"/>
      <c r="E532" s="295"/>
      <c r="F532" s="295"/>
      <c r="G532" s="295"/>
      <c r="H532" s="295"/>
      <c r="I532" s="295"/>
      <c r="J532" s="295"/>
      <c r="K532" s="295"/>
      <c r="L532" s="295"/>
      <c r="M532" s="295"/>
      <c r="N532" s="295"/>
      <c r="O532" s="297"/>
      <c r="P532" s="295"/>
      <c r="Q532" s="295"/>
      <c r="R532" s="295"/>
      <c r="S532" s="295"/>
      <c r="T532" s="295"/>
      <c r="U532" s="295"/>
      <c r="V532" s="295"/>
      <c r="W532" s="295"/>
      <c r="X532" s="295"/>
      <c r="Y532" s="295"/>
      <c r="Z532" s="295"/>
    </row>
    <row r="533" ht="29.25" customHeight="1">
      <c r="A533" s="295"/>
      <c r="B533" s="295"/>
      <c r="C533" s="295"/>
      <c r="D533" s="295"/>
      <c r="E533" s="295"/>
      <c r="F533" s="295"/>
      <c r="G533" s="295"/>
      <c r="H533" s="295"/>
      <c r="I533" s="295"/>
      <c r="J533" s="295"/>
      <c r="K533" s="295"/>
      <c r="L533" s="295"/>
      <c r="M533" s="295"/>
      <c r="N533" s="295"/>
      <c r="O533" s="297"/>
      <c r="P533" s="295"/>
      <c r="Q533" s="295"/>
      <c r="R533" s="295"/>
      <c r="S533" s="295"/>
      <c r="T533" s="295"/>
      <c r="U533" s="295"/>
      <c r="V533" s="295"/>
      <c r="W533" s="295"/>
      <c r="X533" s="295"/>
      <c r="Y533" s="295"/>
      <c r="Z533" s="295"/>
    </row>
    <row r="534" ht="29.25" customHeight="1">
      <c r="A534" s="295"/>
      <c r="B534" s="295"/>
      <c r="C534" s="295"/>
      <c r="D534" s="295"/>
      <c r="E534" s="295"/>
      <c r="F534" s="295"/>
      <c r="G534" s="295"/>
      <c r="H534" s="295"/>
      <c r="I534" s="295"/>
      <c r="J534" s="295"/>
      <c r="K534" s="295"/>
      <c r="L534" s="295"/>
      <c r="M534" s="295"/>
      <c r="N534" s="295"/>
      <c r="O534" s="297"/>
      <c r="P534" s="295"/>
      <c r="Q534" s="295"/>
      <c r="R534" s="295"/>
      <c r="S534" s="295"/>
      <c r="T534" s="295"/>
      <c r="U534" s="295"/>
      <c r="V534" s="295"/>
      <c r="W534" s="295"/>
      <c r="X534" s="295"/>
      <c r="Y534" s="295"/>
      <c r="Z534" s="295"/>
    </row>
    <row r="535" ht="29.25" customHeight="1">
      <c r="A535" s="295"/>
      <c r="B535" s="295"/>
      <c r="C535" s="295"/>
      <c r="D535" s="295"/>
      <c r="E535" s="295"/>
      <c r="F535" s="295"/>
      <c r="G535" s="295"/>
      <c r="H535" s="295"/>
      <c r="I535" s="295"/>
      <c r="J535" s="295"/>
      <c r="K535" s="295"/>
      <c r="L535" s="295"/>
      <c r="M535" s="295"/>
      <c r="N535" s="295"/>
      <c r="O535" s="297"/>
      <c r="P535" s="295"/>
      <c r="Q535" s="295"/>
      <c r="R535" s="295"/>
      <c r="S535" s="295"/>
      <c r="T535" s="295"/>
      <c r="U535" s="295"/>
      <c r="V535" s="295"/>
      <c r="W535" s="295"/>
      <c r="X535" s="295"/>
      <c r="Y535" s="295"/>
      <c r="Z535" s="295"/>
    </row>
    <row r="536" ht="29.25" customHeight="1">
      <c r="A536" s="295"/>
      <c r="B536" s="295"/>
      <c r="C536" s="295"/>
      <c r="D536" s="295"/>
      <c r="E536" s="295"/>
      <c r="F536" s="295"/>
      <c r="G536" s="295"/>
      <c r="H536" s="295"/>
      <c r="I536" s="295"/>
      <c r="J536" s="295"/>
      <c r="K536" s="295"/>
      <c r="L536" s="295"/>
      <c r="M536" s="295"/>
      <c r="N536" s="295"/>
      <c r="O536" s="297"/>
      <c r="P536" s="295"/>
      <c r="Q536" s="295"/>
      <c r="R536" s="295"/>
      <c r="S536" s="295"/>
      <c r="T536" s="295"/>
      <c r="U536" s="295"/>
      <c r="V536" s="295"/>
      <c r="W536" s="295"/>
      <c r="X536" s="295"/>
      <c r="Y536" s="295"/>
      <c r="Z536" s="295"/>
    </row>
    <row r="537" ht="29.25" customHeight="1">
      <c r="A537" s="295"/>
      <c r="B537" s="295"/>
      <c r="C537" s="295"/>
      <c r="D537" s="295"/>
      <c r="E537" s="295"/>
      <c r="F537" s="295"/>
      <c r="G537" s="295"/>
      <c r="H537" s="295"/>
      <c r="I537" s="295"/>
      <c r="J537" s="295"/>
      <c r="K537" s="295"/>
      <c r="L537" s="295"/>
      <c r="M537" s="295"/>
      <c r="N537" s="295"/>
      <c r="O537" s="297"/>
      <c r="P537" s="295"/>
      <c r="Q537" s="295"/>
      <c r="R537" s="295"/>
      <c r="S537" s="295"/>
      <c r="T537" s="295"/>
      <c r="U537" s="295"/>
      <c r="V537" s="295"/>
      <c r="W537" s="295"/>
      <c r="X537" s="295"/>
      <c r="Y537" s="295"/>
      <c r="Z537" s="295"/>
    </row>
    <row r="538" ht="29.25" customHeight="1">
      <c r="A538" s="295"/>
      <c r="B538" s="295"/>
      <c r="C538" s="295"/>
      <c r="D538" s="295"/>
      <c r="E538" s="295"/>
      <c r="F538" s="295"/>
      <c r="G538" s="295"/>
      <c r="H538" s="295"/>
      <c r="I538" s="295"/>
      <c r="J538" s="295"/>
      <c r="K538" s="295"/>
      <c r="L538" s="295"/>
      <c r="M538" s="295"/>
      <c r="N538" s="295"/>
      <c r="O538" s="297"/>
      <c r="P538" s="295"/>
      <c r="Q538" s="295"/>
      <c r="R538" s="295"/>
      <c r="S538" s="295"/>
      <c r="T538" s="295"/>
      <c r="U538" s="295"/>
      <c r="V538" s="295"/>
      <c r="W538" s="295"/>
      <c r="X538" s="295"/>
      <c r="Y538" s="295"/>
      <c r="Z538" s="295"/>
    </row>
    <row r="539" ht="29.25" customHeight="1">
      <c r="A539" s="295"/>
      <c r="B539" s="295"/>
      <c r="C539" s="295"/>
      <c r="D539" s="295"/>
      <c r="E539" s="295"/>
      <c r="F539" s="295"/>
      <c r="G539" s="295"/>
      <c r="H539" s="295"/>
      <c r="I539" s="295"/>
      <c r="J539" s="295"/>
      <c r="K539" s="295"/>
      <c r="L539" s="295"/>
      <c r="M539" s="295"/>
      <c r="N539" s="295"/>
      <c r="O539" s="297"/>
      <c r="P539" s="295"/>
      <c r="Q539" s="295"/>
      <c r="R539" s="295"/>
      <c r="S539" s="295"/>
      <c r="T539" s="295"/>
      <c r="U539" s="295"/>
      <c r="V539" s="295"/>
      <c r="W539" s="295"/>
      <c r="X539" s="295"/>
      <c r="Y539" s="295"/>
      <c r="Z539" s="295"/>
    </row>
    <row r="540" ht="29.25" customHeight="1">
      <c r="A540" s="295"/>
      <c r="B540" s="295"/>
      <c r="C540" s="295"/>
      <c r="D540" s="295"/>
      <c r="E540" s="295"/>
      <c r="F540" s="295"/>
      <c r="G540" s="295"/>
      <c r="H540" s="295"/>
      <c r="I540" s="295"/>
      <c r="J540" s="295"/>
      <c r="K540" s="295"/>
      <c r="L540" s="295"/>
      <c r="M540" s="295"/>
      <c r="N540" s="295"/>
      <c r="O540" s="297"/>
      <c r="P540" s="295"/>
      <c r="Q540" s="295"/>
      <c r="R540" s="295"/>
      <c r="S540" s="295"/>
      <c r="T540" s="295"/>
      <c r="U540" s="295"/>
      <c r="V540" s="295"/>
      <c r="W540" s="295"/>
      <c r="X540" s="295"/>
      <c r="Y540" s="295"/>
      <c r="Z540" s="295"/>
    </row>
    <row r="541" ht="29.25" customHeight="1">
      <c r="A541" s="295"/>
      <c r="B541" s="295"/>
      <c r="C541" s="295"/>
      <c r="D541" s="295"/>
      <c r="E541" s="295"/>
      <c r="F541" s="295"/>
      <c r="G541" s="295"/>
      <c r="H541" s="295"/>
      <c r="I541" s="295"/>
      <c r="J541" s="295"/>
      <c r="K541" s="295"/>
      <c r="L541" s="295"/>
      <c r="M541" s="295"/>
      <c r="N541" s="295"/>
      <c r="O541" s="297"/>
      <c r="P541" s="295"/>
      <c r="Q541" s="295"/>
      <c r="R541" s="295"/>
      <c r="S541" s="295"/>
      <c r="T541" s="295"/>
      <c r="U541" s="295"/>
      <c r="V541" s="295"/>
      <c r="W541" s="295"/>
      <c r="X541" s="295"/>
      <c r="Y541" s="295"/>
      <c r="Z541" s="295"/>
    </row>
    <row r="542" ht="29.25" customHeight="1">
      <c r="A542" s="295"/>
      <c r="B542" s="295"/>
      <c r="C542" s="295"/>
      <c r="D542" s="295"/>
      <c r="E542" s="295"/>
      <c r="F542" s="295"/>
      <c r="G542" s="295"/>
      <c r="H542" s="295"/>
      <c r="I542" s="295"/>
      <c r="J542" s="295"/>
      <c r="K542" s="295"/>
      <c r="L542" s="295"/>
      <c r="M542" s="295"/>
      <c r="N542" s="295"/>
      <c r="O542" s="297"/>
      <c r="P542" s="295"/>
      <c r="Q542" s="295"/>
      <c r="R542" s="295"/>
      <c r="S542" s="295"/>
      <c r="T542" s="295"/>
      <c r="U542" s="295"/>
      <c r="V542" s="295"/>
      <c r="W542" s="295"/>
      <c r="X542" s="295"/>
      <c r="Y542" s="295"/>
      <c r="Z542" s="295"/>
    </row>
    <row r="543" ht="29.25" customHeight="1">
      <c r="A543" s="295"/>
      <c r="B543" s="295"/>
      <c r="C543" s="295"/>
      <c r="D543" s="295"/>
      <c r="E543" s="295"/>
      <c r="F543" s="295"/>
      <c r="G543" s="295"/>
      <c r="H543" s="295"/>
      <c r="I543" s="295"/>
      <c r="J543" s="295"/>
      <c r="K543" s="295"/>
      <c r="L543" s="295"/>
      <c r="M543" s="295"/>
      <c r="N543" s="295"/>
      <c r="O543" s="297"/>
      <c r="P543" s="295"/>
      <c r="Q543" s="295"/>
      <c r="R543" s="295"/>
      <c r="S543" s="295"/>
      <c r="T543" s="295"/>
      <c r="U543" s="295"/>
      <c r="V543" s="295"/>
      <c r="W543" s="295"/>
      <c r="X543" s="295"/>
      <c r="Y543" s="295"/>
      <c r="Z543" s="295"/>
    </row>
    <row r="544" ht="29.25" customHeight="1">
      <c r="A544" s="295"/>
      <c r="B544" s="295"/>
      <c r="C544" s="295"/>
      <c r="D544" s="295"/>
      <c r="E544" s="295"/>
      <c r="F544" s="295"/>
      <c r="G544" s="295"/>
      <c r="H544" s="295"/>
      <c r="I544" s="295"/>
      <c r="J544" s="295"/>
      <c r="K544" s="295"/>
      <c r="L544" s="295"/>
      <c r="M544" s="295"/>
      <c r="N544" s="295"/>
      <c r="O544" s="297"/>
      <c r="P544" s="295"/>
      <c r="Q544" s="295"/>
      <c r="R544" s="295"/>
      <c r="S544" s="295"/>
      <c r="T544" s="295"/>
      <c r="U544" s="295"/>
      <c r="V544" s="295"/>
      <c r="W544" s="295"/>
      <c r="X544" s="295"/>
      <c r="Y544" s="295"/>
      <c r="Z544" s="295"/>
    </row>
    <row r="545" ht="29.25" customHeight="1">
      <c r="A545" s="295"/>
      <c r="B545" s="295"/>
      <c r="C545" s="295"/>
      <c r="D545" s="295"/>
      <c r="E545" s="295"/>
      <c r="F545" s="295"/>
      <c r="G545" s="295"/>
      <c r="H545" s="295"/>
      <c r="I545" s="295"/>
      <c r="J545" s="295"/>
      <c r="K545" s="295"/>
      <c r="L545" s="295"/>
      <c r="M545" s="295"/>
      <c r="N545" s="295"/>
      <c r="O545" s="297"/>
      <c r="P545" s="295"/>
      <c r="Q545" s="295"/>
      <c r="R545" s="295"/>
      <c r="S545" s="295"/>
      <c r="T545" s="295"/>
      <c r="U545" s="295"/>
      <c r="V545" s="295"/>
      <c r="W545" s="295"/>
      <c r="X545" s="295"/>
      <c r="Y545" s="295"/>
      <c r="Z545" s="295"/>
    </row>
    <row r="546" ht="29.25" customHeight="1">
      <c r="A546" s="295"/>
      <c r="B546" s="295"/>
      <c r="C546" s="295"/>
      <c r="D546" s="295"/>
      <c r="E546" s="295"/>
      <c r="F546" s="295"/>
      <c r="G546" s="295"/>
      <c r="H546" s="295"/>
      <c r="I546" s="295"/>
      <c r="J546" s="295"/>
      <c r="K546" s="295"/>
      <c r="L546" s="295"/>
      <c r="M546" s="295"/>
      <c r="N546" s="295"/>
      <c r="O546" s="297"/>
      <c r="P546" s="295"/>
      <c r="Q546" s="295"/>
      <c r="R546" s="295"/>
      <c r="S546" s="295"/>
      <c r="T546" s="295"/>
      <c r="U546" s="295"/>
      <c r="V546" s="295"/>
      <c r="W546" s="295"/>
      <c r="X546" s="295"/>
      <c r="Y546" s="295"/>
      <c r="Z546" s="295"/>
    </row>
    <row r="547" ht="29.25" customHeight="1">
      <c r="A547" s="295"/>
      <c r="B547" s="295"/>
      <c r="C547" s="295"/>
      <c r="D547" s="295"/>
      <c r="E547" s="295"/>
      <c r="F547" s="295"/>
      <c r="G547" s="295"/>
      <c r="H547" s="295"/>
      <c r="I547" s="295"/>
      <c r="J547" s="295"/>
      <c r="K547" s="295"/>
      <c r="L547" s="295"/>
      <c r="M547" s="295"/>
      <c r="N547" s="295"/>
      <c r="O547" s="297"/>
      <c r="P547" s="295"/>
      <c r="Q547" s="295"/>
      <c r="R547" s="295"/>
      <c r="S547" s="295"/>
      <c r="T547" s="295"/>
      <c r="U547" s="295"/>
      <c r="V547" s="295"/>
      <c r="W547" s="295"/>
      <c r="X547" s="295"/>
      <c r="Y547" s="295"/>
      <c r="Z547" s="295"/>
    </row>
    <row r="548" ht="29.25" customHeight="1">
      <c r="A548" s="295"/>
      <c r="B548" s="295"/>
      <c r="C548" s="295"/>
      <c r="D548" s="295"/>
      <c r="E548" s="295"/>
      <c r="F548" s="295"/>
      <c r="G548" s="295"/>
      <c r="H548" s="295"/>
      <c r="I548" s="295"/>
      <c r="J548" s="295"/>
      <c r="K548" s="295"/>
      <c r="L548" s="295"/>
      <c r="M548" s="295"/>
      <c r="N548" s="295"/>
      <c r="O548" s="297"/>
      <c r="P548" s="295"/>
      <c r="Q548" s="295"/>
      <c r="R548" s="295"/>
      <c r="S548" s="295"/>
      <c r="T548" s="295"/>
      <c r="U548" s="295"/>
      <c r="V548" s="295"/>
      <c r="W548" s="295"/>
      <c r="X548" s="295"/>
      <c r="Y548" s="295"/>
      <c r="Z548" s="295"/>
    </row>
    <row r="549" ht="29.25" customHeight="1">
      <c r="A549" s="295"/>
      <c r="B549" s="295"/>
      <c r="C549" s="295"/>
      <c r="D549" s="295"/>
      <c r="E549" s="295"/>
      <c r="F549" s="295"/>
      <c r="G549" s="295"/>
      <c r="H549" s="295"/>
      <c r="I549" s="295"/>
      <c r="J549" s="295"/>
      <c r="K549" s="295"/>
      <c r="L549" s="295"/>
      <c r="M549" s="295"/>
      <c r="N549" s="295"/>
      <c r="O549" s="297"/>
      <c r="P549" s="295"/>
      <c r="Q549" s="295"/>
      <c r="R549" s="295"/>
      <c r="S549" s="295"/>
      <c r="T549" s="295"/>
      <c r="U549" s="295"/>
      <c r="V549" s="295"/>
      <c r="W549" s="295"/>
      <c r="X549" s="295"/>
      <c r="Y549" s="295"/>
      <c r="Z549" s="295"/>
    </row>
    <row r="550" ht="29.25" customHeight="1">
      <c r="A550" s="295"/>
      <c r="B550" s="295"/>
      <c r="C550" s="295"/>
      <c r="D550" s="295"/>
      <c r="E550" s="295"/>
      <c r="F550" s="295"/>
      <c r="G550" s="295"/>
      <c r="H550" s="295"/>
      <c r="I550" s="295"/>
      <c r="J550" s="295"/>
      <c r="K550" s="295"/>
      <c r="L550" s="295"/>
      <c r="M550" s="295"/>
      <c r="N550" s="295"/>
      <c r="O550" s="297"/>
      <c r="P550" s="295"/>
      <c r="Q550" s="295"/>
      <c r="R550" s="295"/>
      <c r="S550" s="295"/>
      <c r="T550" s="295"/>
      <c r="U550" s="295"/>
      <c r="V550" s="295"/>
      <c r="W550" s="295"/>
      <c r="X550" s="295"/>
      <c r="Y550" s="295"/>
      <c r="Z550" s="295"/>
    </row>
    <row r="551" ht="29.25" customHeight="1">
      <c r="A551" s="295"/>
      <c r="B551" s="295"/>
      <c r="C551" s="295"/>
      <c r="D551" s="295"/>
      <c r="E551" s="295"/>
      <c r="F551" s="295"/>
      <c r="G551" s="295"/>
      <c r="H551" s="295"/>
      <c r="I551" s="295"/>
      <c r="J551" s="295"/>
      <c r="K551" s="295"/>
      <c r="L551" s="295"/>
      <c r="M551" s="295"/>
      <c r="N551" s="295"/>
      <c r="O551" s="297"/>
      <c r="P551" s="295"/>
      <c r="Q551" s="295"/>
      <c r="R551" s="295"/>
      <c r="S551" s="295"/>
      <c r="T551" s="295"/>
      <c r="U551" s="295"/>
      <c r="V551" s="295"/>
      <c r="W551" s="295"/>
      <c r="X551" s="295"/>
      <c r="Y551" s="295"/>
      <c r="Z551" s="295"/>
    </row>
    <row r="552" ht="29.25" customHeight="1">
      <c r="A552" s="295"/>
      <c r="B552" s="295"/>
      <c r="C552" s="295"/>
      <c r="D552" s="295"/>
      <c r="E552" s="295"/>
      <c r="F552" s="295"/>
      <c r="G552" s="295"/>
      <c r="H552" s="295"/>
      <c r="I552" s="295"/>
      <c r="J552" s="295"/>
      <c r="K552" s="295"/>
      <c r="L552" s="295"/>
      <c r="M552" s="295"/>
      <c r="N552" s="295"/>
      <c r="O552" s="297"/>
      <c r="P552" s="295"/>
      <c r="Q552" s="295"/>
      <c r="R552" s="295"/>
      <c r="S552" s="295"/>
      <c r="T552" s="295"/>
      <c r="U552" s="295"/>
      <c r="V552" s="295"/>
      <c r="W552" s="295"/>
      <c r="X552" s="295"/>
      <c r="Y552" s="295"/>
      <c r="Z552" s="295"/>
    </row>
    <row r="553" ht="29.25" customHeight="1">
      <c r="A553" s="295"/>
      <c r="B553" s="295"/>
      <c r="C553" s="295"/>
      <c r="D553" s="295"/>
      <c r="E553" s="295"/>
      <c r="F553" s="295"/>
      <c r="G553" s="295"/>
      <c r="H553" s="295"/>
      <c r="I553" s="295"/>
      <c r="J553" s="295"/>
      <c r="K553" s="295"/>
      <c r="L553" s="295"/>
      <c r="M553" s="295"/>
      <c r="N553" s="295"/>
      <c r="O553" s="297"/>
      <c r="P553" s="295"/>
      <c r="Q553" s="295"/>
      <c r="R553" s="295"/>
      <c r="S553" s="295"/>
      <c r="T553" s="295"/>
      <c r="U553" s="295"/>
      <c r="V553" s="295"/>
      <c r="W553" s="295"/>
      <c r="X553" s="295"/>
      <c r="Y553" s="295"/>
      <c r="Z553" s="295"/>
    </row>
    <row r="554" ht="29.25" customHeight="1">
      <c r="A554" s="295"/>
      <c r="B554" s="295"/>
      <c r="C554" s="295"/>
      <c r="D554" s="295"/>
      <c r="E554" s="295"/>
      <c r="F554" s="295"/>
      <c r="G554" s="295"/>
      <c r="H554" s="295"/>
      <c r="I554" s="295"/>
      <c r="J554" s="295"/>
      <c r="K554" s="295"/>
      <c r="L554" s="295"/>
      <c r="M554" s="295"/>
      <c r="N554" s="295"/>
      <c r="O554" s="297"/>
      <c r="P554" s="295"/>
      <c r="Q554" s="295"/>
      <c r="R554" s="295"/>
      <c r="S554" s="295"/>
      <c r="T554" s="295"/>
      <c r="U554" s="295"/>
      <c r="V554" s="295"/>
      <c r="W554" s="295"/>
      <c r="X554" s="295"/>
      <c r="Y554" s="295"/>
      <c r="Z554" s="295"/>
    </row>
    <row r="555" ht="29.25" customHeight="1">
      <c r="A555" s="295"/>
      <c r="B555" s="295"/>
      <c r="C555" s="295"/>
      <c r="D555" s="295"/>
      <c r="E555" s="295"/>
      <c r="F555" s="295"/>
      <c r="G555" s="295"/>
      <c r="H555" s="295"/>
      <c r="I555" s="295"/>
      <c r="J555" s="295"/>
      <c r="K555" s="295"/>
      <c r="L555" s="295"/>
      <c r="M555" s="295"/>
      <c r="N555" s="295"/>
      <c r="O555" s="297"/>
      <c r="P555" s="295"/>
      <c r="Q555" s="295"/>
      <c r="R555" s="295"/>
      <c r="S555" s="295"/>
      <c r="T555" s="295"/>
      <c r="U555" s="295"/>
      <c r="V555" s="295"/>
      <c r="W555" s="295"/>
      <c r="X555" s="295"/>
      <c r="Y555" s="295"/>
      <c r="Z555" s="295"/>
    </row>
    <row r="556" ht="29.25" customHeight="1">
      <c r="A556" s="295"/>
      <c r="B556" s="295"/>
      <c r="C556" s="295"/>
      <c r="D556" s="295"/>
      <c r="E556" s="295"/>
      <c r="F556" s="295"/>
      <c r="G556" s="295"/>
      <c r="H556" s="295"/>
      <c r="I556" s="295"/>
      <c r="J556" s="295"/>
      <c r="K556" s="295"/>
      <c r="L556" s="295"/>
      <c r="M556" s="295"/>
      <c r="N556" s="295"/>
      <c r="O556" s="297"/>
      <c r="P556" s="295"/>
      <c r="Q556" s="295"/>
      <c r="R556" s="295"/>
      <c r="S556" s="295"/>
      <c r="T556" s="295"/>
      <c r="U556" s="295"/>
      <c r="V556" s="295"/>
      <c r="W556" s="295"/>
      <c r="X556" s="295"/>
      <c r="Y556" s="295"/>
      <c r="Z556" s="295"/>
    </row>
    <row r="557" ht="29.25" customHeight="1">
      <c r="A557" s="295"/>
      <c r="B557" s="295"/>
      <c r="C557" s="295"/>
      <c r="D557" s="295"/>
      <c r="E557" s="295"/>
      <c r="F557" s="295"/>
      <c r="G557" s="295"/>
      <c r="H557" s="295"/>
      <c r="I557" s="295"/>
      <c r="J557" s="295"/>
      <c r="K557" s="295"/>
      <c r="L557" s="295"/>
      <c r="M557" s="295"/>
      <c r="N557" s="295"/>
      <c r="O557" s="297"/>
      <c r="P557" s="295"/>
      <c r="Q557" s="295"/>
      <c r="R557" s="295"/>
      <c r="S557" s="295"/>
      <c r="T557" s="295"/>
      <c r="U557" s="295"/>
      <c r="V557" s="295"/>
      <c r="W557" s="295"/>
      <c r="X557" s="295"/>
      <c r="Y557" s="295"/>
      <c r="Z557" s="295"/>
    </row>
    <row r="558" ht="29.25" customHeight="1">
      <c r="A558" s="295"/>
      <c r="B558" s="295"/>
      <c r="C558" s="295"/>
      <c r="D558" s="295"/>
      <c r="E558" s="295"/>
      <c r="F558" s="295"/>
      <c r="G558" s="295"/>
      <c r="H558" s="295"/>
      <c r="I558" s="295"/>
      <c r="J558" s="295"/>
      <c r="K558" s="295"/>
      <c r="L558" s="295"/>
      <c r="M558" s="295"/>
      <c r="N558" s="295"/>
      <c r="O558" s="297"/>
      <c r="P558" s="295"/>
      <c r="Q558" s="295"/>
      <c r="R558" s="295"/>
      <c r="S558" s="295"/>
      <c r="T558" s="295"/>
      <c r="U558" s="295"/>
      <c r="V558" s="295"/>
      <c r="W558" s="295"/>
      <c r="X558" s="295"/>
      <c r="Y558" s="295"/>
      <c r="Z558" s="295"/>
    </row>
    <row r="559" ht="29.25" customHeight="1">
      <c r="A559" s="295"/>
      <c r="B559" s="295"/>
      <c r="C559" s="295"/>
      <c r="D559" s="295"/>
      <c r="E559" s="295"/>
      <c r="F559" s="295"/>
      <c r="G559" s="295"/>
      <c r="H559" s="295"/>
      <c r="I559" s="295"/>
      <c r="J559" s="295"/>
      <c r="K559" s="295"/>
      <c r="L559" s="295"/>
      <c r="M559" s="295"/>
      <c r="N559" s="295"/>
      <c r="O559" s="297"/>
      <c r="P559" s="295"/>
      <c r="Q559" s="295"/>
      <c r="R559" s="295"/>
      <c r="S559" s="295"/>
      <c r="T559" s="295"/>
      <c r="U559" s="295"/>
      <c r="V559" s="295"/>
      <c r="W559" s="295"/>
      <c r="X559" s="295"/>
      <c r="Y559" s="295"/>
      <c r="Z559" s="295"/>
    </row>
    <row r="560" ht="29.25" customHeight="1">
      <c r="A560" s="295"/>
      <c r="B560" s="295"/>
      <c r="C560" s="295"/>
      <c r="D560" s="295"/>
      <c r="E560" s="295"/>
      <c r="F560" s="295"/>
      <c r="G560" s="295"/>
      <c r="H560" s="295"/>
      <c r="I560" s="295"/>
      <c r="J560" s="295"/>
      <c r="K560" s="295"/>
      <c r="L560" s="295"/>
      <c r="M560" s="295"/>
      <c r="N560" s="295"/>
      <c r="O560" s="297"/>
      <c r="P560" s="295"/>
      <c r="Q560" s="295"/>
      <c r="R560" s="295"/>
      <c r="S560" s="295"/>
      <c r="T560" s="295"/>
      <c r="U560" s="295"/>
      <c r="V560" s="295"/>
      <c r="W560" s="295"/>
      <c r="X560" s="295"/>
      <c r="Y560" s="295"/>
      <c r="Z560" s="295"/>
    </row>
    <row r="561" ht="29.25" customHeight="1">
      <c r="A561" s="295"/>
      <c r="B561" s="295"/>
      <c r="C561" s="295"/>
      <c r="D561" s="295"/>
      <c r="E561" s="295"/>
      <c r="F561" s="295"/>
      <c r="G561" s="295"/>
      <c r="H561" s="295"/>
      <c r="I561" s="295"/>
      <c r="J561" s="295"/>
      <c r="K561" s="295"/>
      <c r="L561" s="295"/>
      <c r="M561" s="295"/>
      <c r="N561" s="295"/>
      <c r="O561" s="297"/>
      <c r="P561" s="295"/>
      <c r="Q561" s="295"/>
      <c r="R561" s="295"/>
      <c r="S561" s="295"/>
      <c r="T561" s="295"/>
      <c r="U561" s="295"/>
      <c r="V561" s="295"/>
      <c r="W561" s="295"/>
      <c r="X561" s="295"/>
      <c r="Y561" s="295"/>
      <c r="Z561" s="295"/>
    </row>
    <row r="562" ht="29.25" customHeight="1">
      <c r="A562" s="295"/>
      <c r="B562" s="295"/>
      <c r="C562" s="295"/>
      <c r="D562" s="295"/>
      <c r="E562" s="295"/>
      <c r="F562" s="295"/>
      <c r="G562" s="295"/>
      <c r="H562" s="295"/>
      <c r="I562" s="295"/>
      <c r="J562" s="295"/>
      <c r="K562" s="295"/>
      <c r="L562" s="295"/>
      <c r="M562" s="295"/>
      <c r="N562" s="295"/>
      <c r="O562" s="297"/>
      <c r="P562" s="295"/>
      <c r="Q562" s="295"/>
      <c r="R562" s="295"/>
      <c r="S562" s="295"/>
      <c r="T562" s="295"/>
      <c r="U562" s="295"/>
      <c r="V562" s="295"/>
      <c r="W562" s="295"/>
      <c r="X562" s="295"/>
      <c r="Y562" s="295"/>
      <c r="Z562" s="295"/>
    </row>
    <row r="563" ht="29.25" customHeight="1">
      <c r="A563" s="295"/>
      <c r="B563" s="295"/>
      <c r="C563" s="295"/>
      <c r="D563" s="295"/>
      <c r="E563" s="295"/>
      <c r="F563" s="295"/>
      <c r="G563" s="295"/>
      <c r="H563" s="295"/>
      <c r="I563" s="295"/>
      <c r="J563" s="295"/>
      <c r="K563" s="295"/>
      <c r="L563" s="295"/>
      <c r="M563" s="295"/>
      <c r="N563" s="295"/>
      <c r="O563" s="297"/>
      <c r="P563" s="295"/>
      <c r="Q563" s="295"/>
      <c r="R563" s="295"/>
      <c r="S563" s="295"/>
      <c r="T563" s="295"/>
      <c r="U563" s="295"/>
      <c r="V563" s="295"/>
      <c r="W563" s="295"/>
      <c r="X563" s="295"/>
      <c r="Y563" s="295"/>
      <c r="Z563" s="295"/>
    </row>
    <row r="564" ht="29.25" customHeight="1">
      <c r="A564" s="295"/>
      <c r="B564" s="295"/>
      <c r="C564" s="295"/>
      <c r="D564" s="295"/>
      <c r="E564" s="295"/>
      <c r="F564" s="295"/>
      <c r="G564" s="295"/>
      <c r="H564" s="295"/>
      <c r="I564" s="295"/>
      <c r="J564" s="295"/>
      <c r="K564" s="295"/>
      <c r="L564" s="295"/>
      <c r="M564" s="295"/>
      <c r="N564" s="295"/>
      <c r="O564" s="297"/>
      <c r="P564" s="295"/>
      <c r="Q564" s="295"/>
      <c r="R564" s="295"/>
      <c r="S564" s="295"/>
      <c r="T564" s="295"/>
      <c r="U564" s="295"/>
      <c r="V564" s="295"/>
      <c r="W564" s="295"/>
      <c r="X564" s="295"/>
      <c r="Y564" s="295"/>
      <c r="Z564" s="295"/>
    </row>
    <row r="565" ht="29.25" customHeight="1">
      <c r="A565" s="295"/>
      <c r="B565" s="295"/>
      <c r="C565" s="295"/>
      <c r="D565" s="295"/>
      <c r="E565" s="295"/>
      <c r="F565" s="295"/>
      <c r="G565" s="295"/>
      <c r="H565" s="295"/>
      <c r="I565" s="295"/>
      <c r="J565" s="295"/>
      <c r="K565" s="295"/>
      <c r="L565" s="295"/>
      <c r="M565" s="295"/>
      <c r="N565" s="295"/>
      <c r="O565" s="297"/>
      <c r="P565" s="295"/>
      <c r="Q565" s="295"/>
      <c r="R565" s="295"/>
      <c r="S565" s="295"/>
      <c r="T565" s="295"/>
      <c r="U565" s="295"/>
      <c r="V565" s="295"/>
      <c r="W565" s="295"/>
      <c r="X565" s="295"/>
      <c r="Y565" s="295"/>
      <c r="Z565" s="295"/>
    </row>
    <row r="566" ht="29.25" customHeight="1">
      <c r="A566" s="295"/>
      <c r="B566" s="295"/>
      <c r="C566" s="295"/>
      <c r="D566" s="295"/>
      <c r="E566" s="295"/>
      <c r="F566" s="295"/>
      <c r="G566" s="295"/>
      <c r="H566" s="295"/>
      <c r="I566" s="295"/>
      <c r="J566" s="295"/>
      <c r="K566" s="295"/>
      <c r="L566" s="295"/>
      <c r="M566" s="295"/>
      <c r="N566" s="295"/>
      <c r="O566" s="297"/>
      <c r="P566" s="295"/>
      <c r="Q566" s="295"/>
      <c r="R566" s="295"/>
      <c r="S566" s="295"/>
      <c r="T566" s="295"/>
      <c r="U566" s="295"/>
      <c r="V566" s="295"/>
      <c r="W566" s="295"/>
      <c r="X566" s="295"/>
      <c r="Y566" s="295"/>
      <c r="Z566" s="295"/>
    </row>
    <row r="567" ht="29.25" customHeight="1">
      <c r="A567" s="295"/>
      <c r="B567" s="295"/>
      <c r="C567" s="295"/>
      <c r="D567" s="295"/>
      <c r="E567" s="295"/>
      <c r="F567" s="295"/>
      <c r="G567" s="295"/>
      <c r="H567" s="295"/>
      <c r="I567" s="295"/>
      <c r="J567" s="295"/>
      <c r="K567" s="295"/>
      <c r="L567" s="295"/>
      <c r="M567" s="295"/>
      <c r="N567" s="295"/>
      <c r="O567" s="297"/>
      <c r="P567" s="295"/>
      <c r="Q567" s="295"/>
      <c r="R567" s="295"/>
      <c r="S567" s="295"/>
      <c r="T567" s="295"/>
      <c r="U567" s="295"/>
      <c r="V567" s="295"/>
      <c r="W567" s="295"/>
      <c r="X567" s="295"/>
      <c r="Y567" s="295"/>
      <c r="Z567" s="295"/>
    </row>
    <row r="568" ht="29.25" customHeight="1">
      <c r="A568" s="295"/>
      <c r="B568" s="295"/>
      <c r="C568" s="295"/>
      <c r="D568" s="295"/>
      <c r="E568" s="295"/>
      <c r="F568" s="295"/>
      <c r="G568" s="295"/>
      <c r="H568" s="295"/>
      <c r="I568" s="295"/>
      <c r="J568" s="295"/>
      <c r="K568" s="295"/>
      <c r="L568" s="295"/>
      <c r="M568" s="295"/>
      <c r="N568" s="295"/>
      <c r="O568" s="297"/>
      <c r="P568" s="295"/>
      <c r="Q568" s="295"/>
      <c r="R568" s="295"/>
      <c r="S568" s="295"/>
      <c r="T568" s="295"/>
      <c r="U568" s="295"/>
      <c r="V568" s="295"/>
      <c r="W568" s="295"/>
      <c r="X568" s="295"/>
      <c r="Y568" s="295"/>
      <c r="Z568" s="295"/>
    </row>
    <row r="569" ht="29.25" customHeight="1">
      <c r="A569" s="295"/>
      <c r="B569" s="295"/>
      <c r="C569" s="295"/>
      <c r="D569" s="295"/>
      <c r="E569" s="295"/>
      <c r="F569" s="295"/>
      <c r="G569" s="295"/>
      <c r="H569" s="295"/>
      <c r="I569" s="295"/>
      <c r="J569" s="295"/>
      <c r="K569" s="295"/>
      <c r="L569" s="295"/>
      <c r="M569" s="295"/>
      <c r="N569" s="295"/>
      <c r="O569" s="297"/>
      <c r="P569" s="295"/>
      <c r="Q569" s="295"/>
      <c r="R569" s="295"/>
      <c r="S569" s="295"/>
      <c r="T569" s="295"/>
      <c r="U569" s="295"/>
      <c r="V569" s="295"/>
      <c r="W569" s="295"/>
      <c r="X569" s="295"/>
      <c r="Y569" s="295"/>
      <c r="Z569" s="295"/>
    </row>
    <row r="570" ht="29.25" customHeight="1">
      <c r="A570" s="295"/>
      <c r="B570" s="295"/>
      <c r="C570" s="295"/>
      <c r="D570" s="295"/>
      <c r="E570" s="295"/>
      <c r="F570" s="295"/>
      <c r="G570" s="295"/>
      <c r="H570" s="295"/>
      <c r="I570" s="295"/>
      <c r="J570" s="295"/>
      <c r="K570" s="295"/>
      <c r="L570" s="295"/>
      <c r="M570" s="295"/>
      <c r="N570" s="295"/>
      <c r="O570" s="297"/>
      <c r="P570" s="295"/>
      <c r="Q570" s="295"/>
      <c r="R570" s="295"/>
      <c r="S570" s="295"/>
      <c r="T570" s="295"/>
      <c r="U570" s="295"/>
      <c r="V570" s="295"/>
      <c r="W570" s="295"/>
      <c r="X570" s="295"/>
      <c r="Y570" s="295"/>
      <c r="Z570" s="295"/>
    </row>
    <row r="571" ht="29.25" customHeight="1">
      <c r="A571" s="295"/>
      <c r="B571" s="295"/>
      <c r="C571" s="295"/>
      <c r="D571" s="295"/>
      <c r="E571" s="295"/>
      <c r="F571" s="295"/>
      <c r="G571" s="295"/>
      <c r="H571" s="295"/>
      <c r="I571" s="295"/>
      <c r="J571" s="295"/>
      <c r="K571" s="295"/>
      <c r="L571" s="295"/>
      <c r="M571" s="295"/>
      <c r="N571" s="295"/>
      <c r="O571" s="297"/>
      <c r="P571" s="295"/>
      <c r="Q571" s="295"/>
      <c r="R571" s="295"/>
      <c r="S571" s="295"/>
      <c r="T571" s="295"/>
      <c r="U571" s="295"/>
      <c r="V571" s="295"/>
      <c r="W571" s="295"/>
      <c r="X571" s="295"/>
      <c r="Y571" s="295"/>
      <c r="Z571" s="295"/>
    </row>
    <row r="572" ht="29.25" customHeight="1">
      <c r="A572" s="295"/>
      <c r="B572" s="295"/>
      <c r="C572" s="295"/>
      <c r="D572" s="295"/>
      <c r="E572" s="295"/>
      <c r="F572" s="295"/>
      <c r="G572" s="295"/>
      <c r="H572" s="295"/>
      <c r="I572" s="295"/>
      <c r="J572" s="295"/>
      <c r="K572" s="295"/>
      <c r="L572" s="295"/>
      <c r="M572" s="295"/>
      <c r="N572" s="295"/>
      <c r="O572" s="297"/>
      <c r="P572" s="295"/>
      <c r="Q572" s="295"/>
      <c r="R572" s="295"/>
      <c r="S572" s="295"/>
      <c r="T572" s="295"/>
      <c r="U572" s="295"/>
      <c r="V572" s="295"/>
      <c r="W572" s="295"/>
      <c r="X572" s="295"/>
      <c r="Y572" s="295"/>
      <c r="Z572" s="295"/>
    </row>
    <row r="573" ht="29.25" customHeight="1">
      <c r="A573" s="295"/>
      <c r="B573" s="295"/>
      <c r="C573" s="295"/>
      <c r="D573" s="295"/>
      <c r="E573" s="295"/>
      <c r="F573" s="295"/>
      <c r="G573" s="295"/>
      <c r="H573" s="295"/>
      <c r="I573" s="295"/>
      <c r="J573" s="295"/>
      <c r="K573" s="295"/>
      <c r="L573" s="295"/>
      <c r="M573" s="295"/>
      <c r="N573" s="295"/>
      <c r="O573" s="297"/>
      <c r="P573" s="295"/>
      <c r="Q573" s="295"/>
      <c r="R573" s="295"/>
      <c r="S573" s="295"/>
      <c r="T573" s="295"/>
      <c r="U573" s="295"/>
      <c r="V573" s="295"/>
      <c r="W573" s="295"/>
      <c r="X573" s="295"/>
      <c r="Y573" s="295"/>
      <c r="Z573" s="295"/>
    </row>
    <row r="574" ht="29.25" customHeight="1">
      <c r="A574" s="295"/>
      <c r="B574" s="295"/>
      <c r="C574" s="295"/>
      <c r="D574" s="295"/>
      <c r="E574" s="295"/>
      <c r="F574" s="295"/>
      <c r="G574" s="295"/>
      <c r="H574" s="295"/>
      <c r="I574" s="295"/>
      <c r="J574" s="295"/>
      <c r="K574" s="295"/>
      <c r="L574" s="295"/>
      <c r="M574" s="295"/>
      <c r="N574" s="295"/>
      <c r="O574" s="297"/>
      <c r="P574" s="295"/>
      <c r="Q574" s="295"/>
      <c r="R574" s="295"/>
      <c r="S574" s="295"/>
      <c r="T574" s="295"/>
      <c r="U574" s="295"/>
      <c r="V574" s="295"/>
      <c r="W574" s="295"/>
      <c r="X574" s="295"/>
      <c r="Y574" s="295"/>
      <c r="Z574" s="295"/>
    </row>
    <row r="575" ht="29.25" customHeight="1">
      <c r="A575" s="295"/>
      <c r="B575" s="295"/>
      <c r="C575" s="295"/>
      <c r="D575" s="295"/>
      <c r="E575" s="295"/>
      <c r="F575" s="295"/>
      <c r="G575" s="295"/>
      <c r="H575" s="295"/>
      <c r="I575" s="295"/>
      <c r="J575" s="295"/>
      <c r="K575" s="295"/>
      <c r="L575" s="295"/>
      <c r="M575" s="295"/>
      <c r="N575" s="295"/>
      <c r="O575" s="297"/>
      <c r="P575" s="295"/>
      <c r="Q575" s="295"/>
      <c r="R575" s="295"/>
      <c r="S575" s="295"/>
      <c r="T575" s="295"/>
      <c r="U575" s="295"/>
      <c r="V575" s="295"/>
      <c r="W575" s="295"/>
      <c r="X575" s="295"/>
      <c r="Y575" s="295"/>
      <c r="Z575" s="295"/>
    </row>
    <row r="576" ht="29.25" customHeight="1">
      <c r="A576" s="295"/>
      <c r="B576" s="295"/>
      <c r="C576" s="295"/>
      <c r="D576" s="295"/>
      <c r="E576" s="295"/>
      <c r="F576" s="295"/>
      <c r="G576" s="295"/>
      <c r="H576" s="295"/>
      <c r="I576" s="295"/>
      <c r="J576" s="295"/>
      <c r="K576" s="295"/>
      <c r="L576" s="295"/>
      <c r="M576" s="295"/>
      <c r="N576" s="295"/>
      <c r="O576" s="297"/>
      <c r="P576" s="295"/>
      <c r="Q576" s="295"/>
      <c r="R576" s="295"/>
      <c r="S576" s="295"/>
      <c r="T576" s="295"/>
      <c r="U576" s="295"/>
      <c r="V576" s="295"/>
      <c r="W576" s="295"/>
      <c r="X576" s="295"/>
      <c r="Y576" s="295"/>
      <c r="Z576" s="295"/>
    </row>
    <row r="577" ht="29.25" customHeight="1">
      <c r="A577" s="295"/>
      <c r="B577" s="295"/>
      <c r="C577" s="295"/>
      <c r="D577" s="295"/>
      <c r="E577" s="295"/>
      <c r="F577" s="295"/>
      <c r="G577" s="295"/>
      <c r="H577" s="295"/>
      <c r="I577" s="295"/>
      <c r="J577" s="295"/>
      <c r="K577" s="295"/>
      <c r="L577" s="295"/>
      <c r="M577" s="295"/>
      <c r="N577" s="295"/>
      <c r="O577" s="297"/>
      <c r="P577" s="295"/>
      <c r="Q577" s="295"/>
      <c r="R577" s="295"/>
      <c r="S577" s="295"/>
      <c r="T577" s="295"/>
      <c r="U577" s="295"/>
      <c r="V577" s="295"/>
      <c r="W577" s="295"/>
      <c r="X577" s="295"/>
      <c r="Y577" s="295"/>
      <c r="Z577" s="295"/>
    </row>
    <row r="578" ht="29.25" customHeight="1">
      <c r="A578" s="295"/>
      <c r="B578" s="295"/>
      <c r="C578" s="295"/>
      <c r="D578" s="295"/>
      <c r="E578" s="295"/>
      <c r="F578" s="295"/>
      <c r="G578" s="295"/>
      <c r="H578" s="295"/>
      <c r="I578" s="295"/>
      <c r="J578" s="295"/>
      <c r="K578" s="295"/>
      <c r="L578" s="295"/>
      <c r="M578" s="295"/>
      <c r="N578" s="295"/>
      <c r="O578" s="297"/>
      <c r="P578" s="295"/>
      <c r="Q578" s="295"/>
      <c r="R578" s="295"/>
      <c r="S578" s="295"/>
      <c r="T578" s="295"/>
      <c r="U578" s="295"/>
      <c r="V578" s="295"/>
      <c r="W578" s="295"/>
      <c r="X578" s="295"/>
      <c r="Y578" s="295"/>
      <c r="Z578" s="295"/>
    </row>
    <row r="579" ht="29.25" customHeight="1">
      <c r="A579" s="295"/>
      <c r="B579" s="295"/>
      <c r="C579" s="295"/>
      <c r="D579" s="295"/>
      <c r="E579" s="295"/>
      <c r="F579" s="295"/>
      <c r="G579" s="295"/>
      <c r="H579" s="295"/>
      <c r="I579" s="295"/>
      <c r="J579" s="295"/>
      <c r="K579" s="295"/>
      <c r="L579" s="295"/>
      <c r="M579" s="295"/>
      <c r="N579" s="295"/>
      <c r="O579" s="297"/>
      <c r="P579" s="295"/>
      <c r="Q579" s="295"/>
      <c r="R579" s="295"/>
      <c r="S579" s="295"/>
      <c r="T579" s="295"/>
      <c r="U579" s="295"/>
      <c r="V579" s="295"/>
      <c r="W579" s="295"/>
      <c r="X579" s="295"/>
      <c r="Y579" s="295"/>
      <c r="Z579" s="295"/>
    </row>
    <row r="580" ht="29.25" customHeight="1">
      <c r="A580" s="295"/>
      <c r="B580" s="295"/>
      <c r="C580" s="295"/>
      <c r="D580" s="295"/>
      <c r="E580" s="295"/>
      <c r="F580" s="295"/>
      <c r="G580" s="295"/>
      <c r="H580" s="295"/>
      <c r="I580" s="295"/>
      <c r="J580" s="295"/>
      <c r="K580" s="295"/>
      <c r="L580" s="295"/>
      <c r="M580" s="295"/>
      <c r="N580" s="295"/>
      <c r="O580" s="297"/>
      <c r="P580" s="295"/>
      <c r="Q580" s="295"/>
      <c r="R580" s="295"/>
      <c r="S580" s="295"/>
      <c r="T580" s="295"/>
      <c r="U580" s="295"/>
      <c r="V580" s="295"/>
      <c r="W580" s="295"/>
      <c r="X580" s="295"/>
      <c r="Y580" s="295"/>
      <c r="Z580" s="295"/>
    </row>
    <row r="581" ht="29.25" customHeight="1">
      <c r="A581" s="295"/>
      <c r="B581" s="295"/>
      <c r="C581" s="295"/>
      <c r="D581" s="295"/>
      <c r="E581" s="295"/>
      <c r="F581" s="295"/>
      <c r="G581" s="295"/>
      <c r="H581" s="295"/>
      <c r="I581" s="295"/>
      <c r="J581" s="295"/>
      <c r="K581" s="295"/>
      <c r="L581" s="295"/>
      <c r="M581" s="295"/>
      <c r="N581" s="295"/>
      <c r="O581" s="297"/>
      <c r="P581" s="295"/>
      <c r="Q581" s="295"/>
      <c r="R581" s="295"/>
      <c r="S581" s="295"/>
      <c r="T581" s="295"/>
      <c r="U581" s="295"/>
      <c r="V581" s="295"/>
      <c r="W581" s="295"/>
      <c r="X581" s="295"/>
      <c r="Y581" s="295"/>
      <c r="Z581" s="295"/>
    </row>
    <row r="582" ht="29.25" customHeight="1">
      <c r="A582" s="295"/>
      <c r="B582" s="295"/>
      <c r="C582" s="295"/>
      <c r="D582" s="295"/>
      <c r="E582" s="295"/>
      <c r="F582" s="295"/>
      <c r="G582" s="295"/>
      <c r="H582" s="295"/>
      <c r="I582" s="295"/>
      <c r="J582" s="295"/>
      <c r="K582" s="295"/>
      <c r="L582" s="295"/>
      <c r="M582" s="295"/>
      <c r="N582" s="295"/>
      <c r="O582" s="297"/>
      <c r="P582" s="295"/>
      <c r="Q582" s="295"/>
      <c r="R582" s="295"/>
      <c r="S582" s="295"/>
      <c r="T582" s="295"/>
      <c r="U582" s="295"/>
      <c r="V582" s="295"/>
      <c r="W582" s="295"/>
      <c r="X582" s="295"/>
      <c r="Y582" s="295"/>
      <c r="Z582" s="295"/>
    </row>
    <row r="583" ht="29.25" customHeight="1">
      <c r="A583" s="295"/>
      <c r="B583" s="295"/>
      <c r="C583" s="295"/>
      <c r="D583" s="295"/>
      <c r="E583" s="295"/>
      <c r="F583" s="295"/>
      <c r="G583" s="295"/>
      <c r="H583" s="295"/>
      <c r="I583" s="295"/>
      <c r="J583" s="295"/>
      <c r="K583" s="295"/>
      <c r="L583" s="295"/>
      <c r="M583" s="295"/>
      <c r="N583" s="295"/>
      <c r="O583" s="297"/>
      <c r="P583" s="295"/>
      <c r="Q583" s="295"/>
      <c r="R583" s="295"/>
      <c r="S583" s="295"/>
      <c r="T583" s="295"/>
      <c r="U583" s="295"/>
      <c r="V583" s="295"/>
      <c r="W583" s="295"/>
      <c r="X583" s="295"/>
      <c r="Y583" s="295"/>
      <c r="Z583" s="295"/>
    </row>
    <row r="584" ht="29.25" customHeight="1">
      <c r="A584" s="295"/>
      <c r="B584" s="295"/>
      <c r="C584" s="295"/>
      <c r="D584" s="295"/>
      <c r="E584" s="295"/>
      <c r="F584" s="295"/>
      <c r="G584" s="295"/>
      <c r="H584" s="295"/>
      <c r="I584" s="295"/>
      <c r="J584" s="295"/>
      <c r="K584" s="295"/>
      <c r="L584" s="295"/>
      <c r="M584" s="295"/>
      <c r="N584" s="295"/>
      <c r="O584" s="297"/>
      <c r="P584" s="295"/>
      <c r="Q584" s="295"/>
      <c r="R584" s="295"/>
      <c r="S584" s="295"/>
      <c r="T584" s="295"/>
      <c r="U584" s="295"/>
      <c r="V584" s="295"/>
      <c r="W584" s="295"/>
      <c r="X584" s="295"/>
      <c r="Y584" s="295"/>
      <c r="Z584" s="295"/>
    </row>
    <row r="585" ht="29.25" customHeight="1">
      <c r="A585" s="295"/>
      <c r="B585" s="295"/>
      <c r="C585" s="295"/>
      <c r="D585" s="295"/>
      <c r="E585" s="295"/>
      <c r="F585" s="295"/>
      <c r="G585" s="295"/>
      <c r="H585" s="295"/>
      <c r="I585" s="295"/>
      <c r="J585" s="295"/>
      <c r="K585" s="295"/>
      <c r="L585" s="295"/>
      <c r="M585" s="295"/>
      <c r="N585" s="295"/>
      <c r="O585" s="297"/>
      <c r="P585" s="295"/>
      <c r="Q585" s="295"/>
      <c r="R585" s="295"/>
      <c r="S585" s="295"/>
      <c r="T585" s="295"/>
      <c r="U585" s="295"/>
      <c r="V585" s="295"/>
      <c r="W585" s="295"/>
      <c r="X585" s="295"/>
      <c r="Y585" s="295"/>
      <c r="Z585" s="295"/>
    </row>
    <row r="586" ht="29.25" customHeight="1">
      <c r="A586" s="295"/>
      <c r="B586" s="295"/>
      <c r="C586" s="295"/>
      <c r="D586" s="295"/>
      <c r="E586" s="295"/>
      <c r="F586" s="295"/>
      <c r="G586" s="295"/>
      <c r="H586" s="295"/>
      <c r="I586" s="295"/>
      <c r="J586" s="295"/>
      <c r="K586" s="295"/>
      <c r="L586" s="295"/>
      <c r="M586" s="295"/>
      <c r="N586" s="295"/>
      <c r="O586" s="297"/>
      <c r="P586" s="295"/>
      <c r="Q586" s="295"/>
      <c r="R586" s="295"/>
      <c r="S586" s="295"/>
      <c r="T586" s="295"/>
      <c r="U586" s="295"/>
      <c r="V586" s="295"/>
      <c r="W586" s="295"/>
      <c r="X586" s="295"/>
      <c r="Y586" s="295"/>
      <c r="Z586" s="295"/>
    </row>
    <row r="587" ht="29.25" customHeight="1">
      <c r="A587" s="295"/>
      <c r="B587" s="295"/>
      <c r="C587" s="295"/>
      <c r="D587" s="295"/>
      <c r="E587" s="295"/>
      <c r="F587" s="295"/>
      <c r="G587" s="295"/>
      <c r="H587" s="295"/>
      <c r="I587" s="295"/>
      <c r="J587" s="295"/>
      <c r="K587" s="295"/>
      <c r="L587" s="295"/>
      <c r="M587" s="295"/>
      <c r="N587" s="295"/>
      <c r="O587" s="297"/>
      <c r="P587" s="295"/>
      <c r="Q587" s="295"/>
      <c r="R587" s="295"/>
      <c r="S587" s="295"/>
      <c r="T587" s="295"/>
      <c r="U587" s="295"/>
      <c r="V587" s="295"/>
      <c r="W587" s="295"/>
      <c r="X587" s="295"/>
      <c r="Y587" s="295"/>
      <c r="Z587" s="295"/>
    </row>
    <row r="588" ht="29.25" customHeight="1">
      <c r="A588" s="295"/>
      <c r="B588" s="295"/>
      <c r="C588" s="295"/>
      <c r="D588" s="295"/>
      <c r="E588" s="295"/>
      <c r="F588" s="295"/>
      <c r="G588" s="295"/>
      <c r="H588" s="295"/>
      <c r="I588" s="295"/>
      <c r="J588" s="295"/>
      <c r="K588" s="295"/>
      <c r="L588" s="295"/>
      <c r="M588" s="295"/>
      <c r="N588" s="295"/>
      <c r="O588" s="297"/>
      <c r="P588" s="295"/>
      <c r="Q588" s="295"/>
      <c r="R588" s="295"/>
      <c r="S588" s="295"/>
      <c r="T588" s="295"/>
      <c r="U588" s="295"/>
      <c r="V588" s="295"/>
      <c r="W588" s="295"/>
      <c r="X588" s="295"/>
      <c r="Y588" s="295"/>
      <c r="Z588" s="295"/>
    </row>
    <row r="589" ht="29.25" customHeight="1">
      <c r="A589" s="295"/>
      <c r="B589" s="295"/>
      <c r="C589" s="295"/>
      <c r="D589" s="295"/>
      <c r="E589" s="295"/>
      <c r="F589" s="295"/>
      <c r="G589" s="295"/>
      <c r="H589" s="295"/>
      <c r="I589" s="295"/>
      <c r="J589" s="295"/>
      <c r="K589" s="295"/>
      <c r="L589" s="295"/>
      <c r="M589" s="295"/>
      <c r="N589" s="295"/>
      <c r="O589" s="297"/>
      <c r="P589" s="295"/>
      <c r="Q589" s="295"/>
      <c r="R589" s="295"/>
      <c r="S589" s="295"/>
      <c r="T589" s="295"/>
      <c r="U589" s="295"/>
      <c r="V589" s="295"/>
      <c r="W589" s="295"/>
      <c r="X589" s="295"/>
      <c r="Y589" s="295"/>
      <c r="Z589" s="295"/>
    </row>
    <row r="590" ht="29.25" customHeight="1">
      <c r="A590" s="295"/>
      <c r="B590" s="295"/>
      <c r="C590" s="295"/>
      <c r="D590" s="295"/>
      <c r="E590" s="295"/>
      <c r="F590" s="295"/>
      <c r="G590" s="295"/>
      <c r="H590" s="295"/>
      <c r="I590" s="295"/>
      <c r="J590" s="295"/>
      <c r="K590" s="295"/>
      <c r="L590" s="295"/>
      <c r="M590" s="295"/>
      <c r="N590" s="295"/>
      <c r="O590" s="297"/>
      <c r="P590" s="295"/>
      <c r="Q590" s="295"/>
      <c r="R590" s="295"/>
      <c r="S590" s="295"/>
      <c r="T590" s="295"/>
      <c r="U590" s="295"/>
      <c r="V590" s="295"/>
      <c r="W590" s="295"/>
      <c r="X590" s="295"/>
      <c r="Y590" s="295"/>
      <c r="Z590" s="295"/>
    </row>
    <row r="591" ht="29.25" customHeight="1">
      <c r="A591" s="295"/>
      <c r="B591" s="295"/>
      <c r="C591" s="295"/>
      <c r="D591" s="295"/>
      <c r="E591" s="295"/>
      <c r="F591" s="295"/>
      <c r="G591" s="295"/>
      <c r="H591" s="295"/>
      <c r="I591" s="295"/>
      <c r="J591" s="295"/>
      <c r="K591" s="295"/>
      <c r="L591" s="295"/>
      <c r="M591" s="295"/>
      <c r="N591" s="295"/>
      <c r="O591" s="297"/>
      <c r="P591" s="295"/>
      <c r="Q591" s="295"/>
      <c r="R591" s="295"/>
      <c r="S591" s="295"/>
      <c r="T591" s="295"/>
      <c r="U591" s="295"/>
      <c r="V591" s="295"/>
      <c r="W591" s="295"/>
      <c r="X591" s="295"/>
      <c r="Y591" s="295"/>
      <c r="Z591" s="295"/>
    </row>
    <row r="592" ht="29.25" customHeight="1">
      <c r="A592" s="295"/>
      <c r="B592" s="295"/>
      <c r="C592" s="295"/>
      <c r="D592" s="295"/>
      <c r="E592" s="295"/>
      <c r="F592" s="295"/>
      <c r="G592" s="295"/>
      <c r="H592" s="295"/>
      <c r="I592" s="295"/>
      <c r="J592" s="295"/>
      <c r="K592" s="295"/>
      <c r="L592" s="295"/>
      <c r="M592" s="295"/>
      <c r="N592" s="295"/>
      <c r="O592" s="297"/>
      <c r="P592" s="295"/>
      <c r="Q592" s="295"/>
      <c r="R592" s="295"/>
      <c r="S592" s="295"/>
      <c r="T592" s="295"/>
      <c r="U592" s="295"/>
      <c r="V592" s="295"/>
      <c r="W592" s="295"/>
      <c r="X592" s="295"/>
      <c r="Y592" s="295"/>
      <c r="Z592" s="295"/>
    </row>
    <row r="593" ht="29.25" customHeight="1">
      <c r="A593" s="295"/>
      <c r="B593" s="295"/>
      <c r="C593" s="295"/>
      <c r="D593" s="295"/>
      <c r="E593" s="295"/>
      <c r="F593" s="295"/>
      <c r="G593" s="295"/>
      <c r="H593" s="295"/>
      <c r="I593" s="295"/>
      <c r="J593" s="295"/>
      <c r="K593" s="295"/>
      <c r="L593" s="295"/>
      <c r="M593" s="295"/>
      <c r="N593" s="295"/>
      <c r="O593" s="297"/>
      <c r="P593" s="295"/>
      <c r="Q593" s="295"/>
      <c r="R593" s="295"/>
      <c r="S593" s="295"/>
      <c r="T593" s="295"/>
      <c r="U593" s="295"/>
      <c r="V593" s="295"/>
      <c r="W593" s="295"/>
      <c r="X593" s="295"/>
      <c r="Y593" s="295"/>
      <c r="Z593" s="295"/>
    </row>
    <row r="594" ht="29.25" customHeight="1">
      <c r="A594" s="295"/>
      <c r="B594" s="295"/>
      <c r="C594" s="295"/>
      <c r="D594" s="295"/>
      <c r="E594" s="295"/>
      <c r="F594" s="295"/>
      <c r="G594" s="295"/>
      <c r="H594" s="295"/>
      <c r="I594" s="295"/>
      <c r="J594" s="295"/>
      <c r="K594" s="295"/>
      <c r="L594" s="295"/>
      <c r="M594" s="295"/>
      <c r="N594" s="295"/>
      <c r="O594" s="297"/>
      <c r="P594" s="295"/>
      <c r="Q594" s="295"/>
      <c r="R594" s="295"/>
      <c r="S594" s="295"/>
      <c r="T594" s="295"/>
      <c r="U594" s="295"/>
      <c r="V594" s="295"/>
      <c r="W594" s="295"/>
      <c r="X594" s="295"/>
      <c r="Y594" s="295"/>
      <c r="Z594" s="295"/>
    </row>
    <row r="595" ht="29.25" customHeight="1">
      <c r="A595" s="295"/>
      <c r="B595" s="295"/>
      <c r="C595" s="295"/>
      <c r="D595" s="295"/>
      <c r="E595" s="295"/>
      <c r="F595" s="295"/>
      <c r="G595" s="295"/>
      <c r="H595" s="295"/>
      <c r="I595" s="295"/>
      <c r="J595" s="295"/>
      <c r="K595" s="295"/>
      <c r="L595" s="295"/>
      <c r="M595" s="295"/>
      <c r="N595" s="295"/>
      <c r="O595" s="297"/>
      <c r="P595" s="295"/>
      <c r="Q595" s="295"/>
      <c r="R595" s="295"/>
      <c r="S595" s="295"/>
      <c r="T595" s="295"/>
      <c r="U595" s="295"/>
      <c r="V595" s="295"/>
      <c r="W595" s="295"/>
      <c r="X595" s="295"/>
      <c r="Y595" s="295"/>
      <c r="Z595" s="295"/>
    </row>
    <row r="596" ht="29.25" customHeight="1">
      <c r="A596" s="295"/>
      <c r="B596" s="295"/>
      <c r="C596" s="295"/>
      <c r="D596" s="295"/>
      <c r="E596" s="295"/>
      <c r="F596" s="295"/>
      <c r="G596" s="295"/>
      <c r="H596" s="295"/>
      <c r="I596" s="295"/>
      <c r="J596" s="295"/>
      <c r="K596" s="295"/>
      <c r="L596" s="295"/>
      <c r="M596" s="295"/>
      <c r="N596" s="295"/>
      <c r="O596" s="297"/>
      <c r="P596" s="295"/>
      <c r="Q596" s="295"/>
      <c r="R596" s="295"/>
      <c r="S596" s="295"/>
      <c r="T596" s="295"/>
      <c r="U596" s="295"/>
      <c r="V596" s="295"/>
      <c r="W596" s="295"/>
      <c r="X596" s="295"/>
      <c r="Y596" s="295"/>
      <c r="Z596" s="295"/>
    </row>
    <row r="597" ht="29.25" customHeight="1">
      <c r="A597" s="295"/>
      <c r="B597" s="295"/>
      <c r="C597" s="295"/>
      <c r="D597" s="295"/>
      <c r="E597" s="295"/>
      <c r="F597" s="295"/>
      <c r="G597" s="295"/>
      <c r="H597" s="295"/>
      <c r="I597" s="295"/>
      <c r="J597" s="295"/>
      <c r="K597" s="295"/>
      <c r="L597" s="295"/>
      <c r="M597" s="295"/>
      <c r="N597" s="295"/>
      <c r="O597" s="297"/>
      <c r="P597" s="295"/>
      <c r="Q597" s="295"/>
      <c r="R597" s="295"/>
      <c r="S597" s="295"/>
      <c r="T597" s="295"/>
      <c r="U597" s="295"/>
      <c r="V597" s="295"/>
      <c r="W597" s="295"/>
      <c r="X597" s="295"/>
      <c r="Y597" s="295"/>
      <c r="Z597" s="295"/>
    </row>
    <row r="598" ht="29.25" customHeight="1">
      <c r="A598" s="295"/>
      <c r="B598" s="295"/>
      <c r="C598" s="295"/>
      <c r="D598" s="295"/>
      <c r="E598" s="295"/>
      <c r="F598" s="295"/>
      <c r="G598" s="295"/>
      <c r="H598" s="295"/>
      <c r="I598" s="295"/>
      <c r="J598" s="295"/>
      <c r="K598" s="295"/>
      <c r="L598" s="295"/>
      <c r="M598" s="295"/>
      <c r="N598" s="295"/>
      <c r="O598" s="297"/>
      <c r="P598" s="295"/>
      <c r="Q598" s="295"/>
      <c r="R598" s="295"/>
      <c r="S598" s="295"/>
      <c r="T598" s="295"/>
      <c r="U598" s="295"/>
      <c r="V598" s="295"/>
      <c r="W598" s="295"/>
      <c r="X598" s="295"/>
      <c r="Y598" s="295"/>
      <c r="Z598" s="295"/>
    </row>
    <row r="599" ht="29.25" customHeight="1">
      <c r="A599" s="295"/>
      <c r="B599" s="295"/>
      <c r="C599" s="295"/>
      <c r="D599" s="295"/>
      <c r="E599" s="295"/>
      <c r="F599" s="295"/>
      <c r="G599" s="295"/>
      <c r="H599" s="295"/>
      <c r="I599" s="295"/>
      <c r="J599" s="295"/>
      <c r="K599" s="295"/>
      <c r="L599" s="295"/>
      <c r="M599" s="295"/>
      <c r="N599" s="295"/>
      <c r="O599" s="297"/>
      <c r="P599" s="295"/>
      <c r="Q599" s="295"/>
      <c r="R599" s="295"/>
      <c r="S599" s="295"/>
      <c r="T599" s="295"/>
      <c r="U599" s="295"/>
      <c r="V599" s="295"/>
      <c r="W599" s="295"/>
      <c r="X599" s="295"/>
      <c r="Y599" s="295"/>
      <c r="Z599" s="295"/>
    </row>
    <row r="600" ht="29.25" customHeight="1">
      <c r="A600" s="295"/>
      <c r="B600" s="295"/>
      <c r="C600" s="295"/>
      <c r="D600" s="295"/>
      <c r="E600" s="295"/>
      <c r="F600" s="295"/>
      <c r="G600" s="295"/>
      <c r="H600" s="295"/>
      <c r="I600" s="295"/>
      <c r="J600" s="295"/>
      <c r="K600" s="295"/>
      <c r="L600" s="295"/>
      <c r="M600" s="295"/>
      <c r="N600" s="295"/>
      <c r="O600" s="297"/>
      <c r="P600" s="295"/>
      <c r="Q600" s="295"/>
      <c r="R600" s="295"/>
      <c r="S600" s="295"/>
      <c r="T600" s="295"/>
      <c r="U600" s="295"/>
      <c r="V600" s="295"/>
      <c r="W600" s="295"/>
      <c r="X600" s="295"/>
      <c r="Y600" s="295"/>
      <c r="Z600" s="295"/>
    </row>
    <row r="601" ht="29.25" customHeight="1">
      <c r="A601" s="295"/>
      <c r="B601" s="295"/>
      <c r="C601" s="295"/>
      <c r="D601" s="295"/>
      <c r="E601" s="295"/>
      <c r="F601" s="295"/>
      <c r="G601" s="295"/>
      <c r="H601" s="295"/>
      <c r="I601" s="295"/>
      <c r="J601" s="295"/>
      <c r="K601" s="295"/>
      <c r="L601" s="295"/>
      <c r="M601" s="295"/>
      <c r="N601" s="295"/>
      <c r="O601" s="297"/>
      <c r="P601" s="295"/>
      <c r="Q601" s="295"/>
      <c r="R601" s="295"/>
      <c r="S601" s="295"/>
      <c r="T601" s="295"/>
      <c r="U601" s="295"/>
      <c r="V601" s="295"/>
      <c r="W601" s="295"/>
      <c r="X601" s="295"/>
      <c r="Y601" s="295"/>
      <c r="Z601" s="295"/>
    </row>
    <row r="602" ht="29.25" customHeight="1">
      <c r="A602" s="295"/>
      <c r="B602" s="295"/>
      <c r="C602" s="295"/>
      <c r="D602" s="295"/>
      <c r="E602" s="295"/>
      <c r="F602" s="295"/>
      <c r="G602" s="295"/>
      <c r="H602" s="295"/>
      <c r="I602" s="295"/>
      <c r="J602" s="295"/>
      <c r="K602" s="295"/>
      <c r="L602" s="295"/>
      <c r="M602" s="295"/>
      <c r="N602" s="295"/>
      <c r="O602" s="297"/>
      <c r="P602" s="295"/>
      <c r="Q602" s="295"/>
      <c r="R602" s="295"/>
      <c r="S602" s="295"/>
      <c r="T602" s="295"/>
      <c r="U602" s="295"/>
      <c r="V602" s="295"/>
      <c r="W602" s="295"/>
      <c r="X602" s="295"/>
      <c r="Y602" s="295"/>
      <c r="Z602" s="295"/>
    </row>
    <row r="603" ht="29.25" customHeight="1">
      <c r="A603" s="295"/>
      <c r="B603" s="295"/>
      <c r="C603" s="295"/>
      <c r="D603" s="295"/>
      <c r="E603" s="295"/>
      <c r="F603" s="295"/>
      <c r="G603" s="295"/>
      <c r="H603" s="295"/>
      <c r="I603" s="295"/>
      <c r="J603" s="295"/>
      <c r="K603" s="295"/>
      <c r="L603" s="295"/>
      <c r="M603" s="295"/>
      <c r="N603" s="295"/>
      <c r="O603" s="297"/>
      <c r="P603" s="295"/>
      <c r="Q603" s="295"/>
      <c r="R603" s="295"/>
      <c r="S603" s="295"/>
      <c r="T603" s="295"/>
      <c r="U603" s="295"/>
      <c r="V603" s="295"/>
      <c r="W603" s="295"/>
      <c r="X603" s="295"/>
      <c r="Y603" s="295"/>
      <c r="Z603" s="295"/>
    </row>
    <row r="604" ht="29.25" customHeight="1">
      <c r="A604" s="295"/>
      <c r="B604" s="295"/>
      <c r="C604" s="295"/>
      <c r="D604" s="295"/>
      <c r="E604" s="295"/>
      <c r="F604" s="295"/>
      <c r="G604" s="295"/>
      <c r="H604" s="295"/>
      <c r="I604" s="295"/>
      <c r="J604" s="295"/>
      <c r="K604" s="295"/>
      <c r="L604" s="295"/>
      <c r="M604" s="295"/>
      <c r="N604" s="295"/>
      <c r="O604" s="297"/>
      <c r="P604" s="295"/>
      <c r="Q604" s="295"/>
      <c r="R604" s="295"/>
      <c r="S604" s="295"/>
      <c r="T604" s="295"/>
      <c r="U604" s="295"/>
      <c r="V604" s="295"/>
      <c r="W604" s="295"/>
      <c r="X604" s="295"/>
      <c r="Y604" s="295"/>
      <c r="Z604" s="295"/>
    </row>
    <row r="605" ht="29.25" customHeight="1">
      <c r="A605" s="295"/>
      <c r="B605" s="295"/>
      <c r="C605" s="295"/>
      <c r="D605" s="295"/>
      <c r="E605" s="295"/>
      <c r="F605" s="295"/>
      <c r="G605" s="295"/>
      <c r="H605" s="295"/>
      <c r="I605" s="295"/>
      <c r="J605" s="295"/>
      <c r="K605" s="295"/>
      <c r="L605" s="295"/>
      <c r="M605" s="295"/>
      <c r="N605" s="295"/>
      <c r="O605" s="297"/>
      <c r="P605" s="295"/>
      <c r="Q605" s="295"/>
      <c r="R605" s="295"/>
      <c r="S605" s="295"/>
      <c r="T605" s="295"/>
      <c r="U605" s="295"/>
      <c r="V605" s="295"/>
      <c r="W605" s="295"/>
      <c r="X605" s="295"/>
      <c r="Y605" s="295"/>
      <c r="Z605" s="295"/>
    </row>
    <row r="606" ht="29.25" customHeight="1">
      <c r="A606" s="295"/>
      <c r="B606" s="295"/>
      <c r="C606" s="295"/>
      <c r="D606" s="295"/>
      <c r="E606" s="295"/>
      <c r="F606" s="295"/>
      <c r="G606" s="295"/>
      <c r="H606" s="295"/>
      <c r="I606" s="295"/>
      <c r="J606" s="295"/>
      <c r="K606" s="295"/>
      <c r="L606" s="295"/>
      <c r="M606" s="295"/>
      <c r="N606" s="295"/>
      <c r="O606" s="297"/>
      <c r="P606" s="295"/>
      <c r="Q606" s="295"/>
      <c r="R606" s="295"/>
      <c r="S606" s="295"/>
      <c r="T606" s="295"/>
      <c r="U606" s="295"/>
      <c r="V606" s="295"/>
      <c r="W606" s="295"/>
      <c r="X606" s="295"/>
      <c r="Y606" s="295"/>
      <c r="Z606" s="295"/>
    </row>
    <row r="607" ht="29.25" customHeight="1">
      <c r="A607" s="295"/>
      <c r="B607" s="295"/>
      <c r="C607" s="295"/>
      <c r="D607" s="295"/>
      <c r="E607" s="295"/>
      <c r="F607" s="295"/>
      <c r="G607" s="295"/>
      <c r="H607" s="295"/>
      <c r="I607" s="295"/>
      <c r="J607" s="295"/>
      <c r="K607" s="295"/>
      <c r="L607" s="295"/>
      <c r="M607" s="295"/>
      <c r="N607" s="295"/>
      <c r="O607" s="297"/>
      <c r="P607" s="295"/>
      <c r="Q607" s="295"/>
      <c r="R607" s="295"/>
      <c r="S607" s="295"/>
      <c r="T607" s="295"/>
      <c r="U607" s="295"/>
      <c r="V607" s="295"/>
      <c r="W607" s="295"/>
      <c r="X607" s="295"/>
      <c r="Y607" s="295"/>
      <c r="Z607" s="295"/>
    </row>
    <row r="608" ht="29.25" customHeight="1">
      <c r="A608" s="295"/>
      <c r="B608" s="295"/>
      <c r="C608" s="295"/>
      <c r="D608" s="295"/>
      <c r="E608" s="295"/>
      <c r="F608" s="295"/>
      <c r="G608" s="295"/>
      <c r="H608" s="295"/>
      <c r="I608" s="295"/>
      <c r="J608" s="295"/>
      <c r="K608" s="295"/>
      <c r="L608" s="295"/>
      <c r="M608" s="295"/>
      <c r="N608" s="295"/>
      <c r="O608" s="297"/>
      <c r="P608" s="295"/>
      <c r="Q608" s="295"/>
      <c r="R608" s="295"/>
      <c r="S608" s="295"/>
      <c r="T608" s="295"/>
      <c r="U608" s="295"/>
      <c r="V608" s="295"/>
      <c r="W608" s="295"/>
      <c r="X608" s="295"/>
      <c r="Y608" s="295"/>
      <c r="Z608" s="295"/>
    </row>
    <row r="609" ht="29.25" customHeight="1">
      <c r="A609" s="295"/>
      <c r="B609" s="295"/>
      <c r="C609" s="295"/>
      <c r="D609" s="295"/>
      <c r="E609" s="295"/>
      <c r="F609" s="295"/>
      <c r="G609" s="295"/>
      <c r="H609" s="295"/>
      <c r="I609" s="295"/>
      <c r="J609" s="295"/>
      <c r="K609" s="295"/>
      <c r="L609" s="295"/>
      <c r="M609" s="295"/>
      <c r="N609" s="295"/>
      <c r="O609" s="297"/>
      <c r="P609" s="295"/>
      <c r="Q609" s="295"/>
      <c r="R609" s="295"/>
      <c r="S609" s="295"/>
      <c r="T609" s="295"/>
      <c r="U609" s="295"/>
      <c r="V609" s="295"/>
      <c r="W609" s="295"/>
      <c r="X609" s="295"/>
      <c r="Y609" s="295"/>
      <c r="Z609" s="295"/>
    </row>
    <row r="610" ht="29.25" customHeight="1">
      <c r="A610" s="295"/>
      <c r="B610" s="295"/>
      <c r="C610" s="295"/>
      <c r="D610" s="295"/>
      <c r="E610" s="295"/>
      <c r="F610" s="295"/>
      <c r="G610" s="295"/>
      <c r="H610" s="295"/>
      <c r="I610" s="295"/>
      <c r="J610" s="295"/>
      <c r="K610" s="295"/>
      <c r="L610" s="295"/>
      <c r="M610" s="295"/>
      <c r="N610" s="295"/>
      <c r="O610" s="297"/>
      <c r="P610" s="295"/>
      <c r="Q610" s="295"/>
      <c r="R610" s="295"/>
      <c r="S610" s="295"/>
      <c r="T610" s="295"/>
      <c r="U610" s="295"/>
      <c r="V610" s="295"/>
      <c r="W610" s="295"/>
      <c r="X610" s="295"/>
      <c r="Y610" s="295"/>
      <c r="Z610" s="295"/>
    </row>
    <row r="611" ht="29.25" customHeight="1">
      <c r="A611" s="295"/>
      <c r="B611" s="295"/>
      <c r="C611" s="295"/>
      <c r="D611" s="295"/>
      <c r="E611" s="295"/>
      <c r="F611" s="295"/>
      <c r="G611" s="295"/>
      <c r="H611" s="295"/>
      <c r="I611" s="295"/>
      <c r="J611" s="295"/>
      <c r="K611" s="295"/>
      <c r="L611" s="295"/>
      <c r="M611" s="295"/>
      <c r="N611" s="295"/>
      <c r="O611" s="297"/>
      <c r="P611" s="295"/>
      <c r="Q611" s="295"/>
      <c r="R611" s="295"/>
      <c r="S611" s="295"/>
      <c r="T611" s="295"/>
      <c r="U611" s="295"/>
      <c r="V611" s="295"/>
      <c r="W611" s="295"/>
      <c r="X611" s="295"/>
      <c r="Y611" s="295"/>
      <c r="Z611" s="295"/>
    </row>
    <row r="612" ht="29.25" customHeight="1">
      <c r="A612" s="295"/>
      <c r="B612" s="295"/>
      <c r="C612" s="295"/>
      <c r="D612" s="295"/>
      <c r="E612" s="295"/>
      <c r="F612" s="295"/>
      <c r="G612" s="295"/>
      <c r="H612" s="295"/>
      <c r="I612" s="295"/>
      <c r="J612" s="295"/>
      <c r="K612" s="295"/>
      <c r="L612" s="295"/>
      <c r="M612" s="295"/>
      <c r="N612" s="295"/>
      <c r="O612" s="297"/>
      <c r="P612" s="295"/>
      <c r="Q612" s="295"/>
      <c r="R612" s="295"/>
      <c r="S612" s="295"/>
      <c r="T612" s="295"/>
      <c r="U612" s="295"/>
      <c r="V612" s="295"/>
      <c r="W612" s="295"/>
      <c r="X612" s="295"/>
      <c r="Y612" s="295"/>
      <c r="Z612" s="295"/>
    </row>
    <row r="613" ht="29.25" customHeight="1">
      <c r="A613" s="295"/>
      <c r="B613" s="295"/>
      <c r="C613" s="295"/>
      <c r="D613" s="295"/>
      <c r="E613" s="295"/>
      <c r="F613" s="295"/>
      <c r="G613" s="295"/>
      <c r="H613" s="295"/>
      <c r="I613" s="295"/>
      <c r="J613" s="295"/>
      <c r="K613" s="295"/>
      <c r="L613" s="295"/>
      <c r="M613" s="295"/>
      <c r="N613" s="295"/>
      <c r="O613" s="297"/>
      <c r="P613" s="295"/>
      <c r="Q613" s="295"/>
      <c r="R613" s="295"/>
      <c r="S613" s="295"/>
      <c r="T613" s="295"/>
      <c r="U613" s="295"/>
      <c r="V613" s="295"/>
      <c r="W613" s="295"/>
      <c r="X613" s="295"/>
      <c r="Y613" s="295"/>
      <c r="Z613" s="295"/>
    </row>
    <row r="614" ht="29.25" customHeight="1">
      <c r="A614" s="295"/>
      <c r="B614" s="295"/>
      <c r="C614" s="295"/>
      <c r="D614" s="295"/>
      <c r="E614" s="295"/>
      <c r="F614" s="295"/>
      <c r="G614" s="295"/>
      <c r="H614" s="295"/>
      <c r="I614" s="295"/>
      <c r="J614" s="295"/>
      <c r="K614" s="295"/>
      <c r="L614" s="295"/>
      <c r="M614" s="295"/>
      <c r="N614" s="295"/>
      <c r="O614" s="297"/>
      <c r="P614" s="295"/>
      <c r="Q614" s="295"/>
      <c r="R614" s="295"/>
      <c r="S614" s="295"/>
      <c r="T614" s="295"/>
      <c r="U614" s="295"/>
      <c r="V614" s="295"/>
      <c r="W614" s="295"/>
      <c r="X614" s="295"/>
      <c r="Y614" s="295"/>
      <c r="Z614" s="295"/>
    </row>
    <row r="615" ht="29.25" customHeight="1">
      <c r="A615" s="295"/>
      <c r="B615" s="295"/>
      <c r="C615" s="295"/>
      <c r="D615" s="295"/>
      <c r="E615" s="295"/>
      <c r="F615" s="295"/>
      <c r="G615" s="295"/>
      <c r="H615" s="295"/>
      <c r="I615" s="295"/>
      <c r="J615" s="295"/>
      <c r="K615" s="295"/>
      <c r="L615" s="295"/>
      <c r="M615" s="295"/>
      <c r="N615" s="295"/>
      <c r="O615" s="297"/>
      <c r="P615" s="295"/>
      <c r="Q615" s="295"/>
      <c r="R615" s="295"/>
      <c r="S615" s="295"/>
      <c r="T615" s="295"/>
      <c r="U615" s="295"/>
      <c r="V615" s="295"/>
      <c r="W615" s="295"/>
      <c r="X615" s="295"/>
      <c r="Y615" s="295"/>
      <c r="Z615" s="295"/>
    </row>
    <row r="616" ht="29.25" customHeight="1">
      <c r="A616" s="295"/>
      <c r="B616" s="295"/>
      <c r="C616" s="295"/>
      <c r="D616" s="295"/>
      <c r="E616" s="295"/>
      <c r="F616" s="295"/>
      <c r="G616" s="295"/>
      <c r="H616" s="295"/>
      <c r="I616" s="295"/>
      <c r="J616" s="295"/>
      <c r="K616" s="295"/>
      <c r="L616" s="295"/>
      <c r="M616" s="295"/>
      <c r="N616" s="295"/>
      <c r="O616" s="297"/>
      <c r="P616" s="295"/>
      <c r="Q616" s="295"/>
      <c r="R616" s="295"/>
      <c r="S616" s="295"/>
      <c r="T616" s="295"/>
      <c r="U616" s="295"/>
      <c r="V616" s="295"/>
      <c r="W616" s="295"/>
      <c r="X616" s="295"/>
      <c r="Y616" s="295"/>
      <c r="Z616" s="295"/>
    </row>
    <row r="617" ht="29.25" customHeight="1">
      <c r="A617" s="295"/>
      <c r="B617" s="295"/>
      <c r="C617" s="295"/>
      <c r="D617" s="295"/>
      <c r="E617" s="295"/>
      <c r="F617" s="295"/>
      <c r="G617" s="295"/>
      <c r="H617" s="295"/>
      <c r="I617" s="295"/>
      <c r="J617" s="295"/>
      <c r="K617" s="295"/>
      <c r="L617" s="295"/>
      <c r="M617" s="295"/>
      <c r="N617" s="295"/>
      <c r="O617" s="297"/>
      <c r="P617" s="295"/>
      <c r="Q617" s="295"/>
      <c r="R617" s="295"/>
      <c r="S617" s="295"/>
      <c r="T617" s="295"/>
      <c r="U617" s="295"/>
      <c r="V617" s="295"/>
      <c r="W617" s="295"/>
      <c r="X617" s="295"/>
      <c r="Y617" s="295"/>
      <c r="Z617" s="295"/>
    </row>
    <row r="618" ht="29.25" customHeight="1">
      <c r="A618" s="295"/>
      <c r="B618" s="295"/>
      <c r="C618" s="295"/>
      <c r="D618" s="295"/>
      <c r="E618" s="295"/>
      <c r="F618" s="295"/>
      <c r="G618" s="295"/>
      <c r="H618" s="295"/>
      <c r="I618" s="295"/>
      <c r="J618" s="295"/>
      <c r="K618" s="295"/>
      <c r="L618" s="295"/>
      <c r="M618" s="295"/>
      <c r="N618" s="295"/>
      <c r="O618" s="297"/>
      <c r="P618" s="295"/>
      <c r="Q618" s="295"/>
      <c r="R618" s="295"/>
      <c r="S618" s="295"/>
      <c r="T618" s="295"/>
      <c r="U618" s="295"/>
      <c r="V618" s="295"/>
      <c r="W618" s="295"/>
      <c r="X618" s="295"/>
      <c r="Y618" s="295"/>
      <c r="Z618" s="295"/>
    </row>
    <row r="619" ht="29.25" customHeight="1">
      <c r="A619" s="295"/>
      <c r="B619" s="295"/>
      <c r="C619" s="295"/>
      <c r="D619" s="295"/>
      <c r="E619" s="295"/>
      <c r="F619" s="295"/>
      <c r="G619" s="295"/>
      <c r="H619" s="295"/>
      <c r="I619" s="295"/>
      <c r="J619" s="295"/>
      <c r="K619" s="295"/>
      <c r="L619" s="295"/>
      <c r="M619" s="295"/>
      <c r="N619" s="295"/>
      <c r="O619" s="297"/>
      <c r="P619" s="295"/>
      <c r="Q619" s="295"/>
      <c r="R619" s="295"/>
      <c r="S619" s="295"/>
      <c r="T619" s="295"/>
      <c r="U619" s="295"/>
      <c r="V619" s="295"/>
      <c r="W619" s="295"/>
      <c r="X619" s="295"/>
      <c r="Y619" s="295"/>
      <c r="Z619" s="295"/>
    </row>
    <row r="620" ht="29.25" customHeight="1">
      <c r="A620" s="295"/>
      <c r="B620" s="295"/>
      <c r="C620" s="295"/>
      <c r="D620" s="295"/>
      <c r="E620" s="295"/>
      <c r="F620" s="295"/>
      <c r="G620" s="295"/>
      <c r="H620" s="295"/>
      <c r="I620" s="295"/>
      <c r="J620" s="295"/>
      <c r="K620" s="295"/>
      <c r="L620" s="295"/>
      <c r="M620" s="295"/>
      <c r="N620" s="295"/>
      <c r="O620" s="297"/>
      <c r="P620" s="295"/>
      <c r="Q620" s="295"/>
      <c r="R620" s="295"/>
      <c r="S620" s="295"/>
      <c r="T620" s="295"/>
      <c r="U620" s="295"/>
      <c r="V620" s="295"/>
      <c r="W620" s="295"/>
      <c r="X620" s="295"/>
      <c r="Y620" s="295"/>
      <c r="Z620" s="295"/>
    </row>
    <row r="621" ht="29.25" customHeight="1">
      <c r="A621" s="295"/>
      <c r="B621" s="295"/>
      <c r="C621" s="295"/>
      <c r="D621" s="295"/>
      <c r="E621" s="295"/>
      <c r="F621" s="295"/>
      <c r="G621" s="295"/>
      <c r="H621" s="295"/>
      <c r="I621" s="295"/>
      <c r="J621" s="295"/>
      <c r="K621" s="295"/>
      <c r="L621" s="295"/>
      <c r="M621" s="295"/>
      <c r="N621" s="295"/>
      <c r="O621" s="297"/>
      <c r="P621" s="295"/>
      <c r="Q621" s="295"/>
      <c r="R621" s="295"/>
      <c r="S621" s="295"/>
      <c r="T621" s="295"/>
      <c r="U621" s="295"/>
      <c r="V621" s="295"/>
      <c r="W621" s="295"/>
      <c r="X621" s="295"/>
      <c r="Y621" s="295"/>
      <c r="Z621" s="295"/>
    </row>
    <row r="622" ht="29.25" customHeight="1">
      <c r="A622" s="295"/>
      <c r="B622" s="295"/>
      <c r="C622" s="295"/>
      <c r="D622" s="295"/>
      <c r="E622" s="295"/>
      <c r="F622" s="295"/>
      <c r="G622" s="295"/>
      <c r="H622" s="295"/>
      <c r="I622" s="295"/>
      <c r="J622" s="295"/>
      <c r="K622" s="295"/>
      <c r="L622" s="295"/>
      <c r="M622" s="295"/>
      <c r="N622" s="295"/>
      <c r="O622" s="297"/>
      <c r="P622" s="295"/>
      <c r="Q622" s="295"/>
      <c r="R622" s="295"/>
      <c r="S622" s="295"/>
      <c r="T622" s="295"/>
      <c r="U622" s="295"/>
      <c r="V622" s="295"/>
      <c r="W622" s="295"/>
      <c r="X622" s="295"/>
      <c r="Y622" s="295"/>
      <c r="Z622" s="295"/>
    </row>
    <row r="623" ht="29.25" customHeight="1">
      <c r="A623" s="295"/>
      <c r="B623" s="295"/>
      <c r="C623" s="295"/>
      <c r="D623" s="295"/>
      <c r="E623" s="295"/>
      <c r="F623" s="295"/>
      <c r="G623" s="295"/>
      <c r="H623" s="295"/>
      <c r="I623" s="295"/>
      <c r="J623" s="295"/>
      <c r="K623" s="295"/>
      <c r="L623" s="295"/>
      <c r="M623" s="295"/>
      <c r="N623" s="295"/>
      <c r="O623" s="297"/>
      <c r="P623" s="295"/>
      <c r="Q623" s="295"/>
      <c r="R623" s="295"/>
      <c r="S623" s="295"/>
      <c r="T623" s="295"/>
      <c r="U623" s="295"/>
      <c r="V623" s="295"/>
      <c r="W623" s="295"/>
      <c r="X623" s="295"/>
      <c r="Y623" s="295"/>
      <c r="Z623" s="295"/>
    </row>
    <row r="624" ht="29.25" customHeight="1">
      <c r="A624" s="295"/>
      <c r="B624" s="295"/>
      <c r="C624" s="295"/>
      <c r="D624" s="295"/>
      <c r="E624" s="295"/>
      <c r="F624" s="295"/>
      <c r="G624" s="295"/>
      <c r="H624" s="295"/>
      <c r="I624" s="295"/>
      <c r="J624" s="295"/>
      <c r="K624" s="295"/>
      <c r="L624" s="295"/>
      <c r="M624" s="295"/>
      <c r="N624" s="295"/>
      <c r="O624" s="297"/>
      <c r="P624" s="295"/>
      <c r="Q624" s="295"/>
      <c r="R624" s="295"/>
      <c r="S624" s="295"/>
      <c r="T624" s="295"/>
      <c r="U624" s="295"/>
      <c r="V624" s="295"/>
      <c r="W624" s="295"/>
      <c r="X624" s="295"/>
      <c r="Y624" s="295"/>
      <c r="Z624" s="295"/>
    </row>
    <row r="625" ht="29.25" customHeight="1">
      <c r="A625" s="295"/>
      <c r="B625" s="295"/>
      <c r="C625" s="295"/>
      <c r="D625" s="295"/>
      <c r="E625" s="295"/>
      <c r="F625" s="295"/>
      <c r="G625" s="295"/>
      <c r="H625" s="295"/>
      <c r="I625" s="295"/>
      <c r="J625" s="295"/>
      <c r="K625" s="295"/>
      <c r="L625" s="295"/>
      <c r="M625" s="295"/>
      <c r="N625" s="295"/>
      <c r="O625" s="297"/>
      <c r="P625" s="295"/>
      <c r="Q625" s="295"/>
      <c r="R625" s="295"/>
      <c r="S625" s="295"/>
      <c r="T625" s="295"/>
      <c r="U625" s="295"/>
      <c r="V625" s="295"/>
      <c r="W625" s="295"/>
      <c r="X625" s="295"/>
      <c r="Y625" s="295"/>
      <c r="Z625" s="295"/>
    </row>
    <row r="626" ht="29.25" customHeight="1">
      <c r="A626" s="295"/>
      <c r="B626" s="295"/>
      <c r="C626" s="295"/>
      <c r="D626" s="295"/>
      <c r="E626" s="295"/>
      <c r="F626" s="295"/>
      <c r="G626" s="295"/>
      <c r="H626" s="295"/>
      <c r="I626" s="295"/>
      <c r="J626" s="295"/>
      <c r="K626" s="295"/>
      <c r="L626" s="295"/>
      <c r="M626" s="295"/>
      <c r="N626" s="295"/>
      <c r="O626" s="297"/>
      <c r="P626" s="295"/>
      <c r="Q626" s="295"/>
      <c r="R626" s="295"/>
      <c r="S626" s="295"/>
      <c r="T626" s="295"/>
      <c r="U626" s="295"/>
      <c r="V626" s="295"/>
      <c r="W626" s="295"/>
      <c r="X626" s="295"/>
      <c r="Y626" s="295"/>
      <c r="Z626" s="295"/>
    </row>
    <row r="627" ht="29.25" customHeight="1">
      <c r="A627" s="295"/>
      <c r="B627" s="295"/>
      <c r="C627" s="295"/>
      <c r="D627" s="295"/>
      <c r="E627" s="295"/>
      <c r="F627" s="295"/>
      <c r="G627" s="295"/>
      <c r="H627" s="295"/>
      <c r="I627" s="295"/>
      <c r="J627" s="295"/>
      <c r="K627" s="295"/>
      <c r="L627" s="295"/>
      <c r="M627" s="295"/>
      <c r="N627" s="295"/>
      <c r="O627" s="297"/>
      <c r="P627" s="295"/>
      <c r="Q627" s="295"/>
      <c r="R627" s="295"/>
      <c r="S627" s="295"/>
      <c r="T627" s="295"/>
      <c r="U627" s="295"/>
      <c r="V627" s="295"/>
      <c r="W627" s="295"/>
      <c r="X627" s="295"/>
      <c r="Y627" s="295"/>
      <c r="Z627" s="295"/>
    </row>
    <row r="628" ht="29.25" customHeight="1">
      <c r="A628" s="295"/>
      <c r="B628" s="295"/>
      <c r="C628" s="295"/>
      <c r="D628" s="295"/>
      <c r="E628" s="295"/>
      <c r="F628" s="295"/>
      <c r="G628" s="295"/>
      <c r="H628" s="295"/>
      <c r="I628" s="295"/>
      <c r="J628" s="295"/>
      <c r="K628" s="295"/>
      <c r="L628" s="295"/>
      <c r="M628" s="295"/>
      <c r="N628" s="295"/>
      <c r="O628" s="297"/>
      <c r="P628" s="295"/>
      <c r="Q628" s="295"/>
      <c r="R628" s="295"/>
      <c r="S628" s="295"/>
      <c r="T628" s="295"/>
      <c r="U628" s="295"/>
      <c r="V628" s="295"/>
      <c r="W628" s="295"/>
      <c r="X628" s="295"/>
      <c r="Y628" s="295"/>
      <c r="Z628" s="295"/>
    </row>
    <row r="629" ht="29.25" customHeight="1">
      <c r="A629" s="295"/>
      <c r="B629" s="295"/>
      <c r="C629" s="295"/>
      <c r="D629" s="295"/>
      <c r="E629" s="295"/>
      <c r="F629" s="295"/>
      <c r="G629" s="295"/>
      <c r="H629" s="295"/>
      <c r="I629" s="295"/>
      <c r="J629" s="295"/>
      <c r="K629" s="295"/>
      <c r="L629" s="295"/>
      <c r="M629" s="295"/>
      <c r="N629" s="295"/>
      <c r="O629" s="297"/>
      <c r="P629" s="295"/>
      <c r="Q629" s="295"/>
      <c r="R629" s="295"/>
      <c r="S629" s="295"/>
      <c r="T629" s="295"/>
      <c r="U629" s="295"/>
      <c r="V629" s="295"/>
      <c r="W629" s="295"/>
      <c r="X629" s="295"/>
      <c r="Y629" s="295"/>
      <c r="Z629" s="295"/>
    </row>
    <row r="630" ht="29.25" customHeight="1">
      <c r="A630" s="295"/>
      <c r="B630" s="295"/>
      <c r="C630" s="295"/>
      <c r="D630" s="295"/>
      <c r="E630" s="295"/>
      <c r="F630" s="295"/>
      <c r="G630" s="295"/>
      <c r="H630" s="295"/>
      <c r="I630" s="295"/>
      <c r="J630" s="295"/>
      <c r="K630" s="295"/>
      <c r="L630" s="295"/>
      <c r="M630" s="295"/>
      <c r="N630" s="295"/>
      <c r="O630" s="297"/>
      <c r="P630" s="295"/>
      <c r="Q630" s="295"/>
      <c r="R630" s="295"/>
      <c r="S630" s="295"/>
      <c r="T630" s="295"/>
      <c r="U630" s="295"/>
      <c r="V630" s="295"/>
      <c r="W630" s="295"/>
      <c r="X630" s="295"/>
      <c r="Y630" s="295"/>
      <c r="Z630" s="295"/>
    </row>
    <row r="631" ht="29.25" customHeight="1">
      <c r="A631" s="295"/>
      <c r="B631" s="295"/>
      <c r="C631" s="295"/>
      <c r="D631" s="295"/>
      <c r="E631" s="295"/>
      <c r="F631" s="295"/>
      <c r="G631" s="295"/>
      <c r="H631" s="295"/>
      <c r="I631" s="295"/>
      <c r="J631" s="295"/>
      <c r="K631" s="295"/>
      <c r="L631" s="295"/>
      <c r="M631" s="295"/>
      <c r="N631" s="295"/>
      <c r="O631" s="297"/>
      <c r="P631" s="295"/>
      <c r="Q631" s="295"/>
      <c r="R631" s="295"/>
      <c r="S631" s="295"/>
      <c r="T631" s="295"/>
      <c r="U631" s="295"/>
      <c r="V631" s="295"/>
      <c r="W631" s="295"/>
      <c r="X631" s="295"/>
      <c r="Y631" s="295"/>
      <c r="Z631" s="295"/>
    </row>
    <row r="632" ht="29.25" customHeight="1">
      <c r="A632" s="295"/>
      <c r="B632" s="295"/>
      <c r="C632" s="295"/>
      <c r="D632" s="295"/>
      <c r="E632" s="295"/>
      <c r="F632" s="295"/>
      <c r="G632" s="295"/>
      <c r="H632" s="295"/>
      <c r="I632" s="295"/>
      <c r="J632" s="295"/>
      <c r="K632" s="295"/>
      <c r="L632" s="295"/>
      <c r="M632" s="295"/>
      <c r="N632" s="295"/>
      <c r="O632" s="297"/>
      <c r="P632" s="295"/>
      <c r="Q632" s="295"/>
      <c r="R632" s="295"/>
      <c r="S632" s="295"/>
      <c r="T632" s="295"/>
      <c r="U632" s="295"/>
      <c r="V632" s="295"/>
      <c r="W632" s="295"/>
      <c r="X632" s="295"/>
      <c r="Y632" s="295"/>
      <c r="Z632" s="295"/>
    </row>
    <row r="633" ht="29.25" customHeight="1">
      <c r="A633" s="295"/>
      <c r="B633" s="295"/>
      <c r="C633" s="295"/>
      <c r="D633" s="295"/>
      <c r="E633" s="295"/>
      <c r="F633" s="295"/>
      <c r="G633" s="295"/>
      <c r="H633" s="295"/>
      <c r="I633" s="295"/>
      <c r="J633" s="295"/>
      <c r="K633" s="295"/>
      <c r="L633" s="295"/>
      <c r="M633" s="295"/>
      <c r="N633" s="295"/>
      <c r="O633" s="297"/>
      <c r="P633" s="295"/>
      <c r="Q633" s="295"/>
      <c r="R633" s="295"/>
      <c r="S633" s="295"/>
      <c r="T633" s="295"/>
      <c r="U633" s="295"/>
      <c r="V633" s="295"/>
      <c r="W633" s="295"/>
      <c r="X633" s="295"/>
      <c r="Y633" s="295"/>
      <c r="Z633" s="295"/>
    </row>
    <row r="634" ht="29.25" customHeight="1">
      <c r="A634" s="295"/>
      <c r="B634" s="295"/>
      <c r="C634" s="295"/>
      <c r="D634" s="295"/>
      <c r="E634" s="295"/>
      <c r="F634" s="295"/>
      <c r="G634" s="295"/>
      <c r="H634" s="295"/>
      <c r="I634" s="295"/>
      <c r="J634" s="295"/>
      <c r="K634" s="295"/>
      <c r="L634" s="295"/>
      <c r="M634" s="295"/>
      <c r="N634" s="295"/>
      <c r="O634" s="297"/>
      <c r="P634" s="295"/>
      <c r="Q634" s="295"/>
      <c r="R634" s="295"/>
      <c r="S634" s="295"/>
      <c r="T634" s="295"/>
      <c r="U634" s="295"/>
      <c r="V634" s="295"/>
      <c r="W634" s="295"/>
      <c r="X634" s="295"/>
      <c r="Y634" s="295"/>
      <c r="Z634" s="295"/>
    </row>
    <row r="635" ht="29.25" customHeight="1">
      <c r="A635" s="295"/>
      <c r="B635" s="295"/>
      <c r="C635" s="295"/>
      <c r="D635" s="295"/>
      <c r="E635" s="295"/>
      <c r="F635" s="295"/>
      <c r="G635" s="295"/>
      <c r="H635" s="295"/>
      <c r="I635" s="295"/>
      <c r="J635" s="295"/>
      <c r="K635" s="295"/>
      <c r="L635" s="295"/>
      <c r="M635" s="295"/>
      <c r="N635" s="295"/>
      <c r="O635" s="297"/>
      <c r="P635" s="295"/>
      <c r="Q635" s="295"/>
      <c r="R635" s="295"/>
      <c r="S635" s="295"/>
      <c r="T635" s="295"/>
      <c r="U635" s="295"/>
      <c r="V635" s="295"/>
      <c r="W635" s="295"/>
      <c r="X635" s="295"/>
      <c r="Y635" s="295"/>
      <c r="Z635" s="295"/>
    </row>
    <row r="636" ht="29.25" customHeight="1">
      <c r="A636" s="295"/>
      <c r="B636" s="295"/>
      <c r="C636" s="295"/>
      <c r="D636" s="295"/>
      <c r="E636" s="295"/>
      <c r="F636" s="295"/>
      <c r="G636" s="295"/>
      <c r="H636" s="295"/>
      <c r="I636" s="295"/>
      <c r="J636" s="295"/>
      <c r="K636" s="295"/>
      <c r="L636" s="295"/>
      <c r="M636" s="295"/>
      <c r="N636" s="295"/>
      <c r="O636" s="297"/>
      <c r="P636" s="295"/>
      <c r="Q636" s="295"/>
      <c r="R636" s="295"/>
      <c r="S636" s="295"/>
      <c r="T636" s="295"/>
      <c r="U636" s="295"/>
      <c r="V636" s="295"/>
      <c r="W636" s="295"/>
      <c r="X636" s="295"/>
      <c r="Y636" s="295"/>
      <c r="Z636" s="295"/>
    </row>
    <row r="637" ht="29.25" customHeight="1">
      <c r="A637" s="295"/>
      <c r="B637" s="295"/>
      <c r="C637" s="295"/>
      <c r="D637" s="295"/>
      <c r="E637" s="295"/>
      <c r="F637" s="295"/>
      <c r="G637" s="295"/>
      <c r="H637" s="295"/>
      <c r="I637" s="295"/>
      <c r="J637" s="295"/>
      <c r="K637" s="295"/>
      <c r="L637" s="295"/>
      <c r="M637" s="295"/>
      <c r="N637" s="295"/>
      <c r="O637" s="297"/>
      <c r="P637" s="295"/>
      <c r="Q637" s="295"/>
      <c r="R637" s="295"/>
      <c r="S637" s="295"/>
      <c r="T637" s="295"/>
      <c r="U637" s="295"/>
      <c r="V637" s="295"/>
      <c r="W637" s="295"/>
      <c r="X637" s="295"/>
      <c r="Y637" s="295"/>
      <c r="Z637" s="295"/>
    </row>
    <row r="638" ht="29.25" customHeight="1">
      <c r="A638" s="295"/>
      <c r="B638" s="295"/>
      <c r="C638" s="295"/>
      <c r="D638" s="295"/>
      <c r="E638" s="295"/>
      <c r="F638" s="295"/>
      <c r="G638" s="295"/>
      <c r="H638" s="295"/>
      <c r="I638" s="295"/>
      <c r="J638" s="295"/>
      <c r="K638" s="295"/>
      <c r="L638" s="295"/>
      <c r="M638" s="295"/>
      <c r="N638" s="295"/>
      <c r="O638" s="297"/>
      <c r="P638" s="295"/>
      <c r="Q638" s="295"/>
      <c r="R638" s="295"/>
      <c r="S638" s="295"/>
      <c r="T638" s="295"/>
      <c r="U638" s="295"/>
      <c r="V638" s="295"/>
      <c r="W638" s="295"/>
      <c r="X638" s="295"/>
      <c r="Y638" s="295"/>
      <c r="Z638" s="295"/>
    </row>
    <row r="639" ht="29.25" customHeight="1">
      <c r="A639" s="295"/>
      <c r="B639" s="295"/>
      <c r="C639" s="295"/>
      <c r="D639" s="295"/>
      <c r="E639" s="295"/>
      <c r="F639" s="295"/>
      <c r="G639" s="295"/>
      <c r="H639" s="295"/>
      <c r="I639" s="295"/>
      <c r="J639" s="295"/>
      <c r="K639" s="295"/>
      <c r="L639" s="295"/>
      <c r="M639" s="295"/>
      <c r="N639" s="295"/>
      <c r="O639" s="297"/>
      <c r="P639" s="295"/>
      <c r="Q639" s="295"/>
      <c r="R639" s="295"/>
      <c r="S639" s="295"/>
      <c r="T639" s="295"/>
      <c r="U639" s="295"/>
      <c r="V639" s="295"/>
      <c r="W639" s="295"/>
      <c r="X639" s="295"/>
      <c r="Y639" s="295"/>
      <c r="Z639" s="295"/>
    </row>
    <row r="640" ht="29.25" customHeight="1">
      <c r="A640" s="295"/>
      <c r="B640" s="295"/>
      <c r="C640" s="295"/>
      <c r="D640" s="295"/>
      <c r="E640" s="295"/>
      <c r="F640" s="295"/>
      <c r="G640" s="295"/>
      <c r="H640" s="295"/>
      <c r="I640" s="295"/>
      <c r="J640" s="295"/>
      <c r="K640" s="295"/>
      <c r="L640" s="295"/>
      <c r="M640" s="295"/>
      <c r="N640" s="295"/>
      <c r="O640" s="297"/>
      <c r="P640" s="295"/>
      <c r="Q640" s="295"/>
      <c r="R640" s="295"/>
      <c r="S640" s="295"/>
      <c r="T640" s="295"/>
      <c r="U640" s="295"/>
      <c r="V640" s="295"/>
      <c r="W640" s="295"/>
      <c r="X640" s="295"/>
      <c r="Y640" s="295"/>
      <c r="Z640" s="295"/>
    </row>
    <row r="641" ht="29.25" customHeight="1">
      <c r="A641" s="295"/>
      <c r="B641" s="295"/>
      <c r="C641" s="295"/>
      <c r="D641" s="295"/>
      <c r="E641" s="295"/>
      <c r="F641" s="295"/>
      <c r="G641" s="295"/>
      <c r="H641" s="295"/>
      <c r="I641" s="295"/>
      <c r="J641" s="295"/>
      <c r="K641" s="295"/>
      <c r="L641" s="295"/>
      <c r="M641" s="295"/>
      <c r="N641" s="295"/>
      <c r="O641" s="297"/>
      <c r="P641" s="295"/>
      <c r="Q641" s="295"/>
      <c r="R641" s="295"/>
      <c r="S641" s="295"/>
      <c r="T641" s="295"/>
      <c r="U641" s="295"/>
      <c r="V641" s="295"/>
      <c r="W641" s="295"/>
      <c r="X641" s="295"/>
      <c r="Y641" s="295"/>
      <c r="Z641" s="295"/>
    </row>
    <row r="642" ht="29.25" customHeight="1">
      <c r="A642" s="295"/>
      <c r="B642" s="295"/>
      <c r="C642" s="295"/>
      <c r="D642" s="295"/>
      <c r="E642" s="295"/>
      <c r="F642" s="295"/>
      <c r="G642" s="295"/>
      <c r="H642" s="295"/>
      <c r="I642" s="295"/>
      <c r="J642" s="295"/>
      <c r="K642" s="295"/>
      <c r="L642" s="295"/>
      <c r="M642" s="295"/>
      <c r="N642" s="295"/>
      <c r="O642" s="297"/>
      <c r="P642" s="295"/>
      <c r="Q642" s="295"/>
      <c r="R642" s="295"/>
      <c r="S642" s="295"/>
      <c r="T642" s="295"/>
      <c r="U642" s="295"/>
      <c r="V642" s="295"/>
      <c r="W642" s="295"/>
      <c r="X642" s="295"/>
      <c r="Y642" s="295"/>
      <c r="Z642" s="295"/>
    </row>
    <row r="643" ht="29.25" customHeight="1">
      <c r="A643" s="295"/>
      <c r="B643" s="295"/>
      <c r="C643" s="295"/>
      <c r="D643" s="295"/>
      <c r="E643" s="295"/>
      <c r="F643" s="295"/>
      <c r="G643" s="295"/>
      <c r="H643" s="295"/>
      <c r="I643" s="295"/>
      <c r="J643" s="295"/>
      <c r="K643" s="295"/>
      <c r="L643" s="295"/>
      <c r="M643" s="295"/>
      <c r="N643" s="295"/>
      <c r="O643" s="297"/>
      <c r="P643" s="295"/>
      <c r="Q643" s="295"/>
      <c r="R643" s="295"/>
      <c r="S643" s="295"/>
      <c r="T643" s="295"/>
      <c r="U643" s="295"/>
      <c r="V643" s="295"/>
      <c r="W643" s="295"/>
      <c r="X643" s="295"/>
      <c r="Y643" s="295"/>
      <c r="Z643" s="295"/>
    </row>
    <row r="644" ht="29.25" customHeight="1">
      <c r="A644" s="295"/>
      <c r="B644" s="295"/>
      <c r="C644" s="295"/>
      <c r="D644" s="295"/>
      <c r="E644" s="295"/>
      <c r="F644" s="295"/>
      <c r="G644" s="295"/>
      <c r="H644" s="295"/>
      <c r="I644" s="295"/>
      <c r="J644" s="295"/>
      <c r="K644" s="295"/>
      <c r="L644" s="295"/>
      <c r="M644" s="295"/>
      <c r="N644" s="295"/>
      <c r="O644" s="297"/>
      <c r="P644" s="295"/>
      <c r="Q644" s="295"/>
      <c r="R644" s="295"/>
      <c r="S644" s="295"/>
      <c r="T644" s="295"/>
      <c r="U644" s="295"/>
      <c r="V644" s="295"/>
      <c r="W644" s="295"/>
      <c r="X644" s="295"/>
      <c r="Y644" s="295"/>
      <c r="Z644" s="295"/>
    </row>
    <row r="645" ht="29.25" customHeight="1">
      <c r="A645" s="295"/>
      <c r="B645" s="295"/>
      <c r="C645" s="295"/>
      <c r="D645" s="295"/>
      <c r="E645" s="295"/>
      <c r="F645" s="295"/>
      <c r="G645" s="295"/>
      <c r="H645" s="295"/>
      <c r="I645" s="295"/>
      <c r="J645" s="295"/>
      <c r="K645" s="295"/>
      <c r="L645" s="295"/>
      <c r="M645" s="295"/>
      <c r="N645" s="295"/>
      <c r="O645" s="297"/>
      <c r="P645" s="295"/>
      <c r="Q645" s="295"/>
      <c r="R645" s="295"/>
      <c r="S645" s="295"/>
      <c r="T645" s="295"/>
      <c r="U645" s="295"/>
      <c r="V645" s="295"/>
      <c r="W645" s="295"/>
      <c r="X645" s="295"/>
      <c r="Y645" s="295"/>
      <c r="Z645" s="295"/>
    </row>
    <row r="646" ht="29.25" customHeight="1">
      <c r="A646" s="295"/>
      <c r="B646" s="295"/>
      <c r="C646" s="295"/>
      <c r="D646" s="295"/>
      <c r="E646" s="295"/>
      <c r="F646" s="295"/>
      <c r="G646" s="295"/>
      <c r="H646" s="295"/>
      <c r="I646" s="295"/>
      <c r="J646" s="295"/>
      <c r="K646" s="295"/>
      <c r="L646" s="295"/>
      <c r="M646" s="295"/>
      <c r="N646" s="295"/>
      <c r="O646" s="297"/>
      <c r="P646" s="295"/>
      <c r="Q646" s="295"/>
      <c r="R646" s="295"/>
      <c r="S646" s="295"/>
      <c r="T646" s="295"/>
      <c r="U646" s="295"/>
      <c r="V646" s="295"/>
      <c r="W646" s="295"/>
      <c r="X646" s="295"/>
      <c r="Y646" s="295"/>
      <c r="Z646" s="295"/>
    </row>
    <row r="647" ht="29.25" customHeight="1">
      <c r="A647" s="295"/>
      <c r="B647" s="295"/>
      <c r="C647" s="295"/>
      <c r="D647" s="295"/>
      <c r="E647" s="295"/>
      <c r="F647" s="295"/>
      <c r="G647" s="295"/>
      <c r="H647" s="295"/>
      <c r="I647" s="295"/>
      <c r="J647" s="295"/>
      <c r="K647" s="295"/>
      <c r="L647" s="295"/>
      <c r="M647" s="295"/>
      <c r="N647" s="295"/>
      <c r="O647" s="297"/>
      <c r="P647" s="295"/>
      <c r="Q647" s="295"/>
      <c r="R647" s="295"/>
      <c r="S647" s="295"/>
      <c r="T647" s="295"/>
      <c r="U647" s="295"/>
      <c r="V647" s="295"/>
      <c r="W647" s="295"/>
      <c r="X647" s="295"/>
      <c r="Y647" s="295"/>
      <c r="Z647" s="295"/>
    </row>
    <row r="648" ht="29.25" customHeight="1">
      <c r="A648" s="295"/>
      <c r="B648" s="295"/>
      <c r="C648" s="295"/>
      <c r="D648" s="295"/>
      <c r="E648" s="295"/>
      <c r="F648" s="295"/>
      <c r="G648" s="295"/>
      <c r="H648" s="295"/>
      <c r="I648" s="295"/>
      <c r="J648" s="295"/>
      <c r="K648" s="295"/>
      <c r="L648" s="295"/>
      <c r="M648" s="295"/>
      <c r="N648" s="295"/>
      <c r="O648" s="297"/>
      <c r="P648" s="295"/>
      <c r="Q648" s="295"/>
      <c r="R648" s="295"/>
      <c r="S648" s="295"/>
      <c r="T648" s="295"/>
      <c r="U648" s="295"/>
      <c r="V648" s="295"/>
      <c r="W648" s="295"/>
      <c r="X648" s="295"/>
      <c r="Y648" s="295"/>
      <c r="Z648" s="295"/>
    </row>
    <row r="649" ht="29.25" customHeight="1">
      <c r="A649" s="295"/>
      <c r="B649" s="295"/>
      <c r="C649" s="295"/>
      <c r="D649" s="295"/>
      <c r="E649" s="295"/>
      <c r="F649" s="295"/>
      <c r="G649" s="295"/>
      <c r="H649" s="295"/>
      <c r="I649" s="295"/>
      <c r="J649" s="295"/>
      <c r="K649" s="295"/>
      <c r="L649" s="295"/>
      <c r="M649" s="295"/>
      <c r="N649" s="295"/>
      <c r="O649" s="297"/>
      <c r="P649" s="295"/>
      <c r="Q649" s="295"/>
      <c r="R649" s="295"/>
      <c r="S649" s="295"/>
      <c r="T649" s="295"/>
      <c r="U649" s="295"/>
      <c r="V649" s="295"/>
      <c r="W649" s="295"/>
      <c r="X649" s="295"/>
      <c r="Y649" s="295"/>
      <c r="Z649" s="295"/>
    </row>
    <row r="650" ht="29.25" customHeight="1">
      <c r="A650" s="295"/>
      <c r="B650" s="295"/>
      <c r="C650" s="295"/>
      <c r="D650" s="295"/>
      <c r="E650" s="295"/>
      <c r="F650" s="295"/>
      <c r="G650" s="295"/>
      <c r="H650" s="295"/>
      <c r="I650" s="295"/>
      <c r="J650" s="295"/>
      <c r="K650" s="295"/>
      <c r="L650" s="295"/>
      <c r="M650" s="295"/>
      <c r="N650" s="295"/>
      <c r="O650" s="297"/>
      <c r="P650" s="295"/>
      <c r="Q650" s="295"/>
      <c r="R650" s="295"/>
      <c r="S650" s="295"/>
      <c r="T650" s="295"/>
      <c r="U650" s="295"/>
      <c r="V650" s="295"/>
      <c r="W650" s="295"/>
      <c r="X650" s="295"/>
      <c r="Y650" s="295"/>
      <c r="Z650" s="295"/>
    </row>
    <row r="651" ht="29.25" customHeight="1">
      <c r="A651" s="295"/>
      <c r="B651" s="295"/>
      <c r="C651" s="295"/>
      <c r="D651" s="295"/>
      <c r="E651" s="295"/>
      <c r="F651" s="295"/>
      <c r="G651" s="295"/>
      <c r="H651" s="295"/>
      <c r="I651" s="295"/>
      <c r="J651" s="295"/>
      <c r="K651" s="295"/>
      <c r="L651" s="295"/>
      <c r="M651" s="295"/>
      <c r="N651" s="295"/>
      <c r="O651" s="297"/>
      <c r="P651" s="295"/>
      <c r="Q651" s="295"/>
      <c r="R651" s="295"/>
      <c r="S651" s="295"/>
      <c r="T651" s="295"/>
      <c r="U651" s="295"/>
      <c r="V651" s="295"/>
      <c r="W651" s="295"/>
      <c r="X651" s="295"/>
      <c r="Y651" s="295"/>
      <c r="Z651" s="295"/>
    </row>
    <row r="652" ht="29.25" customHeight="1">
      <c r="A652" s="295"/>
      <c r="B652" s="295"/>
      <c r="C652" s="295"/>
      <c r="D652" s="295"/>
      <c r="E652" s="295"/>
      <c r="F652" s="295"/>
      <c r="G652" s="295"/>
      <c r="H652" s="295"/>
      <c r="I652" s="295"/>
      <c r="J652" s="295"/>
      <c r="K652" s="295"/>
      <c r="L652" s="295"/>
      <c r="M652" s="295"/>
      <c r="N652" s="295"/>
      <c r="O652" s="297"/>
      <c r="P652" s="295"/>
      <c r="Q652" s="295"/>
      <c r="R652" s="295"/>
      <c r="S652" s="295"/>
      <c r="T652" s="295"/>
      <c r="U652" s="295"/>
      <c r="V652" s="295"/>
      <c r="W652" s="295"/>
      <c r="X652" s="295"/>
      <c r="Y652" s="295"/>
      <c r="Z652" s="295"/>
    </row>
    <row r="653" ht="29.25" customHeight="1">
      <c r="A653" s="295"/>
      <c r="B653" s="295"/>
      <c r="C653" s="295"/>
      <c r="D653" s="295"/>
      <c r="E653" s="295"/>
      <c r="F653" s="295"/>
      <c r="G653" s="295"/>
      <c r="H653" s="295"/>
      <c r="I653" s="295"/>
      <c r="J653" s="295"/>
      <c r="K653" s="295"/>
      <c r="L653" s="295"/>
      <c r="M653" s="295"/>
      <c r="N653" s="295"/>
      <c r="O653" s="297"/>
      <c r="P653" s="295"/>
      <c r="Q653" s="295"/>
      <c r="R653" s="295"/>
      <c r="S653" s="295"/>
      <c r="T653" s="295"/>
      <c r="U653" s="295"/>
      <c r="V653" s="295"/>
      <c r="W653" s="295"/>
      <c r="X653" s="295"/>
      <c r="Y653" s="295"/>
      <c r="Z653" s="295"/>
    </row>
    <row r="654" ht="29.25" customHeight="1">
      <c r="A654" s="295"/>
      <c r="B654" s="295"/>
      <c r="C654" s="295"/>
      <c r="D654" s="295"/>
      <c r="E654" s="295"/>
      <c r="F654" s="295"/>
      <c r="G654" s="295"/>
      <c r="H654" s="295"/>
      <c r="I654" s="295"/>
      <c r="J654" s="295"/>
      <c r="K654" s="295"/>
      <c r="L654" s="295"/>
      <c r="M654" s="295"/>
      <c r="N654" s="295"/>
      <c r="O654" s="297"/>
      <c r="P654" s="295"/>
      <c r="Q654" s="295"/>
      <c r="R654" s="295"/>
      <c r="S654" s="295"/>
      <c r="T654" s="295"/>
      <c r="U654" s="295"/>
      <c r="V654" s="295"/>
      <c r="W654" s="295"/>
      <c r="X654" s="295"/>
      <c r="Y654" s="295"/>
      <c r="Z654" s="295"/>
    </row>
    <row r="655" ht="29.25" customHeight="1">
      <c r="A655" s="295"/>
      <c r="B655" s="295"/>
      <c r="C655" s="295"/>
      <c r="D655" s="295"/>
      <c r="E655" s="295"/>
      <c r="F655" s="295"/>
      <c r="G655" s="295"/>
      <c r="H655" s="295"/>
      <c r="I655" s="295"/>
      <c r="J655" s="295"/>
      <c r="K655" s="295"/>
      <c r="L655" s="295"/>
      <c r="M655" s="295"/>
      <c r="N655" s="295"/>
      <c r="O655" s="297"/>
      <c r="P655" s="295"/>
      <c r="Q655" s="295"/>
      <c r="R655" s="295"/>
      <c r="S655" s="295"/>
      <c r="T655" s="295"/>
      <c r="U655" s="295"/>
      <c r="V655" s="295"/>
      <c r="W655" s="295"/>
      <c r="X655" s="295"/>
      <c r="Y655" s="295"/>
      <c r="Z655" s="295"/>
    </row>
    <row r="656" ht="29.25" customHeight="1">
      <c r="A656" s="295"/>
      <c r="B656" s="295"/>
      <c r="C656" s="295"/>
      <c r="D656" s="295"/>
      <c r="E656" s="295"/>
      <c r="F656" s="295"/>
      <c r="G656" s="295"/>
      <c r="H656" s="295"/>
      <c r="I656" s="295"/>
      <c r="J656" s="295"/>
      <c r="K656" s="295"/>
      <c r="L656" s="295"/>
      <c r="M656" s="295"/>
      <c r="N656" s="295"/>
      <c r="O656" s="297"/>
      <c r="P656" s="295"/>
      <c r="Q656" s="295"/>
      <c r="R656" s="295"/>
      <c r="S656" s="295"/>
      <c r="T656" s="295"/>
      <c r="U656" s="295"/>
      <c r="V656" s="295"/>
      <c r="W656" s="295"/>
      <c r="X656" s="295"/>
      <c r="Y656" s="295"/>
      <c r="Z656" s="295"/>
    </row>
    <row r="657" ht="29.25" customHeight="1">
      <c r="A657" s="295"/>
      <c r="B657" s="295"/>
      <c r="C657" s="295"/>
      <c r="D657" s="295"/>
      <c r="E657" s="295"/>
      <c r="F657" s="295"/>
      <c r="G657" s="295"/>
      <c r="H657" s="295"/>
      <c r="I657" s="295"/>
      <c r="J657" s="295"/>
      <c r="K657" s="295"/>
      <c r="L657" s="295"/>
      <c r="M657" s="295"/>
      <c r="N657" s="295"/>
      <c r="O657" s="297"/>
      <c r="P657" s="295"/>
      <c r="Q657" s="295"/>
      <c r="R657" s="295"/>
      <c r="S657" s="295"/>
      <c r="T657" s="295"/>
      <c r="U657" s="295"/>
      <c r="V657" s="295"/>
      <c r="W657" s="295"/>
      <c r="X657" s="295"/>
      <c r="Y657" s="295"/>
      <c r="Z657" s="295"/>
    </row>
    <row r="658" ht="29.25" customHeight="1">
      <c r="A658" s="295"/>
      <c r="B658" s="295"/>
      <c r="C658" s="295"/>
      <c r="D658" s="295"/>
      <c r="E658" s="295"/>
      <c r="F658" s="295"/>
      <c r="G658" s="295"/>
      <c r="H658" s="295"/>
      <c r="I658" s="295"/>
      <c r="J658" s="295"/>
      <c r="K658" s="295"/>
      <c r="L658" s="295"/>
      <c r="M658" s="295"/>
      <c r="N658" s="295"/>
      <c r="O658" s="297"/>
      <c r="P658" s="295"/>
      <c r="Q658" s="295"/>
      <c r="R658" s="295"/>
      <c r="S658" s="295"/>
      <c r="T658" s="295"/>
      <c r="U658" s="295"/>
      <c r="V658" s="295"/>
      <c r="W658" s="295"/>
      <c r="X658" s="295"/>
      <c r="Y658" s="295"/>
      <c r="Z658" s="295"/>
    </row>
    <row r="659" ht="29.25" customHeight="1">
      <c r="A659" s="295"/>
      <c r="B659" s="295"/>
      <c r="C659" s="295"/>
      <c r="D659" s="295"/>
      <c r="E659" s="295"/>
      <c r="F659" s="295"/>
      <c r="G659" s="295"/>
      <c r="H659" s="295"/>
      <c r="I659" s="295"/>
      <c r="J659" s="295"/>
      <c r="K659" s="295"/>
      <c r="L659" s="295"/>
      <c r="M659" s="295"/>
      <c r="N659" s="295"/>
      <c r="O659" s="297"/>
      <c r="P659" s="295"/>
      <c r="Q659" s="295"/>
      <c r="R659" s="295"/>
      <c r="S659" s="295"/>
      <c r="T659" s="295"/>
      <c r="U659" s="295"/>
      <c r="V659" s="295"/>
      <c r="W659" s="295"/>
      <c r="X659" s="295"/>
      <c r="Y659" s="295"/>
      <c r="Z659" s="295"/>
    </row>
    <row r="660" ht="29.25" customHeight="1">
      <c r="A660" s="295"/>
      <c r="B660" s="295"/>
      <c r="C660" s="295"/>
      <c r="D660" s="295"/>
      <c r="E660" s="295"/>
      <c r="F660" s="295"/>
      <c r="G660" s="295"/>
      <c r="H660" s="295"/>
      <c r="I660" s="295"/>
      <c r="J660" s="295"/>
      <c r="K660" s="295"/>
      <c r="L660" s="295"/>
      <c r="M660" s="295"/>
      <c r="N660" s="295"/>
      <c r="O660" s="297"/>
      <c r="P660" s="295"/>
      <c r="Q660" s="295"/>
      <c r="R660" s="295"/>
      <c r="S660" s="295"/>
      <c r="T660" s="295"/>
      <c r="U660" s="295"/>
      <c r="V660" s="295"/>
      <c r="W660" s="295"/>
      <c r="X660" s="295"/>
      <c r="Y660" s="295"/>
      <c r="Z660" s="295"/>
    </row>
    <row r="661" ht="29.25" customHeight="1">
      <c r="A661" s="295"/>
      <c r="B661" s="295"/>
      <c r="C661" s="295"/>
      <c r="D661" s="295"/>
      <c r="E661" s="295"/>
      <c r="F661" s="295"/>
      <c r="G661" s="295"/>
      <c r="H661" s="295"/>
      <c r="I661" s="295"/>
      <c r="J661" s="295"/>
      <c r="K661" s="295"/>
      <c r="L661" s="295"/>
      <c r="M661" s="295"/>
      <c r="N661" s="295"/>
      <c r="O661" s="297"/>
      <c r="P661" s="295"/>
      <c r="Q661" s="295"/>
      <c r="R661" s="295"/>
      <c r="S661" s="295"/>
      <c r="T661" s="295"/>
      <c r="U661" s="295"/>
      <c r="V661" s="295"/>
      <c r="W661" s="295"/>
      <c r="X661" s="295"/>
      <c r="Y661" s="295"/>
      <c r="Z661" s="295"/>
    </row>
    <row r="662" ht="29.25" customHeight="1">
      <c r="A662" s="295"/>
      <c r="B662" s="295"/>
      <c r="C662" s="295"/>
      <c r="D662" s="295"/>
      <c r="E662" s="295"/>
      <c r="F662" s="295"/>
      <c r="G662" s="295"/>
      <c r="H662" s="295"/>
      <c r="I662" s="295"/>
      <c r="J662" s="295"/>
      <c r="K662" s="295"/>
      <c r="L662" s="295"/>
      <c r="M662" s="295"/>
      <c r="N662" s="295"/>
      <c r="O662" s="297"/>
      <c r="P662" s="295"/>
      <c r="Q662" s="295"/>
      <c r="R662" s="295"/>
      <c r="S662" s="295"/>
      <c r="T662" s="295"/>
      <c r="U662" s="295"/>
      <c r="V662" s="295"/>
      <c r="W662" s="295"/>
      <c r="X662" s="295"/>
      <c r="Y662" s="295"/>
      <c r="Z662" s="295"/>
    </row>
    <row r="663" ht="29.25" customHeight="1">
      <c r="A663" s="295"/>
      <c r="B663" s="295"/>
      <c r="C663" s="295"/>
      <c r="D663" s="295"/>
      <c r="E663" s="295"/>
      <c r="F663" s="295"/>
      <c r="G663" s="295"/>
      <c r="H663" s="295"/>
      <c r="I663" s="295"/>
      <c r="J663" s="295"/>
      <c r="K663" s="295"/>
      <c r="L663" s="295"/>
      <c r="M663" s="295"/>
      <c r="N663" s="295"/>
      <c r="O663" s="297"/>
      <c r="P663" s="295"/>
      <c r="Q663" s="295"/>
      <c r="R663" s="295"/>
      <c r="S663" s="295"/>
      <c r="T663" s="295"/>
      <c r="U663" s="295"/>
      <c r="V663" s="295"/>
      <c r="W663" s="295"/>
      <c r="X663" s="295"/>
      <c r="Y663" s="295"/>
      <c r="Z663" s="295"/>
    </row>
    <row r="664" ht="29.25" customHeight="1">
      <c r="A664" s="295"/>
      <c r="B664" s="295"/>
      <c r="C664" s="295"/>
      <c r="D664" s="295"/>
      <c r="E664" s="295"/>
      <c r="F664" s="295"/>
      <c r="G664" s="295"/>
      <c r="H664" s="295"/>
      <c r="I664" s="295"/>
      <c r="J664" s="295"/>
      <c r="K664" s="295"/>
      <c r="L664" s="295"/>
      <c r="M664" s="295"/>
      <c r="N664" s="295"/>
      <c r="O664" s="297"/>
      <c r="P664" s="295"/>
      <c r="Q664" s="295"/>
      <c r="R664" s="295"/>
      <c r="S664" s="295"/>
      <c r="T664" s="295"/>
      <c r="U664" s="295"/>
      <c r="V664" s="295"/>
      <c r="W664" s="295"/>
      <c r="X664" s="295"/>
      <c r="Y664" s="295"/>
      <c r="Z664" s="295"/>
    </row>
    <row r="665" ht="29.25" customHeight="1">
      <c r="A665" s="295"/>
      <c r="B665" s="295"/>
      <c r="C665" s="295"/>
      <c r="D665" s="295"/>
      <c r="E665" s="295"/>
      <c r="F665" s="295"/>
      <c r="G665" s="295"/>
      <c r="H665" s="295"/>
      <c r="I665" s="295"/>
      <c r="J665" s="295"/>
      <c r="K665" s="295"/>
      <c r="L665" s="295"/>
      <c r="M665" s="295"/>
      <c r="N665" s="295"/>
      <c r="O665" s="297"/>
      <c r="P665" s="295"/>
      <c r="Q665" s="295"/>
      <c r="R665" s="295"/>
      <c r="S665" s="295"/>
      <c r="T665" s="295"/>
      <c r="U665" s="295"/>
      <c r="V665" s="295"/>
      <c r="W665" s="295"/>
      <c r="X665" s="295"/>
      <c r="Y665" s="295"/>
      <c r="Z665" s="295"/>
    </row>
    <row r="666" ht="29.25" customHeight="1">
      <c r="A666" s="295"/>
      <c r="B666" s="295"/>
      <c r="C666" s="295"/>
      <c r="D666" s="295"/>
      <c r="E666" s="295"/>
      <c r="F666" s="295"/>
      <c r="G666" s="295"/>
      <c r="H666" s="295"/>
      <c r="I666" s="295"/>
      <c r="J666" s="295"/>
      <c r="K666" s="295"/>
      <c r="L666" s="295"/>
      <c r="M666" s="295"/>
      <c r="N666" s="295"/>
      <c r="O666" s="297"/>
      <c r="P666" s="295"/>
      <c r="Q666" s="295"/>
      <c r="R666" s="295"/>
      <c r="S666" s="295"/>
      <c r="T666" s="295"/>
      <c r="U666" s="295"/>
      <c r="V666" s="295"/>
      <c r="W666" s="295"/>
      <c r="X666" s="295"/>
      <c r="Y666" s="295"/>
      <c r="Z666" s="295"/>
    </row>
    <row r="667" ht="29.25" customHeight="1">
      <c r="A667" s="295"/>
      <c r="B667" s="295"/>
      <c r="C667" s="295"/>
      <c r="D667" s="295"/>
      <c r="E667" s="295"/>
      <c r="F667" s="295"/>
      <c r="G667" s="295"/>
      <c r="H667" s="295"/>
      <c r="I667" s="295"/>
      <c r="J667" s="295"/>
      <c r="K667" s="295"/>
      <c r="L667" s="295"/>
      <c r="M667" s="295"/>
      <c r="N667" s="295"/>
      <c r="O667" s="297"/>
      <c r="P667" s="295"/>
      <c r="Q667" s="295"/>
      <c r="R667" s="295"/>
      <c r="S667" s="295"/>
      <c r="T667" s="295"/>
      <c r="U667" s="295"/>
      <c r="V667" s="295"/>
      <c r="W667" s="295"/>
      <c r="X667" s="295"/>
      <c r="Y667" s="295"/>
      <c r="Z667" s="295"/>
    </row>
    <row r="668" ht="29.25" customHeight="1">
      <c r="A668" s="295"/>
      <c r="B668" s="295"/>
      <c r="C668" s="295"/>
      <c r="D668" s="295"/>
      <c r="E668" s="295"/>
      <c r="F668" s="295"/>
      <c r="G668" s="295"/>
      <c r="H668" s="295"/>
      <c r="I668" s="295"/>
      <c r="J668" s="295"/>
      <c r="K668" s="295"/>
      <c r="L668" s="295"/>
      <c r="M668" s="295"/>
      <c r="N668" s="295"/>
      <c r="O668" s="297"/>
      <c r="P668" s="295"/>
      <c r="Q668" s="295"/>
      <c r="R668" s="295"/>
      <c r="S668" s="295"/>
      <c r="T668" s="295"/>
      <c r="U668" s="295"/>
      <c r="V668" s="295"/>
      <c r="W668" s="295"/>
      <c r="X668" s="295"/>
      <c r="Y668" s="295"/>
      <c r="Z668" s="295"/>
    </row>
    <row r="669" ht="29.25" customHeight="1">
      <c r="A669" s="295"/>
      <c r="B669" s="295"/>
      <c r="C669" s="295"/>
      <c r="D669" s="295"/>
      <c r="E669" s="295"/>
      <c r="F669" s="295"/>
      <c r="G669" s="295"/>
      <c r="H669" s="295"/>
      <c r="I669" s="295"/>
      <c r="J669" s="295"/>
      <c r="K669" s="295"/>
      <c r="L669" s="295"/>
      <c r="M669" s="295"/>
      <c r="N669" s="295"/>
      <c r="O669" s="297"/>
      <c r="P669" s="295"/>
      <c r="Q669" s="295"/>
      <c r="R669" s="295"/>
      <c r="S669" s="295"/>
      <c r="T669" s="295"/>
      <c r="U669" s="295"/>
      <c r="V669" s="295"/>
      <c r="W669" s="295"/>
      <c r="X669" s="295"/>
      <c r="Y669" s="295"/>
      <c r="Z669" s="295"/>
    </row>
    <row r="670" ht="29.25" customHeight="1">
      <c r="A670" s="295"/>
      <c r="B670" s="295"/>
      <c r="C670" s="295"/>
      <c r="D670" s="295"/>
      <c r="E670" s="295"/>
      <c r="F670" s="295"/>
      <c r="G670" s="295"/>
      <c r="H670" s="295"/>
      <c r="I670" s="295"/>
      <c r="J670" s="295"/>
      <c r="K670" s="295"/>
      <c r="L670" s="295"/>
      <c r="M670" s="295"/>
      <c r="N670" s="295"/>
      <c r="O670" s="297"/>
      <c r="P670" s="295"/>
      <c r="Q670" s="295"/>
      <c r="R670" s="295"/>
      <c r="S670" s="295"/>
      <c r="T670" s="295"/>
      <c r="U670" s="295"/>
      <c r="V670" s="295"/>
      <c r="W670" s="295"/>
      <c r="X670" s="295"/>
      <c r="Y670" s="295"/>
      <c r="Z670" s="295"/>
    </row>
    <row r="671" ht="29.25" customHeight="1">
      <c r="A671" s="295"/>
      <c r="B671" s="295"/>
      <c r="C671" s="295"/>
      <c r="D671" s="295"/>
      <c r="E671" s="295"/>
      <c r="F671" s="295"/>
      <c r="G671" s="295"/>
      <c r="H671" s="295"/>
      <c r="I671" s="295"/>
      <c r="J671" s="295"/>
      <c r="K671" s="295"/>
      <c r="L671" s="295"/>
      <c r="M671" s="295"/>
      <c r="N671" s="295"/>
      <c r="O671" s="297"/>
      <c r="P671" s="295"/>
      <c r="Q671" s="295"/>
      <c r="R671" s="295"/>
      <c r="S671" s="295"/>
      <c r="T671" s="295"/>
      <c r="U671" s="295"/>
      <c r="V671" s="295"/>
      <c r="W671" s="295"/>
      <c r="X671" s="295"/>
      <c r="Y671" s="295"/>
      <c r="Z671" s="295"/>
    </row>
    <row r="672" ht="29.25" customHeight="1">
      <c r="A672" s="295"/>
      <c r="B672" s="295"/>
      <c r="C672" s="295"/>
      <c r="D672" s="295"/>
      <c r="E672" s="295"/>
      <c r="F672" s="295"/>
      <c r="G672" s="295"/>
      <c r="H672" s="295"/>
      <c r="I672" s="295"/>
      <c r="J672" s="295"/>
      <c r="K672" s="295"/>
      <c r="L672" s="295"/>
      <c r="M672" s="295"/>
      <c r="N672" s="295"/>
      <c r="O672" s="297"/>
      <c r="P672" s="295"/>
      <c r="Q672" s="295"/>
      <c r="R672" s="295"/>
      <c r="S672" s="295"/>
      <c r="T672" s="295"/>
      <c r="U672" s="295"/>
      <c r="V672" s="295"/>
      <c r="W672" s="295"/>
      <c r="X672" s="295"/>
      <c r="Y672" s="295"/>
      <c r="Z672" s="295"/>
    </row>
    <row r="673" ht="29.25" customHeight="1">
      <c r="A673" s="295"/>
      <c r="B673" s="295"/>
      <c r="C673" s="295"/>
      <c r="D673" s="295"/>
      <c r="E673" s="295"/>
      <c r="F673" s="295"/>
      <c r="G673" s="295"/>
      <c r="H673" s="295"/>
      <c r="I673" s="295"/>
      <c r="J673" s="295"/>
      <c r="K673" s="295"/>
      <c r="L673" s="295"/>
      <c r="M673" s="295"/>
      <c r="N673" s="295"/>
      <c r="O673" s="297"/>
      <c r="P673" s="295"/>
      <c r="Q673" s="295"/>
      <c r="R673" s="295"/>
      <c r="S673" s="295"/>
      <c r="T673" s="295"/>
      <c r="U673" s="295"/>
      <c r="V673" s="295"/>
      <c r="W673" s="295"/>
      <c r="X673" s="295"/>
      <c r="Y673" s="295"/>
      <c r="Z673" s="295"/>
    </row>
    <row r="674" ht="29.25" customHeight="1">
      <c r="A674" s="295"/>
      <c r="B674" s="295"/>
      <c r="C674" s="295"/>
      <c r="D674" s="295"/>
      <c r="E674" s="295"/>
      <c r="F674" s="295"/>
      <c r="G674" s="295"/>
      <c r="H674" s="295"/>
      <c r="I674" s="295"/>
      <c r="J674" s="295"/>
      <c r="K674" s="295"/>
      <c r="L674" s="295"/>
      <c r="M674" s="295"/>
      <c r="N674" s="295"/>
      <c r="O674" s="297"/>
      <c r="P674" s="295"/>
      <c r="Q674" s="295"/>
      <c r="R674" s="295"/>
      <c r="S674" s="295"/>
      <c r="T674" s="295"/>
      <c r="U674" s="295"/>
      <c r="V674" s="295"/>
      <c r="W674" s="295"/>
      <c r="X674" s="295"/>
      <c r="Y674" s="295"/>
      <c r="Z674" s="295"/>
    </row>
    <row r="675" ht="29.25" customHeight="1">
      <c r="A675" s="295"/>
      <c r="B675" s="295"/>
      <c r="C675" s="295"/>
      <c r="D675" s="295"/>
      <c r="E675" s="295"/>
      <c r="F675" s="295"/>
      <c r="G675" s="295"/>
      <c r="H675" s="295"/>
      <c r="I675" s="295"/>
      <c r="J675" s="295"/>
      <c r="K675" s="295"/>
      <c r="L675" s="295"/>
      <c r="M675" s="295"/>
      <c r="N675" s="295"/>
      <c r="O675" s="297"/>
      <c r="P675" s="295"/>
      <c r="Q675" s="295"/>
      <c r="R675" s="295"/>
      <c r="S675" s="295"/>
      <c r="T675" s="295"/>
      <c r="U675" s="295"/>
      <c r="V675" s="295"/>
      <c r="W675" s="295"/>
      <c r="X675" s="295"/>
      <c r="Y675" s="295"/>
      <c r="Z675" s="295"/>
    </row>
    <row r="676" ht="29.25" customHeight="1">
      <c r="A676" s="295"/>
      <c r="B676" s="295"/>
      <c r="C676" s="295"/>
      <c r="D676" s="295"/>
      <c r="E676" s="295"/>
      <c r="F676" s="295"/>
      <c r="G676" s="295"/>
      <c r="H676" s="295"/>
      <c r="I676" s="295"/>
      <c r="J676" s="295"/>
      <c r="K676" s="295"/>
      <c r="L676" s="295"/>
      <c r="M676" s="295"/>
      <c r="N676" s="295"/>
      <c r="O676" s="297"/>
      <c r="P676" s="295"/>
      <c r="Q676" s="295"/>
      <c r="R676" s="295"/>
      <c r="S676" s="295"/>
      <c r="T676" s="295"/>
      <c r="U676" s="295"/>
      <c r="V676" s="295"/>
      <c r="W676" s="295"/>
      <c r="X676" s="295"/>
      <c r="Y676" s="295"/>
      <c r="Z676" s="295"/>
    </row>
    <row r="677" ht="29.25" customHeight="1">
      <c r="A677" s="295"/>
      <c r="B677" s="295"/>
      <c r="C677" s="295"/>
      <c r="D677" s="295"/>
      <c r="E677" s="295"/>
      <c r="F677" s="295"/>
      <c r="G677" s="295"/>
      <c r="H677" s="295"/>
      <c r="I677" s="295"/>
      <c r="J677" s="295"/>
      <c r="K677" s="295"/>
      <c r="L677" s="295"/>
      <c r="M677" s="295"/>
      <c r="N677" s="295"/>
      <c r="O677" s="297"/>
      <c r="P677" s="295"/>
      <c r="Q677" s="295"/>
      <c r="R677" s="295"/>
      <c r="S677" s="295"/>
      <c r="T677" s="295"/>
      <c r="U677" s="295"/>
      <c r="V677" s="295"/>
      <c r="W677" s="295"/>
      <c r="X677" s="295"/>
      <c r="Y677" s="295"/>
      <c r="Z677" s="295"/>
    </row>
    <row r="678" ht="29.25" customHeight="1">
      <c r="A678" s="295"/>
      <c r="B678" s="295"/>
      <c r="C678" s="295"/>
      <c r="D678" s="295"/>
      <c r="E678" s="295"/>
      <c r="F678" s="295"/>
      <c r="G678" s="295"/>
      <c r="H678" s="295"/>
      <c r="I678" s="295"/>
      <c r="J678" s="295"/>
      <c r="K678" s="295"/>
      <c r="L678" s="295"/>
      <c r="M678" s="295"/>
      <c r="N678" s="295"/>
      <c r="O678" s="297"/>
      <c r="P678" s="295"/>
      <c r="Q678" s="295"/>
      <c r="R678" s="295"/>
      <c r="S678" s="295"/>
      <c r="T678" s="295"/>
      <c r="U678" s="295"/>
      <c r="V678" s="295"/>
      <c r="W678" s="295"/>
      <c r="X678" s="295"/>
      <c r="Y678" s="295"/>
      <c r="Z678" s="295"/>
    </row>
    <row r="679" ht="29.25" customHeight="1">
      <c r="A679" s="295"/>
      <c r="B679" s="295"/>
      <c r="C679" s="295"/>
      <c r="D679" s="295"/>
      <c r="E679" s="295"/>
      <c r="F679" s="295"/>
      <c r="G679" s="295"/>
      <c r="H679" s="295"/>
      <c r="I679" s="295"/>
      <c r="J679" s="295"/>
      <c r="K679" s="295"/>
      <c r="L679" s="295"/>
      <c r="M679" s="295"/>
      <c r="N679" s="295"/>
      <c r="O679" s="297"/>
      <c r="P679" s="295"/>
      <c r="Q679" s="295"/>
      <c r="R679" s="295"/>
      <c r="S679" s="295"/>
      <c r="T679" s="295"/>
      <c r="U679" s="295"/>
      <c r="V679" s="295"/>
      <c r="W679" s="295"/>
      <c r="X679" s="295"/>
      <c r="Y679" s="295"/>
      <c r="Z679" s="295"/>
    </row>
    <row r="680" ht="29.25" customHeight="1">
      <c r="A680" s="295"/>
      <c r="B680" s="295"/>
      <c r="C680" s="295"/>
      <c r="D680" s="295"/>
      <c r="E680" s="295"/>
      <c r="F680" s="295"/>
      <c r="G680" s="295"/>
      <c r="H680" s="295"/>
      <c r="I680" s="295"/>
      <c r="J680" s="295"/>
      <c r="K680" s="295"/>
      <c r="L680" s="295"/>
      <c r="M680" s="295"/>
      <c r="N680" s="295"/>
      <c r="O680" s="297"/>
      <c r="P680" s="295"/>
      <c r="Q680" s="295"/>
      <c r="R680" s="295"/>
      <c r="S680" s="295"/>
      <c r="T680" s="295"/>
      <c r="U680" s="295"/>
      <c r="V680" s="295"/>
      <c r="W680" s="295"/>
      <c r="X680" s="295"/>
      <c r="Y680" s="295"/>
      <c r="Z680" s="295"/>
    </row>
    <row r="681" ht="29.25" customHeight="1">
      <c r="A681" s="295"/>
      <c r="B681" s="295"/>
      <c r="C681" s="295"/>
      <c r="D681" s="295"/>
      <c r="E681" s="295"/>
      <c r="F681" s="295"/>
      <c r="G681" s="295"/>
      <c r="H681" s="295"/>
      <c r="I681" s="295"/>
      <c r="J681" s="295"/>
      <c r="K681" s="295"/>
      <c r="L681" s="295"/>
      <c r="M681" s="295"/>
      <c r="N681" s="295"/>
      <c r="O681" s="297"/>
      <c r="P681" s="295"/>
      <c r="Q681" s="295"/>
      <c r="R681" s="295"/>
      <c r="S681" s="295"/>
      <c r="T681" s="295"/>
      <c r="U681" s="295"/>
      <c r="V681" s="295"/>
      <c r="W681" s="295"/>
      <c r="X681" s="295"/>
      <c r="Y681" s="295"/>
      <c r="Z681" s="295"/>
    </row>
    <row r="682" ht="29.25" customHeight="1">
      <c r="A682" s="295"/>
      <c r="B682" s="295"/>
      <c r="C682" s="295"/>
      <c r="D682" s="295"/>
      <c r="E682" s="295"/>
      <c r="F682" s="295"/>
      <c r="G682" s="295"/>
      <c r="H682" s="295"/>
      <c r="I682" s="295"/>
      <c r="J682" s="295"/>
      <c r="K682" s="295"/>
      <c r="L682" s="295"/>
      <c r="M682" s="295"/>
      <c r="N682" s="295"/>
      <c r="O682" s="297"/>
      <c r="P682" s="295"/>
      <c r="Q682" s="295"/>
      <c r="R682" s="295"/>
      <c r="S682" s="295"/>
      <c r="T682" s="295"/>
      <c r="U682" s="295"/>
      <c r="V682" s="295"/>
      <c r="W682" s="295"/>
      <c r="X682" s="295"/>
      <c r="Y682" s="295"/>
      <c r="Z682" s="295"/>
    </row>
    <row r="683" ht="29.25" customHeight="1">
      <c r="A683" s="295"/>
      <c r="B683" s="295"/>
      <c r="C683" s="295"/>
      <c r="D683" s="295"/>
      <c r="E683" s="295"/>
      <c r="F683" s="295"/>
      <c r="G683" s="295"/>
      <c r="H683" s="295"/>
      <c r="I683" s="295"/>
      <c r="J683" s="295"/>
      <c r="K683" s="295"/>
      <c r="L683" s="295"/>
      <c r="M683" s="295"/>
      <c r="N683" s="295"/>
      <c r="O683" s="297"/>
      <c r="P683" s="295"/>
      <c r="Q683" s="295"/>
      <c r="R683" s="295"/>
      <c r="S683" s="295"/>
      <c r="T683" s="295"/>
      <c r="U683" s="295"/>
      <c r="V683" s="295"/>
      <c r="W683" s="295"/>
      <c r="X683" s="295"/>
      <c r="Y683" s="295"/>
      <c r="Z683" s="295"/>
    </row>
    <row r="684" ht="29.25" customHeight="1">
      <c r="A684" s="295"/>
      <c r="B684" s="295"/>
      <c r="C684" s="295"/>
      <c r="D684" s="295"/>
      <c r="E684" s="295"/>
      <c r="F684" s="295"/>
      <c r="G684" s="295"/>
      <c r="H684" s="295"/>
      <c r="I684" s="295"/>
      <c r="J684" s="295"/>
      <c r="K684" s="295"/>
      <c r="L684" s="295"/>
      <c r="M684" s="295"/>
      <c r="N684" s="295"/>
      <c r="O684" s="297"/>
      <c r="P684" s="295"/>
      <c r="Q684" s="295"/>
      <c r="R684" s="295"/>
      <c r="S684" s="295"/>
      <c r="T684" s="295"/>
      <c r="U684" s="295"/>
      <c r="V684" s="295"/>
      <c r="W684" s="295"/>
      <c r="X684" s="295"/>
      <c r="Y684" s="295"/>
      <c r="Z684" s="295"/>
    </row>
    <row r="685" ht="29.25" customHeight="1">
      <c r="A685" s="295"/>
      <c r="B685" s="295"/>
      <c r="C685" s="295"/>
      <c r="D685" s="295"/>
      <c r="E685" s="295"/>
      <c r="F685" s="295"/>
      <c r="G685" s="295"/>
      <c r="H685" s="295"/>
      <c r="I685" s="295"/>
      <c r="J685" s="295"/>
      <c r="K685" s="295"/>
      <c r="L685" s="295"/>
      <c r="M685" s="295"/>
      <c r="N685" s="295"/>
      <c r="O685" s="297"/>
      <c r="P685" s="295"/>
      <c r="Q685" s="295"/>
      <c r="R685" s="295"/>
      <c r="S685" s="295"/>
      <c r="T685" s="295"/>
      <c r="U685" s="295"/>
      <c r="V685" s="295"/>
      <c r="W685" s="295"/>
      <c r="X685" s="295"/>
      <c r="Y685" s="295"/>
      <c r="Z685" s="295"/>
    </row>
    <row r="686" ht="29.25" customHeight="1">
      <c r="A686" s="295"/>
      <c r="B686" s="295"/>
      <c r="C686" s="295"/>
      <c r="D686" s="295"/>
      <c r="E686" s="295"/>
      <c r="F686" s="295"/>
      <c r="G686" s="295"/>
      <c r="H686" s="295"/>
      <c r="I686" s="295"/>
      <c r="J686" s="295"/>
      <c r="K686" s="295"/>
      <c r="L686" s="295"/>
      <c r="M686" s="295"/>
      <c r="N686" s="295"/>
      <c r="O686" s="297"/>
      <c r="P686" s="295"/>
      <c r="Q686" s="295"/>
      <c r="R686" s="295"/>
      <c r="S686" s="295"/>
      <c r="T686" s="295"/>
      <c r="U686" s="295"/>
      <c r="V686" s="295"/>
      <c r="W686" s="295"/>
      <c r="X686" s="295"/>
      <c r="Y686" s="295"/>
      <c r="Z686" s="295"/>
    </row>
    <row r="687" ht="29.25" customHeight="1">
      <c r="A687" s="295"/>
      <c r="B687" s="295"/>
      <c r="C687" s="295"/>
      <c r="D687" s="295"/>
      <c r="E687" s="295"/>
      <c r="F687" s="295"/>
      <c r="G687" s="295"/>
      <c r="H687" s="295"/>
      <c r="I687" s="295"/>
      <c r="J687" s="295"/>
      <c r="K687" s="295"/>
      <c r="L687" s="295"/>
      <c r="M687" s="295"/>
      <c r="N687" s="295"/>
      <c r="O687" s="297"/>
      <c r="P687" s="295"/>
      <c r="Q687" s="295"/>
      <c r="R687" s="295"/>
      <c r="S687" s="295"/>
      <c r="T687" s="295"/>
      <c r="U687" s="295"/>
      <c r="V687" s="295"/>
      <c r="W687" s="295"/>
      <c r="X687" s="295"/>
      <c r="Y687" s="295"/>
      <c r="Z687" s="295"/>
    </row>
    <row r="688" ht="29.25" customHeight="1">
      <c r="A688" s="295"/>
      <c r="B688" s="295"/>
      <c r="C688" s="295"/>
      <c r="D688" s="295"/>
      <c r="E688" s="295"/>
      <c r="F688" s="295"/>
      <c r="G688" s="295"/>
      <c r="H688" s="295"/>
      <c r="I688" s="295"/>
      <c r="J688" s="295"/>
      <c r="K688" s="295"/>
      <c r="L688" s="295"/>
      <c r="M688" s="295"/>
      <c r="N688" s="295"/>
      <c r="O688" s="297"/>
      <c r="P688" s="295"/>
      <c r="Q688" s="295"/>
      <c r="R688" s="295"/>
      <c r="S688" s="295"/>
      <c r="T688" s="295"/>
      <c r="U688" s="295"/>
      <c r="V688" s="295"/>
      <c r="W688" s="295"/>
      <c r="X688" s="295"/>
      <c r="Y688" s="295"/>
      <c r="Z688" s="295"/>
    </row>
    <row r="689" ht="29.25" customHeight="1">
      <c r="A689" s="295"/>
      <c r="B689" s="295"/>
      <c r="C689" s="295"/>
      <c r="D689" s="295"/>
      <c r="E689" s="295"/>
      <c r="F689" s="295"/>
      <c r="G689" s="295"/>
      <c r="H689" s="295"/>
      <c r="I689" s="295"/>
      <c r="J689" s="295"/>
      <c r="K689" s="295"/>
      <c r="L689" s="295"/>
      <c r="M689" s="295"/>
      <c r="N689" s="295"/>
      <c r="O689" s="297"/>
      <c r="P689" s="295"/>
      <c r="Q689" s="295"/>
      <c r="R689" s="295"/>
      <c r="S689" s="295"/>
      <c r="T689" s="295"/>
      <c r="U689" s="295"/>
      <c r="V689" s="295"/>
      <c r="W689" s="295"/>
      <c r="X689" s="295"/>
      <c r="Y689" s="295"/>
      <c r="Z689" s="295"/>
    </row>
    <row r="690" ht="29.25" customHeight="1">
      <c r="A690" s="295"/>
      <c r="B690" s="295"/>
      <c r="C690" s="295"/>
      <c r="D690" s="295"/>
      <c r="E690" s="295"/>
      <c r="F690" s="295"/>
      <c r="G690" s="295"/>
      <c r="H690" s="295"/>
      <c r="I690" s="295"/>
      <c r="J690" s="295"/>
      <c r="K690" s="295"/>
      <c r="L690" s="295"/>
      <c r="M690" s="295"/>
      <c r="N690" s="295"/>
      <c r="O690" s="297"/>
      <c r="P690" s="295"/>
      <c r="Q690" s="295"/>
      <c r="R690" s="295"/>
      <c r="S690" s="295"/>
      <c r="T690" s="295"/>
      <c r="U690" s="295"/>
      <c r="V690" s="295"/>
      <c r="W690" s="295"/>
      <c r="X690" s="295"/>
      <c r="Y690" s="295"/>
      <c r="Z690" s="295"/>
    </row>
    <row r="691" ht="29.25" customHeight="1">
      <c r="A691" s="295"/>
      <c r="B691" s="295"/>
      <c r="C691" s="295"/>
      <c r="D691" s="295"/>
      <c r="E691" s="295"/>
      <c r="F691" s="295"/>
      <c r="G691" s="295"/>
      <c r="H691" s="295"/>
      <c r="I691" s="295"/>
      <c r="J691" s="295"/>
      <c r="K691" s="295"/>
      <c r="L691" s="295"/>
      <c r="M691" s="295"/>
      <c r="N691" s="295"/>
      <c r="O691" s="297"/>
      <c r="P691" s="295"/>
      <c r="Q691" s="295"/>
      <c r="R691" s="295"/>
      <c r="S691" s="295"/>
      <c r="T691" s="295"/>
      <c r="U691" s="295"/>
      <c r="V691" s="295"/>
      <c r="W691" s="295"/>
      <c r="X691" s="295"/>
      <c r="Y691" s="295"/>
      <c r="Z691" s="295"/>
    </row>
    <row r="692" ht="29.25" customHeight="1">
      <c r="A692" s="295"/>
      <c r="B692" s="295"/>
      <c r="C692" s="295"/>
      <c r="D692" s="295"/>
      <c r="E692" s="295"/>
      <c r="F692" s="295"/>
      <c r="G692" s="295"/>
      <c r="H692" s="295"/>
      <c r="I692" s="295"/>
      <c r="J692" s="295"/>
      <c r="K692" s="295"/>
      <c r="L692" s="295"/>
      <c r="M692" s="295"/>
      <c r="N692" s="295"/>
      <c r="O692" s="297"/>
      <c r="P692" s="295"/>
      <c r="Q692" s="295"/>
      <c r="R692" s="295"/>
      <c r="S692" s="295"/>
      <c r="T692" s="295"/>
      <c r="U692" s="295"/>
      <c r="V692" s="295"/>
      <c r="W692" s="295"/>
      <c r="X692" s="295"/>
      <c r="Y692" s="295"/>
      <c r="Z692" s="295"/>
    </row>
    <row r="693" ht="29.25" customHeight="1">
      <c r="A693" s="295"/>
      <c r="B693" s="295"/>
      <c r="C693" s="295"/>
      <c r="D693" s="295"/>
      <c r="E693" s="295"/>
      <c r="F693" s="295"/>
      <c r="G693" s="295"/>
      <c r="H693" s="295"/>
      <c r="I693" s="295"/>
      <c r="J693" s="295"/>
      <c r="K693" s="295"/>
      <c r="L693" s="295"/>
      <c r="M693" s="295"/>
      <c r="N693" s="295"/>
      <c r="O693" s="297"/>
      <c r="P693" s="295"/>
      <c r="Q693" s="295"/>
      <c r="R693" s="295"/>
      <c r="S693" s="295"/>
      <c r="T693" s="295"/>
      <c r="U693" s="295"/>
      <c r="V693" s="295"/>
      <c r="W693" s="295"/>
      <c r="X693" s="295"/>
      <c r="Y693" s="295"/>
      <c r="Z693" s="295"/>
    </row>
    <row r="694" ht="29.25" customHeight="1">
      <c r="A694" s="295"/>
      <c r="B694" s="295"/>
      <c r="C694" s="295"/>
      <c r="D694" s="295"/>
      <c r="E694" s="295"/>
      <c r="F694" s="295"/>
      <c r="G694" s="295"/>
      <c r="H694" s="295"/>
      <c r="I694" s="295"/>
      <c r="J694" s="295"/>
      <c r="K694" s="295"/>
      <c r="L694" s="295"/>
      <c r="M694" s="295"/>
      <c r="N694" s="295"/>
      <c r="O694" s="297"/>
      <c r="P694" s="295"/>
      <c r="Q694" s="295"/>
      <c r="R694" s="295"/>
      <c r="S694" s="295"/>
      <c r="T694" s="295"/>
      <c r="U694" s="295"/>
      <c r="V694" s="295"/>
      <c r="W694" s="295"/>
      <c r="X694" s="295"/>
      <c r="Y694" s="295"/>
      <c r="Z694" s="295"/>
    </row>
    <row r="695" ht="29.25" customHeight="1">
      <c r="A695" s="295"/>
      <c r="B695" s="295"/>
      <c r="C695" s="295"/>
      <c r="D695" s="295"/>
      <c r="E695" s="295"/>
      <c r="F695" s="295"/>
      <c r="G695" s="295"/>
      <c r="H695" s="295"/>
      <c r="I695" s="295"/>
      <c r="J695" s="295"/>
      <c r="K695" s="295"/>
      <c r="L695" s="295"/>
      <c r="M695" s="295"/>
      <c r="N695" s="295"/>
      <c r="O695" s="297"/>
      <c r="P695" s="295"/>
      <c r="Q695" s="295"/>
      <c r="R695" s="295"/>
      <c r="S695" s="295"/>
      <c r="T695" s="295"/>
      <c r="U695" s="295"/>
      <c r="V695" s="295"/>
      <c r="W695" s="295"/>
      <c r="X695" s="295"/>
      <c r="Y695" s="295"/>
      <c r="Z695" s="295"/>
    </row>
    <row r="696" ht="29.25" customHeight="1">
      <c r="A696" s="295"/>
      <c r="B696" s="295"/>
      <c r="C696" s="295"/>
      <c r="D696" s="295"/>
      <c r="E696" s="295"/>
      <c r="F696" s="295"/>
      <c r="G696" s="295"/>
      <c r="H696" s="295"/>
      <c r="I696" s="295"/>
      <c r="J696" s="295"/>
      <c r="K696" s="295"/>
      <c r="L696" s="295"/>
      <c r="M696" s="295"/>
      <c r="N696" s="295"/>
      <c r="O696" s="297"/>
      <c r="P696" s="295"/>
      <c r="Q696" s="295"/>
      <c r="R696" s="295"/>
      <c r="S696" s="295"/>
      <c r="T696" s="295"/>
      <c r="U696" s="295"/>
      <c r="V696" s="295"/>
      <c r="W696" s="295"/>
      <c r="X696" s="295"/>
      <c r="Y696" s="295"/>
      <c r="Z696" s="295"/>
    </row>
    <row r="697" ht="29.25" customHeight="1">
      <c r="A697" s="295"/>
      <c r="B697" s="295"/>
      <c r="C697" s="295"/>
      <c r="D697" s="295"/>
      <c r="E697" s="295"/>
      <c r="F697" s="295"/>
      <c r="G697" s="295"/>
      <c r="H697" s="295"/>
      <c r="I697" s="295"/>
      <c r="J697" s="295"/>
      <c r="K697" s="295"/>
      <c r="L697" s="295"/>
      <c r="M697" s="295"/>
      <c r="N697" s="295"/>
      <c r="O697" s="297"/>
      <c r="P697" s="295"/>
      <c r="Q697" s="295"/>
      <c r="R697" s="295"/>
      <c r="S697" s="295"/>
      <c r="T697" s="295"/>
      <c r="U697" s="295"/>
      <c r="V697" s="295"/>
      <c r="W697" s="295"/>
      <c r="X697" s="295"/>
      <c r="Y697" s="295"/>
      <c r="Z697" s="295"/>
    </row>
    <row r="698" ht="29.25" customHeight="1">
      <c r="A698" s="295"/>
      <c r="B698" s="295"/>
      <c r="C698" s="295"/>
      <c r="D698" s="295"/>
      <c r="E698" s="295"/>
      <c r="F698" s="295"/>
      <c r="G698" s="295"/>
      <c r="H698" s="295"/>
      <c r="I698" s="295"/>
      <c r="J698" s="295"/>
      <c r="K698" s="295"/>
      <c r="L698" s="295"/>
      <c r="M698" s="295"/>
      <c r="N698" s="295"/>
      <c r="O698" s="297"/>
      <c r="P698" s="295"/>
      <c r="Q698" s="295"/>
      <c r="R698" s="295"/>
      <c r="S698" s="295"/>
      <c r="T698" s="295"/>
      <c r="U698" s="295"/>
      <c r="V698" s="295"/>
      <c r="W698" s="295"/>
      <c r="X698" s="295"/>
      <c r="Y698" s="295"/>
      <c r="Z698" s="295"/>
    </row>
    <row r="699" ht="29.25" customHeight="1">
      <c r="A699" s="295"/>
      <c r="B699" s="295"/>
      <c r="C699" s="295"/>
      <c r="D699" s="295"/>
      <c r="E699" s="295"/>
      <c r="F699" s="295"/>
      <c r="G699" s="295"/>
      <c r="H699" s="295"/>
      <c r="I699" s="295"/>
      <c r="J699" s="295"/>
      <c r="K699" s="295"/>
      <c r="L699" s="295"/>
      <c r="M699" s="295"/>
      <c r="N699" s="295"/>
      <c r="O699" s="297"/>
      <c r="P699" s="295"/>
      <c r="Q699" s="295"/>
      <c r="R699" s="295"/>
      <c r="S699" s="295"/>
      <c r="T699" s="295"/>
      <c r="U699" s="295"/>
      <c r="V699" s="295"/>
      <c r="W699" s="295"/>
      <c r="X699" s="295"/>
      <c r="Y699" s="295"/>
      <c r="Z699" s="295"/>
    </row>
    <row r="700" ht="29.25" customHeight="1">
      <c r="A700" s="295"/>
      <c r="B700" s="295"/>
      <c r="C700" s="295"/>
      <c r="D700" s="295"/>
      <c r="E700" s="295"/>
      <c r="F700" s="295"/>
      <c r="G700" s="295"/>
      <c r="H700" s="295"/>
      <c r="I700" s="295"/>
      <c r="J700" s="295"/>
      <c r="K700" s="295"/>
      <c r="L700" s="295"/>
      <c r="M700" s="295"/>
      <c r="N700" s="295"/>
      <c r="O700" s="297"/>
      <c r="P700" s="295"/>
      <c r="Q700" s="295"/>
      <c r="R700" s="295"/>
      <c r="S700" s="295"/>
      <c r="T700" s="295"/>
      <c r="U700" s="295"/>
      <c r="V700" s="295"/>
      <c r="W700" s="295"/>
      <c r="X700" s="295"/>
      <c r="Y700" s="295"/>
      <c r="Z700" s="295"/>
    </row>
    <row r="701" ht="29.25" customHeight="1">
      <c r="A701" s="295"/>
      <c r="B701" s="295"/>
      <c r="C701" s="295"/>
      <c r="D701" s="295"/>
      <c r="E701" s="295"/>
      <c r="F701" s="295"/>
      <c r="G701" s="295"/>
      <c r="H701" s="295"/>
      <c r="I701" s="295"/>
      <c r="J701" s="295"/>
      <c r="K701" s="295"/>
      <c r="L701" s="295"/>
      <c r="M701" s="295"/>
      <c r="N701" s="295"/>
      <c r="O701" s="297"/>
      <c r="P701" s="295"/>
      <c r="Q701" s="295"/>
      <c r="R701" s="295"/>
      <c r="S701" s="295"/>
      <c r="T701" s="295"/>
      <c r="U701" s="295"/>
      <c r="V701" s="295"/>
      <c r="W701" s="295"/>
      <c r="X701" s="295"/>
      <c r="Y701" s="295"/>
      <c r="Z701" s="295"/>
    </row>
    <row r="702" ht="29.25" customHeight="1">
      <c r="A702" s="295"/>
      <c r="B702" s="295"/>
      <c r="C702" s="295"/>
      <c r="D702" s="295"/>
      <c r="E702" s="295"/>
      <c r="F702" s="295"/>
      <c r="G702" s="295"/>
      <c r="H702" s="295"/>
      <c r="I702" s="295"/>
      <c r="J702" s="295"/>
      <c r="K702" s="295"/>
      <c r="L702" s="295"/>
      <c r="M702" s="295"/>
      <c r="N702" s="295"/>
      <c r="O702" s="297"/>
      <c r="P702" s="295"/>
      <c r="Q702" s="295"/>
      <c r="R702" s="295"/>
      <c r="S702" s="295"/>
      <c r="T702" s="295"/>
      <c r="U702" s="295"/>
      <c r="V702" s="295"/>
      <c r="W702" s="295"/>
      <c r="X702" s="295"/>
      <c r="Y702" s="295"/>
      <c r="Z702" s="295"/>
    </row>
    <row r="703" ht="29.25" customHeight="1">
      <c r="A703" s="295"/>
      <c r="B703" s="295"/>
      <c r="C703" s="295"/>
      <c r="D703" s="295"/>
      <c r="E703" s="295"/>
      <c r="F703" s="295"/>
      <c r="G703" s="295"/>
      <c r="H703" s="295"/>
      <c r="I703" s="295"/>
      <c r="J703" s="295"/>
      <c r="K703" s="295"/>
      <c r="L703" s="295"/>
      <c r="M703" s="295"/>
      <c r="N703" s="295"/>
      <c r="O703" s="297"/>
      <c r="P703" s="295"/>
      <c r="Q703" s="295"/>
      <c r="R703" s="295"/>
      <c r="S703" s="295"/>
      <c r="T703" s="295"/>
      <c r="U703" s="295"/>
      <c r="V703" s="295"/>
      <c r="W703" s="295"/>
      <c r="X703" s="295"/>
      <c r="Y703" s="295"/>
      <c r="Z703" s="295"/>
    </row>
    <row r="704" ht="29.25" customHeight="1">
      <c r="A704" s="295"/>
      <c r="B704" s="295"/>
      <c r="C704" s="295"/>
      <c r="D704" s="295"/>
      <c r="E704" s="295"/>
      <c r="F704" s="295"/>
      <c r="G704" s="295"/>
      <c r="H704" s="295"/>
      <c r="I704" s="295"/>
      <c r="J704" s="295"/>
      <c r="K704" s="295"/>
      <c r="L704" s="295"/>
      <c r="M704" s="295"/>
      <c r="N704" s="295"/>
      <c r="O704" s="297"/>
      <c r="P704" s="295"/>
      <c r="Q704" s="295"/>
      <c r="R704" s="295"/>
      <c r="S704" s="295"/>
      <c r="T704" s="295"/>
      <c r="U704" s="295"/>
      <c r="V704" s="295"/>
      <c r="W704" s="295"/>
      <c r="X704" s="295"/>
      <c r="Y704" s="295"/>
      <c r="Z704" s="295"/>
    </row>
    <row r="705" ht="29.25" customHeight="1">
      <c r="A705" s="295"/>
      <c r="B705" s="295"/>
      <c r="C705" s="295"/>
      <c r="D705" s="295"/>
      <c r="E705" s="295"/>
      <c r="F705" s="295"/>
      <c r="G705" s="295"/>
      <c r="H705" s="295"/>
      <c r="I705" s="295"/>
      <c r="J705" s="295"/>
      <c r="K705" s="295"/>
      <c r="L705" s="295"/>
      <c r="M705" s="295"/>
      <c r="N705" s="295"/>
      <c r="O705" s="297"/>
      <c r="P705" s="295"/>
      <c r="Q705" s="295"/>
      <c r="R705" s="295"/>
      <c r="S705" s="295"/>
      <c r="T705" s="295"/>
      <c r="U705" s="295"/>
      <c r="V705" s="295"/>
      <c r="W705" s="295"/>
      <c r="X705" s="295"/>
      <c r="Y705" s="295"/>
      <c r="Z705" s="295"/>
    </row>
    <row r="706" ht="29.25" customHeight="1">
      <c r="A706" s="295"/>
      <c r="B706" s="295"/>
      <c r="C706" s="295"/>
      <c r="D706" s="295"/>
      <c r="E706" s="295"/>
      <c r="F706" s="295"/>
      <c r="G706" s="295"/>
      <c r="H706" s="295"/>
      <c r="I706" s="295"/>
      <c r="J706" s="295"/>
      <c r="K706" s="295"/>
      <c r="L706" s="295"/>
      <c r="M706" s="295"/>
      <c r="N706" s="295"/>
      <c r="O706" s="297"/>
      <c r="P706" s="295"/>
      <c r="Q706" s="295"/>
      <c r="R706" s="295"/>
      <c r="S706" s="295"/>
      <c r="T706" s="295"/>
      <c r="U706" s="295"/>
      <c r="V706" s="295"/>
      <c r="W706" s="295"/>
      <c r="X706" s="295"/>
      <c r="Y706" s="295"/>
      <c r="Z706" s="295"/>
    </row>
    <row r="707" ht="29.25" customHeight="1">
      <c r="A707" s="295"/>
      <c r="B707" s="295"/>
      <c r="C707" s="295"/>
      <c r="D707" s="295"/>
      <c r="E707" s="295"/>
      <c r="F707" s="295"/>
      <c r="G707" s="295"/>
      <c r="H707" s="295"/>
      <c r="I707" s="295"/>
      <c r="J707" s="295"/>
      <c r="K707" s="295"/>
      <c r="L707" s="295"/>
      <c r="M707" s="295"/>
      <c r="N707" s="295"/>
      <c r="O707" s="297"/>
      <c r="P707" s="295"/>
      <c r="Q707" s="295"/>
      <c r="R707" s="295"/>
      <c r="S707" s="295"/>
      <c r="T707" s="295"/>
      <c r="U707" s="295"/>
      <c r="V707" s="295"/>
      <c r="W707" s="295"/>
      <c r="X707" s="295"/>
      <c r="Y707" s="295"/>
      <c r="Z707" s="295"/>
    </row>
    <row r="708" ht="29.25" customHeight="1">
      <c r="A708" s="295"/>
      <c r="B708" s="295"/>
      <c r="C708" s="295"/>
      <c r="D708" s="295"/>
      <c r="E708" s="295"/>
      <c r="F708" s="295"/>
      <c r="G708" s="295"/>
      <c r="H708" s="295"/>
      <c r="I708" s="295"/>
      <c r="J708" s="295"/>
      <c r="K708" s="295"/>
      <c r="L708" s="295"/>
      <c r="M708" s="295"/>
      <c r="N708" s="295"/>
      <c r="O708" s="297"/>
      <c r="P708" s="295"/>
      <c r="Q708" s="295"/>
      <c r="R708" s="295"/>
      <c r="S708" s="295"/>
      <c r="T708" s="295"/>
      <c r="U708" s="295"/>
      <c r="V708" s="295"/>
      <c r="W708" s="295"/>
      <c r="X708" s="295"/>
      <c r="Y708" s="295"/>
      <c r="Z708" s="295"/>
    </row>
    <row r="709" ht="29.25" customHeight="1">
      <c r="A709" s="295"/>
      <c r="B709" s="295"/>
      <c r="C709" s="295"/>
      <c r="D709" s="295"/>
      <c r="E709" s="295"/>
      <c r="F709" s="295"/>
      <c r="G709" s="295"/>
      <c r="H709" s="295"/>
      <c r="I709" s="295"/>
      <c r="J709" s="295"/>
      <c r="K709" s="295"/>
      <c r="L709" s="295"/>
      <c r="M709" s="295"/>
      <c r="N709" s="295"/>
      <c r="O709" s="297"/>
      <c r="P709" s="295"/>
      <c r="Q709" s="295"/>
      <c r="R709" s="295"/>
      <c r="S709" s="295"/>
      <c r="T709" s="295"/>
      <c r="U709" s="295"/>
      <c r="V709" s="295"/>
      <c r="W709" s="295"/>
      <c r="X709" s="295"/>
      <c r="Y709" s="295"/>
      <c r="Z709" s="295"/>
    </row>
    <row r="710" ht="29.25" customHeight="1">
      <c r="A710" s="295"/>
      <c r="B710" s="295"/>
      <c r="C710" s="295"/>
      <c r="D710" s="295"/>
      <c r="E710" s="295"/>
      <c r="F710" s="295"/>
      <c r="G710" s="295"/>
      <c r="H710" s="295"/>
      <c r="I710" s="295"/>
      <c r="J710" s="295"/>
      <c r="K710" s="295"/>
      <c r="L710" s="295"/>
      <c r="M710" s="295"/>
      <c r="N710" s="295"/>
      <c r="O710" s="297"/>
      <c r="P710" s="295"/>
      <c r="Q710" s="295"/>
      <c r="R710" s="295"/>
      <c r="S710" s="295"/>
      <c r="T710" s="295"/>
      <c r="U710" s="295"/>
      <c r="V710" s="295"/>
      <c r="W710" s="295"/>
      <c r="X710" s="295"/>
      <c r="Y710" s="295"/>
      <c r="Z710" s="295"/>
    </row>
    <row r="711" ht="29.25" customHeight="1">
      <c r="A711" s="295"/>
      <c r="B711" s="295"/>
      <c r="C711" s="295"/>
      <c r="D711" s="295"/>
      <c r="E711" s="295"/>
      <c r="F711" s="295"/>
      <c r="G711" s="295"/>
      <c r="H711" s="295"/>
      <c r="I711" s="295"/>
      <c r="J711" s="295"/>
      <c r="K711" s="295"/>
      <c r="L711" s="295"/>
      <c r="M711" s="295"/>
      <c r="N711" s="295"/>
      <c r="O711" s="297"/>
      <c r="P711" s="295"/>
      <c r="Q711" s="295"/>
      <c r="R711" s="295"/>
      <c r="S711" s="295"/>
      <c r="T711" s="295"/>
      <c r="U711" s="295"/>
      <c r="V711" s="295"/>
      <c r="W711" s="295"/>
      <c r="X711" s="295"/>
      <c r="Y711" s="295"/>
      <c r="Z711" s="295"/>
    </row>
    <row r="712" ht="29.25" customHeight="1">
      <c r="A712" s="295"/>
      <c r="B712" s="295"/>
      <c r="C712" s="295"/>
      <c r="D712" s="295"/>
      <c r="E712" s="295"/>
      <c r="F712" s="295"/>
      <c r="G712" s="295"/>
      <c r="H712" s="295"/>
      <c r="I712" s="295"/>
      <c r="J712" s="295"/>
      <c r="K712" s="295"/>
      <c r="L712" s="295"/>
      <c r="M712" s="295"/>
      <c r="N712" s="295"/>
      <c r="O712" s="297"/>
      <c r="P712" s="295"/>
      <c r="Q712" s="295"/>
      <c r="R712" s="295"/>
      <c r="S712" s="295"/>
      <c r="T712" s="295"/>
      <c r="U712" s="295"/>
      <c r="V712" s="295"/>
      <c r="W712" s="295"/>
      <c r="X712" s="295"/>
      <c r="Y712" s="295"/>
      <c r="Z712" s="295"/>
    </row>
    <row r="713" ht="29.25" customHeight="1">
      <c r="A713" s="295"/>
      <c r="B713" s="295"/>
      <c r="C713" s="295"/>
      <c r="D713" s="295"/>
      <c r="E713" s="295"/>
      <c r="F713" s="295"/>
      <c r="G713" s="295"/>
      <c r="H713" s="295"/>
      <c r="I713" s="295"/>
      <c r="J713" s="295"/>
      <c r="K713" s="295"/>
      <c r="L713" s="295"/>
      <c r="M713" s="295"/>
      <c r="N713" s="295"/>
      <c r="O713" s="297"/>
      <c r="P713" s="295"/>
      <c r="Q713" s="295"/>
      <c r="R713" s="295"/>
      <c r="S713" s="295"/>
      <c r="T713" s="295"/>
      <c r="U713" s="295"/>
      <c r="V713" s="295"/>
      <c r="W713" s="295"/>
      <c r="X713" s="295"/>
      <c r="Y713" s="295"/>
      <c r="Z713" s="295"/>
    </row>
    <row r="714" ht="29.25" customHeight="1">
      <c r="A714" s="295"/>
      <c r="B714" s="295"/>
      <c r="C714" s="295"/>
      <c r="D714" s="295"/>
      <c r="E714" s="295"/>
      <c r="F714" s="295"/>
      <c r="G714" s="295"/>
      <c r="H714" s="295"/>
      <c r="I714" s="295"/>
      <c r="J714" s="295"/>
      <c r="K714" s="295"/>
      <c r="L714" s="295"/>
      <c r="M714" s="295"/>
      <c r="N714" s="295"/>
      <c r="O714" s="297"/>
      <c r="P714" s="295"/>
      <c r="Q714" s="295"/>
      <c r="R714" s="295"/>
      <c r="S714" s="295"/>
      <c r="T714" s="295"/>
      <c r="U714" s="295"/>
      <c r="V714" s="295"/>
      <c r="W714" s="295"/>
      <c r="X714" s="295"/>
      <c r="Y714" s="295"/>
      <c r="Z714" s="295"/>
    </row>
    <row r="715" ht="29.25" customHeight="1">
      <c r="A715" s="295"/>
      <c r="B715" s="295"/>
      <c r="C715" s="295"/>
      <c r="D715" s="295"/>
      <c r="E715" s="295"/>
      <c r="F715" s="295"/>
      <c r="G715" s="295"/>
      <c r="H715" s="295"/>
      <c r="I715" s="295"/>
      <c r="J715" s="295"/>
      <c r="K715" s="295"/>
      <c r="L715" s="295"/>
      <c r="M715" s="295"/>
      <c r="N715" s="295"/>
      <c r="O715" s="297"/>
      <c r="P715" s="295"/>
      <c r="Q715" s="295"/>
      <c r="R715" s="295"/>
      <c r="S715" s="295"/>
      <c r="T715" s="295"/>
      <c r="U715" s="295"/>
      <c r="V715" s="295"/>
      <c r="W715" s="295"/>
      <c r="X715" s="295"/>
      <c r="Y715" s="295"/>
      <c r="Z715" s="295"/>
    </row>
    <row r="716" ht="29.25" customHeight="1">
      <c r="A716" s="295"/>
      <c r="B716" s="295"/>
      <c r="C716" s="295"/>
      <c r="D716" s="295"/>
      <c r="E716" s="295"/>
      <c r="F716" s="295"/>
      <c r="G716" s="295"/>
      <c r="H716" s="295"/>
      <c r="I716" s="295"/>
      <c r="J716" s="295"/>
      <c r="K716" s="295"/>
      <c r="L716" s="295"/>
      <c r="M716" s="295"/>
      <c r="N716" s="295"/>
      <c r="O716" s="297"/>
      <c r="P716" s="295"/>
      <c r="Q716" s="295"/>
      <c r="R716" s="295"/>
      <c r="S716" s="295"/>
      <c r="T716" s="295"/>
      <c r="U716" s="295"/>
      <c r="V716" s="295"/>
      <c r="W716" s="295"/>
      <c r="X716" s="295"/>
      <c r="Y716" s="295"/>
      <c r="Z716" s="295"/>
    </row>
    <row r="717" ht="29.25" customHeight="1">
      <c r="A717" s="295"/>
      <c r="B717" s="295"/>
      <c r="C717" s="295"/>
      <c r="D717" s="295"/>
      <c r="E717" s="295"/>
      <c r="F717" s="295"/>
      <c r="G717" s="295"/>
      <c r="H717" s="295"/>
      <c r="I717" s="295"/>
      <c r="J717" s="295"/>
      <c r="K717" s="295"/>
      <c r="L717" s="295"/>
      <c r="M717" s="295"/>
      <c r="N717" s="295"/>
      <c r="O717" s="297"/>
      <c r="P717" s="295"/>
      <c r="Q717" s="295"/>
      <c r="R717" s="295"/>
      <c r="S717" s="295"/>
      <c r="T717" s="295"/>
      <c r="U717" s="295"/>
      <c r="V717" s="295"/>
      <c r="W717" s="295"/>
      <c r="X717" s="295"/>
      <c r="Y717" s="295"/>
      <c r="Z717" s="295"/>
    </row>
    <row r="718" ht="29.25" customHeight="1">
      <c r="A718" s="295"/>
      <c r="B718" s="295"/>
      <c r="C718" s="295"/>
      <c r="D718" s="295"/>
      <c r="E718" s="295"/>
      <c r="F718" s="295"/>
      <c r="G718" s="295"/>
      <c r="H718" s="295"/>
      <c r="I718" s="295"/>
      <c r="J718" s="295"/>
      <c r="K718" s="295"/>
      <c r="L718" s="295"/>
      <c r="M718" s="295"/>
      <c r="N718" s="295"/>
      <c r="O718" s="297"/>
      <c r="P718" s="295"/>
      <c r="Q718" s="295"/>
      <c r="R718" s="295"/>
      <c r="S718" s="295"/>
      <c r="T718" s="295"/>
      <c r="U718" s="295"/>
      <c r="V718" s="295"/>
      <c r="W718" s="295"/>
      <c r="X718" s="295"/>
      <c r="Y718" s="295"/>
      <c r="Z718" s="295"/>
    </row>
    <row r="719" ht="29.25" customHeight="1">
      <c r="A719" s="295"/>
      <c r="B719" s="295"/>
      <c r="C719" s="295"/>
      <c r="D719" s="295"/>
      <c r="E719" s="295"/>
      <c r="F719" s="295"/>
      <c r="G719" s="295"/>
      <c r="H719" s="295"/>
      <c r="I719" s="295"/>
      <c r="J719" s="295"/>
      <c r="K719" s="295"/>
      <c r="L719" s="295"/>
      <c r="M719" s="295"/>
      <c r="N719" s="295"/>
      <c r="O719" s="297"/>
      <c r="P719" s="295"/>
      <c r="Q719" s="295"/>
      <c r="R719" s="295"/>
      <c r="S719" s="295"/>
      <c r="T719" s="295"/>
      <c r="U719" s="295"/>
      <c r="V719" s="295"/>
      <c r="W719" s="295"/>
      <c r="X719" s="295"/>
      <c r="Y719" s="295"/>
      <c r="Z719" s="295"/>
    </row>
    <row r="720" ht="29.25" customHeight="1">
      <c r="A720" s="295"/>
      <c r="B720" s="295"/>
      <c r="C720" s="295"/>
      <c r="D720" s="295"/>
      <c r="E720" s="295"/>
      <c r="F720" s="295"/>
      <c r="G720" s="295"/>
      <c r="H720" s="295"/>
      <c r="I720" s="295"/>
      <c r="J720" s="295"/>
      <c r="K720" s="295"/>
      <c r="L720" s="295"/>
      <c r="M720" s="295"/>
      <c r="N720" s="295"/>
      <c r="O720" s="297"/>
      <c r="P720" s="295"/>
      <c r="Q720" s="295"/>
      <c r="R720" s="295"/>
      <c r="S720" s="295"/>
      <c r="T720" s="295"/>
      <c r="U720" s="295"/>
      <c r="V720" s="295"/>
      <c r="W720" s="295"/>
      <c r="X720" s="295"/>
      <c r="Y720" s="295"/>
      <c r="Z720" s="295"/>
    </row>
    <row r="721" ht="29.25" customHeight="1">
      <c r="A721" s="295"/>
      <c r="B721" s="295"/>
      <c r="C721" s="295"/>
      <c r="D721" s="295"/>
      <c r="E721" s="295"/>
      <c r="F721" s="295"/>
      <c r="G721" s="295"/>
      <c r="H721" s="295"/>
      <c r="I721" s="295"/>
      <c r="J721" s="295"/>
      <c r="K721" s="295"/>
      <c r="L721" s="295"/>
      <c r="M721" s="295"/>
      <c r="N721" s="295"/>
      <c r="O721" s="297"/>
      <c r="P721" s="295"/>
      <c r="Q721" s="295"/>
      <c r="R721" s="295"/>
      <c r="S721" s="295"/>
      <c r="T721" s="295"/>
      <c r="U721" s="295"/>
      <c r="V721" s="295"/>
      <c r="W721" s="295"/>
      <c r="X721" s="295"/>
      <c r="Y721" s="295"/>
      <c r="Z721" s="295"/>
    </row>
    <row r="722" ht="29.25" customHeight="1">
      <c r="A722" s="295"/>
      <c r="B722" s="295"/>
      <c r="C722" s="295"/>
      <c r="D722" s="295"/>
      <c r="E722" s="295"/>
      <c r="F722" s="295"/>
      <c r="G722" s="295"/>
      <c r="H722" s="295"/>
      <c r="I722" s="295"/>
      <c r="J722" s="295"/>
      <c r="K722" s="295"/>
      <c r="L722" s="295"/>
      <c r="M722" s="295"/>
      <c r="N722" s="295"/>
      <c r="O722" s="297"/>
      <c r="P722" s="295"/>
      <c r="Q722" s="295"/>
      <c r="R722" s="295"/>
      <c r="S722" s="295"/>
      <c r="T722" s="295"/>
      <c r="U722" s="295"/>
      <c r="V722" s="295"/>
      <c r="W722" s="295"/>
      <c r="X722" s="295"/>
      <c r="Y722" s="295"/>
      <c r="Z722" s="295"/>
    </row>
    <row r="723" ht="29.25" customHeight="1">
      <c r="A723" s="295"/>
      <c r="B723" s="295"/>
      <c r="C723" s="295"/>
      <c r="D723" s="295"/>
      <c r="E723" s="295"/>
      <c r="F723" s="295"/>
      <c r="G723" s="295"/>
      <c r="H723" s="295"/>
      <c r="I723" s="295"/>
      <c r="J723" s="295"/>
      <c r="K723" s="295"/>
      <c r="L723" s="295"/>
      <c r="M723" s="295"/>
      <c r="N723" s="295"/>
      <c r="O723" s="297"/>
      <c r="P723" s="295"/>
      <c r="Q723" s="295"/>
      <c r="R723" s="295"/>
      <c r="S723" s="295"/>
      <c r="T723" s="295"/>
      <c r="U723" s="295"/>
      <c r="V723" s="295"/>
      <c r="W723" s="295"/>
      <c r="X723" s="295"/>
      <c r="Y723" s="295"/>
      <c r="Z723" s="295"/>
    </row>
    <row r="724" ht="29.25" customHeight="1">
      <c r="A724" s="295"/>
      <c r="B724" s="295"/>
      <c r="C724" s="295"/>
      <c r="D724" s="295"/>
      <c r="E724" s="295"/>
      <c r="F724" s="295"/>
      <c r="G724" s="295"/>
      <c r="H724" s="295"/>
      <c r="I724" s="295"/>
      <c r="J724" s="295"/>
      <c r="K724" s="295"/>
      <c r="L724" s="295"/>
      <c r="M724" s="295"/>
      <c r="N724" s="295"/>
      <c r="O724" s="297"/>
      <c r="P724" s="295"/>
      <c r="Q724" s="295"/>
      <c r="R724" s="295"/>
      <c r="S724" s="295"/>
      <c r="T724" s="295"/>
      <c r="U724" s="295"/>
      <c r="V724" s="295"/>
      <c r="W724" s="295"/>
      <c r="X724" s="295"/>
      <c r="Y724" s="295"/>
      <c r="Z724" s="295"/>
    </row>
    <row r="725" ht="29.25" customHeight="1">
      <c r="A725" s="295"/>
      <c r="B725" s="295"/>
      <c r="C725" s="295"/>
      <c r="D725" s="295"/>
      <c r="E725" s="295"/>
      <c r="F725" s="295"/>
      <c r="G725" s="295"/>
      <c r="H725" s="295"/>
      <c r="I725" s="295"/>
      <c r="J725" s="295"/>
      <c r="K725" s="295"/>
      <c r="L725" s="295"/>
      <c r="M725" s="295"/>
      <c r="N725" s="295"/>
      <c r="O725" s="297"/>
      <c r="P725" s="295"/>
      <c r="Q725" s="295"/>
      <c r="R725" s="295"/>
      <c r="S725" s="295"/>
      <c r="T725" s="295"/>
      <c r="U725" s="295"/>
      <c r="V725" s="295"/>
      <c r="W725" s="295"/>
      <c r="X725" s="295"/>
      <c r="Y725" s="295"/>
      <c r="Z725" s="295"/>
    </row>
    <row r="726" ht="29.25" customHeight="1">
      <c r="A726" s="295"/>
      <c r="B726" s="295"/>
      <c r="C726" s="295"/>
      <c r="D726" s="295"/>
      <c r="E726" s="295"/>
      <c r="F726" s="295"/>
      <c r="G726" s="295"/>
      <c r="H726" s="295"/>
      <c r="I726" s="295"/>
      <c r="J726" s="295"/>
      <c r="K726" s="295"/>
      <c r="L726" s="295"/>
      <c r="M726" s="295"/>
      <c r="N726" s="295"/>
      <c r="O726" s="297"/>
      <c r="P726" s="295"/>
      <c r="Q726" s="295"/>
      <c r="R726" s="295"/>
      <c r="S726" s="295"/>
      <c r="T726" s="295"/>
      <c r="U726" s="295"/>
      <c r="V726" s="295"/>
      <c r="W726" s="295"/>
      <c r="X726" s="295"/>
      <c r="Y726" s="295"/>
      <c r="Z726" s="295"/>
    </row>
    <row r="727" ht="29.25" customHeight="1">
      <c r="A727" s="295"/>
      <c r="B727" s="295"/>
      <c r="C727" s="295"/>
      <c r="D727" s="295"/>
      <c r="E727" s="295"/>
      <c r="F727" s="295"/>
      <c r="G727" s="295"/>
      <c r="H727" s="295"/>
      <c r="I727" s="295"/>
      <c r="J727" s="295"/>
      <c r="K727" s="295"/>
      <c r="L727" s="295"/>
      <c r="M727" s="295"/>
      <c r="N727" s="295"/>
      <c r="O727" s="297"/>
      <c r="P727" s="295"/>
      <c r="Q727" s="295"/>
      <c r="R727" s="295"/>
      <c r="S727" s="295"/>
      <c r="T727" s="295"/>
      <c r="U727" s="295"/>
      <c r="V727" s="295"/>
      <c r="W727" s="295"/>
      <c r="X727" s="295"/>
      <c r="Y727" s="295"/>
      <c r="Z727" s="295"/>
    </row>
    <row r="728" ht="29.25" customHeight="1">
      <c r="A728" s="295"/>
      <c r="B728" s="295"/>
      <c r="C728" s="295"/>
      <c r="D728" s="295"/>
      <c r="E728" s="295"/>
      <c r="F728" s="295"/>
      <c r="G728" s="295"/>
      <c r="H728" s="295"/>
      <c r="I728" s="295"/>
      <c r="J728" s="295"/>
      <c r="K728" s="295"/>
      <c r="L728" s="295"/>
      <c r="M728" s="295"/>
      <c r="N728" s="295"/>
      <c r="O728" s="297"/>
      <c r="P728" s="295"/>
      <c r="Q728" s="295"/>
      <c r="R728" s="295"/>
      <c r="S728" s="295"/>
      <c r="T728" s="295"/>
      <c r="U728" s="295"/>
      <c r="V728" s="295"/>
      <c r="W728" s="295"/>
      <c r="X728" s="295"/>
      <c r="Y728" s="295"/>
      <c r="Z728" s="295"/>
    </row>
    <row r="729" ht="29.25" customHeight="1">
      <c r="A729" s="295"/>
      <c r="B729" s="295"/>
      <c r="C729" s="295"/>
      <c r="D729" s="295"/>
      <c r="E729" s="295"/>
      <c r="F729" s="295"/>
      <c r="G729" s="295"/>
      <c r="H729" s="295"/>
      <c r="I729" s="295"/>
      <c r="J729" s="295"/>
      <c r="K729" s="295"/>
      <c r="L729" s="295"/>
      <c r="M729" s="295"/>
      <c r="N729" s="295"/>
      <c r="O729" s="297"/>
      <c r="P729" s="295"/>
      <c r="Q729" s="295"/>
      <c r="R729" s="295"/>
      <c r="S729" s="295"/>
      <c r="T729" s="295"/>
      <c r="U729" s="295"/>
      <c r="V729" s="295"/>
      <c r="W729" s="295"/>
      <c r="X729" s="295"/>
      <c r="Y729" s="295"/>
      <c r="Z729" s="295"/>
    </row>
    <row r="730" ht="29.25" customHeight="1">
      <c r="A730" s="295"/>
      <c r="B730" s="295"/>
      <c r="C730" s="295"/>
      <c r="D730" s="295"/>
      <c r="E730" s="295"/>
      <c r="F730" s="295"/>
      <c r="G730" s="295"/>
      <c r="H730" s="295"/>
      <c r="I730" s="295"/>
      <c r="J730" s="295"/>
      <c r="K730" s="295"/>
      <c r="L730" s="295"/>
      <c r="M730" s="295"/>
      <c r="N730" s="295"/>
      <c r="O730" s="297"/>
      <c r="P730" s="295"/>
      <c r="Q730" s="295"/>
      <c r="R730" s="295"/>
      <c r="S730" s="295"/>
      <c r="T730" s="295"/>
      <c r="U730" s="295"/>
      <c r="V730" s="295"/>
      <c r="W730" s="295"/>
      <c r="X730" s="295"/>
      <c r="Y730" s="295"/>
      <c r="Z730" s="295"/>
    </row>
    <row r="731" ht="29.25" customHeight="1">
      <c r="A731" s="295"/>
      <c r="B731" s="295"/>
      <c r="C731" s="295"/>
      <c r="D731" s="295"/>
      <c r="E731" s="295"/>
      <c r="F731" s="295"/>
      <c r="G731" s="295"/>
      <c r="H731" s="295"/>
      <c r="I731" s="295"/>
      <c r="J731" s="295"/>
      <c r="K731" s="295"/>
      <c r="L731" s="295"/>
      <c r="M731" s="295"/>
      <c r="N731" s="295"/>
      <c r="O731" s="297"/>
      <c r="P731" s="295"/>
      <c r="Q731" s="295"/>
      <c r="R731" s="295"/>
      <c r="S731" s="295"/>
      <c r="T731" s="295"/>
      <c r="U731" s="295"/>
      <c r="V731" s="295"/>
      <c r="W731" s="295"/>
      <c r="X731" s="295"/>
      <c r="Y731" s="295"/>
      <c r="Z731" s="295"/>
    </row>
    <row r="732" ht="29.25" customHeight="1">
      <c r="A732" s="295"/>
      <c r="B732" s="295"/>
      <c r="C732" s="295"/>
      <c r="D732" s="295"/>
      <c r="E732" s="295"/>
      <c r="F732" s="295"/>
      <c r="G732" s="295"/>
      <c r="H732" s="295"/>
      <c r="I732" s="295"/>
      <c r="J732" s="295"/>
      <c r="K732" s="295"/>
      <c r="L732" s="295"/>
      <c r="M732" s="295"/>
      <c r="N732" s="295"/>
      <c r="O732" s="297"/>
      <c r="P732" s="295"/>
      <c r="Q732" s="295"/>
      <c r="R732" s="295"/>
      <c r="S732" s="295"/>
      <c r="T732" s="295"/>
      <c r="U732" s="295"/>
      <c r="V732" s="295"/>
      <c r="W732" s="295"/>
      <c r="X732" s="295"/>
      <c r="Y732" s="295"/>
      <c r="Z732" s="295"/>
    </row>
    <row r="733" ht="29.25" customHeight="1">
      <c r="A733" s="295"/>
      <c r="B733" s="295"/>
      <c r="C733" s="295"/>
      <c r="D733" s="295"/>
      <c r="E733" s="295"/>
      <c r="F733" s="295"/>
      <c r="G733" s="295"/>
      <c r="H733" s="295"/>
      <c r="I733" s="295"/>
      <c r="J733" s="295"/>
      <c r="K733" s="295"/>
      <c r="L733" s="295"/>
      <c r="M733" s="295"/>
      <c r="N733" s="295"/>
      <c r="O733" s="297"/>
      <c r="P733" s="295"/>
      <c r="Q733" s="295"/>
      <c r="R733" s="295"/>
      <c r="S733" s="295"/>
      <c r="T733" s="295"/>
      <c r="U733" s="295"/>
      <c r="V733" s="295"/>
      <c r="W733" s="295"/>
      <c r="X733" s="295"/>
      <c r="Y733" s="295"/>
      <c r="Z733" s="295"/>
    </row>
    <row r="734" ht="29.25" customHeight="1">
      <c r="A734" s="295"/>
      <c r="B734" s="295"/>
      <c r="C734" s="295"/>
      <c r="D734" s="295"/>
      <c r="E734" s="295"/>
      <c r="F734" s="295"/>
      <c r="G734" s="295"/>
      <c r="H734" s="295"/>
      <c r="I734" s="295"/>
      <c r="J734" s="295"/>
      <c r="K734" s="295"/>
      <c r="L734" s="295"/>
      <c r="M734" s="295"/>
      <c r="N734" s="295"/>
      <c r="O734" s="297"/>
      <c r="P734" s="295"/>
      <c r="Q734" s="295"/>
      <c r="R734" s="295"/>
      <c r="S734" s="295"/>
      <c r="T734" s="295"/>
      <c r="U734" s="295"/>
      <c r="V734" s="295"/>
      <c r="W734" s="295"/>
      <c r="X734" s="295"/>
      <c r="Y734" s="295"/>
      <c r="Z734" s="295"/>
    </row>
    <row r="735" ht="29.25" customHeight="1">
      <c r="A735" s="295"/>
      <c r="B735" s="295"/>
      <c r="C735" s="295"/>
      <c r="D735" s="295"/>
      <c r="E735" s="295"/>
      <c r="F735" s="295"/>
      <c r="G735" s="295"/>
      <c r="H735" s="295"/>
      <c r="I735" s="295"/>
      <c r="J735" s="295"/>
      <c r="K735" s="295"/>
      <c r="L735" s="295"/>
      <c r="M735" s="295"/>
      <c r="N735" s="295"/>
      <c r="O735" s="297"/>
      <c r="P735" s="295"/>
      <c r="Q735" s="295"/>
      <c r="R735" s="295"/>
      <c r="S735" s="295"/>
      <c r="T735" s="295"/>
      <c r="U735" s="295"/>
      <c r="V735" s="295"/>
      <c r="W735" s="295"/>
      <c r="X735" s="295"/>
      <c r="Y735" s="295"/>
      <c r="Z735" s="295"/>
    </row>
    <row r="736" ht="29.25" customHeight="1">
      <c r="A736" s="295"/>
      <c r="B736" s="295"/>
      <c r="C736" s="295"/>
      <c r="D736" s="295"/>
      <c r="E736" s="295"/>
      <c r="F736" s="295"/>
      <c r="G736" s="295"/>
      <c r="H736" s="295"/>
      <c r="I736" s="295"/>
      <c r="J736" s="295"/>
      <c r="K736" s="295"/>
      <c r="L736" s="295"/>
      <c r="M736" s="295"/>
      <c r="N736" s="295"/>
      <c r="O736" s="297"/>
      <c r="P736" s="295"/>
      <c r="Q736" s="295"/>
      <c r="R736" s="295"/>
      <c r="S736" s="295"/>
      <c r="T736" s="295"/>
      <c r="U736" s="295"/>
      <c r="V736" s="295"/>
      <c r="W736" s="295"/>
      <c r="X736" s="295"/>
      <c r="Y736" s="295"/>
      <c r="Z736" s="295"/>
    </row>
    <row r="737" ht="29.25" customHeight="1">
      <c r="A737" s="295"/>
      <c r="B737" s="295"/>
      <c r="C737" s="295"/>
      <c r="D737" s="295"/>
      <c r="E737" s="295"/>
      <c r="F737" s="295"/>
      <c r="G737" s="295"/>
      <c r="H737" s="295"/>
      <c r="I737" s="295"/>
      <c r="J737" s="295"/>
      <c r="K737" s="295"/>
      <c r="L737" s="295"/>
      <c r="M737" s="295"/>
      <c r="N737" s="295"/>
      <c r="O737" s="297"/>
      <c r="P737" s="295"/>
      <c r="Q737" s="295"/>
      <c r="R737" s="295"/>
      <c r="S737" s="295"/>
      <c r="T737" s="295"/>
      <c r="U737" s="295"/>
      <c r="V737" s="295"/>
      <c r="W737" s="295"/>
      <c r="X737" s="295"/>
      <c r="Y737" s="295"/>
      <c r="Z737" s="295"/>
    </row>
    <row r="738" ht="29.25" customHeight="1">
      <c r="A738" s="295"/>
      <c r="B738" s="295"/>
      <c r="C738" s="295"/>
      <c r="D738" s="295"/>
      <c r="E738" s="295"/>
      <c r="F738" s="295"/>
      <c r="G738" s="295"/>
      <c r="H738" s="295"/>
      <c r="I738" s="295"/>
      <c r="J738" s="295"/>
      <c r="K738" s="295"/>
      <c r="L738" s="295"/>
      <c r="M738" s="295"/>
      <c r="N738" s="295"/>
      <c r="O738" s="297"/>
      <c r="P738" s="295"/>
      <c r="Q738" s="295"/>
      <c r="R738" s="295"/>
      <c r="S738" s="295"/>
      <c r="T738" s="295"/>
      <c r="U738" s="295"/>
      <c r="V738" s="295"/>
      <c r="W738" s="295"/>
      <c r="X738" s="295"/>
      <c r="Y738" s="295"/>
      <c r="Z738" s="295"/>
    </row>
    <row r="739" ht="29.25" customHeight="1">
      <c r="A739" s="295"/>
      <c r="B739" s="295"/>
      <c r="C739" s="295"/>
      <c r="D739" s="295"/>
      <c r="E739" s="295"/>
      <c r="F739" s="295"/>
      <c r="G739" s="295"/>
      <c r="H739" s="295"/>
      <c r="I739" s="295"/>
      <c r="J739" s="295"/>
      <c r="K739" s="295"/>
      <c r="L739" s="295"/>
      <c r="M739" s="295"/>
      <c r="N739" s="295"/>
      <c r="O739" s="297"/>
      <c r="P739" s="295"/>
      <c r="Q739" s="295"/>
      <c r="R739" s="295"/>
      <c r="S739" s="295"/>
      <c r="T739" s="295"/>
      <c r="U739" s="295"/>
      <c r="V739" s="295"/>
      <c r="W739" s="295"/>
      <c r="X739" s="295"/>
      <c r="Y739" s="295"/>
      <c r="Z739" s="295"/>
    </row>
    <row r="740" ht="29.25" customHeight="1">
      <c r="A740" s="295"/>
      <c r="B740" s="295"/>
      <c r="C740" s="295"/>
      <c r="D740" s="295"/>
      <c r="E740" s="295"/>
      <c r="F740" s="295"/>
      <c r="G740" s="295"/>
      <c r="H740" s="295"/>
      <c r="I740" s="295"/>
      <c r="J740" s="295"/>
      <c r="K740" s="295"/>
      <c r="L740" s="295"/>
      <c r="M740" s="295"/>
      <c r="N740" s="295"/>
      <c r="O740" s="297"/>
      <c r="P740" s="295"/>
      <c r="Q740" s="295"/>
      <c r="R740" s="295"/>
      <c r="S740" s="295"/>
      <c r="T740" s="295"/>
      <c r="U740" s="295"/>
      <c r="V740" s="295"/>
      <c r="W740" s="295"/>
      <c r="X740" s="295"/>
      <c r="Y740" s="295"/>
      <c r="Z740" s="295"/>
    </row>
    <row r="741" ht="29.25" customHeight="1">
      <c r="A741" s="295"/>
      <c r="B741" s="295"/>
      <c r="C741" s="295"/>
      <c r="D741" s="295"/>
      <c r="E741" s="295"/>
      <c r="F741" s="295"/>
      <c r="G741" s="295"/>
      <c r="H741" s="295"/>
      <c r="I741" s="295"/>
      <c r="J741" s="295"/>
      <c r="K741" s="295"/>
      <c r="L741" s="295"/>
      <c r="M741" s="295"/>
      <c r="N741" s="295"/>
      <c r="O741" s="297"/>
      <c r="P741" s="295"/>
      <c r="Q741" s="295"/>
      <c r="R741" s="295"/>
      <c r="S741" s="295"/>
      <c r="T741" s="295"/>
      <c r="U741" s="295"/>
      <c r="V741" s="295"/>
      <c r="W741" s="295"/>
      <c r="X741" s="295"/>
      <c r="Y741" s="295"/>
      <c r="Z741" s="295"/>
    </row>
    <row r="742" ht="29.25" customHeight="1">
      <c r="A742" s="295"/>
      <c r="B742" s="295"/>
      <c r="C742" s="295"/>
      <c r="D742" s="295"/>
      <c r="E742" s="295"/>
      <c r="F742" s="295"/>
      <c r="G742" s="295"/>
      <c r="H742" s="295"/>
      <c r="I742" s="295"/>
      <c r="J742" s="295"/>
      <c r="K742" s="295"/>
      <c r="L742" s="295"/>
      <c r="M742" s="295"/>
      <c r="N742" s="295"/>
      <c r="O742" s="297"/>
      <c r="P742" s="295"/>
      <c r="Q742" s="295"/>
      <c r="R742" s="295"/>
      <c r="S742" s="295"/>
      <c r="T742" s="295"/>
      <c r="U742" s="295"/>
      <c r="V742" s="295"/>
      <c r="W742" s="295"/>
      <c r="X742" s="295"/>
      <c r="Y742" s="295"/>
      <c r="Z742" s="295"/>
    </row>
    <row r="743" ht="29.25" customHeight="1">
      <c r="A743" s="295"/>
      <c r="B743" s="295"/>
      <c r="C743" s="295"/>
      <c r="D743" s="295"/>
      <c r="E743" s="295"/>
      <c r="F743" s="295"/>
      <c r="G743" s="295"/>
      <c r="H743" s="295"/>
      <c r="I743" s="295"/>
      <c r="J743" s="295"/>
      <c r="K743" s="295"/>
      <c r="L743" s="295"/>
      <c r="M743" s="295"/>
      <c r="N743" s="295"/>
      <c r="O743" s="297"/>
      <c r="P743" s="295"/>
      <c r="Q743" s="295"/>
      <c r="R743" s="295"/>
      <c r="S743" s="295"/>
      <c r="T743" s="295"/>
      <c r="U743" s="295"/>
      <c r="V743" s="295"/>
      <c r="W743" s="295"/>
      <c r="X743" s="295"/>
      <c r="Y743" s="295"/>
      <c r="Z743" s="295"/>
    </row>
    <row r="744" ht="29.25" customHeight="1">
      <c r="A744" s="295"/>
      <c r="B744" s="295"/>
      <c r="C744" s="295"/>
      <c r="D744" s="295"/>
      <c r="E744" s="295"/>
      <c r="F744" s="295"/>
      <c r="G744" s="295"/>
      <c r="H744" s="295"/>
      <c r="I744" s="295"/>
      <c r="J744" s="295"/>
      <c r="K744" s="295"/>
      <c r="L744" s="295"/>
      <c r="M744" s="295"/>
      <c r="N744" s="295"/>
      <c r="O744" s="297"/>
      <c r="P744" s="295"/>
      <c r="Q744" s="295"/>
      <c r="R744" s="295"/>
      <c r="S744" s="295"/>
      <c r="T744" s="295"/>
      <c r="U744" s="295"/>
      <c r="V744" s="295"/>
      <c r="W744" s="295"/>
      <c r="X744" s="295"/>
      <c r="Y744" s="295"/>
      <c r="Z744" s="295"/>
    </row>
    <row r="745" ht="29.25" customHeight="1">
      <c r="A745" s="295"/>
      <c r="B745" s="295"/>
      <c r="C745" s="295"/>
      <c r="D745" s="295"/>
      <c r="E745" s="295"/>
      <c r="F745" s="295"/>
      <c r="G745" s="295"/>
      <c r="H745" s="295"/>
      <c r="I745" s="295"/>
      <c r="J745" s="295"/>
      <c r="K745" s="295"/>
      <c r="L745" s="295"/>
      <c r="M745" s="295"/>
      <c r="N745" s="295"/>
      <c r="O745" s="297"/>
      <c r="P745" s="295"/>
      <c r="Q745" s="295"/>
      <c r="R745" s="295"/>
      <c r="S745" s="295"/>
      <c r="T745" s="295"/>
      <c r="U745" s="295"/>
      <c r="V745" s="295"/>
      <c r="W745" s="295"/>
      <c r="X745" s="295"/>
      <c r="Y745" s="295"/>
      <c r="Z745" s="295"/>
    </row>
    <row r="746" ht="29.25" customHeight="1">
      <c r="A746" s="295"/>
      <c r="B746" s="295"/>
      <c r="C746" s="295"/>
      <c r="D746" s="295"/>
      <c r="E746" s="295"/>
      <c r="F746" s="295"/>
      <c r="G746" s="295"/>
      <c r="H746" s="295"/>
      <c r="I746" s="295"/>
      <c r="J746" s="295"/>
      <c r="K746" s="295"/>
      <c r="L746" s="295"/>
      <c r="M746" s="295"/>
      <c r="N746" s="295"/>
      <c r="O746" s="297"/>
      <c r="P746" s="295"/>
      <c r="Q746" s="295"/>
      <c r="R746" s="295"/>
      <c r="S746" s="295"/>
      <c r="T746" s="295"/>
      <c r="U746" s="295"/>
      <c r="V746" s="295"/>
      <c r="W746" s="295"/>
      <c r="X746" s="295"/>
      <c r="Y746" s="295"/>
      <c r="Z746" s="295"/>
    </row>
    <row r="747" ht="29.25" customHeight="1">
      <c r="A747" s="295"/>
      <c r="B747" s="295"/>
      <c r="C747" s="295"/>
      <c r="D747" s="295"/>
      <c r="E747" s="295"/>
      <c r="F747" s="295"/>
      <c r="G747" s="295"/>
      <c r="H747" s="295"/>
      <c r="I747" s="295"/>
      <c r="J747" s="295"/>
      <c r="K747" s="295"/>
      <c r="L747" s="295"/>
      <c r="M747" s="295"/>
      <c r="N747" s="295"/>
      <c r="O747" s="297"/>
      <c r="P747" s="295"/>
      <c r="Q747" s="295"/>
      <c r="R747" s="295"/>
      <c r="S747" s="295"/>
      <c r="T747" s="295"/>
      <c r="U747" s="295"/>
      <c r="V747" s="295"/>
      <c r="W747" s="295"/>
      <c r="X747" s="295"/>
      <c r="Y747" s="295"/>
      <c r="Z747" s="295"/>
    </row>
    <row r="748" ht="29.25" customHeight="1">
      <c r="A748" s="295"/>
      <c r="B748" s="295"/>
      <c r="C748" s="295"/>
      <c r="D748" s="295"/>
      <c r="E748" s="295"/>
      <c r="F748" s="295"/>
      <c r="G748" s="295"/>
      <c r="H748" s="295"/>
      <c r="I748" s="295"/>
      <c r="J748" s="295"/>
      <c r="K748" s="295"/>
      <c r="L748" s="295"/>
      <c r="M748" s="295"/>
      <c r="N748" s="295"/>
      <c r="O748" s="297"/>
      <c r="P748" s="295"/>
      <c r="Q748" s="295"/>
      <c r="R748" s="295"/>
      <c r="S748" s="295"/>
      <c r="T748" s="295"/>
      <c r="U748" s="295"/>
      <c r="V748" s="295"/>
      <c r="W748" s="295"/>
      <c r="X748" s="295"/>
      <c r="Y748" s="295"/>
      <c r="Z748" s="295"/>
    </row>
    <row r="749" ht="29.25" customHeight="1">
      <c r="A749" s="295"/>
      <c r="B749" s="295"/>
      <c r="C749" s="295"/>
      <c r="D749" s="295"/>
      <c r="E749" s="295"/>
      <c r="F749" s="295"/>
      <c r="G749" s="295"/>
      <c r="H749" s="295"/>
      <c r="I749" s="295"/>
      <c r="J749" s="295"/>
      <c r="K749" s="295"/>
      <c r="L749" s="295"/>
      <c r="M749" s="295"/>
      <c r="N749" s="295"/>
      <c r="O749" s="297"/>
      <c r="P749" s="295"/>
      <c r="Q749" s="295"/>
      <c r="R749" s="295"/>
      <c r="S749" s="295"/>
      <c r="T749" s="295"/>
      <c r="U749" s="295"/>
      <c r="V749" s="295"/>
      <c r="W749" s="295"/>
      <c r="X749" s="295"/>
      <c r="Y749" s="295"/>
      <c r="Z749" s="295"/>
    </row>
    <row r="750" ht="29.25" customHeight="1">
      <c r="A750" s="295"/>
      <c r="B750" s="295"/>
      <c r="C750" s="295"/>
      <c r="D750" s="295"/>
      <c r="E750" s="295"/>
      <c r="F750" s="295"/>
      <c r="G750" s="295"/>
      <c r="H750" s="295"/>
      <c r="I750" s="295"/>
      <c r="J750" s="295"/>
      <c r="K750" s="295"/>
      <c r="L750" s="295"/>
      <c r="M750" s="295"/>
      <c r="N750" s="295"/>
      <c r="O750" s="297"/>
      <c r="P750" s="295"/>
      <c r="Q750" s="295"/>
      <c r="R750" s="295"/>
      <c r="S750" s="295"/>
      <c r="T750" s="295"/>
      <c r="U750" s="295"/>
      <c r="V750" s="295"/>
      <c r="W750" s="295"/>
      <c r="X750" s="295"/>
      <c r="Y750" s="295"/>
      <c r="Z750" s="295"/>
    </row>
    <row r="751" ht="29.25" customHeight="1">
      <c r="A751" s="295"/>
      <c r="B751" s="295"/>
      <c r="C751" s="295"/>
      <c r="D751" s="295"/>
      <c r="E751" s="295"/>
      <c r="F751" s="295"/>
      <c r="G751" s="295"/>
      <c r="H751" s="295"/>
      <c r="I751" s="295"/>
      <c r="J751" s="295"/>
      <c r="K751" s="295"/>
      <c r="L751" s="295"/>
      <c r="M751" s="295"/>
      <c r="N751" s="295"/>
      <c r="O751" s="297"/>
      <c r="P751" s="295"/>
      <c r="Q751" s="295"/>
      <c r="R751" s="295"/>
      <c r="S751" s="295"/>
      <c r="T751" s="295"/>
      <c r="U751" s="295"/>
      <c r="V751" s="295"/>
      <c r="W751" s="295"/>
      <c r="X751" s="295"/>
      <c r="Y751" s="295"/>
      <c r="Z751" s="295"/>
    </row>
    <row r="752" ht="29.25" customHeight="1">
      <c r="A752" s="295"/>
      <c r="B752" s="295"/>
      <c r="C752" s="295"/>
      <c r="D752" s="295"/>
      <c r="E752" s="295"/>
      <c r="F752" s="295"/>
      <c r="G752" s="295"/>
      <c r="H752" s="295"/>
      <c r="I752" s="295"/>
      <c r="J752" s="295"/>
      <c r="K752" s="295"/>
      <c r="L752" s="295"/>
      <c r="M752" s="295"/>
      <c r="N752" s="295"/>
      <c r="O752" s="297"/>
      <c r="P752" s="295"/>
      <c r="Q752" s="295"/>
      <c r="R752" s="295"/>
      <c r="S752" s="295"/>
      <c r="T752" s="295"/>
      <c r="U752" s="295"/>
      <c r="V752" s="295"/>
      <c r="W752" s="295"/>
      <c r="X752" s="295"/>
      <c r="Y752" s="295"/>
      <c r="Z752" s="295"/>
    </row>
    <row r="753" ht="29.25" customHeight="1">
      <c r="A753" s="295"/>
      <c r="B753" s="295"/>
      <c r="C753" s="295"/>
      <c r="D753" s="295"/>
      <c r="E753" s="295"/>
      <c r="F753" s="295"/>
      <c r="G753" s="295"/>
      <c r="H753" s="295"/>
      <c r="I753" s="295"/>
      <c r="J753" s="295"/>
      <c r="K753" s="295"/>
      <c r="L753" s="295"/>
      <c r="M753" s="295"/>
      <c r="N753" s="295"/>
      <c r="O753" s="297"/>
      <c r="P753" s="295"/>
      <c r="Q753" s="295"/>
      <c r="R753" s="295"/>
      <c r="S753" s="295"/>
      <c r="T753" s="295"/>
      <c r="U753" s="295"/>
      <c r="V753" s="295"/>
      <c r="W753" s="295"/>
      <c r="X753" s="295"/>
      <c r="Y753" s="295"/>
      <c r="Z753" s="295"/>
    </row>
    <row r="754" ht="29.25" customHeight="1">
      <c r="A754" s="295"/>
      <c r="B754" s="295"/>
      <c r="C754" s="295"/>
      <c r="D754" s="295"/>
      <c r="E754" s="295"/>
      <c r="F754" s="295"/>
      <c r="G754" s="295"/>
      <c r="H754" s="295"/>
      <c r="I754" s="295"/>
      <c r="J754" s="295"/>
      <c r="K754" s="295"/>
      <c r="L754" s="295"/>
      <c r="M754" s="295"/>
      <c r="N754" s="295"/>
      <c r="O754" s="297"/>
      <c r="P754" s="295"/>
      <c r="Q754" s="295"/>
      <c r="R754" s="295"/>
      <c r="S754" s="295"/>
      <c r="T754" s="295"/>
      <c r="U754" s="295"/>
      <c r="V754" s="295"/>
      <c r="W754" s="295"/>
      <c r="X754" s="295"/>
      <c r="Y754" s="295"/>
      <c r="Z754" s="295"/>
    </row>
    <row r="755" ht="29.25" customHeight="1">
      <c r="A755" s="295"/>
      <c r="B755" s="295"/>
      <c r="C755" s="295"/>
      <c r="D755" s="295"/>
      <c r="E755" s="295"/>
      <c r="F755" s="295"/>
      <c r="G755" s="295"/>
      <c r="H755" s="295"/>
      <c r="I755" s="295"/>
      <c r="J755" s="295"/>
      <c r="K755" s="295"/>
      <c r="L755" s="295"/>
      <c r="M755" s="295"/>
      <c r="N755" s="295"/>
      <c r="O755" s="297"/>
      <c r="P755" s="295"/>
      <c r="Q755" s="295"/>
      <c r="R755" s="295"/>
      <c r="S755" s="295"/>
      <c r="T755" s="295"/>
      <c r="U755" s="295"/>
      <c r="V755" s="295"/>
      <c r="W755" s="295"/>
      <c r="X755" s="295"/>
      <c r="Y755" s="295"/>
      <c r="Z755" s="295"/>
    </row>
    <row r="756" ht="29.25" customHeight="1">
      <c r="A756" s="295"/>
      <c r="B756" s="295"/>
      <c r="C756" s="295"/>
      <c r="D756" s="295"/>
      <c r="E756" s="295"/>
      <c r="F756" s="295"/>
      <c r="G756" s="295"/>
      <c r="H756" s="295"/>
      <c r="I756" s="295"/>
      <c r="J756" s="295"/>
      <c r="K756" s="295"/>
      <c r="L756" s="295"/>
      <c r="M756" s="295"/>
      <c r="N756" s="295"/>
      <c r="O756" s="297"/>
      <c r="P756" s="295"/>
      <c r="Q756" s="295"/>
      <c r="R756" s="295"/>
      <c r="S756" s="295"/>
      <c r="T756" s="295"/>
      <c r="U756" s="295"/>
      <c r="V756" s="295"/>
      <c r="W756" s="295"/>
      <c r="X756" s="295"/>
      <c r="Y756" s="295"/>
      <c r="Z756" s="295"/>
    </row>
    <row r="757" ht="29.25" customHeight="1">
      <c r="A757" s="295"/>
      <c r="B757" s="295"/>
      <c r="C757" s="295"/>
      <c r="D757" s="295"/>
      <c r="E757" s="295"/>
      <c r="F757" s="295"/>
      <c r="G757" s="295"/>
      <c r="H757" s="295"/>
      <c r="I757" s="295"/>
      <c r="J757" s="295"/>
      <c r="K757" s="295"/>
      <c r="L757" s="295"/>
      <c r="M757" s="295"/>
      <c r="N757" s="295"/>
      <c r="O757" s="297"/>
      <c r="P757" s="295"/>
      <c r="Q757" s="295"/>
      <c r="R757" s="295"/>
      <c r="S757" s="295"/>
      <c r="T757" s="295"/>
      <c r="U757" s="295"/>
      <c r="V757" s="295"/>
      <c r="W757" s="295"/>
      <c r="X757" s="295"/>
      <c r="Y757" s="295"/>
      <c r="Z757" s="295"/>
    </row>
    <row r="758" ht="29.25" customHeight="1">
      <c r="A758" s="295"/>
      <c r="B758" s="295"/>
      <c r="C758" s="295"/>
      <c r="D758" s="295"/>
      <c r="E758" s="295"/>
      <c r="F758" s="295"/>
      <c r="G758" s="295"/>
      <c r="H758" s="295"/>
      <c r="I758" s="295"/>
      <c r="J758" s="295"/>
      <c r="K758" s="295"/>
      <c r="L758" s="295"/>
      <c r="M758" s="295"/>
      <c r="N758" s="295"/>
      <c r="O758" s="297"/>
      <c r="P758" s="295"/>
      <c r="Q758" s="295"/>
      <c r="R758" s="295"/>
      <c r="S758" s="295"/>
      <c r="T758" s="295"/>
      <c r="U758" s="295"/>
      <c r="V758" s="295"/>
      <c r="W758" s="295"/>
      <c r="X758" s="295"/>
      <c r="Y758" s="295"/>
      <c r="Z758" s="295"/>
    </row>
    <row r="759" ht="29.25" customHeight="1">
      <c r="A759" s="295"/>
      <c r="B759" s="295"/>
      <c r="C759" s="295"/>
      <c r="D759" s="295"/>
      <c r="E759" s="295"/>
      <c r="F759" s="295"/>
      <c r="G759" s="295"/>
      <c r="H759" s="295"/>
      <c r="I759" s="295"/>
      <c r="J759" s="295"/>
      <c r="K759" s="295"/>
      <c r="L759" s="295"/>
      <c r="M759" s="295"/>
      <c r="N759" s="295"/>
      <c r="O759" s="297"/>
      <c r="P759" s="295"/>
      <c r="Q759" s="295"/>
      <c r="R759" s="295"/>
      <c r="S759" s="295"/>
      <c r="T759" s="295"/>
      <c r="U759" s="295"/>
      <c r="V759" s="295"/>
      <c r="W759" s="295"/>
      <c r="X759" s="295"/>
      <c r="Y759" s="295"/>
      <c r="Z759" s="295"/>
    </row>
    <row r="760" ht="29.25" customHeight="1">
      <c r="A760" s="295"/>
      <c r="B760" s="295"/>
      <c r="C760" s="295"/>
      <c r="D760" s="295"/>
      <c r="E760" s="295"/>
      <c r="F760" s="295"/>
      <c r="G760" s="295"/>
      <c r="H760" s="295"/>
      <c r="I760" s="295"/>
      <c r="J760" s="295"/>
      <c r="K760" s="295"/>
      <c r="L760" s="295"/>
      <c r="M760" s="295"/>
      <c r="N760" s="295"/>
      <c r="O760" s="297"/>
      <c r="P760" s="295"/>
      <c r="Q760" s="295"/>
      <c r="R760" s="295"/>
      <c r="S760" s="295"/>
      <c r="T760" s="295"/>
      <c r="U760" s="295"/>
      <c r="V760" s="295"/>
      <c r="W760" s="295"/>
      <c r="X760" s="295"/>
      <c r="Y760" s="295"/>
      <c r="Z760" s="295"/>
    </row>
    <row r="761" ht="29.25" customHeight="1">
      <c r="A761" s="295"/>
      <c r="B761" s="295"/>
      <c r="C761" s="295"/>
      <c r="D761" s="295"/>
      <c r="E761" s="295"/>
      <c r="F761" s="295"/>
      <c r="G761" s="295"/>
      <c r="H761" s="295"/>
      <c r="I761" s="295"/>
      <c r="J761" s="295"/>
      <c r="K761" s="295"/>
      <c r="L761" s="295"/>
      <c r="M761" s="295"/>
      <c r="N761" s="295"/>
      <c r="O761" s="297"/>
      <c r="P761" s="295"/>
      <c r="Q761" s="295"/>
      <c r="R761" s="295"/>
      <c r="S761" s="295"/>
      <c r="T761" s="295"/>
      <c r="U761" s="295"/>
      <c r="V761" s="295"/>
      <c r="W761" s="295"/>
      <c r="X761" s="295"/>
      <c r="Y761" s="295"/>
      <c r="Z761" s="295"/>
    </row>
    <row r="762" ht="29.25" customHeight="1">
      <c r="A762" s="295"/>
      <c r="B762" s="295"/>
      <c r="C762" s="295"/>
      <c r="D762" s="295"/>
      <c r="E762" s="295"/>
      <c r="F762" s="295"/>
      <c r="G762" s="295"/>
      <c r="H762" s="295"/>
      <c r="I762" s="295"/>
      <c r="J762" s="295"/>
      <c r="K762" s="295"/>
      <c r="L762" s="295"/>
      <c r="M762" s="295"/>
      <c r="N762" s="295"/>
      <c r="O762" s="297"/>
      <c r="P762" s="295"/>
      <c r="Q762" s="295"/>
      <c r="R762" s="295"/>
      <c r="S762" s="295"/>
      <c r="T762" s="295"/>
      <c r="U762" s="295"/>
      <c r="V762" s="295"/>
      <c r="W762" s="295"/>
      <c r="X762" s="295"/>
      <c r="Y762" s="295"/>
      <c r="Z762" s="295"/>
    </row>
    <row r="763" ht="29.25" customHeight="1">
      <c r="A763" s="295"/>
      <c r="B763" s="295"/>
      <c r="C763" s="295"/>
      <c r="D763" s="295"/>
      <c r="E763" s="295"/>
      <c r="F763" s="295"/>
      <c r="G763" s="295"/>
      <c r="H763" s="295"/>
      <c r="I763" s="295"/>
      <c r="J763" s="295"/>
      <c r="K763" s="295"/>
      <c r="L763" s="295"/>
      <c r="M763" s="295"/>
      <c r="N763" s="295"/>
      <c r="O763" s="297"/>
      <c r="P763" s="295"/>
      <c r="Q763" s="295"/>
      <c r="R763" s="295"/>
      <c r="S763" s="295"/>
      <c r="T763" s="295"/>
      <c r="U763" s="295"/>
      <c r="V763" s="295"/>
      <c r="W763" s="295"/>
      <c r="X763" s="295"/>
      <c r="Y763" s="295"/>
      <c r="Z763" s="295"/>
    </row>
    <row r="764" ht="29.25" customHeight="1">
      <c r="A764" s="295"/>
      <c r="B764" s="295"/>
      <c r="C764" s="295"/>
      <c r="D764" s="295"/>
      <c r="E764" s="295"/>
      <c r="F764" s="295"/>
      <c r="G764" s="295"/>
      <c r="H764" s="295"/>
      <c r="I764" s="295"/>
      <c r="J764" s="295"/>
      <c r="K764" s="295"/>
      <c r="L764" s="295"/>
      <c r="M764" s="295"/>
      <c r="N764" s="295"/>
      <c r="O764" s="297"/>
      <c r="P764" s="295"/>
      <c r="Q764" s="295"/>
      <c r="R764" s="295"/>
      <c r="S764" s="295"/>
      <c r="T764" s="295"/>
      <c r="U764" s="295"/>
      <c r="V764" s="295"/>
      <c r="W764" s="295"/>
      <c r="X764" s="295"/>
      <c r="Y764" s="295"/>
      <c r="Z764" s="295"/>
    </row>
    <row r="765" ht="29.25" customHeight="1">
      <c r="A765" s="295"/>
      <c r="B765" s="295"/>
      <c r="C765" s="295"/>
      <c r="D765" s="295"/>
      <c r="E765" s="295"/>
      <c r="F765" s="295"/>
      <c r="G765" s="295"/>
      <c r="H765" s="295"/>
      <c r="I765" s="295"/>
      <c r="J765" s="295"/>
      <c r="K765" s="295"/>
      <c r="L765" s="295"/>
      <c r="M765" s="295"/>
      <c r="N765" s="295"/>
      <c r="O765" s="297"/>
      <c r="P765" s="295"/>
      <c r="Q765" s="295"/>
      <c r="R765" s="295"/>
      <c r="S765" s="295"/>
      <c r="T765" s="295"/>
      <c r="U765" s="295"/>
      <c r="V765" s="295"/>
      <c r="W765" s="295"/>
      <c r="X765" s="295"/>
      <c r="Y765" s="295"/>
      <c r="Z765" s="295"/>
    </row>
    <row r="766" ht="29.25" customHeight="1">
      <c r="A766" s="295"/>
      <c r="B766" s="295"/>
      <c r="C766" s="295"/>
      <c r="D766" s="295"/>
      <c r="E766" s="295"/>
      <c r="F766" s="295"/>
      <c r="G766" s="295"/>
      <c r="H766" s="295"/>
      <c r="I766" s="295"/>
      <c r="J766" s="295"/>
      <c r="K766" s="295"/>
      <c r="L766" s="295"/>
      <c r="M766" s="295"/>
      <c r="N766" s="295"/>
      <c r="O766" s="297"/>
      <c r="P766" s="295"/>
      <c r="Q766" s="295"/>
      <c r="R766" s="295"/>
      <c r="S766" s="295"/>
      <c r="T766" s="295"/>
      <c r="U766" s="295"/>
      <c r="V766" s="295"/>
      <c r="W766" s="295"/>
      <c r="X766" s="295"/>
      <c r="Y766" s="295"/>
      <c r="Z766" s="295"/>
    </row>
    <row r="767" ht="29.25" customHeight="1">
      <c r="A767" s="295"/>
      <c r="B767" s="295"/>
      <c r="C767" s="295"/>
      <c r="D767" s="295"/>
      <c r="E767" s="295"/>
      <c r="F767" s="295"/>
      <c r="G767" s="295"/>
      <c r="H767" s="295"/>
      <c r="I767" s="295"/>
      <c r="J767" s="295"/>
      <c r="K767" s="295"/>
      <c r="L767" s="295"/>
      <c r="M767" s="295"/>
      <c r="N767" s="295"/>
      <c r="O767" s="297"/>
      <c r="P767" s="295"/>
      <c r="Q767" s="295"/>
      <c r="R767" s="295"/>
      <c r="S767" s="295"/>
      <c r="T767" s="295"/>
      <c r="U767" s="295"/>
      <c r="V767" s="295"/>
      <c r="W767" s="295"/>
      <c r="X767" s="295"/>
      <c r="Y767" s="295"/>
      <c r="Z767" s="295"/>
    </row>
    <row r="768" ht="29.25" customHeight="1">
      <c r="A768" s="295"/>
      <c r="B768" s="295"/>
      <c r="C768" s="295"/>
      <c r="D768" s="295"/>
      <c r="E768" s="295"/>
      <c r="F768" s="295"/>
      <c r="G768" s="295"/>
      <c r="H768" s="295"/>
      <c r="I768" s="295"/>
      <c r="J768" s="295"/>
      <c r="K768" s="295"/>
      <c r="L768" s="295"/>
      <c r="M768" s="295"/>
      <c r="N768" s="295"/>
      <c r="O768" s="297"/>
      <c r="P768" s="295"/>
      <c r="Q768" s="295"/>
      <c r="R768" s="295"/>
      <c r="S768" s="295"/>
      <c r="T768" s="295"/>
      <c r="U768" s="295"/>
      <c r="V768" s="295"/>
      <c r="W768" s="295"/>
      <c r="X768" s="295"/>
      <c r="Y768" s="295"/>
      <c r="Z768" s="295"/>
    </row>
    <row r="769" ht="29.25" customHeight="1">
      <c r="A769" s="295"/>
      <c r="B769" s="295"/>
      <c r="C769" s="295"/>
      <c r="D769" s="295"/>
      <c r="E769" s="295"/>
      <c r="F769" s="295"/>
      <c r="G769" s="295"/>
      <c r="H769" s="295"/>
      <c r="I769" s="295"/>
      <c r="J769" s="295"/>
      <c r="K769" s="295"/>
      <c r="L769" s="295"/>
      <c r="M769" s="295"/>
      <c r="N769" s="295"/>
      <c r="O769" s="297"/>
      <c r="P769" s="295"/>
      <c r="Q769" s="295"/>
      <c r="R769" s="295"/>
      <c r="S769" s="295"/>
      <c r="T769" s="295"/>
      <c r="U769" s="295"/>
      <c r="V769" s="295"/>
      <c r="W769" s="295"/>
      <c r="X769" s="295"/>
      <c r="Y769" s="295"/>
      <c r="Z769" s="295"/>
    </row>
    <row r="770" ht="29.25" customHeight="1">
      <c r="A770" s="295"/>
      <c r="B770" s="295"/>
      <c r="C770" s="295"/>
      <c r="D770" s="295"/>
      <c r="E770" s="295"/>
      <c r="F770" s="295"/>
      <c r="G770" s="295"/>
      <c r="H770" s="295"/>
      <c r="I770" s="295"/>
      <c r="J770" s="295"/>
      <c r="K770" s="295"/>
      <c r="L770" s="295"/>
      <c r="M770" s="295"/>
      <c r="N770" s="295"/>
      <c r="O770" s="297"/>
      <c r="P770" s="295"/>
      <c r="Q770" s="295"/>
      <c r="R770" s="295"/>
      <c r="S770" s="295"/>
      <c r="T770" s="295"/>
      <c r="U770" s="295"/>
      <c r="V770" s="295"/>
      <c r="W770" s="295"/>
      <c r="X770" s="295"/>
      <c r="Y770" s="295"/>
      <c r="Z770" s="295"/>
    </row>
    <row r="771" ht="29.25" customHeight="1">
      <c r="A771" s="295"/>
      <c r="B771" s="295"/>
      <c r="C771" s="295"/>
      <c r="D771" s="295"/>
      <c r="E771" s="295"/>
      <c r="F771" s="295"/>
      <c r="G771" s="295"/>
      <c r="H771" s="295"/>
      <c r="I771" s="295"/>
      <c r="J771" s="295"/>
      <c r="K771" s="295"/>
      <c r="L771" s="295"/>
      <c r="M771" s="295"/>
      <c r="N771" s="295"/>
      <c r="O771" s="297"/>
      <c r="P771" s="295"/>
      <c r="Q771" s="295"/>
      <c r="R771" s="295"/>
      <c r="S771" s="295"/>
      <c r="T771" s="295"/>
      <c r="U771" s="295"/>
      <c r="V771" s="295"/>
      <c r="W771" s="295"/>
      <c r="X771" s="295"/>
      <c r="Y771" s="295"/>
      <c r="Z771" s="295"/>
    </row>
    <row r="772" ht="29.25" customHeight="1">
      <c r="A772" s="295"/>
      <c r="B772" s="295"/>
      <c r="C772" s="295"/>
      <c r="D772" s="295"/>
      <c r="E772" s="295"/>
      <c r="F772" s="295"/>
      <c r="G772" s="295"/>
      <c r="H772" s="295"/>
      <c r="I772" s="295"/>
      <c r="J772" s="295"/>
      <c r="K772" s="295"/>
      <c r="L772" s="295"/>
      <c r="M772" s="295"/>
      <c r="N772" s="295"/>
      <c r="O772" s="297"/>
      <c r="P772" s="295"/>
      <c r="Q772" s="295"/>
      <c r="R772" s="295"/>
      <c r="S772" s="295"/>
      <c r="T772" s="295"/>
      <c r="U772" s="295"/>
      <c r="V772" s="295"/>
      <c r="W772" s="295"/>
      <c r="X772" s="295"/>
      <c r="Y772" s="295"/>
      <c r="Z772" s="295"/>
    </row>
    <row r="773" ht="29.25" customHeight="1">
      <c r="A773" s="295"/>
      <c r="B773" s="295"/>
      <c r="C773" s="295"/>
      <c r="D773" s="295"/>
      <c r="E773" s="295"/>
      <c r="F773" s="295"/>
      <c r="G773" s="295"/>
      <c r="H773" s="295"/>
      <c r="I773" s="295"/>
      <c r="J773" s="295"/>
      <c r="K773" s="295"/>
      <c r="L773" s="295"/>
      <c r="M773" s="295"/>
      <c r="N773" s="295"/>
      <c r="O773" s="297"/>
      <c r="P773" s="295"/>
      <c r="Q773" s="295"/>
      <c r="R773" s="295"/>
      <c r="S773" s="295"/>
      <c r="T773" s="295"/>
      <c r="U773" s="295"/>
      <c r="V773" s="295"/>
      <c r="W773" s="295"/>
      <c r="X773" s="295"/>
      <c r="Y773" s="295"/>
      <c r="Z773" s="295"/>
    </row>
    <row r="774" ht="29.25" customHeight="1">
      <c r="A774" s="295"/>
      <c r="B774" s="295"/>
      <c r="C774" s="295"/>
      <c r="D774" s="295"/>
      <c r="E774" s="295"/>
      <c r="F774" s="295"/>
      <c r="G774" s="295"/>
      <c r="H774" s="295"/>
      <c r="I774" s="295"/>
      <c r="J774" s="295"/>
      <c r="K774" s="295"/>
      <c r="L774" s="295"/>
      <c r="M774" s="295"/>
      <c r="N774" s="295"/>
      <c r="O774" s="297"/>
      <c r="P774" s="295"/>
      <c r="Q774" s="295"/>
      <c r="R774" s="295"/>
      <c r="S774" s="295"/>
      <c r="T774" s="295"/>
      <c r="U774" s="295"/>
      <c r="V774" s="295"/>
      <c r="W774" s="295"/>
      <c r="X774" s="295"/>
      <c r="Y774" s="295"/>
      <c r="Z774" s="295"/>
    </row>
    <row r="775" ht="29.25" customHeight="1">
      <c r="A775" s="295"/>
      <c r="B775" s="295"/>
      <c r="C775" s="295"/>
      <c r="D775" s="295"/>
      <c r="E775" s="295"/>
      <c r="F775" s="295"/>
      <c r="G775" s="295"/>
      <c r="H775" s="295"/>
      <c r="I775" s="295"/>
      <c r="J775" s="295"/>
      <c r="K775" s="295"/>
      <c r="L775" s="295"/>
      <c r="M775" s="295"/>
      <c r="N775" s="295"/>
      <c r="O775" s="297"/>
      <c r="P775" s="295"/>
      <c r="Q775" s="295"/>
      <c r="R775" s="295"/>
      <c r="S775" s="295"/>
      <c r="T775" s="295"/>
      <c r="U775" s="295"/>
      <c r="V775" s="295"/>
      <c r="W775" s="295"/>
      <c r="X775" s="295"/>
      <c r="Y775" s="295"/>
      <c r="Z775" s="295"/>
    </row>
    <row r="776" ht="29.25" customHeight="1">
      <c r="A776" s="295"/>
      <c r="B776" s="295"/>
      <c r="C776" s="295"/>
      <c r="D776" s="295"/>
      <c r="E776" s="295"/>
      <c r="F776" s="295"/>
      <c r="G776" s="295"/>
      <c r="H776" s="295"/>
      <c r="I776" s="295"/>
      <c r="J776" s="295"/>
      <c r="K776" s="295"/>
      <c r="L776" s="295"/>
      <c r="M776" s="295"/>
      <c r="N776" s="295"/>
      <c r="O776" s="297"/>
      <c r="P776" s="295"/>
      <c r="Q776" s="295"/>
      <c r="R776" s="295"/>
      <c r="S776" s="295"/>
      <c r="T776" s="295"/>
      <c r="U776" s="295"/>
      <c r="V776" s="295"/>
      <c r="W776" s="295"/>
      <c r="X776" s="295"/>
      <c r="Y776" s="295"/>
      <c r="Z776" s="295"/>
    </row>
    <row r="777" ht="29.25" customHeight="1">
      <c r="A777" s="295"/>
      <c r="B777" s="295"/>
      <c r="C777" s="295"/>
      <c r="D777" s="295"/>
      <c r="E777" s="295"/>
      <c r="F777" s="295"/>
      <c r="G777" s="295"/>
      <c r="H777" s="295"/>
      <c r="I777" s="295"/>
      <c r="J777" s="295"/>
      <c r="K777" s="295"/>
      <c r="L777" s="295"/>
      <c r="M777" s="295"/>
      <c r="N777" s="295"/>
      <c r="O777" s="297"/>
      <c r="P777" s="295"/>
      <c r="Q777" s="295"/>
      <c r="R777" s="295"/>
      <c r="S777" s="295"/>
      <c r="T777" s="295"/>
      <c r="U777" s="295"/>
      <c r="V777" s="295"/>
      <c r="W777" s="295"/>
      <c r="X777" s="295"/>
      <c r="Y777" s="295"/>
      <c r="Z777" s="295"/>
    </row>
    <row r="778" ht="29.25" customHeight="1">
      <c r="A778" s="295"/>
      <c r="B778" s="295"/>
      <c r="C778" s="295"/>
      <c r="D778" s="295"/>
      <c r="E778" s="295"/>
      <c r="F778" s="295"/>
      <c r="G778" s="295"/>
      <c r="H778" s="295"/>
      <c r="I778" s="295"/>
      <c r="J778" s="295"/>
      <c r="K778" s="295"/>
      <c r="L778" s="295"/>
      <c r="M778" s="295"/>
      <c r="N778" s="295"/>
      <c r="O778" s="297"/>
      <c r="P778" s="295"/>
      <c r="Q778" s="295"/>
      <c r="R778" s="295"/>
      <c r="S778" s="295"/>
      <c r="T778" s="295"/>
      <c r="U778" s="295"/>
      <c r="V778" s="295"/>
      <c r="W778" s="295"/>
      <c r="X778" s="295"/>
      <c r="Y778" s="295"/>
      <c r="Z778" s="295"/>
    </row>
    <row r="779" ht="29.25" customHeight="1">
      <c r="A779" s="295"/>
      <c r="B779" s="295"/>
      <c r="C779" s="295"/>
      <c r="D779" s="295"/>
      <c r="E779" s="295"/>
      <c r="F779" s="295"/>
      <c r="G779" s="295"/>
      <c r="H779" s="295"/>
      <c r="I779" s="295"/>
      <c r="J779" s="295"/>
      <c r="K779" s="295"/>
      <c r="L779" s="295"/>
      <c r="M779" s="295"/>
      <c r="N779" s="295"/>
      <c r="O779" s="297"/>
      <c r="P779" s="295"/>
      <c r="Q779" s="295"/>
      <c r="R779" s="295"/>
      <c r="S779" s="295"/>
      <c r="T779" s="295"/>
      <c r="U779" s="295"/>
      <c r="V779" s="295"/>
      <c r="W779" s="295"/>
      <c r="X779" s="295"/>
      <c r="Y779" s="295"/>
      <c r="Z779" s="295"/>
    </row>
    <row r="780" ht="29.25" customHeight="1">
      <c r="A780" s="295"/>
      <c r="B780" s="295"/>
      <c r="C780" s="295"/>
      <c r="D780" s="295"/>
      <c r="E780" s="295"/>
      <c r="F780" s="295"/>
      <c r="G780" s="295"/>
      <c r="H780" s="295"/>
      <c r="I780" s="295"/>
      <c r="J780" s="295"/>
      <c r="K780" s="295"/>
      <c r="L780" s="295"/>
      <c r="M780" s="295"/>
      <c r="N780" s="295"/>
      <c r="O780" s="297"/>
      <c r="P780" s="295"/>
      <c r="Q780" s="295"/>
      <c r="R780" s="295"/>
      <c r="S780" s="295"/>
      <c r="T780" s="295"/>
      <c r="U780" s="295"/>
      <c r="V780" s="295"/>
      <c r="W780" s="295"/>
      <c r="X780" s="295"/>
      <c r="Y780" s="295"/>
      <c r="Z780" s="295"/>
    </row>
    <row r="781" ht="29.25" customHeight="1">
      <c r="A781" s="295"/>
      <c r="B781" s="295"/>
      <c r="C781" s="295"/>
      <c r="D781" s="295"/>
      <c r="E781" s="295"/>
      <c r="F781" s="295"/>
      <c r="G781" s="295"/>
      <c r="H781" s="295"/>
      <c r="I781" s="295"/>
      <c r="J781" s="295"/>
      <c r="K781" s="295"/>
      <c r="L781" s="295"/>
      <c r="M781" s="295"/>
      <c r="N781" s="295"/>
      <c r="O781" s="297"/>
      <c r="P781" s="295"/>
      <c r="Q781" s="295"/>
      <c r="R781" s="295"/>
      <c r="S781" s="295"/>
      <c r="T781" s="295"/>
      <c r="U781" s="295"/>
      <c r="V781" s="295"/>
      <c r="W781" s="295"/>
      <c r="X781" s="295"/>
      <c r="Y781" s="295"/>
      <c r="Z781" s="295"/>
    </row>
    <row r="782" ht="29.25" customHeight="1">
      <c r="A782" s="295"/>
      <c r="B782" s="295"/>
      <c r="C782" s="295"/>
      <c r="D782" s="295"/>
      <c r="E782" s="295"/>
      <c r="F782" s="295"/>
      <c r="G782" s="295"/>
      <c r="H782" s="295"/>
      <c r="I782" s="295"/>
      <c r="J782" s="295"/>
      <c r="K782" s="295"/>
      <c r="L782" s="295"/>
      <c r="M782" s="295"/>
      <c r="N782" s="295"/>
      <c r="O782" s="297"/>
      <c r="P782" s="295"/>
      <c r="Q782" s="295"/>
      <c r="R782" s="295"/>
      <c r="S782" s="295"/>
      <c r="T782" s="295"/>
      <c r="U782" s="295"/>
      <c r="V782" s="295"/>
      <c r="W782" s="295"/>
      <c r="X782" s="295"/>
      <c r="Y782" s="295"/>
      <c r="Z782" s="295"/>
    </row>
    <row r="783" ht="29.25" customHeight="1">
      <c r="A783" s="295"/>
      <c r="B783" s="295"/>
      <c r="C783" s="295"/>
      <c r="D783" s="295"/>
      <c r="E783" s="295"/>
      <c r="F783" s="295"/>
      <c r="G783" s="295"/>
      <c r="H783" s="295"/>
      <c r="I783" s="295"/>
      <c r="J783" s="295"/>
      <c r="K783" s="295"/>
      <c r="L783" s="295"/>
      <c r="M783" s="295"/>
      <c r="N783" s="295"/>
      <c r="O783" s="297"/>
      <c r="P783" s="295"/>
      <c r="Q783" s="295"/>
      <c r="R783" s="295"/>
      <c r="S783" s="295"/>
      <c r="T783" s="295"/>
      <c r="U783" s="295"/>
      <c r="V783" s="295"/>
      <c r="W783" s="295"/>
      <c r="X783" s="295"/>
      <c r="Y783" s="295"/>
      <c r="Z783" s="295"/>
    </row>
    <row r="784" ht="29.25" customHeight="1">
      <c r="A784" s="295"/>
      <c r="B784" s="295"/>
      <c r="C784" s="295"/>
      <c r="D784" s="295"/>
      <c r="E784" s="295"/>
      <c r="F784" s="295"/>
      <c r="G784" s="295"/>
      <c r="H784" s="295"/>
      <c r="I784" s="295"/>
      <c r="J784" s="295"/>
      <c r="K784" s="295"/>
      <c r="L784" s="295"/>
      <c r="M784" s="295"/>
      <c r="N784" s="295"/>
      <c r="O784" s="297"/>
      <c r="P784" s="295"/>
      <c r="Q784" s="295"/>
      <c r="R784" s="295"/>
      <c r="S784" s="295"/>
      <c r="T784" s="295"/>
      <c r="U784" s="295"/>
      <c r="V784" s="295"/>
      <c r="W784" s="295"/>
      <c r="X784" s="295"/>
      <c r="Y784" s="295"/>
      <c r="Z784" s="295"/>
    </row>
    <row r="785" ht="29.25" customHeight="1">
      <c r="A785" s="295"/>
      <c r="B785" s="295"/>
      <c r="C785" s="295"/>
      <c r="D785" s="295"/>
      <c r="E785" s="295"/>
      <c r="F785" s="295"/>
      <c r="G785" s="295"/>
      <c r="H785" s="295"/>
      <c r="I785" s="295"/>
      <c r="J785" s="295"/>
      <c r="K785" s="295"/>
      <c r="L785" s="295"/>
      <c r="M785" s="295"/>
      <c r="N785" s="295"/>
      <c r="O785" s="297"/>
      <c r="P785" s="295"/>
      <c r="Q785" s="295"/>
      <c r="R785" s="295"/>
      <c r="S785" s="295"/>
      <c r="T785" s="295"/>
      <c r="U785" s="295"/>
      <c r="V785" s="295"/>
      <c r="W785" s="295"/>
      <c r="X785" s="295"/>
      <c r="Y785" s="295"/>
      <c r="Z785" s="295"/>
    </row>
    <row r="786" ht="29.25" customHeight="1">
      <c r="A786" s="295"/>
      <c r="B786" s="295"/>
      <c r="C786" s="295"/>
      <c r="D786" s="295"/>
      <c r="E786" s="295"/>
      <c r="F786" s="295"/>
      <c r="G786" s="295"/>
      <c r="H786" s="295"/>
      <c r="I786" s="295"/>
      <c r="J786" s="295"/>
      <c r="K786" s="295"/>
      <c r="L786" s="295"/>
      <c r="M786" s="295"/>
      <c r="N786" s="295"/>
      <c r="O786" s="297"/>
      <c r="P786" s="295"/>
      <c r="Q786" s="295"/>
      <c r="R786" s="295"/>
      <c r="S786" s="295"/>
      <c r="T786" s="295"/>
      <c r="U786" s="295"/>
      <c r="V786" s="295"/>
      <c r="W786" s="295"/>
      <c r="X786" s="295"/>
      <c r="Y786" s="295"/>
      <c r="Z786" s="295"/>
    </row>
    <row r="787" ht="29.25" customHeight="1">
      <c r="A787" s="295"/>
      <c r="B787" s="295"/>
      <c r="C787" s="295"/>
      <c r="D787" s="295"/>
      <c r="E787" s="295"/>
      <c r="F787" s="295"/>
      <c r="G787" s="295"/>
      <c r="H787" s="295"/>
      <c r="I787" s="295"/>
      <c r="J787" s="295"/>
      <c r="K787" s="295"/>
      <c r="L787" s="295"/>
      <c r="M787" s="295"/>
      <c r="N787" s="295"/>
      <c r="O787" s="297"/>
      <c r="P787" s="295"/>
      <c r="Q787" s="295"/>
      <c r="R787" s="295"/>
      <c r="S787" s="295"/>
      <c r="T787" s="295"/>
      <c r="U787" s="295"/>
      <c r="V787" s="295"/>
      <c r="W787" s="295"/>
      <c r="X787" s="295"/>
      <c r="Y787" s="295"/>
      <c r="Z787" s="295"/>
    </row>
    <row r="788" ht="29.25" customHeight="1">
      <c r="A788" s="295"/>
      <c r="B788" s="295"/>
      <c r="C788" s="295"/>
      <c r="D788" s="295"/>
      <c r="E788" s="295"/>
      <c r="F788" s="295"/>
      <c r="G788" s="295"/>
      <c r="H788" s="295"/>
      <c r="I788" s="295"/>
      <c r="J788" s="295"/>
      <c r="K788" s="295"/>
      <c r="L788" s="295"/>
      <c r="M788" s="295"/>
      <c r="N788" s="295"/>
      <c r="O788" s="297"/>
      <c r="P788" s="295"/>
      <c r="Q788" s="295"/>
      <c r="R788" s="295"/>
      <c r="S788" s="295"/>
      <c r="T788" s="295"/>
      <c r="U788" s="295"/>
      <c r="V788" s="295"/>
      <c r="W788" s="295"/>
      <c r="X788" s="295"/>
      <c r="Y788" s="295"/>
      <c r="Z788" s="295"/>
    </row>
    <row r="789" ht="29.25" customHeight="1">
      <c r="A789" s="295"/>
      <c r="B789" s="295"/>
      <c r="C789" s="295"/>
      <c r="D789" s="295"/>
      <c r="E789" s="295"/>
      <c r="F789" s="295"/>
      <c r="G789" s="295"/>
      <c r="H789" s="295"/>
      <c r="I789" s="295"/>
      <c r="J789" s="295"/>
      <c r="K789" s="295"/>
      <c r="L789" s="295"/>
      <c r="M789" s="295"/>
      <c r="N789" s="295"/>
      <c r="O789" s="297"/>
      <c r="P789" s="295"/>
      <c r="Q789" s="295"/>
      <c r="R789" s="295"/>
      <c r="S789" s="295"/>
      <c r="T789" s="295"/>
      <c r="U789" s="295"/>
      <c r="V789" s="295"/>
      <c r="W789" s="295"/>
      <c r="X789" s="295"/>
      <c r="Y789" s="295"/>
      <c r="Z789" s="295"/>
    </row>
    <row r="790" ht="29.25" customHeight="1">
      <c r="A790" s="295"/>
      <c r="B790" s="295"/>
      <c r="C790" s="295"/>
      <c r="D790" s="295"/>
      <c r="E790" s="295"/>
      <c r="F790" s="295"/>
      <c r="G790" s="295"/>
      <c r="H790" s="295"/>
      <c r="I790" s="295"/>
      <c r="J790" s="295"/>
      <c r="K790" s="295"/>
      <c r="L790" s="295"/>
      <c r="M790" s="295"/>
      <c r="N790" s="295"/>
      <c r="O790" s="297"/>
      <c r="P790" s="295"/>
      <c r="Q790" s="295"/>
      <c r="R790" s="295"/>
      <c r="S790" s="295"/>
      <c r="T790" s="295"/>
      <c r="U790" s="295"/>
      <c r="V790" s="295"/>
      <c r="W790" s="295"/>
      <c r="X790" s="295"/>
      <c r="Y790" s="295"/>
      <c r="Z790" s="295"/>
    </row>
    <row r="791" ht="29.25" customHeight="1">
      <c r="A791" s="295"/>
      <c r="B791" s="295"/>
      <c r="C791" s="295"/>
      <c r="D791" s="295"/>
      <c r="E791" s="295"/>
      <c r="F791" s="295"/>
      <c r="G791" s="295"/>
      <c r="H791" s="295"/>
      <c r="I791" s="295"/>
      <c r="J791" s="295"/>
      <c r="K791" s="295"/>
      <c r="L791" s="295"/>
      <c r="M791" s="295"/>
      <c r="N791" s="295"/>
      <c r="O791" s="297"/>
      <c r="P791" s="295"/>
      <c r="Q791" s="295"/>
      <c r="R791" s="295"/>
      <c r="S791" s="295"/>
      <c r="T791" s="295"/>
      <c r="U791" s="295"/>
      <c r="V791" s="295"/>
      <c r="W791" s="295"/>
      <c r="X791" s="295"/>
      <c r="Y791" s="295"/>
      <c r="Z791" s="295"/>
    </row>
    <row r="792" ht="29.25" customHeight="1">
      <c r="A792" s="295"/>
      <c r="B792" s="295"/>
      <c r="C792" s="295"/>
      <c r="D792" s="295"/>
      <c r="E792" s="295"/>
      <c r="F792" s="295"/>
      <c r="G792" s="295"/>
      <c r="H792" s="295"/>
      <c r="I792" s="295"/>
      <c r="J792" s="295"/>
      <c r="K792" s="295"/>
      <c r="L792" s="295"/>
      <c r="M792" s="295"/>
      <c r="N792" s="295"/>
      <c r="O792" s="297"/>
      <c r="P792" s="295"/>
      <c r="Q792" s="295"/>
      <c r="R792" s="295"/>
      <c r="S792" s="295"/>
      <c r="T792" s="295"/>
      <c r="U792" s="295"/>
      <c r="V792" s="295"/>
      <c r="W792" s="295"/>
      <c r="X792" s="295"/>
      <c r="Y792" s="295"/>
      <c r="Z792" s="295"/>
    </row>
    <row r="793" ht="29.25" customHeight="1">
      <c r="A793" s="295"/>
      <c r="B793" s="295"/>
      <c r="C793" s="295"/>
      <c r="D793" s="295"/>
      <c r="E793" s="295"/>
      <c r="F793" s="295"/>
      <c r="G793" s="295"/>
      <c r="H793" s="295"/>
      <c r="I793" s="295"/>
      <c r="J793" s="295"/>
      <c r="K793" s="295"/>
      <c r="L793" s="295"/>
      <c r="M793" s="295"/>
      <c r="N793" s="295"/>
      <c r="O793" s="297"/>
      <c r="P793" s="295"/>
      <c r="Q793" s="295"/>
      <c r="R793" s="295"/>
      <c r="S793" s="295"/>
      <c r="T793" s="295"/>
      <c r="U793" s="295"/>
      <c r="V793" s="295"/>
      <c r="W793" s="295"/>
      <c r="X793" s="295"/>
      <c r="Y793" s="295"/>
      <c r="Z793" s="295"/>
    </row>
    <row r="794" ht="29.25" customHeight="1">
      <c r="A794" s="295"/>
      <c r="B794" s="295"/>
      <c r="C794" s="295"/>
      <c r="D794" s="295"/>
      <c r="E794" s="295"/>
      <c r="F794" s="295"/>
      <c r="G794" s="295"/>
      <c r="H794" s="295"/>
      <c r="I794" s="295"/>
      <c r="J794" s="295"/>
      <c r="K794" s="295"/>
      <c r="L794" s="295"/>
      <c r="M794" s="295"/>
      <c r="N794" s="295"/>
      <c r="O794" s="297"/>
      <c r="P794" s="295"/>
      <c r="Q794" s="295"/>
      <c r="R794" s="295"/>
      <c r="S794" s="295"/>
      <c r="T794" s="295"/>
      <c r="U794" s="295"/>
      <c r="V794" s="295"/>
      <c r="W794" s="295"/>
      <c r="X794" s="295"/>
      <c r="Y794" s="295"/>
      <c r="Z794" s="295"/>
    </row>
    <row r="795" ht="29.25" customHeight="1">
      <c r="A795" s="295"/>
      <c r="B795" s="295"/>
      <c r="C795" s="295"/>
      <c r="D795" s="295"/>
      <c r="E795" s="295"/>
      <c r="F795" s="295"/>
      <c r="G795" s="295"/>
      <c r="H795" s="295"/>
      <c r="I795" s="295"/>
      <c r="J795" s="295"/>
      <c r="K795" s="295"/>
      <c r="L795" s="295"/>
      <c r="M795" s="295"/>
      <c r="N795" s="295"/>
      <c r="O795" s="297"/>
      <c r="P795" s="295"/>
      <c r="Q795" s="295"/>
      <c r="R795" s="295"/>
      <c r="S795" s="295"/>
      <c r="T795" s="295"/>
      <c r="U795" s="295"/>
      <c r="V795" s="295"/>
      <c r="W795" s="295"/>
      <c r="X795" s="295"/>
      <c r="Y795" s="295"/>
      <c r="Z795" s="295"/>
    </row>
    <row r="796" ht="29.25" customHeight="1">
      <c r="A796" s="295"/>
      <c r="B796" s="295"/>
      <c r="C796" s="295"/>
      <c r="D796" s="295"/>
      <c r="E796" s="295"/>
      <c r="F796" s="295"/>
      <c r="G796" s="295"/>
      <c r="H796" s="295"/>
      <c r="I796" s="295"/>
      <c r="J796" s="295"/>
      <c r="K796" s="295"/>
      <c r="L796" s="295"/>
      <c r="M796" s="295"/>
      <c r="N796" s="295"/>
      <c r="O796" s="297"/>
      <c r="P796" s="295"/>
      <c r="Q796" s="295"/>
      <c r="R796" s="295"/>
      <c r="S796" s="295"/>
      <c r="T796" s="295"/>
      <c r="U796" s="295"/>
      <c r="V796" s="295"/>
      <c r="W796" s="295"/>
      <c r="X796" s="295"/>
      <c r="Y796" s="295"/>
      <c r="Z796" s="295"/>
    </row>
    <row r="797" ht="29.25" customHeight="1">
      <c r="A797" s="295"/>
      <c r="B797" s="295"/>
      <c r="C797" s="295"/>
      <c r="D797" s="295"/>
      <c r="E797" s="295"/>
      <c r="F797" s="295"/>
      <c r="G797" s="295"/>
      <c r="H797" s="295"/>
      <c r="I797" s="295"/>
      <c r="J797" s="295"/>
      <c r="K797" s="295"/>
      <c r="L797" s="295"/>
      <c r="M797" s="295"/>
      <c r="N797" s="295"/>
      <c r="O797" s="297"/>
      <c r="P797" s="295"/>
      <c r="Q797" s="295"/>
      <c r="R797" s="295"/>
      <c r="S797" s="295"/>
      <c r="T797" s="295"/>
      <c r="U797" s="295"/>
      <c r="V797" s="295"/>
      <c r="W797" s="295"/>
      <c r="X797" s="295"/>
      <c r="Y797" s="295"/>
      <c r="Z797" s="295"/>
    </row>
    <row r="798" ht="29.25" customHeight="1">
      <c r="A798" s="295"/>
      <c r="B798" s="295"/>
      <c r="C798" s="295"/>
      <c r="D798" s="295"/>
      <c r="E798" s="295"/>
      <c r="F798" s="295"/>
      <c r="G798" s="295"/>
      <c r="H798" s="295"/>
      <c r="I798" s="295"/>
      <c r="J798" s="295"/>
      <c r="K798" s="295"/>
      <c r="L798" s="295"/>
      <c r="M798" s="295"/>
      <c r="N798" s="295"/>
      <c r="O798" s="297"/>
      <c r="P798" s="295"/>
      <c r="Q798" s="295"/>
      <c r="R798" s="295"/>
      <c r="S798" s="295"/>
      <c r="T798" s="295"/>
      <c r="U798" s="295"/>
      <c r="V798" s="295"/>
      <c r="W798" s="295"/>
      <c r="X798" s="295"/>
      <c r="Y798" s="295"/>
      <c r="Z798" s="295"/>
    </row>
    <row r="799" ht="29.25" customHeight="1">
      <c r="A799" s="295"/>
      <c r="B799" s="295"/>
      <c r="C799" s="295"/>
      <c r="D799" s="295"/>
      <c r="E799" s="295"/>
      <c r="F799" s="295"/>
      <c r="G799" s="295"/>
      <c r="H799" s="295"/>
      <c r="I799" s="295"/>
      <c r="J799" s="295"/>
      <c r="K799" s="295"/>
      <c r="L799" s="295"/>
      <c r="M799" s="295"/>
      <c r="N799" s="295"/>
      <c r="O799" s="297"/>
      <c r="P799" s="295"/>
      <c r="Q799" s="295"/>
      <c r="R799" s="295"/>
      <c r="S799" s="295"/>
      <c r="T799" s="295"/>
      <c r="U799" s="295"/>
      <c r="V799" s="295"/>
      <c r="W799" s="295"/>
      <c r="X799" s="295"/>
      <c r="Y799" s="295"/>
      <c r="Z799" s="295"/>
    </row>
    <row r="800" ht="29.25" customHeight="1">
      <c r="A800" s="295"/>
      <c r="B800" s="295"/>
      <c r="C800" s="295"/>
      <c r="D800" s="295"/>
      <c r="E800" s="295"/>
      <c r="F800" s="295"/>
      <c r="G800" s="295"/>
      <c r="H800" s="295"/>
      <c r="I800" s="295"/>
      <c r="J800" s="295"/>
      <c r="K800" s="295"/>
      <c r="L800" s="295"/>
      <c r="M800" s="295"/>
      <c r="N800" s="295"/>
      <c r="O800" s="297"/>
      <c r="P800" s="295"/>
      <c r="Q800" s="295"/>
      <c r="R800" s="295"/>
      <c r="S800" s="295"/>
      <c r="T800" s="295"/>
      <c r="U800" s="295"/>
      <c r="V800" s="295"/>
      <c r="W800" s="295"/>
      <c r="X800" s="295"/>
      <c r="Y800" s="295"/>
      <c r="Z800" s="295"/>
    </row>
    <row r="801" ht="29.25" customHeight="1">
      <c r="A801" s="295"/>
      <c r="B801" s="295"/>
      <c r="C801" s="295"/>
      <c r="D801" s="295"/>
      <c r="E801" s="295"/>
      <c r="F801" s="295"/>
      <c r="G801" s="295"/>
      <c r="H801" s="295"/>
      <c r="I801" s="295"/>
      <c r="J801" s="295"/>
      <c r="K801" s="295"/>
      <c r="L801" s="295"/>
      <c r="M801" s="295"/>
      <c r="N801" s="295"/>
      <c r="O801" s="297"/>
      <c r="P801" s="295"/>
      <c r="Q801" s="295"/>
      <c r="R801" s="295"/>
      <c r="S801" s="295"/>
      <c r="T801" s="295"/>
      <c r="U801" s="295"/>
      <c r="V801" s="295"/>
      <c r="W801" s="295"/>
      <c r="X801" s="295"/>
      <c r="Y801" s="295"/>
      <c r="Z801" s="295"/>
    </row>
    <row r="802" ht="29.25" customHeight="1">
      <c r="A802" s="295"/>
      <c r="B802" s="295"/>
      <c r="C802" s="295"/>
      <c r="D802" s="295"/>
      <c r="E802" s="295"/>
      <c r="F802" s="295"/>
      <c r="G802" s="295"/>
      <c r="H802" s="295"/>
      <c r="I802" s="295"/>
      <c r="J802" s="295"/>
      <c r="K802" s="295"/>
      <c r="L802" s="295"/>
      <c r="M802" s="295"/>
      <c r="N802" s="295"/>
      <c r="O802" s="297"/>
      <c r="P802" s="295"/>
      <c r="Q802" s="295"/>
      <c r="R802" s="295"/>
      <c r="S802" s="295"/>
      <c r="T802" s="295"/>
      <c r="U802" s="295"/>
      <c r="V802" s="295"/>
      <c r="W802" s="295"/>
      <c r="X802" s="295"/>
      <c r="Y802" s="295"/>
      <c r="Z802" s="295"/>
    </row>
    <row r="803" ht="29.25" customHeight="1">
      <c r="A803" s="295"/>
      <c r="B803" s="295"/>
      <c r="C803" s="295"/>
      <c r="D803" s="295"/>
      <c r="E803" s="295"/>
      <c r="F803" s="295"/>
      <c r="G803" s="295"/>
      <c r="H803" s="295"/>
      <c r="I803" s="295"/>
      <c r="J803" s="295"/>
      <c r="K803" s="295"/>
      <c r="L803" s="295"/>
      <c r="M803" s="295"/>
      <c r="N803" s="295"/>
      <c r="O803" s="297"/>
      <c r="P803" s="295"/>
      <c r="Q803" s="295"/>
      <c r="R803" s="295"/>
      <c r="S803" s="295"/>
      <c r="T803" s="295"/>
      <c r="U803" s="295"/>
      <c r="V803" s="295"/>
      <c r="W803" s="295"/>
      <c r="X803" s="295"/>
      <c r="Y803" s="295"/>
      <c r="Z803" s="295"/>
    </row>
    <row r="804" ht="29.25" customHeight="1">
      <c r="A804" s="295"/>
      <c r="B804" s="295"/>
      <c r="C804" s="295"/>
      <c r="D804" s="295"/>
      <c r="E804" s="295"/>
      <c r="F804" s="295"/>
      <c r="G804" s="295"/>
      <c r="H804" s="295"/>
      <c r="I804" s="295"/>
      <c r="J804" s="295"/>
      <c r="K804" s="295"/>
      <c r="L804" s="295"/>
      <c r="M804" s="295"/>
      <c r="N804" s="295"/>
      <c r="O804" s="297"/>
      <c r="P804" s="295"/>
      <c r="Q804" s="295"/>
      <c r="R804" s="295"/>
      <c r="S804" s="295"/>
      <c r="T804" s="295"/>
      <c r="U804" s="295"/>
      <c r="V804" s="295"/>
      <c r="W804" s="295"/>
      <c r="X804" s="295"/>
      <c r="Y804" s="295"/>
      <c r="Z804" s="295"/>
    </row>
    <row r="805" ht="29.25" customHeight="1">
      <c r="A805" s="295"/>
      <c r="B805" s="295"/>
      <c r="C805" s="295"/>
      <c r="D805" s="295"/>
      <c r="E805" s="295"/>
      <c r="F805" s="295"/>
      <c r="G805" s="295"/>
      <c r="H805" s="295"/>
      <c r="I805" s="295"/>
      <c r="J805" s="295"/>
      <c r="K805" s="295"/>
      <c r="L805" s="295"/>
      <c r="M805" s="295"/>
      <c r="N805" s="295"/>
      <c r="O805" s="297"/>
      <c r="P805" s="295"/>
      <c r="Q805" s="295"/>
      <c r="R805" s="295"/>
      <c r="S805" s="295"/>
      <c r="T805" s="295"/>
      <c r="U805" s="295"/>
      <c r="V805" s="295"/>
      <c r="W805" s="295"/>
      <c r="X805" s="295"/>
      <c r="Y805" s="295"/>
      <c r="Z805" s="295"/>
    </row>
    <row r="806" ht="29.25" customHeight="1">
      <c r="A806" s="295"/>
      <c r="B806" s="295"/>
      <c r="C806" s="295"/>
      <c r="D806" s="295"/>
      <c r="E806" s="295"/>
      <c r="F806" s="295"/>
      <c r="G806" s="295"/>
      <c r="H806" s="295"/>
      <c r="I806" s="295"/>
      <c r="J806" s="295"/>
      <c r="K806" s="295"/>
      <c r="L806" s="295"/>
      <c r="M806" s="295"/>
      <c r="N806" s="295"/>
      <c r="O806" s="297"/>
      <c r="P806" s="295"/>
      <c r="Q806" s="295"/>
      <c r="R806" s="295"/>
      <c r="S806" s="295"/>
      <c r="T806" s="295"/>
      <c r="U806" s="295"/>
      <c r="V806" s="295"/>
      <c r="W806" s="295"/>
      <c r="X806" s="295"/>
      <c r="Y806" s="295"/>
      <c r="Z806" s="295"/>
    </row>
    <row r="807" ht="29.25" customHeight="1">
      <c r="A807" s="295"/>
      <c r="B807" s="295"/>
      <c r="C807" s="295"/>
      <c r="D807" s="295"/>
      <c r="E807" s="295"/>
      <c r="F807" s="295"/>
      <c r="G807" s="295"/>
      <c r="H807" s="295"/>
      <c r="I807" s="295"/>
      <c r="J807" s="295"/>
      <c r="K807" s="295"/>
      <c r="L807" s="295"/>
      <c r="M807" s="295"/>
      <c r="N807" s="295"/>
      <c r="O807" s="297"/>
      <c r="P807" s="295"/>
      <c r="Q807" s="295"/>
      <c r="R807" s="295"/>
      <c r="S807" s="295"/>
      <c r="T807" s="295"/>
      <c r="U807" s="295"/>
      <c r="V807" s="295"/>
      <c r="W807" s="295"/>
      <c r="X807" s="295"/>
      <c r="Y807" s="295"/>
      <c r="Z807" s="295"/>
    </row>
    <row r="808" ht="29.25" customHeight="1">
      <c r="A808" s="295"/>
      <c r="B808" s="295"/>
      <c r="C808" s="295"/>
      <c r="D808" s="295"/>
      <c r="E808" s="295"/>
      <c r="F808" s="295"/>
      <c r="G808" s="295"/>
      <c r="H808" s="295"/>
      <c r="I808" s="295"/>
      <c r="J808" s="295"/>
      <c r="K808" s="295"/>
      <c r="L808" s="295"/>
      <c r="M808" s="295"/>
      <c r="N808" s="295"/>
      <c r="O808" s="297"/>
      <c r="P808" s="295"/>
      <c r="Q808" s="295"/>
      <c r="R808" s="295"/>
      <c r="S808" s="295"/>
      <c r="T808" s="295"/>
      <c r="U808" s="295"/>
      <c r="V808" s="295"/>
      <c r="W808" s="295"/>
      <c r="X808" s="295"/>
      <c r="Y808" s="295"/>
      <c r="Z808" s="295"/>
    </row>
    <row r="809" ht="29.25" customHeight="1">
      <c r="A809" s="295"/>
      <c r="B809" s="295"/>
      <c r="C809" s="295"/>
      <c r="D809" s="295"/>
      <c r="E809" s="295"/>
      <c r="F809" s="295"/>
      <c r="G809" s="295"/>
      <c r="H809" s="295"/>
      <c r="I809" s="295"/>
      <c r="J809" s="295"/>
      <c r="K809" s="295"/>
      <c r="L809" s="295"/>
      <c r="M809" s="295"/>
      <c r="N809" s="295"/>
      <c r="O809" s="297"/>
      <c r="P809" s="295"/>
      <c r="Q809" s="295"/>
      <c r="R809" s="295"/>
      <c r="S809" s="295"/>
      <c r="T809" s="295"/>
      <c r="U809" s="295"/>
      <c r="V809" s="295"/>
      <c r="W809" s="295"/>
      <c r="X809" s="295"/>
      <c r="Y809" s="295"/>
      <c r="Z809" s="295"/>
    </row>
    <row r="810" ht="29.25" customHeight="1">
      <c r="A810" s="295"/>
      <c r="B810" s="295"/>
      <c r="C810" s="295"/>
      <c r="D810" s="295"/>
      <c r="E810" s="295"/>
      <c r="F810" s="295"/>
      <c r="G810" s="295"/>
      <c r="H810" s="295"/>
      <c r="I810" s="295"/>
      <c r="J810" s="295"/>
      <c r="K810" s="295"/>
      <c r="L810" s="295"/>
      <c r="M810" s="295"/>
      <c r="N810" s="295"/>
      <c r="O810" s="297"/>
      <c r="P810" s="295"/>
      <c r="Q810" s="295"/>
      <c r="R810" s="295"/>
      <c r="S810" s="295"/>
      <c r="T810" s="295"/>
      <c r="U810" s="295"/>
      <c r="V810" s="295"/>
      <c r="W810" s="295"/>
      <c r="X810" s="295"/>
      <c r="Y810" s="295"/>
      <c r="Z810" s="295"/>
    </row>
    <row r="811" ht="29.25" customHeight="1">
      <c r="A811" s="295"/>
      <c r="B811" s="295"/>
      <c r="C811" s="295"/>
      <c r="D811" s="295"/>
      <c r="E811" s="295"/>
      <c r="F811" s="295"/>
      <c r="G811" s="295"/>
      <c r="H811" s="295"/>
      <c r="I811" s="295"/>
      <c r="J811" s="295"/>
      <c r="K811" s="295"/>
      <c r="L811" s="295"/>
      <c r="M811" s="295"/>
      <c r="N811" s="295"/>
      <c r="O811" s="297"/>
      <c r="P811" s="295"/>
      <c r="Q811" s="295"/>
      <c r="R811" s="295"/>
      <c r="S811" s="295"/>
      <c r="T811" s="295"/>
      <c r="U811" s="295"/>
      <c r="V811" s="295"/>
      <c r="W811" s="295"/>
      <c r="X811" s="295"/>
      <c r="Y811" s="295"/>
      <c r="Z811" s="295"/>
    </row>
    <row r="812" ht="29.25" customHeight="1">
      <c r="A812" s="295"/>
      <c r="B812" s="295"/>
      <c r="C812" s="295"/>
      <c r="D812" s="295"/>
      <c r="E812" s="295"/>
      <c r="F812" s="295"/>
      <c r="G812" s="295"/>
      <c r="H812" s="295"/>
      <c r="I812" s="295"/>
      <c r="J812" s="295"/>
      <c r="K812" s="295"/>
      <c r="L812" s="295"/>
      <c r="M812" s="295"/>
      <c r="N812" s="295"/>
      <c r="O812" s="297"/>
      <c r="P812" s="295"/>
      <c r="Q812" s="295"/>
      <c r="R812" s="295"/>
      <c r="S812" s="295"/>
      <c r="T812" s="295"/>
      <c r="U812" s="295"/>
      <c r="V812" s="295"/>
      <c r="W812" s="295"/>
      <c r="X812" s="295"/>
      <c r="Y812" s="295"/>
      <c r="Z812" s="295"/>
    </row>
    <row r="813" ht="29.25" customHeight="1">
      <c r="A813" s="295"/>
      <c r="B813" s="295"/>
      <c r="C813" s="295"/>
      <c r="D813" s="295"/>
      <c r="E813" s="295"/>
      <c r="F813" s="295"/>
      <c r="G813" s="295"/>
      <c r="H813" s="295"/>
      <c r="I813" s="295"/>
      <c r="J813" s="295"/>
      <c r="K813" s="295"/>
      <c r="L813" s="295"/>
      <c r="M813" s="295"/>
      <c r="N813" s="295"/>
      <c r="O813" s="297"/>
      <c r="P813" s="295"/>
      <c r="Q813" s="295"/>
      <c r="R813" s="295"/>
      <c r="S813" s="295"/>
      <c r="T813" s="295"/>
      <c r="U813" s="295"/>
      <c r="V813" s="295"/>
      <c r="W813" s="295"/>
      <c r="X813" s="295"/>
      <c r="Y813" s="295"/>
      <c r="Z813" s="295"/>
    </row>
    <row r="814" ht="29.25" customHeight="1">
      <c r="A814" s="295"/>
      <c r="B814" s="295"/>
      <c r="C814" s="295"/>
      <c r="D814" s="295"/>
      <c r="E814" s="295"/>
      <c r="F814" s="295"/>
      <c r="G814" s="295"/>
      <c r="H814" s="295"/>
      <c r="I814" s="295"/>
      <c r="J814" s="295"/>
      <c r="K814" s="295"/>
      <c r="L814" s="295"/>
      <c r="M814" s="295"/>
      <c r="N814" s="295"/>
      <c r="O814" s="297"/>
      <c r="P814" s="295"/>
      <c r="Q814" s="295"/>
      <c r="R814" s="295"/>
      <c r="S814" s="295"/>
      <c r="T814" s="295"/>
      <c r="U814" s="295"/>
      <c r="V814" s="295"/>
      <c r="W814" s="295"/>
      <c r="X814" s="295"/>
      <c r="Y814" s="295"/>
      <c r="Z814" s="295"/>
    </row>
    <row r="815" ht="29.25" customHeight="1">
      <c r="A815" s="295"/>
      <c r="B815" s="295"/>
      <c r="C815" s="295"/>
      <c r="D815" s="295"/>
      <c r="E815" s="295"/>
      <c r="F815" s="295"/>
      <c r="G815" s="295"/>
      <c r="H815" s="295"/>
      <c r="I815" s="295"/>
      <c r="J815" s="295"/>
      <c r="K815" s="295"/>
      <c r="L815" s="295"/>
      <c r="M815" s="295"/>
      <c r="N815" s="295"/>
      <c r="O815" s="297"/>
      <c r="P815" s="295"/>
      <c r="Q815" s="295"/>
      <c r="R815" s="295"/>
      <c r="S815" s="295"/>
      <c r="T815" s="295"/>
      <c r="U815" s="295"/>
      <c r="V815" s="295"/>
      <c r="W815" s="295"/>
      <c r="X815" s="295"/>
      <c r="Y815" s="295"/>
      <c r="Z815" s="295"/>
    </row>
    <row r="816" ht="29.25" customHeight="1">
      <c r="A816" s="295"/>
      <c r="B816" s="295"/>
      <c r="C816" s="295"/>
      <c r="D816" s="295"/>
      <c r="E816" s="295"/>
      <c r="F816" s="295"/>
      <c r="G816" s="295"/>
      <c r="H816" s="295"/>
      <c r="I816" s="295"/>
      <c r="J816" s="295"/>
      <c r="K816" s="295"/>
      <c r="L816" s="295"/>
      <c r="M816" s="295"/>
      <c r="N816" s="295"/>
      <c r="O816" s="297"/>
      <c r="P816" s="295"/>
      <c r="Q816" s="295"/>
      <c r="R816" s="295"/>
      <c r="S816" s="295"/>
      <c r="T816" s="295"/>
      <c r="U816" s="295"/>
      <c r="V816" s="295"/>
      <c r="W816" s="295"/>
      <c r="X816" s="295"/>
      <c r="Y816" s="295"/>
      <c r="Z816" s="295"/>
    </row>
    <row r="817" ht="29.25" customHeight="1">
      <c r="A817" s="295"/>
      <c r="B817" s="295"/>
      <c r="C817" s="295"/>
      <c r="D817" s="295"/>
      <c r="E817" s="295"/>
      <c r="F817" s="295"/>
      <c r="G817" s="295"/>
      <c r="H817" s="295"/>
      <c r="I817" s="295"/>
      <c r="J817" s="295"/>
      <c r="K817" s="295"/>
      <c r="L817" s="295"/>
      <c r="M817" s="295"/>
      <c r="N817" s="295"/>
      <c r="O817" s="297"/>
      <c r="P817" s="295"/>
      <c r="Q817" s="295"/>
      <c r="R817" s="295"/>
      <c r="S817" s="295"/>
      <c r="T817" s="295"/>
      <c r="U817" s="295"/>
      <c r="V817" s="295"/>
      <c r="W817" s="295"/>
      <c r="X817" s="295"/>
      <c r="Y817" s="295"/>
      <c r="Z817" s="295"/>
    </row>
    <row r="818" ht="29.25" customHeight="1">
      <c r="A818" s="295"/>
      <c r="B818" s="295"/>
      <c r="C818" s="295"/>
      <c r="D818" s="295"/>
      <c r="E818" s="295"/>
      <c r="F818" s="295"/>
      <c r="G818" s="295"/>
      <c r="H818" s="295"/>
      <c r="I818" s="295"/>
      <c r="J818" s="295"/>
      <c r="K818" s="295"/>
      <c r="L818" s="295"/>
      <c r="M818" s="295"/>
      <c r="N818" s="295"/>
      <c r="O818" s="297"/>
      <c r="P818" s="295"/>
      <c r="Q818" s="295"/>
      <c r="R818" s="295"/>
      <c r="S818" s="295"/>
      <c r="T818" s="295"/>
      <c r="U818" s="295"/>
      <c r="V818" s="295"/>
      <c r="W818" s="295"/>
      <c r="X818" s="295"/>
      <c r="Y818" s="295"/>
      <c r="Z818" s="295"/>
    </row>
    <row r="819" ht="29.25" customHeight="1">
      <c r="A819" s="295"/>
      <c r="B819" s="295"/>
      <c r="C819" s="295"/>
      <c r="D819" s="295"/>
      <c r="E819" s="295"/>
      <c r="F819" s="295"/>
      <c r="G819" s="295"/>
      <c r="H819" s="295"/>
      <c r="I819" s="295"/>
      <c r="J819" s="295"/>
      <c r="K819" s="295"/>
      <c r="L819" s="295"/>
      <c r="M819" s="295"/>
      <c r="N819" s="295"/>
      <c r="O819" s="297"/>
      <c r="P819" s="295"/>
      <c r="Q819" s="295"/>
      <c r="R819" s="295"/>
      <c r="S819" s="295"/>
      <c r="T819" s="295"/>
      <c r="U819" s="295"/>
      <c r="V819" s="295"/>
      <c r="W819" s="295"/>
      <c r="X819" s="295"/>
      <c r="Y819" s="295"/>
      <c r="Z819" s="295"/>
    </row>
    <row r="820" ht="29.25" customHeight="1">
      <c r="A820" s="295"/>
      <c r="B820" s="295"/>
      <c r="C820" s="295"/>
      <c r="D820" s="295"/>
      <c r="E820" s="295"/>
      <c r="F820" s="295"/>
      <c r="G820" s="295"/>
      <c r="H820" s="295"/>
      <c r="I820" s="295"/>
      <c r="J820" s="295"/>
      <c r="K820" s="295"/>
      <c r="L820" s="295"/>
      <c r="M820" s="295"/>
      <c r="N820" s="295"/>
      <c r="O820" s="297"/>
      <c r="P820" s="295"/>
      <c r="Q820" s="295"/>
      <c r="R820" s="295"/>
      <c r="S820" s="295"/>
      <c r="T820" s="295"/>
      <c r="U820" s="295"/>
      <c r="V820" s="295"/>
      <c r="W820" s="295"/>
      <c r="X820" s="295"/>
      <c r="Y820" s="295"/>
      <c r="Z820" s="295"/>
    </row>
    <row r="821" ht="29.25" customHeight="1">
      <c r="A821" s="295"/>
      <c r="B821" s="295"/>
      <c r="C821" s="295"/>
      <c r="D821" s="295"/>
      <c r="E821" s="295"/>
      <c r="F821" s="295"/>
      <c r="G821" s="295"/>
      <c r="H821" s="295"/>
      <c r="I821" s="295"/>
      <c r="J821" s="295"/>
      <c r="K821" s="295"/>
      <c r="L821" s="295"/>
      <c r="M821" s="295"/>
      <c r="N821" s="295"/>
      <c r="O821" s="297"/>
      <c r="P821" s="295"/>
      <c r="Q821" s="295"/>
      <c r="R821" s="295"/>
      <c r="S821" s="295"/>
      <c r="T821" s="295"/>
      <c r="U821" s="295"/>
      <c r="V821" s="295"/>
      <c r="W821" s="295"/>
      <c r="X821" s="295"/>
      <c r="Y821" s="295"/>
      <c r="Z821" s="295"/>
    </row>
    <row r="822" ht="29.25" customHeight="1">
      <c r="A822" s="295"/>
      <c r="B822" s="295"/>
      <c r="C822" s="295"/>
      <c r="D822" s="295"/>
      <c r="E822" s="295"/>
      <c r="F822" s="295"/>
      <c r="G822" s="295"/>
      <c r="H822" s="295"/>
      <c r="I822" s="295"/>
      <c r="J822" s="295"/>
      <c r="K822" s="295"/>
      <c r="L822" s="295"/>
      <c r="M822" s="295"/>
      <c r="N822" s="295"/>
      <c r="O822" s="297"/>
      <c r="P822" s="295"/>
      <c r="Q822" s="295"/>
      <c r="R822" s="295"/>
      <c r="S822" s="295"/>
      <c r="T822" s="295"/>
      <c r="U822" s="295"/>
      <c r="V822" s="295"/>
      <c r="W822" s="295"/>
      <c r="X822" s="295"/>
      <c r="Y822" s="295"/>
      <c r="Z822" s="295"/>
    </row>
    <row r="823" ht="29.25" customHeight="1">
      <c r="A823" s="295"/>
      <c r="B823" s="295"/>
      <c r="C823" s="295"/>
      <c r="D823" s="295"/>
      <c r="E823" s="295"/>
      <c r="F823" s="295"/>
      <c r="G823" s="295"/>
      <c r="H823" s="295"/>
      <c r="I823" s="295"/>
      <c r="J823" s="295"/>
      <c r="K823" s="295"/>
      <c r="L823" s="295"/>
      <c r="M823" s="295"/>
      <c r="N823" s="295"/>
      <c r="O823" s="297"/>
      <c r="P823" s="295"/>
      <c r="Q823" s="295"/>
      <c r="R823" s="295"/>
      <c r="S823" s="295"/>
      <c r="T823" s="295"/>
      <c r="U823" s="295"/>
      <c r="V823" s="295"/>
      <c r="W823" s="295"/>
      <c r="X823" s="295"/>
      <c r="Y823" s="295"/>
      <c r="Z823" s="295"/>
    </row>
    <row r="824" ht="29.25" customHeight="1">
      <c r="A824" s="295"/>
      <c r="B824" s="295"/>
      <c r="C824" s="295"/>
      <c r="D824" s="295"/>
      <c r="E824" s="295"/>
      <c r="F824" s="295"/>
      <c r="G824" s="295"/>
      <c r="H824" s="295"/>
      <c r="I824" s="295"/>
      <c r="J824" s="295"/>
      <c r="K824" s="295"/>
      <c r="L824" s="295"/>
      <c r="M824" s="295"/>
      <c r="N824" s="295"/>
      <c r="O824" s="297"/>
      <c r="P824" s="295"/>
      <c r="Q824" s="295"/>
      <c r="R824" s="295"/>
      <c r="S824" s="295"/>
      <c r="T824" s="295"/>
      <c r="U824" s="295"/>
      <c r="V824" s="295"/>
      <c r="W824" s="295"/>
      <c r="X824" s="295"/>
      <c r="Y824" s="295"/>
      <c r="Z824" s="295"/>
    </row>
    <row r="825" ht="29.25" customHeight="1">
      <c r="A825" s="295"/>
      <c r="B825" s="295"/>
      <c r="C825" s="295"/>
      <c r="D825" s="295"/>
      <c r="E825" s="295"/>
      <c r="F825" s="295"/>
      <c r="G825" s="295"/>
      <c r="H825" s="295"/>
      <c r="I825" s="295"/>
      <c r="J825" s="295"/>
      <c r="K825" s="295"/>
      <c r="L825" s="295"/>
      <c r="M825" s="295"/>
      <c r="N825" s="295"/>
      <c r="O825" s="297"/>
      <c r="P825" s="295"/>
      <c r="Q825" s="295"/>
      <c r="R825" s="295"/>
      <c r="S825" s="295"/>
      <c r="T825" s="295"/>
      <c r="U825" s="295"/>
      <c r="V825" s="295"/>
      <c r="W825" s="295"/>
      <c r="X825" s="295"/>
      <c r="Y825" s="295"/>
      <c r="Z825" s="295"/>
    </row>
    <row r="826" ht="29.25" customHeight="1">
      <c r="A826" s="295"/>
      <c r="B826" s="295"/>
      <c r="C826" s="295"/>
      <c r="D826" s="295"/>
      <c r="E826" s="295"/>
      <c r="F826" s="295"/>
      <c r="G826" s="295"/>
      <c r="H826" s="295"/>
      <c r="I826" s="295"/>
      <c r="J826" s="295"/>
      <c r="K826" s="295"/>
      <c r="L826" s="295"/>
      <c r="M826" s="295"/>
      <c r="N826" s="295"/>
      <c r="O826" s="297"/>
      <c r="P826" s="295"/>
      <c r="Q826" s="295"/>
      <c r="R826" s="295"/>
      <c r="S826" s="295"/>
      <c r="T826" s="295"/>
      <c r="U826" s="295"/>
      <c r="V826" s="295"/>
      <c r="W826" s="295"/>
      <c r="X826" s="295"/>
      <c r="Y826" s="295"/>
      <c r="Z826" s="295"/>
    </row>
    <row r="827" ht="29.25" customHeight="1">
      <c r="A827" s="295"/>
      <c r="B827" s="295"/>
      <c r="C827" s="295"/>
      <c r="D827" s="295"/>
      <c r="E827" s="295"/>
      <c r="F827" s="295"/>
      <c r="G827" s="295"/>
      <c r="H827" s="295"/>
      <c r="I827" s="295"/>
      <c r="J827" s="295"/>
      <c r="K827" s="295"/>
      <c r="L827" s="295"/>
      <c r="M827" s="295"/>
      <c r="N827" s="295"/>
      <c r="O827" s="297"/>
      <c r="P827" s="295"/>
      <c r="Q827" s="295"/>
      <c r="R827" s="295"/>
      <c r="S827" s="295"/>
      <c r="T827" s="295"/>
      <c r="U827" s="295"/>
      <c r="V827" s="295"/>
      <c r="W827" s="295"/>
      <c r="X827" s="295"/>
      <c r="Y827" s="295"/>
      <c r="Z827" s="295"/>
    </row>
    <row r="828" ht="29.25" customHeight="1">
      <c r="A828" s="295"/>
      <c r="B828" s="295"/>
      <c r="C828" s="295"/>
      <c r="D828" s="295"/>
      <c r="E828" s="295"/>
      <c r="F828" s="295"/>
      <c r="G828" s="295"/>
      <c r="H828" s="295"/>
      <c r="I828" s="295"/>
      <c r="J828" s="295"/>
      <c r="K828" s="295"/>
      <c r="L828" s="295"/>
      <c r="M828" s="295"/>
      <c r="N828" s="295"/>
      <c r="O828" s="297"/>
      <c r="P828" s="295"/>
      <c r="Q828" s="295"/>
      <c r="R828" s="295"/>
      <c r="S828" s="295"/>
      <c r="T828" s="295"/>
      <c r="U828" s="295"/>
      <c r="V828" s="295"/>
      <c r="W828" s="295"/>
      <c r="X828" s="295"/>
      <c r="Y828" s="295"/>
      <c r="Z828" s="295"/>
    </row>
    <row r="829" ht="29.25" customHeight="1">
      <c r="A829" s="295"/>
      <c r="B829" s="295"/>
      <c r="C829" s="295"/>
      <c r="D829" s="295"/>
      <c r="E829" s="295"/>
      <c r="F829" s="295"/>
      <c r="G829" s="295"/>
      <c r="H829" s="295"/>
      <c r="I829" s="295"/>
      <c r="J829" s="295"/>
      <c r="K829" s="295"/>
      <c r="L829" s="295"/>
      <c r="M829" s="295"/>
      <c r="N829" s="295"/>
      <c r="O829" s="297"/>
      <c r="P829" s="295"/>
      <c r="Q829" s="295"/>
      <c r="R829" s="295"/>
      <c r="S829" s="295"/>
      <c r="T829" s="295"/>
      <c r="U829" s="295"/>
      <c r="V829" s="295"/>
      <c r="W829" s="295"/>
      <c r="X829" s="295"/>
      <c r="Y829" s="295"/>
      <c r="Z829" s="295"/>
    </row>
    <row r="830" ht="29.25" customHeight="1">
      <c r="A830" s="295"/>
      <c r="B830" s="295"/>
      <c r="C830" s="295"/>
      <c r="D830" s="295"/>
      <c r="E830" s="295"/>
      <c r="F830" s="295"/>
      <c r="G830" s="295"/>
      <c r="H830" s="295"/>
      <c r="I830" s="295"/>
      <c r="J830" s="295"/>
      <c r="K830" s="295"/>
      <c r="L830" s="295"/>
      <c r="M830" s="295"/>
      <c r="N830" s="295"/>
      <c r="O830" s="297"/>
      <c r="P830" s="295"/>
      <c r="Q830" s="295"/>
      <c r="R830" s="295"/>
      <c r="S830" s="295"/>
      <c r="T830" s="295"/>
      <c r="U830" s="295"/>
      <c r="V830" s="295"/>
      <c r="W830" s="295"/>
      <c r="X830" s="295"/>
      <c r="Y830" s="295"/>
      <c r="Z830" s="295"/>
    </row>
    <row r="831" ht="29.25" customHeight="1">
      <c r="A831" s="295"/>
      <c r="B831" s="295"/>
      <c r="C831" s="295"/>
      <c r="D831" s="295"/>
      <c r="E831" s="295"/>
      <c r="F831" s="295"/>
      <c r="G831" s="295"/>
      <c r="H831" s="295"/>
      <c r="I831" s="295"/>
      <c r="J831" s="295"/>
      <c r="K831" s="295"/>
      <c r="L831" s="295"/>
      <c r="M831" s="295"/>
      <c r="N831" s="295"/>
      <c r="O831" s="297"/>
      <c r="P831" s="295"/>
      <c r="Q831" s="295"/>
      <c r="R831" s="295"/>
      <c r="S831" s="295"/>
      <c r="T831" s="295"/>
      <c r="U831" s="295"/>
      <c r="V831" s="295"/>
      <c r="W831" s="295"/>
      <c r="X831" s="295"/>
      <c r="Y831" s="295"/>
      <c r="Z831" s="295"/>
    </row>
    <row r="832" ht="29.25" customHeight="1">
      <c r="A832" s="295"/>
      <c r="B832" s="295"/>
      <c r="C832" s="295"/>
      <c r="D832" s="295"/>
      <c r="E832" s="295"/>
      <c r="F832" s="295"/>
      <c r="G832" s="295"/>
      <c r="H832" s="295"/>
      <c r="I832" s="295"/>
      <c r="J832" s="295"/>
      <c r="K832" s="295"/>
      <c r="L832" s="295"/>
      <c r="M832" s="295"/>
      <c r="N832" s="295"/>
      <c r="O832" s="297"/>
      <c r="P832" s="295"/>
      <c r="Q832" s="295"/>
      <c r="R832" s="295"/>
      <c r="S832" s="295"/>
      <c r="T832" s="295"/>
      <c r="U832" s="295"/>
      <c r="V832" s="295"/>
      <c r="W832" s="295"/>
      <c r="X832" s="295"/>
      <c r="Y832" s="295"/>
      <c r="Z832" s="295"/>
    </row>
    <row r="833" ht="29.25" customHeight="1">
      <c r="A833" s="295"/>
      <c r="B833" s="295"/>
      <c r="C833" s="295"/>
      <c r="D833" s="295"/>
      <c r="E833" s="295"/>
      <c r="F833" s="295"/>
      <c r="G833" s="295"/>
      <c r="H833" s="295"/>
      <c r="I833" s="295"/>
      <c r="J833" s="295"/>
      <c r="K833" s="295"/>
      <c r="L833" s="295"/>
      <c r="M833" s="295"/>
      <c r="N833" s="295"/>
      <c r="O833" s="297"/>
      <c r="P833" s="295"/>
      <c r="Q833" s="295"/>
      <c r="R833" s="295"/>
      <c r="S833" s="295"/>
      <c r="T833" s="295"/>
      <c r="U833" s="295"/>
      <c r="V833" s="295"/>
      <c r="W833" s="295"/>
      <c r="X833" s="295"/>
      <c r="Y833" s="295"/>
      <c r="Z833" s="295"/>
    </row>
    <row r="834" ht="29.25" customHeight="1">
      <c r="A834" s="295"/>
      <c r="B834" s="295"/>
      <c r="C834" s="295"/>
      <c r="D834" s="295"/>
      <c r="E834" s="295"/>
      <c r="F834" s="295"/>
      <c r="G834" s="295"/>
      <c r="H834" s="295"/>
      <c r="I834" s="295"/>
      <c r="J834" s="295"/>
      <c r="K834" s="295"/>
      <c r="L834" s="295"/>
      <c r="M834" s="295"/>
      <c r="N834" s="295"/>
      <c r="O834" s="297"/>
      <c r="P834" s="295"/>
      <c r="Q834" s="295"/>
      <c r="R834" s="295"/>
      <c r="S834" s="295"/>
      <c r="T834" s="295"/>
      <c r="U834" s="295"/>
      <c r="V834" s="295"/>
      <c r="W834" s="295"/>
      <c r="X834" s="295"/>
      <c r="Y834" s="295"/>
      <c r="Z834" s="295"/>
    </row>
    <row r="835" ht="29.25" customHeight="1">
      <c r="A835" s="295"/>
      <c r="B835" s="295"/>
      <c r="C835" s="295"/>
      <c r="D835" s="295"/>
      <c r="E835" s="295"/>
      <c r="F835" s="295"/>
      <c r="G835" s="295"/>
      <c r="H835" s="295"/>
      <c r="I835" s="295"/>
      <c r="J835" s="295"/>
      <c r="K835" s="295"/>
      <c r="L835" s="295"/>
      <c r="M835" s="295"/>
      <c r="N835" s="295"/>
      <c r="O835" s="297"/>
      <c r="P835" s="295"/>
      <c r="Q835" s="295"/>
      <c r="R835" s="295"/>
      <c r="S835" s="295"/>
      <c r="T835" s="295"/>
      <c r="U835" s="295"/>
      <c r="V835" s="295"/>
      <c r="W835" s="295"/>
      <c r="X835" s="295"/>
      <c r="Y835" s="295"/>
      <c r="Z835" s="295"/>
    </row>
    <row r="836" ht="29.25" customHeight="1">
      <c r="A836" s="295"/>
      <c r="B836" s="295"/>
      <c r="C836" s="295"/>
      <c r="D836" s="295"/>
      <c r="E836" s="295"/>
      <c r="F836" s="295"/>
      <c r="G836" s="295"/>
      <c r="H836" s="295"/>
      <c r="I836" s="295"/>
      <c r="J836" s="295"/>
      <c r="K836" s="295"/>
      <c r="L836" s="295"/>
      <c r="M836" s="295"/>
      <c r="N836" s="295"/>
      <c r="O836" s="297"/>
      <c r="P836" s="295"/>
      <c r="Q836" s="295"/>
      <c r="R836" s="295"/>
      <c r="S836" s="295"/>
      <c r="T836" s="295"/>
      <c r="U836" s="295"/>
      <c r="V836" s="295"/>
      <c r="W836" s="295"/>
      <c r="X836" s="295"/>
      <c r="Y836" s="295"/>
      <c r="Z836" s="295"/>
    </row>
    <row r="837" ht="29.25" customHeight="1">
      <c r="A837" s="295"/>
      <c r="B837" s="295"/>
      <c r="C837" s="295"/>
      <c r="D837" s="295"/>
      <c r="E837" s="295"/>
      <c r="F837" s="295"/>
      <c r="G837" s="295"/>
      <c r="H837" s="295"/>
      <c r="I837" s="295"/>
      <c r="J837" s="295"/>
      <c r="K837" s="295"/>
      <c r="L837" s="295"/>
      <c r="M837" s="295"/>
      <c r="N837" s="295"/>
      <c r="O837" s="297"/>
      <c r="P837" s="295"/>
      <c r="Q837" s="295"/>
      <c r="R837" s="295"/>
      <c r="S837" s="295"/>
      <c r="T837" s="295"/>
      <c r="U837" s="295"/>
      <c r="V837" s="295"/>
      <c r="W837" s="295"/>
      <c r="X837" s="295"/>
      <c r="Y837" s="295"/>
      <c r="Z837" s="295"/>
    </row>
    <row r="838" ht="29.25" customHeight="1">
      <c r="A838" s="295"/>
      <c r="B838" s="295"/>
      <c r="C838" s="295"/>
      <c r="D838" s="295"/>
      <c r="E838" s="295"/>
      <c r="F838" s="295"/>
      <c r="G838" s="295"/>
      <c r="H838" s="295"/>
      <c r="I838" s="295"/>
      <c r="J838" s="295"/>
      <c r="K838" s="295"/>
      <c r="L838" s="295"/>
      <c r="M838" s="295"/>
      <c r="N838" s="295"/>
      <c r="O838" s="297"/>
      <c r="P838" s="295"/>
      <c r="Q838" s="295"/>
      <c r="R838" s="295"/>
      <c r="S838" s="295"/>
      <c r="T838" s="295"/>
      <c r="U838" s="295"/>
      <c r="V838" s="295"/>
      <c r="W838" s="295"/>
      <c r="X838" s="295"/>
      <c r="Y838" s="295"/>
      <c r="Z838" s="295"/>
    </row>
    <row r="839" ht="29.25" customHeight="1">
      <c r="A839" s="295"/>
      <c r="B839" s="295"/>
      <c r="C839" s="295"/>
      <c r="D839" s="295"/>
      <c r="E839" s="295"/>
      <c r="F839" s="295"/>
      <c r="G839" s="295"/>
      <c r="H839" s="295"/>
      <c r="I839" s="295"/>
      <c r="J839" s="295"/>
      <c r="K839" s="295"/>
      <c r="L839" s="295"/>
      <c r="M839" s="295"/>
      <c r="N839" s="295"/>
      <c r="O839" s="297"/>
      <c r="P839" s="295"/>
      <c r="Q839" s="295"/>
      <c r="R839" s="295"/>
      <c r="S839" s="295"/>
      <c r="T839" s="295"/>
      <c r="U839" s="295"/>
      <c r="V839" s="295"/>
      <c r="W839" s="295"/>
      <c r="X839" s="295"/>
      <c r="Y839" s="295"/>
      <c r="Z839" s="295"/>
    </row>
    <row r="840" ht="29.25" customHeight="1">
      <c r="A840" s="295"/>
      <c r="B840" s="295"/>
      <c r="C840" s="295"/>
      <c r="D840" s="295"/>
      <c r="E840" s="295"/>
      <c r="F840" s="295"/>
      <c r="G840" s="295"/>
      <c r="H840" s="295"/>
      <c r="I840" s="295"/>
      <c r="J840" s="295"/>
      <c r="K840" s="295"/>
      <c r="L840" s="295"/>
      <c r="M840" s="295"/>
      <c r="N840" s="295"/>
      <c r="O840" s="297"/>
      <c r="P840" s="295"/>
      <c r="Q840" s="295"/>
      <c r="R840" s="295"/>
      <c r="S840" s="295"/>
      <c r="T840" s="295"/>
      <c r="U840" s="295"/>
      <c r="V840" s="295"/>
      <c r="W840" s="295"/>
      <c r="X840" s="295"/>
      <c r="Y840" s="295"/>
      <c r="Z840" s="295"/>
    </row>
    <row r="841" ht="29.25" customHeight="1">
      <c r="A841" s="295"/>
      <c r="B841" s="295"/>
      <c r="C841" s="295"/>
      <c r="D841" s="295"/>
      <c r="E841" s="295"/>
      <c r="F841" s="295"/>
      <c r="G841" s="295"/>
      <c r="H841" s="295"/>
      <c r="I841" s="295"/>
      <c r="J841" s="295"/>
      <c r="K841" s="295"/>
      <c r="L841" s="295"/>
      <c r="M841" s="295"/>
      <c r="N841" s="295"/>
      <c r="O841" s="297"/>
      <c r="P841" s="295"/>
      <c r="Q841" s="295"/>
      <c r="R841" s="295"/>
      <c r="S841" s="295"/>
      <c r="T841" s="295"/>
      <c r="U841" s="295"/>
      <c r="V841" s="295"/>
      <c r="W841" s="295"/>
      <c r="X841" s="295"/>
      <c r="Y841" s="295"/>
      <c r="Z841" s="295"/>
    </row>
    <row r="842" ht="29.25" customHeight="1">
      <c r="A842" s="295"/>
      <c r="B842" s="295"/>
      <c r="C842" s="295"/>
      <c r="D842" s="295"/>
      <c r="E842" s="295"/>
      <c r="F842" s="295"/>
      <c r="G842" s="295"/>
      <c r="H842" s="295"/>
      <c r="I842" s="295"/>
      <c r="J842" s="295"/>
      <c r="K842" s="295"/>
      <c r="L842" s="295"/>
      <c r="M842" s="295"/>
      <c r="N842" s="295"/>
      <c r="O842" s="297"/>
      <c r="P842" s="295"/>
      <c r="Q842" s="295"/>
      <c r="R842" s="295"/>
      <c r="S842" s="295"/>
      <c r="T842" s="295"/>
      <c r="U842" s="295"/>
      <c r="V842" s="295"/>
      <c r="W842" s="295"/>
      <c r="X842" s="295"/>
      <c r="Y842" s="295"/>
      <c r="Z842" s="295"/>
    </row>
    <row r="843" ht="29.25" customHeight="1">
      <c r="A843" s="295"/>
      <c r="B843" s="295"/>
      <c r="C843" s="295"/>
      <c r="D843" s="295"/>
      <c r="E843" s="295"/>
      <c r="F843" s="295"/>
      <c r="G843" s="295"/>
      <c r="H843" s="295"/>
      <c r="I843" s="295"/>
      <c r="J843" s="295"/>
      <c r="K843" s="295"/>
      <c r="L843" s="295"/>
      <c r="M843" s="295"/>
      <c r="N843" s="295"/>
      <c r="O843" s="297"/>
      <c r="P843" s="295"/>
      <c r="Q843" s="295"/>
      <c r="R843" s="295"/>
      <c r="S843" s="295"/>
      <c r="T843" s="295"/>
      <c r="U843" s="295"/>
      <c r="V843" s="295"/>
      <c r="W843" s="295"/>
      <c r="X843" s="295"/>
      <c r="Y843" s="295"/>
      <c r="Z843" s="295"/>
    </row>
    <row r="844" ht="29.25" customHeight="1">
      <c r="A844" s="295"/>
      <c r="B844" s="295"/>
      <c r="C844" s="295"/>
      <c r="D844" s="295"/>
      <c r="E844" s="295"/>
      <c r="F844" s="295"/>
      <c r="G844" s="295"/>
      <c r="H844" s="295"/>
      <c r="I844" s="295"/>
      <c r="J844" s="295"/>
      <c r="K844" s="295"/>
      <c r="L844" s="295"/>
      <c r="M844" s="295"/>
      <c r="N844" s="295"/>
      <c r="O844" s="297"/>
      <c r="P844" s="295"/>
      <c r="Q844" s="295"/>
      <c r="R844" s="295"/>
      <c r="S844" s="295"/>
      <c r="T844" s="295"/>
      <c r="U844" s="295"/>
      <c r="V844" s="295"/>
      <c r="W844" s="295"/>
      <c r="X844" s="295"/>
      <c r="Y844" s="295"/>
      <c r="Z844" s="295"/>
    </row>
    <row r="845" ht="29.25" customHeight="1">
      <c r="A845" s="295"/>
      <c r="B845" s="295"/>
      <c r="C845" s="295"/>
      <c r="D845" s="295"/>
      <c r="E845" s="295"/>
      <c r="F845" s="295"/>
      <c r="G845" s="295"/>
      <c r="H845" s="295"/>
      <c r="I845" s="295"/>
      <c r="J845" s="295"/>
      <c r="K845" s="295"/>
      <c r="L845" s="295"/>
      <c r="M845" s="295"/>
      <c r="N845" s="295"/>
      <c r="O845" s="297"/>
      <c r="P845" s="295"/>
      <c r="Q845" s="295"/>
      <c r="R845" s="295"/>
      <c r="S845" s="295"/>
      <c r="T845" s="295"/>
      <c r="U845" s="295"/>
      <c r="V845" s="295"/>
      <c r="W845" s="295"/>
      <c r="X845" s="295"/>
      <c r="Y845" s="295"/>
      <c r="Z845" s="295"/>
    </row>
    <row r="846" ht="29.25" customHeight="1">
      <c r="A846" s="295"/>
      <c r="B846" s="295"/>
      <c r="C846" s="295"/>
      <c r="D846" s="295"/>
      <c r="E846" s="295"/>
      <c r="F846" s="295"/>
      <c r="G846" s="295"/>
      <c r="H846" s="295"/>
      <c r="I846" s="295"/>
      <c r="J846" s="295"/>
      <c r="K846" s="295"/>
      <c r="L846" s="295"/>
      <c r="M846" s="295"/>
      <c r="N846" s="295"/>
      <c r="O846" s="297"/>
      <c r="P846" s="295"/>
      <c r="Q846" s="295"/>
      <c r="R846" s="295"/>
      <c r="S846" s="295"/>
      <c r="T846" s="295"/>
      <c r="U846" s="295"/>
      <c r="V846" s="295"/>
      <c r="W846" s="295"/>
      <c r="X846" s="295"/>
      <c r="Y846" s="295"/>
      <c r="Z846" s="295"/>
    </row>
    <row r="847" ht="29.25" customHeight="1">
      <c r="A847" s="295"/>
      <c r="B847" s="295"/>
      <c r="C847" s="295"/>
      <c r="D847" s="295"/>
      <c r="E847" s="295"/>
      <c r="F847" s="295"/>
      <c r="G847" s="295"/>
      <c r="H847" s="295"/>
      <c r="I847" s="295"/>
      <c r="J847" s="295"/>
      <c r="K847" s="295"/>
      <c r="L847" s="295"/>
      <c r="M847" s="295"/>
      <c r="N847" s="295"/>
      <c r="O847" s="297"/>
      <c r="P847" s="295"/>
      <c r="Q847" s="295"/>
      <c r="R847" s="295"/>
      <c r="S847" s="295"/>
      <c r="T847" s="295"/>
      <c r="U847" s="295"/>
      <c r="V847" s="295"/>
      <c r="W847" s="295"/>
      <c r="X847" s="295"/>
      <c r="Y847" s="295"/>
      <c r="Z847" s="295"/>
    </row>
    <row r="848" ht="29.25" customHeight="1">
      <c r="A848" s="295"/>
      <c r="B848" s="295"/>
      <c r="C848" s="295"/>
      <c r="D848" s="295"/>
      <c r="E848" s="295"/>
      <c r="F848" s="295"/>
      <c r="G848" s="295"/>
      <c r="H848" s="295"/>
      <c r="I848" s="295"/>
      <c r="J848" s="295"/>
      <c r="K848" s="295"/>
      <c r="L848" s="295"/>
      <c r="M848" s="295"/>
      <c r="N848" s="295"/>
      <c r="O848" s="297"/>
      <c r="P848" s="295"/>
      <c r="Q848" s="295"/>
      <c r="R848" s="295"/>
      <c r="S848" s="295"/>
      <c r="T848" s="295"/>
      <c r="U848" s="295"/>
      <c r="V848" s="295"/>
      <c r="W848" s="295"/>
      <c r="X848" s="295"/>
      <c r="Y848" s="295"/>
      <c r="Z848" s="295"/>
    </row>
    <row r="849" ht="29.25" customHeight="1">
      <c r="A849" s="295"/>
      <c r="B849" s="295"/>
      <c r="C849" s="295"/>
      <c r="D849" s="295"/>
      <c r="E849" s="295"/>
      <c r="F849" s="295"/>
      <c r="G849" s="295"/>
      <c r="H849" s="295"/>
      <c r="I849" s="295"/>
      <c r="J849" s="295"/>
      <c r="K849" s="295"/>
      <c r="L849" s="295"/>
      <c r="M849" s="295"/>
      <c r="N849" s="295"/>
      <c r="O849" s="297"/>
      <c r="P849" s="295"/>
      <c r="Q849" s="295"/>
      <c r="R849" s="295"/>
      <c r="S849" s="295"/>
      <c r="T849" s="295"/>
      <c r="U849" s="295"/>
      <c r="V849" s="295"/>
      <c r="W849" s="295"/>
      <c r="X849" s="295"/>
      <c r="Y849" s="295"/>
      <c r="Z849" s="295"/>
    </row>
    <row r="850" ht="29.25" customHeight="1">
      <c r="A850" s="295"/>
      <c r="B850" s="295"/>
      <c r="C850" s="295"/>
      <c r="D850" s="295"/>
      <c r="E850" s="295"/>
      <c r="F850" s="295"/>
      <c r="G850" s="295"/>
      <c r="H850" s="295"/>
      <c r="I850" s="295"/>
      <c r="J850" s="295"/>
      <c r="K850" s="295"/>
      <c r="L850" s="295"/>
      <c r="M850" s="295"/>
      <c r="N850" s="295"/>
      <c r="O850" s="297"/>
      <c r="P850" s="295"/>
      <c r="Q850" s="295"/>
      <c r="R850" s="295"/>
      <c r="S850" s="295"/>
      <c r="T850" s="295"/>
      <c r="U850" s="295"/>
      <c r="V850" s="295"/>
      <c r="W850" s="295"/>
      <c r="X850" s="295"/>
      <c r="Y850" s="295"/>
      <c r="Z850" s="295"/>
    </row>
    <row r="851" ht="29.25" customHeight="1">
      <c r="A851" s="295"/>
      <c r="B851" s="295"/>
      <c r="C851" s="295"/>
      <c r="D851" s="295"/>
      <c r="E851" s="295"/>
      <c r="F851" s="295"/>
      <c r="G851" s="295"/>
      <c r="H851" s="295"/>
      <c r="I851" s="295"/>
      <c r="J851" s="295"/>
      <c r="K851" s="295"/>
      <c r="L851" s="295"/>
      <c r="M851" s="295"/>
      <c r="N851" s="295"/>
      <c r="O851" s="297"/>
      <c r="P851" s="295"/>
      <c r="Q851" s="295"/>
      <c r="R851" s="295"/>
      <c r="S851" s="295"/>
      <c r="T851" s="295"/>
      <c r="U851" s="295"/>
      <c r="V851" s="295"/>
      <c r="W851" s="295"/>
      <c r="X851" s="295"/>
      <c r="Y851" s="295"/>
      <c r="Z851" s="295"/>
    </row>
    <row r="852" ht="29.25" customHeight="1">
      <c r="A852" s="295"/>
      <c r="B852" s="295"/>
      <c r="C852" s="295"/>
      <c r="D852" s="295"/>
      <c r="E852" s="295"/>
      <c r="F852" s="295"/>
      <c r="G852" s="295"/>
      <c r="H852" s="295"/>
      <c r="I852" s="295"/>
      <c r="J852" s="295"/>
      <c r="K852" s="295"/>
      <c r="L852" s="295"/>
      <c r="M852" s="295"/>
      <c r="N852" s="295"/>
      <c r="O852" s="297"/>
      <c r="P852" s="295"/>
      <c r="Q852" s="295"/>
      <c r="R852" s="295"/>
      <c r="S852" s="295"/>
      <c r="T852" s="295"/>
      <c r="U852" s="295"/>
      <c r="V852" s="295"/>
      <c r="W852" s="295"/>
      <c r="X852" s="295"/>
      <c r="Y852" s="295"/>
      <c r="Z852" s="295"/>
    </row>
    <row r="853" ht="29.25" customHeight="1">
      <c r="A853" s="295"/>
      <c r="B853" s="295"/>
      <c r="C853" s="295"/>
      <c r="D853" s="295"/>
      <c r="E853" s="295"/>
      <c r="F853" s="295"/>
      <c r="G853" s="295"/>
      <c r="H853" s="295"/>
      <c r="I853" s="295"/>
      <c r="J853" s="295"/>
      <c r="K853" s="295"/>
      <c r="L853" s="295"/>
      <c r="M853" s="295"/>
      <c r="N853" s="295"/>
      <c r="O853" s="297"/>
      <c r="P853" s="295"/>
      <c r="Q853" s="295"/>
      <c r="R853" s="295"/>
      <c r="S853" s="295"/>
      <c r="T853" s="295"/>
      <c r="U853" s="295"/>
      <c r="V853" s="295"/>
      <c r="W853" s="295"/>
      <c r="X853" s="295"/>
      <c r="Y853" s="295"/>
      <c r="Z853" s="295"/>
    </row>
    <row r="854" ht="29.25" customHeight="1">
      <c r="A854" s="295"/>
      <c r="B854" s="295"/>
      <c r="C854" s="295"/>
      <c r="D854" s="295"/>
      <c r="E854" s="295"/>
      <c r="F854" s="295"/>
      <c r="G854" s="295"/>
      <c r="H854" s="295"/>
      <c r="I854" s="295"/>
      <c r="J854" s="295"/>
      <c r="K854" s="295"/>
      <c r="L854" s="295"/>
      <c r="M854" s="295"/>
      <c r="N854" s="295"/>
      <c r="O854" s="297"/>
      <c r="P854" s="295"/>
      <c r="Q854" s="295"/>
      <c r="R854" s="295"/>
      <c r="S854" s="295"/>
      <c r="T854" s="295"/>
      <c r="U854" s="295"/>
      <c r="V854" s="295"/>
      <c r="W854" s="295"/>
      <c r="X854" s="295"/>
      <c r="Y854" s="295"/>
      <c r="Z854" s="295"/>
    </row>
    <row r="855" ht="29.25" customHeight="1">
      <c r="A855" s="295"/>
      <c r="B855" s="295"/>
      <c r="C855" s="295"/>
      <c r="D855" s="295"/>
      <c r="E855" s="295"/>
      <c r="F855" s="295"/>
      <c r="G855" s="295"/>
      <c r="H855" s="295"/>
      <c r="I855" s="295"/>
      <c r="J855" s="295"/>
      <c r="K855" s="295"/>
      <c r="L855" s="295"/>
      <c r="M855" s="295"/>
      <c r="N855" s="295"/>
      <c r="O855" s="297"/>
      <c r="P855" s="295"/>
      <c r="Q855" s="295"/>
      <c r="R855" s="295"/>
      <c r="S855" s="295"/>
      <c r="T855" s="295"/>
      <c r="U855" s="295"/>
      <c r="V855" s="295"/>
      <c r="W855" s="295"/>
      <c r="X855" s="295"/>
      <c r="Y855" s="295"/>
      <c r="Z855" s="295"/>
    </row>
    <row r="856" ht="29.25" customHeight="1">
      <c r="A856" s="295"/>
      <c r="B856" s="295"/>
      <c r="C856" s="295"/>
      <c r="D856" s="295"/>
      <c r="E856" s="295"/>
      <c r="F856" s="295"/>
      <c r="G856" s="295"/>
      <c r="H856" s="295"/>
      <c r="I856" s="295"/>
      <c r="J856" s="295"/>
      <c r="K856" s="295"/>
      <c r="L856" s="295"/>
      <c r="M856" s="295"/>
      <c r="N856" s="295"/>
      <c r="O856" s="297"/>
      <c r="P856" s="295"/>
      <c r="Q856" s="295"/>
      <c r="R856" s="295"/>
      <c r="S856" s="295"/>
      <c r="T856" s="295"/>
      <c r="U856" s="295"/>
      <c r="V856" s="295"/>
      <c r="W856" s="295"/>
      <c r="X856" s="295"/>
      <c r="Y856" s="295"/>
      <c r="Z856" s="295"/>
    </row>
    <row r="857" ht="29.25" customHeight="1">
      <c r="A857" s="295"/>
      <c r="B857" s="295"/>
      <c r="C857" s="295"/>
      <c r="D857" s="295"/>
      <c r="E857" s="295"/>
      <c r="F857" s="295"/>
      <c r="G857" s="295"/>
      <c r="H857" s="295"/>
      <c r="I857" s="295"/>
      <c r="J857" s="295"/>
      <c r="K857" s="295"/>
      <c r="L857" s="295"/>
      <c r="M857" s="295"/>
      <c r="N857" s="295"/>
      <c r="O857" s="297"/>
      <c r="P857" s="295"/>
      <c r="Q857" s="295"/>
      <c r="R857" s="295"/>
      <c r="S857" s="295"/>
      <c r="T857" s="295"/>
      <c r="U857" s="295"/>
      <c r="V857" s="295"/>
      <c r="W857" s="295"/>
      <c r="X857" s="295"/>
      <c r="Y857" s="295"/>
      <c r="Z857" s="295"/>
    </row>
    <row r="858" ht="29.25" customHeight="1">
      <c r="A858" s="295"/>
      <c r="B858" s="295"/>
      <c r="C858" s="295"/>
      <c r="D858" s="295"/>
      <c r="E858" s="295"/>
      <c r="F858" s="295"/>
      <c r="G858" s="295"/>
      <c r="H858" s="295"/>
      <c r="I858" s="295"/>
      <c r="J858" s="295"/>
      <c r="K858" s="295"/>
      <c r="L858" s="295"/>
      <c r="M858" s="295"/>
      <c r="N858" s="295"/>
      <c r="O858" s="297"/>
      <c r="P858" s="295"/>
      <c r="Q858" s="295"/>
      <c r="R858" s="295"/>
      <c r="S858" s="295"/>
      <c r="T858" s="295"/>
      <c r="U858" s="295"/>
      <c r="V858" s="295"/>
      <c r="W858" s="295"/>
      <c r="X858" s="295"/>
      <c r="Y858" s="295"/>
      <c r="Z858" s="295"/>
    </row>
    <row r="859" ht="29.25" customHeight="1">
      <c r="A859" s="295"/>
      <c r="B859" s="295"/>
      <c r="C859" s="295"/>
      <c r="D859" s="295"/>
      <c r="E859" s="295"/>
      <c r="F859" s="295"/>
      <c r="G859" s="295"/>
      <c r="H859" s="295"/>
      <c r="I859" s="295"/>
      <c r="J859" s="295"/>
      <c r="K859" s="295"/>
      <c r="L859" s="295"/>
      <c r="M859" s="295"/>
      <c r="N859" s="295"/>
      <c r="O859" s="297"/>
      <c r="P859" s="295"/>
      <c r="Q859" s="295"/>
      <c r="R859" s="295"/>
      <c r="S859" s="295"/>
      <c r="T859" s="295"/>
      <c r="U859" s="295"/>
      <c r="V859" s="295"/>
      <c r="W859" s="295"/>
      <c r="X859" s="295"/>
      <c r="Y859" s="295"/>
      <c r="Z859" s="295"/>
    </row>
    <row r="860" ht="29.25" customHeight="1">
      <c r="A860" s="295"/>
      <c r="B860" s="295"/>
      <c r="C860" s="295"/>
      <c r="D860" s="295"/>
      <c r="E860" s="295"/>
      <c r="F860" s="295"/>
      <c r="G860" s="295"/>
      <c r="H860" s="295"/>
      <c r="I860" s="295"/>
      <c r="J860" s="295"/>
      <c r="K860" s="295"/>
      <c r="L860" s="295"/>
      <c r="M860" s="295"/>
      <c r="N860" s="295"/>
      <c r="O860" s="297"/>
      <c r="P860" s="295"/>
      <c r="Q860" s="295"/>
      <c r="R860" s="295"/>
      <c r="S860" s="295"/>
      <c r="T860" s="295"/>
      <c r="U860" s="295"/>
      <c r="V860" s="295"/>
      <c r="W860" s="295"/>
      <c r="X860" s="295"/>
      <c r="Y860" s="295"/>
      <c r="Z860" s="295"/>
    </row>
    <row r="861" ht="29.25" customHeight="1">
      <c r="A861" s="295"/>
      <c r="B861" s="295"/>
      <c r="C861" s="295"/>
      <c r="D861" s="295"/>
      <c r="E861" s="295"/>
      <c r="F861" s="295"/>
      <c r="G861" s="295"/>
      <c r="H861" s="295"/>
      <c r="I861" s="295"/>
      <c r="J861" s="295"/>
      <c r="K861" s="295"/>
      <c r="L861" s="295"/>
      <c r="M861" s="295"/>
      <c r="N861" s="295"/>
      <c r="O861" s="297"/>
      <c r="P861" s="295"/>
      <c r="Q861" s="295"/>
      <c r="R861" s="295"/>
      <c r="S861" s="295"/>
      <c r="T861" s="295"/>
      <c r="U861" s="295"/>
      <c r="V861" s="295"/>
      <c r="W861" s="295"/>
      <c r="X861" s="295"/>
      <c r="Y861" s="295"/>
      <c r="Z861" s="295"/>
    </row>
    <row r="862" ht="29.25" customHeight="1">
      <c r="A862" s="295"/>
      <c r="B862" s="295"/>
      <c r="C862" s="295"/>
      <c r="D862" s="295"/>
      <c r="E862" s="295"/>
      <c r="F862" s="295"/>
      <c r="G862" s="295"/>
      <c r="H862" s="295"/>
      <c r="I862" s="295"/>
      <c r="J862" s="295"/>
      <c r="K862" s="295"/>
      <c r="L862" s="295"/>
      <c r="M862" s="295"/>
      <c r="N862" s="295"/>
      <c r="O862" s="297"/>
      <c r="P862" s="295"/>
      <c r="Q862" s="295"/>
      <c r="R862" s="295"/>
      <c r="S862" s="295"/>
      <c r="T862" s="295"/>
      <c r="U862" s="295"/>
      <c r="V862" s="295"/>
      <c r="W862" s="295"/>
      <c r="X862" s="295"/>
      <c r="Y862" s="295"/>
      <c r="Z862" s="295"/>
    </row>
    <row r="863" ht="29.25" customHeight="1">
      <c r="A863" s="295"/>
      <c r="B863" s="295"/>
      <c r="C863" s="295"/>
      <c r="D863" s="295"/>
      <c r="E863" s="295"/>
      <c r="F863" s="295"/>
      <c r="G863" s="295"/>
      <c r="H863" s="295"/>
      <c r="I863" s="295"/>
      <c r="J863" s="295"/>
      <c r="K863" s="295"/>
      <c r="L863" s="295"/>
      <c r="M863" s="295"/>
      <c r="N863" s="295"/>
      <c r="O863" s="297"/>
      <c r="P863" s="295"/>
      <c r="Q863" s="295"/>
      <c r="R863" s="295"/>
      <c r="S863" s="295"/>
      <c r="T863" s="295"/>
      <c r="U863" s="295"/>
      <c r="V863" s="295"/>
      <c r="W863" s="295"/>
      <c r="X863" s="295"/>
      <c r="Y863" s="295"/>
      <c r="Z863" s="295"/>
    </row>
    <row r="864" ht="29.25" customHeight="1">
      <c r="A864" s="295"/>
      <c r="B864" s="295"/>
      <c r="C864" s="295"/>
      <c r="D864" s="295"/>
      <c r="E864" s="295"/>
      <c r="F864" s="295"/>
      <c r="G864" s="295"/>
      <c r="H864" s="295"/>
      <c r="I864" s="295"/>
      <c r="J864" s="295"/>
      <c r="K864" s="295"/>
      <c r="L864" s="295"/>
      <c r="M864" s="295"/>
      <c r="N864" s="295"/>
      <c r="O864" s="297"/>
      <c r="P864" s="295"/>
      <c r="Q864" s="295"/>
      <c r="R864" s="295"/>
      <c r="S864" s="295"/>
      <c r="T864" s="295"/>
      <c r="U864" s="295"/>
      <c r="V864" s="295"/>
      <c r="W864" s="295"/>
      <c r="X864" s="295"/>
      <c r="Y864" s="295"/>
      <c r="Z864" s="295"/>
    </row>
    <row r="865" ht="29.25" customHeight="1">
      <c r="A865" s="295"/>
      <c r="B865" s="295"/>
      <c r="C865" s="295"/>
      <c r="D865" s="295"/>
      <c r="E865" s="295"/>
      <c r="F865" s="295"/>
      <c r="G865" s="295"/>
      <c r="H865" s="295"/>
      <c r="I865" s="295"/>
      <c r="J865" s="295"/>
      <c r="K865" s="295"/>
      <c r="L865" s="295"/>
      <c r="M865" s="295"/>
      <c r="N865" s="295"/>
      <c r="O865" s="297"/>
      <c r="P865" s="295"/>
      <c r="Q865" s="295"/>
      <c r="R865" s="295"/>
      <c r="S865" s="295"/>
      <c r="T865" s="295"/>
      <c r="U865" s="295"/>
      <c r="V865" s="295"/>
      <c r="W865" s="295"/>
      <c r="X865" s="295"/>
      <c r="Y865" s="295"/>
      <c r="Z865" s="295"/>
    </row>
    <row r="866" ht="29.25" customHeight="1">
      <c r="A866" s="295"/>
      <c r="B866" s="295"/>
      <c r="C866" s="295"/>
      <c r="D866" s="295"/>
      <c r="E866" s="295"/>
      <c r="F866" s="295"/>
      <c r="G866" s="295"/>
      <c r="H866" s="295"/>
      <c r="I866" s="295"/>
      <c r="J866" s="295"/>
      <c r="K866" s="295"/>
      <c r="L866" s="295"/>
      <c r="M866" s="295"/>
      <c r="N866" s="295"/>
      <c r="O866" s="297"/>
      <c r="P866" s="295"/>
      <c r="Q866" s="295"/>
      <c r="R866" s="295"/>
      <c r="S866" s="295"/>
      <c r="T866" s="295"/>
      <c r="U866" s="295"/>
      <c r="V866" s="295"/>
      <c r="W866" s="295"/>
      <c r="X866" s="295"/>
      <c r="Y866" s="295"/>
      <c r="Z866" s="295"/>
    </row>
    <row r="867" ht="29.25" customHeight="1">
      <c r="A867" s="295"/>
      <c r="B867" s="295"/>
      <c r="C867" s="295"/>
      <c r="D867" s="295"/>
      <c r="E867" s="295"/>
      <c r="F867" s="295"/>
      <c r="G867" s="295"/>
      <c r="H867" s="295"/>
      <c r="I867" s="295"/>
      <c r="J867" s="295"/>
      <c r="K867" s="295"/>
      <c r="L867" s="295"/>
      <c r="M867" s="295"/>
      <c r="N867" s="295"/>
      <c r="O867" s="297"/>
      <c r="P867" s="295"/>
      <c r="Q867" s="295"/>
      <c r="R867" s="295"/>
      <c r="S867" s="295"/>
      <c r="T867" s="295"/>
      <c r="U867" s="295"/>
      <c r="V867" s="295"/>
      <c r="W867" s="295"/>
      <c r="X867" s="295"/>
      <c r="Y867" s="295"/>
      <c r="Z867" s="295"/>
    </row>
    <row r="868" ht="29.25" customHeight="1">
      <c r="A868" s="295"/>
      <c r="B868" s="295"/>
      <c r="C868" s="295"/>
      <c r="D868" s="295"/>
      <c r="E868" s="295"/>
      <c r="F868" s="295"/>
      <c r="G868" s="295"/>
      <c r="H868" s="295"/>
      <c r="I868" s="295"/>
      <c r="J868" s="295"/>
      <c r="K868" s="295"/>
      <c r="L868" s="295"/>
      <c r="M868" s="295"/>
      <c r="N868" s="295"/>
      <c r="O868" s="297"/>
      <c r="P868" s="295"/>
      <c r="Q868" s="295"/>
      <c r="R868" s="295"/>
      <c r="S868" s="295"/>
      <c r="T868" s="295"/>
      <c r="U868" s="295"/>
      <c r="V868" s="295"/>
      <c r="W868" s="295"/>
      <c r="X868" s="295"/>
      <c r="Y868" s="295"/>
      <c r="Z868" s="295"/>
    </row>
    <row r="869" ht="29.25" customHeight="1">
      <c r="A869" s="295"/>
      <c r="B869" s="295"/>
      <c r="C869" s="295"/>
      <c r="D869" s="295"/>
      <c r="E869" s="295"/>
      <c r="F869" s="295"/>
      <c r="G869" s="295"/>
      <c r="H869" s="295"/>
      <c r="I869" s="295"/>
      <c r="J869" s="295"/>
      <c r="K869" s="295"/>
      <c r="L869" s="295"/>
      <c r="M869" s="295"/>
      <c r="N869" s="295"/>
      <c r="O869" s="297"/>
      <c r="P869" s="295"/>
      <c r="Q869" s="295"/>
      <c r="R869" s="295"/>
      <c r="S869" s="295"/>
      <c r="T869" s="295"/>
      <c r="U869" s="295"/>
      <c r="V869" s="295"/>
      <c r="W869" s="295"/>
      <c r="X869" s="295"/>
      <c r="Y869" s="295"/>
      <c r="Z869" s="295"/>
    </row>
    <row r="870" ht="29.25" customHeight="1">
      <c r="A870" s="295"/>
      <c r="B870" s="295"/>
      <c r="C870" s="295"/>
      <c r="D870" s="295"/>
      <c r="E870" s="295"/>
      <c r="F870" s="295"/>
      <c r="G870" s="295"/>
      <c r="H870" s="295"/>
      <c r="I870" s="295"/>
      <c r="J870" s="295"/>
      <c r="K870" s="295"/>
      <c r="L870" s="295"/>
      <c r="M870" s="295"/>
      <c r="N870" s="295"/>
      <c r="O870" s="297"/>
      <c r="P870" s="295"/>
      <c r="Q870" s="295"/>
      <c r="R870" s="295"/>
      <c r="S870" s="295"/>
      <c r="T870" s="295"/>
      <c r="U870" s="295"/>
      <c r="V870" s="295"/>
      <c r="W870" s="295"/>
      <c r="X870" s="295"/>
      <c r="Y870" s="295"/>
      <c r="Z870" s="295"/>
    </row>
    <row r="871" ht="29.25" customHeight="1">
      <c r="A871" s="295"/>
      <c r="B871" s="295"/>
      <c r="C871" s="295"/>
      <c r="D871" s="295"/>
      <c r="E871" s="295"/>
      <c r="F871" s="295"/>
      <c r="G871" s="295"/>
      <c r="H871" s="295"/>
      <c r="I871" s="295"/>
      <c r="J871" s="295"/>
      <c r="K871" s="295"/>
      <c r="L871" s="295"/>
      <c r="M871" s="295"/>
      <c r="N871" s="295"/>
      <c r="O871" s="297"/>
      <c r="P871" s="295"/>
      <c r="Q871" s="295"/>
      <c r="R871" s="295"/>
      <c r="S871" s="295"/>
      <c r="T871" s="295"/>
      <c r="U871" s="295"/>
      <c r="V871" s="295"/>
      <c r="W871" s="295"/>
      <c r="X871" s="295"/>
      <c r="Y871" s="295"/>
      <c r="Z871" s="295"/>
    </row>
    <row r="872" ht="29.25" customHeight="1">
      <c r="A872" s="295"/>
      <c r="B872" s="295"/>
      <c r="C872" s="295"/>
      <c r="D872" s="295"/>
      <c r="E872" s="295"/>
      <c r="F872" s="295"/>
      <c r="G872" s="295"/>
      <c r="H872" s="295"/>
      <c r="I872" s="295"/>
      <c r="J872" s="295"/>
      <c r="K872" s="295"/>
      <c r="L872" s="295"/>
      <c r="M872" s="295"/>
      <c r="N872" s="295"/>
      <c r="O872" s="297"/>
      <c r="P872" s="295"/>
      <c r="Q872" s="295"/>
      <c r="R872" s="295"/>
      <c r="S872" s="295"/>
      <c r="T872" s="295"/>
      <c r="U872" s="295"/>
      <c r="V872" s="295"/>
      <c r="W872" s="295"/>
      <c r="X872" s="295"/>
      <c r="Y872" s="295"/>
      <c r="Z872" s="295"/>
    </row>
    <row r="873" ht="29.25" customHeight="1">
      <c r="A873" s="295"/>
      <c r="B873" s="295"/>
      <c r="C873" s="295"/>
      <c r="D873" s="295"/>
      <c r="E873" s="295"/>
      <c r="F873" s="295"/>
      <c r="G873" s="295"/>
      <c r="H873" s="295"/>
      <c r="I873" s="295"/>
      <c r="J873" s="295"/>
      <c r="K873" s="295"/>
      <c r="L873" s="295"/>
      <c r="M873" s="295"/>
      <c r="N873" s="295"/>
      <c r="O873" s="297"/>
      <c r="P873" s="295"/>
      <c r="Q873" s="295"/>
      <c r="R873" s="295"/>
      <c r="S873" s="295"/>
      <c r="T873" s="295"/>
      <c r="U873" s="295"/>
      <c r="V873" s="295"/>
      <c r="W873" s="295"/>
      <c r="X873" s="295"/>
      <c r="Y873" s="295"/>
      <c r="Z873" s="295"/>
    </row>
    <row r="874" ht="29.25" customHeight="1">
      <c r="A874" s="295"/>
      <c r="B874" s="295"/>
      <c r="C874" s="295"/>
      <c r="D874" s="295"/>
      <c r="E874" s="295"/>
      <c r="F874" s="295"/>
      <c r="G874" s="295"/>
      <c r="H874" s="295"/>
      <c r="I874" s="295"/>
      <c r="J874" s="295"/>
      <c r="K874" s="295"/>
      <c r="L874" s="295"/>
      <c r="M874" s="295"/>
      <c r="N874" s="295"/>
      <c r="O874" s="297"/>
      <c r="P874" s="295"/>
      <c r="Q874" s="295"/>
      <c r="R874" s="295"/>
      <c r="S874" s="295"/>
      <c r="T874" s="295"/>
      <c r="U874" s="295"/>
      <c r="V874" s="295"/>
      <c r="W874" s="295"/>
      <c r="X874" s="295"/>
      <c r="Y874" s="295"/>
      <c r="Z874" s="295"/>
    </row>
    <row r="875" ht="29.25" customHeight="1">
      <c r="A875" s="295"/>
      <c r="B875" s="295"/>
      <c r="C875" s="295"/>
      <c r="D875" s="295"/>
      <c r="E875" s="295"/>
      <c r="F875" s="295"/>
      <c r="G875" s="295"/>
      <c r="H875" s="295"/>
      <c r="I875" s="295"/>
      <c r="J875" s="295"/>
      <c r="K875" s="295"/>
      <c r="L875" s="295"/>
      <c r="M875" s="295"/>
      <c r="N875" s="295"/>
      <c r="O875" s="297"/>
      <c r="P875" s="295"/>
      <c r="Q875" s="295"/>
      <c r="R875" s="295"/>
      <c r="S875" s="295"/>
      <c r="T875" s="295"/>
      <c r="U875" s="295"/>
      <c r="V875" s="295"/>
      <c r="W875" s="295"/>
      <c r="X875" s="295"/>
      <c r="Y875" s="295"/>
      <c r="Z875" s="295"/>
    </row>
    <row r="876" ht="29.25" customHeight="1">
      <c r="A876" s="295"/>
      <c r="B876" s="295"/>
      <c r="C876" s="295"/>
      <c r="D876" s="295"/>
      <c r="E876" s="295"/>
      <c r="F876" s="295"/>
      <c r="G876" s="295"/>
      <c r="H876" s="295"/>
      <c r="I876" s="295"/>
      <c r="J876" s="295"/>
      <c r="K876" s="295"/>
      <c r="L876" s="295"/>
      <c r="M876" s="295"/>
      <c r="N876" s="295"/>
      <c r="O876" s="297"/>
      <c r="P876" s="295"/>
      <c r="Q876" s="295"/>
      <c r="R876" s="295"/>
      <c r="S876" s="295"/>
      <c r="T876" s="295"/>
      <c r="U876" s="295"/>
      <c r="V876" s="295"/>
      <c r="W876" s="295"/>
      <c r="X876" s="295"/>
      <c r="Y876" s="295"/>
      <c r="Z876" s="295"/>
    </row>
    <row r="877" ht="29.25" customHeight="1">
      <c r="A877" s="295"/>
      <c r="B877" s="295"/>
      <c r="C877" s="295"/>
      <c r="D877" s="295"/>
      <c r="E877" s="295"/>
      <c r="F877" s="295"/>
      <c r="G877" s="295"/>
      <c r="H877" s="295"/>
      <c r="I877" s="295"/>
      <c r="J877" s="295"/>
      <c r="K877" s="295"/>
      <c r="L877" s="295"/>
      <c r="M877" s="295"/>
      <c r="N877" s="295"/>
      <c r="O877" s="297"/>
      <c r="P877" s="295"/>
      <c r="Q877" s="295"/>
      <c r="R877" s="295"/>
      <c r="S877" s="295"/>
      <c r="T877" s="295"/>
      <c r="U877" s="295"/>
      <c r="V877" s="295"/>
      <c r="W877" s="295"/>
      <c r="X877" s="295"/>
      <c r="Y877" s="295"/>
      <c r="Z877" s="295"/>
    </row>
    <row r="878" ht="29.25" customHeight="1">
      <c r="A878" s="295"/>
      <c r="B878" s="295"/>
      <c r="C878" s="295"/>
      <c r="D878" s="295"/>
      <c r="E878" s="295"/>
      <c r="F878" s="295"/>
      <c r="G878" s="295"/>
      <c r="H878" s="295"/>
      <c r="I878" s="295"/>
      <c r="J878" s="295"/>
      <c r="K878" s="295"/>
      <c r="L878" s="295"/>
      <c r="M878" s="295"/>
      <c r="N878" s="295"/>
      <c r="O878" s="297"/>
      <c r="P878" s="295"/>
      <c r="Q878" s="295"/>
      <c r="R878" s="295"/>
      <c r="S878" s="295"/>
      <c r="T878" s="295"/>
      <c r="U878" s="295"/>
      <c r="V878" s="295"/>
      <c r="W878" s="295"/>
      <c r="X878" s="295"/>
      <c r="Y878" s="295"/>
      <c r="Z878" s="295"/>
    </row>
    <row r="879" ht="29.25" customHeight="1">
      <c r="A879" s="295"/>
      <c r="B879" s="295"/>
      <c r="C879" s="295"/>
      <c r="D879" s="295"/>
      <c r="E879" s="295"/>
      <c r="F879" s="295"/>
      <c r="G879" s="295"/>
      <c r="H879" s="295"/>
      <c r="I879" s="295"/>
      <c r="J879" s="295"/>
      <c r="K879" s="295"/>
      <c r="L879" s="295"/>
      <c r="M879" s="295"/>
      <c r="N879" s="295"/>
      <c r="O879" s="297"/>
      <c r="P879" s="295"/>
      <c r="Q879" s="295"/>
      <c r="R879" s="295"/>
      <c r="S879" s="295"/>
      <c r="T879" s="295"/>
      <c r="U879" s="295"/>
      <c r="V879" s="295"/>
      <c r="W879" s="295"/>
      <c r="X879" s="295"/>
      <c r="Y879" s="295"/>
      <c r="Z879" s="295"/>
    </row>
    <row r="880" ht="29.25" customHeight="1">
      <c r="A880" s="295"/>
      <c r="B880" s="295"/>
      <c r="C880" s="295"/>
      <c r="D880" s="295"/>
      <c r="E880" s="295"/>
      <c r="F880" s="295"/>
      <c r="G880" s="295"/>
      <c r="H880" s="295"/>
      <c r="I880" s="295"/>
      <c r="J880" s="295"/>
      <c r="K880" s="295"/>
      <c r="L880" s="295"/>
      <c r="M880" s="295"/>
      <c r="N880" s="295"/>
      <c r="O880" s="297"/>
      <c r="P880" s="295"/>
      <c r="Q880" s="295"/>
      <c r="R880" s="295"/>
      <c r="S880" s="295"/>
      <c r="T880" s="295"/>
      <c r="U880" s="295"/>
      <c r="V880" s="295"/>
      <c r="W880" s="295"/>
      <c r="X880" s="295"/>
      <c r="Y880" s="295"/>
      <c r="Z880" s="295"/>
    </row>
    <row r="881" ht="29.25" customHeight="1">
      <c r="A881" s="295"/>
      <c r="B881" s="295"/>
      <c r="C881" s="295"/>
      <c r="D881" s="295"/>
      <c r="E881" s="295"/>
      <c r="F881" s="295"/>
      <c r="G881" s="295"/>
      <c r="H881" s="295"/>
      <c r="I881" s="295"/>
      <c r="J881" s="295"/>
      <c r="K881" s="295"/>
      <c r="L881" s="295"/>
      <c r="M881" s="295"/>
      <c r="N881" s="295"/>
      <c r="O881" s="297"/>
      <c r="P881" s="295"/>
      <c r="Q881" s="295"/>
      <c r="R881" s="295"/>
      <c r="S881" s="295"/>
      <c r="T881" s="295"/>
      <c r="U881" s="295"/>
      <c r="V881" s="295"/>
      <c r="W881" s="295"/>
      <c r="X881" s="295"/>
      <c r="Y881" s="295"/>
      <c r="Z881" s="295"/>
    </row>
    <row r="882" ht="29.25" customHeight="1">
      <c r="A882" s="295"/>
      <c r="B882" s="295"/>
      <c r="C882" s="295"/>
      <c r="D882" s="295"/>
      <c r="E882" s="295"/>
      <c r="F882" s="295"/>
      <c r="G882" s="295"/>
      <c r="H882" s="295"/>
      <c r="I882" s="295"/>
      <c r="J882" s="295"/>
      <c r="K882" s="295"/>
      <c r="L882" s="295"/>
      <c r="M882" s="295"/>
      <c r="N882" s="295"/>
      <c r="O882" s="297"/>
      <c r="P882" s="295"/>
      <c r="Q882" s="295"/>
      <c r="R882" s="295"/>
      <c r="S882" s="295"/>
      <c r="T882" s="295"/>
      <c r="U882" s="295"/>
      <c r="V882" s="295"/>
      <c r="W882" s="295"/>
      <c r="X882" s="295"/>
      <c r="Y882" s="295"/>
      <c r="Z882" s="295"/>
    </row>
    <row r="883" ht="29.25" customHeight="1">
      <c r="A883" s="295"/>
      <c r="B883" s="295"/>
      <c r="C883" s="295"/>
      <c r="D883" s="295"/>
      <c r="E883" s="295"/>
      <c r="F883" s="295"/>
      <c r="G883" s="295"/>
      <c r="H883" s="295"/>
      <c r="I883" s="295"/>
      <c r="J883" s="295"/>
      <c r="K883" s="295"/>
      <c r="L883" s="295"/>
      <c r="M883" s="295"/>
      <c r="N883" s="295"/>
      <c r="O883" s="297"/>
      <c r="P883" s="295"/>
      <c r="Q883" s="295"/>
      <c r="R883" s="295"/>
      <c r="S883" s="295"/>
      <c r="T883" s="295"/>
      <c r="U883" s="295"/>
      <c r="V883" s="295"/>
      <c r="W883" s="295"/>
      <c r="X883" s="295"/>
      <c r="Y883" s="295"/>
      <c r="Z883" s="295"/>
    </row>
    <row r="884" ht="29.25" customHeight="1">
      <c r="A884" s="295"/>
      <c r="B884" s="295"/>
      <c r="C884" s="295"/>
      <c r="D884" s="295"/>
      <c r="E884" s="295"/>
      <c r="F884" s="295"/>
      <c r="G884" s="295"/>
      <c r="H884" s="295"/>
      <c r="I884" s="295"/>
      <c r="J884" s="295"/>
      <c r="K884" s="295"/>
      <c r="L884" s="295"/>
      <c r="M884" s="295"/>
      <c r="N884" s="295"/>
      <c r="O884" s="297"/>
      <c r="P884" s="295"/>
      <c r="Q884" s="295"/>
      <c r="R884" s="295"/>
      <c r="S884" s="295"/>
      <c r="T884" s="295"/>
      <c r="U884" s="295"/>
      <c r="V884" s="295"/>
      <c r="W884" s="295"/>
      <c r="X884" s="295"/>
      <c r="Y884" s="295"/>
      <c r="Z884" s="295"/>
    </row>
    <row r="885" ht="29.25" customHeight="1">
      <c r="A885" s="295"/>
      <c r="B885" s="295"/>
      <c r="C885" s="295"/>
      <c r="D885" s="295"/>
      <c r="E885" s="295"/>
      <c r="F885" s="295"/>
      <c r="G885" s="295"/>
      <c r="H885" s="295"/>
      <c r="I885" s="295"/>
      <c r="J885" s="295"/>
      <c r="K885" s="295"/>
      <c r="L885" s="295"/>
      <c r="M885" s="295"/>
      <c r="N885" s="295"/>
      <c r="O885" s="297"/>
      <c r="P885" s="295"/>
      <c r="Q885" s="295"/>
      <c r="R885" s="295"/>
      <c r="S885" s="295"/>
      <c r="T885" s="295"/>
      <c r="U885" s="295"/>
      <c r="V885" s="295"/>
      <c r="W885" s="295"/>
      <c r="X885" s="295"/>
      <c r="Y885" s="295"/>
      <c r="Z885" s="295"/>
    </row>
    <row r="886" ht="29.25" customHeight="1">
      <c r="A886" s="295"/>
      <c r="B886" s="295"/>
      <c r="C886" s="295"/>
      <c r="D886" s="295"/>
      <c r="E886" s="295"/>
      <c r="F886" s="295"/>
      <c r="G886" s="295"/>
      <c r="H886" s="295"/>
      <c r="I886" s="295"/>
      <c r="J886" s="295"/>
      <c r="K886" s="295"/>
      <c r="L886" s="295"/>
      <c r="M886" s="295"/>
      <c r="N886" s="295"/>
      <c r="O886" s="297"/>
      <c r="P886" s="295"/>
      <c r="Q886" s="295"/>
      <c r="R886" s="295"/>
      <c r="S886" s="295"/>
      <c r="T886" s="295"/>
      <c r="U886" s="295"/>
      <c r="V886" s="295"/>
      <c r="W886" s="295"/>
      <c r="X886" s="295"/>
      <c r="Y886" s="295"/>
      <c r="Z886" s="295"/>
    </row>
    <row r="887" ht="29.25" customHeight="1">
      <c r="A887" s="295"/>
      <c r="B887" s="295"/>
      <c r="C887" s="295"/>
      <c r="D887" s="295"/>
      <c r="E887" s="295"/>
      <c r="F887" s="295"/>
      <c r="G887" s="295"/>
      <c r="H887" s="295"/>
      <c r="I887" s="295"/>
      <c r="J887" s="295"/>
      <c r="K887" s="295"/>
      <c r="L887" s="295"/>
      <c r="M887" s="295"/>
      <c r="N887" s="295"/>
      <c r="O887" s="297"/>
      <c r="P887" s="295"/>
      <c r="Q887" s="295"/>
      <c r="R887" s="295"/>
      <c r="S887" s="295"/>
      <c r="T887" s="295"/>
      <c r="U887" s="295"/>
      <c r="V887" s="295"/>
      <c r="W887" s="295"/>
      <c r="X887" s="295"/>
      <c r="Y887" s="295"/>
      <c r="Z887" s="295"/>
    </row>
    <row r="888" ht="29.25" customHeight="1">
      <c r="A888" s="295"/>
      <c r="B888" s="295"/>
      <c r="C888" s="295"/>
      <c r="D888" s="295"/>
      <c r="E888" s="295"/>
      <c r="F888" s="295"/>
      <c r="G888" s="295"/>
      <c r="H888" s="295"/>
      <c r="I888" s="295"/>
      <c r="J888" s="295"/>
      <c r="K888" s="295"/>
      <c r="L888" s="295"/>
      <c r="M888" s="295"/>
      <c r="N888" s="295"/>
      <c r="O888" s="297"/>
      <c r="P888" s="295"/>
      <c r="Q888" s="295"/>
      <c r="R888" s="295"/>
      <c r="S888" s="295"/>
      <c r="T888" s="295"/>
      <c r="U888" s="295"/>
      <c r="V888" s="295"/>
      <c r="W888" s="295"/>
      <c r="X888" s="295"/>
      <c r="Y888" s="295"/>
      <c r="Z888" s="295"/>
    </row>
    <row r="889" ht="29.25" customHeight="1">
      <c r="A889" s="295"/>
      <c r="B889" s="295"/>
      <c r="C889" s="295"/>
      <c r="D889" s="295"/>
      <c r="E889" s="295"/>
      <c r="F889" s="295"/>
      <c r="G889" s="295"/>
      <c r="H889" s="295"/>
      <c r="I889" s="295"/>
      <c r="J889" s="295"/>
      <c r="K889" s="295"/>
      <c r="L889" s="295"/>
      <c r="M889" s="295"/>
      <c r="N889" s="295"/>
      <c r="O889" s="297"/>
      <c r="P889" s="295"/>
      <c r="Q889" s="295"/>
      <c r="R889" s="295"/>
      <c r="S889" s="295"/>
      <c r="T889" s="295"/>
      <c r="U889" s="295"/>
      <c r="V889" s="295"/>
      <c r="W889" s="295"/>
      <c r="X889" s="295"/>
      <c r="Y889" s="295"/>
      <c r="Z889" s="295"/>
    </row>
    <row r="890" ht="29.25" customHeight="1">
      <c r="A890" s="295"/>
      <c r="B890" s="295"/>
      <c r="C890" s="295"/>
      <c r="D890" s="295"/>
      <c r="E890" s="295"/>
      <c r="F890" s="295"/>
      <c r="G890" s="295"/>
      <c r="H890" s="295"/>
      <c r="I890" s="295"/>
      <c r="J890" s="295"/>
      <c r="K890" s="295"/>
      <c r="L890" s="295"/>
      <c r="M890" s="295"/>
      <c r="N890" s="295"/>
      <c r="O890" s="297"/>
      <c r="P890" s="295"/>
      <c r="Q890" s="295"/>
      <c r="R890" s="295"/>
      <c r="S890" s="295"/>
      <c r="T890" s="295"/>
      <c r="U890" s="295"/>
      <c r="V890" s="295"/>
      <c r="W890" s="295"/>
      <c r="X890" s="295"/>
      <c r="Y890" s="295"/>
      <c r="Z890" s="295"/>
    </row>
    <row r="891" ht="29.25" customHeight="1">
      <c r="A891" s="295"/>
      <c r="B891" s="295"/>
      <c r="C891" s="295"/>
      <c r="D891" s="295"/>
      <c r="E891" s="295"/>
      <c r="F891" s="295"/>
      <c r="G891" s="295"/>
      <c r="H891" s="295"/>
      <c r="I891" s="295"/>
      <c r="J891" s="295"/>
      <c r="K891" s="295"/>
      <c r="L891" s="295"/>
      <c r="M891" s="295"/>
      <c r="N891" s="295"/>
      <c r="O891" s="297"/>
      <c r="P891" s="295"/>
      <c r="Q891" s="295"/>
      <c r="R891" s="295"/>
      <c r="S891" s="295"/>
      <c r="T891" s="295"/>
      <c r="U891" s="295"/>
      <c r="V891" s="295"/>
      <c r="W891" s="295"/>
      <c r="X891" s="295"/>
      <c r="Y891" s="295"/>
      <c r="Z891" s="295"/>
    </row>
    <row r="892" ht="29.25" customHeight="1">
      <c r="A892" s="295"/>
      <c r="B892" s="295"/>
      <c r="C892" s="295"/>
      <c r="D892" s="295"/>
      <c r="E892" s="295"/>
      <c r="F892" s="295"/>
      <c r="G892" s="295"/>
      <c r="H892" s="295"/>
      <c r="I892" s="295"/>
      <c r="J892" s="295"/>
      <c r="K892" s="295"/>
      <c r="L892" s="295"/>
      <c r="M892" s="295"/>
      <c r="N892" s="295"/>
      <c r="O892" s="297"/>
      <c r="P892" s="295"/>
      <c r="Q892" s="295"/>
      <c r="R892" s="295"/>
      <c r="S892" s="295"/>
      <c r="T892" s="295"/>
      <c r="U892" s="295"/>
      <c r="V892" s="295"/>
      <c r="W892" s="295"/>
      <c r="X892" s="295"/>
      <c r="Y892" s="295"/>
      <c r="Z892" s="295"/>
    </row>
    <row r="893" ht="29.25" customHeight="1">
      <c r="A893" s="295"/>
      <c r="B893" s="295"/>
      <c r="C893" s="295"/>
      <c r="D893" s="295"/>
      <c r="E893" s="295"/>
      <c r="F893" s="295"/>
      <c r="G893" s="295"/>
      <c r="H893" s="295"/>
      <c r="I893" s="295"/>
      <c r="J893" s="295"/>
      <c r="K893" s="295"/>
      <c r="L893" s="295"/>
      <c r="M893" s="295"/>
      <c r="N893" s="295"/>
      <c r="O893" s="297"/>
      <c r="P893" s="295"/>
      <c r="Q893" s="295"/>
      <c r="R893" s="295"/>
      <c r="S893" s="295"/>
      <c r="T893" s="295"/>
      <c r="U893" s="295"/>
      <c r="V893" s="295"/>
      <c r="W893" s="295"/>
      <c r="X893" s="295"/>
      <c r="Y893" s="295"/>
      <c r="Z893" s="295"/>
    </row>
    <row r="894" ht="29.25" customHeight="1">
      <c r="A894" s="295"/>
      <c r="B894" s="295"/>
      <c r="C894" s="295"/>
      <c r="D894" s="295"/>
      <c r="E894" s="295"/>
      <c r="F894" s="295"/>
      <c r="G894" s="295"/>
      <c r="H894" s="295"/>
      <c r="I894" s="295"/>
      <c r="J894" s="295"/>
      <c r="K894" s="295"/>
      <c r="L894" s="295"/>
      <c r="M894" s="295"/>
      <c r="N894" s="295"/>
      <c r="O894" s="297"/>
      <c r="P894" s="295"/>
      <c r="Q894" s="295"/>
      <c r="R894" s="295"/>
      <c r="S894" s="295"/>
      <c r="T894" s="295"/>
      <c r="U894" s="295"/>
      <c r="V894" s="295"/>
      <c r="W894" s="295"/>
      <c r="X894" s="295"/>
      <c r="Y894" s="295"/>
      <c r="Z894" s="295"/>
    </row>
    <row r="895" ht="29.25" customHeight="1">
      <c r="A895" s="295"/>
      <c r="B895" s="295"/>
      <c r="C895" s="295"/>
      <c r="D895" s="295"/>
      <c r="E895" s="295"/>
      <c r="F895" s="295"/>
      <c r="G895" s="295"/>
      <c r="H895" s="295"/>
      <c r="I895" s="295"/>
      <c r="J895" s="295"/>
      <c r="K895" s="295"/>
      <c r="L895" s="295"/>
      <c r="M895" s="295"/>
      <c r="N895" s="295"/>
      <c r="O895" s="297"/>
      <c r="P895" s="295"/>
      <c r="Q895" s="295"/>
      <c r="R895" s="295"/>
      <c r="S895" s="295"/>
      <c r="T895" s="295"/>
      <c r="U895" s="295"/>
      <c r="V895" s="295"/>
      <c r="W895" s="295"/>
      <c r="X895" s="295"/>
      <c r="Y895" s="295"/>
      <c r="Z895" s="295"/>
    </row>
    <row r="896" ht="29.25" customHeight="1">
      <c r="A896" s="295"/>
      <c r="B896" s="295"/>
      <c r="C896" s="295"/>
      <c r="D896" s="295"/>
      <c r="E896" s="295"/>
      <c r="F896" s="295"/>
      <c r="G896" s="295"/>
      <c r="H896" s="295"/>
      <c r="I896" s="295"/>
      <c r="J896" s="295"/>
      <c r="K896" s="295"/>
      <c r="L896" s="295"/>
      <c r="M896" s="295"/>
      <c r="N896" s="295"/>
      <c r="O896" s="297"/>
      <c r="P896" s="295"/>
      <c r="Q896" s="295"/>
      <c r="R896" s="295"/>
      <c r="S896" s="295"/>
      <c r="T896" s="295"/>
      <c r="U896" s="295"/>
      <c r="V896" s="295"/>
      <c r="W896" s="295"/>
      <c r="X896" s="295"/>
      <c r="Y896" s="295"/>
      <c r="Z896" s="295"/>
    </row>
    <row r="897" ht="29.25" customHeight="1">
      <c r="A897" s="295"/>
      <c r="B897" s="295"/>
      <c r="C897" s="295"/>
      <c r="D897" s="295"/>
      <c r="E897" s="295"/>
      <c r="F897" s="295"/>
      <c r="G897" s="295"/>
      <c r="H897" s="295"/>
      <c r="I897" s="295"/>
      <c r="J897" s="295"/>
      <c r="K897" s="295"/>
      <c r="L897" s="295"/>
      <c r="M897" s="295"/>
      <c r="N897" s="295"/>
      <c r="O897" s="297"/>
      <c r="P897" s="295"/>
      <c r="Q897" s="295"/>
      <c r="R897" s="295"/>
      <c r="S897" s="295"/>
      <c r="T897" s="295"/>
      <c r="U897" s="295"/>
      <c r="V897" s="295"/>
      <c r="W897" s="295"/>
      <c r="X897" s="295"/>
      <c r="Y897" s="295"/>
      <c r="Z897" s="295"/>
    </row>
    <row r="898" ht="29.25" customHeight="1">
      <c r="A898" s="295"/>
      <c r="B898" s="295"/>
      <c r="C898" s="295"/>
      <c r="D898" s="295"/>
      <c r="E898" s="295"/>
      <c r="F898" s="295"/>
      <c r="G898" s="295"/>
      <c r="H898" s="295"/>
      <c r="I898" s="295"/>
      <c r="J898" s="295"/>
      <c r="K898" s="295"/>
      <c r="L898" s="295"/>
      <c r="M898" s="295"/>
      <c r="N898" s="295"/>
      <c r="O898" s="297"/>
      <c r="P898" s="295"/>
      <c r="Q898" s="295"/>
      <c r="R898" s="295"/>
      <c r="S898" s="295"/>
      <c r="T898" s="295"/>
      <c r="U898" s="295"/>
      <c r="V898" s="295"/>
      <c r="W898" s="295"/>
      <c r="X898" s="295"/>
      <c r="Y898" s="295"/>
      <c r="Z898" s="295"/>
    </row>
    <row r="899" ht="29.25" customHeight="1">
      <c r="A899" s="295"/>
      <c r="B899" s="295"/>
      <c r="C899" s="295"/>
      <c r="D899" s="295"/>
      <c r="E899" s="295"/>
      <c r="F899" s="295"/>
      <c r="G899" s="295"/>
      <c r="H899" s="295"/>
      <c r="I899" s="295"/>
      <c r="J899" s="295"/>
      <c r="K899" s="295"/>
      <c r="L899" s="295"/>
      <c r="M899" s="295"/>
      <c r="N899" s="295"/>
      <c r="O899" s="297"/>
      <c r="P899" s="295"/>
      <c r="Q899" s="295"/>
      <c r="R899" s="295"/>
      <c r="S899" s="295"/>
      <c r="T899" s="295"/>
      <c r="U899" s="295"/>
      <c r="V899" s="295"/>
      <c r="W899" s="295"/>
      <c r="X899" s="295"/>
      <c r="Y899" s="295"/>
      <c r="Z899" s="295"/>
    </row>
    <row r="900" ht="29.25" customHeight="1">
      <c r="A900" s="295"/>
      <c r="B900" s="295"/>
      <c r="C900" s="295"/>
      <c r="D900" s="295"/>
      <c r="E900" s="295"/>
      <c r="F900" s="295"/>
      <c r="G900" s="295"/>
      <c r="H900" s="295"/>
      <c r="I900" s="295"/>
      <c r="J900" s="295"/>
      <c r="K900" s="295"/>
      <c r="L900" s="295"/>
      <c r="M900" s="295"/>
      <c r="N900" s="295"/>
      <c r="O900" s="297"/>
      <c r="P900" s="295"/>
      <c r="Q900" s="295"/>
      <c r="R900" s="295"/>
      <c r="S900" s="295"/>
      <c r="T900" s="295"/>
      <c r="U900" s="295"/>
      <c r="V900" s="295"/>
      <c r="W900" s="295"/>
      <c r="X900" s="295"/>
      <c r="Y900" s="295"/>
      <c r="Z900" s="295"/>
    </row>
    <row r="901" ht="29.25" customHeight="1">
      <c r="A901" s="295"/>
      <c r="B901" s="295"/>
      <c r="C901" s="295"/>
      <c r="D901" s="295"/>
      <c r="E901" s="295"/>
      <c r="F901" s="295"/>
      <c r="G901" s="295"/>
      <c r="H901" s="295"/>
      <c r="I901" s="295"/>
      <c r="J901" s="295"/>
      <c r="K901" s="295"/>
      <c r="L901" s="295"/>
      <c r="M901" s="295"/>
      <c r="N901" s="295"/>
      <c r="O901" s="297"/>
      <c r="P901" s="295"/>
      <c r="Q901" s="295"/>
      <c r="R901" s="295"/>
      <c r="S901" s="295"/>
      <c r="T901" s="295"/>
      <c r="U901" s="295"/>
      <c r="V901" s="295"/>
      <c r="W901" s="295"/>
      <c r="X901" s="295"/>
      <c r="Y901" s="295"/>
      <c r="Z901" s="295"/>
    </row>
    <row r="902" ht="29.25" customHeight="1">
      <c r="A902" s="295"/>
      <c r="B902" s="295"/>
      <c r="C902" s="295"/>
      <c r="D902" s="295"/>
      <c r="E902" s="295"/>
      <c r="F902" s="295"/>
      <c r="G902" s="295"/>
      <c r="H902" s="295"/>
      <c r="I902" s="295"/>
      <c r="J902" s="295"/>
      <c r="K902" s="295"/>
      <c r="L902" s="295"/>
      <c r="M902" s="295"/>
      <c r="N902" s="295"/>
      <c r="O902" s="297"/>
      <c r="P902" s="295"/>
      <c r="Q902" s="295"/>
      <c r="R902" s="295"/>
      <c r="S902" s="295"/>
      <c r="T902" s="295"/>
      <c r="U902" s="295"/>
      <c r="V902" s="295"/>
      <c r="W902" s="295"/>
      <c r="X902" s="295"/>
      <c r="Y902" s="295"/>
      <c r="Z902" s="295"/>
    </row>
    <row r="903" ht="29.25" customHeight="1">
      <c r="A903" s="295"/>
      <c r="B903" s="295"/>
      <c r="C903" s="295"/>
      <c r="D903" s="295"/>
      <c r="E903" s="295"/>
      <c r="F903" s="295"/>
      <c r="G903" s="295"/>
      <c r="H903" s="295"/>
      <c r="I903" s="295"/>
      <c r="J903" s="295"/>
      <c r="K903" s="295"/>
      <c r="L903" s="295"/>
      <c r="M903" s="295"/>
      <c r="N903" s="295"/>
      <c r="O903" s="297"/>
      <c r="P903" s="295"/>
      <c r="Q903" s="295"/>
      <c r="R903" s="295"/>
      <c r="S903" s="295"/>
      <c r="T903" s="295"/>
      <c r="U903" s="295"/>
      <c r="V903" s="295"/>
      <c r="W903" s="295"/>
      <c r="X903" s="295"/>
      <c r="Y903" s="295"/>
      <c r="Z903" s="295"/>
    </row>
    <row r="904" ht="29.25" customHeight="1">
      <c r="A904" s="295"/>
      <c r="B904" s="295"/>
      <c r="C904" s="295"/>
      <c r="D904" s="295"/>
      <c r="E904" s="295"/>
      <c r="F904" s="295"/>
      <c r="G904" s="295"/>
      <c r="H904" s="295"/>
      <c r="I904" s="295"/>
      <c r="J904" s="295"/>
      <c r="K904" s="295"/>
      <c r="L904" s="295"/>
      <c r="M904" s="295"/>
      <c r="N904" s="295"/>
      <c r="O904" s="297"/>
      <c r="P904" s="295"/>
      <c r="Q904" s="295"/>
      <c r="R904" s="295"/>
      <c r="S904" s="295"/>
      <c r="T904" s="295"/>
      <c r="U904" s="295"/>
      <c r="V904" s="295"/>
      <c r="W904" s="295"/>
      <c r="X904" s="295"/>
      <c r="Y904" s="295"/>
      <c r="Z904" s="295"/>
    </row>
    <row r="905" ht="29.25" customHeight="1">
      <c r="A905" s="295"/>
      <c r="B905" s="295"/>
      <c r="C905" s="295"/>
      <c r="D905" s="295"/>
      <c r="E905" s="295"/>
      <c r="F905" s="295"/>
      <c r="G905" s="295"/>
      <c r="H905" s="295"/>
      <c r="I905" s="295"/>
      <c r="J905" s="295"/>
      <c r="K905" s="295"/>
      <c r="L905" s="295"/>
      <c r="M905" s="295"/>
      <c r="N905" s="295"/>
      <c r="O905" s="297"/>
      <c r="P905" s="295"/>
      <c r="Q905" s="295"/>
      <c r="R905" s="295"/>
      <c r="S905" s="295"/>
      <c r="T905" s="295"/>
      <c r="U905" s="295"/>
      <c r="V905" s="295"/>
      <c r="W905" s="295"/>
      <c r="X905" s="295"/>
      <c r="Y905" s="295"/>
      <c r="Z905" s="295"/>
    </row>
    <row r="906" ht="29.25" customHeight="1">
      <c r="A906" s="295"/>
      <c r="B906" s="295"/>
      <c r="C906" s="295"/>
      <c r="D906" s="295"/>
      <c r="E906" s="295"/>
      <c r="F906" s="295"/>
      <c r="G906" s="295"/>
      <c r="H906" s="295"/>
      <c r="I906" s="295"/>
      <c r="J906" s="295"/>
      <c r="K906" s="295"/>
      <c r="L906" s="295"/>
      <c r="M906" s="295"/>
      <c r="N906" s="295"/>
      <c r="O906" s="297"/>
      <c r="P906" s="295"/>
      <c r="Q906" s="295"/>
      <c r="R906" s="295"/>
      <c r="S906" s="295"/>
      <c r="T906" s="295"/>
      <c r="U906" s="295"/>
      <c r="V906" s="295"/>
      <c r="W906" s="295"/>
      <c r="X906" s="295"/>
      <c r="Y906" s="295"/>
      <c r="Z906" s="295"/>
    </row>
    <row r="907" ht="29.25" customHeight="1">
      <c r="A907" s="295"/>
      <c r="B907" s="295"/>
      <c r="C907" s="295"/>
      <c r="D907" s="295"/>
      <c r="E907" s="295"/>
      <c r="F907" s="295"/>
      <c r="G907" s="295"/>
      <c r="H907" s="295"/>
      <c r="I907" s="295"/>
      <c r="J907" s="295"/>
      <c r="K907" s="295"/>
      <c r="L907" s="295"/>
      <c r="M907" s="295"/>
      <c r="N907" s="295"/>
      <c r="O907" s="297"/>
      <c r="P907" s="295"/>
      <c r="Q907" s="295"/>
      <c r="R907" s="295"/>
      <c r="S907" s="295"/>
      <c r="T907" s="295"/>
      <c r="U907" s="295"/>
      <c r="V907" s="295"/>
      <c r="W907" s="295"/>
      <c r="X907" s="295"/>
      <c r="Y907" s="295"/>
      <c r="Z907" s="295"/>
    </row>
    <row r="908" ht="29.25" customHeight="1">
      <c r="A908" s="295"/>
      <c r="B908" s="295"/>
      <c r="C908" s="295"/>
      <c r="D908" s="295"/>
      <c r="E908" s="295"/>
      <c r="F908" s="295"/>
      <c r="G908" s="295"/>
      <c r="H908" s="295"/>
      <c r="I908" s="295"/>
      <c r="J908" s="295"/>
      <c r="K908" s="295"/>
      <c r="L908" s="295"/>
      <c r="M908" s="295"/>
      <c r="N908" s="295"/>
      <c r="O908" s="297"/>
      <c r="P908" s="295"/>
      <c r="Q908" s="295"/>
      <c r="R908" s="295"/>
      <c r="S908" s="295"/>
      <c r="T908" s="295"/>
      <c r="U908" s="295"/>
      <c r="V908" s="295"/>
      <c r="W908" s="295"/>
      <c r="X908" s="295"/>
      <c r="Y908" s="295"/>
      <c r="Z908" s="295"/>
    </row>
    <row r="909" ht="29.25" customHeight="1">
      <c r="A909" s="295"/>
      <c r="B909" s="295"/>
      <c r="C909" s="295"/>
      <c r="D909" s="295"/>
      <c r="E909" s="295"/>
      <c r="F909" s="295"/>
      <c r="G909" s="295"/>
      <c r="H909" s="295"/>
      <c r="I909" s="295"/>
      <c r="J909" s="295"/>
      <c r="K909" s="295"/>
      <c r="L909" s="295"/>
      <c r="M909" s="295"/>
      <c r="N909" s="295"/>
      <c r="O909" s="297"/>
      <c r="P909" s="295"/>
      <c r="Q909" s="295"/>
      <c r="R909" s="295"/>
      <c r="S909" s="295"/>
      <c r="T909" s="295"/>
      <c r="U909" s="295"/>
      <c r="V909" s="295"/>
      <c r="W909" s="295"/>
      <c r="X909" s="295"/>
      <c r="Y909" s="295"/>
      <c r="Z909" s="295"/>
    </row>
    <row r="910" ht="29.25" customHeight="1">
      <c r="A910" s="295"/>
      <c r="B910" s="295"/>
      <c r="C910" s="295"/>
      <c r="D910" s="295"/>
      <c r="E910" s="295"/>
      <c r="F910" s="295"/>
      <c r="G910" s="295"/>
      <c r="H910" s="295"/>
      <c r="I910" s="295"/>
      <c r="J910" s="295"/>
      <c r="K910" s="295"/>
      <c r="L910" s="295"/>
      <c r="M910" s="295"/>
      <c r="N910" s="295"/>
      <c r="O910" s="297"/>
      <c r="P910" s="295"/>
      <c r="Q910" s="295"/>
      <c r="R910" s="295"/>
      <c r="S910" s="295"/>
      <c r="T910" s="295"/>
      <c r="U910" s="295"/>
      <c r="V910" s="295"/>
      <c r="W910" s="295"/>
      <c r="X910" s="295"/>
      <c r="Y910" s="295"/>
      <c r="Z910" s="295"/>
    </row>
    <row r="911" ht="29.25" customHeight="1">
      <c r="A911" s="295"/>
      <c r="B911" s="295"/>
      <c r="C911" s="295"/>
      <c r="D911" s="295"/>
      <c r="E911" s="295"/>
      <c r="F911" s="295"/>
      <c r="G911" s="295"/>
      <c r="H911" s="295"/>
      <c r="I911" s="295"/>
      <c r="J911" s="295"/>
      <c r="K911" s="295"/>
      <c r="L911" s="295"/>
      <c r="M911" s="295"/>
      <c r="N911" s="295"/>
      <c r="O911" s="297"/>
      <c r="P911" s="295"/>
      <c r="Q911" s="295"/>
      <c r="R911" s="295"/>
      <c r="S911" s="295"/>
      <c r="T911" s="295"/>
      <c r="U911" s="295"/>
      <c r="V911" s="295"/>
      <c r="W911" s="295"/>
      <c r="X911" s="295"/>
      <c r="Y911" s="295"/>
      <c r="Z911" s="295"/>
    </row>
    <row r="912" ht="29.25" customHeight="1">
      <c r="A912" s="295"/>
      <c r="B912" s="295"/>
      <c r="C912" s="295"/>
      <c r="D912" s="295"/>
      <c r="E912" s="295"/>
      <c r="F912" s="295"/>
      <c r="G912" s="295"/>
      <c r="H912" s="295"/>
      <c r="I912" s="295"/>
      <c r="J912" s="295"/>
      <c r="K912" s="295"/>
      <c r="L912" s="295"/>
      <c r="M912" s="295"/>
      <c r="N912" s="295"/>
      <c r="O912" s="297"/>
      <c r="P912" s="295"/>
      <c r="Q912" s="295"/>
      <c r="R912" s="295"/>
      <c r="S912" s="295"/>
      <c r="T912" s="295"/>
      <c r="U912" s="295"/>
      <c r="V912" s="295"/>
      <c r="W912" s="295"/>
      <c r="X912" s="295"/>
      <c r="Y912" s="295"/>
      <c r="Z912" s="295"/>
    </row>
    <row r="913" ht="29.25" customHeight="1">
      <c r="A913" s="295"/>
      <c r="B913" s="295"/>
      <c r="C913" s="295"/>
      <c r="D913" s="295"/>
      <c r="E913" s="295"/>
      <c r="F913" s="295"/>
      <c r="G913" s="295"/>
      <c r="H913" s="295"/>
      <c r="I913" s="295"/>
      <c r="J913" s="295"/>
      <c r="K913" s="295"/>
      <c r="L913" s="295"/>
      <c r="M913" s="295"/>
      <c r="N913" s="295"/>
      <c r="O913" s="297"/>
      <c r="P913" s="295"/>
      <c r="Q913" s="295"/>
      <c r="R913" s="295"/>
      <c r="S913" s="295"/>
      <c r="T913" s="295"/>
      <c r="U913" s="295"/>
      <c r="V913" s="295"/>
      <c r="W913" s="295"/>
      <c r="X913" s="295"/>
      <c r="Y913" s="295"/>
      <c r="Z913" s="295"/>
    </row>
    <row r="914" ht="29.25" customHeight="1">
      <c r="A914" s="295"/>
      <c r="B914" s="295"/>
      <c r="C914" s="295"/>
      <c r="D914" s="295"/>
      <c r="E914" s="295"/>
      <c r="F914" s="295"/>
      <c r="G914" s="295"/>
      <c r="H914" s="295"/>
      <c r="I914" s="295"/>
      <c r="J914" s="295"/>
      <c r="K914" s="295"/>
      <c r="L914" s="295"/>
      <c r="M914" s="295"/>
      <c r="N914" s="295"/>
      <c r="O914" s="297"/>
      <c r="P914" s="295"/>
      <c r="Q914" s="295"/>
      <c r="R914" s="295"/>
      <c r="S914" s="295"/>
      <c r="T914" s="295"/>
      <c r="U914" s="295"/>
      <c r="V914" s="295"/>
      <c r="W914" s="295"/>
      <c r="X914" s="295"/>
      <c r="Y914" s="295"/>
      <c r="Z914" s="295"/>
    </row>
    <row r="915" ht="29.25" customHeight="1">
      <c r="A915" s="295"/>
      <c r="B915" s="295"/>
      <c r="C915" s="295"/>
      <c r="D915" s="295"/>
      <c r="E915" s="295"/>
      <c r="F915" s="295"/>
      <c r="G915" s="295"/>
      <c r="H915" s="295"/>
      <c r="I915" s="295"/>
      <c r="J915" s="295"/>
      <c r="K915" s="295"/>
      <c r="L915" s="295"/>
      <c r="M915" s="295"/>
      <c r="N915" s="295"/>
      <c r="O915" s="297"/>
      <c r="P915" s="295"/>
      <c r="Q915" s="295"/>
      <c r="R915" s="295"/>
      <c r="S915" s="295"/>
      <c r="T915" s="295"/>
      <c r="U915" s="295"/>
      <c r="V915" s="295"/>
      <c r="W915" s="295"/>
      <c r="X915" s="295"/>
      <c r="Y915" s="295"/>
      <c r="Z915" s="295"/>
    </row>
    <row r="916" ht="29.25" customHeight="1">
      <c r="A916" s="295"/>
      <c r="B916" s="295"/>
      <c r="C916" s="295"/>
      <c r="D916" s="295"/>
      <c r="E916" s="295"/>
      <c r="F916" s="295"/>
      <c r="G916" s="295"/>
      <c r="H916" s="295"/>
      <c r="I916" s="295"/>
      <c r="J916" s="295"/>
      <c r="K916" s="295"/>
      <c r="L916" s="295"/>
      <c r="M916" s="295"/>
      <c r="N916" s="295"/>
      <c r="O916" s="297"/>
      <c r="P916" s="295"/>
      <c r="Q916" s="295"/>
      <c r="R916" s="295"/>
      <c r="S916" s="295"/>
      <c r="T916" s="295"/>
      <c r="U916" s="295"/>
      <c r="V916" s="295"/>
      <c r="W916" s="295"/>
      <c r="X916" s="295"/>
      <c r="Y916" s="295"/>
      <c r="Z916" s="295"/>
    </row>
    <row r="917" ht="29.25" customHeight="1">
      <c r="A917" s="295"/>
      <c r="B917" s="295"/>
      <c r="C917" s="295"/>
      <c r="D917" s="295"/>
      <c r="E917" s="295"/>
      <c r="F917" s="295"/>
      <c r="G917" s="295"/>
      <c r="H917" s="295"/>
      <c r="I917" s="295"/>
      <c r="J917" s="295"/>
      <c r="K917" s="295"/>
      <c r="L917" s="295"/>
      <c r="M917" s="295"/>
      <c r="N917" s="295"/>
      <c r="O917" s="297"/>
      <c r="P917" s="295"/>
      <c r="Q917" s="295"/>
      <c r="R917" s="295"/>
      <c r="S917" s="295"/>
      <c r="T917" s="295"/>
      <c r="U917" s="295"/>
      <c r="V917" s="295"/>
      <c r="W917" s="295"/>
      <c r="X917" s="295"/>
      <c r="Y917" s="295"/>
      <c r="Z917" s="295"/>
    </row>
    <row r="918" ht="29.25" customHeight="1">
      <c r="A918" s="295"/>
      <c r="B918" s="295"/>
      <c r="C918" s="295"/>
      <c r="D918" s="295"/>
      <c r="E918" s="295"/>
      <c r="F918" s="295"/>
      <c r="G918" s="295"/>
      <c r="H918" s="295"/>
      <c r="I918" s="295"/>
      <c r="J918" s="295"/>
      <c r="K918" s="295"/>
      <c r="L918" s="295"/>
      <c r="M918" s="295"/>
      <c r="N918" s="295"/>
      <c r="O918" s="297"/>
      <c r="P918" s="295"/>
      <c r="Q918" s="295"/>
      <c r="R918" s="295"/>
      <c r="S918" s="295"/>
      <c r="T918" s="295"/>
      <c r="U918" s="295"/>
      <c r="V918" s="295"/>
      <c r="W918" s="295"/>
      <c r="X918" s="295"/>
      <c r="Y918" s="295"/>
      <c r="Z918" s="295"/>
    </row>
    <row r="919" ht="29.25" customHeight="1">
      <c r="A919" s="295"/>
      <c r="B919" s="295"/>
      <c r="C919" s="295"/>
      <c r="D919" s="295"/>
      <c r="E919" s="295"/>
      <c r="F919" s="295"/>
      <c r="G919" s="295"/>
      <c r="H919" s="295"/>
      <c r="I919" s="295"/>
      <c r="J919" s="295"/>
      <c r="K919" s="295"/>
      <c r="L919" s="295"/>
      <c r="M919" s="295"/>
      <c r="N919" s="295"/>
      <c r="O919" s="297"/>
      <c r="P919" s="295"/>
      <c r="Q919" s="295"/>
      <c r="R919" s="295"/>
      <c r="S919" s="295"/>
      <c r="T919" s="295"/>
      <c r="U919" s="295"/>
      <c r="V919" s="295"/>
      <c r="W919" s="295"/>
      <c r="X919" s="295"/>
      <c r="Y919" s="295"/>
      <c r="Z919" s="295"/>
    </row>
    <row r="920" ht="29.25" customHeight="1">
      <c r="A920" s="295"/>
      <c r="B920" s="295"/>
      <c r="C920" s="295"/>
      <c r="D920" s="295"/>
      <c r="E920" s="295"/>
      <c r="F920" s="295"/>
      <c r="G920" s="295"/>
      <c r="H920" s="295"/>
      <c r="I920" s="295"/>
      <c r="J920" s="295"/>
      <c r="K920" s="295"/>
      <c r="L920" s="295"/>
      <c r="M920" s="295"/>
      <c r="N920" s="295"/>
      <c r="O920" s="297"/>
      <c r="P920" s="295"/>
      <c r="Q920" s="295"/>
      <c r="R920" s="295"/>
      <c r="S920" s="295"/>
      <c r="T920" s="295"/>
      <c r="U920" s="295"/>
      <c r="V920" s="295"/>
      <c r="W920" s="295"/>
      <c r="X920" s="295"/>
      <c r="Y920" s="295"/>
      <c r="Z920" s="295"/>
    </row>
    <row r="921" ht="29.25" customHeight="1">
      <c r="A921" s="295"/>
      <c r="B921" s="295"/>
      <c r="C921" s="295"/>
      <c r="D921" s="295"/>
      <c r="E921" s="295"/>
      <c r="F921" s="295"/>
      <c r="G921" s="295"/>
      <c r="H921" s="295"/>
      <c r="I921" s="295"/>
      <c r="J921" s="295"/>
      <c r="K921" s="295"/>
      <c r="L921" s="295"/>
      <c r="M921" s="295"/>
      <c r="N921" s="295"/>
      <c r="O921" s="297"/>
      <c r="P921" s="295"/>
      <c r="Q921" s="295"/>
      <c r="R921" s="295"/>
      <c r="S921" s="295"/>
      <c r="T921" s="295"/>
      <c r="U921" s="295"/>
      <c r="V921" s="295"/>
      <c r="W921" s="295"/>
      <c r="X921" s="295"/>
      <c r="Y921" s="295"/>
      <c r="Z921" s="295"/>
    </row>
    <row r="922" ht="29.25" customHeight="1">
      <c r="A922" s="295"/>
      <c r="B922" s="295"/>
      <c r="C922" s="295"/>
      <c r="D922" s="295"/>
      <c r="E922" s="295"/>
      <c r="F922" s="295"/>
      <c r="G922" s="295"/>
      <c r="H922" s="295"/>
      <c r="I922" s="295"/>
      <c r="J922" s="295"/>
      <c r="K922" s="295"/>
      <c r="L922" s="295"/>
      <c r="M922" s="295"/>
      <c r="N922" s="295"/>
      <c r="O922" s="297"/>
      <c r="P922" s="295"/>
      <c r="Q922" s="295"/>
      <c r="R922" s="295"/>
      <c r="S922" s="295"/>
      <c r="T922" s="295"/>
      <c r="U922" s="295"/>
      <c r="V922" s="295"/>
      <c r="W922" s="295"/>
      <c r="X922" s="295"/>
      <c r="Y922" s="295"/>
      <c r="Z922" s="295"/>
    </row>
    <row r="923" ht="29.25" customHeight="1">
      <c r="A923" s="295"/>
      <c r="B923" s="295"/>
      <c r="C923" s="295"/>
      <c r="D923" s="295"/>
      <c r="E923" s="295"/>
      <c r="F923" s="295"/>
      <c r="G923" s="295"/>
      <c r="H923" s="295"/>
      <c r="I923" s="295"/>
      <c r="J923" s="295"/>
      <c r="K923" s="295"/>
      <c r="L923" s="295"/>
      <c r="M923" s="295"/>
      <c r="N923" s="295"/>
      <c r="O923" s="297"/>
      <c r="P923" s="295"/>
      <c r="Q923" s="295"/>
      <c r="R923" s="295"/>
      <c r="S923" s="295"/>
      <c r="T923" s="295"/>
      <c r="U923" s="295"/>
      <c r="V923" s="295"/>
      <c r="W923" s="295"/>
      <c r="X923" s="295"/>
      <c r="Y923" s="295"/>
      <c r="Z923" s="295"/>
    </row>
    <row r="924" ht="29.25" customHeight="1">
      <c r="A924" s="295"/>
      <c r="B924" s="295"/>
      <c r="C924" s="295"/>
      <c r="D924" s="295"/>
      <c r="E924" s="295"/>
      <c r="F924" s="295"/>
      <c r="G924" s="295"/>
      <c r="H924" s="295"/>
      <c r="I924" s="295"/>
      <c r="J924" s="295"/>
      <c r="K924" s="295"/>
      <c r="L924" s="295"/>
      <c r="M924" s="295"/>
      <c r="N924" s="295"/>
      <c r="O924" s="297"/>
      <c r="P924" s="295"/>
      <c r="Q924" s="295"/>
      <c r="R924" s="295"/>
      <c r="S924" s="295"/>
      <c r="T924" s="295"/>
      <c r="U924" s="295"/>
      <c r="V924" s="295"/>
      <c r="W924" s="295"/>
      <c r="X924" s="295"/>
      <c r="Y924" s="295"/>
      <c r="Z924" s="295"/>
    </row>
    <row r="925" ht="29.25" customHeight="1">
      <c r="A925" s="295"/>
      <c r="B925" s="295"/>
      <c r="C925" s="295"/>
      <c r="D925" s="295"/>
      <c r="E925" s="295"/>
      <c r="F925" s="295"/>
      <c r="G925" s="295"/>
      <c r="H925" s="295"/>
      <c r="I925" s="295"/>
      <c r="J925" s="295"/>
      <c r="K925" s="295"/>
      <c r="L925" s="295"/>
      <c r="M925" s="295"/>
      <c r="N925" s="295"/>
      <c r="O925" s="297"/>
      <c r="P925" s="295"/>
      <c r="Q925" s="295"/>
      <c r="R925" s="295"/>
      <c r="S925" s="295"/>
      <c r="T925" s="295"/>
      <c r="U925" s="295"/>
      <c r="V925" s="295"/>
      <c r="W925" s="295"/>
      <c r="X925" s="295"/>
      <c r="Y925" s="295"/>
      <c r="Z925" s="295"/>
    </row>
    <row r="926" ht="29.25" customHeight="1">
      <c r="A926" s="295"/>
      <c r="B926" s="295"/>
      <c r="C926" s="295"/>
      <c r="D926" s="295"/>
      <c r="E926" s="295"/>
      <c r="F926" s="295"/>
      <c r="G926" s="295"/>
      <c r="H926" s="295"/>
      <c r="I926" s="295"/>
      <c r="J926" s="295"/>
      <c r="K926" s="295"/>
      <c r="L926" s="295"/>
      <c r="M926" s="295"/>
      <c r="N926" s="295"/>
      <c r="O926" s="297"/>
      <c r="P926" s="295"/>
      <c r="Q926" s="295"/>
      <c r="R926" s="295"/>
      <c r="S926" s="295"/>
      <c r="T926" s="295"/>
      <c r="U926" s="295"/>
      <c r="V926" s="295"/>
      <c r="W926" s="295"/>
      <c r="X926" s="295"/>
      <c r="Y926" s="295"/>
      <c r="Z926" s="295"/>
    </row>
    <row r="927" ht="29.25" customHeight="1">
      <c r="A927" s="295"/>
      <c r="B927" s="295"/>
      <c r="C927" s="295"/>
      <c r="D927" s="295"/>
      <c r="E927" s="295"/>
      <c r="F927" s="295"/>
      <c r="G927" s="295"/>
      <c r="H927" s="295"/>
      <c r="I927" s="295"/>
      <c r="J927" s="295"/>
      <c r="K927" s="295"/>
      <c r="L927" s="295"/>
      <c r="M927" s="295"/>
      <c r="N927" s="295"/>
      <c r="O927" s="297"/>
      <c r="P927" s="295"/>
      <c r="Q927" s="295"/>
      <c r="R927" s="295"/>
      <c r="S927" s="295"/>
      <c r="T927" s="295"/>
      <c r="U927" s="295"/>
      <c r="V927" s="295"/>
      <c r="W927" s="295"/>
      <c r="X927" s="295"/>
      <c r="Y927" s="295"/>
      <c r="Z927" s="295"/>
    </row>
    <row r="928" ht="29.25" customHeight="1">
      <c r="A928" s="295"/>
      <c r="B928" s="295"/>
      <c r="C928" s="295"/>
      <c r="D928" s="295"/>
      <c r="E928" s="295"/>
      <c r="F928" s="295"/>
      <c r="G928" s="295"/>
      <c r="H928" s="295"/>
      <c r="I928" s="295"/>
      <c r="J928" s="295"/>
      <c r="K928" s="295"/>
      <c r="L928" s="295"/>
      <c r="M928" s="295"/>
      <c r="N928" s="295"/>
      <c r="O928" s="297"/>
      <c r="P928" s="295"/>
      <c r="Q928" s="295"/>
      <c r="R928" s="295"/>
      <c r="S928" s="295"/>
      <c r="T928" s="295"/>
      <c r="U928" s="295"/>
      <c r="V928" s="295"/>
      <c r="W928" s="295"/>
      <c r="X928" s="295"/>
      <c r="Y928" s="295"/>
      <c r="Z928" s="295"/>
    </row>
    <row r="929" ht="29.25" customHeight="1">
      <c r="A929" s="295"/>
      <c r="B929" s="295"/>
      <c r="C929" s="295"/>
      <c r="D929" s="295"/>
      <c r="E929" s="295"/>
      <c r="F929" s="295"/>
      <c r="G929" s="295"/>
      <c r="H929" s="295"/>
      <c r="I929" s="295"/>
      <c r="J929" s="295"/>
      <c r="K929" s="295"/>
      <c r="L929" s="295"/>
      <c r="M929" s="295"/>
      <c r="N929" s="295"/>
      <c r="O929" s="297"/>
      <c r="P929" s="295"/>
      <c r="Q929" s="295"/>
      <c r="R929" s="295"/>
      <c r="S929" s="295"/>
      <c r="T929" s="295"/>
      <c r="U929" s="295"/>
      <c r="V929" s="295"/>
      <c r="W929" s="295"/>
      <c r="X929" s="295"/>
      <c r="Y929" s="295"/>
      <c r="Z929" s="295"/>
    </row>
    <row r="930" ht="29.25" customHeight="1">
      <c r="A930" s="295"/>
      <c r="B930" s="295"/>
      <c r="C930" s="295"/>
      <c r="D930" s="295"/>
      <c r="E930" s="295"/>
      <c r="F930" s="295"/>
      <c r="G930" s="295"/>
      <c r="H930" s="295"/>
      <c r="I930" s="295"/>
      <c r="J930" s="295"/>
      <c r="K930" s="295"/>
      <c r="L930" s="295"/>
      <c r="M930" s="295"/>
      <c r="N930" s="295"/>
      <c r="O930" s="297"/>
      <c r="P930" s="295"/>
      <c r="Q930" s="295"/>
      <c r="R930" s="295"/>
      <c r="S930" s="295"/>
      <c r="T930" s="295"/>
      <c r="U930" s="295"/>
      <c r="V930" s="295"/>
      <c r="W930" s="295"/>
      <c r="X930" s="295"/>
      <c r="Y930" s="295"/>
      <c r="Z930" s="295"/>
    </row>
    <row r="931" ht="29.25" customHeight="1">
      <c r="A931" s="295"/>
      <c r="B931" s="295"/>
      <c r="C931" s="295"/>
      <c r="D931" s="295"/>
      <c r="E931" s="295"/>
      <c r="F931" s="295"/>
      <c r="G931" s="295"/>
      <c r="H931" s="295"/>
      <c r="I931" s="295"/>
      <c r="J931" s="295"/>
      <c r="K931" s="295"/>
      <c r="L931" s="295"/>
      <c r="M931" s="295"/>
      <c r="N931" s="295"/>
      <c r="O931" s="297"/>
      <c r="P931" s="295"/>
      <c r="Q931" s="295"/>
      <c r="R931" s="295"/>
      <c r="S931" s="295"/>
      <c r="T931" s="295"/>
      <c r="U931" s="295"/>
      <c r="V931" s="295"/>
      <c r="W931" s="295"/>
      <c r="X931" s="295"/>
      <c r="Y931" s="295"/>
      <c r="Z931" s="295"/>
    </row>
    <row r="932" ht="29.25" customHeight="1">
      <c r="A932" s="295"/>
      <c r="B932" s="295"/>
      <c r="C932" s="295"/>
      <c r="D932" s="295"/>
      <c r="E932" s="295"/>
      <c r="F932" s="295"/>
      <c r="G932" s="295"/>
      <c r="H932" s="295"/>
      <c r="I932" s="295"/>
      <c r="J932" s="295"/>
      <c r="K932" s="295"/>
      <c r="L932" s="295"/>
      <c r="M932" s="295"/>
      <c r="N932" s="295"/>
      <c r="O932" s="297"/>
      <c r="P932" s="295"/>
      <c r="Q932" s="295"/>
      <c r="R932" s="295"/>
      <c r="S932" s="295"/>
      <c r="T932" s="295"/>
      <c r="U932" s="295"/>
      <c r="V932" s="295"/>
      <c r="W932" s="295"/>
      <c r="X932" s="295"/>
      <c r="Y932" s="295"/>
      <c r="Z932" s="295"/>
    </row>
    <row r="933" ht="29.25" customHeight="1">
      <c r="A933" s="295"/>
      <c r="B933" s="295"/>
      <c r="C933" s="295"/>
      <c r="D933" s="295"/>
      <c r="E933" s="295"/>
      <c r="F933" s="295"/>
      <c r="G933" s="295"/>
      <c r="H933" s="295"/>
      <c r="I933" s="295"/>
      <c r="J933" s="295"/>
      <c r="K933" s="295"/>
      <c r="L933" s="295"/>
      <c r="M933" s="295"/>
      <c r="N933" s="295"/>
      <c r="O933" s="297"/>
      <c r="P933" s="295"/>
      <c r="Q933" s="295"/>
      <c r="R933" s="295"/>
      <c r="S933" s="295"/>
      <c r="T933" s="295"/>
      <c r="U933" s="295"/>
      <c r="V933" s="295"/>
      <c r="W933" s="295"/>
      <c r="X933" s="295"/>
      <c r="Y933" s="295"/>
      <c r="Z933" s="295"/>
    </row>
    <row r="934" ht="29.25" customHeight="1">
      <c r="A934" s="295"/>
      <c r="B934" s="295"/>
      <c r="C934" s="295"/>
      <c r="D934" s="295"/>
      <c r="E934" s="295"/>
      <c r="F934" s="295"/>
      <c r="G934" s="295"/>
      <c r="H934" s="295"/>
      <c r="I934" s="295"/>
      <c r="J934" s="295"/>
      <c r="K934" s="295"/>
      <c r="L934" s="295"/>
      <c r="M934" s="295"/>
      <c r="N934" s="295"/>
      <c r="O934" s="297"/>
      <c r="P934" s="295"/>
      <c r="Q934" s="295"/>
      <c r="R934" s="295"/>
      <c r="S934" s="295"/>
      <c r="T934" s="295"/>
      <c r="U934" s="295"/>
      <c r="V934" s="295"/>
      <c r="W934" s="295"/>
      <c r="X934" s="295"/>
      <c r="Y934" s="295"/>
      <c r="Z934" s="295"/>
    </row>
    <row r="935" ht="29.25" customHeight="1">
      <c r="A935" s="295"/>
      <c r="B935" s="295"/>
      <c r="C935" s="295"/>
      <c r="D935" s="295"/>
      <c r="E935" s="295"/>
      <c r="F935" s="295"/>
      <c r="G935" s="295"/>
      <c r="H935" s="295"/>
      <c r="I935" s="295"/>
      <c r="J935" s="295"/>
      <c r="K935" s="295"/>
      <c r="L935" s="295"/>
      <c r="M935" s="295"/>
      <c r="N935" s="295"/>
      <c r="O935" s="297"/>
      <c r="P935" s="295"/>
      <c r="Q935" s="295"/>
      <c r="R935" s="295"/>
      <c r="S935" s="295"/>
      <c r="T935" s="295"/>
      <c r="U935" s="295"/>
      <c r="V935" s="295"/>
      <c r="W935" s="295"/>
      <c r="X935" s="295"/>
      <c r="Y935" s="295"/>
      <c r="Z935" s="295"/>
    </row>
    <row r="936" ht="29.25" customHeight="1">
      <c r="A936" s="295"/>
      <c r="B936" s="295"/>
      <c r="C936" s="295"/>
      <c r="D936" s="295"/>
      <c r="E936" s="295"/>
      <c r="F936" s="295"/>
      <c r="G936" s="295"/>
      <c r="H936" s="295"/>
      <c r="I936" s="295"/>
      <c r="J936" s="295"/>
      <c r="K936" s="295"/>
      <c r="L936" s="295"/>
      <c r="M936" s="295"/>
      <c r="N936" s="295"/>
      <c r="O936" s="297"/>
      <c r="P936" s="295"/>
      <c r="Q936" s="295"/>
      <c r="R936" s="295"/>
      <c r="S936" s="295"/>
      <c r="T936" s="295"/>
      <c r="U936" s="295"/>
      <c r="V936" s="295"/>
      <c r="W936" s="295"/>
      <c r="X936" s="295"/>
      <c r="Y936" s="295"/>
      <c r="Z936" s="295"/>
    </row>
    <row r="937" ht="29.25" customHeight="1">
      <c r="A937" s="295"/>
      <c r="B937" s="295"/>
      <c r="C937" s="295"/>
      <c r="D937" s="295"/>
      <c r="E937" s="295"/>
      <c r="F937" s="295"/>
      <c r="G937" s="295"/>
      <c r="H937" s="295"/>
      <c r="I937" s="295"/>
      <c r="J937" s="295"/>
      <c r="K937" s="295"/>
      <c r="L937" s="295"/>
      <c r="M937" s="295"/>
      <c r="N937" s="295"/>
      <c r="O937" s="297"/>
      <c r="P937" s="295"/>
      <c r="Q937" s="295"/>
      <c r="R937" s="295"/>
      <c r="S937" s="295"/>
      <c r="T937" s="295"/>
      <c r="U937" s="295"/>
      <c r="V937" s="295"/>
      <c r="W937" s="295"/>
      <c r="X937" s="295"/>
      <c r="Y937" s="295"/>
      <c r="Z937" s="295"/>
    </row>
    <row r="938" ht="29.25" customHeight="1">
      <c r="A938" s="295"/>
      <c r="B938" s="295"/>
      <c r="C938" s="295"/>
      <c r="D938" s="295"/>
      <c r="E938" s="295"/>
      <c r="F938" s="295"/>
      <c r="G938" s="295"/>
      <c r="H938" s="295"/>
      <c r="I938" s="295"/>
      <c r="J938" s="295"/>
      <c r="K938" s="295"/>
      <c r="L938" s="295"/>
      <c r="M938" s="295"/>
      <c r="N938" s="295"/>
      <c r="O938" s="297"/>
      <c r="P938" s="295"/>
      <c r="Q938" s="295"/>
      <c r="R938" s="295"/>
      <c r="S938" s="295"/>
      <c r="T938" s="295"/>
      <c r="U938" s="295"/>
      <c r="V938" s="295"/>
      <c r="W938" s="295"/>
      <c r="X938" s="295"/>
      <c r="Y938" s="295"/>
      <c r="Z938" s="295"/>
    </row>
    <row r="939" ht="29.25" customHeight="1">
      <c r="A939" s="295"/>
      <c r="B939" s="295"/>
      <c r="C939" s="295"/>
      <c r="D939" s="295"/>
      <c r="E939" s="295"/>
      <c r="F939" s="295"/>
      <c r="G939" s="295"/>
      <c r="H939" s="295"/>
      <c r="I939" s="295"/>
      <c r="J939" s="295"/>
      <c r="K939" s="295"/>
      <c r="L939" s="295"/>
      <c r="M939" s="295"/>
      <c r="N939" s="295"/>
      <c r="O939" s="297"/>
      <c r="P939" s="295"/>
      <c r="Q939" s="295"/>
      <c r="R939" s="295"/>
      <c r="S939" s="295"/>
      <c r="T939" s="295"/>
      <c r="U939" s="295"/>
      <c r="V939" s="295"/>
      <c r="W939" s="295"/>
      <c r="X939" s="295"/>
      <c r="Y939" s="295"/>
      <c r="Z939" s="295"/>
    </row>
    <row r="940" ht="29.25" customHeight="1">
      <c r="A940" s="295"/>
      <c r="B940" s="295"/>
      <c r="C940" s="295"/>
      <c r="D940" s="295"/>
      <c r="E940" s="295"/>
      <c r="F940" s="295"/>
      <c r="G940" s="295"/>
      <c r="H940" s="295"/>
      <c r="I940" s="295"/>
      <c r="J940" s="295"/>
      <c r="K940" s="295"/>
      <c r="L940" s="295"/>
      <c r="M940" s="295"/>
      <c r="N940" s="295"/>
      <c r="O940" s="297"/>
      <c r="P940" s="295"/>
      <c r="Q940" s="295"/>
      <c r="R940" s="295"/>
      <c r="S940" s="295"/>
      <c r="T940" s="295"/>
      <c r="U940" s="295"/>
      <c r="V940" s="295"/>
      <c r="W940" s="295"/>
      <c r="X940" s="295"/>
      <c r="Y940" s="295"/>
      <c r="Z940" s="295"/>
    </row>
    <row r="941" ht="29.25" customHeight="1">
      <c r="A941" s="295"/>
      <c r="B941" s="295"/>
      <c r="C941" s="295"/>
      <c r="D941" s="295"/>
      <c r="E941" s="295"/>
      <c r="F941" s="295"/>
      <c r="G941" s="295"/>
      <c r="H941" s="295"/>
      <c r="I941" s="295"/>
      <c r="J941" s="295"/>
      <c r="K941" s="295"/>
      <c r="L941" s="295"/>
      <c r="M941" s="295"/>
      <c r="N941" s="295"/>
      <c r="O941" s="297"/>
      <c r="P941" s="295"/>
      <c r="Q941" s="295"/>
      <c r="R941" s="295"/>
      <c r="S941" s="295"/>
      <c r="T941" s="295"/>
      <c r="U941" s="295"/>
      <c r="V941" s="295"/>
      <c r="W941" s="295"/>
      <c r="X941" s="295"/>
      <c r="Y941" s="295"/>
      <c r="Z941" s="295"/>
    </row>
    <row r="942" ht="29.25" customHeight="1">
      <c r="A942" s="295"/>
      <c r="B942" s="295"/>
      <c r="C942" s="295"/>
      <c r="D942" s="295"/>
      <c r="E942" s="295"/>
      <c r="F942" s="295"/>
      <c r="G942" s="295"/>
      <c r="H942" s="295"/>
      <c r="I942" s="295"/>
      <c r="J942" s="295"/>
      <c r="K942" s="295"/>
      <c r="L942" s="295"/>
      <c r="M942" s="295"/>
      <c r="N942" s="295"/>
      <c r="O942" s="297"/>
      <c r="P942" s="295"/>
      <c r="Q942" s="295"/>
      <c r="R942" s="295"/>
      <c r="S942" s="295"/>
      <c r="T942" s="295"/>
      <c r="U942" s="295"/>
      <c r="V942" s="295"/>
      <c r="W942" s="295"/>
      <c r="X942" s="295"/>
      <c r="Y942" s="295"/>
      <c r="Z942" s="295"/>
    </row>
    <row r="943" ht="29.25" customHeight="1">
      <c r="A943" s="295"/>
      <c r="B943" s="295"/>
      <c r="C943" s="295"/>
      <c r="D943" s="295"/>
      <c r="E943" s="295"/>
      <c r="F943" s="295"/>
      <c r="G943" s="295"/>
      <c r="H943" s="295"/>
      <c r="I943" s="295"/>
      <c r="J943" s="295"/>
      <c r="K943" s="295"/>
      <c r="L943" s="295"/>
      <c r="M943" s="295"/>
      <c r="N943" s="295"/>
      <c r="O943" s="297"/>
      <c r="P943" s="295"/>
      <c r="Q943" s="295"/>
      <c r="R943" s="295"/>
      <c r="S943" s="295"/>
      <c r="T943" s="295"/>
      <c r="U943" s="295"/>
      <c r="V943" s="295"/>
      <c r="W943" s="295"/>
      <c r="X943" s="295"/>
      <c r="Y943" s="295"/>
      <c r="Z943" s="295"/>
    </row>
    <row r="944" ht="29.25" customHeight="1">
      <c r="A944" s="295"/>
      <c r="B944" s="295"/>
      <c r="C944" s="295"/>
      <c r="D944" s="295"/>
      <c r="E944" s="295"/>
      <c r="F944" s="295"/>
      <c r="G944" s="295"/>
      <c r="H944" s="295"/>
      <c r="I944" s="295"/>
      <c r="J944" s="295"/>
      <c r="K944" s="295"/>
      <c r="L944" s="295"/>
      <c r="M944" s="295"/>
      <c r="N944" s="295"/>
      <c r="O944" s="297"/>
      <c r="P944" s="295"/>
      <c r="Q944" s="295"/>
      <c r="R944" s="295"/>
      <c r="S944" s="295"/>
      <c r="T944" s="295"/>
      <c r="U944" s="295"/>
      <c r="V944" s="295"/>
      <c r="W944" s="295"/>
      <c r="X944" s="295"/>
      <c r="Y944" s="295"/>
      <c r="Z944" s="295"/>
    </row>
    <row r="945" ht="29.25" customHeight="1">
      <c r="A945" s="295"/>
      <c r="B945" s="295"/>
      <c r="C945" s="295"/>
      <c r="D945" s="295"/>
      <c r="E945" s="295"/>
      <c r="F945" s="295"/>
      <c r="G945" s="295"/>
      <c r="H945" s="295"/>
      <c r="I945" s="295"/>
      <c r="J945" s="295"/>
      <c r="K945" s="295"/>
      <c r="L945" s="295"/>
      <c r="M945" s="295"/>
      <c r="N945" s="295"/>
      <c r="O945" s="297"/>
      <c r="P945" s="295"/>
      <c r="Q945" s="295"/>
      <c r="R945" s="295"/>
      <c r="S945" s="295"/>
      <c r="T945" s="295"/>
      <c r="U945" s="295"/>
      <c r="V945" s="295"/>
      <c r="W945" s="295"/>
      <c r="X945" s="295"/>
      <c r="Y945" s="295"/>
      <c r="Z945" s="295"/>
    </row>
    <row r="946" ht="29.25" customHeight="1">
      <c r="A946" s="295"/>
      <c r="B946" s="295"/>
      <c r="C946" s="295"/>
      <c r="D946" s="295"/>
      <c r="E946" s="295"/>
      <c r="F946" s="295"/>
      <c r="G946" s="295"/>
      <c r="H946" s="295"/>
      <c r="I946" s="295"/>
      <c r="J946" s="295"/>
      <c r="K946" s="295"/>
      <c r="L946" s="295"/>
      <c r="M946" s="295"/>
      <c r="N946" s="295"/>
      <c r="O946" s="297"/>
      <c r="P946" s="295"/>
      <c r="Q946" s="295"/>
      <c r="R946" s="295"/>
      <c r="S946" s="295"/>
      <c r="T946" s="295"/>
      <c r="U946" s="295"/>
      <c r="V946" s="295"/>
      <c r="W946" s="295"/>
      <c r="X946" s="295"/>
      <c r="Y946" s="295"/>
      <c r="Z946" s="295"/>
    </row>
    <row r="947" ht="29.25" customHeight="1">
      <c r="A947" s="295"/>
      <c r="B947" s="295"/>
      <c r="C947" s="295"/>
      <c r="D947" s="295"/>
      <c r="E947" s="295"/>
      <c r="F947" s="295"/>
      <c r="G947" s="295"/>
      <c r="H947" s="295"/>
      <c r="I947" s="295"/>
      <c r="J947" s="295"/>
      <c r="K947" s="295"/>
      <c r="L947" s="295"/>
      <c r="M947" s="295"/>
      <c r="N947" s="295"/>
      <c r="O947" s="297"/>
      <c r="P947" s="295"/>
      <c r="Q947" s="295"/>
      <c r="R947" s="295"/>
      <c r="S947" s="295"/>
      <c r="T947" s="295"/>
      <c r="U947" s="295"/>
      <c r="V947" s="295"/>
      <c r="W947" s="295"/>
      <c r="X947" s="295"/>
      <c r="Y947" s="295"/>
      <c r="Z947" s="295"/>
    </row>
    <row r="948" ht="29.25" customHeight="1">
      <c r="A948" s="295"/>
      <c r="B948" s="295"/>
      <c r="C948" s="295"/>
      <c r="D948" s="295"/>
      <c r="E948" s="295"/>
      <c r="F948" s="295"/>
      <c r="G948" s="295"/>
      <c r="H948" s="295"/>
      <c r="I948" s="295"/>
      <c r="J948" s="295"/>
      <c r="K948" s="295"/>
      <c r="L948" s="295"/>
      <c r="M948" s="295"/>
      <c r="N948" s="295"/>
      <c r="O948" s="297"/>
      <c r="P948" s="295"/>
      <c r="Q948" s="295"/>
      <c r="R948" s="295"/>
      <c r="S948" s="295"/>
      <c r="T948" s="295"/>
      <c r="U948" s="295"/>
      <c r="V948" s="295"/>
      <c r="W948" s="295"/>
      <c r="X948" s="295"/>
      <c r="Y948" s="295"/>
      <c r="Z948" s="295"/>
    </row>
    <row r="949" ht="29.25" customHeight="1">
      <c r="A949" s="295"/>
      <c r="B949" s="295"/>
      <c r="C949" s="295"/>
      <c r="D949" s="295"/>
      <c r="E949" s="295"/>
      <c r="F949" s="295"/>
      <c r="G949" s="295"/>
      <c r="H949" s="295"/>
      <c r="I949" s="295"/>
      <c r="J949" s="295"/>
      <c r="K949" s="295"/>
      <c r="L949" s="295"/>
      <c r="M949" s="295"/>
      <c r="N949" s="295"/>
      <c r="O949" s="297"/>
      <c r="P949" s="295"/>
      <c r="Q949" s="295"/>
      <c r="R949" s="295"/>
      <c r="S949" s="295"/>
      <c r="T949" s="295"/>
      <c r="U949" s="295"/>
      <c r="V949" s="295"/>
      <c r="W949" s="295"/>
      <c r="X949" s="295"/>
      <c r="Y949" s="295"/>
      <c r="Z949" s="295"/>
    </row>
    <row r="950" ht="29.25" customHeight="1">
      <c r="A950" s="295"/>
      <c r="B950" s="295"/>
      <c r="C950" s="295"/>
      <c r="D950" s="295"/>
      <c r="E950" s="295"/>
      <c r="F950" s="295"/>
      <c r="G950" s="295"/>
      <c r="H950" s="295"/>
      <c r="I950" s="295"/>
      <c r="J950" s="295"/>
      <c r="K950" s="295"/>
      <c r="L950" s="295"/>
      <c r="M950" s="295"/>
      <c r="N950" s="295"/>
      <c r="O950" s="297"/>
      <c r="P950" s="295"/>
      <c r="Q950" s="295"/>
      <c r="R950" s="295"/>
      <c r="S950" s="295"/>
      <c r="T950" s="295"/>
      <c r="U950" s="295"/>
      <c r="V950" s="295"/>
      <c r="W950" s="295"/>
      <c r="X950" s="295"/>
      <c r="Y950" s="295"/>
      <c r="Z950" s="295"/>
    </row>
    <row r="951" ht="29.25" customHeight="1">
      <c r="A951" s="295"/>
      <c r="B951" s="295"/>
      <c r="C951" s="295"/>
      <c r="D951" s="295"/>
      <c r="E951" s="295"/>
      <c r="F951" s="295"/>
      <c r="G951" s="295"/>
      <c r="H951" s="295"/>
      <c r="I951" s="295"/>
      <c r="J951" s="295"/>
      <c r="K951" s="295"/>
      <c r="L951" s="295"/>
      <c r="M951" s="295"/>
      <c r="N951" s="295"/>
      <c r="O951" s="297"/>
      <c r="P951" s="295"/>
      <c r="Q951" s="295"/>
      <c r="R951" s="295"/>
      <c r="S951" s="295"/>
      <c r="T951" s="295"/>
      <c r="U951" s="295"/>
      <c r="V951" s="295"/>
      <c r="W951" s="295"/>
      <c r="X951" s="295"/>
      <c r="Y951" s="295"/>
      <c r="Z951" s="295"/>
    </row>
    <row r="952" ht="29.25" customHeight="1">
      <c r="A952" s="295"/>
      <c r="B952" s="295"/>
      <c r="C952" s="295"/>
      <c r="D952" s="295"/>
      <c r="E952" s="295"/>
      <c r="F952" s="295"/>
      <c r="G952" s="295"/>
      <c r="H952" s="295"/>
      <c r="I952" s="295"/>
      <c r="J952" s="295"/>
      <c r="K952" s="295"/>
      <c r="L952" s="295"/>
      <c r="M952" s="295"/>
      <c r="N952" s="295"/>
      <c r="O952" s="297"/>
      <c r="P952" s="295"/>
      <c r="Q952" s="295"/>
      <c r="R952" s="295"/>
      <c r="S952" s="295"/>
      <c r="T952" s="295"/>
      <c r="U952" s="295"/>
      <c r="V952" s="295"/>
      <c r="W952" s="295"/>
      <c r="X952" s="295"/>
      <c r="Y952" s="295"/>
      <c r="Z952" s="295"/>
    </row>
    <row r="953" ht="29.25" customHeight="1">
      <c r="A953" s="295"/>
      <c r="B953" s="295"/>
      <c r="C953" s="295"/>
      <c r="D953" s="295"/>
      <c r="E953" s="295"/>
      <c r="F953" s="295"/>
      <c r="G953" s="295"/>
      <c r="H953" s="295"/>
      <c r="I953" s="295"/>
      <c r="J953" s="295"/>
      <c r="K953" s="295"/>
      <c r="L953" s="295"/>
      <c r="M953" s="295"/>
      <c r="N953" s="295"/>
      <c r="O953" s="297"/>
      <c r="P953" s="295"/>
      <c r="Q953" s="295"/>
      <c r="R953" s="295"/>
      <c r="S953" s="295"/>
      <c r="T953" s="295"/>
      <c r="U953" s="295"/>
      <c r="V953" s="295"/>
      <c r="W953" s="295"/>
      <c r="X953" s="295"/>
      <c r="Y953" s="295"/>
      <c r="Z953" s="295"/>
    </row>
    <row r="954" ht="29.25" customHeight="1">
      <c r="A954" s="295"/>
      <c r="B954" s="295"/>
      <c r="C954" s="295"/>
      <c r="D954" s="295"/>
      <c r="E954" s="295"/>
      <c r="F954" s="295"/>
      <c r="G954" s="295"/>
      <c r="H954" s="295"/>
      <c r="I954" s="295"/>
      <c r="J954" s="295"/>
      <c r="K954" s="295"/>
      <c r="L954" s="295"/>
      <c r="M954" s="295"/>
      <c r="N954" s="295"/>
      <c r="O954" s="297"/>
      <c r="P954" s="295"/>
      <c r="Q954" s="295"/>
      <c r="R954" s="295"/>
      <c r="S954" s="295"/>
      <c r="T954" s="295"/>
      <c r="U954" s="295"/>
      <c r="V954" s="295"/>
      <c r="W954" s="295"/>
      <c r="X954" s="295"/>
      <c r="Y954" s="295"/>
      <c r="Z954" s="295"/>
    </row>
    <row r="955" ht="29.25" customHeight="1">
      <c r="A955" s="295"/>
      <c r="B955" s="295"/>
      <c r="C955" s="295"/>
      <c r="D955" s="295"/>
      <c r="E955" s="295"/>
      <c r="F955" s="295"/>
      <c r="G955" s="295"/>
      <c r="H955" s="295"/>
      <c r="I955" s="295"/>
      <c r="J955" s="295"/>
      <c r="K955" s="295"/>
      <c r="L955" s="295"/>
      <c r="M955" s="295"/>
      <c r="N955" s="295"/>
      <c r="O955" s="297"/>
      <c r="P955" s="295"/>
      <c r="Q955" s="295"/>
      <c r="R955" s="295"/>
      <c r="S955" s="295"/>
      <c r="T955" s="295"/>
      <c r="U955" s="295"/>
      <c r="V955" s="295"/>
      <c r="W955" s="295"/>
      <c r="X955" s="295"/>
      <c r="Y955" s="295"/>
      <c r="Z955" s="295"/>
    </row>
    <row r="956" ht="29.25" customHeight="1">
      <c r="A956" s="295"/>
      <c r="B956" s="295"/>
      <c r="C956" s="295"/>
      <c r="D956" s="295"/>
      <c r="E956" s="295"/>
      <c r="F956" s="295"/>
      <c r="G956" s="295"/>
      <c r="H956" s="295"/>
      <c r="I956" s="295"/>
      <c r="J956" s="295"/>
      <c r="K956" s="295"/>
      <c r="L956" s="295"/>
      <c r="M956" s="295"/>
      <c r="N956" s="295"/>
      <c r="O956" s="297"/>
      <c r="P956" s="295"/>
      <c r="Q956" s="295"/>
      <c r="R956" s="295"/>
      <c r="S956" s="295"/>
      <c r="T956" s="295"/>
      <c r="U956" s="295"/>
      <c r="V956" s="295"/>
      <c r="W956" s="295"/>
      <c r="X956" s="295"/>
      <c r="Y956" s="295"/>
      <c r="Z956" s="295"/>
    </row>
    <row r="957" ht="29.25" customHeight="1">
      <c r="A957" s="295"/>
      <c r="B957" s="295"/>
      <c r="C957" s="295"/>
      <c r="D957" s="295"/>
      <c r="E957" s="295"/>
      <c r="F957" s="295"/>
      <c r="G957" s="295"/>
      <c r="H957" s="295"/>
      <c r="I957" s="295"/>
      <c r="J957" s="295"/>
      <c r="K957" s="295"/>
      <c r="L957" s="295"/>
      <c r="M957" s="295"/>
      <c r="N957" s="295"/>
      <c r="O957" s="297"/>
      <c r="P957" s="295"/>
      <c r="Q957" s="295"/>
      <c r="R957" s="295"/>
      <c r="S957" s="295"/>
      <c r="T957" s="295"/>
      <c r="U957" s="295"/>
      <c r="V957" s="295"/>
      <c r="W957" s="295"/>
      <c r="X957" s="295"/>
      <c r="Y957" s="295"/>
      <c r="Z957" s="295"/>
    </row>
    <row r="958" ht="29.25" customHeight="1">
      <c r="A958" s="295"/>
      <c r="B958" s="295"/>
      <c r="C958" s="295"/>
      <c r="D958" s="295"/>
      <c r="E958" s="295"/>
      <c r="F958" s="295"/>
      <c r="G958" s="295"/>
      <c r="H958" s="295"/>
      <c r="I958" s="295"/>
      <c r="J958" s="295"/>
      <c r="K958" s="295"/>
      <c r="L958" s="295"/>
      <c r="M958" s="295"/>
      <c r="N958" s="295"/>
      <c r="O958" s="297"/>
      <c r="P958" s="295"/>
      <c r="Q958" s="295"/>
      <c r="R958" s="295"/>
      <c r="S958" s="295"/>
      <c r="T958" s="295"/>
      <c r="U958" s="295"/>
      <c r="V958" s="295"/>
      <c r="W958" s="295"/>
      <c r="X958" s="295"/>
      <c r="Y958" s="295"/>
      <c r="Z958" s="295"/>
    </row>
    <row r="959" ht="29.25" customHeight="1">
      <c r="A959" s="295"/>
      <c r="B959" s="295"/>
      <c r="C959" s="295"/>
      <c r="D959" s="295"/>
      <c r="E959" s="295"/>
      <c r="F959" s="295"/>
      <c r="G959" s="295"/>
      <c r="H959" s="295"/>
      <c r="I959" s="295"/>
      <c r="J959" s="295"/>
      <c r="K959" s="295"/>
      <c r="L959" s="295"/>
      <c r="M959" s="295"/>
      <c r="N959" s="295"/>
      <c r="O959" s="297"/>
      <c r="P959" s="295"/>
      <c r="Q959" s="295"/>
      <c r="R959" s="295"/>
      <c r="S959" s="295"/>
      <c r="T959" s="295"/>
      <c r="U959" s="295"/>
      <c r="V959" s="295"/>
      <c r="W959" s="295"/>
      <c r="X959" s="295"/>
      <c r="Y959" s="295"/>
      <c r="Z959" s="295"/>
    </row>
    <row r="960" ht="29.25" customHeight="1">
      <c r="A960" s="295"/>
      <c r="B960" s="295"/>
      <c r="C960" s="295"/>
      <c r="D960" s="295"/>
      <c r="E960" s="295"/>
      <c r="F960" s="295"/>
      <c r="G960" s="295"/>
      <c r="H960" s="295"/>
      <c r="I960" s="295"/>
      <c r="J960" s="295"/>
      <c r="K960" s="295"/>
      <c r="L960" s="295"/>
      <c r="M960" s="295"/>
      <c r="N960" s="295"/>
      <c r="O960" s="297"/>
      <c r="P960" s="295"/>
      <c r="Q960" s="295"/>
      <c r="R960" s="295"/>
      <c r="S960" s="295"/>
      <c r="T960" s="295"/>
      <c r="U960" s="295"/>
      <c r="V960" s="295"/>
      <c r="W960" s="295"/>
      <c r="X960" s="295"/>
      <c r="Y960" s="295"/>
      <c r="Z960" s="295"/>
    </row>
    <row r="961" ht="29.25" customHeight="1">
      <c r="A961" s="295"/>
      <c r="B961" s="295"/>
      <c r="C961" s="295"/>
      <c r="D961" s="295"/>
      <c r="E961" s="295"/>
      <c r="F961" s="295"/>
      <c r="G961" s="295"/>
      <c r="H961" s="295"/>
      <c r="I961" s="295"/>
      <c r="J961" s="295"/>
      <c r="K961" s="295"/>
      <c r="L961" s="295"/>
      <c r="M961" s="295"/>
      <c r="N961" s="295"/>
      <c r="O961" s="297"/>
      <c r="P961" s="295"/>
      <c r="Q961" s="295"/>
      <c r="R961" s="295"/>
      <c r="S961" s="295"/>
      <c r="T961" s="295"/>
      <c r="U961" s="295"/>
      <c r="V961" s="295"/>
      <c r="W961" s="295"/>
      <c r="X961" s="295"/>
      <c r="Y961" s="295"/>
      <c r="Z961" s="295"/>
    </row>
    <row r="962" ht="29.25" customHeight="1">
      <c r="A962" s="295"/>
      <c r="B962" s="295"/>
      <c r="C962" s="295"/>
      <c r="D962" s="295"/>
      <c r="E962" s="295"/>
      <c r="F962" s="295"/>
      <c r="G962" s="295"/>
      <c r="H962" s="295"/>
      <c r="I962" s="295"/>
      <c r="J962" s="295"/>
      <c r="K962" s="295"/>
      <c r="L962" s="295"/>
      <c r="M962" s="295"/>
      <c r="N962" s="295"/>
      <c r="O962" s="297"/>
      <c r="P962" s="295"/>
      <c r="Q962" s="295"/>
      <c r="R962" s="295"/>
      <c r="S962" s="295"/>
      <c r="T962" s="295"/>
      <c r="U962" s="295"/>
      <c r="V962" s="295"/>
      <c r="W962" s="295"/>
      <c r="X962" s="295"/>
      <c r="Y962" s="295"/>
      <c r="Z962" s="295"/>
    </row>
    <row r="963" ht="29.25" customHeight="1">
      <c r="A963" s="295"/>
      <c r="B963" s="295"/>
      <c r="C963" s="295"/>
      <c r="D963" s="295"/>
      <c r="E963" s="295"/>
      <c r="F963" s="295"/>
      <c r="G963" s="295"/>
      <c r="H963" s="295"/>
      <c r="I963" s="295"/>
      <c r="J963" s="295"/>
      <c r="K963" s="295"/>
      <c r="L963" s="295"/>
      <c r="M963" s="295"/>
      <c r="N963" s="295"/>
      <c r="O963" s="297"/>
      <c r="P963" s="295"/>
      <c r="Q963" s="295"/>
      <c r="R963" s="295"/>
      <c r="S963" s="295"/>
      <c r="T963" s="295"/>
      <c r="U963" s="295"/>
      <c r="V963" s="295"/>
      <c r="W963" s="295"/>
      <c r="X963" s="295"/>
      <c r="Y963" s="295"/>
      <c r="Z963" s="295"/>
    </row>
    <row r="964" ht="29.25" customHeight="1">
      <c r="A964" s="295"/>
      <c r="B964" s="295"/>
      <c r="C964" s="295"/>
      <c r="D964" s="295"/>
      <c r="E964" s="295"/>
      <c r="F964" s="295"/>
      <c r="G964" s="295"/>
      <c r="H964" s="295"/>
      <c r="I964" s="295"/>
      <c r="J964" s="295"/>
      <c r="K964" s="295"/>
      <c r="L964" s="295"/>
      <c r="M964" s="295"/>
      <c r="N964" s="295"/>
      <c r="O964" s="297"/>
      <c r="P964" s="295"/>
      <c r="Q964" s="295"/>
      <c r="R964" s="295"/>
      <c r="S964" s="295"/>
      <c r="T964" s="295"/>
      <c r="U964" s="295"/>
      <c r="V964" s="295"/>
      <c r="W964" s="295"/>
      <c r="X964" s="295"/>
      <c r="Y964" s="295"/>
      <c r="Z964" s="295"/>
    </row>
    <row r="965" ht="29.25" customHeight="1">
      <c r="A965" s="295"/>
      <c r="B965" s="295"/>
      <c r="C965" s="295"/>
      <c r="D965" s="295"/>
      <c r="E965" s="295"/>
      <c r="F965" s="295"/>
      <c r="G965" s="295"/>
      <c r="H965" s="295"/>
      <c r="I965" s="295"/>
      <c r="J965" s="295"/>
      <c r="K965" s="295"/>
      <c r="L965" s="295"/>
      <c r="M965" s="295"/>
      <c r="N965" s="295"/>
      <c r="O965" s="297"/>
      <c r="P965" s="295"/>
      <c r="Q965" s="295"/>
      <c r="R965" s="295"/>
      <c r="S965" s="295"/>
      <c r="T965" s="295"/>
      <c r="U965" s="295"/>
      <c r="V965" s="295"/>
      <c r="W965" s="295"/>
      <c r="X965" s="295"/>
      <c r="Y965" s="295"/>
      <c r="Z965" s="295"/>
    </row>
    <row r="966" ht="29.25" customHeight="1">
      <c r="A966" s="295"/>
      <c r="B966" s="295"/>
      <c r="C966" s="295"/>
      <c r="D966" s="295"/>
      <c r="E966" s="295"/>
      <c r="F966" s="295"/>
      <c r="G966" s="295"/>
      <c r="H966" s="295"/>
      <c r="I966" s="295"/>
      <c r="J966" s="295"/>
      <c r="K966" s="295"/>
      <c r="L966" s="295"/>
      <c r="M966" s="295"/>
      <c r="N966" s="295"/>
      <c r="O966" s="297"/>
      <c r="P966" s="295"/>
      <c r="Q966" s="295"/>
      <c r="R966" s="295"/>
      <c r="S966" s="295"/>
      <c r="T966" s="295"/>
      <c r="U966" s="295"/>
      <c r="V966" s="295"/>
      <c r="W966" s="295"/>
      <c r="X966" s="295"/>
      <c r="Y966" s="295"/>
      <c r="Z966" s="295"/>
    </row>
    <row r="967" ht="29.25" customHeight="1">
      <c r="A967" s="295"/>
      <c r="B967" s="295"/>
      <c r="C967" s="295"/>
      <c r="D967" s="295"/>
      <c r="E967" s="295"/>
      <c r="F967" s="295"/>
      <c r="G967" s="295"/>
      <c r="H967" s="295"/>
      <c r="I967" s="295"/>
      <c r="J967" s="295"/>
      <c r="K967" s="295"/>
      <c r="L967" s="295"/>
      <c r="M967" s="295"/>
      <c r="N967" s="295"/>
      <c r="O967" s="297"/>
      <c r="P967" s="295"/>
      <c r="Q967" s="295"/>
      <c r="R967" s="295"/>
      <c r="S967" s="295"/>
      <c r="T967" s="295"/>
      <c r="U967" s="295"/>
      <c r="V967" s="295"/>
      <c r="W967" s="295"/>
      <c r="X967" s="295"/>
      <c r="Y967" s="295"/>
      <c r="Z967" s="295"/>
    </row>
    <row r="968" ht="29.25" customHeight="1">
      <c r="A968" s="295"/>
      <c r="B968" s="295"/>
      <c r="C968" s="295"/>
      <c r="D968" s="295"/>
      <c r="E968" s="295"/>
      <c r="F968" s="295"/>
      <c r="G968" s="295"/>
      <c r="H968" s="295"/>
      <c r="I968" s="295"/>
      <c r="J968" s="295"/>
      <c r="K968" s="295"/>
      <c r="L968" s="295"/>
      <c r="M968" s="295"/>
      <c r="N968" s="295"/>
      <c r="O968" s="297"/>
      <c r="P968" s="295"/>
      <c r="Q968" s="295"/>
      <c r="R968" s="295"/>
      <c r="S968" s="295"/>
      <c r="T968" s="295"/>
      <c r="U968" s="295"/>
      <c r="V968" s="295"/>
      <c r="W968" s="295"/>
      <c r="X968" s="295"/>
      <c r="Y968" s="295"/>
      <c r="Z968" s="295"/>
    </row>
    <row r="969" ht="29.25" customHeight="1">
      <c r="A969" s="295"/>
      <c r="B969" s="295"/>
      <c r="C969" s="295"/>
      <c r="D969" s="295"/>
      <c r="E969" s="295"/>
      <c r="F969" s="295"/>
      <c r="G969" s="295"/>
      <c r="H969" s="295"/>
      <c r="I969" s="295"/>
      <c r="J969" s="295"/>
      <c r="K969" s="295"/>
      <c r="L969" s="295"/>
      <c r="M969" s="295"/>
      <c r="N969" s="295"/>
      <c r="O969" s="297"/>
      <c r="P969" s="295"/>
      <c r="Q969" s="295"/>
      <c r="R969" s="295"/>
      <c r="S969" s="295"/>
      <c r="T969" s="295"/>
      <c r="U969" s="295"/>
      <c r="V969" s="295"/>
      <c r="W969" s="295"/>
      <c r="X969" s="295"/>
      <c r="Y969" s="295"/>
      <c r="Z969" s="295"/>
    </row>
    <row r="970" ht="29.25" customHeight="1">
      <c r="A970" s="295"/>
      <c r="B970" s="295"/>
      <c r="C970" s="295"/>
      <c r="D970" s="295"/>
      <c r="E970" s="295"/>
      <c r="F970" s="295"/>
      <c r="G970" s="295"/>
      <c r="H970" s="295"/>
      <c r="I970" s="295"/>
      <c r="J970" s="295"/>
      <c r="K970" s="295"/>
      <c r="L970" s="295"/>
      <c r="M970" s="295"/>
      <c r="N970" s="295"/>
      <c r="O970" s="297"/>
      <c r="P970" s="295"/>
      <c r="Q970" s="295"/>
      <c r="R970" s="295"/>
      <c r="S970" s="295"/>
      <c r="T970" s="295"/>
      <c r="U970" s="295"/>
      <c r="V970" s="295"/>
      <c r="W970" s="295"/>
      <c r="X970" s="295"/>
      <c r="Y970" s="295"/>
      <c r="Z970" s="295"/>
    </row>
    <row r="971" ht="29.25" customHeight="1">
      <c r="A971" s="295"/>
      <c r="B971" s="295"/>
      <c r="C971" s="295"/>
      <c r="D971" s="295"/>
      <c r="E971" s="295"/>
      <c r="F971" s="295"/>
      <c r="G971" s="295"/>
      <c r="H971" s="295"/>
      <c r="I971" s="295"/>
      <c r="J971" s="295"/>
      <c r="K971" s="295"/>
      <c r="L971" s="295"/>
      <c r="M971" s="295"/>
      <c r="N971" s="295"/>
      <c r="O971" s="297"/>
      <c r="P971" s="295"/>
      <c r="Q971" s="295"/>
      <c r="R971" s="295"/>
      <c r="S971" s="295"/>
      <c r="T971" s="295"/>
      <c r="U971" s="295"/>
      <c r="V971" s="295"/>
      <c r="W971" s="295"/>
      <c r="X971" s="295"/>
      <c r="Y971" s="295"/>
      <c r="Z971" s="295"/>
    </row>
    <row r="972" ht="29.25" customHeight="1">
      <c r="A972" s="295"/>
      <c r="B972" s="295"/>
      <c r="C972" s="295"/>
      <c r="D972" s="295"/>
      <c r="E972" s="295"/>
      <c r="F972" s="295"/>
      <c r="G972" s="295"/>
      <c r="H972" s="295"/>
      <c r="I972" s="295"/>
      <c r="J972" s="295"/>
      <c r="K972" s="295"/>
      <c r="L972" s="295"/>
      <c r="M972" s="295"/>
      <c r="N972" s="295"/>
      <c r="O972" s="297"/>
      <c r="P972" s="295"/>
      <c r="Q972" s="295"/>
      <c r="R972" s="295"/>
      <c r="S972" s="295"/>
      <c r="T972" s="295"/>
      <c r="U972" s="295"/>
      <c r="V972" s="295"/>
      <c r="W972" s="295"/>
      <c r="X972" s="295"/>
      <c r="Y972" s="295"/>
      <c r="Z972" s="295"/>
    </row>
    <row r="973" ht="29.25" customHeight="1">
      <c r="A973" s="295"/>
      <c r="B973" s="295"/>
      <c r="C973" s="295"/>
      <c r="D973" s="295"/>
      <c r="E973" s="295"/>
      <c r="F973" s="295"/>
      <c r="G973" s="295"/>
      <c r="H973" s="295"/>
      <c r="I973" s="295"/>
      <c r="J973" s="295"/>
      <c r="K973" s="295"/>
      <c r="L973" s="295"/>
      <c r="M973" s="295"/>
      <c r="N973" s="295"/>
      <c r="O973" s="297"/>
      <c r="P973" s="295"/>
      <c r="Q973" s="295"/>
      <c r="R973" s="295"/>
      <c r="S973" s="295"/>
      <c r="T973" s="295"/>
      <c r="U973" s="295"/>
      <c r="V973" s="295"/>
      <c r="W973" s="295"/>
      <c r="X973" s="295"/>
      <c r="Y973" s="295"/>
      <c r="Z973" s="295"/>
    </row>
    <row r="974" ht="29.25" customHeight="1">
      <c r="A974" s="295"/>
      <c r="B974" s="295"/>
      <c r="C974" s="295"/>
      <c r="D974" s="295"/>
      <c r="E974" s="295"/>
      <c r="F974" s="295"/>
      <c r="G974" s="295"/>
      <c r="H974" s="295"/>
      <c r="I974" s="295"/>
      <c r="J974" s="295"/>
      <c r="K974" s="295"/>
      <c r="L974" s="295"/>
      <c r="M974" s="295"/>
      <c r="N974" s="295"/>
      <c r="O974" s="297"/>
      <c r="P974" s="295"/>
      <c r="Q974" s="295"/>
      <c r="R974" s="295"/>
      <c r="S974" s="295"/>
      <c r="T974" s="295"/>
      <c r="U974" s="295"/>
      <c r="V974" s="295"/>
      <c r="W974" s="295"/>
      <c r="X974" s="295"/>
      <c r="Y974" s="295"/>
      <c r="Z974" s="295"/>
    </row>
    <row r="975" ht="29.25" customHeight="1">
      <c r="A975" s="295"/>
      <c r="B975" s="295"/>
      <c r="C975" s="295"/>
      <c r="D975" s="295"/>
      <c r="E975" s="295"/>
      <c r="F975" s="295"/>
      <c r="G975" s="295"/>
      <c r="H975" s="295"/>
      <c r="I975" s="295"/>
      <c r="J975" s="295"/>
      <c r="K975" s="295"/>
      <c r="L975" s="295"/>
      <c r="M975" s="295"/>
      <c r="N975" s="295"/>
      <c r="O975" s="297"/>
      <c r="P975" s="295"/>
      <c r="Q975" s="295"/>
      <c r="R975" s="295"/>
      <c r="S975" s="295"/>
      <c r="T975" s="295"/>
      <c r="U975" s="295"/>
      <c r="V975" s="295"/>
      <c r="W975" s="295"/>
      <c r="X975" s="295"/>
      <c r="Y975" s="295"/>
      <c r="Z975" s="295"/>
    </row>
    <row r="976" ht="29.25" customHeight="1">
      <c r="A976" s="295"/>
      <c r="B976" s="295"/>
      <c r="C976" s="295"/>
      <c r="D976" s="295"/>
      <c r="E976" s="295"/>
      <c r="F976" s="295"/>
      <c r="G976" s="295"/>
      <c r="H976" s="295"/>
      <c r="I976" s="295"/>
      <c r="J976" s="295"/>
      <c r="K976" s="295"/>
      <c r="L976" s="295"/>
      <c r="M976" s="295"/>
      <c r="N976" s="295"/>
      <c r="O976" s="297"/>
      <c r="P976" s="295"/>
      <c r="Q976" s="295"/>
      <c r="R976" s="295"/>
      <c r="S976" s="295"/>
      <c r="T976" s="295"/>
      <c r="U976" s="295"/>
      <c r="V976" s="295"/>
      <c r="W976" s="295"/>
      <c r="X976" s="295"/>
      <c r="Y976" s="295"/>
      <c r="Z976" s="295"/>
    </row>
    <row r="977" ht="29.25" customHeight="1">
      <c r="A977" s="295"/>
      <c r="B977" s="295"/>
      <c r="C977" s="295"/>
      <c r="D977" s="295"/>
      <c r="E977" s="295"/>
      <c r="F977" s="295"/>
      <c r="G977" s="295"/>
      <c r="H977" s="295"/>
      <c r="I977" s="295"/>
      <c r="J977" s="295"/>
      <c r="K977" s="295"/>
      <c r="L977" s="295"/>
      <c r="M977" s="295"/>
      <c r="N977" s="295"/>
      <c r="O977" s="297"/>
      <c r="P977" s="295"/>
      <c r="Q977" s="295"/>
      <c r="R977" s="295"/>
      <c r="S977" s="295"/>
      <c r="T977" s="295"/>
      <c r="U977" s="295"/>
      <c r="V977" s="295"/>
      <c r="W977" s="295"/>
      <c r="X977" s="295"/>
      <c r="Y977" s="295"/>
      <c r="Z977" s="295"/>
    </row>
    <row r="978" ht="29.25" customHeight="1">
      <c r="A978" s="295"/>
      <c r="B978" s="295"/>
      <c r="C978" s="295"/>
      <c r="D978" s="295"/>
      <c r="E978" s="295"/>
      <c r="F978" s="295"/>
      <c r="G978" s="295"/>
      <c r="H978" s="295"/>
      <c r="I978" s="295"/>
      <c r="J978" s="295"/>
      <c r="K978" s="295"/>
      <c r="L978" s="295"/>
      <c r="M978" s="295"/>
      <c r="N978" s="295"/>
      <c r="O978" s="297"/>
      <c r="P978" s="295"/>
      <c r="Q978" s="295"/>
      <c r="R978" s="295"/>
      <c r="S978" s="295"/>
      <c r="T978" s="295"/>
      <c r="U978" s="295"/>
      <c r="V978" s="295"/>
      <c r="W978" s="295"/>
      <c r="X978" s="295"/>
      <c r="Y978" s="295"/>
      <c r="Z978" s="295"/>
    </row>
    <row r="979" ht="29.25" customHeight="1">
      <c r="A979" s="295"/>
      <c r="B979" s="295"/>
      <c r="C979" s="295"/>
      <c r="D979" s="295"/>
      <c r="E979" s="295"/>
      <c r="F979" s="295"/>
      <c r="G979" s="295"/>
      <c r="H979" s="295"/>
      <c r="I979" s="295"/>
      <c r="J979" s="295"/>
      <c r="K979" s="295"/>
      <c r="L979" s="295"/>
      <c r="M979" s="295"/>
      <c r="N979" s="295"/>
      <c r="O979" s="297"/>
      <c r="P979" s="295"/>
      <c r="Q979" s="295"/>
      <c r="R979" s="295"/>
      <c r="S979" s="295"/>
      <c r="T979" s="295"/>
      <c r="U979" s="295"/>
      <c r="V979" s="295"/>
      <c r="W979" s="295"/>
      <c r="X979" s="295"/>
      <c r="Y979" s="295"/>
      <c r="Z979" s="295"/>
    </row>
    <row r="980" ht="29.25" customHeight="1">
      <c r="A980" s="295"/>
      <c r="B980" s="295"/>
      <c r="C980" s="295"/>
      <c r="D980" s="295"/>
      <c r="E980" s="295"/>
      <c r="F980" s="295"/>
      <c r="G980" s="295"/>
      <c r="H980" s="295"/>
      <c r="I980" s="295"/>
      <c r="J980" s="295"/>
      <c r="K980" s="295"/>
      <c r="L980" s="295"/>
      <c r="M980" s="295"/>
      <c r="N980" s="295"/>
      <c r="O980" s="297"/>
      <c r="P980" s="295"/>
      <c r="Q980" s="295"/>
      <c r="R980" s="295"/>
      <c r="S980" s="295"/>
      <c r="T980" s="295"/>
      <c r="U980" s="295"/>
      <c r="V980" s="295"/>
      <c r="W980" s="295"/>
      <c r="X980" s="295"/>
      <c r="Y980" s="295"/>
      <c r="Z980" s="295"/>
    </row>
    <row r="981" ht="29.25" customHeight="1">
      <c r="A981" s="295"/>
      <c r="B981" s="295"/>
      <c r="C981" s="295"/>
      <c r="D981" s="295"/>
      <c r="E981" s="295"/>
      <c r="F981" s="295"/>
      <c r="G981" s="295"/>
      <c r="H981" s="295"/>
      <c r="I981" s="295"/>
      <c r="J981" s="295"/>
      <c r="K981" s="295"/>
      <c r="L981" s="295"/>
      <c r="M981" s="295"/>
      <c r="N981" s="295"/>
      <c r="O981" s="297"/>
      <c r="P981" s="295"/>
      <c r="Q981" s="295"/>
      <c r="R981" s="295"/>
      <c r="S981" s="295"/>
      <c r="T981" s="295"/>
      <c r="U981" s="295"/>
      <c r="V981" s="295"/>
      <c r="W981" s="295"/>
      <c r="X981" s="295"/>
      <c r="Y981" s="295"/>
      <c r="Z981" s="295"/>
    </row>
    <row r="982" ht="29.25" customHeight="1">
      <c r="A982" s="295"/>
      <c r="B982" s="295"/>
      <c r="C982" s="295"/>
      <c r="D982" s="295"/>
      <c r="E982" s="295"/>
      <c r="F982" s="295"/>
      <c r="G982" s="295"/>
      <c r="H982" s="295"/>
      <c r="I982" s="295"/>
      <c r="J982" s="295"/>
      <c r="K982" s="295"/>
      <c r="L982" s="295"/>
      <c r="M982" s="295"/>
      <c r="N982" s="295"/>
      <c r="O982" s="297"/>
      <c r="P982" s="295"/>
      <c r="Q982" s="295"/>
      <c r="R982" s="295"/>
      <c r="S982" s="295"/>
      <c r="T982" s="295"/>
      <c r="U982" s="295"/>
      <c r="V982" s="295"/>
      <c r="W982" s="295"/>
      <c r="X982" s="295"/>
      <c r="Y982" s="295"/>
      <c r="Z982" s="295"/>
    </row>
    <row r="983" ht="29.25" customHeight="1">
      <c r="A983" s="295"/>
      <c r="B983" s="295"/>
      <c r="C983" s="295"/>
      <c r="D983" s="295"/>
      <c r="E983" s="295"/>
      <c r="F983" s="295"/>
      <c r="G983" s="295"/>
      <c r="H983" s="295"/>
      <c r="I983" s="295"/>
      <c r="J983" s="295"/>
      <c r="K983" s="295"/>
      <c r="L983" s="295"/>
      <c r="M983" s="295"/>
      <c r="N983" s="295"/>
      <c r="O983" s="297"/>
      <c r="P983" s="295"/>
      <c r="Q983" s="295"/>
      <c r="R983" s="295"/>
      <c r="S983" s="295"/>
      <c r="T983" s="295"/>
      <c r="U983" s="295"/>
      <c r="V983" s="295"/>
      <c r="W983" s="295"/>
      <c r="X983" s="295"/>
      <c r="Y983" s="295"/>
      <c r="Z983" s="295"/>
    </row>
    <row r="984" ht="29.25" customHeight="1">
      <c r="A984" s="295"/>
      <c r="B984" s="295"/>
      <c r="C984" s="295"/>
      <c r="D984" s="295"/>
      <c r="E984" s="295"/>
      <c r="F984" s="295"/>
      <c r="G984" s="295"/>
      <c r="H984" s="295"/>
      <c r="I984" s="295"/>
      <c r="J984" s="295"/>
      <c r="K984" s="295"/>
      <c r="L984" s="295"/>
      <c r="M984" s="295"/>
      <c r="N984" s="295"/>
      <c r="O984" s="297"/>
      <c r="P984" s="295"/>
      <c r="Q984" s="295"/>
      <c r="R984" s="295"/>
      <c r="S984" s="295"/>
      <c r="T984" s="295"/>
      <c r="U984" s="295"/>
      <c r="V984" s="295"/>
      <c r="W984" s="295"/>
      <c r="X984" s="295"/>
      <c r="Y984" s="295"/>
      <c r="Z984" s="295"/>
    </row>
    <row r="985" ht="29.25" customHeight="1">
      <c r="A985" s="295"/>
      <c r="B985" s="295"/>
      <c r="C985" s="295"/>
      <c r="D985" s="295"/>
      <c r="E985" s="295"/>
      <c r="F985" s="295"/>
      <c r="G985" s="295"/>
      <c r="H985" s="295"/>
      <c r="I985" s="295"/>
      <c r="J985" s="295"/>
      <c r="K985" s="295"/>
      <c r="L985" s="295"/>
      <c r="M985" s="295"/>
      <c r="N985" s="295"/>
      <c r="O985" s="297"/>
      <c r="P985" s="295"/>
      <c r="Q985" s="295"/>
      <c r="R985" s="295"/>
      <c r="S985" s="295"/>
      <c r="T985" s="295"/>
      <c r="U985" s="295"/>
      <c r="V985" s="295"/>
      <c r="W985" s="295"/>
      <c r="X985" s="295"/>
      <c r="Y985" s="295"/>
      <c r="Z985" s="295"/>
    </row>
    <row r="986" ht="29.25" customHeight="1">
      <c r="A986" s="295"/>
      <c r="B986" s="295"/>
      <c r="C986" s="295"/>
      <c r="D986" s="295"/>
      <c r="E986" s="295"/>
      <c r="F986" s="295"/>
      <c r="G986" s="295"/>
      <c r="H986" s="295"/>
      <c r="I986" s="295"/>
      <c r="J986" s="295"/>
      <c r="K986" s="295"/>
      <c r="L986" s="295"/>
      <c r="M986" s="295"/>
      <c r="N986" s="295"/>
      <c r="O986" s="297"/>
      <c r="P986" s="295"/>
      <c r="Q986" s="295"/>
      <c r="R986" s="295"/>
      <c r="S986" s="295"/>
      <c r="T986" s="295"/>
      <c r="U986" s="295"/>
      <c r="V986" s="295"/>
      <c r="W986" s="295"/>
      <c r="X986" s="295"/>
      <c r="Y986" s="295"/>
      <c r="Z986" s="295"/>
    </row>
    <row r="987" ht="29.25" customHeight="1">
      <c r="A987" s="295"/>
      <c r="B987" s="295"/>
      <c r="C987" s="295"/>
      <c r="D987" s="295"/>
      <c r="E987" s="295"/>
      <c r="F987" s="295"/>
      <c r="G987" s="295"/>
      <c r="H987" s="295"/>
      <c r="I987" s="295"/>
      <c r="J987" s="295"/>
      <c r="K987" s="295"/>
      <c r="L987" s="295"/>
      <c r="M987" s="295"/>
      <c r="N987" s="295"/>
      <c r="O987" s="297"/>
      <c r="P987" s="295"/>
      <c r="Q987" s="295"/>
      <c r="R987" s="295"/>
      <c r="S987" s="295"/>
      <c r="T987" s="295"/>
      <c r="U987" s="295"/>
      <c r="V987" s="295"/>
      <c r="W987" s="295"/>
      <c r="X987" s="295"/>
      <c r="Y987" s="295"/>
      <c r="Z987" s="295"/>
    </row>
    <row r="988" ht="29.25" customHeight="1">
      <c r="A988" s="295"/>
      <c r="B988" s="295"/>
      <c r="C988" s="295"/>
      <c r="D988" s="295"/>
      <c r="E988" s="295"/>
      <c r="F988" s="295"/>
      <c r="G988" s="295"/>
      <c r="H988" s="295"/>
      <c r="I988" s="295"/>
      <c r="J988" s="295"/>
      <c r="K988" s="295"/>
      <c r="L988" s="295"/>
      <c r="M988" s="295"/>
      <c r="N988" s="295"/>
      <c r="O988" s="297"/>
      <c r="P988" s="295"/>
      <c r="Q988" s="295"/>
      <c r="R988" s="295"/>
      <c r="S988" s="295"/>
      <c r="T988" s="295"/>
      <c r="U988" s="295"/>
      <c r="V988" s="295"/>
      <c r="W988" s="295"/>
      <c r="X988" s="295"/>
      <c r="Y988" s="295"/>
      <c r="Z988" s="295"/>
    </row>
    <row r="989" ht="29.25" customHeight="1">
      <c r="A989" s="295"/>
      <c r="B989" s="295"/>
      <c r="C989" s="295"/>
      <c r="D989" s="295"/>
      <c r="E989" s="295"/>
      <c r="F989" s="295"/>
      <c r="G989" s="295"/>
      <c r="H989" s="295"/>
      <c r="I989" s="295"/>
      <c r="J989" s="295"/>
      <c r="K989" s="295"/>
      <c r="L989" s="295"/>
      <c r="M989" s="295"/>
      <c r="N989" s="295"/>
      <c r="O989" s="297"/>
      <c r="P989" s="295"/>
      <c r="Q989" s="295"/>
      <c r="R989" s="295"/>
      <c r="S989" s="295"/>
      <c r="T989" s="295"/>
      <c r="U989" s="295"/>
      <c r="V989" s="295"/>
      <c r="W989" s="295"/>
      <c r="X989" s="295"/>
      <c r="Y989" s="295"/>
      <c r="Z989" s="295"/>
    </row>
    <row r="990" ht="29.25" customHeight="1">
      <c r="A990" s="295"/>
      <c r="B990" s="295"/>
      <c r="C990" s="295"/>
      <c r="D990" s="295"/>
      <c r="E990" s="295"/>
      <c r="F990" s="295"/>
      <c r="G990" s="295"/>
      <c r="H990" s="295"/>
      <c r="I990" s="295"/>
      <c r="J990" s="295"/>
      <c r="K990" s="295"/>
      <c r="L990" s="295"/>
      <c r="M990" s="295"/>
      <c r="N990" s="295"/>
      <c r="O990" s="297"/>
      <c r="P990" s="295"/>
      <c r="Q990" s="295"/>
      <c r="R990" s="295"/>
      <c r="S990" s="295"/>
      <c r="T990" s="295"/>
      <c r="U990" s="295"/>
      <c r="V990" s="295"/>
      <c r="W990" s="295"/>
      <c r="X990" s="295"/>
      <c r="Y990" s="295"/>
      <c r="Z990" s="295"/>
    </row>
    <row r="991" ht="29.25" customHeight="1">
      <c r="A991" s="295"/>
      <c r="B991" s="295"/>
      <c r="C991" s="295"/>
      <c r="D991" s="295"/>
      <c r="E991" s="295"/>
      <c r="F991" s="295"/>
      <c r="G991" s="295"/>
      <c r="H991" s="295"/>
      <c r="I991" s="295"/>
      <c r="J991" s="295"/>
      <c r="K991" s="295"/>
      <c r="L991" s="295"/>
      <c r="M991" s="295"/>
      <c r="N991" s="295"/>
      <c r="O991" s="297"/>
      <c r="P991" s="295"/>
      <c r="Q991" s="295"/>
      <c r="R991" s="295"/>
      <c r="S991" s="295"/>
      <c r="T991" s="295"/>
      <c r="U991" s="295"/>
      <c r="V991" s="295"/>
      <c r="W991" s="295"/>
      <c r="X991" s="295"/>
      <c r="Y991" s="295"/>
      <c r="Z991" s="295"/>
    </row>
    <row r="992" ht="29.25" customHeight="1">
      <c r="A992" s="295"/>
      <c r="B992" s="295"/>
      <c r="C992" s="295"/>
      <c r="D992" s="295"/>
      <c r="E992" s="295"/>
      <c r="F992" s="295"/>
      <c r="G992" s="295"/>
      <c r="H992" s="295"/>
      <c r="I992" s="295"/>
      <c r="J992" s="295"/>
      <c r="K992" s="295"/>
      <c r="L992" s="295"/>
      <c r="M992" s="295"/>
      <c r="N992" s="295"/>
      <c r="O992" s="297"/>
      <c r="P992" s="295"/>
      <c r="Q992" s="295"/>
      <c r="R992" s="295"/>
      <c r="S992" s="295"/>
      <c r="T992" s="295"/>
      <c r="U992" s="295"/>
      <c r="V992" s="295"/>
      <c r="W992" s="295"/>
      <c r="X992" s="295"/>
      <c r="Y992" s="295"/>
      <c r="Z992" s="295"/>
    </row>
    <row r="993" ht="29.25" customHeight="1">
      <c r="A993" s="295"/>
      <c r="B993" s="295"/>
      <c r="C993" s="295"/>
      <c r="D993" s="295"/>
      <c r="E993" s="295"/>
      <c r="F993" s="295"/>
      <c r="G993" s="295"/>
      <c r="H993" s="295"/>
      <c r="I993" s="295"/>
      <c r="J993" s="295"/>
      <c r="K993" s="295"/>
      <c r="L993" s="295"/>
      <c r="M993" s="295"/>
      <c r="N993" s="295"/>
      <c r="O993" s="297"/>
      <c r="P993" s="295"/>
      <c r="Q993" s="295"/>
      <c r="R993" s="295"/>
      <c r="S993" s="295"/>
      <c r="T993" s="295"/>
      <c r="U993" s="295"/>
      <c r="V993" s="295"/>
      <c r="W993" s="295"/>
      <c r="X993" s="295"/>
      <c r="Y993" s="295"/>
      <c r="Z993" s="295"/>
    </row>
    <row r="994" ht="29.25" customHeight="1">
      <c r="A994" s="295"/>
      <c r="B994" s="295"/>
      <c r="C994" s="295"/>
      <c r="D994" s="295"/>
      <c r="E994" s="295"/>
      <c r="F994" s="295"/>
      <c r="G994" s="295"/>
      <c r="H994" s="295"/>
      <c r="I994" s="295"/>
      <c r="J994" s="295"/>
      <c r="K994" s="295"/>
      <c r="L994" s="295"/>
      <c r="M994" s="295"/>
      <c r="N994" s="295"/>
      <c r="O994" s="297"/>
      <c r="P994" s="295"/>
      <c r="Q994" s="295"/>
      <c r="R994" s="295"/>
      <c r="S994" s="295"/>
      <c r="T994" s="295"/>
      <c r="U994" s="295"/>
      <c r="V994" s="295"/>
      <c r="W994" s="295"/>
      <c r="X994" s="295"/>
      <c r="Y994" s="295"/>
      <c r="Z994" s="295"/>
    </row>
    <row r="995" ht="29.25" customHeight="1">
      <c r="A995" s="295"/>
      <c r="B995" s="295"/>
      <c r="C995" s="295"/>
      <c r="D995" s="295"/>
      <c r="E995" s="295"/>
      <c r="F995" s="295"/>
      <c r="G995" s="295"/>
      <c r="H995" s="295"/>
      <c r="I995" s="295"/>
      <c r="J995" s="295"/>
      <c r="K995" s="295"/>
      <c r="L995" s="295"/>
      <c r="M995" s="295"/>
      <c r="N995" s="295"/>
      <c r="O995" s="297"/>
      <c r="P995" s="295"/>
      <c r="Q995" s="295"/>
      <c r="R995" s="295"/>
      <c r="S995" s="295"/>
      <c r="T995" s="295"/>
      <c r="U995" s="295"/>
      <c r="V995" s="295"/>
      <c r="W995" s="295"/>
      <c r="X995" s="295"/>
      <c r="Y995" s="295"/>
      <c r="Z995" s="295"/>
    </row>
    <row r="996" ht="29.25" customHeight="1">
      <c r="A996" s="295"/>
      <c r="B996" s="295"/>
      <c r="C996" s="295"/>
      <c r="D996" s="295"/>
      <c r="E996" s="295"/>
      <c r="F996" s="295"/>
      <c r="G996" s="295"/>
      <c r="H996" s="295"/>
      <c r="I996" s="295"/>
      <c r="J996" s="295"/>
      <c r="K996" s="295"/>
      <c r="L996" s="295"/>
      <c r="M996" s="295"/>
      <c r="N996" s="295"/>
      <c r="O996" s="297"/>
      <c r="P996" s="295"/>
      <c r="Q996" s="295"/>
      <c r="R996" s="295"/>
      <c r="S996" s="295"/>
      <c r="T996" s="295"/>
      <c r="U996" s="295"/>
      <c r="V996" s="295"/>
      <c r="W996" s="295"/>
      <c r="X996" s="295"/>
      <c r="Y996" s="295"/>
      <c r="Z996" s="295"/>
    </row>
    <row r="997" ht="29.25" customHeight="1">
      <c r="A997" s="295"/>
      <c r="B997" s="295"/>
      <c r="C997" s="295"/>
      <c r="D997" s="295"/>
      <c r="E997" s="295"/>
      <c r="F997" s="295"/>
      <c r="G997" s="295"/>
      <c r="H997" s="295"/>
      <c r="I997" s="295"/>
      <c r="J997" s="295"/>
      <c r="K997" s="295"/>
      <c r="L997" s="295"/>
      <c r="M997" s="295"/>
      <c r="N997" s="295"/>
      <c r="O997" s="297"/>
      <c r="P997" s="295"/>
      <c r="Q997" s="295"/>
      <c r="R997" s="295"/>
      <c r="S997" s="295"/>
      <c r="T997" s="295"/>
      <c r="U997" s="295"/>
      <c r="V997" s="295"/>
      <c r="W997" s="295"/>
      <c r="X997" s="295"/>
      <c r="Y997" s="295"/>
      <c r="Z997" s="295"/>
    </row>
    <row r="998" ht="29.25" customHeight="1">
      <c r="A998" s="295"/>
      <c r="B998" s="295"/>
      <c r="C998" s="295"/>
      <c r="D998" s="295"/>
      <c r="E998" s="295"/>
      <c r="F998" s="295"/>
      <c r="G998" s="295"/>
      <c r="H998" s="295"/>
      <c r="I998" s="295"/>
      <c r="J998" s="295"/>
      <c r="K998" s="295"/>
      <c r="L998" s="295"/>
      <c r="M998" s="295"/>
      <c r="N998" s="295"/>
      <c r="O998" s="297"/>
      <c r="P998" s="295"/>
      <c r="Q998" s="295"/>
      <c r="R998" s="295"/>
      <c r="S998" s="295"/>
      <c r="T998" s="295"/>
      <c r="U998" s="295"/>
      <c r="V998" s="295"/>
      <c r="W998" s="295"/>
      <c r="X998" s="295"/>
      <c r="Y998" s="295"/>
      <c r="Z998" s="295"/>
    </row>
    <row r="999" ht="29.25" customHeight="1">
      <c r="A999" s="295"/>
      <c r="B999" s="295"/>
      <c r="C999" s="295"/>
      <c r="D999" s="295"/>
      <c r="E999" s="295"/>
      <c r="F999" s="295"/>
      <c r="G999" s="295"/>
      <c r="H999" s="295"/>
      <c r="I999" s="295"/>
      <c r="J999" s="295"/>
      <c r="K999" s="295"/>
      <c r="L999" s="295"/>
      <c r="M999" s="295"/>
      <c r="N999" s="295"/>
      <c r="O999" s="297"/>
      <c r="P999" s="295"/>
      <c r="Q999" s="295"/>
      <c r="R999" s="295"/>
      <c r="S999" s="295"/>
      <c r="T999" s="295"/>
      <c r="U999" s="295"/>
      <c r="V999" s="295"/>
      <c r="W999" s="295"/>
      <c r="X999" s="295"/>
      <c r="Y999" s="295"/>
      <c r="Z999" s="295"/>
    </row>
    <row r="1000" ht="29.25" customHeight="1">
      <c r="A1000" s="295"/>
      <c r="B1000" s="295"/>
      <c r="C1000" s="295"/>
      <c r="D1000" s="295"/>
      <c r="E1000" s="295"/>
      <c r="F1000" s="295"/>
      <c r="G1000" s="295"/>
      <c r="H1000" s="295"/>
      <c r="I1000" s="295"/>
      <c r="J1000" s="295"/>
      <c r="K1000" s="295"/>
      <c r="L1000" s="295"/>
      <c r="M1000" s="295"/>
      <c r="N1000" s="295"/>
      <c r="O1000" s="297"/>
      <c r="P1000" s="295"/>
      <c r="Q1000" s="295"/>
      <c r="R1000" s="295"/>
      <c r="S1000" s="295"/>
      <c r="T1000" s="295"/>
      <c r="U1000" s="295"/>
      <c r="V1000" s="295"/>
      <c r="W1000" s="295"/>
      <c r="X1000" s="295"/>
      <c r="Y1000" s="295"/>
      <c r="Z1000" s="295"/>
    </row>
  </sheetData>
  <hyperlinks>
    <hyperlink r:id="rId1" ref="N2"/>
    <hyperlink r:id="rId2" ref="I3"/>
    <hyperlink r:id="rId3" ref="N3"/>
    <hyperlink r:id="rId4" ref="N4"/>
    <hyperlink r:id="rId5" ref="N5"/>
    <hyperlink r:id="rId6" ref="N6"/>
    <hyperlink r:id="rId7" ref="N7"/>
    <hyperlink r:id="rId8" ref="N8"/>
    <hyperlink r:id="rId9" ref="N9"/>
    <hyperlink r:id="rId10" ref="N10"/>
    <hyperlink r:id="rId11" ref="N11"/>
    <hyperlink r:id="rId12" ref="Q11"/>
    <hyperlink r:id="rId13" ref="N13"/>
    <hyperlink r:id="rId14" ref="Q13"/>
    <hyperlink r:id="rId15" ref="N14"/>
    <hyperlink r:id="rId16" ref="Q14"/>
    <hyperlink r:id="rId17" ref="N16"/>
    <hyperlink r:id="rId18" ref="Q18"/>
    <hyperlink r:id="rId19" ref="N21"/>
    <hyperlink r:id="rId20" ref="Q21"/>
    <hyperlink r:id="rId21" ref="Q23"/>
    <hyperlink r:id="rId22" ref="N24"/>
    <hyperlink r:id="rId23" ref="N25"/>
    <hyperlink r:id="rId24" ref="N26"/>
    <hyperlink r:id="rId25" ref="Q26"/>
    <hyperlink r:id="rId26" ref="Q28"/>
    <hyperlink r:id="rId27" ref="N30"/>
    <hyperlink r:id="rId28" ref="N33"/>
    <hyperlink r:id="rId29" ref="N34"/>
    <hyperlink r:id="rId30" ref="N37"/>
    <hyperlink r:id="rId31" ref="Q37"/>
    <hyperlink r:id="rId32" ref="Q38"/>
    <hyperlink r:id="rId33" ref="Q39"/>
    <hyperlink r:id="rId34" ref="Q40"/>
    <hyperlink r:id="rId35" ref="Q41"/>
    <hyperlink r:id="rId36" ref="N43"/>
    <hyperlink r:id="rId37" ref="Q45"/>
    <hyperlink r:id="rId38" ref="Q48"/>
    <hyperlink r:id="rId39" ref="N49"/>
    <hyperlink r:id="rId40" ref="Q49"/>
    <hyperlink r:id="rId41" ref="Q52"/>
    <hyperlink r:id="rId42" ref="Q53"/>
    <hyperlink r:id="rId43" ref="Q60"/>
    <hyperlink r:id="rId44" ref="Q61"/>
    <hyperlink r:id="rId45" ref="Q62"/>
    <hyperlink r:id="rId46" ref="Q63"/>
    <hyperlink r:id="rId47" ref="Q64"/>
    <hyperlink r:id="rId48" ref="Q68"/>
  </hyperlinks>
  <drawing r:id="rId49"/>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3.44" defaultRowHeight="15.0"/>
  <cols>
    <col customWidth="1" min="1" max="1" width="17.44"/>
    <col customWidth="1" min="2" max="2" width="20.0"/>
    <col customWidth="1" min="3" max="3" width="14.11"/>
    <col customWidth="1" min="4" max="4" width="15.44"/>
    <col customWidth="1" min="5" max="6" width="17.44"/>
    <col customWidth="1" min="7" max="7" width="11.0"/>
    <col customWidth="1" min="8" max="8" width="13.33"/>
    <col customWidth="1" min="9" max="9" width="11.0"/>
    <col customWidth="1" min="10" max="12" width="17.44"/>
    <col customWidth="1" min="13" max="13" width="15.78"/>
    <col customWidth="1" min="14" max="14" width="13.67"/>
    <col customWidth="1" min="15" max="16" width="17.44"/>
    <col customWidth="1" min="17" max="20" width="28.11"/>
    <col customWidth="1" min="21" max="26" width="17.44"/>
  </cols>
  <sheetData>
    <row r="1" ht="168.75" customHeight="1">
      <c r="A1" s="313" t="s">
        <v>6</v>
      </c>
      <c r="B1" s="313" t="s">
        <v>7069</v>
      </c>
      <c r="C1" s="313" t="s">
        <v>1217</v>
      </c>
      <c r="D1" s="313" t="s">
        <v>1219</v>
      </c>
      <c r="E1" s="313" t="s">
        <v>7070</v>
      </c>
      <c r="F1" s="313" t="s">
        <v>3801</v>
      </c>
      <c r="G1" s="313" t="s">
        <v>1222</v>
      </c>
      <c r="H1" s="313" t="s">
        <v>1228</v>
      </c>
      <c r="I1" s="313" t="s">
        <v>7071</v>
      </c>
      <c r="J1" s="313" t="s">
        <v>7072</v>
      </c>
      <c r="K1" s="313" t="s">
        <v>67</v>
      </c>
      <c r="L1" s="313" t="s">
        <v>24</v>
      </c>
      <c r="M1" s="313" t="s">
        <v>71</v>
      </c>
      <c r="N1" s="313" t="s">
        <v>72</v>
      </c>
      <c r="O1" s="313" t="s">
        <v>7073</v>
      </c>
      <c r="P1" s="313" t="s">
        <v>7074</v>
      </c>
      <c r="Q1" s="313" t="s">
        <v>3804</v>
      </c>
      <c r="R1" s="313" t="s">
        <v>3805</v>
      </c>
      <c r="S1" s="313" t="s">
        <v>77</v>
      </c>
      <c r="T1" s="313" t="s">
        <v>3807</v>
      </c>
      <c r="U1" s="313" t="s">
        <v>7075</v>
      </c>
      <c r="V1" s="313" t="s">
        <v>7076</v>
      </c>
      <c r="W1" s="313" t="s">
        <v>83</v>
      </c>
      <c r="X1" s="313" t="s">
        <v>7077</v>
      </c>
      <c r="Y1" s="313" t="s">
        <v>87</v>
      </c>
      <c r="Z1" s="313"/>
    </row>
    <row r="2" ht="75.0" customHeight="1">
      <c r="A2" s="313" t="s">
        <v>1236</v>
      </c>
      <c r="B2" s="313" t="s">
        <v>6</v>
      </c>
      <c r="C2" s="313" t="s">
        <v>8</v>
      </c>
      <c r="D2" s="313" t="s">
        <v>9</v>
      </c>
      <c r="E2" s="313" t="s">
        <v>1217</v>
      </c>
      <c r="F2" s="313" t="s">
        <v>1218</v>
      </c>
      <c r="G2" s="313" t="s">
        <v>15</v>
      </c>
      <c r="H2" s="313" t="s">
        <v>1219</v>
      </c>
      <c r="I2" s="313" t="s">
        <v>21</v>
      </c>
      <c r="J2" s="313" t="s">
        <v>3801</v>
      </c>
      <c r="K2" s="313" t="s">
        <v>3802</v>
      </c>
      <c r="L2" s="314" t="s">
        <v>1222</v>
      </c>
      <c r="M2" s="313" t="s">
        <v>3803</v>
      </c>
      <c r="N2" s="313" t="s">
        <v>24</v>
      </c>
      <c r="O2" s="313" t="s">
        <v>67</v>
      </c>
      <c r="P2" s="313" t="s">
        <v>71</v>
      </c>
      <c r="Q2" s="313" t="s">
        <v>72</v>
      </c>
      <c r="R2" s="313" t="s">
        <v>74</v>
      </c>
      <c r="S2" s="313" t="s">
        <v>3804</v>
      </c>
      <c r="T2" s="313" t="s">
        <v>3805</v>
      </c>
      <c r="U2" s="313" t="s">
        <v>77</v>
      </c>
      <c r="V2" s="313" t="s">
        <v>78</v>
      </c>
      <c r="W2" s="313" t="s">
        <v>3807</v>
      </c>
      <c r="X2" s="313" t="s">
        <v>3808</v>
      </c>
      <c r="Y2" s="313" t="s">
        <v>3809</v>
      </c>
      <c r="Z2" s="62"/>
    </row>
    <row r="3" ht="25.5" customHeight="1">
      <c r="A3" s="62" t="s">
        <v>173</v>
      </c>
      <c r="B3" s="62" t="s">
        <v>7078</v>
      </c>
      <c r="C3" s="62" t="s">
        <v>7079</v>
      </c>
      <c r="D3" s="62" t="s">
        <v>7080</v>
      </c>
      <c r="E3" s="62" t="s">
        <v>7081</v>
      </c>
      <c r="F3" s="62" t="s">
        <v>7082</v>
      </c>
      <c r="G3" s="62"/>
      <c r="H3" s="62" t="s">
        <v>7083</v>
      </c>
      <c r="I3" s="62"/>
      <c r="J3" s="62"/>
      <c r="K3" s="62"/>
      <c r="L3" s="62" t="s">
        <v>7084</v>
      </c>
      <c r="M3" s="62" t="s">
        <v>7085</v>
      </c>
      <c r="N3" s="62" t="s">
        <v>7085</v>
      </c>
      <c r="O3" s="62"/>
      <c r="P3" s="62" t="s">
        <v>769</v>
      </c>
      <c r="Q3" s="62" t="s">
        <v>428</v>
      </c>
      <c r="R3" s="62" t="s">
        <v>7086</v>
      </c>
      <c r="S3" s="315">
        <v>42376.0</v>
      </c>
      <c r="T3" s="62"/>
      <c r="U3" s="62"/>
      <c r="V3" s="62"/>
      <c r="W3" s="62"/>
      <c r="X3" s="62"/>
      <c r="Y3" s="62" t="s">
        <v>428</v>
      </c>
      <c r="Z3" s="62"/>
    </row>
    <row r="4" ht="25.5" customHeight="1">
      <c r="A4" s="62" t="s">
        <v>173</v>
      </c>
      <c r="B4" s="62" t="s">
        <v>7087</v>
      </c>
      <c r="C4" s="62" t="s">
        <v>837</v>
      </c>
      <c r="D4" s="62" t="s">
        <v>7088</v>
      </c>
      <c r="E4" s="62" t="s">
        <v>7089</v>
      </c>
      <c r="F4" s="62"/>
      <c r="G4" s="62">
        <v>2012.0</v>
      </c>
      <c r="H4" s="62" t="s">
        <v>7090</v>
      </c>
      <c r="I4" s="316"/>
      <c r="J4" s="62" t="s">
        <v>7091</v>
      </c>
      <c r="K4" s="62" t="s">
        <v>7092</v>
      </c>
      <c r="L4" s="62" t="s">
        <v>7093</v>
      </c>
      <c r="M4" s="62" t="s">
        <v>462</v>
      </c>
      <c r="N4" s="62" t="s">
        <v>462</v>
      </c>
      <c r="O4" s="62"/>
      <c r="P4" s="62" t="s">
        <v>769</v>
      </c>
      <c r="Q4" s="62" t="s">
        <v>428</v>
      </c>
      <c r="R4" s="62" t="s">
        <v>7094</v>
      </c>
      <c r="S4" s="315">
        <v>42382.0</v>
      </c>
      <c r="T4" s="315">
        <v>42585.0</v>
      </c>
      <c r="U4" s="62"/>
      <c r="V4" s="62"/>
      <c r="W4" s="62"/>
      <c r="X4" s="62"/>
      <c r="Y4" s="62" t="s">
        <v>428</v>
      </c>
      <c r="Z4" s="62"/>
    </row>
    <row r="5" ht="25.5" customHeight="1">
      <c r="A5" s="62" t="s">
        <v>64</v>
      </c>
      <c r="B5" s="62" t="s">
        <v>2782</v>
      </c>
      <c r="C5" s="62" t="s">
        <v>388</v>
      </c>
      <c r="D5" s="62" t="s">
        <v>7095</v>
      </c>
      <c r="E5" s="62" t="s">
        <v>7096</v>
      </c>
      <c r="F5" s="62"/>
      <c r="G5" s="62">
        <v>2009.0</v>
      </c>
      <c r="H5" s="62" t="s">
        <v>7097</v>
      </c>
      <c r="I5" s="316"/>
      <c r="J5" s="62"/>
      <c r="K5" s="62"/>
      <c r="L5" s="62" t="s">
        <v>7098</v>
      </c>
      <c r="M5" s="62" t="s">
        <v>462</v>
      </c>
      <c r="N5" s="62" t="s">
        <v>462</v>
      </c>
      <c r="O5" s="62"/>
      <c r="P5" s="62" t="s">
        <v>769</v>
      </c>
      <c r="Q5" s="62" t="s">
        <v>428</v>
      </c>
      <c r="R5" s="62" t="s">
        <v>7099</v>
      </c>
      <c r="S5" s="315">
        <v>42395.0</v>
      </c>
      <c r="T5" s="62"/>
      <c r="U5" s="62"/>
      <c r="V5" s="62"/>
      <c r="W5" s="62"/>
      <c r="X5" s="62"/>
      <c r="Y5" s="62"/>
      <c r="Z5" s="62"/>
    </row>
    <row r="6" ht="25.5" customHeight="1">
      <c r="A6" s="62" t="s">
        <v>173</v>
      </c>
      <c r="B6" s="62" t="s">
        <v>429</v>
      </c>
      <c r="C6" s="62" t="s">
        <v>388</v>
      </c>
      <c r="D6" s="62" t="s">
        <v>7100</v>
      </c>
      <c r="E6" s="62" t="s">
        <v>7101</v>
      </c>
      <c r="F6" s="62"/>
      <c r="G6" s="62">
        <v>2014.0</v>
      </c>
      <c r="H6" s="62" t="s">
        <v>7102</v>
      </c>
      <c r="I6" s="62"/>
      <c r="J6" s="62" t="s">
        <v>7103</v>
      </c>
      <c r="K6" s="62"/>
      <c r="L6" s="62" t="s">
        <v>7104</v>
      </c>
      <c r="M6" s="62" t="s">
        <v>462</v>
      </c>
      <c r="N6" s="62" t="s">
        <v>462</v>
      </c>
      <c r="O6" s="62"/>
      <c r="P6" s="62" t="s">
        <v>769</v>
      </c>
      <c r="Q6" s="62" t="s">
        <v>428</v>
      </c>
      <c r="R6" s="62" t="s">
        <v>7105</v>
      </c>
      <c r="S6" s="315">
        <v>42430.0</v>
      </c>
      <c r="T6" s="62"/>
      <c r="U6" s="62"/>
      <c r="V6" s="62"/>
      <c r="W6" s="62"/>
      <c r="X6" s="62"/>
      <c r="Y6" s="62"/>
      <c r="Z6" s="62"/>
    </row>
    <row r="7" ht="25.5" customHeight="1">
      <c r="A7" s="62" t="s">
        <v>64</v>
      </c>
      <c r="B7" s="62" t="s">
        <v>7106</v>
      </c>
      <c r="C7" s="62" t="s">
        <v>3476</v>
      </c>
      <c r="D7" s="72" t="str">
        <f>HYPERLINK("http://www.cbsm.com/pages/guide/communication:-creating-effective-messages/","Fostering sustainable behavior: An introduction to community-based social marketing")</f>
        <v>Fostering sustainable behavior: An introduction to community-based social marketing</v>
      </c>
      <c r="E7" s="62" t="s">
        <v>7107</v>
      </c>
      <c r="F7" s="62" t="s">
        <v>7108</v>
      </c>
      <c r="G7" s="62">
        <v>2013.0</v>
      </c>
      <c r="H7" s="62" t="s">
        <v>7109</v>
      </c>
      <c r="I7" s="316"/>
      <c r="J7" s="62" t="s">
        <v>7110</v>
      </c>
      <c r="K7" s="62" t="s">
        <v>287</v>
      </c>
      <c r="L7" s="62" t="s">
        <v>7111</v>
      </c>
      <c r="M7" s="62" t="s">
        <v>842</v>
      </c>
      <c r="N7" s="62" t="s">
        <v>462</v>
      </c>
      <c r="O7" s="62"/>
      <c r="P7" s="62" t="s">
        <v>769</v>
      </c>
      <c r="Q7" s="62" t="s">
        <v>428</v>
      </c>
      <c r="R7" s="62" t="s">
        <v>7112</v>
      </c>
      <c r="S7" s="315">
        <v>42432.0</v>
      </c>
      <c r="T7" s="62"/>
      <c r="U7" s="62"/>
      <c r="V7" s="62"/>
      <c r="W7" s="62"/>
      <c r="X7" s="62"/>
      <c r="Y7" s="62" t="s">
        <v>428</v>
      </c>
      <c r="Z7" s="62"/>
    </row>
    <row r="8" ht="25.5" customHeight="1">
      <c r="A8" s="62"/>
      <c r="B8" s="62"/>
      <c r="C8" s="62" t="s">
        <v>7113</v>
      </c>
      <c r="D8" s="62" t="s">
        <v>7114</v>
      </c>
      <c r="E8" s="62" t="s">
        <v>7115</v>
      </c>
      <c r="F8" s="62"/>
      <c r="G8" s="62"/>
      <c r="H8" s="62" t="s">
        <v>7116</v>
      </c>
      <c r="I8" s="316"/>
      <c r="J8" s="62" t="s">
        <v>7117</v>
      </c>
      <c r="K8" s="62"/>
      <c r="L8" s="62" t="s">
        <v>7118</v>
      </c>
      <c r="M8" s="62" t="s">
        <v>462</v>
      </c>
      <c r="N8" s="62" t="s">
        <v>462</v>
      </c>
      <c r="O8" s="62"/>
      <c r="P8" s="62" t="s">
        <v>769</v>
      </c>
      <c r="Q8" s="62" t="s">
        <v>428</v>
      </c>
      <c r="R8" s="62" t="s">
        <v>7119</v>
      </c>
      <c r="S8" s="315">
        <v>42439.0</v>
      </c>
      <c r="T8" s="62"/>
      <c r="U8" s="62"/>
      <c r="V8" s="62"/>
      <c r="W8" s="62"/>
      <c r="X8" s="62"/>
      <c r="Y8" s="62" t="s">
        <v>428</v>
      </c>
      <c r="Z8" s="62"/>
    </row>
    <row r="9" ht="25.5" customHeight="1">
      <c r="A9" s="62"/>
      <c r="B9" s="62"/>
      <c r="C9" s="62"/>
      <c r="D9" s="62" t="s">
        <v>7120</v>
      </c>
      <c r="E9" s="62" t="s">
        <v>7121</v>
      </c>
      <c r="F9" s="62"/>
      <c r="G9" s="62"/>
      <c r="H9" s="62" t="s">
        <v>7122</v>
      </c>
      <c r="I9" s="316"/>
      <c r="J9" s="62" t="s">
        <v>7123</v>
      </c>
      <c r="K9" s="62"/>
      <c r="L9" s="62" t="s">
        <v>7124</v>
      </c>
      <c r="M9" s="62" t="s">
        <v>462</v>
      </c>
      <c r="N9" s="62" t="s">
        <v>462</v>
      </c>
      <c r="O9" s="62"/>
      <c r="P9" s="62" t="s">
        <v>769</v>
      </c>
      <c r="Q9" s="62" t="s">
        <v>428</v>
      </c>
      <c r="R9" s="62" t="s">
        <v>7125</v>
      </c>
      <c r="S9" s="315">
        <v>42479.0</v>
      </c>
      <c r="T9" s="62"/>
      <c r="U9" s="62" t="s">
        <v>428</v>
      </c>
      <c r="V9" s="315">
        <v>42457.0</v>
      </c>
      <c r="W9" s="62"/>
      <c r="X9" s="62"/>
      <c r="Y9" s="62"/>
      <c r="Z9" s="62"/>
    </row>
    <row r="10" ht="25.5" customHeight="1">
      <c r="A10" s="62"/>
      <c r="B10" s="62" t="s">
        <v>6468</v>
      </c>
      <c r="C10" s="62"/>
      <c r="D10" s="62" t="s">
        <v>7126</v>
      </c>
      <c r="E10" s="62" t="s">
        <v>7127</v>
      </c>
      <c r="F10" s="62"/>
      <c r="G10" s="62"/>
      <c r="H10" s="62" t="s">
        <v>7128</v>
      </c>
      <c r="I10" s="316"/>
      <c r="J10" s="62" t="s">
        <v>7129</v>
      </c>
      <c r="K10" s="62" t="s">
        <v>7130</v>
      </c>
      <c r="L10" s="62" t="s">
        <v>7131</v>
      </c>
      <c r="M10" s="62" t="s">
        <v>462</v>
      </c>
      <c r="N10" s="62" t="s">
        <v>462</v>
      </c>
      <c r="O10" s="62"/>
      <c r="P10" s="62" t="s">
        <v>769</v>
      </c>
      <c r="Q10" s="62" t="s">
        <v>428</v>
      </c>
      <c r="R10" s="62" t="s">
        <v>7132</v>
      </c>
      <c r="S10" s="315">
        <v>42381.0</v>
      </c>
      <c r="T10" s="315">
        <v>42571.0</v>
      </c>
      <c r="U10" s="62" t="s">
        <v>428</v>
      </c>
      <c r="V10" s="315">
        <v>42459.0</v>
      </c>
      <c r="W10" s="62"/>
      <c r="X10" s="62"/>
      <c r="Y10" s="62" t="s">
        <v>428</v>
      </c>
      <c r="Z10" s="62"/>
    </row>
    <row r="11" ht="25.5" customHeight="1">
      <c r="A11" s="62"/>
      <c r="B11" s="62" t="s">
        <v>7041</v>
      </c>
      <c r="C11" s="62"/>
      <c r="D11" s="62" t="s">
        <v>7133</v>
      </c>
      <c r="E11" s="62" t="s">
        <v>7096</v>
      </c>
      <c r="F11" s="62"/>
      <c r="G11" s="62"/>
      <c r="H11" s="62" t="s">
        <v>7134</v>
      </c>
      <c r="I11" s="62"/>
      <c r="J11" s="62" t="s">
        <v>7135</v>
      </c>
      <c r="K11" s="62"/>
      <c r="L11" s="62" t="s">
        <v>7136</v>
      </c>
      <c r="M11" s="62" t="s">
        <v>462</v>
      </c>
      <c r="N11" s="62" t="s">
        <v>462</v>
      </c>
      <c r="O11" s="62"/>
      <c r="P11" s="62" t="s">
        <v>769</v>
      </c>
      <c r="Q11" s="62" t="s">
        <v>428</v>
      </c>
      <c r="R11" s="62" t="s">
        <v>7137</v>
      </c>
      <c r="S11" s="315">
        <v>42485.0</v>
      </c>
      <c r="T11" s="62"/>
      <c r="U11" s="62"/>
      <c r="V11" s="62"/>
      <c r="W11" s="62"/>
      <c r="X11" s="62"/>
      <c r="Y11" s="62"/>
      <c r="Z11" s="62"/>
    </row>
    <row r="12" ht="25.5" customHeight="1">
      <c r="A12" s="62"/>
      <c r="B12" s="62" t="s">
        <v>7138</v>
      </c>
      <c r="C12" s="62"/>
      <c r="D12" s="62" t="s">
        <v>7139</v>
      </c>
      <c r="E12" s="62" t="s">
        <v>4923</v>
      </c>
      <c r="F12" s="62"/>
      <c r="G12" s="62"/>
      <c r="H12" s="62" t="s">
        <v>7140</v>
      </c>
      <c r="I12" s="316"/>
      <c r="J12" s="62" t="s">
        <v>7141</v>
      </c>
      <c r="K12" s="62"/>
      <c r="L12" s="62" t="s">
        <v>7142</v>
      </c>
      <c r="M12" s="62" t="s">
        <v>462</v>
      </c>
      <c r="N12" s="62" t="s">
        <v>462</v>
      </c>
      <c r="O12" s="62"/>
      <c r="P12" s="62" t="s">
        <v>769</v>
      </c>
      <c r="Q12" s="62" t="s">
        <v>428</v>
      </c>
      <c r="R12" s="62"/>
      <c r="S12" s="315">
        <v>42558.0</v>
      </c>
      <c r="T12" s="62"/>
      <c r="U12" s="62"/>
      <c r="V12" s="62"/>
      <c r="W12" s="62"/>
      <c r="X12" s="62"/>
      <c r="Y12" s="62"/>
      <c r="Z12" s="62"/>
    </row>
    <row r="13" ht="25.5" customHeight="1">
      <c r="A13" s="62"/>
      <c r="B13" s="62" t="s">
        <v>6468</v>
      </c>
      <c r="C13" s="62"/>
      <c r="D13" s="62" t="s">
        <v>7143</v>
      </c>
      <c r="E13" s="62" t="s">
        <v>7081</v>
      </c>
      <c r="F13" s="62"/>
      <c r="G13" s="62"/>
      <c r="H13" s="62" t="s">
        <v>7144</v>
      </c>
      <c r="I13" s="316"/>
      <c r="J13" s="62" t="s">
        <v>7145</v>
      </c>
      <c r="K13" s="62" t="s">
        <v>7146</v>
      </c>
      <c r="L13" s="62" t="s">
        <v>7147</v>
      </c>
      <c r="M13" s="62" t="s">
        <v>462</v>
      </c>
      <c r="N13" s="62" t="s">
        <v>462</v>
      </c>
      <c r="O13" s="62"/>
      <c r="P13" s="62" t="s">
        <v>769</v>
      </c>
      <c r="Q13" s="62" t="s">
        <v>428</v>
      </c>
      <c r="R13" s="62" t="s">
        <v>7148</v>
      </c>
      <c r="S13" s="315">
        <v>42380.0</v>
      </c>
      <c r="T13" s="62"/>
      <c r="U13" s="62"/>
      <c r="V13" s="62"/>
      <c r="W13" s="62"/>
      <c r="X13" s="62"/>
      <c r="Y13" s="62"/>
      <c r="Z13" s="62"/>
    </row>
    <row r="14" ht="25.5" customHeight="1">
      <c r="A14" s="62"/>
      <c r="B14" s="62" t="s">
        <v>7149</v>
      </c>
      <c r="C14" s="62"/>
      <c r="D14" s="62"/>
      <c r="E14" s="62" t="s">
        <v>7096</v>
      </c>
      <c r="F14" s="62"/>
      <c r="G14" s="62"/>
      <c r="H14" s="62" t="s">
        <v>7150</v>
      </c>
      <c r="I14" s="62"/>
      <c r="J14" s="62" t="s">
        <v>7151</v>
      </c>
      <c r="K14" s="62"/>
      <c r="L14" s="62" t="s">
        <v>7152</v>
      </c>
      <c r="M14" s="62" t="s">
        <v>462</v>
      </c>
      <c r="N14" s="62" t="s">
        <v>462</v>
      </c>
      <c r="O14" s="62"/>
      <c r="P14" s="62" t="s">
        <v>769</v>
      </c>
      <c r="Q14" s="62" t="s">
        <v>428</v>
      </c>
      <c r="R14" s="62" t="s">
        <v>7153</v>
      </c>
      <c r="S14" s="315">
        <v>42388.0</v>
      </c>
      <c r="T14" s="315">
        <v>42586.0</v>
      </c>
      <c r="U14" s="62"/>
      <c r="V14" s="62"/>
      <c r="W14" s="62"/>
      <c r="X14" s="62"/>
      <c r="Y14" s="62"/>
      <c r="Z14" s="62"/>
    </row>
    <row r="15" ht="25.5" customHeight="1">
      <c r="A15" s="62"/>
      <c r="B15" s="62" t="s">
        <v>6456</v>
      </c>
      <c r="C15" s="62"/>
      <c r="D15" s="62" t="s">
        <v>7154</v>
      </c>
      <c r="E15" s="62" t="s">
        <v>7155</v>
      </c>
      <c r="F15" s="62"/>
      <c r="G15" s="62"/>
      <c r="H15" s="62" t="s">
        <v>7156</v>
      </c>
      <c r="I15" s="316"/>
      <c r="J15" s="62" t="s">
        <v>7157</v>
      </c>
      <c r="K15" s="62"/>
      <c r="L15" s="62" t="s">
        <v>7158</v>
      </c>
      <c r="M15" s="62" t="s">
        <v>462</v>
      </c>
      <c r="N15" s="62" t="s">
        <v>462</v>
      </c>
      <c r="O15" s="62"/>
      <c r="P15" s="62" t="s">
        <v>769</v>
      </c>
      <c r="Q15" s="62"/>
      <c r="R15" s="62"/>
      <c r="S15" s="62"/>
      <c r="T15" s="62"/>
      <c r="U15" s="62"/>
      <c r="V15" s="62"/>
      <c r="W15" s="62"/>
      <c r="X15" s="62"/>
      <c r="Y15" s="62"/>
      <c r="Z15" s="62"/>
    </row>
    <row r="16" ht="25.5" customHeight="1">
      <c r="A16" s="62"/>
      <c r="B16" s="62" t="s">
        <v>7159</v>
      </c>
      <c r="C16" s="62"/>
      <c r="D16" s="62" t="s">
        <v>7160</v>
      </c>
      <c r="E16" s="62" t="s">
        <v>7161</v>
      </c>
      <c r="F16" s="62"/>
      <c r="G16" s="62"/>
      <c r="H16" s="62" t="s">
        <v>7162</v>
      </c>
      <c r="I16" s="316"/>
      <c r="J16" s="62" t="s">
        <v>7163</v>
      </c>
      <c r="K16" s="62"/>
      <c r="L16" s="62" t="s">
        <v>7164</v>
      </c>
      <c r="M16" s="62" t="s">
        <v>7165</v>
      </c>
      <c r="N16" s="62"/>
      <c r="O16" s="62"/>
      <c r="P16" s="62" t="s">
        <v>769</v>
      </c>
      <c r="Q16" s="62"/>
      <c r="R16" s="62"/>
      <c r="S16" s="62"/>
      <c r="T16" s="62"/>
      <c r="U16" s="62"/>
      <c r="V16" s="62"/>
      <c r="W16" s="62"/>
      <c r="X16" s="62"/>
      <c r="Y16" s="62"/>
      <c r="Z16" s="62"/>
    </row>
    <row r="17" ht="25.5" customHeight="1">
      <c r="A17" s="62"/>
      <c r="B17" s="62" t="s">
        <v>7159</v>
      </c>
      <c r="C17" s="62"/>
      <c r="D17" s="62" t="s">
        <v>7169</v>
      </c>
      <c r="E17" s="62" t="s">
        <v>7161</v>
      </c>
      <c r="F17" s="62"/>
      <c r="G17" s="62"/>
      <c r="H17" s="62" t="s">
        <v>7173</v>
      </c>
      <c r="I17" s="316"/>
      <c r="J17" s="62" t="s">
        <v>7174</v>
      </c>
      <c r="K17" s="62" t="s">
        <v>7177</v>
      </c>
      <c r="L17" s="62" t="s">
        <v>7180</v>
      </c>
      <c r="M17" s="62" t="s">
        <v>7165</v>
      </c>
      <c r="N17" s="62" t="s">
        <v>7165</v>
      </c>
      <c r="O17" s="62"/>
      <c r="P17" s="62" t="s">
        <v>769</v>
      </c>
      <c r="Q17" s="62"/>
      <c r="R17" s="62"/>
      <c r="S17" s="62"/>
      <c r="T17" s="62"/>
      <c r="U17" s="62"/>
      <c r="V17" s="62"/>
      <c r="W17" s="62"/>
      <c r="X17" s="62"/>
      <c r="Y17" s="62" t="s">
        <v>428</v>
      </c>
      <c r="Z17" s="62"/>
    </row>
    <row r="18" ht="25.5" customHeight="1">
      <c r="A18" s="62"/>
      <c r="B18" s="62" t="s">
        <v>6456</v>
      </c>
      <c r="C18" s="62"/>
      <c r="D18" s="62" t="s">
        <v>7191</v>
      </c>
      <c r="E18" s="62" t="s">
        <v>7089</v>
      </c>
      <c r="F18" s="62"/>
      <c r="G18" s="62"/>
      <c r="H18" s="62" t="s">
        <v>7196</v>
      </c>
      <c r="I18" s="316"/>
      <c r="J18" s="62" t="s">
        <v>7197</v>
      </c>
      <c r="K18" s="62" t="s">
        <v>7200</v>
      </c>
      <c r="L18" s="62" t="s">
        <v>7203</v>
      </c>
      <c r="M18" s="62" t="s">
        <v>462</v>
      </c>
      <c r="N18" s="62" t="s">
        <v>462</v>
      </c>
      <c r="O18" s="62"/>
      <c r="P18" s="62" t="s">
        <v>769</v>
      </c>
      <c r="Q18" s="62"/>
      <c r="R18" s="62"/>
      <c r="S18" s="62"/>
      <c r="T18" s="62"/>
      <c r="U18" s="62"/>
      <c r="V18" s="62"/>
      <c r="W18" s="62"/>
      <c r="X18" s="62"/>
      <c r="Y18" s="62" t="s">
        <v>428</v>
      </c>
      <c r="Z18" s="62"/>
    </row>
    <row r="19" ht="25.5" customHeight="1">
      <c r="A19" s="62"/>
      <c r="B19" s="62" t="s">
        <v>429</v>
      </c>
      <c r="C19" s="62"/>
      <c r="D19" s="62" t="s">
        <v>7209</v>
      </c>
      <c r="E19" s="62" t="s">
        <v>7211</v>
      </c>
      <c r="F19" s="62"/>
      <c r="G19" s="62"/>
      <c r="H19" s="62" t="s">
        <v>7213</v>
      </c>
      <c r="I19" s="62"/>
      <c r="J19" s="62" t="s">
        <v>7174</v>
      </c>
      <c r="K19" s="62" t="s">
        <v>7215</v>
      </c>
      <c r="L19" s="62" t="s">
        <v>7217</v>
      </c>
      <c r="M19" s="62" t="s">
        <v>462</v>
      </c>
      <c r="N19" s="62" t="s">
        <v>462</v>
      </c>
      <c r="O19" s="62"/>
      <c r="P19" s="62" t="s">
        <v>769</v>
      </c>
      <c r="Q19" s="62"/>
      <c r="R19" s="62"/>
      <c r="S19" s="62"/>
      <c r="T19" s="62"/>
      <c r="U19" s="62"/>
      <c r="V19" s="62"/>
      <c r="W19" s="62"/>
      <c r="X19" s="62"/>
      <c r="Y19" s="62"/>
      <c r="Z19" s="62"/>
    </row>
    <row r="20" ht="25.5" customHeight="1">
      <c r="A20" s="62"/>
      <c r="B20" s="62" t="s">
        <v>429</v>
      </c>
      <c r="C20" s="62"/>
      <c r="D20" s="62" t="s">
        <v>7221</v>
      </c>
      <c r="E20" s="62" t="s">
        <v>7222</v>
      </c>
      <c r="F20" s="62"/>
      <c r="G20" s="62"/>
      <c r="H20" s="62" t="s">
        <v>7223</v>
      </c>
      <c r="I20" s="316"/>
      <c r="J20" s="62" t="s">
        <v>7141</v>
      </c>
      <c r="K20" s="62"/>
      <c r="L20" s="62" t="s">
        <v>7224</v>
      </c>
      <c r="M20" s="62" t="s">
        <v>462</v>
      </c>
      <c r="N20" s="62" t="s">
        <v>462</v>
      </c>
      <c r="O20" s="62"/>
      <c r="P20" s="62" t="s">
        <v>769</v>
      </c>
      <c r="Q20" s="62"/>
      <c r="R20" s="62"/>
      <c r="S20" s="62"/>
      <c r="T20" s="62"/>
      <c r="U20" s="62"/>
      <c r="V20" s="62"/>
      <c r="W20" s="62"/>
      <c r="X20" s="62"/>
      <c r="Y20" s="62"/>
      <c r="Z20" s="62"/>
    </row>
    <row r="21" ht="25.5" customHeight="1">
      <c r="A21" s="62"/>
      <c r="B21" s="62" t="s">
        <v>429</v>
      </c>
      <c r="C21" s="62"/>
      <c r="D21" s="62" t="s">
        <v>7225</v>
      </c>
      <c r="E21" s="62" t="s">
        <v>7222</v>
      </c>
      <c r="F21" s="62"/>
      <c r="G21" s="62"/>
      <c r="H21" s="62" t="s">
        <v>7226</v>
      </c>
      <c r="I21" s="316"/>
      <c r="J21" s="62" t="s">
        <v>7197</v>
      </c>
      <c r="K21" s="62"/>
      <c r="L21" s="62" t="s">
        <v>7227</v>
      </c>
      <c r="M21" s="62" t="s">
        <v>462</v>
      </c>
      <c r="N21" s="62" t="s">
        <v>462</v>
      </c>
      <c r="O21" s="62"/>
      <c r="P21" s="62" t="s">
        <v>769</v>
      </c>
      <c r="Q21" s="62"/>
      <c r="R21" s="62"/>
      <c r="S21" s="62"/>
      <c r="T21" s="62"/>
      <c r="U21" s="62"/>
      <c r="V21" s="62"/>
      <c r="W21" s="62"/>
      <c r="X21" s="62"/>
      <c r="Y21" s="62" t="s">
        <v>428</v>
      </c>
      <c r="Z21" s="62"/>
    </row>
    <row r="22" ht="25.5" customHeight="1">
      <c r="A22" s="62"/>
      <c r="B22" s="62" t="s">
        <v>429</v>
      </c>
      <c r="C22" s="62"/>
      <c r="D22" s="62" t="s">
        <v>7228</v>
      </c>
      <c r="E22" s="62" t="s">
        <v>3944</v>
      </c>
      <c r="F22" s="62"/>
      <c r="G22" s="62"/>
      <c r="H22" s="62" t="s">
        <v>7229</v>
      </c>
      <c r="I22" s="62"/>
      <c r="J22" s="62" t="s">
        <v>7230</v>
      </c>
      <c r="K22" s="62"/>
      <c r="L22" s="62" t="s">
        <v>7231</v>
      </c>
      <c r="M22" s="62" t="s">
        <v>462</v>
      </c>
      <c r="N22" s="62" t="s">
        <v>462</v>
      </c>
      <c r="O22" s="62"/>
      <c r="P22" s="62" t="s">
        <v>769</v>
      </c>
      <c r="Q22" s="62"/>
      <c r="R22" s="62"/>
      <c r="S22" s="62"/>
      <c r="T22" s="62"/>
      <c r="U22" s="62"/>
      <c r="V22" s="62"/>
      <c r="W22" s="62"/>
      <c r="X22" s="62"/>
      <c r="Y22" s="62"/>
      <c r="Z22" s="62"/>
    </row>
    <row r="23" ht="25.5" customHeight="1">
      <c r="A23" s="62"/>
      <c r="B23" s="62" t="s">
        <v>429</v>
      </c>
      <c r="C23" s="62"/>
      <c r="D23" s="62" t="s">
        <v>7233</v>
      </c>
      <c r="E23" s="62" t="s">
        <v>1805</v>
      </c>
      <c r="F23" s="62"/>
      <c r="G23" s="62"/>
      <c r="H23" s="62" t="s">
        <v>7234</v>
      </c>
      <c r="I23" s="316"/>
      <c r="J23" s="62" t="s">
        <v>7236</v>
      </c>
      <c r="K23" s="62"/>
      <c r="L23" s="62" t="s">
        <v>7238</v>
      </c>
      <c r="M23" s="62" t="s">
        <v>462</v>
      </c>
      <c r="N23" s="62" t="s">
        <v>462</v>
      </c>
      <c r="O23" s="62"/>
      <c r="P23" s="62" t="s">
        <v>769</v>
      </c>
      <c r="Q23" s="62"/>
      <c r="R23" s="62"/>
      <c r="S23" s="62"/>
      <c r="T23" s="62"/>
      <c r="U23" s="62"/>
      <c r="V23" s="62"/>
      <c r="W23" s="62"/>
      <c r="X23" s="62"/>
      <c r="Y23" s="62"/>
      <c r="Z23" s="62"/>
    </row>
    <row r="24" ht="25.5" customHeight="1">
      <c r="A24" s="62"/>
      <c r="B24" s="62" t="s">
        <v>429</v>
      </c>
      <c r="C24" s="62"/>
      <c r="D24" s="62" t="s">
        <v>7239</v>
      </c>
      <c r="E24" s="62" t="s">
        <v>7240</v>
      </c>
      <c r="F24" s="62"/>
      <c r="G24" s="62"/>
      <c r="H24" s="62" t="s">
        <v>7241</v>
      </c>
      <c r="I24" s="316"/>
      <c r="J24" s="62" t="s">
        <v>7174</v>
      </c>
      <c r="K24" s="62" t="s">
        <v>7242</v>
      </c>
      <c r="L24" s="62" t="s">
        <v>7243</v>
      </c>
      <c r="M24" s="62" t="s">
        <v>462</v>
      </c>
      <c r="N24" s="62" t="s">
        <v>462</v>
      </c>
      <c r="O24" s="62"/>
      <c r="P24" s="62" t="s">
        <v>769</v>
      </c>
      <c r="Q24" s="62"/>
      <c r="R24" s="62"/>
      <c r="S24" s="62"/>
      <c r="T24" s="62"/>
      <c r="U24" s="62"/>
      <c r="V24" s="62"/>
      <c r="W24" s="62"/>
      <c r="X24" s="62"/>
      <c r="Y24" s="62" t="s">
        <v>428</v>
      </c>
      <c r="Z24" s="62"/>
    </row>
    <row r="25" ht="25.5" customHeight="1">
      <c r="A25" s="62"/>
      <c r="B25" s="62" t="s">
        <v>7244</v>
      </c>
      <c r="C25" s="62"/>
      <c r="D25" s="62" t="s">
        <v>7245</v>
      </c>
      <c r="E25" s="62" t="s">
        <v>3944</v>
      </c>
      <c r="F25" s="62"/>
      <c r="G25" s="62"/>
      <c r="H25" s="62" t="s">
        <v>7246</v>
      </c>
      <c r="I25" s="62"/>
      <c r="J25" s="62" t="s">
        <v>7247</v>
      </c>
      <c r="K25" s="62"/>
      <c r="L25" s="62" t="s">
        <v>7248</v>
      </c>
      <c r="M25" s="62" t="s">
        <v>1810</v>
      </c>
      <c r="N25" s="62" t="s">
        <v>1810</v>
      </c>
      <c r="O25" s="62"/>
      <c r="P25" s="62" t="s">
        <v>769</v>
      </c>
      <c r="Q25" s="62"/>
      <c r="R25" s="62"/>
      <c r="S25" s="62"/>
      <c r="T25" s="62"/>
      <c r="U25" s="62"/>
      <c r="V25" s="62"/>
      <c r="W25" s="62"/>
      <c r="X25" s="62"/>
      <c r="Y25" s="62"/>
      <c r="Z25" s="62"/>
    </row>
    <row r="26" ht="25.5" customHeight="1">
      <c r="A26" s="62"/>
      <c r="B26" s="62" t="s">
        <v>7250</v>
      </c>
      <c r="C26" s="62"/>
      <c r="D26" s="62" t="s">
        <v>7252</v>
      </c>
      <c r="E26" s="62" t="s">
        <v>7255</v>
      </c>
      <c r="F26" s="62" t="s">
        <v>7256</v>
      </c>
      <c r="G26" s="62"/>
      <c r="H26" s="62" t="s">
        <v>7257</v>
      </c>
      <c r="I26" s="316"/>
      <c r="J26" s="62" t="s">
        <v>7259</v>
      </c>
      <c r="K26" s="62"/>
      <c r="L26" s="72" t="str">
        <f>HYPERLINK("https://www.youtube.com/watch?v=jGIxYjfMedg","https://www.youtube.com/watch?v=jGIxYjfMedg")</f>
        <v>https://www.youtube.com/watch?v=jGIxYjfMedg</v>
      </c>
      <c r="M26" s="62" t="s">
        <v>462</v>
      </c>
      <c r="N26" s="62" t="s">
        <v>462</v>
      </c>
      <c r="O26" s="62"/>
      <c r="P26" s="62" t="s">
        <v>769</v>
      </c>
      <c r="Q26" s="62"/>
      <c r="R26" s="62"/>
      <c r="S26" s="62"/>
      <c r="T26" s="62"/>
      <c r="U26" s="62"/>
      <c r="V26" s="62"/>
      <c r="W26" s="62"/>
      <c r="X26" s="62"/>
      <c r="Y26" s="62"/>
      <c r="Z26" s="62"/>
    </row>
    <row r="27" ht="25.5" customHeight="1">
      <c r="A27" s="62"/>
      <c r="B27" s="62" t="s">
        <v>7250</v>
      </c>
      <c r="C27" s="62"/>
      <c r="D27" s="62" t="s">
        <v>7264</v>
      </c>
      <c r="E27" s="62" t="s">
        <v>2414</v>
      </c>
      <c r="F27" s="62" t="s">
        <v>7265</v>
      </c>
      <c r="G27" s="62"/>
      <c r="H27" s="62"/>
      <c r="I27" s="316"/>
      <c r="J27" s="62" t="s">
        <v>7117</v>
      </c>
      <c r="K27" s="62"/>
      <c r="L27" s="72" t="str">
        <f>HYPERLINK("https://www.youtube.com/watch?v=2L1R7OtJhWs","https://www.youtube.com/watch?v=2L1R7OtJhWs")</f>
        <v>https://www.youtube.com/watch?v=2L1R7OtJhWs</v>
      </c>
      <c r="M27" s="62" t="s">
        <v>462</v>
      </c>
      <c r="N27" s="62" t="s">
        <v>462</v>
      </c>
      <c r="O27" s="62" t="s">
        <v>663</v>
      </c>
      <c r="P27" s="62" t="s">
        <v>769</v>
      </c>
      <c r="Q27" s="62"/>
      <c r="R27" s="62"/>
      <c r="S27" s="62"/>
      <c r="T27" s="62"/>
      <c r="U27" s="62"/>
      <c r="V27" s="62"/>
      <c r="W27" s="62"/>
      <c r="X27" s="62"/>
      <c r="Y27" s="62"/>
      <c r="Z27" s="62"/>
    </row>
    <row r="28" ht="25.5" customHeight="1">
      <c r="A28" s="62"/>
      <c r="B28" s="62" t="s">
        <v>7276</v>
      </c>
      <c r="C28" s="62"/>
      <c r="D28" s="62" t="s">
        <v>7277</v>
      </c>
      <c r="E28" s="62" t="s">
        <v>1429</v>
      </c>
      <c r="F28" s="62"/>
      <c r="G28" s="62"/>
      <c r="H28" s="62" t="s">
        <v>7278</v>
      </c>
      <c r="I28" s="316"/>
      <c r="J28" s="62" t="s">
        <v>7157</v>
      </c>
      <c r="K28" s="62" t="s">
        <v>7279</v>
      </c>
      <c r="L28" s="62" t="s">
        <v>7280</v>
      </c>
      <c r="M28" s="62" t="s">
        <v>462</v>
      </c>
      <c r="N28" s="62" t="s">
        <v>462</v>
      </c>
      <c r="O28" s="62"/>
      <c r="P28" s="62" t="s">
        <v>769</v>
      </c>
      <c r="Q28" s="62"/>
      <c r="R28" s="62"/>
      <c r="S28" s="62"/>
      <c r="T28" s="62"/>
      <c r="U28" s="62"/>
      <c r="V28" s="62"/>
      <c r="W28" s="62"/>
      <c r="X28" s="62"/>
      <c r="Y28" s="62"/>
      <c r="Z28" s="62"/>
    </row>
    <row r="29" ht="25.5" customHeight="1">
      <c r="A29" s="62"/>
      <c r="B29" s="62" t="s">
        <v>7276</v>
      </c>
      <c r="C29" s="62"/>
      <c r="D29" s="62" t="s">
        <v>7281</v>
      </c>
      <c r="E29" s="62" t="s">
        <v>7282</v>
      </c>
      <c r="F29" s="62"/>
      <c r="G29" s="62"/>
      <c r="H29" s="62" t="s">
        <v>7283</v>
      </c>
      <c r="I29" s="316"/>
      <c r="J29" s="62" t="s">
        <v>7129</v>
      </c>
      <c r="K29" s="62"/>
      <c r="L29" s="62" t="s">
        <v>7285</v>
      </c>
      <c r="M29" s="62" t="s">
        <v>462</v>
      </c>
      <c r="N29" s="62" t="s">
        <v>462</v>
      </c>
      <c r="O29" s="62"/>
      <c r="P29" s="62" t="s">
        <v>769</v>
      </c>
      <c r="Q29" s="62"/>
      <c r="R29" s="62"/>
      <c r="S29" s="62"/>
      <c r="T29" s="62"/>
      <c r="U29" s="62"/>
      <c r="V29" s="62"/>
      <c r="W29" s="62"/>
      <c r="X29" s="62"/>
      <c r="Y29" s="62"/>
      <c r="Z29" s="62"/>
    </row>
    <row r="30" ht="25.5" customHeight="1">
      <c r="A30" s="62"/>
      <c r="B30" s="62" t="s">
        <v>7276</v>
      </c>
      <c r="C30" s="62"/>
      <c r="D30" s="62" t="s">
        <v>7289</v>
      </c>
      <c r="E30" s="62" t="s">
        <v>7161</v>
      </c>
      <c r="F30" s="62"/>
      <c r="G30" s="62"/>
      <c r="H30" s="62" t="s">
        <v>7291</v>
      </c>
      <c r="I30" s="316"/>
      <c r="J30" s="62" t="s">
        <v>7163</v>
      </c>
      <c r="K30" s="62"/>
      <c r="L30" s="62" t="s">
        <v>7292</v>
      </c>
      <c r="M30" s="62" t="s">
        <v>462</v>
      </c>
      <c r="N30" s="62" t="s">
        <v>462</v>
      </c>
      <c r="O30" s="62"/>
      <c r="P30" s="62" t="s">
        <v>769</v>
      </c>
      <c r="Q30" s="62"/>
      <c r="R30" s="62"/>
      <c r="S30" s="62"/>
      <c r="T30" s="62"/>
      <c r="U30" s="62"/>
      <c r="V30" s="62"/>
      <c r="W30" s="62"/>
      <c r="X30" s="62"/>
      <c r="Y30" s="62"/>
      <c r="Z30" s="62"/>
    </row>
    <row r="31" ht="25.5" customHeight="1">
      <c r="A31" s="62"/>
      <c r="B31" s="62" t="s">
        <v>7276</v>
      </c>
      <c r="C31" s="62"/>
      <c r="D31" s="62" t="s">
        <v>7296</v>
      </c>
      <c r="E31" s="62" t="s">
        <v>7282</v>
      </c>
      <c r="F31" s="62"/>
      <c r="G31" s="62"/>
      <c r="H31" s="62" t="s">
        <v>7297</v>
      </c>
      <c r="I31" s="316"/>
      <c r="J31" s="62" t="s">
        <v>7298</v>
      </c>
      <c r="K31" s="62"/>
      <c r="L31" s="62" t="s">
        <v>7299</v>
      </c>
      <c r="M31" s="62" t="s">
        <v>462</v>
      </c>
      <c r="N31" s="62" t="s">
        <v>462</v>
      </c>
      <c r="O31" s="62"/>
      <c r="P31" s="62" t="s">
        <v>769</v>
      </c>
      <c r="Q31" s="62"/>
      <c r="R31" s="62"/>
      <c r="S31" s="62"/>
      <c r="T31" s="62"/>
      <c r="U31" s="62"/>
      <c r="V31" s="62"/>
      <c r="W31" s="62"/>
      <c r="X31" s="62"/>
      <c r="Y31" s="62"/>
      <c r="Z31" s="62"/>
    </row>
    <row r="32" ht="25.5" customHeight="1">
      <c r="A32" s="62"/>
      <c r="B32" s="62" t="s">
        <v>7276</v>
      </c>
      <c r="C32" s="62"/>
      <c r="D32" s="62" t="s">
        <v>7304</v>
      </c>
      <c r="E32" s="62" t="s">
        <v>7305</v>
      </c>
      <c r="F32" s="62"/>
      <c r="G32" s="62"/>
      <c r="H32" s="62" t="s">
        <v>7307</v>
      </c>
      <c r="I32" s="316"/>
      <c r="J32" s="62" t="s">
        <v>7117</v>
      </c>
      <c r="K32" s="62"/>
      <c r="L32" s="62" t="s">
        <v>7308</v>
      </c>
      <c r="M32" s="62" t="s">
        <v>462</v>
      </c>
      <c r="N32" s="62" t="s">
        <v>462</v>
      </c>
      <c r="O32" s="62"/>
      <c r="P32" s="62" t="s">
        <v>769</v>
      </c>
      <c r="Q32" s="62"/>
      <c r="R32" s="62"/>
      <c r="S32" s="62"/>
      <c r="T32" s="62"/>
      <c r="U32" s="62"/>
      <c r="V32" s="62"/>
      <c r="W32" s="62"/>
      <c r="X32" s="62"/>
      <c r="Y32" s="62" t="s">
        <v>428</v>
      </c>
      <c r="Z32" s="62"/>
    </row>
    <row r="33" ht="25.5" customHeight="1">
      <c r="A33" s="62"/>
      <c r="B33" s="62" t="s">
        <v>7312</v>
      </c>
      <c r="C33" s="62"/>
      <c r="D33" s="62" t="s">
        <v>7314</v>
      </c>
      <c r="E33" s="62" t="s">
        <v>1429</v>
      </c>
      <c r="F33" s="62"/>
      <c r="G33" s="62"/>
      <c r="H33" s="62" t="s">
        <v>7315</v>
      </c>
      <c r="I33" s="316"/>
      <c r="J33" s="62" t="s">
        <v>7316</v>
      </c>
      <c r="K33" s="62"/>
      <c r="L33" s="62" t="s">
        <v>7317</v>
      </c>
      <c r="M33" s="62" t="s">
        <v>7085</v>
      </c>
      <c r="N33" s="62" t="s">
        <v>7085</v>
      </c>
      <c r="O33" s="62"/>
      <c r="P33" s="62" t="s">
        <v>769</v>
      </c>
      <c r="Q33" s="62"/>
      <c r="R33" s="62"/>
      <c r="S33" s="62"/>
      <c r="T33" s="62"/>
      <c r="U33" s="62"/>
      <c r="V33" s="62"/>
      <c r="W33" s="62"/>
      <c r="X33" s="62"/>
      <c r="Y33" s="62" t="s">
        <v>428</v>
      </c>
      <c r="Z33" s="62"/>
    </row>
    <row r="34" ht="25.5" customHeight="1">
      <c r="A34" s="62"/>
      <c r="B34" s="62" t="s">
        <v>7312</v>
      </c>
      <c r="C34" s="62"/>
      <c r="D34" s="62" t="s">
        <v>7320</v>
      </c>
      <c r="E34" s="62" t="s">
        <v>7305</v>
      </c>
      <c r="F34" s="62"/>
      <c r="G34" s="62"/>
      <c r="H34" s="62" t="s">
        <v>7321</v>
      </c>
      <c r="I34" s="316"/>
      <c r="J34" s="62" t="s">
        <v>7322</v>
      </c>
      <c r="K34" s="62"/>
      <c r="L34" s="62" t="s">
        <v>7323</v>
      </c>
      <c r="M34" s="62" t="s">
        <v>7085</v>
      </c>
      <c r="N34" s="62" t="s">
        <v>7085</v>
      </c>
      <c r="O34" s="62"/>
      <c r="P34" s="62" t="s">
        <v>769</v>
      </c>
      <c r="Q34" s="62"/>
      <c r="R34" s="62"/>
      <c r="S34" s="62"/>
      <c r="T34" s="62"/>
      <c r="U34" s="62"/>
      <c r="V34" s="62"/>
      <c r="W34" s="62"/>
      <c r="X34" s="62"/>
      <c r="Y34" s="62" t="s">
        <v>428</v>
      </c>
      <c r="Z34" s="62"/>
    </row>
    <row r="35" ht="25.5" customHeight="1">
      <c r="A35" s="62"/>
      <c r="B35" s="62" t="s">
        <v>7138</v>
      </c>
      <c r="C35" s="62"/>
      <c r="D35" s="62" t="s">
        <v>7324</v>
      </c>
      <c r="E35" s="62" t="s">
        <v>7101</v>
      </c>
      <c r="F35" s="62"/>
      <c r="G35" s="62"/>
      <c r="H35" s="62" t="s">
        <v>7326</v>
      </c>
      <c r="I35" s="62"/>
      <c r="J35" s="62" t="s">
        <v>7327</v>
      </c>
      <c r="K35" s="62"/>
      <c r="L35" s="62" t="s">
        <v>7328</v>
      </c>
      <c r="M35" s="62" t="s">
        <v>462</v>
      </c>
      <c r="N35" s="62" t="s">
        <v>462</v>
      </c>
      <c r="O35" s="62"/>
      <c r="P35" s="62" t="s">
        <v>769</v>
      </c>
      <c r="Q35" s="62"/>
      <c r="R35" s="62"/>
      <c r="S35" s="62"/>
      <c r="T35" s="62"/>
      <c r="U35" s="62"/>
      <c r="V35" s="62"/>
      <c r="W35" s="62"/>
      <c r="X35" s="62"/>
      <c r="Y35" s="62"/>
      <c r="Z35" s="62"/>
    </row>
    <row r="36" ht="25.5" customHeight="1">
      <c r="A36" s="62"/>
      <c r="B36" s="62" t="s">
        <v>7138</v>
      </c>
      <c r="C36" s="62"/>
      <c r="D36" s="62" t="s">
        <v>7332</v>
      </c>
      <c r="E36" s="62" t="s">
        <v>7161</v>
      </c>
      <c r="F36" s="62"/>
      <c r="G36" s="62"/>
      <c r="H36" s="62" t="s">
        <v>7336</v>
      </c>
      <c r="I36" s="316"/>
      <c r="J36" s="62" t="s">
        <v>7337</v>
      </c>
      <c r="K36" s="62"/>
      <c r="L36" s="62" t="s">
        <v>7338</v>
      </c>
      <c r="M36" s="62" t="s">
        <v>462</v>
      </c>
      <c r="N36" s="62" t="s">
        <v>462</v>
      </c>
      <c r="O36" s="62"/>
      <c r="P36" s="62" t="s">
        <v>769</v>
      </c>
      <c r="Q36" s="62"/>
      <c r="R36" s="62"/>
      <c r="S36" s="62"/>
      <c r="T36" s="62"/>
      <c r="U36" s="62"/>
      <c r="V36" s="62"/>
      <c r="W36" s="62"/>
      <c r="X36" s="62"/>
      <c r="Y36" s="62" t="s">
        <v>428</v>
      </c>
      <c r="Z36" s="62"/>
    </row>
    <row r="37" ht="25.5" customHeight="1">
      <c r="A37" s="62"/>
      <c r="B37" s="62" t="s">
        <v>7339</v>
      </c>
      <c r="C37" s="62"/>
      <c r="D37" s="62" t="s">
        <v>7340</v>
      </c>
      <c r="E37" s="62" t="s">
        <v>7096</v>
      </c>
      <c r="F37" s="62"/>
      <c r="G37" s="62"/>
      <c r="H37" s="62"/>
      <c r="I37" s="62"/>
      <c r="J37" s="62" t="s">
        <v>7341</v>
      </c>
      <c r="K37" s="62"/>
      <c r="L37" s="62" t="s">
        <v>7343</v>
      </c>
      <c r="M37" s="62" t="s">
        <v>462</v>
      </c>
      <c r="N37" s="62" t="s">
        <v>462</v>
      </c>
      <c r="O37" s="62"/>
      <c r="P37" s="62" t="s">
        <v>769</v>
      </c>
      <c r="Q37" s="62"/>
      <c r="R37" s="62"/>
      <c r="S37" s="62"/>
      <c r="T37" s="62"/>
      <c r="U37" s="62"/>
      <c r="V37" s="62"/>
      <c r="W37" s="62"/>
      <c r="X37" s="62"/>
      <c r="Y37" s="62"/>
      <c r="Z37" s="62"/>
    </row>
    <row r="38" ht="25.5" customHeight="1">
      <c r="A38" s="62"/>
      <c r="B38" s="62" t="s">
        <v>7347</v>
      </c>
      <c r="C38" s="62"/>
      <c r="D38" s="62" t="s">
        <v>7349</v>
      </c>
      <c r="E38" s="62" t="s">
        <v>7350</v>
      </c>
      <c r="F38" s="62"/>
      <c r="G38" s="62"/>
      <c r="H38" s="62" t="s">
        <v>7351</v>
      </c>
      <c r="I38" s="316"/>
      <c r="J38" s="62" t="s">
        <v>7197</v>
      </c>
      <c r="K38" s="62"/>
      <c r="L38" s="62" t="s">
        <v>7352</v>
      </c>
      <c r="M38" s="62" t="s">
        <v>462</v>
      </c>
      <c r="N38" s="62" t="s">
        <v>462</v>
      </c>
      <c r="O38" s="62"/>
      <c r="P38" s="62" t="s">
        <v>769</v>
      </c>
      <c r="Q38" s="62"/>
      <c r="R38" s="62"/>
      <c r="S38" s="62"/>
      <c r="T38" s="62"/>
      <c r="U38" s="62"/>
      <c r="V38" s="62"/>
      <c r="W38" s="62"/>
      <c r="X38" s="62"/>
      <c r="Y38" s="62"/>
      <c r="Z38" s="62"/>
    </row>
    <row r="39" ht="25.5" customHeight="1">
      <c r="A39" s="62"/>
      <c r="B39" s="62" t="s">
        <v>6468</v>
      </c>
      <c r="C39" s="62"/>
      <c r="D39" s="62" t="s">
        <v>7354</v>
      </c>
      <c r="E39" s="62" t="s">
        <v>7081</v>
      </c>
      <c r="F39" s="62"/>
      <c r="G39" s="62"/>
      <c r="H39" s="62" t="s">
        <v>7356</v>
      </c>
      <c r="I39" s="62"/>
      <c r="J39" s="62" t="s">
        <v>7357</v>
      </c>
      <c r="K39" s="62"/>
      <c r="L39" s="62" t="s">
        <v>7359</v>
      </c>
      <c r="M39" s="62" t="s">
        <v>462</v>
      </c>
      <c r="N39" s="62" t="s">
        <v>462</v>
      </c>
      <c r="O39" s="62"/>
      <c r="P39" s="62" t="s">
        <v>769</v>
      </c>
      <c r="Q39" s="62"/>
      <c r="R39" s="62"/>
      <c r="S39" s="62"/>
      <c r="T39" s="62"/>
      <c r="U39" s="62"/>
      <c r="V39" s="62"/>
      <c r="W39" s="62"/>
      <c r="X39" s="62"/>
      <c r="Y39" s="62"/>
      <c r="Z39" s="62"/>
    </row>
    <row r="40" ht="25.5" customHeight="1">
      <c r="A40" s="62"/>
      <c r="B40" s="62" t="s">
        <v>6468</v>
      </c>
      <c r="C40" s="62"/>
      <c r="D40" s="62" t="s">
        <v>7361</v>
      </c>
      <c r="E40" s="62" t="s">
        <v>7362</v>
      </c>
      <c r="F40" s="62"/>
      <c r="G40" s="62"/>
      <c r="H40" s="62" t="s">
        <v>7363</v>
      </c>
      <c r="I40" s="316"/>
      <c r="J40" s="62" t="s">
        <v>7174</v>
      </c>
      <c r="K40" s="62"/>
      <c r="L40" s="62" t="s">
        <v>7365</v>
      </c>
      <c r="M40" s="62" t="s">
        <v>462</v>
      </c>
      <c r="N40" s="62" t="s">
        <v>462</v>
      </c>
      <c r="O40" s="62"/>
      <c r="P40" s="62" t="s">
        <v>769</v>
      </c>
      <c r="Q40" s="62"/>
      <c r="R40" s="62"/>
      <c r="S40" s="62"/>
      <c r="T40" s="62"/>
      <c r="U40" s="62"/>
      <c r="V40" s="62"/>
      <c r="W40" s="62"/>
      <c r="X40" s="62"/>
      <c r="Y40" s="62" t="s">
        <v>428</v>
      </c>
      <c r="Z40" s="62"/>
    </row>
    <row r="41" ht="25.5" customHeight="1">
      <c r="A41" s="62"/>
      <c r="B41" s="62"/>
      <c r="C41" s="62"/>
      <c r="D41" s="62" t="s">
        <v>7369</v>
      </c>
      <c r="E41" s="62" t="s">
        <v>7155</v>
      </c>
      <c r="F41" s="62"/>
      <c r="G41" s="62"/>
      <c r="H41" s="62" t="s">
        <v>7371</v>
      </c>
      <c r="I41" s="316"/>
      <c r="J41" s="62" t="s">
        <v>7129</v>
      </c>
      <c r="K41" s="62" t="s">
        <v>7372</v>
      </c>
      <c r="L41" s="62" t="s">
        <v>7373</v>
      </c>
      <c r="M41" s="62" t="s">
        <v>462</v>
      </c>
      <c r="N41" s="62" t="s">
        <v>462</v>
      </c>
      <c r="O41" s="62"/>
      <c r="P41" s="62" t="s">
        <v>769</v>
      </c>
      <c r="Q41" s="62"/>
      <c r="R41" s="62"/>
      <c r="S41" s="62"/>
      <c r="T41" s="62"/>
      <c r="U41" s="62"/>
      <c r="V41" s="62"/>
      <c r="W41" s="62"/>
      <c r="X41" s="62"/>
      <c r="Y41" s="62"/>
      <c r="Z41" s="62"/>
    </row>
    <row r="42" ht="25.5" customHeight="1">
      <c r="A42" s="62"/>
      <c r="B42" s="62"/>
      <c r="C42" s="62"/>
      <c r="D42" s="62" t="s">
        <v>7101</v>
      </c>
      <c r="E42" s="62" t="s">
        <v>7101</v>
      </c>
      <c r="F42" s="62"/>
      <c r="G42" s="62"/>
      <c r="H42" s="62" t="s">
        <v>7375</v>
      </c>
      <c r="I42" s="62"/>
      <c r="J42" s="62" t="s">
        <v>7103</v>
      </c>
      <c r="K42" s="62"/>
      <c r="L42" s="62" t="s">
        <v>7377</v>
      </c>
      <c r="M42" s="62" t="s">
        <v>462</v>
      </c>
      <c r="N42" s="62" t="s">
        <v>462</v>
      </c>
      <c r="O42" s="62"/>
      <c r="P42" s="62" t="s">
        <v>769</v>
      </c>
      <c r="Q42" s="62"/>
      <c r="R42" s="62"/>
      <c r="S42" s="62"/>
      <c r="T42" s="62"/>
      <c r="U42" s="62"/>
      <c r="V42" s="62"/>
      <c r="W42" s="62"/>
      <c r="X42" s="62"/>
      <c r="Y42" s="62"/>
      <c r="Z42" s="62"/>
    </row>
    <row r="43" ht="25.5" customHeight="1">
      <c r="A43" s="62"/>
      <c r="B43" s="62"/>
      <c r="C43" s="62"/>
      <c r="D43" s="62" t="s">
        <v>7379</v>
      </c>
      <c r="E43" s="62" t="s">
        <v>7380</v>
      </c>
      <c r="F43" s="62"/>
      <c r="G43" s="62"/>
      <c r="H43" s="62" t="s">
        <v>7381</v>
      </c>
      <c r="I43" s="316"/>
      <c r="J43" s="62" t="s">
        <v>7129</v>
      </c>
      <c r="K43" s="62"/>
      <c r="L43" s="62" t="s">
        <v>7382</v>
      </c>
      <c r="M43" s="62" t="s">
        <v>462</v>
      </c>
      <c r="N43" s="62" t="s">
        <v>462</v>
      </c>
      <c r="O43" s="62"/>
      <c r="P43" s="62" t="s">
        <v>769</v>
      </c>
      <c r="Q43" s="62"/>
      <c r="R43" s="62"/>
      <c r="S43" s="62"/>
      <c r="T43" s="62"/>
      <c r="U43" s="62"/>
      <c r="V43" s="62"/>
      <c r="W43" s="62"/>
      <c r="X43" s="62"/>
      <c r="Y43" s="62" t="s">
        <v>428</v>
      </c>
      <c r="Z43" s="62"/>
    </row>
    <row r="44" ht="25.5" customHeight="1">
      <c r="A44" s="62"/>
      <c r="B44" s="62"/>
      <c r="C44" s="62"/>
      <c r="D44" s="62" t="s">
        <v>7383</v>
      </c>
      <c r="E44" s="62" t="s">
        <v>7161</v>
      </c>
      <c r="F44" s="62"/>
      <c r="G44" s="62"/>
      <c r="H44" s="62" t="s">
        <v>7384</v>
      </c>
      <c r="I44" s="316"/>
      <c r="J44" s="62" t="s">
        <v>7163</v>
      </c>
      <c r="K44" s="62"/>
      <c r="L44" s="62" t="s">
        <v>7385</v>
      </c>
      <c r="M44" s="62" t="s">
        <v>462</v>
      </c>
      <c r="N44" s="62" t="s">
        <v>462</v>
      </c>
      <c r="O44" s="62"/>
      <c r="P44" s="62" t="s">
        <v>769</v>
      </c>
      <c r="Q44" s="62"/>
      <c r="R44" s="62"/>
      <c r="S44" s="62"/>
      <c r="T44" s="62"/>
      <c r="U44" s="62"/>
      <c r="V44" s="62"/>
      <c r="W44" s="62"/>
      <c r="X44" s="62"/>
      <c r="Y44" s="62"/>
      <c r="Z44" s="62"/>
    </row>
    <row r="45" ht="25.5" customHeight="1">
      <c r="A45" s="62"/>
      <c r="B45" s="62"/>
      <c r="C45" s="62"/>
      <c r="D45" s="62" t="s">
        <v>7387</v>
      </c>
      <c r="E45" s="62" t="s">
        <v>7161</v>
      </c>
      <c r="F45" s="62"/>
      <c r="G45" s="62"/>
      <c r="H45" s="62" t="s">
        <v>7391</v>
      </c>
      <c r="I45" s="316"/>
      <c r="J45" s="62" t="s">
        <v>7163</v>
      </c>
      <c r="K45" s="62"/>
      <c r="L45" s="62" t="s">
        <v>7393</v>
      </c>
      <c r="M45" s="62" t="s">
        <v>462</v>
      </c>
      <c r="N45" s="62" t="s">
        <v>462</v>
      </c>
      <c r="O45" s="62"/>
      <c r="P45" s="62" t="s">
        <v>769</v>
      </c>
      <c r="Q45" s="62"/>
      <c r="R45" s="62"/>
      <c r="S45" s="62"/>
      <c r="T45" s="62"/>
      <c r="U45" s="62"/>
      <c r="V45" s="62"/>
      <c r="W45" s="62"/>
      <c r="X45" s="62"/>
      <c r="Y45" s="62"/>
      <c r="Z45" s="62"/>
    </row>
    <row r="46" ht="25.5" customHeight="1">
      <c r="A46" s="62"/>
      <c r="B46" s="62"/>
      <c r="C46" s="62"/>
      <c r="D46" s="62" t="s">
        <v>7397</v>
      </c>
      <c r="E46" s="62" t="s">
        <v>7115</v>
      </c>
      <c r="F46" s="62"/>
      <c r="G46" s="62">
        <v>2012.0</v>
      </c>
      <c r="H46" s="318" t="s">
        <v>7399</v>
      </c>
      <c r="I46" s="316" t="s">
        <v>7407</v>
      </c>
      <c r="J46" s="62" t="s">
        <v>7409</v>
      </c>
      <c r="K46" s="62" t="s">
        <v>287</v>
      </c>
      <c r="L46" s="62" t="s">
        <v>7410</v>
      </c>
      <c r="M46" s="62" t="s">
        <v>462</v>
      </c>
      <c r="N46" s="62" t="s">
        <v>462</v>
      </c>
      <c r="O46" s="62"/>
      <c r="P46" s="62" t="s">
        <v>769</v>
      </c>
      <c r="Q46" s="62"/>
      <c r="R46" s="62"/>
      <c r="S46" s="62"/>
      <c r="T46" s="62"/>
      <c r="U46" s="62"/>
      <c r="V46" s="62"/>
      <c r="W46" s="62"/>
      <c r="X46" s="62"/>
      <c r="Y46" s="62"/>
      <c r="Z46" s="62"/>
    </row>
    <row r="47" ht="25.5" customHeight="1">
      <c r="A47" s="62"/>
      <c r="B47" s="62"/>
      <c r="C47" s="62"/>
      <c r="D47" s="62" t="s">
        <v>7411</v>
      </c>
      <c r="E47" s="62" t="s">
        <v>7161</v>
      </c>
      <c r="F47" s="62"/>
      <c r="G47" s="62"/>
      <c r="H47" s="62" t="s">
        <v>7412</v>
      </c>
      <c r="I47" s="316"/>
      <c r="J47" s="62" t="s">
        <v>7322</v>
      </c>
      <c r="K47" s="62"/>
      <c r="L47" s="62" t="s">
        <v>7180</v>
      </c>
      <c r="M47" s="62" t="s">
        <v>462</v>
      </c>
      <c r="N47" s="62" t="s">
        <v>462</v>
      </c>
      <c r="O47" s="62"/>
      <c r="P47" s="62" t="s">
        <v>769</v>
      </c>
      <c r="Q47" s="62"/>
      <c r="R47" s="62"/>
      <c r="S47" s="62"/>
      <c r="T47" s="62"/>
      <c r="U47" s="62"/>
      <c r="V47" s="62"/>
      <c r="W47" s="62"/>
      <c r="X47" s="62"/>
      <c r="Y47" s="62"/>
      <c r="Z47" s="62"/>
    </row>
    <row r="48" ht="25.5" customHeight="1">
      <c r="A48" s="62"/>
      <c r="B48" s="62"/>
      <c r="C48" s="62"/>
      <c r="D48" s="62" t="s">
        <v>7413</v>
      </c>
      <c r="E48" s="62" t="s">
        <v>7414</v>
      </c>
      <c r="F48" s="62"/>
      <c r="G48" s="62"/>
      <c r="H48" s="62" t="s">
        <v>7416</v>
      </c>
      <c r="I48" s="316"/>
      <c r="J48" s="62" t="s">
        <v>7129</v>
      </c>
      <c r="K48" s="62" t="s">
        <v>7417</v>
      </c>
      <c r="L48" s="62" t="s">
        <v>7418</v>
      </c>
      <c r="M48" s="62" t="s">
        <v>462</v>
      </c>
      <c r="N48" s="62" t="s">
        <v>462</v>
      </c>
      <c r="O48" s="62"/>
      <c r="P48" s="62" t="s">
        <v>769</v>
      </c>
      <c r="Q48" s="62"/>
      <c r="R48" s="62"/>
      <c r="S48" s="62"/>
      <c r="T48" s="62"/>
      <c r="U48" s="62"/>
      <c r="V48" s="62"/>
      <c r="W48" s="62"/>
      <c r="X48" s="62"/>
      <c r="Y48" s="62"/>
      <c r="Z48" s="62"/>
    </row>
    <row r="49" ht="25.5" customHeight="1">
      <c r="A49" s="62"/>
      <c r="B49" s="62"/>
      <c r="C49" s="62"/>
      <c r="D49" s="62" t="s">
        <v>7421</v>
      </c>
      <c r="E49" s="62" t="s">
        <v>7282</v>
      </c>
      <c r="F49" s="62"/>
      <c r="G49" s="62"/>
      <c r="H49" s="62" t="s">
        <v>7423</v>
      </c>
      <c r="I49" s="316"/>
      <c r="J49" s="62" t="s">
        <v>7424</v>
      </c>
      <c r="K49" s="62"/>
      <c r="L49" s="62" t="s">
        <v>7425</v>
      </c>
      <c r="M49" s="62" t="s">
        <v>462</v>
      </c>
      <c r="N49" s="62" t="s">
        <v>462</v>
      </c>
      <c r="O49" s="62"/>
      <c r="P49" s="62" t="s">
        <v>769</v>
      </c>
      <c r="Q49" s="62"/>
      <c r="R49" s="62"/>
      <c r="S49" s="62"/>
      <c r="T49" s="62"/>
      <c r="U49" s="62"/>
      <c r="V49" s="62"/>
      <c r="W49" s="62"/>
      <c r="X49" s="62"/>
      <c r="Y49" s="62"/>
      <c r="Z49" s="62"/>
    </row>
    <row r="50" ht="25.5" customHeight="1">
      <c r="A50" s="62"/>
      <c r="B50" s="62"/>
      <c r="C50" s="62"/>
      <c r="D50" s="62" t="s">
        <v>7426</v>
      </c>
      <c r="E50" s="62" t="s">
        <v>7089</v>
      </c>
      <c r="F50" s="62"/>
      <c r="G50" s="62"/>
      <c r="H50" s="62" t="s">
        <v>7427</v>
      </c>
      <c r="I50" s="316"/>
      <c r="J50" s="62" t="s">
        <v>7298</v>
      </c>
      <c r="K50" s="62" t="s">
        <v>7200</v>
      </c>
      <c r="L50" s="62" t="s">
        <v>7428</v>
      </c>
      <c r="M50" s="62" t="s">
        <v>462</v>
      </c>
      <c r="N50" s="62" t="s">
        <v>462</v>
      </c>
      <c r="O50" s="62"/>
      <c r="P50" s="62" t="s">
        <v>769</v>
      </c>
      <c r="Q50" s="62"/>
      <c r="R50" s="62"/>
      <c r="S50" s="62"/>
      <c r="T50" s="62"/>
      <c r="U50" s="62"/>
      <c r="V50" s="62"/>
      <c r="W50" s="62"/>
      <c r="X50" s="62"/>
      <c r="Y50" s="62"/>
      <c r="Z50" s="62"/>
    </row>
    <row r="51" ht="25.5" customHeight="1">
      <c r="A51" s="62" t="s">
        <v>173</v>
      </c>
      <c r="B51" s="62" t="s">
        <v>7429</v>
      </c>
      <c r="C51" s="62" t="s">
        <v>7430</v>
      </c>
      <c r="D51" s="62" t="s">
        <v>7431</v>
      </c>
      <c r="E51" s="62" t="s">
        <v>7433</v>
      </c>
      <c r="F51" s="62" t="s">
        <v>7082</v>
      </c>
      <c r="G51" s="62">
        <v>2014.0</v>
      </c>
      <c r="H51" s="62" t="s">
        <v>7436</v>
      </c>
      <c r="I51" s="62" t="s">
        <v>7082</v>
      </c>
      <c r="J51" s="62"/>
      <c r="K51" s="62" t="s">
        <v>7439</v>
      </c>
      <c r="L51" s="62" t="s">
        <v>7440</v>
      </c>
      <c r="M51" s="62" t="s">
        <v>462</v>
      </c>
      <c r="N51" s="62" t="s">
        <v>462</v>
      </c>
      <c r="O51" s="62"/>
      <c r="P51" s="62"/>
      <c r="Q51" s="62" t="s">
        <v>769</v>
      </c>
      <c r="R51" s="62" t="s">
        <v>7441</v>
      </c>
      <c r="S51" s="315">
        <v>42010.0</v>
      </c>
      <c r="T51" s="315">
        <v>42572.0</v>
      </c>
      <c r="U51" s="62"/>
      <c r="V51" s="62"/>
      <c r="W51" s="62"/>
      <c r="X51" s="62"/>
      <c r="Y51" s="62"/>
      <c r="Z51" s="62"/>
    </row>
    <row r="52" ht="25.5" customHeight="1">
      <c r="A52" s="62" t="s">
        <v>173</v>
      </c>
      <c r="B52" s="62" t="s">
        <v>712</v>
      </c>
      <c r="C52" s="62" t="s">
        <v>7446</v>
      </c>
      <c r="D52" s="62" t="s">
        <v>7449</v>
      </c>
      <c r="E52" s="62" t="s">
        <v>4923</v>
      </c>
      <c r="F52" s="316" t="s">
        <v>7451</v>
      </c>
      <c r="G52" s="62">
        <v>2013.0</v>
      </c>
      <c r="H52" s="62" t="s">
        <v>7453</v>
      </c>
      <c r="I52" s="316" t="s">
        <v>7451</v>
      </c>
      <c r="J52" s="62"/>
      <c r="K52" s="62" t="s">
        <v>287</v>
      </c>
      <c r="L52" s="62" t="s">
        <v>7454</v>
      </c>
      <c r="M52" s="62" t="s">
        <v>462</v>
      </c>
      <c r="N52" s="62" t="s">
        <v>462</v>
      </c>
      <c r="O52" s="62"/>
      <c r="P52" s="62"/>
      <c r="Q52" s="62" t="s">
        <v>428</v>
      </c>
      <c r="R52" s="62" t="s">
        <v>7455</v>
      </c>
      <c r="S52" s="315">
        <v>42389.0</v>
      </c>
      <c r="T52" s="315">
        <v>42590.0</v>
      </c>
      <c r="U52" s="62"/>
      <c r="V52" s="62"/>
      <c r="W52" s="62"/>
      <c r="X52" s="62"/>
      <c r="Y52" s="62" t="s">
        <v>428</v>
      </c>
      <c r="Z52" s="62"/>
    </row>
    <row r="53" ht="25.5" customHeight="1">
      <c r="A53" s="62" t="s">
        <v>64</v>
      </c>
      <c r="B53" s="62" t="s">
        <v>7138</v>
      </c>
      <c r="C53" s="62" t="s">
        <v>2293</v>
      </c>
      <c r="D53" s="62" t="s">
        <v>7456</v>
      </c>
      <c r="E53" s="62" t="s">
        <v>1378</v>
      </c>
      <c r="F53" s="62"/>
      <c r="G53" s="62">
        <v>2014.0</v>
      </c>
      <c r="H53" s="62" t="s">
        <v>7457</v>
      </c>
      <c r="I53" s="316" t="s">
        <v>7458</v>
      </c>
      <c r="J53" s="62"/>
      <c r="K53" s="62" t="s">
        <v>287</v>
      </c>
      <c r="L53" s="62" t="s">
        <v>7459</v>
      </c>
      <c r="M53" s="62" t="s">
        <v>462</v>
      </c>
      <c r="N53" s="62" t="s">
        <v>462</v>
      </c>
      <c r="O53" s="62"/>
      <c r="P53" s="62"/>
      <c r="Q53" s="62" t="s">
        <v>428</v>
      </c>
      <c r="R53" s="62" t="s">
        <v>7461</v>
      </c>
      <c r="S53" s="315">
        <v>42390.0</v>
      </c>
      <c r="T53" s="315">
        <v>42522.0</v>
      </c>
      <c r="U53" s="62" t="s">
        <v>428</v>
      </c>
      <c r="V53" s="315">
        <v>42376.0</v>
      </c>
      <c r="W53" s="62"/>
      <c r="X53" s="62"/>
      <c r="Y53" s="62"/>
      <c r="Z53" s="62"/>
    </row>
    <row r="54" ht="25.5" customHeight="1">
      <c r="A54" s="62" t="s">
        <v>64</v>
      </c>
      <c r="B54" s="62" t="s">
        <v>7463</v>
      </c>
      <c r="C54" s="62" t="s">
        <v>605</v>
      </c>
      <c r="D54" s="62" t="s">
        <v>7466</v>
      </c>
      <c r="E54" s="62" t="s">
        <v>7467</v>
      </c>
      <c r="F54" s="62"/>
      <c r="G54" s="62">
        <v>2014.0</v>
      </c>
      <c r="H54" s="62" t="s">
        <v>7469</v>
      </c>
      <c r="I54" s="316" t="s">
        <v>7470</v>
      </c>
      <c r="J54" s="319" t="s">
        <v>7471</v>
      </c>
      <c r="K54" s="62" t="s">
        <v>287</v>
      </c>
      <c r="L54" s="62" t="s">
        <v>7472</v>
      </c>
      <c r="M54" s="62" t="s">
        <v>462</v>
      </c>
      <c r="N54" s="62" t="s">
        <v>462</v>
      </c>
      <c r="O54" s="62"/>
      <c r="P54" s="62"/>
      <c r="Q54" s="62" t="s">
        <v>428</v>
      </c>
      <c r="R54" s="62" t="s">
        <v>7473</v>
      </c>
      <c r="S54" s="315">
        <v>42417.0</v>
      </c>
      <c r="T54" s="62"/>
      <c r="U54" s="62" t="s">
        <v>428</v>
      </c>
      <c r="V54" s="315">
        <v>42480.0</v>
      </c>
      <c r="W54" s="62"/>
      <c r="X54" s="62"/>
      <c r="Y54" s="62"/>
      <c r="Z54" s="62"/>
    </row>
    <row r="55" ht="25.5" customHeight="1">
      <c r="A55" s="62"/>
      <c r="B55" s="62" t="s">
        <v>7347</v>
      </c>
      <c r="C55" s="62"/>
      <c r="D55" s="62" t="s">
        <v>7475</v>
      </c>
      <c r="E55" s="62" t="s">
        <v>7476</v>
      </c>
      <c r="F55" s="62"/>
      <c r="G55" s="62"/>
      <c r="H55" s="62" t="s">
        <v>7477</v>
      </c>
      <c r="I55" s="316" t="s">
        <v>3542</v>
      </c>
      <c r="J55" s="62"/>
      <c r="K55" s="62" t="s">
        <v>7479</v>
      </c>
      <c r="L55" s="62" t="s">
        <v>7480</v>
      </c>
      <c r="M55" s="62" t="s">
        <v>462</v>
      </c>
      <c r="N55" s="62" t="s">
        <v>462</v>
      </c>
      <c r="O55" s="62"/>
      <c r="P55" s="62"/>
      <c r="Q55" s="62" t="s">
        <v>428</v>
      </c>
      <c r="R55" s="62" t="s">
        <v>7484</v>
      </c>
      <c r="S55" s="315">
        <v>42474.0</v>
      </c>
      <c r="T55" s="62"/>
      <c r="U55" s="62"/>
      <c r="V55" s="62"/>
      <c r="W55" s="62"/>
      <c r="X55" s="62"/>
      <c r="Y55" s="62"/>
      <c r="Z55" s="62"/>
    </row>
    <row r="56" ht="25.5" customHeight="1">
      <c r="A56" s="62"/>
      <c r="B56" s="62"/>
      <c r="C56" s="62"/>
      <c r="D56" s="62" t="s">
        <v>7485</v>
      </c>
      <c r="E56" s="62" t="s">
        <v>7486</v>
      </c>
      <c r="F56" s="62"/>
      <c r="G56" s="315">
        <v>40519.0</v>
      </c>
      <c r="H56" s="62"/>
      <c r="I56" s="316" t="s">
        <v>7487</v>
      </c>
      <c r="J56" s="62" t="s">
        <v>7157</v>
      </c>
      <c r="K56" s="62"/>
      <c r="L56" s="62" t="s">
        <v>7489</v>
      </c>
      <c r="M56" s="62" t="s">
        <v>462</v>
      </c>
      <c r="N56" s="62" t="s">
        <v>462</v>
      </c>
      <c r="O56" s="62"/>
      <c r="P56" s="62"/>
      <c r="Q56" s="62" t="s">
        <v>428</v>
      </c>
      <c r="R56" s="62" t="s">
        <v>7490</v>
      </c>
      <c r="S56" s="315">
        <v>42474.0</v>
      </c>
      <c r="T56" s="62"/>
      <c r="U56" s="62"/>
      <c r="V56" s="62"/>
      <c r="W56" s="62"/>
      <c r="X56" s="62"/>
      <c r="Y56" s="62"/>
      <c r="Z56" s="62"/>
    </row>
    <row r="57" ht="25.5" customHeight="1">
      <c r="A57" s="62"/>
      <c r="B57" s="62" t="s">
        <v>429</v>
      </c>
      <c r="C57" s="62"/>
      <c r="D57" s="62" t="s">
        <v>7492</v>
      </c>
      <c r="E57" s="62" t="s">
        <v>7493</v>
      </c>
      <c r="F57" s="316" t="s">
        <v>7494</v>
      </c>
      <c r="G57" s="315">
        <v>41661.0</v>
      </c>
      <c r="H57" s="62"/>
      <c r="I57" s="316" t="s">
        <v>7494</v>
      </c>
      <c r="J57" s="62" t="s">
        <v>7496</v>
      </c>
      <c r="K57" s="62"/>
      <c r="L57" s="62" t="s">
        <v>7497</v>
      </c>
      <c r="M57" s="62" t="s">
        <v>462</v>
      </c>
      <c r="N57" s="62" t="s">
        <v>462</v>
      </c>
      <c r="O57" s="62"/>
      <c r="P57" s="62"/>
      <c r="Q57" s="62" t="s">
        <v>428</v>
      </c>
      <c r="R57" s="62" t="s">
        <v>7498</v>
      </c>
      <c r="S57" s="315">
        <v>42374.0</v>
      </c>
      <c r="T57" s="315">
        <v>42579.0</v>
      </c>
      <c r="U57" s="62" t="s">
        <v>428</v>
      </c>
      <c r="V57" s="315">
        <v>42454.0</v>
      </c>
      <c r="W57" s="62"/>
      <c r="X57" s="62"/>
      <c r="Y57" s="62"/>
      <c r="Z57" s="62"/>
    </row>
    <row r="58" ht="25.5" customHeight="1">
      <c r="A58" s="62"/>
      <c r="B58" s="62" t="s">
        <v>7276</v>
      </c>
      <c r="C58" s="62"/>
      <c r="D58" s="62" t="s">
        <v>7499</v>
      </c>
      <c r="E58" s="62" t="s">
        <v>1654</v>
      </c>
      <c r="F58" s="316" t="s">
        <v>7500</v>
      </c>
      <c r="G58" s="62">
        <v>2014.0</v>
      </c>
      <c r="H58" s="62"/>
      <c r="I58" s="316" t="s">
        <v>7500</v>
      </c>
      <c r="J58" s="62"/>
      <c r="K58" s="62" t="s">
        <v>287</v>
      </c>
      <c r="L58" s="62" t="s">
        <v>7501</v>
      </c>
      <c r="M58" s="62" t="s">
        <v>462</v>
      </c>
      <c r="N58" s="62" t="s">
        <v>462</v>
      </c>
      <c r="O58" s="62"/>
      <c r="P58" s="62"/>
      <c r="Q58" s="62" t="s">
        <v>428</v>
      </c>
      <c r="R58" s="62" t="s">
        <v>7502</v>
      </c>
      <c r="S58" s="315">
        <v>42478.0</v>
      </c>
      <c r="T58" s="62"/>
      <c r="U58" s="62"/>
      <c r="V58" s="62"/>
      <c r="W58" s="62"/>
      <c r="X58" s="62"/>
      <c r="Y58" s="62"/>
      <c r="Z58" s="62"/>
    </row>
    <row r="59" ht="25.5" customHeight="1">
      <c r="A59" s="62"/>
      <c r="B59" s="62"/>
      <c r="C59" s="62" t="s">
        <v>7504</v>
      </c>
      <c r="D59" s="62" t="s">
        <v>7505</v>
      </c>
      <c r="E59" s="62" t="s">
        <v>7507</v>
      </c>
      <c r="F59" s="62"/>
      <c r="G59" s="62">
        <v>2013.0</v>
      </c>
      <c r="H59" s="62" t="s">
        <v>7509</v>
      </c>
      <c r="I59" s="62" t="s">
        <v>7510</v>
      </c>
      <c r="J59" s="62"/>
      <c r="K59" s="62" t="s">
        <v>287</v>
      </c>
      <c r="L59" s="62" t="s">
        <v>7511</v>
      </c>
      <c r="M59" s="62" t="s">
        <v>462</v>
      </c>
      <c r="N59" s="62" t="s">
        <v>462</v>
      </c>
      <c r="O59" s="62"/>
      <c r="P59" s="62"/>
      <c r="Q59" s="62" t="s">
        <v>428</v>
      </c>
      <c r="R59" s="62" t="s">
        <v>7514</v>
      </c>
      <c r="S59" s="315">
        <v>42479.0</v>
      </c>
      <c r="T59" s="62"/>
      <c r="U59" s="62"/>
      <c r="V59" s="62"/>
      <c r="W59" s="62"/>
      <c r="X59" s="62"/>
      <c r="Y59" s="62"/>
      <c r="Z59" s="62"/>
    </row>
    <row r="60" ht="25.5" customHeight="1">
      <c r="A60" s="62"/>
      <c r="B60" s="62"/>
      <c r="C60" s="62" t="s">
        <v>7517</v>
      </c>
      <c r="D60" s="62" t="s">
        <v>7518</v>
      </c>
      <c r="E60" s="62" t="s">
        <v>7519</v>
      </c>
      <c r="F60" s="62"/>
      <c r="G60" s="62"/>
      <c r="H60" s="62"/>
      <c r="I60" s="62"/>
      <c r="J60" s="62"/>
      <c r="K60" s="62" t="s">
        <v>7520</v>
      </c>
      <c r="L60" s="62" t="s">
        <v>7521</v>
      </c>
      <c r="M60" s="62" t="s">
        <v>462</v>
      </c>
      <c r="N60" s="62" t="s">
        <v>462</v>
      </c>
      <c r="O60" s="62"/>
      <c r="P60" s="62"/>
      <c r="Q60" s="62" t="s">
        <v>428</v>
      </c>
      <c r="R60" s="62" t="s">
        <v>7525</v>
      </c>
      <c r="S60" s="315">
        <v>42480.0</v>
      </c>
      <c r="T60" s="62"/>
      <c r="U60" s="62"/>
      <c r="V60" s="62"/>
      <c r="W60" s="62"/>
      <c r="X60" s="62"/>
      <c r="Y60" s="62"/>
      <c r="Z60" s="62"/>
    </row>
    <row r="61" ht="25.5" customHeight="1">
      <c r="A61" s="62"/>
      <c r="B61" s="62"/>
      <c r="C61" s="62"/>
      <c r="D61" s="62" t="s">
        <v>7526</v>
      </c>
      <c r="E61" s="62" t="s">
        <v>7527</v>
      </c>
      <c r="F61" s="62"/>
      <c r="G61" s="62">
        <v>2009.0</v>
      </c>
      <c r="H61" s="62" t="s">
        <v>7528</v>
      </c>
      <c r="I61" s="316" t="s">
        <v>7527</v>
      </c>
      <c r="J61" s="62"/>
      <c r="K61" s="62" t="s">
        <v>287</v>
      </c>
      <c r="L61" s="62" t="s">
        <v>7529</v>
      </c>
      <c r="M61" s="62" t="s">
        <v>462</v>
      </c>
      <c r="N61" s="62" t="s">
        <v>462</v>
      </c>
      <c r="O61" s="62"/>
      <c r="P61" s="62"/>
      <c r="Q61" s="62" t="s">
        <v>428</v>
      </c>
      <c r="R61" s="62" t="s">
        <v>7530</v>
      </c>
      <c r="S61" s="315">
        <v>42481.0</v>
      </c>
      <c r="T61" s="62"/>
      <c r="U61" s="62"/>
      <c r="V61" s="62"/>
      <c r="W61" s="62"/>
      <c r="X61" s="62"/>
      <c r="Y61" s="62"/>
      <c r="Z61" s="62"/>
    </row>
    <row r="62" ht="25.5" customHeight="1">
      <c r="A62" s="62"/>
      <c r="B62" s="62" t="s">
        <v>7347</v>
      </c>
      <c r="C62" s="62"/>
      <c r="D62" s="62" t="s">
        <v>7531</v>
      </c>
      <c r="E62" s="62"/>
      <c r="F62" s="62" t="s">
        <v>7532</v>
      </c>
      <c r="G62" s="62"/>
      <c r="H62" s="62" t="s">
        <v>7535</v>
      </c>
      <c r="I62" s="62"/>
      <c r="J62" s="62" t="s">
        <v>7536</v>
      </c>
      <c r="K62" s="62"/>
      <c r="L62" s="62" t="s">
        <v>7538</v>
      </c>
      <c r="M62" s="62" t="s">
        <v>462</v>
      </c>
      <c r="N62" s="62" t="s">
        <v>462</v>
      </c>
      <c r="O62" s="62"/>
      <c r="P62" s="62"/>
      <c r="Q62" s="62" t="s">
        <v>428</v>
      </c>
      <c r="R62" s="62" t="s">
        <v>7540</v>
      </c>
      <c r="S62" s="315">
        <v>42359.0</v>
      </c>
      <c r="T62" s="315">
        <v>42529.0</v>
      </c>
      <c r="U62" s="62"/>
      <c r="V62" s="62"/>
      <c r="W62" s="62"/>
      <c r="X62" s="62"/>
      <c r="Y62" s="62"/>
      <c r="Z62" s="62"/>
    </row>
    <row r="63" ht="25.5" customHeight="1">
      <c r="A63" s="62"/>
      <c r="B63" s="62" t="s">
        <v>7347</v>
      </c>
      <c r="C63" s="62" t="s">
        <v>7543</v>
      </c>
      <c r="D63" s="62" t="s">
        <v>7545</v>
      </c>
      <c r="E63" s="62"/>
      <c r="F63" s="62" t="s">
        <v>7546</v>
      </c>
      <c r="G63" s="62"/>
      <c r="H63" s="62" t="s">
        <v>7547</v>
      </c>
      <c r="I63" s="62"/>
      <c r="J63" s="62" t="s">
        <v>7197</v>
      </c>
      <c r="K63" s="62"/>
      <c r="L63" s="62" t="s">
        <v>7548</v>
      </c>
      <c r="M63" s="62" t="s">
        <v>462</v>
      </c>
      <c r="N63" s="62" t="s">
        <v>462</v>
      </c>
      <c r="O63" s="62"/>
      <c r="P63" s="62"/>
      <c r="Q63" s="62" t="s">
        <v>428</v>
      </c>
      <c r="R63" s="62" t="s">
        <v>7552</v>
      </c>
      <c r="S63" s="315">
        <v>42360.0</v>
      </c>
      <c r="T63" s="315">
        <v>42535.0</v>
      </c>
      <c r="U63" s="62" t="s">
        <v>428</v>
      </c>
      <c r="V63" s="315">
        <v>42524.0</v>
      </c>
      <c r="W63" s="62"/>
      <c r="X63" s="62"/>
      <c r="Y63" s="62"/>
      <c r="Z63" s="62"/>
    </row>
    <row r="64" ht="25.5" customHeight="1">
      <c r="A64" s="62"/>
      <c r="B64" s="62" t="s">
        <v>7347</v>
      </c>
      <c r="C64" s="62"/>
      <c r="D64" s="62" t="s">
        <v>7554</v>
      </c>
      <c r="E64" s="62"/>
      <c r="F64" s="62" t="s">
        <v>7546</v>
      </c>
      <c r="G64" s="62"/>
      <c r="H64" s="62" t="s">
        <v>7556</v>
      </c>
      <c r="I64" s="62"/>
      <c r="J64" s="62" t="s">
        <v>7557</v>
      </c>
      <c r="K64" s="62"/>
      <c r="L64" s="62" t="s">
        <v>7558</v>
      </c>
      <c r="M64" s="62" t="s">
        <v>462</v>
      </c>
      <c r="N64" s="62" t="s">
        <v>462</v>
      </c>
      <c r="O64" s="62"/>
      <c r="P64" s="62"/>
      <c r="Q64" s="62" t="s">
        <v>428</v>
      </c>
      <c r="R64" s="62" t="s">
        <v>7560</v>
      </c>
      <c r="S64" s="315">
        <v>42361.0</v>
      </c>
      <c r="T64" s="315">
        <v>42542.0</v>
      </c>
      <c r="U64" s="62" t="s">
        <v>428</v>
      </c>
      <c r="V64" s="315">
        <v>42527.0</v>
      </c>
      <c r="W64" s="62"/>
      <c r="X64" s="62"/>
      <c r="Y64" s="62"/>
      <c r="Z64" s="62"/>
    </row>
    <row r="65" ht="25.5" customHeight="1">
      <c r="A65" s="62"/>
      <c r="B65" s="62" t="s">
        <v>7301</v>
      </c>
      <c r="C65" s="62"/>
      <c r="D65" s="62" t="s">
        <v>7563</v>
      </c>
      <c r="E65" s="62" t="s">
        <v>7161</v>
      </c>
      <c r="F65" s="62" t="s">
        <v>7564</v>
      </c>
      <c r="G65" s="62"/>
      <c r="H65" s="62" t="s">
        <v>7566</v>
      </c>
      <c r="I65" s="62"/>
      <c r="J65" s="62">
        <v>0.7263888888888889</v>
      </c>
      <c r="K65" s="62"/>
      <c r="L65" s="72" t="str">
        <f>HYPERLINK("http://www.ted.com/talks/dan_ariely_asks_are_we_in_control_of_our_own_decisions","http://www.ted.com/talks/dan_ariely_asks_are_we_in_control_of_our_own_decisions")</f>
        <v>http://www.ted.com/talks/dan_ariely_asks_are_we_in_control_of_our_own_decisions</v>
      </c>
      <c r="M65" s="62" t="s">
        <v>462</v>
      </c>
      <c r="N65" s="62" t="s">
        <v>462</v>
      </c>
      <c r="O65" s="62"/>
      <c r="P65" s="72"/>
      <c r="Q65" s="62" t="s">
        <v>428</v>
      </c>
      <c r="R65" s="62" t="s">
        <v>7574</v>
      </c>
      <c r="S65" s="315">
        <v>42367.0</v>
      </c>
      <c r="T65" s="62"/>
      <c r="U65" s="72"/>
      <c r="V65" s="72"/>
      <c r="W65" s="62"/>
      <c r="X65" s="62"/>
      <c r="Y65" s="62"/>
      <c r="Z65" s="62"/>
    </row>
    <row r="66" ht="25.5" customHeight="1">
      <c r="A66" s="62"/>
      <c r="B66" s="62" t="s">
        <v>7301</v>
      </c>
      <c r="C66" s="62" t="s">
        <v>7575</v>
      </c>
      <c r="D66" s="62" t="s">
        <v>7576</v>
      </c>
      <c r="E66" s="62"/>
      <c r="F66" s="62" t="s">
        <v>6783</v>
      </c>
      <c r="G66" s="62"/>
      <c r="H66" s="62" t="s">
        <v>7577</v>
      </c>
      <c r="I66" s="62"/>
      <c r="J66" s="62">
        <v>0.1111111111111111</v>
      </c>
      <c r="K66" s="62"/>
      <c r="L66" s="72" t="str">
        <f>HYPERLINK("https://www.youtube.com/watch?v=9MImOh4hWUM","https://www.youtube.com/watch?v=9MImOh4hWUM")</f>
        <v>https://www.youtube.com/watch?v=9MImOh4hWUM</v>
      </c>
      <c r="M66" s="62" t="s">
        <v>769</v>
      </c>
      <c r="N66" s="62" t="s">
        <v>462</v>
      </c>
      <c r="O66" s="62"/>
      <c r="P66" s="72"/>
      <c r="Q66" s="62" t="s">
        <v>428</v>
      </c>
      <c r="R66" s="62" t="s">
        <v>7588</v>
      </c>
      <c r="S66" s="315">
        <v>42373.0</v>
      </c>
      <c r="T66" s="315">
        <v>42548.0</v>
      </c>
      <c r="U66" s="72"/>
      <c r="V66" s="72"/>
      <c r="W66" s="62"/>
      <c r="X66" s="62"/>
      <c r="Y66" s="62"/>
      <c r="Z66" s="62"/>
    </row>
    <row r="67" ht="25.5" customHeight="1">
      <c r="A67" s="62"/>
      <c r="B67" s="62" t="s">
        <v>7276</v>
      </c>
      <c r="C67" s="62"/>
      <c r="D67" s="62" t="s">
        <v>7143</v>
      </c>
      <c r="E67" s="62" t="s">
        <v>7081</v>
      </c>
      <c r="F67" s="62"/>
      <c r="G67" s="62"/>
      <c r="H67" s="62" t="s">
        <v>7593</v>
      </c>
      <c r="I67" s="316"/>
      <c r="J67" s="62" t="s">
        <v>7145</v>
      </c>
      <c r="K67" s="62" t="s">
        <v>7146</v>
      </c>
      <c r="L67" s="62" t="s">
        <v>7147</v>
      </c>
      <c r="M67" s="62" t="s">
        <v>462</v>
      </c>
      <c r="N67" s="62" t="s">
        <v>462</v>
      </c>
      <c r="O67" s="62"/>
      <c r="P67" s="62"/>
      <c r="Q67" s="62" t="s">
        <v>428</v>
      </c>
      <c r="R67" s="62" t="s">
        <v>7148</v>
      </c>
      <c r="S67" s="315">
        <v>42380.0</v>
      </c>
      <c r="T67" s="62"/>
      <c r="U67" s="62"/>
      <c r="V67" s="62"/>
      <c r="W67" s="62"/>
      <c r="X67" s="62"/>
      <c r="Y67" s="62"/>
      <c r="Z67" s="62"/>
    </row>
    <row r="68" ht="25.5" customHeight="1">
      <c r="A68" s="62"/>
      <c r="B68" s="62" t="s">
        <v>6468</v>
      </c>
      <c r="C68" s="62" t="s">
        <v>7079</v>
      </c>
      <c r="D68" s="62" t="s">
        <v>7594</v>
      </c>
      <c r="E68" s="62" t="s">
        <v>7595</v>
      </c>
      <c r="F68" s="62"/>
      <c r="G68" s="62"/>
      <c r="H68" s="62" t="s">
        <v>7596</v>
      </c>
      <c r="I68" s="62"/>
      <c r="J68" s="62" t="s">
        <v>7197</v>
      </c>
      <c r="K68" s="62"/>
      <c r="L68" s="72" t="str">
        <f>HYPERLINK("https://www.youtube.com/watch?v=2_wkv1Gx2vM","https://www.youtube.com/watch?v=2_wkv1Gx2vM")</f>
        <v>https://www.youtube.com/watch?v=2_wkv1Gx2vM</v>
      </c>
      <c r="M68" s="62" t="s">
        <v>462</v>
      </c>
      <c r="N68" s="62" t="s">
        <v>462</v>
      </c>
      <c r="O68" s="62"/>
      <c r="P68" s="72"/>
      <c r="Q68" s="62" t="s">
        <v>428</v>
      </c>
      <c r="R68" s="62" t="s">
        <v>7605</v>
      </c>
      <c r="S68" s="315">
        <v>42383.0</v>
      </c>
      <c r="T68" s="62"/>
      <c r="U68" s="72"/>
      <c r="V68" s="72"/>
      <c r="W68" s="62"/>
      <c r="X68" s="62"/>
      <c r="Y68" s="62"/>
      <c r="Z68" s="62"/>
    </row>
    <row r="69" ht="25.5" customHeight="1">
      <c r="A69" s="62"/>
      <c r="B69" s="62" t="s">
        <v>6468</v>
      </c>
      <c r="C69" s="62"/>
      <c r="D69" s="62" t="s">
        <v>7607</v>
      </c>
      <c r="E69" s="62" t="s">
        <v>7608</v>
      </c>
      <c r="F69" s="62"/>
      <c r="G69" s="62"/>
      <c r="H69" s="62" t="s">
        <v>7609</v>
      </c>
      <c r="I69" s="62"/>
      <c r="J69" s="62" t="s">
        <v>7610</v>
      </c>
      <c r="K69" s="62"/>
      <c r="L69" s="62" t="s">
        <v>7611</v>
      </c>
      <c r="M69" s="62" t="s">
        <v>926</v>
      </c>
      <c r="N69" s="62" t="s">
        <v>462</v>
      </c>
      <c r="O69" s="62">
        <v>1.0</v>
      </c>
      <c r="P69" s="62"/>
      <c r="Q69" s="62" t="s">
        <v>428</v>
      </c>
      <c r="R69" s="62" t="s">
        <v>7612</v>
      </c>
      <c r="S69" s="315">
        <v>42387.0</v>
      </c>
      <c r="T69" s="315">
        <v>42585.0</v>
      </c>
      <c r="U69" s="62" t="s">
        <v>428</v>
      </c>
      <c r="V69" s="315">
        <v>42481.0</v>
      </c>
      <c r="W69" s="62"/>
      <c r="X69" s="62"/>
      <c r="Y69" s="62"/>
      <c r="Z69" s="62"/>
    </row>
    <row r="70" ht="25.5" customHeight="1">
      <c r="A70" s="62"/>
      <c r="B70" s="62" t="s">
        <v>6468</v>
      </c>
      <c r="C70" s="62" t="s">
        <v>7613</v>
      </c>
      <c r="D70" s="62" t="s">
        <v>7614</v>
      </c>
      <c r="E70" s="62" t="s">
        <v>7615</v>
      </c>
      <c r="F70" s="62" t="s">
        <v>7616</v>
      </c>
      <c r="G70" s="62"/>
      <c r="H70" s="62" t="s">
        <v>7617</v>
      </c>
      <c r="I70" s="316"/>
      <c r="J70" s="62">
        <v>0.34097222222222223</v>
      </c>
      <c r="K70" s="62"/>
      <c r="L70" s="62" t="s">
        <v>7618</v>
      </c>
      <c r="M70" s="62" t="s">
        <v>462</v>
      </c>
      <c r="N70" s="62" t="s">
        <v>462</v>
      </c>
      <c r="O70" s="62"/>
      <c r="P70" s="62"/>
      <c r="Q70" s="62" t="s">
        <v>428</v>
      </c>
      <c r="R70" s="62" t="s">
        <v>7620</v>
      </c>
      <c r="S70" s="315">
        <v>42394.0</v>
      </c>
      <c r="T70" s="315">
        <v>42521.0</v>
      </c>
      <c r="U70" s="62" t="s">
        <v>428</v>
      </c>
      <c r="V70" s="315">
        <v>42380.0</v>
      </c>
      <c r="W70" s="62"/>
      <c r="X70" s="62"/>
      <c r="Y70" s="62"/>
      <c r="Z70" s="62"/>
    </row>
    <row r="71" ht="25.5" customHeight="1">
      <c r="A71" s="62"/>
      <c r="B71" s="62" t="s">
        <v>7339</v>
      </c>
      <c r="C71" s="62"/>
      <c r="D71" s="62" t="s">
        <v>7621</v>
      </c>
      <c r="E71" s="62" t="s">
        <v>7414</v>
      </c>
      <c r="F71" s="62"/>
      <c r="G71" s="62"/>
      <c r="H71" s="62" t="s">
        <v>7622</v>
      </c>
      <c r="I71" s="62"/>
      <c r="J71" s="62" t="s">
        <v>7424</v>
      </c>
      <c r="K71" s="62" t="s">
        <v>7623</v>
      </c>
      <c r="L71" s="72" t="str">
        <f>HYPERLINK("https://www.youtube.com/watch?v=WAL7Pz1i1jU","https://www.youtube.com/watch?v=WAL7Pz1i1jU")</f>
        <v>https://www.youtube.com/watch?v=WAL7Pz1i1jU</v>
      </c>
      <c r="M71" s="62" t="s">
        <v>462</v>
      </c>
      <c r="N71" s="62" t="s">
        <v>462</v>
      </c>
      <c r="O71" s="62"/>
      <c r="P71" s="72"/>
      <c r="Q71" s="62" t="s">
        <v>428</v>
      </c>
      <c r="R71" s="62" t="s">
        <v>7634</v>
      </c>
      <c r="S71" s="315">
        <v>42396.0</v>
      </c>
      <c r="T71" s="315">
        <v>42586.0</v>
      </c>
      <c r="U71" s="72"/>
      <c r="V71" s="72"/>
      <c r="W71" s="62"/>
      <c r="X71" s="62"/>
      <c r="Y71" s="62"/>
      <c r="Z71" s="62"/>
    </row>
    <row r="72" ht="25.5" customHeight="1">
      <c r="A72" s="62"/>
      <c r="B72" s="62" t="s">
        <v>7339</v>
      </c>
      <c r="C72" s="62"/>
      <c r="D72" s="62" t="s">
        <v>7639</v>
      </c>
      <c r="E72" s="62" t="s">
        <v>7016</v>
      </c>
      <c r="F72" s="62" t="s">
        <v>7016</v>
      </c>
      <c r="G72" s="62"/>
      <c r="H72" s="62" t="s">
        <v>7642</v>
      </c>
      <c r="I72" s="62"/>
      <c r="J72" s="62" t="s">
        <v>7341</v>
      </c>
      <c r="K72" s="62"/>
      <c r="L72" s="62" t="s">
        <v>7643</v>
      </c>
      <c r="M72" s="62" t="s">
        <v>462</v>
      </c>
      <c r="N72" s="62" t="s">
        <v>462</v>
      </c>
      <c r="O72" s="62"/>
      <c r="P72" s="62"/>
      <c r="Q72" s="62" t="s">
        <v>428</v>
      </c>
      <c r="R72" s="62" t="s">
        <v>7644</v>
      </c>
      <c r="S72" s="315">
        <v>42397.0</v>
      </c>
      <c r="T72" s="315">
        <v>42515.0</v>
      </c>
      <c r="U72" s="62" t="s">
        <v>428</v>
      </c>
      <c r="V72" s="315">
        <v>42382.0</v>
      </c>
      <c r="W72" s="62"/>
      <c r="X72" s="62"/>
      <c r="Y72" s="62"/>
      <c r="Z72" s="62"/>
    </row>
    <row r="73" ht="25.5" customHeight="1">
      <c r="A73" s="62"/>
      <c r="B73" s="62" t="s">
        <v>7645</v>
      </c>
      <c r="C73" s="62" t="s">
        <v>7646</v>
      </c>
      <c r="D73" s="62" t="s">
        <v>7647</v>
      </c>
      <c r="E73" s="62"/>
      <c r="F73" s="62"/>
      <c r="G73" s="62"/>
      <c r="H73" s="62" t="s">
        <v>7648</v>
      </c>
      <c r="I73" s="62"/>
      <c r="J73" s="62">
        <v>0.21944444444444444</v>
      </c>
      <c r="K73" s="62"/>
      <c r="L73" s="72" t="str">
        <f>HYPERLINK("https://www.youtube.com/watch?v=3Ux3pm6UfCo","https://www.youtube.com/watch?v=3Ux3pm6UfCo")</f>
        <v>https://www.youtube.com/watch?v=3Ux3pm6UfCo</v>
      </c>
      <c r="M73" s="62" t="s">
        <v>462</v>
      </c>
      <c r="N73" s="62" t="s">
        <v>462</v>
      </c>
      <c r="O73" s="62"/>
      <c r="P73" s="72"/>
      <c r="Q73" s="62" t="s">
        <v>428</v>
      </c>
      <c r="R73" s="62" t="s">
        <v>7658</v>
      </c>
      <c r="S73" s="315">
        <v>42474.0</v>
      </c>
      <c r="T73" s="62"/>
      <c r="U73" s="62" t="s">
        <v>428</v>
      </c>
      <c r="V73" s="315">
        <v>42447.0</v>
      </c>
      <c r="W73" s="62"/>
      <c r="X73" s="62"/>
      <c r="Y73" s="62"/>
      <c r="Z73" s="62"/>
    </row>
    <row r="74" ht="25.5" customHeight="1">
      <c r="A74" s="62"/>
      <c r="B74" s="62"/>
      <c r="C74" s="62"/>
      <c r="D74" s="62" t="s">
        <v>7661</v>
      </c>
      <c r="E74" s="62" t="s">
        <v>7662</v>
      </c>
      <c r="F74" s="62"/>
      <c r="G74" s="62">
        <v>2010.0</v>
      </c>
      <c r="H74" s="62" t="s">
        <v>7663</v>
      </c>
      <c r="I74" s="62" t="s">
        <v>7082</v>
      </c>
      <c r="J74" s="62"/>
      <c r="K74" s="62" t="s">
        <v>7664</v>
      </c>
      <c r="L74" s="62" t="s">
        <v>7665</v>
      </c>
      <c r="M74" s="62" t="s">
        <v>462</v>
      </c>
      <c r="N74" s="62" t="s">
        <v>462</v>
      </c>
      <c r="O74" s="62"/>
      <c r="P74" s="62"/>
      <c r="Q74" s="62"/>
      <c r="R74" s="62"/>
      <c r="S74" s="62"/>
      <c r="T74" s="62"/>
      <c r="U74" s="62" t="s">
        <v>428</v>
      </c>
      <c r="V74" s="315">
        <v>42478.0</v>
      </c>
      <c r="W74" s="62"/>
      <c r="X74" s="62"/>
      <c r="Y74" s="62"/>
      <c r="Z74" s="62"/>
    </row>
    <row r="75" ht="25.5" customHeight="1">
      <c r="A75" s="62"/>
      <c r="B75" s="62" t="s">
        <v>6456</v>
      </c>
      <c r="C75" s="62"/>
      <c r="D75" s="62" t="s">
        <v>7666</v>
      </c>
      <c r="E75" s="62" t="s">
        <v>7667</v>
      </c>
      <c r="F75" s="62"/>
      <c r="G75" s="62"/>
      <c r="H75" s="62" t="s">
        <v>7668</v>
      </c>
      <c r="I75" s="62"/>
      <c r="J75" s="62" t="s">
        <v>7424</v>
      </c>
      <c r="K75" s="62"/>
      <c r="L75" s="62" t="s">
        <v>7670</v>
      </c>
      <c r="M75" s="62" t="s">
        <v>462</v>
      </c>
      <c r="N75" s="62" t="s">
        <v>462</v>
      </c>
      <c r="O75" s="62"/>
      <c r="P75" s="62"/>
      <c r="Q75" s="62"/>
      <c r="R75" s="62"/>
      <c r="S75" s="62"/>
      <c r="T75" s="62"/>
      <c r="U75" s="62"/>
      <c r="V75" s="62"/>
      <c r="W75" s="62"/>
      <c r="X75" s="62"/>
      <c r="Y75" s="62"/>
      <c r="Z75" s="62"/>
    </row>
    <row r="76" ht="25.5" customHeight="1">
      <c r="A76" s="62"/>
      <c r="B76" s="62" t="s">
        <v>6456</v>
      </c>
      <c r="C76" s="62"/>
      <c r="D76" s="62" t="s">
        <v>7672</v>
      </c>
      <c r="E76" s="62"/>
      <c r="F76" s="62"/>
      <c r="G76" s="62"/>
      <c r="H76" s="62" t="s">
        <v>7674</v>
      </c>
      <c r="I76" s="316"/>
      <c r="J76" s="62" t="s">
        <v>7424</v>
      </c>
      <c r="K76" s="62"/>
      <c r="L76" s="62" t="s">
        <v>7677</v>
      </c>
      <c r="M76" s="62" t="s">
        <v>462</v>
      </c>
      <c r="N76" s="62" t="s">
        <v>462</v>
      </c>
      <c r="O76" s="62"/>
      <c r="P76" s="62"/>
      <c r="Q76" s="62"/>
      <c r="R76" s="62"/>
      <c r="S76" s="62"/>
      <c r="T76" s="62"/>
      <c r="U76" s="62"/>
      <c r="V76" s="62"/>
      <c r="W76" s="62"/>
      <c r="X76" s="62"/>
      <c r="Y76" s="62"/>
      <c r="Z76" s="62"/>
    </row>
    <row r="77" ht="25.5" customHeight="1">
      <c r="A77" s="62"/>
      <c r="B77" s="62" t="s">
        <v>6456</v>
      </c>
      <c r="C77" s="62" t="s">
        <v>7679</v>
      </c>
      <c r="D77" s="62" t="s">
        <v>7680</v>
      </c>
      <c r="E77" s="62" t="s">
        <v>1654</v>
      </c>
      <c r="F77" s="62"/>
      <c r="G77" s="62">
        <v>2014.0</v>
      </c>
      <c r="H77" s="62"/>
      <c r="I77" s="62" t="s">
        <v>7682</v>
      </c>
      <c r="J77" s="62"/>
      <c r="K77" s="62" t="s">
        <v>7683</v>
      </c>
      <c r="L77" s="62" t="s">
        <v>7685</v>
      </c>
      <c r="M77" s="62" t="s">
        <v>462</v>
      </c>
      <c r="N77" s="62" t="s">
        <v>462</v>
      </c>
      <c r="O77" s="62"/>
      <c r="P77" s="62"/>
      <c r="Q77" s="62" t="s">
        <v>428</v>
      </c>
      <c r="R77" s="62"/>
      <c r="S77" s="62"/>
      <c r="T77" s="62"/>
      <c r="U77" s="62" t="s">
        <v>428</v>
      </c>
      <c r="V77" s="62"/>
      <c r="W77" s="62"/>
      <c r="X77" s="62"/>
      <c r="Y77" s="62"/>
      <c r="Z77" s="62"/>
    </row>
    <row r="78" ht="25.5" customHeight="1">
      <c r="A78" s="62"/>
      <c r="B78" s="62" t="s">
        <v>6456</v>
      </c>
      <c r="C78" s="62"/>
      <c r="D78" s="62" t="s">
        <v>7688</v>
      </c>
      <c r="E78" s="62" t="s">
        <v>7161</v>
      </c>
      <c r="F78" s="62"/>
      <c r="G78" s="62"/>
      <c r="H78" s="62" t="s">
        <v>7689</v>
      </c>
      <c r="I78" s="316"/>
      <c r="J78" s="62" t="s">
        <v>7424</v>
      </c>
      <c r="K78" s="62"/>
      <c r="L78" s="62" t="s">
        <v>7690</v>
      </c>
      <c r="M78" s="62" t="s">
        <v>428</v>
      </c>
      <c r="N78" s="62" t="s">
        <v>462</v>
      </c>
      <c r="O78" s="62"/>
      <c r="P78" s="62"/>
      <c r="Q78" s="62"/>
      <c r="R78" s="62"/>
      <c r="S78" s="62"/>
      <c r="T78" s="62"/>
      <c r="U78" s="62"/>
      <c r="V78" s="62"/>
      <c r="W78" s="62"/>
      <c r="X78" s="62"/>
      <c r="Y78" s="62"/>
      <c r="Z78" s="62"/>
    </row>
    <row r="79" ht="25.5" customHeight="1">
      <c r="A79" s="62"/>
      <c r="B79" s="62" t="s">
        <v>6456</v>
      </c>
      <c r="C79" s="62"/>
      <c r="D79" s="62" t="s">
        <v>7695</v>
      </c>
      <c r="E79" s="62" t="s">
        <v>1654</v>
      </c>
      <c r="F79" s="62"/>
      <c r="G79" s="315">
        <v>41962.0</v>
      </c>
      <c r="H79" s="62"/>
      <c r="I79" s="316"/>
      <c r="J79" s="62">
        <v>0.7333333333333334</v>
      </c>
      <c r="K79" s="62"/>
      <c r="L79" s="62" t="s">
        <v>7685</v>
      </c>
      <c r="M79" s="62" t="s">
        <v>462</v>
      </c>
      <c r="N79" s="62" t="s">
        <v>462</v>
      </c>
      <c r="O79" s="62"/>
      <c r="P79" s="62"/>
      <c r="Q79" s="62"/>
      <c r="R79" s="62"/>
      <c r="S79" s="62"/>
      <c r="T79" s="62"/>
      <c r="U79" s="62"/>
      <c r="V79" s="62"/>
      <c r="W79" s="62"/>
      <c r="X79" s="62"/>
      <c r="Y79" s="62"/>
      <c r="Z79" s="62"/>
    </row>
    <row r="80" ht="25.5" customHeight="1">
      <c r="A80" s="62"/>
      <c r="B80" s="62" t="s">
        <v>6456</v>
      </c>
      <c r="C80" s="62"/>
      <c r="D80" s="62" t="s">
        <v>7698</v>
      </c>
      <c r="E80" s="62" t="s">
        <v>7089</v>
      </c>
      <c r="F80" s="62"/>
      <c r="G80" s="315"/>
      <c r="H80" s="62"/>
      <c r="I80" s="316"/>
      <c r="J80" s="318" t="s">
        <v>7557</v>
      </c>
      <c r="K80" s="62"/>
      <c r="L80" s="62" t="s">
        <v>7702</v>
      </c>
      <c r="M80" s="62" t="s">
        <v>462</v>
      </c>
      <c r="N80" s="62" t="s">
        <v>462</v>
      </c>
      <c r="O80" s="62"/>
      <c r="P80" s="62"/>
      <c r="Q80" s="62"/>
      <c r="R80" s="62"/>
      <c r="S80" s="62"/>
      <c r="T80" s="62"/>
      <c r="U80" s="62"/>
      <c r="V80" s="62"/>
      <c r="W80" s="62"/>
      <c r="X80" s="62"/>
      <c r="Y80" s="62"/>
      <c r="Z80" s="62"/>
    </row>
    <row r="81" ht="25.5" customHeight="1">
      <c r="A81" s="62"/>
      <c r="B81" s="62" t="s">
        <v>429</v>
      </c>
      <c r="C81" s="62" t="s">
        <v>7704</v>
      </c>
      <c r="D81" s="62" t="s">
        <v>7705</v>
      </c>
      <c r="E81" s="62" t="s">
        <v>7706</v>
      </c>
      <c r="F81" s="316" t="s">
        <v>7451</v>
      </c>
      <c r="G81" s="62">
        <v>2013.0</v>
      </c>
      <c r="H81" s="62" t="s">
        <v>7708</v>
      </c>
      <c r="I81" s="316" t="s">
        <v>7451</v>
      </c>
      <c r="J81" s="62"/>
      <c r="K81" s="62" t="s">
        <v>287</v>
      </c>
      <c r="L81" s="62" t="s">
        <v>7711</v>
      </c>
      <c r="M81" s="62" t="s">
        <v>462</v>
      </c>
      <c r="N81" s="62" t="s">
        <v>462</v>
      </c>
      <c r="O81" s="62"/>
      <c r="P81" s="62"/>
      <c r="Q81" s="62"/>
      <c r="R81" s="62"/>
      <c r="S81" s="62"/>
      <c r="T81" s="62"/>
      <c r="U81" s="62"/>
      <c r="V81" s="62"/>
      <c r="W81" s="62"/>
      <c r="X81" s="62"/>
      <c r="Y81" s="62"/>
      <c r="Z81" s="62"/>
    </row>
    <row r="82" ht="25.5" customHeight="1">
      <c r="A82" s="62"/>
      <c r="B82" s="62" t="s">
        <v>7054</v>
      </c>
      <c r="C82" s="62"/>
      <c r="D82" s="62" t="s">
        <v>7714</v>
      </c>
      <c r="E82" s="62" t="s">
        <v>7715</v>
      </c>
      <c r="F82" s="62" t="s">
        <v>592</v>
      </c>
      <c r="G82" s="315">
        <v>42016.0</v>
      </c>
      <c r="H82" s="62" t="s">
        <v>7717</v>
      </c>
      <c r="I82" s="62"/>
      <c r="J82" s="62">
        <v>0.06805555555555555</v>
      </c>
      <c r="K82" s="62"/>
      <c r="L82" s="62" t="s">
        <v>7720</v>
      </c>
      <c r="M82" s="62" t="s">
        <v>428</v>
      </c>
      <c r="N82" s="62" t="s">
        <v>462</v>
      </c>
      <c r="O82" s="62"/>
      <c r="P82" s="62"/>
      <c r="Q82" s="62"/>
      <c r="R82" s="62"/>
      <c r="S82" s="62"/>
      <c r="T82" s="62"/>
      <c r="U82" s="62"/>
      <c r="V82" s="62"/>
      <c r="W82" s="62"/>
      <c r="X82" s="62"/>
      <c r="Y82" s="62"/>
      <c r="Z82" s="62"/>
    </row>
    <row r="83" ht="25.5" customHeight="1">
      <c r="A83" s="62"/>
      <c r="B83" s="62" t="s">
        <v>7250</v>
      </c>
      <c r="C83" s="62"/>
      <c r="D83" s="62" t="s">
        <v>7724</v>
      </c>
      <c r="E83" s="62" t="s">
        <v>7460</v>
      </c>
      <c r="F83" s="62" t="s">
        <v>3820</v>
      </c>
      <c r="G83" s="315">
        <v>42076.0</v>
      </c>
      <c r="H83" s="62" t="s">
        <v>7727</v>
      </c>
      <c r="I83" s="316"/>
      <c r="J83" s="62" t="s">
        <v>7259</v>
      </c>
      <c r="K83" s="62"/>
      <c r="L83" s="72" t="s">
        <v>7729</v>
      </c>
      <c r="M83" s="62" t="s">
        <v>428</v>
      </c>
      <c r="N83" s="62" t="s">
        <v>462</v>
      </c>
      <c r="O83" s="62"/>
      <c r="P83" s="62"/>
      <c r="Q83" s="62"/>
      <c r="R83" s="62"/>
      <c r="S83" s="62"/>
      <c r="T83" s="62"/>
      <c r="U83" s="62"/>
      <c r="V83" s="62"/>
      <c r="W83" s="62"/>
      <c r="X83" s="62"/>
      <c r="Y83" s="62"/>
      <c r="Z83" s="62"/>
    </row>
    <row r="84" ht="25.5" customHeight="1">
      <c r="A84" s="62"/>
      <c r="B84" s="62" t="s">
        <v>7730</v>
      </c>
      <c r="C84" s="62"/>
      <c r="D84" s="62" t="s">
        <v>7732</v>
      </c>
      <c r="E84" s="62" t="s">
        <v>2414</v>
      </c>
      <c r="F84" s="62"/>
      <c r="G84" s="62"/>
      <c r="H84" s="62"/>
      <c r="I84" s="62"/>
      <c r="J84" s="62">
        <v>0.9548611111111112</v>
      </c>
      <c r="K84" s="62"/>
      <c r="L84" s="62" t="s">
        <v>7733</v>
      </c>
      <c r="M84" s="62" t="s">
        <v>462</v>
      </c>
      <c r="N84" s="62" t="s">
        <v>462</v>
      </c>
      <c r="O84" s="62"/>
      <c r="P84" s="62"/>
      <c r="Q84" s="62"/>
      <c r="R84" s="62"/>
      <c r="S84" s="62"/>
      <c r="T84" s="62"/>
      <c r="U84" s="62"/>
      <c r="V84" s="62"/>
      <c r="W84" s="62"/>
      <c r="X84" s="62"/>
      <c r="Y84" s="62"/>
      <c r="Z84" s="62"/>
    </row>
    <row r="85" ht="25.5" customHeight="1">
      <c r="A85" s="62"/>
      <c r="B85" s="62" t="s">
        <v>7734</v>
      </c>
      <c r="C85" s="62"/>
      <c r="D85" s="62"/>
      <c r="E85" s="62" t="s">
        <v>2414</v>
      </c>
      <c r="F85" s="62" t="s">
        <v>7736</v>
      </c>
      <c r="G85" s="62"/>
      <c r="H85" s="62" t="s">
        <v>7739</v>
      </c>
      <c r="I85" s="62"/>
      <c r="J85" s="62">
        <v>11.0</v>
      </c>
      <c r="K85" s="62"/>
      <c r="L85" s="62"/>
      <c r="M85" s="62" t="s">
        <v>7740</v>
      </c>
      <c r="N85" s="62" t="s">
        <v>7740</v>
      </c>
      <c r="O85" s="62"/>
      <c r="P85" s="62"/>
      <c r="Q85" s="62"/>
      <c r="R85" s="62"/>
      <c r="S85" s="62"/>
      <c r="T85" s="62"/>
      <c r="U85" s="62"/>
      <c r="V85" s="62"/>
      <c r="W85" s="62"/>
      <c r="X85" s="62"/>
      <c r="Y85" s="62"/>
      <c r="Z85" s="62"/>
    </row>
    <row r="86" ht="25.5" customHeight="1">
      <c r="A86" s="62"/>
      <c r="B86" s="62" t="s">
        <v>7276</v>
      </c>
      <c r="C86" s="62"/>
      <c r="D86" s="62" t="s">
        <v>7744</v>
      </c>
      <c r="E86" s="62"/>
      <c r="F86" s="62" t="s">
        <v>7746</v>
      </c>
      <c r="G86" s="62">
        <v>2013.0</v>
      </c>
      <c r="H86" s="62" t="s">
        <v>7747</v>
      </c>
      <c r="I86" s="62" t="s">
        <v>7746</v>
      </c>
      <c r="J86" s="62"/>
      <c r="K86" s="62" t="s">
        <v>287</v>
      </c>
      <c r="L86" s="62" t="s">
        <v>7749</v>
      </c>
      <c r="M86" s="62" t="s">
        <v>462</v>
      </c>
      <c r="N86" s="62" t="s">
        <v>462</v>
      </c>
      <c r="O86" s="62"/>
      <c r="P86" s="62"/>
      <c r="Q86" s="62"/>
      <c r="R86" s="62"/>
      <c r="S86" s="62"/>
      <c r="T86" s="62"/>
      <c r="U86" s="62"/>
      <c r="V86" s="62"/>
      <c r="W86" s="62"/>
      <c r="X86" s="62"/>
      <c r="Y86" s="62"/>
      <c r="Z86" s="62"/>
    </row>
    <row r="87" ht="25.5" customHeight="1">
      <c r="A87" s="62"/>
      <c r="B87" s="62" t="s">
        <v>7276</v>
      </c>
      <c r="C87" s="62"/>
      <c r="D87" s="62" t="s">
        <v>7751</v>
      </c>
      <c r="E87" s="62"/>
      <c r="F87" s="62" t="s">
        <v>7752</v>
      </c>
      <c r="G87" s="62">
        <v>2014.0</v>
      </c>
      <c r="H87" s="62" t="s">
        <v>7753</v>
      </c>
      <c r="I87" s="316" t="s">
        <v>7752</v>
      </c>
      <c r="J87" s="62"/>
      <c r="K87" s="62" t="s">
        <v>287</v>
      </c>
      <c r="L87" s="62" t="s">
        <v>7754</v>
      </c>
      <c r="M87" s="62" t="s">
        <v>462</v>
      </c>
      <c r="N87" s="62" t="s">
        <v>462</v>
      </c>
      <c r="O87" s="62"/>
      <c r="P87" s="62"/>
      <c r="Q87" s="62"/>
      <c r="R87" s="62"/>
      <c r="S87" s="62"/>
      <c r="T87" s="62"/>
      <c r="U87" s="62"/>
      <c r="V87" s="62"/>
      <c r="W87" s="62"/>
      <c r="X87" s="62"/>
      <c r="Y87" s="62"/>
      <c r="Z87" s="62"/>
    </row>
    <row r="88" ht="25.5" customHeight="1">
      <c r="A88" s="62"/>
      <c r="B88" s="62" t="s">
        <v>7276</v>
      </c>
      <c r="C88" s="62"/>
      <c r="D88" s="62" t="s">
        <v>7755</v>
      </c>
      <c r="E88" s="62"/>
      <c r="F88" s="62" t="s">
        <v>7756</v>
      </c>
      <c r="G88" s="62">
        <v>2014.0</v>
      </c>
      <c r="H88" s="62" t="s">
        <v>7757</v>
      </c>
      <c r="I88" s="316" t="s">
        <v>7756</v>
      </c>
      <c r="J88" s="62"/>
      <c r="K88" s="62" t="s">
        <v>287</v>
      </c>
      <c r="L88" s="62" t="s">
        <v>7758</v>
      </c>
      <c r="M88" s="62" t="s">
        <v>462</v>
      </c>
      <c r="N88" s="62" t="s">
        <v>462</v>
      </c>
      <c r="O88" s="62"/>
      <c r="P88" s="62"/>
      <c r="Q88" s="62"/>
      <c r="R88" s="62"/>
      <c r="S88" s="62"/>
      <c r="T88" s="62"/>
      <c r="U88" s="62"/>
      <c r="V88" s="62"/>
      <c r="W88" s="62"/>
      <c r="X88" s="62"/>
      <c r="Y88" s="62"/>
      <c r="Z88" s="62"/>
    </row>
    <row r="89" ht="25.5" customHeight="1">
      <c r="A89" s="62"/>
      <c r="B89" s="62" t="s">
        <v>7645</v>
      </c>
      <c r="C89" s="62"/>
      <c r="D89" s="62" t="s">
        <v>7759</v>
      </c>
      <c r="E89" s="62"/>
      <c r="F89" s="62" t="s">
        <v>7760</v>
      </c>
      <c r="G89" s="62"/>
      <c r="H89" s="62"/>
      <c r="I89" s="62"/>
      <c r="J89" s="62"/>
      <c r="K89" s="62"/>
      <c r="L89" s="62" t="s">
        <v>7762</v>
      </c>
      <c r="M89" s="62" t="s">
        <v>462</v>
      </c>
      <c r="N89" s="62" t="s">
        <v>462</v>
      </c>
      <c r="O89" s="62"/>
      <c r="P89" s="62"/>
      <c r="Q89" s="62"/>
      <c r="R89" s="62"/>
      <c r="S89" s="62"/>
      <c r="T89" s="62"/>
      <c r="U89" s="62"/>
      <c r="V89" s="62"/>
      <c r="W89" s="62"/>
      <c r="X89" s="62"/>
      <c r="Y89" s="62"/>
      <c r="Z89" s="62"/>
    </row>
    <row r="90" ht="25.5" customHeight="1">
      <c r="A90" s="62"/>
      <c r="B90" s="62" t="s">
        <v>7645</v>
      </c>
      <c r="C90" s="62"/>
      <c r="D90" s="62" t="s">
        <v>7764</v>
      </c>
      <c r="E90" s="62"/>
      <c r="F90" s="62"/>
      <c r="G90" s="62"/>
      <c r="H90" s="62" t="s">
        <v>7766</v>
      </c>
      <c r="I90" s="62"/>
      <c r="J90" s="62">
        <v>0.05486111111111111</v>
      </c>
      <c r="K90" s="62"/>
      <c r="L90" s="72" t="str">
        <f>HYPERLINK("https://www.youtube.com/watch?v=8JsYp1Lp92w","https://www.youtube.com/watch?v=8JsYp1Lp92w")</f>
        <v>https://www.youtube.com/watch?v=8JsYp1Lp92w</v>
      </c>
      <c r="M90" s="62" t="s">
        <v>462</v>
      </c>
      <c r="N90" s="62" t="s">
        <v>462</v>
      </c>
      <c r="O90" s="62"/>
      <c r="P90" s="72"/>
      <c r="Q90" s="72"/>
      <c r="R90" s="72"/>
      <c r="S90" s="72"/>
      <c r="T90" s="62"/>
      <c r="U90" s="72"/>
      <c r="V90" s="72"/>
      <c r="W90" s="62"/>
      <c r="X90" s="62"/>
      <c r="Y90" s="62"/>
      <c r="Z90" s="62"/>
    </row>
    <row r="91" ht="25.5" customHeight="1">
      <c r="A91" s="62"/>
      <c r="B91" s="62" t="s">
        <v>7138</v>
      </c>
      <c r="C91" s="62"/>
      <c r="D91" s="62" t="s">
        <v>7774</v>
      </c>
      <c r="E91" s="62" t="s">
        <v>7775</v>
      </c>
      <c r="F91" s="316" t="s">
        <v>7776</v>
      </c>
      <c r="G91" s="315">
        <v>42062.0</v>
      </c>
      <c r="H91" s="62"/>
      <c r="I91" s="316" t="s">
        <v>7776</v>
      </c>
      <c r="J91" s="62"/>
      <c r="K91" s="62"/>
      <c r="L91" s="62" t="s">
        <v>7777</v>
      </c>
      <c r="M91" s="62" t="s">
        <v>462</v>
      </c>
      <c r="N91" s="62" t="s">
        <v>462</v>
      </c>
      <c r="O91" s="62"/>
      <c r="P91" s="62"/>
      <c r="Q91" s="62"/>
      <c r="R91" s="62"/>
      <c r="S91" s="62"/>
      <c r="T91" s="62"/>
      <c r="U91" s="62"/>
      <c r="V91" s="62"/>
      <c r="W91" s="62"/>
      <c r="X91" s="62"/>
      <c r="Y91" s="62"/>
      <c r="Z91" s="62"/>
    </row>
    <row r="92" ht="25.5" customHeight="1">
      <c r="A92" s="62"/>
      <c r="B92" s="62" t="s">
        <v>7149</v>
      </c>
      <c r="C92" s="62"/>
      <c r="D92" s="62" t="s">
        <v>7778</v>
      </c>
      <c r="E92" s="62" t="s">
        <v>7779</v>
      </c>
      <c r="F92" s="316" t="s">
        <v>7451</v>
      </c>
      <c r="G92" s="62">
        <v>2012.0</v>
      </c>
      <c r="H92" s="62" t="s">
        <v>7780</v>
      </c>
      <c r="I92" s="62"/>
      <c r="J92" s="62"/>
      <c r="K92" s="62" t="s">
        <v>287</v>
      </c>
      <c r="L92" s="62" t="s">
        <v>7781</v>
      </c>
      <c r="M92" s="62" t="s">
        <v>462</v>
      </c>
      <c r="N92" s="62" t="s">
        <v>462</v>
      </c>
      <c r="O92" s="62"/>
      <c r="P92" s="62"/>
      <c r="Q92" s="62"/>
      <c r="R92" s="62"/>
      <c r="S92" s="62"/>
      <c r="T92" s="62"/>
      <c r="U92" s="62"/>
      <c r="V92" s="62"/>
      <c r="W92" s="62"/>
      <c r="X92" s="62"/>
      <c r="Y92" s="62"/>
      <c r="Z92" s="62"/>
    </row>
    <row r="93" ht="25.5" customHeight="1">
      <c r="A93" s="62"/>
      <c r="B93" s="62" t="s">
        <v>7149</v>
      </c>
      <c r="C93" s="62"/>
      <c r="D93" s="62"/>
      <c r="E93" s="62" t="s">
        <v>7101</v>
      </c>
      <c r="F93" s="62"/>
      <c r="G93" s="62"/>
      <c r="H93" s="62" t="s">
        <v>7784</v>
      </c>
      <c r="I93" s="62"/>
      <c r="J93" s="62" t="s">
        <v>7103</v>
      </c>
      <c r="K93" s="62"/>
      <c r="L93" s="62" t="s">
        <v>7377</v>
      </c>
      <c r="M93" s="62" t="s">
        <v>462</v>
      </c>
      <c r="N93" s="62" t="s">
        <v>462</v>
      </c>
      <c r="O93" s="62"/>
      <c r="P93" s="62"/>
      <c r="Q93" s="62"/>
      <c r="R93" s="62"/>
      <c r="S93" s="62"/>
      <c r="T93" s="62"/>
      <c r="U93" s="62"/>
      <c r="V93" s="62"/>
      <c r="W93" s="62"/>
      <c r="X93" s="62"/>
      <c r="Y93" s="62"/>
      <c r="Z93" s="62"/>
    </row>
    <row r="94" ht="25.5" customHeight="1">
      <c r="A94" s="62"/>
      <c r="B94" s="62" t="s">
        <v>7041</v>
      </c>
      <c r="C94" s="62"/>
      <c r="D94" s="62" t="s">
        <v>7789</v>
      </c>
      <c r="E94" s="62" t="s">
        <v>7414</v>
      </c>
      <c r="F94" s="62" t="s">
        <v>7082</v>
      </c>
      <c r="G94" s="62">
        <v>2009.0</v>
      </c>
      <c r="H94" s="62" t="s">
        <v>7790</v>
      </c>
      <c r="I94" s="62" t="s">
        <v>7082</v>
      </c>
      <c r="J94" s="62" t="s">
        <v>7341</v>
      </c>
      <c r="K94" s="62" t="s">
        <v>287</v>
      </c>
      <c r="L94" s="62" t="s">
        <v>7098</v>
      </c>
      <c r="M94" s="62" t="s">
        <v>462</v>
      </c>
      <c r="N94" s="62" t="s">
        <v>462</v>
      </c>
      <c r="O94" s="62"/>
      <c r="P94" s="62"/>
      <c r="Q94" s="62"/>
      <c r="R94" s="62"/>
      <c r="S94" s="62"/>
      <c r="T94" s="62"/>
      <c r="U94" s="62"/>
      <c r="V94" s="62"/>
      <c r="W94" s="62"/>
      <c r="X94" s="62"/>
      <c r="Y94" s="62"/>
      <c r="Z94" s="62"/>
    </row>
    <row r="95" ht="25.5" customHeight="1">
      <c r="A95" s="62"/>
      <c r="B95" s="62" t="s">
        <v>7347</v>
      </c>
      <c r="C95" s="62" t="s">
        <v>7793</v>
      </c>
      <c r="D95" s="62" t="s">
        <v>7795</v>
      </c>
      <c r="E95" s="62"/>
      <c r="F95" s="62" t="s">
        <v>7796</v>
      </c>
      <c r="G95" s="62"/>
      <c r="H95" s="62" t="s">
        <v>7798</v>
      </c>
      <c r="I95" s="316" t="s">
        <v>7796</v>
      </c>
      <c r="J95" s="62"/>
      <c r="K95" s="62" t="s">
        <v>7801</v>
      </c>
      <c r="L95" s="72" t="str">
        <f>HYPERLINK("http://trbq.org/topics/stories/","http://trbq.org/topics/stories/")</f>
        <v>http://trbq.org/topics/stories/</v>
      </c>
      <c r="M95" s="62" t="s">
        <v>462</v>
      </c>
      <c r="N95" s="62" t="s">
        <v>462</v>
      </c>
      <c r="O95" s="62"/>
      <c r="P95" s="62"/>
      <c r="Q95" s="62"/>
      <c r="R95" s="62"/>
      <c r="S95" s="62"/>
      <c r="T95" s="62"/>
      <c r="U95" s="62"/>
      <c r="V95" s="62"/>
      <c r="W95" s="62"/>
      <c r="X95" s="62"/>
      <c r="Y95" s="62"/>
      <c r="Z95" s="62"/>
    </row>
    <row r="96" ht="25.5" customHeight="1">
      <c r="A96" s="62"/>
      <c r="B96" s="62" t="s">
        <v>6468</v>
      </c>
      <c r="C96" s="62"/>
      <c r="D96" s="62" t="s">
        <v>7807</v>
      </c>
      <c r="E96" s="62" t="s">
        <v>7809</v>
      </c>
      <c r="F96" s="62"/>
      <c r="G96" s="62"/>
      <c r="H96" s="62" t="s">
        <v>7810</v>
      </c>
      <c r="I96" s="62"/>
      <c r="J96" s="62" t="s">
        <v>7812</v>
      </c>
      <c r="K96" s="62"/>
      <c r="L96" s="62" t="s">
        <v>7813</v>
      </c>
      <c r="M96" s="62" t="s">
        <v>462</v>
      </c>
      <c r="N96" s="62" t="s">
        <v>462</v>
      </c>
      <c r="O96" s="62">
        <v>1.0</v>
      </c>
      <c r="P96" s="62"/>
      <c r="Q96" s="62"/>
      <c r="R96" s="62"/>
      <c r="S96" s="62"/>
      <c r="T96" s="62"/>
      <c r="U96" s="62"/>
      <c r="V96" s="62"/>
      <c r="W96" s="62"/>
      <c r="X96" s="62"/>
      <c r="Y96" s="62"/>
      <c r="Z96" s="62"/>
    </row>
    <row r="97" ht="25.5" customHeight="1">
      <c r="A97" s="62"/>
      <c r="B97" s="62" t="s">
        <v>6468</v>
      </c>
      <c r="C97" s="62"/>
      <c r="D97" s="62" t="s">
        <v>1429</v>
      </c>
      <c r="E97" s="62"/>
      <c r="F97" s="62"/>
      <c r="G97" s="62"/>
      <c r="H97" s="62" t="s">
        <v>7815</v>
      </c>
      <c r="I97" s="62"/>
      <c r="J97" s="62" t="s">
        <v>7316</v>
      </c>
      <c r="K97" s="62"/>
      <c r="L97" s="62" t="s">
        <v>7317</v>
      </c>
      <c r="M97" s="62" t="s">
        <v>462</v>
      </c>
      <c r="N97" s="62" t="s">
        <v>462</v>
      </c>
      <c r="O97" s="62"/>
      <c r="P97" s="62"/>
      <c r="Q97" s="62"/>
      <c r="R97" s="62"/>
      <c r="S97" s="62"/>
      <c r="T97" s="62"/>
      <c r="U97" s="62"/>
      <c r="V97" s="62"/>
      <c r="W97" s="62"/>
      <c r="X97" s="62"/>
      <c r="Y97" s="62"/>
      <c r="Z97" s="62"/>
    </row>
    <row r="98" ht="25.5" customHeight="1">
      <c r="A98" s="62"/>
      <c r="B98" s="62"/>
      <c r="C98" s="62"/>
      <c r="D98" s="62" t="s">
        <v>7819</v>
      </c>
      <c r="E98" s="62" t="s">
        <v>7821</v>
      </c>
      <c r="F98" s="62"/>
      <c r="G98" s="62">
        <v>2013.0</v>
      </c>
      <c r="H98" s="62" t="s">
        <v>7822</v>
      </c>
      <c r="I98" s="316" t="s">
        <v>7451</v>
      </c>
      <c r="J98" s="62"/>
      <c r="K98" s="62" t="s">
        <v>287</v>
      </c>
      <c r="L98" s="62" t="s">
        <v>7824</v>
      </c>
      <c r="M98" s="62" t="s">
        <v>462</v>
      </c>
      <c r="N98" s="62" t="s">
        <v>462</v>
      </c>
      <c r="O98" s="62"/>
      <c r="P98" s="62"/>
      <c r="Q98" s="62"/>
      <c r="R98" s="62"/>
      <c r="S98" s="62"/>
      <c r="T98" s="62"/>
      <c r="U98" s="62"/>
      <c r="V98" s="62"/>
      <c r="W98" s="62"/>
      <c r="X98" s="62"/>
      <c r="Y98" s="62"/>
      <c r="Z98" s="62"/>
    </row>
    <row r="99" ht="25.5" customHeight="1">
      <c r="A99" s="62"/>
      <c r="B99" s="62"/>
      <c r="C99" s="62"/>
      <c r="D99" s="62" t="s">
        <v>7825</v>
      </c>
      <c r="E99" s="62" t="s">
        <v>7756</v>
      </c>
      <c r="F99" s="62"/>
      <c r="G99" s="62">
        <v>2015.0</v>
      </c>
      <c r="H99" s="62" t="s">
        <v>7827</v>
      </c>
      <c r="I99" s="62" t="s">
        <v>7756</v>
      </c>
      <c r="J99" s="62"/>
      <c r="K99" s="62" t="s">
        <v>287</v>
      </c>
      <c r="L99" s="62" t="s">
        <v>7830</v>
      </c>
      <c r="M99" s="62" t="s">
        <v>462</v>
      </c>
      <c r="N99" s="62" t="s">
        <v>462</v>
      </c>
      <c r="O99" s="62"/>
      <c r="P99" s="62"/>
      <c r="Q99" s="62"/>
      <c r="R99" s="62"/>
      <c r="S99" s="62"/>
      <c r="T99" s="62"/>
      <c r="U99" s="62"/>
      <c r="V99" s="62"/>
      <c r="W99" s="62"/>
      <c r="X99" s="62"/>
      <c r="Y99" s="62"/>
      <c r="Z99" s="62"/>
    </row>
    <row r="100" ht="25.5" customHeight="1">
      <c r="A100" s="62"/>
      <c r="B100" s="62"/>
      <c r="C100" s="62"/>
      <c r="D100" s="62" t="s">
        <v>7831</v>
      </c>
      <c r="E100" s="62" t="s">
        <v>7432</v>
      </c>
      <c r="F100" s="62"/>
      <c r="G100" s="62">
        <v>2011.0</v>
      </c>
      <c r="H100" s="62"/>
      <c r="I100" s="316"/>
      <c r="J100" s="62"/>
      <c r="K100" s="62" t="s">
        <v>7683</v>
      </c>
      <c r="L100" s="62" t="s">
        <v>7832</v>
      </c>
      <c r="M100" s="62" t="s">
        <v>462</v>
      </c>
      <c r="N100" s="62" t="s">
        <v>462</v>
      </c>
      <c r="O100" s="62"/>
      <c r="P100" s="62"/>
      <c r="Q100" s="62"/>
      <c r="R100" s="62"/>
      <c r="S100" s="62"/>
      <c r="T100" s="62"/>
      <c r="U100" s="62"/>
      <c r="V100" s="62"/>
      <c r="W100" s="62"/>
      <c r="X100" s="62"/>
      <c r="Y100" s="62"/>
      <c r="Z100" s="62"/>
    </row>
    <row r="101" ht="25.5" customHeight="1">
      <c r="A101" s="62"/>
      <c r="B101" s="62"/>
      <c r="C101" s="62"/>
      <c r="D101" s="62" t="s">
        <v>7833</v>
      </c>
      <c r="E101" s="62" t="s">
        <v>7432</v>
      </c>
      <c r="F101" s="62"/>
      <c r="G101" s="62">
        <v>2012.0</v>
      </c>
      <c r="H101" s="62"/>
      <c r="I101" s="316" t="s">
        <v>7835</v>
      </c>
      <c r="J101" s="62"/>
      <c r="K101" s="62" t="s">
        <v>7683</v>
      </c>
      <c r="L101" s="62" t="s">
        <v>7838</v>
      </c>
      <c r="M101" s="62" t="s">
        <v>462</v>
      </c>
      <c r="N101" s="62" t="s">
        <v>462</v>
      </c>
      <c r="O101" s="62"/>
      <c r="P101" s="62"/>
      <c r="Q101" s="62"/>
      <c r="R101" s="62"/>
      <c r="S101" s="62"/>
      <c r="T101" s="62"/>
      <c r="U101" s="62"/>
      <c r="V101" s="62"/>
      <c r="W101" s="62"/>
      <c r="X101" s="62"/>
      <c r="Y101" s="62"/>
      <c r="Z101" s="62"/>
    </row>
    <row r="102" ht="25.5" customHeight="1">
      <c r="A102" s="62"/>
      <c r="B102" s="62"/>
      <c r="C102" s="62"/>
      <c r="D102" s="62" t="s">
        <v>7842</v>
      </c>
      <c r="E102" s="62" t="s">
        <v>7844</v>
      </c>
      <c r="F102" s="62"/>
      <c r="G102" s="62">
        <v>2014.0</v>
      </c>
      <c r="H102" s="62" t="s">
        <v>7846</v>
      </c>
      <c r="I102" s="62" t="s">
        <v>7082</v>
      </c>
      <c r="J102" s="62"/>
      <c r="K102" s="62" t="s">
        <v>7847</v>
      </c>
      <c r="L102" s="62" t="s">
        <v>7849</v>
      </c>
      <c r="M102" s="62" t="s">
        <v>462</v>
      </c>
      <c r="N102" s="62" t="s">
        <v>462</v>
      </c>
      <c r="O102" s="62"/>
      <c r="P102" s="62"/>
      <c r="Q102" s="62"/>
      <c r="R102" s="62"/>
      <c r="S102" s="62"/>
      <c r="T102" s="62"/>
      <c r="U102" s="62"/>
      <c r="V102" s="62"/>
      <c r="W102" s="62"/>
      <c r="X102" s="62"/>
      <c r="Y102" s="62"/>
      <c r="Z102" s="62"/>
    </row>
    <row r="103" ht="25.5" customHeight="1">
      <c r="A103" s="62"/>
      <c r="B103" s="62"/>
      <c r="C103" s="62" t="s">
        <v>7851</v>
      </c>
      <c r="D103" s="62" t="s">
        <v>7852</v>
      </c>
      <c r="E103" s="62" t="s">
        <v>7854</v>
      </c>
      <c r="F103" s="62"/>
      <c r="G103" s="62">
        <v>2013.0</v>
      </c>
      <c r="H103" s="62" t="s">
        <v>7857</v>
      </c>
      <c r="I103" s="316"/>
      <c r="J103" s="62"/>
      <c r="K103" s="62" t="s">
        <v>287</v>
      </c>
      <c r="L103" s="62" t="s">
        <v>7859</v>
      </c>
      <c r="M103" s="62" t="s">
        <v>462</v>
      </c>
      <c r="N103" s="62" t="s">
        <v>462</v>
      </c>
      <c r="O103" s="62"/>
      <c r="P103" s="62"/>
      <c r="Q103" s="62"/>
      <c r="R103" s="62"/>
      <c r="S103" s="62"/>
      <c r="T103" s="62"/>
      <c r="U103" s="62"/>
      <c r="V103" s="62"/>
      <c r="W103" s="62"/>
      <c r="X103" s="62"/>
      <c r="Y103" s="62"/>
      <c r="Z103" s="62"/>
    </row>
    <row r="104" ht="25.5" customHeight="1">
      <c r="A104" s="62"/>
      <c r="B104" s="62"/>
      <c r="C104" s="62" t="s">
        <v>7861</v>
      </c>
      <c r="D104" s="62" t="s">
        <v>7864</v>
      </c>
      <c r="E104" s="62" t="s">
        <v>1378</v>
      </c>
      <c r="F104" s="62"/>
      <c r="G104" s="62">
        <v>2014.0</v>
      </c>
      <c r="H104" s="62" t="s">
        <v>7866</v>
      </c>
      <c r="I104" s="316" t="s">
        <v>7867</v>
      </c>
      <c r="J104" s="62"/>
      <c r="K104" s="62" t="s">
        <v>287</v>
      </c>
      <c r="L104" s="62" t="s">
        <v>7868</v>
      </c>
      <c r="M104" s="62" t="s">
        <v>462</v>
      </c>
      <c r="N104" s="62" t="s">
        <v>462</v>
      </c>
      <c r="O104" s="62"/>
      <c r="P104" s="62"/>
      <c r="Q104" s="62"/>
      <c r="R104" s="62"/>
      <c r="S104" s="62"/>
      <c r="T104" s="62"/>
      <c r="U104" s="62" t="s">
        <v>428</v>
      </c>
      <c r="V104" s="62"/>
      <c r="W104" s="62"/>
      <c r="X104" s="62"/>
      <c r="Y104" s="62"/>
      <c r="Z104" s="62"/>
    </row>
    <row r="105" ht="25.5" customHeight="1">
      <c r="A105" s="62"/>
      <c r="B105" s="62"/>
      <c r="C105" s="62"/>
      <c r="D105" s="62" t="s">
        <v>7871</v>
      </c>
      <c r="E105" s="62" t="s">
        <v>7872</v>
      </c>
      <c r="F105" s="62"/>
      <c r="G105" s="62">
        <v>2013.0</v>
      </c>
      <c r="H105" s="62"/>
      <c r="I105" s="62" t="s">
        <v>7874</v>
      </c>
      <c r="J105" s="62"/>
      <c r="K105" s="62" t="s">
        <v>7683</v>
      </c>
      <c r="L105" s="62" t="s">
        <v>7875</v>
      </c>
      <c r="M105" s="62" t="s">
        <v>462</v>
      </c>
      <c r="N105" s="62" t="s">
        <v>462</v>
      </c>
      <c r="O105" s="62"/>
      <c r="P105" s="62"/>
      <c r="Q105" s="62"/>
      <c r="R105" s="62"/>
      <c r="S105" s="62"/>
      <c r="T105" s="62"/>
      <c r="U105" s="62"/>
      <c r="V105" s="62"/>
      <c r="W105" s="62"/>
      <c r="X105" s="62"/>
      <c r="Y105" s="62"/>
      <c r="Z105" s="62"/>
    </row>
    <row r="106" ht="25.5" customHeight="1">
      <c r="A106" s="62"/>
      <c r="B106" s="62"/>
      <c r="C106" s="62"/>
      <c r="D106" s="62" t="s">
        <v>7876</v>
      </c>
      <c r="E106" s="62" t="s">
        <v>7432</v>
      </c>
      <c r="F106" s="62"/>
      <c r="G106" s="62">
        <v>2012.0</v>
      </c>
      <c r="H106" s="62"/>
      <c r="I106" s="316" t="s">
        <v>7532</v>
      </c>
      <c r="J106" s="62"/>
      <c r="K106" s="62" t="s">
        <v>7683</v>
      </c>
      <c r="L106" s="62" t="s">
        <v>7877</v>
      </c>
      <c r="M106" s="62" t="s">
        <v>462</v>
      </c>
      <c r="N106" s="62" t="s">
        <v>462</v>
      </c>
      <c r="O106" s="62"/>
      <c r="P106" s="62"/>
      <c r="Q106" s="62"/>
      <c r="R106" s="62"/>
      <c r="S106" s="62"/>
      <c r="T106" s="62"/>
      <c r="U106" s="62"/>
      <c r="V106" s="62"/>
      <c r="W106" s="62"/>
      <c r="X106" s="62"/>
      <c r="Y106" s="62"/>
      <c r="Z106" s="62"/>
    </row>
    <row r="107" ht="25.5" customHeight="1">
      <c r="A107" s="62"/>
      <c r="B107" s="62"/>
      <c r="C107" s="62"/>
      <c r="D107" s="62" t="s">
        <v>7878</v>
      </c>
      <c r="E107" s="62" t="s">
        <v>7879</v>
      </c>
      <c r="F107" s="62"/>
      <c r="G107" s="62">
        <v>2010.0</v>
      </c>
      <c r="H107" s="62" t="s">
        <v>7880</v>
      </c>
      <c r="I107" s="62" t="s">
        <v>7881</v>
      </c>
      <c r="J107" s="62"/>
      <c r="K107" s="62" t="s">
        <v>287</v>
      </c>
      <c r="L107" s="62" t="s">
        <v>7882</v>
      </c>
      <c r="M107" s="62" t="s">
        <v>462</v>
      </c>
      <c r="N107" s="62" t="s">
        <v>462</v>
      </c>
      <c r="O107" s="62"/>
      <c r="P107" s="62"/>
      <c r="Q107" s="62"/>
      <c r="R107" s="62"/>
      <c r="S107" s="62"/>
      <c r="T107" s="62"/>
      <c r="U107" s="62"/>
      <c r="V107" s="62"/>
      <c r="W107" s="62"/>
      <c r="X107" s="62"/>
      <c r="Y107" s="62"/>
      <c r="Z107" s="62"/>
    </row>
    <row r="108" ht="25.5" customHeight="1">
      <c r="A108" s="62"/>
      <c r="B108" s="62"/>
      <c r="C108" s="62"/>
      <c r="D108" s="62" t="s">
        <v>7885</v>
      </c>
      <c r="E108" s="62" t="s">
        <v>7886</v>
      </c>
      <c r="F108" s="62"/>
      <c r="G108" s="62">
        <v>2011.0</v>
      </c>
      <c r="H108" s="62" t="s">
        <v>7888</v>
      </c>
      <c r="I108" s="62" t="s">
        <v>7082</v>
      </c>
      <c r="J108" s="62"/>
      <c r="K108" s="62" t="s">
        <v>7890</v>
      </c>
      <c r="L108" s="62" t="s">
        <v>7892</v>
      </c>
      <c r="M108" s="62" t="s">
        <v>462</v>
      </c>
      <c r="N108" s="62" t="s">
        <v>462</v>
      </c>
      <c r="O108" s="62"/>
      <c r="P108" s="62"/>
      <c r="Q108" s="62"/>
      <c r="R108" s="62"/>
      <c r="S108" s="62"/>
      <c r="T108" s="62"/>
      <c r="U108" s="62"/>
      <c r="V108" s="62"/>
      <c r="W108" s="62"/>
      <c r="X108" s="62"/>
      <c r="Y108" s="62"/>
      <c r="Z108" s="62"/>
    </row>
    <row r="109" ht="25.5" customHeight="1">
      <c r="A109" s="62"/>
      <c r="B109" s="62"/>
      <c r="C109" s="62"/>
      <c r="D109" s="62" t="s">
        <v>7894</v>
      </c>
      <c r="E109" s="62" t="s">
        <v>7895</v>
      </c>
      <c r="F109" s="62"/>
      <c r="G109" s="62">
        <v>2012.0</v>
      </c>
      <c r="H109" s="62" t="s">
        <v>7896</v>
      </c>
      <c r="I109" s="62" t="s">
        <v>7897</v>
      </c>
      <c r="J109" s="62"/>
      <c r="K109" s="62" t="s">
        <v>7898</v>
      </c>
      <c r="L109" s="62" t="s">
        <v>7899</v>
      </c>
      <c r="M109" s="62" t="s">
        <v>462</v>
      </c>
      <c r="N109" s="62" t="s">
        <v>462</v>
      </c>
      <c r="O109" s="62"/>
      <c r="P109" s="62"/>
      <c r="Q109" s="62"/>
      <c r="R109" s="62"/>
      <c r="S109" s="62"/>
      <c r="T109" s="62"/>
      <c r="U109" s="62"/>
      <c r="V109" s="62"/>
      <c r="W109" s="62"/>
      <c r="X109" s="62"/>
      <c r="Y109" s="62"/>
      <c r="Z109" s="62"/>
    </row>
    <row r="110" ht="25.5" customHeight="1">
      <c r="A110" s="62"/>
      <c r="B110" s="62"/>
      <c r="C110" s="62"/>
      <c r="D110" s="62" t="s">
        <v>7900</v>
      </c>
      <c r="E110" s="62"/>
      <c r="F110" s="62"/>
      <c r="G110" s="62"/>
      <c r="H110" s="62"/>
      <c r="I110" s="62"/>
      <c r="J110" s="62"/>
      <c r="K110" s="62"/>
      <c r="L110" s="62"/>
      <c r="M110" s="62" t="s">
        <v>462</v>
      </c>
      <c r="N110" s="62" t="s">
        <v>462</v>
      </c>
      <c r="O110" s="62"/>
      <c r="P110" s="62"/>
      <c r="Q110" s="62"/>
      <c r="R110" s="62"/>
      <c r="S110" s="62"/>
      <c r="T110" s="62"/>
      <c r="U110" s="62"/>
      <c r="V110" s="62"/>
      <c r="W110" s="62"/>
      <c r="X110" s="62"/>
      <c r="Y110" s="62"/>
      <c r="Z110" s="62"/>
    </row>
    <row r="111" ht="25.5" customHeight="1">
      <c r="A111" s="62"/>
      <c r="B111" s="62"/>
      <c r="C111" s="62"/>
      <c r="D111" s="62" t="s">
        <v>7901</v>
      </c>
      <c r="E111" s="62" t="s">
        <v>7902</v>
      </c>
      <c r="F111" s="62"/>
      <c r="G111" s="62"/>
      <c r="H111" s="62"/>
      <c r="I111" s="316"/>
      <c r="J111" s="62"/>
      <c r="K111" s="62" t="s">
        <v>7479</v>
      </c>
      <c r="L111" s="62" t="s">
        <v>7903</v>
      </c>
      <c r="M111" s="62" t="s">
        <v>462</v>
      </c>
      <c r="N111" s="62" t="s">
        <v>462</v>
      </c>
      <c r="O111" s="62"/>
      <c r="P111" s="62"/>
      <c r="Q111" s="62"/>
      <c r="R111" s="62"/>
      <c r="S111" s="62"/>
      <c r="T111" s="62"/>
      <c r="U111" s="62"/>
      <c r="V111" s="62"/>
      <c r="W111" s="62"/>
      <c r="X111" s="62"/>
      <c r="Y111" s="62"/>
      <c r="Z111" s="62"/>
    </row>
    <row r="112" ht="25.5" customHeight="1">
      <c r="A112" s="62"/>
      <c r="B112" s="62"/>
      <c r="C112" s="62"/>
      <c r="D112" s="62" t="s">
        <v>7904</v>
      </c>
      <c r="E112" s="62" t="s">
        <v>1430</v>
      </c>
      <c r="F112" s="62"/>
      <c r="G112" s="62"/>
      <c r="H112" s="62" t="s">
        <v>7905</v>
      </c>
      <c r="I112" s="316" t="s">
        <v>1430</v>
      </c>
      <c r="J112" s="62"/>
      <c r="K112" s="62" t="s">
        <v>7906</v>
      </c>
      <c r="L112" s="72" t="s">
        <v>7907</v>
      </c>
      <c r="M112" s="62" t="s">
        <v>462</v>
      </c>
      <c r="N112" s="62" t="s">
        <v>462</v>
      </c>
      <c r="O112" s="62"/>
      <c r="P112" s="72"/>
      <c r="Q112" s="62"/>
      <c r="R112" s="62"/>
      <c r="S112" s="62"/>
      <c r="T112" s="62"/>
      <c r="U112" s="62"/>
      <c r="V112" s="62"/>
      <c r="W112" s="62"/>
      <c r="X112" s="62"/>
      <c r="Y112" s="62"/>
      <c r="Z112" s="62"/>
    </row>
    <row r="113" ht="25.5" customHeight="1">
      <c r="A113" s="62"/>
      <c r="B113" s="62"/>
      <c r="C113" s="62"/>
      <c r="D113" s="62" t="s">
        <v>7908</v>
      </c>
      <c r="E113" s="62" t="s">
        <v>7909</v>
      </c>
      <c r="F113" s="62"/>
      <c r="G113" s="62">
        <v>2014.0</v>
      </c>
      <c r="H113" s="62" t="s">
        <v>7910</v>
      </c>
      <c r="I113" s="316" t="s">
        <v>7911</v>
      </c>
      <c r="J113" s="62"/>
      <c r="K113" s="62" t="s">
        <v>7912</v>
      </c>
      <c r="L113" s="62" t="s">
        <v>7913</v>
      </c>
      <c r="M113" s="62" t="s">
        <v>462</v>
      </c>
      <c r="N113" s="62" t="s">
        <v>462</v>
      </c>
      <c r="O113" s="62"/>
      <c r="P113" s="62"/>
      <c r="Q113" s="62"/>
      <c r="R113" s="62"/>
      <c r="S113" s="62"/>
      <c r="T113" s="62"/>
      <c r="U113" s="62"/>
      <c r="V113" s="62"/>
      <c r="W113" s="62"/>
      <c r="X113" s="62"/>
      <c r="Y113" s="62"/>
      <c r="Z113" s="62"/>
    </row>
    <row r="114" ht="25.5" customHeight="1">
      <c r="A114" s="62"/>
      <c r="B114" s="62"/>
      <c r="C114" s="62" t="s">
        <v>7679</v>
      </c>
      <c r="D114" s="62" t="s">
        <v>7916</v>
      </c>
      <c r="E114" s="62" t="s">
        <v>7917</v>
      </c>
      <c r="F114" s="62"/>
      <c r="G114" s="62">
        <v>2012.0</v>
      </c>
      <c r="H114" s="62" t="s">
        <v>7919</v>
      </c>
      <c r="I114" s="316" t="s">
        <v>7920</v>
      </c>
      <c r="J114" s="62"/>
      <c r="K114" s="62" t="s">
        <v>287</v>
      </c>
      <c r="L114" s="62" t="s">
        <v>7923</v>
      </c>
      <c r="M114" s="62" t="s">
        <v>462</v>
      </c>
      <c r="N114" s="62" t="s">
        <v>462</v>
      </c>
      <c r="O114" s="62"/>
      <c r="P114" s="62"/>
      <c r="Q114" s="62"/>
      <c r="R114" s="62"/>
      <c r="S114" s="62"/>
      <c r="T114" s="62"/>
      <c r="U114" s="62"/>
      <c r="V114" s="62"/>
      <c r="W114" s="62"/>
      <c r="X114" s="62"/>
      <c r="Y114" s="62"/>
      <c r="Z114" s="62"/>
    </row>
    <row r="115" ht="25.5" customHeight="1">
      <c r="A115" s="62"/>
      <c r="B115" s="62"/>
      <c r="C115" s="62"/>
      <c r="D115" s="62" t="s">
        <v>7925</v>
      </c>
      <c r="E115" s="62" t="s">
        <v>7926</v>
      </c>
      <c r="F115" s="62"/>
      <c r="G115" s="62">
        <v>2013.0</v>
      </c>
      <c r="H115" s="62" t="s">
        <v>7928</v>
      </c>
      <c r="I115" s="316" t="s">
        <v>7929</v>
      </c>
      <c r="J115" s="62"/>
      <c r="K115" s="62" t="s">
        <v>287</v>
      </c>
      <c r="L115" s="62" t="s">
        <v>7931</v>
      </c>
      <c r="M115" s="62" t="s">
        <v>462</v>
      </c>
      <c r="N115" s="62" t="s">
        <v>462</v>
      </c>
      <c r="O115" s="62"/>
      <c r="P115" s="62"/>
      <c r="Q115" s="62"/>
      <c r="R115" s="62"/>
      <c r="S115" s="62"/>
      <c r="T115" s="62"/>
      <c r="U115" s="62"/>
      <c r="V115" s="62"/>
      <c r="W115" s="62"/>
      <c r="X115" s="62"/>
      <c r="Y115" s="62"/>
      <c r="Z115" s="62"/>
    </row>
    <row r="116" ht="25.5" customHeight="1">
      <c r="A116" s="62"/>
      <c r="B116" s="62"/>
      <c r="C116" s="62"/>
      <c r="D116" s="62" t="s">
        <v>7935</v>
      </c>
      <c r="E116" s="62" t="s">
        <v>7936</v>
      </c>
      <c r="F116" s="62"/>
      <c r="G116" s="62">
        <v>2012.0</v>
      </c>
      <c r="H116" s="62" t="s">
        <v>7888</v>
      </c>
      <c r="I116" s="62" t="s">
        <v>7082</v>
      </c>
      <c r="J116" s="62"/>
      <c r="K116" s="62" t="s">
        <v>7939</v>
      </c>
      <c r="L116" s="62" t="s">
        <v>7940</v>
      </c>
      <c r="M116" s="62" t="s">
        <v>462</v>
      </c>
      <c r="N116" s="62" t="s">
        <v>462</v>
      </c>
      <c r="O116" s="62"/>
      <c r="P116" s="62"/>
      <c r="Q116" s="62"/>
      <c r="R116" s="62"/>
      <c r="S116" s="62"/>
      <c r="T116" s="62"/>
      <c r="U116" s="62"/>
      <c r="V116" s="62"/>
      <c r="W116" s="62"/>
      <c r="X116" s="62"/>
      <c r="Y116" s="62"/>
      <c r="Z116" s="62"/>
    </row>
    <row r="117" ht="25.5" customHeight="1">
      <c r="A117" s="62"/>
      <c r="B117" s="62"/>
      <c r="C117" s="62"/>
      <c r="D117" s="62" t="s">
        <v>7943</v>
      </c>
      <c r="E117" s="62" t="s">
        <v>7944</v>
      </c>
      <c r="F117" s="62"/>
      <c r="G117" s="62">
        <v>2004.0</v>
      </c>
      <c r="H117" s="62" t="s">
        <v>7888</v>
      </c>
      <c r="I117" s="62" t="s">
        <v>7082</v>
      </c>
      <c r="J117" s="62"/>
      <c r="K117" s="62" t="s">
        <v>7947</v>
      </c>
      <c r="L117" s="62" t="s">
        <v>7949</v>
      </c>
      <c r="M117" s="62" t="s">
        <v>462</v>
      </c>
      <c r="N117" s="62" t="s">
        <v>462</v>
      </c>
      <c r="O117" s="62"/>
      <c r="P117" s="62"/>
      <c r="Q117" s="62"/>
      <c r="R117" s="62"/>
      <c r="S117" s="62"/>
      <c r="T117" s="62"/>
      <c r="U117" s="62"/>
      <c r="V117" s="62"/>
      <c r="W117" s="62"/>
      <c r="X117" s="62"/>
      <c r="Y117" s="62"/>
      <c r="Z117" s="62"/>
    </row>
    <row r="118" ht="25.5" customHeight="1">
      <c r="A118" s="62"/>
      <c r="B118" s="62"/>
      <c r="C118" s="62"/>
      <c r="D118" s="62" t="s">
        <v>7950</v>
      </c>
      <c r="E118" s="62" t="s">
        <v>7952</v>
      </c>
      <c r="F118" s="62"/>
      <c r="G118" s="62">
        <v>2013.0</v>
      </c>
      <c r="H118" s="62" t="s">
        <v>7953</v>
      </c>
      <c r="I118" s="316" t="s">
        <v>7451</v>
      </c>
      <c r="J118" s="62"/>
      <c r="K118" s="62" t="s">
        <v>287</v>
      </c>
      <c r="L118" s="62" t="s">
        <v>7955</v>
      </c>
      <c r="M118" s="62" t="s">
        <v>462</v>
      </c>
      <c r="N118" s="62" t="s">
        <v>462</v>
      </c>
      <c r="O118" s="62"/>
      <c r="P118" s="62"/>
      <c r="Q118" s="62"/>
      <c r="R118" s="62"/>
      <c r="S118" s="62"/>
      <c r="T118" s="62"/>
      <c r="U118" s="62"/>
      <c r="V118" s="62"/>
      <c r="W118" s="62"/>
      <c r="X118" s="62"/>
      <c r="Y118" s="62"/>
      <c r="Z118" s="62"/>
    </row>
    <row r="119" ht="25.5" customHeight="1">
      <c r="A119" s="62"/>
      <c r="B119" s="62"/>
      <c r="C119" s="62" t="s">
        <v>7957</v>
      </c>
      <c r="D119" s="62" t="s">
        <v>7959</v>
      </c>
      <c r="E119" s="62" t="s">
        <v>1429</v>
      </c>
      <c r="F119" s="62"/>
      <c r="G119" s="62">
        <v>2013.0</v>
      </c>
      <c r="H119" s="62" t="s">
        <v>7960</v>
      </c>
      <c r="I119" s="62" t="s">
        <v>7962</v>
      </c>
      <c r="J119" s="62"/>
      <c r="K119" s="62" t="s">
        <v>287</v>
      </c>
      <c r="L119" s="62" t="s">
        <v>7964</v>
      </c>
      <c r="M119" s="62" t="s">
        <v>462</v>
      </c>
      <c r="N119" s="62" t="s">
        <v>462</v>
      </c>
      <c r="O119" s="62"/>
      <c r="P119" s="62"/>
      <c r="Q119" s="62"/>
      <c r="R119" s="62"/>
      <c r="S119" s="62"/>
      <c r="T119" s="62"/>
      <c r="U119" s="62"/>
      <c r="V119" s="62"/>
      <c r="W119" s="62"/>
      <c r="X119" s="62"/>
      <c r="Y119" s="62"/>
      <c r="Z119" s="62"/>
    </row>
    <row r="120" ht="25.5" customHeight="1">
      <c r="A120" s="62"/>
      <c r="B120" s="62"/>
      <c r="C120" s="62"/>
      <c r="D120" s="62" t="s">
        <v>7967</v>
      </c>
      <c r="E120" s="62" t="s">
        <v>7886</v>
      </c>
      <c r="F120" s="62"/>
      <c r="G120" s="62">
        <v>2010.0</v>
      </c>
      <c r="H120" s="62" t="s">
        <v>7888</v>
      </c>
      <c r="I120" s="316" t="s">
        <v>7082</v>
      </c>
      <c r="J120" s="62"/>
      <c r="K120" s="62" t="s">
        <v>7969</v>
      </c>
      <c r="L120" s="62" t="s">
        <v>7971</v>
      </c>
      <c r="M120" s="62" t="s">
        <v>462</v>
      </c>
      <c r="N120" s="62" t="s">
        <v>462</v>
      </c>
      <c r="O120" s="62"/>
      <c r="P120" s="62"/>
      <c r="Q120" s="62"/>
      <c r="R120" s="62"/>
      <c r="S120" s="62"/>
      <c r="T120" s="62"/>
      <c r="U120" s="62"/>
      <c r="V120" s="62"/>
      <c r="W120" s="62"/>
      <c r="X120" s="62"/>
      <c r="Y120" s="62"/>
      <c r="Z120" s="62"/>
    </row>
    <row r="121" ht="25.5" customHeight="1">
      <c r="A121" s="62"/>
      <c r="B121" s="62"/>
      <c r="C121" s="62"/>
      <c r="D121" s="62" t="s">
        <v>7972</v>
      </c>
      <c r="E121" s="62" t="s">
        <v>7973</v>
      </c>
      <c r="F121" s="62"/>
      <c r="G121" s="62"/>
      <c r="H121" s="62" t="s">
        <v>7509</v>
      </c>
      <c r="I121" s="316" t="s">
        <v>7973</v>
      </c>
      <c r="J121" s="62"/>
      <c r="K121" s="62" t="s">
        <v>7906</v>
      </c>
      <c r="L121" s="62" t="s">
        <v>7976</v>
      </c>
      <c r="M121" s="62" t="s">
        <v>462</v>
      </c>
      <c r="N121" s="62" t="s">
        <v>462</v>
      </c>
      <c r="O121" s="62"/>
      <c r="P121" s="62"/>
      <c r="Q121" s="62"/>
      <c r="R121" s="62"/>
      <c r="S121" s="62"/>
      <c r="T121" s="62"/>
      <c r="U121" s="62"/>
      <c r="V121" s="62"/>
      <c r="W121" s="62"/>
      <c r="X121" s="62"/>
      <c r="Y121" s="62"/>
      <c r="Z121" s="62"/>
    </row>
    <row r="122" ht="25.5" customHeight="1">
      <c r="A122" s="62"/>
      <c r="B122" s="62"/>
      <c r="C122" s="62"/>
      <c r="D122" s="62" t="s">
        <v>7980</v>
      </c>
      <c r="E122" s="62" t="s">
        <v>1763</v>
      </c>
      <c r="F122" s="62"/>
      <c r="G122" s="62">
        <v>2012.0</v>
      </c>
      <c r="H122" s="62" t="s">
        <v>7981</v>
      </c>
      <c r="I122" s="316" t="s">
        <v>7082</v>
      </c>
      <c r="J122" s="62"/>
      <c r="K122" s="62" t="s">
        <v>287</v>
      </c>
      <c r="L122" s="62" t="s">
        <v>7983</v>
      </c>
      <c r="M122" s="62" t="s">
        <v>462</v>
      </c>
      <c r="N122" s="62" t="s">
        <v>462</v>
      </c>
      <c r="O122" s="62"/>
      <c r="P122" s="62"/>
      <c r="Q122" s="62"/>
      <c r="R122" s="62"/>
      <c r="S122" s="62"/>
      <c r="T122" s="62"/>
      <c r="U122" s="62"/>
      <c r="V122" s="62"/>
      <c r="W122" s="62"/>
      <c r="X122" s="62"/>
      <c r="Y122" s="62"/>
      <c r="Z122" s="62"/>
    </row>
    <row r="123" ht="25.5" customHeight="1">
      <c r="A123" s="62"/>
      <c r="B123" s="62"/>
      <c r="C123" s="62"/>
      <c r="D123" s="62" t="s">
        <v>7984</v>
      </c>
      <c r="E123" s="62" t="s">
        <v>7985</v>
      </c>
      <c r="F123" s="62"/>
      <c r="G123" s="62">
        <v>2011.0</v>
      </c>
      <c r="H123" s="62" t="s">
        <v>7987</v>
      </c>
      <c r="I123" s="62" t="s">
        <v>7082</v>
      </c>
      <c r="J123" s="62"/>
      <c r="K123" s="62" t="s">
        <v>7988</v>
      </c>
      <c r="L123" s="62" t="s">
        <v>7989</v>
      </c>
      <c r="M123" s="62" t="s">
        <v>462</v>
      </c>
      <c r="N123" s="62" t="s">
        <v>462</v>
      </c>
      <c r="O123" s="62"/>
      <c r="P123" s="62"/>
      <c r="Q123" s="62"/>
      <c r="R123" s="62"/>
      <c r="S123" s="62"/>
      <c r="T123" s="62"/>
      <c r="U123" s="62"/>
      <c r="V123" s="62"/>
      <c r="W123" s="62"/>
      <c r="X123" s="62"/>
      <c r="Y123" s="62"/>
      <c r="Z123" s="62"/>
    </row>
    <row r="124" ht="25.5" customHeight="1">
      <c r="A124" s="62"/>
      <c r="B124" s="62"/>
      <c r="C124" s="62"/>
      <c r="D124" s="62" t="s">
        <v>7992</v>
      </c>
      <c r="E124" s="62" t="s">
        <v>3658</v>
      </c>
      <c r="F124" s="62"/>
      <c r="G124" s="62">
        <v>2005.0</v>
      </c>
      <c r="H124" s="62" t="s">
        <v>7888</v>
      </c>
      <c r="I124" s="62" t="s">
        <v>7082</v>
      </c>
      <c r="J124" s="62"/>
      <c r="K124" s="62" t="s">
        <v>7993</v>
      </c>
      <c r="L124" s="62" t="s">
        <v>7994</v>
      </c>
      <c r="M124" s="62" t="s">
        <v>462</v>
      </c>
      <c r="N124" s="62" t="s">
        <v>462</v>
      </c>
      <c r="O124" s="62"/>
      <c r="P124" s="62"/>
      <c r="Q124" s="62"/>
      <c r="R124" s="62"/>
      <c r="S124" s="62"/>
      <c r="T124" s="62"/>
      <c r="U124" s="62"/>
      <c r="V124" s="62"/>
      <c r="W124" s="62"/>
      <c r="X124" s="62"/>
      <c r="Y124" s="62"/>
      <c r="Z124" s="62"/>
    </row>
    <row r="125" ht="25.5" customHeight="1">
      <c r="A125" s="62"/>
      <c r="B125" s="62"/>
      <c r="C125" s="62"/>
      <c r="D125" s="62" t="s">
        <v>7995</v>
      </c>
      <c r="E125" s="62"/>
      <c r="F125" s="62"/>
      <c r="G125" s="62">
        <v>2014.0</v>
      </c>
      <c r="H125" s="62" t="s">
        <v>7996</v>
      </c>
      <c r="I125" s="62" t="s">
        <v>7997</v>
      </c>
      <c r="J125" s="62"/>
      <c r="K125" s="62" t="s">
        <v>7801</v>
      </c>
      <c r="L125" s="62" t="s">
        <v>7998</v>
      </c>
      <c r="M125" s="62" t="s">
        <v>462</v>
      </c>
      <c r="N125" s="62" t="s">
        <v>462</v>
      </c>
      <c r="O125" s="62"/>
      <c r="P125" s="62"/>
      <c r="Q125" s="62"/>
      <c r="R125" s="62"/>
      <c r="S125" s="62"/>
      <c r="T125" s="62"/>
      <c r="U125" s="62"/>
      <c r="V125" s="62"/>
      <c r="W125" s="62"/>
      <c r="X125" s="62"/>
      <c r="Y125" s="62"/>
      <c r="Z125" s="62"/>
    </row>
    <row r="126" ht="25.5" customHeight="1">
      <c r="A126" s="62"/>
      <c r="B126" s="62"/>
      <c r="C126" s="62"/>
      <c r="D126" s="62" t="s">
        <v>7999</v>
      </c>
      <c r="E126" s="62" t="s">
        <v>8000</v>
      </c>
      <c r="F126" s="62"/>
      <c r="G126" s="62">
        <v>2014.0</v>
      </c>
      <c r="H126" s="62" t="s">
        <v>8001</v>
      </c>
      <c r="I126" s="62" t="s">
        <v>8002</v>
      </c>
      <c r="J126" s="62"/>
      <c r="K126" s="62" t="s">
        <v>8003</v>
      </c>
      <c r="L126" s="62" t="s">
        <v>8004</v>
      </c>
      <c r="M126" s="62" t="s">
        <v>462</v>
      </c>
      <c r="N126" s="62" t="s">
        <v>462</v>
      </c>
      <c r="O126" s="62"/>
      <c r="P126" s="62"/>
      <c r="Q126" s="62"/>
      <c r="R126" s="62"/>
      <c r="S126" s="62"/>
      <c r="T126" s="62"/>
      <c r="U126" s="62"/>
      <c r="V126" s="62"/>
      <c r="W126" s="62"/>
      <c r="X126" s="62"/>
      <c r="Y126" s="62"/>
      <c r="Z126" s="62"/>
    </row>
    <row r="127" ht="25.5" customHeight="1">
      <c r="A127" s="62"/>
      <c r="B127" s="62"/>
      <c r="C127" s="62"/>
      <c r="D127" s="62" t="s">
        <v>8005</v>
      </c>
      <c r="E127" s="62"/>
      <c r="F127" s="62"/>
      <c r="G127" s="62"/>
      <c r="H127" s="62" t="s">
        <v>8006</v>
      </c>
      <c r="I127" s="316"/>
      <c r="J127" s="62"/>
      <c r="K127" s="62" t="s">
        <v>8007</v>
      </c>
      <c r="L127" s="62" t="s">
        <v>8008</v>
      </c>
      <c r="M127" s="62" t="s">
        <v>462</v>
      </c>
      <c r="N127" s="62" t="s">
        <v>462</v>
      </c>
      <c r="O127" s="62"/>
      <c r="P127" s="62"/>
      <c r="Q127" s="62"/>
      <c r="R127" s="62"/>
      <c r="S127" s="62"/>
      <c r="T127" s="62"/>
      <c r="U127" s="62"/>
      <c r="V127" s="62"/>
      <c r="W127" s="62"/>
      <c r="X127" s="62"/>
      <c r="Y127" s="62"/>
      <c r="Z127" s="62"/>
    </row>
    <row r="128" ht="25.5" customHeight="1">
      <c r="A128" s="62"/>
      <c r="B128" s="62"/>
      <c r="C128" s="62"/>
      <c r="D128" s="62" t="s">
        <v>8009</v>
      </c>
      <c r="E128" s="62" t="s">
        <v>1961</v>
      </c>
      <c r="F128" s="62"/>
      <c r="G128" s="62">
        <v>2013.0</v>
      </c>
      <c r="H128" s="62"/>
      <c r="I128" s="62" t="s">
        <v>7082</v>
      </c>
      <c r="J128" s="62"/>
      <c r="K128" s="62" t="s">
        <v>287</v>
      </c>
      <c r="L128" s="72" t="str">
        <f>HYPERLINK("https://www.youtube.com/watch?v=JfZd2oLIIMw","https://www.youtube.com/watch?v=JfZd2oLIIMw")</f>
        <v>https://www.youtube.com/watch?v=JfZd2oLIIMw</v>
      </c>
      <c r="M128" s="62" t="s">
        <v>462</v>
      </c>
      <c r="N128" s="62" t="s">
        <v>462</v>
      </c>
      <c r="O128" s="62"/>
      <c r="P128" s="62"/>
      <c r="Q128" s="62"/>
      <c r="R128" s="62"/>
      <c r="S128" s="62"/>
      <c r="T128" s="62"/>
      <c r="U128" s="62"/>
      <c r="V128" s="62"/>
      <c r="W128" s="62"/>
      <c r="X128" s="62"/>
      <c r="Y128" s="62"/>
      <c r="Z128" s="62"/>
    </row>
    <row r="129" ht="26.25" customHeight="1">
      <c r="A129" s="62"/>
      <c r="B129" s="62"/>
      <c r="C129" s="62"/>
      <c r="D129" s="62" t="s">
        <v>8016</v>
      </c>
      <c r="E129" s="62" t="s">
        <v>8017</v>
      </c>
      <c r="F129" s="62"/>
      <c r="G129" s="62">
        <v>2014.0</v>
      </c>
      <c r="H129" s="62" t="s">
        <v>8019</v>
      </c>
      <c r="I129" s="62" t="s">
        <v>7082</v>
      </c>
      <c r="J129" s="62"/>
      <c r="K129" s="62" t="s">
        <v>8021</v>
      </c>
      <c r="L129" s="62" t="s">
        <v>8023</v>
      </c>
      <c r="M129" s="62" t="s">
        <v>462</v>
      </c>
      <c r="N129" s="62" t="s">
        <v>462</v>
      </c>
      <c r="O129" s="62"/>
      <c r="P129" s="62"/>
      <c r="Q129" s="62"/>
      <c r="R129" s="62"/>
      <c r="S129" s="62"/>
      <c r="T129" s="62"/>
      <c r="U129" s="62"/>
      <c r="V129" s="62"/>
      <c r="W129" s="62"/>
      <c r="X129" s="62"/>
      <c r="Y129" s="62"/>
      <c r="Z129" s="62"/>
    </row>
    <row r="130" ht="25.5" customHeight="1">
      <c r="A130" s="62"/>
      <c r="B130" s="62" t="s">
        <v>8025</v>
      </c>
      <c r="C130" s="62" t="s">
        <v>8027</v>
      </c>
      <c r="D130" s="316" t="s">
        <v>8028</v>
      </c>
      <c r="E130" s="62"/>
      <c r="F130" s="62"/>
      <c r="G130" s="315">
        <v>41116.0</v>
      </c>
      <c r="H130" s="62" t="s">
        <v>8031</v>
      </c>
      <c r="I130" s="62" t="s">
        <v>1775</v>
      </c>
      <c r="J130" s="62">
        <v>0.12013888888888889</v>
      </c>
      <c r="K130" s="62"/>
      <c r="L130" s="62" t="s">
        <v>8033</v>
      </c>
      <c r="M130" s="62"/>
      <c r="N130" s="62"/>
      <c r="O130" s="62"/>
      <c r="P130" s="62"/>
      <c r="Q130" s="62"/>
      <c r="R130" s="62"/>
      <c r="S130" s="62"/>
      <c r="T130" s="62"/>
      <c r="U130" s="62"/>
      <c r="V130" s="62"/>
      <c r="W130" s="62"/>
      <c r="X130" s="62"/>
      <c r="Y130" s="62"/>
      <c r="Z130" s="62"/>
    </row>
    <row r="131" ht="25.5" customHeight="1">
      <c r="A131" s="62"/>
      <c r="B131" s="62" t="s">
        <v>8036</v>
      </c>
      <c r="C131" s="316" t="s">
        <v>8027</v>
      </c>
      <c r="D131" s="62" t="s">
        <v>8038</v>
      </c>
      <c r="E131" s="62"/>
      <c r="F131" s="62"/>
      <c r="G131" s="316">
        <v>42131.0</v>
      </c>
      <c r="H131" s="62" t="s">
        <v>8039</v>
      </c>
      <c r="I131" s="316" t="s">
        <v>8040</v>
      </c>
      <c r="J131" s="62">
        <v>0.05292824074074074</v>
      </c>
      <c r="K131" s="62"/>
      <c r="L131" s="62" t="s">
        <v>8041</v>
      </c>
      <c r="M131" s="62"/>
      <c r="N131" s="62"/>
      <c r="O131" s="62"/>
      <c r="P131" s="62"/>
      <c r="Q131" s="62"/>
      <c r="R131" s="62"/>
      <c r="S131" s="62"/>
      <c r="T131" s="62"/>
      <c r="U131" s="62"/>
      <c r="V131" s="62"/>
      <c r="W131" s="62"/>
      <c r="X131" s="62"/>
      <c r="Y131" s="62"/>
      <c r="Z131" s="62"/>
    </row>
    <row r="132" ht="26.25" customHeight="1">
      <c r="A132" s="62"/>
      <c r="B132" s="62" t="s">
        <v>8042</v>
      </c>
      <c r="C132" s="62"/>
      <c r="D132" s="62" t="s">
        <v>8043</v>
      </c>
      <c r="E132" s="62" t="s">
        <v>8044</v>
      </c>
      <c r="F132" s="62" t="s">
        <v>8045</v>
      </c>
      <c r="G132" s="315">
        <v>41551.0</v>
      </c>
      <c r="H132" s="62" t="s">
        <v>8048</v>
      </c>
      <c r="I132" s="72"/>
      <c r="J132" s="62">
        <v>0.7034722222222222</v>
      </c>
      <c r="K132" s="62"/>
      <c r="L132" s="62" t="s">
        <v>8049</v>
      </c>
      <c r="M132" s="62" t="s">
        <v>530</v>
      </c>
      <c r="N132" s="62"/>
      <c r="O132" s="62"/>
      <c r="P132" s="62"/>
      <c r="Q132" s="62"/>
      <c r="R132" s="62"/>
      <c r="S132" s="62"/>
      <c r="T132" s="62" t="s">
        <v>769</v>
      </c>
      <c r="U132" s="62" t="s">
        <v>8050</v>
      </c>
      <c r="V132" s="315">
        <v>42166.0</v>
      </c>
      <c r="W132" s="315">
        <v>42528.0</v>
      </c>
      <c r="X132" s="62" t="s">
        <v>769</v>
      </c>
      <c r="Y132" s="315">
        <v>42169.0</v>
      </c>
      <c r="Z132" s="62"/>
    </row>
    <row r="133" ht="26.25" customHeight="1">
      <c r="A133" s="62"/>
      <c r="B133" s="62" t="s">
        <v>8051</v>
      </c>
      <c r="C133" s="62"/>
      <c r="D133" s="62" t="s">
        <v>8052</v>
      </c>
      <c r="E133" s="62"/>
      <c r="F133" s="62" t="s">
        <v>7532</v>
      </c>
      <c r="G133" s="315"/>
      <c r="H133" s="62"/>
      <c r="I133" s="62" t="s">
        <v>8053</v>
      </c>
      <c r="J133" s="62" t="s">
        <v>7683</v>
      </c>
      <c r="K133" s="62" t="s">
        <v>462</v>
      </c>
      <c r="L133" s="62" t="s">
        <v>462</v>
      </c>
      <c r="M133" s="62"/>
      <c r="N133" s="62"/>
      <c r="O133" s="62"/>
      <c r="P133" s="315"/>
      <c r="Q133" s="62" t="s">
        <v>769</v>
      </c>
      <c r="R133" s="62" t="s">
        <v>8054</v>
      </c>
      <c r="S133" s="315">
        <v>41897.0</v>
      </c>
      <c r="T133" s="315">
        <v>42516.0</v>
      </c>
      <c r="U133" s="62" t="s">
        <v>769</v>
      </c>
      <c r="V133" s="62"/>
      <c r="W133" s="315">
        <v>42536.0</v>
      </c>
      <c r="X133" s="62"/>
      <c r="Y133" s="62"/>
      <c r="Z133" s="62"/>
    </row>
    <row r="134" ht="26.25" customHeight="1">
      <c r="A134" s="62"/>
      <c r="B134" s="62" t="s">
        <v>8055</v>
      </c>
      <c r="C134" s="62"/>
      <c r="D134" s="316" t="s">
        <v>8056</v>
      </c>
      <c r="E134" s="62" t="s">
        <v>8057</v>
      </c>
      <c r="F134" s="62" t="s">
        <v>7564</v>
      </c>
      <c r="G134" s="62" t="s">
        <v>8058</v>
      </c>
      <c r="H134" s="62" t="s">
        <v>8059</v>
      </c>
      <c r="I134" s="72" t="str">
        <f>HYPERLINK("http://www.ted.com/playlists/74/our_brains_predictably_?platform=hootsuite","http://www.ted.com/playlists/74/our_brains_predictably_?platform=hootsuite")</f>
        <v>http://www.ted.com/playlists/74/our_brains_predictably_?platform=hootsuite</v>
      </c>
      <c r="J134" s="62"/>
      <c r="K134" s="62"/>
      <c r="L134" s="62"/>
      <c r="M134" s="62"/>
      <c r="N134" s="62" t="s">
        <v>530</v>
      </c>
      <c r="O134" s="62"/>
      <c r="P134" s="62"/>
      <c r="Q134" s="62" t="s">
        <v>677</v>
      </c>
      <c r="R134" s="62"/>
      <c r="S134" s="62"/>
      <c r="T134" s="62"/>
      <c r="U134" s="62"/>
      <c r="V134" s="62"/>
      <c r="W134" s="62"/>
      <c r="X134" s="62"/>
      <c r="Y134" s="62"/>
      <c r="Z134" s="62"/>
    </row>
    <row r="135" ht="26.25" customHeight="1">
      <c r="A135" s="62"/>
      <c r="B135" s="62" t="s">
        <v>8063</v>
      </c>
      <c r="C135" s="62"/>
      <c r="D135" s="316" t="s">
        <v>8065</v>
      </c>
      <c r="E135" s="62" t="s">
        <v>8066</v>
      </c>
      <c r="F135" s="62" t="s">
        <v>7564</v>
      </c>
      <c r="G135" s="62" t="s">
        <v>8058</v>
      </c>
      <c r="H135" s="62" t="s">
        <v>8069</v>
      </c>
      <c r="I135" s="72" t="str">
        <f>HYPERLINK("http://www.ted.com/talks/alex_laskey_how_behavioral_science_can_lower_your_energy_bill#t-134769","http://www.ted.com/talks/alex_laskey_how_behavioral_science_can_lower_your_energy_bill#t-134769")</f>
        <v>http://www.ted.com/talks/alex_laskey_how_behavioral_science_can_lower_your_energy_bill#t-134769</v>
      </c>
      <c r="J135" s="62"/>
      <c r="K135" s="62"/>
      <c r="L135" s="62"/>
      <c r="M135" s="62"/>
      <c r="N135" s="62" t="s">
        <v>530</v>
      </c>
      <c r="O135" s="62"/>
      <c r="P135" s="62"/>
      <c r="Q135" s="62" t="s">
        <v>600</v>
      </c>
      <c r="R135" s="62"/>
      <c r="S135" s="62"/>
      <c r="T135" s="62"/>
      <c r="U135" s="62"/>
      <c r="V135" s="62"/>
      <c r="W135" s="62"/>
      <c r="X135" s="62"/>
      <c r="Y135" s="62"/>
      <c r="Z135" s="62"/>
    </row>
    <row r="136" ht="26.25" customHeight="1">
      <c r="A136" s="62"/>
      <c r="B136" s="62" t="s">
        <v>8078</v>
      </c>
      <c r="C136" s="62"/>
      <c r="D136" s="316" t="s">
        <v>8079</v>
      </c>
      <c r="E136" s="62" t="s">
        <v>8080</v>
      </c>
      <c r="F136" s="62" t="s">
        <v>7564</v>
      </c>
      <c r="G136" s="315">
        <v>42376.0</v>
      </c>
      <c r="H136" s="62" t="s">
        <v>8081</v>
      </c>
      <c r="I136" s="72" t="s">
        <v>8082</v>
      </c>
      <c r="J136" s="62"/>
      <c r="K136" s="62"/>
      <c r="L136" s="62"/>
      <c r="M136" s="62"/>
      <c r="N136" s="62" t="s">
        <v>530</v>
      </c>
      <c r="O136" s="62"/>
      <c r="P136" s="315"/>
      <c r="Q136" s="62" t="s">
        <v>428</v>
      </c>
      <c r="R136" s="62" t="s">
        <v>8083</v>
      </c>
      <c r="S136" s="315">
        <v>42649.0</v>
      </c>
      <c r="T136" s="62"/>
      <c r="U136" s="62"/>
      <c r="V136" s="62"/>
      <c r="W136" s="62"/>
      <c r="X136" s="62"/>
      <c r="Y136" s="62"/>
      <c r="Z136" s="62"/>
    </row>
    <row r="137" ht="26.25" customHeight="1">
      <c r="A137" s="62"/>
      <c r="B137" s="62" t="s">
        <v>8084</v>
      </c>
      <c r="C137" s="62"/>
      <c r="D137" s="316" t="s">
        <v>8085</v>
      </c>
      <c r="E137" s="62"/>
      <c r="F137" s="62" t="s">
        <v>8087</v>
      </c>
      <c r="G137" s="315">
        <v>42217.0</v>
      </c>
      <c r="H137" s="62" t="s">
        <v>8088</v>
      </c>
      <c r="I137" s="72" t="s">
        <v>8091</v>
      </c>
      <c r="J137" s="62"/>
      <c r="K137" s="62"/>
      <c r="L137" s="62"/>
      <c r="M137" s="62"/>
      <c r="N137" s="62" t="s">
        <v>530</v>
      </c>
      <c r="O137" s="62"/>
      <c r="P137" s="315"/>
      <c r="Q137" s="62" t="s">
        <v>769</v>
      </c>
      <c r="R137" s="62" t="s">
        <v>8094</v>
      </c>
      <c r="S137" s="315">
        <v>42654.0</v>
      </c>
      <c r="T137" s="62"/>
      <c r="U137" s="62"/>
      <c r="V137" s="62"/>
      <c r="W137" s="62"/>
      <c r="X137" s="62"/>
      <c r="Y137" s="62"/>
      <c r="Z137" s="62"/>
    </row>
    <row r="138" ht="26.25" customHeight="1">
      <c r="A138" s="62"/>
      <c r="B138" s="62" t="s">
        <v>8097</v>
      </c>
      <c r="C138" s="62"/>
      <c r="D138" s="316" t="s">
        <v>8099</v>
      </c>
      <c r="E138" s="62"/>
      <c r="F138" s="62" t="s">
        <v>7532</v>
      </c>
      <c r="G138" s="315">
        <v>41981.0</v>
      </c>
      <c r="H138" s="62" t="s">
        <v>8100</v>
      </c>
      <c r="I138" s="72" t="s">
        <v>8101</v>
      </c>
      <c r="J138" s="62"/>
      <c r="K138" s="62"/>
      <c r="L138" s="62"/>
      <c r="M138" s="62"/>
      <c r="N138" s="62" t="s">
        <v>530</v>
      </c>
      <c r="O138" s="62"/>
      <c r="P138" s="315"/>
      <c r="Q138" s="62" t="s">
        <v>1594</v>
      </c>
      <c r="R138" s="62" t="s">
        <v>8105</v>
      </c>
      <c r="S138" s="315">
        <v>42657.0</v>
      </c>
      <c r="T138" s="62"/>
      <c r="U138" s="62"/>
      <c r="V138" s="62"/>
      <c r="W138" s="62"/>
      <c r="X138" s="62"/>
      <c r="Y138" s="62"/>
      <c r="Z138" s="62"/>
    </row>
    <row r="139" ht="26.25" customHeight="1">
      <c r="A139" s="62"/>
      <c r="B139" s="62" t="s">
        <v>8108</v>
      </c>
      <c r="C139" s="62"/>
      <c r="D139" s="316" t="s">
        <v>8110</v>
      </c>
      <c r="E139" s="62" t="s">
        <v>1378</v>
      </c>
      <c r="F139" s="62" t="s">
        <v>8111</v>
      </c>
      <c r="G139" s="315">
        <v>41946.0</v>
      </c>
      <c r="H139" s="62" t="s">
        <v>8112</v>
      </c>
      <c r="I139" s="72" t="str">
        <f>HYPERLINK("https://www.youtube.com/watch?v=yl4NSy0SXtc","https://www.youtube.com/watch?v=yl4NSy0SXtc")</f>
        <v>https://www.youtube.com/watch?v=yl4NSy0SXtc</v>
      </c>
      <c r="J139" s="62"/>
      <c r="K139" s="62"/>
      <c r="L139" s="62"/>
      <c r="M139" s="62"/>
      <c r="N139" s="62" t="s">
        <v>530</v>
      </c>
      <c r="O139" s="62"/>
      <c r="P139" s="62"/>
      <c r="Q139" s="62" t="s">
        <v>600</v>
      </c>
      <c r="R139" s="62"/>
      <c r="S139" s="62"/>
      <c r="T139" s="62"/>
      <c r="U139" s="62"/>
      <c r="V139" s="62"/>
      <c r="W139" s="62"/>
      <c r="X139" s="62"/>
      <c r="Y139" s="62"/>
      <c r="Z139" s="62"/>
    </row>
    <row r="140" ht="26.25" customHeight="1">
      <c r="A140" s="62"/>
      <c r="B140" s="62" t="s">
        <v>8055</v>
      </c>
      <c r="C140" s="62"/>
      <c r="D140" s="316" t="s">
        <v>8114</v>
      </c>
      <c r="E140" s="62" t="s">
        <v>8115</v>
      </c>
      <c r="F140" s="62" t="s">
        <v>8116</v>
      </c>
      <c r="G140" s="315">
        <v>42138.0</v>
      </c>
      <c r="H140" s="62" t="s">
        <v>8117</v>
      </c>
      <c r="I140" s="72" t="str">
        <f>HYPERLINK("https://www.youtube.com/watch?v=3Ux3pm6UfCo","https://www.youtube.com/watch?v=3Ux3pm6UfCo")</f>
        <v>https://www.youtube.com/watch?v=3Ux3pm6UfCo</v>
      </c>
      <c r="J140" s="62"/>
      <c r="K140" s="62"/>
      <c r="L140" s="62"/>
      <c r="M140" s="62"/>
      <c r="N140" s="62" t="s">
        <v>530</v>
      </c>
      <c r="O140" s="62"/>
      <c r="P140" s="315"/>
      <c r="Q140" s="62" t="s">
        <v>769</v>
      </c>
      <c r="R140" s="62" t="s">
        <v>8125</v>
      </c>
      <c r="S140" s="315">
        <v>42711.0</v>
      </c>
      <c r="T140" s="62"/>
      <c r="U140" s="62"/>
      <c r="V140" s="62"/>
      <c r="W140" s="62"/>
      <c r="X140" s="62"/>
      <c r="Y140" s="62"/>
      <c r="Z140" s="62"/>
    </row>
    <row r="141" ht="26.25" customHeight="1">
      <c r="A141" s="62"/>
      <c r="B141" s="62" t="s">
        <v>8108</v>
      </c>
      <c r="C141" s="62"/>
      <c r="D141" s="316" t="s">
        <v>8127</v>
      </c>
      <c r="E141" s="62" t="s">
        <v>8128</v>
      </c>
      <c r="F141" s="62" t="s">
        <v>8116</v>
      </c>
      <c r="G141" s="315">
        <v>41221.0</v>
      </c>
      <c r="H141" s="62" t="s">
        <v>8130</v>
      </c>
      <c r="I141" s="72" t="str">
        <f>HYPERLINK("https://www.youtube.com/watch?v=G7OhZ0Opi2M","https://www.youtube.com/watch?v=G7OhZ0Opi2M")</f>
        <v>https://www.youtube.com/watch?v=G7OhZ0Opi2M</v>
      </c>
      <c r="J141" s="62"/>
      <c r="K141" s="62"/>
      <c r="L141" s="62"/>
      <c r="M141" s="62"/>
      <c r="N141" s="62" t="s">
        <v>530</v>
      </c>
      <c r="O141" s="62"/>
      <c r="P141" s="62"/>
      <c r="Q141" s="62" t="s">
        <v>600</v>
      </c>
      <c r="R141" s="62"/>
      <c r="S141" s="62"/>
      <c r="T141" s="62"/>
      <c r="U141" s="62"/>
      <c r="V141" s="62"/>
      <c r="W141" s="62"/>
      <c r="X141" s="62"/>
      <c r="Y141" s="62"/>
      <c r="Z141" s="62"/>
    </row>
    <row r="142" ht="26.25" customHeight="1">
      <c r="A142" s="62"/>
      <c r="B142" s="62" t="s">
        <v>8134</v>
      </c>
      <c r="C142" s="62"/>
      <c r="D142" s="316" t="s">
        <v>8135</v>
      </c>
      <c r="E142" s="62" t="s">
        <v>8137</v>
      </c>
      <c r="F142" s="62" t="s">
        <v>8116</v>
      </c>
      <c r="G142" s="315">
        <v>41420.0</v>
      </c>
      <c r="H142" s="62" t="s">
        <v>8139</v>
      </c>
      <c r="I142" s="72" t="str">
        <f>HYPERLINK("https://www.youtube.com/watch?v=nfGaMvvYtpk","https://www.youtube.com/watch?v=nfGaMvvYtpk")</f>
        <v>https://www.youtube.com/watch?v=nfGaMvvYtpk</v>
      </c>
      <c r="J142" s="62"/>
      <c r="K142" s="62"/>
      <c r="L142" s="62"/>
      <c r="M142" s="62"/>
      <c r="N142" s="62" t="s">
        <v>530</v>
      </c>
      <c r="O142" s="62"/>
      <c r="P142" s="62"/>
      <c r="Q142" s="62" t="s">
        <v>677</v>
      </c>
      <c r="R142" s="62"/>
      <c r="S142" s="62"/>
      <c r="T142" s="62"/>
      <c r="U142" s="62"/>
      <c r="V142" s="62"/>
      <c r="W142" s="62"/>
      <c r="X142" s="62"/>
      <c r="Y142" s="62"/>
      <c r="Z142" s="62"/>
    </row>
    <row r="143" ht="26.25" customHeight="1">
      <c r="A143" s="62"/>
      <c r="B143" s="62" t="s">
        <v>8142</v>
      </c>
      <c r="C143" s="62"/>
      <c r="D143" s="316" t="s">
        <v>8144</v>
      </c>
      <c r="E143" s="62" t="s">
        <v>8145</v>
      </c>
      <c r="F143" s="62" t="s">
        <v>8116</v>
      </c>
      <c r="G143" s="315">
        <v>39937.0</v>
      </c>
      <c r="H143" s="62" t="s">
        <v>8147</v>
      </c>
      <c r="I143" s="72" t="s">
        <v>8148</v>
      </c>
      <c r="J143" s="62"/>
      <c r="K143" s="62"/>
      <c r="L143" s="62"/>
      <c r="M143" s="62"/>
      <c r="N143" s="62" t="s">
        <v>530</v>
      </c>
      <c r="O143" s="62"/>
      <c r="P143" s="62"/>
      <c r="Q143" s="62" t="s">
        <v>428</v>
      </c>
      <c r="R143" s="62" t="s">
        <v>8151</v>
      </c>
      <c r="S143" s="315">
        <v>42660.0</v>
      </c>
      <c r="T143" s="62"/>
      <c r="U143" s="62"/>
      <c r="V143" s="62"/>
      <c r="W143" s="62"/>
      <c r="X143" s="62"/>
      <c r="Y143" s="62"/>
      <c r="Z143" s="62"/>
    </row>
    <row r="144" ht="25.5" customHeight="1">
      <c r="A144" s="62"/>
      <c r="B144" s="62" t="s">
        <v>8078</v>
      </c>
      <c r="C144" s="62"/>
      <c r="D144" s="316" t="s">
        <v>8155</v>
      </c>
      <c r="E144" s="62" t="s">
        <v>8156</v>
      </c>
      <c r="F144" s="62" t="s">
        <v>8116</v>
      </c>
      <c r="G144" s="315">
        <v>41281.0</v>
      </c>
      <c r="H144" s="62" t="s">
        <v>8157</v>
      </c>
      <c r="I144" s="72" t="str">
        <f>HYPERLINK("https://www.youtube.com/watch?v=V6l1rFvOarM","https://www.youtube.com/watch?v=V6l1rFvOarM")</f>
        <v>https://www.youtube.com/watch?v=V6l1rFvOarM</v>
      </c>
      <c r="J144" s="62"/>
      <c r="K144" s="62"/>
      <c r="L144" s="62"/>
      <c r="M144" s="62"/>
      <c r="N144" s="62" t="s">
        <v>530</v>
      </c>
      <c r="O144" s="62"/>
      <c r="P144" s="62"/>
      <c r="Q144" s="62" t="s">
        <v>769</v>
      </c>
      <c r="R144" s="62" t="s">
        <v>8166</v>
      </c>
      <c r="S144" s="315">
        <v>42662.0</v>
      </c>
      <c r="T144" s="62"/>
      <c r="U144" s="62"/>
      <c r="V144" s="62"/>
      <c r="W144" s="62"/>
      <c r="X144" s="62"/>
      <c r="Y144" s="62"/>
      <c r="Z144" s="62"/>
    </row>
    <row r="145" ht="26.25" customHeight="1">
      <c r="A145" s="62"/>
      <c r="B145" s="62" t="s">
        <v>8167</v>
      </c>
      <c r="C145" s="316"/>
      <c r="D145" s="62" t="s">
        <v>8169</v>
      </c>
      <c r="E145" s="62" t="s">
        <v>610</v>
      </c>
      <c r="F145" s="62" t="s">
        <v>8171</v>
      </c>
      <c r="G145" s="316" t="s">
        <v>610</v>
      </c>
      <c r="H145" s="62" t="s">
        <v>8173</v>
      </c>
      <c r="I145" s="326" t="s">
        <v>8174</v>
      </c>
      <c r="J145" s="62"/>
      <c r="K145" s="62"/>
      <c r="L145" s="62"/>
      <c r="M145" s="62"/>
      <c r="N145" s="62" t="s">
        <v>530</v>
      </c>
      <c r="O145" s="62"/>
      <c r="P145" s="62"/>
      <c r="Q145" s="62" t="s">
        <v>428</v>
      </c>
      <c r="R145" s="62" t="s">
        <v>8178</v>
      </c>
      <c r="S145" s="315">
        <v>42664.0</v>
      </c>
      <c r="T145" s="62"/>
      <c r="U145" s="62"/>
      <c r="V145" s="62"/>
      <c r="W145" s="62"/>
      <c r="X145" s="62"/>
      <c r="Y145" s="62"/>
      <c r="Z145" s="62"/>
    </row>
    <row r="146" ht="25.5" customHeight="1">
      <c r="A146" s="62"/>
      <c r="B146" s="62" t="s">
        <v>8055</v>
      </c>
      <c r="C146" s="62"/>
      <c r="D146" s="316" t="s">
        <v>8114</v>
      </c>
      <c r="E146" s="62" t="s">
        <v>8115</v>
      </c>
      <c r="F146" s="62" t="s">
        <v>8116</v>
      </c>
      <c r="G146" s="315">
        <v>42138.0</v>
      </c>
      <c r="H146" s="62" t="s">
        <v>8117</v>
      </c>
      <c r="I146" s="72" t="str">
        <f>HYPERLINK("https://www.youtube.com/watch?v=3Ux3pm6UfCo","https://www.youtube.com/watch?v=3Ux3pm6UfCo")</f>
        <v>https://www.youtube.com/watch?v=3Ux3pm6UfCo</v>
      </c>
      <c r="J146" s="62"/>
      <c r="K146" s="62"/>
      <c r="L146" s="62"/>
      <c r="M146" s="62"/>
      <c r="N146" s="62" t="s">
        <v>530</v>
      </c>
      <c r="O146" s="62"/>
      <c r="P146" s="315"/>
      <c r="Q146" s="62" t="s">
        <v>769</v>
      </c>
      <c r="R146" s="62" t="s">
        <v>8125</v>
      </c>
      <c r="S146" s="315">
        <v>42655.0</v>
      </c>
      <c r="T146" s="62"/>
      <c r="U146" s="62"/>
      <c r="V146" s="62"/>
      <c r="W146" s="62"/>
      <c r="X146" s="62"/>
      <c r="Y146" s="62"/>
      <c r="Z146" s="62"/>
    </row>
    <row r="147" ht="26.25" customHeight="1">
      <c r="A147" s="62"/>
      <c r="B147" s="62" t="s">
        <v>8190</v>
      </c>
      <c r="C147" s="316" t="s">
        <v>8191</v>
      </c>
      <c r="D147" s="62" t="s">
        <v>8192</v>
      </c>
      <c r="E147" s="62"/>
      <c r="F147" s="62" t="s">
        <v>7564</v>
      </c>
      <c r="G147" s="316">
        <v>42401.0</v>
      </c>
      <c r="H147" s="62" t="s">
        <v>8195</v>
      </c>
      <c r="I147" s="316" t="s">
        <v>8196</v>
      </c>
      <c r="J147" s="62"/>
      <c r="K147" s="62"/>
      <c r="L147" s="62"/>
      <c r="M147" s="62"/>
      <c r="N147" s="62" t="s">
        <v>530</v>
      </c>
      <c r="O147" s="62"/>
      <c r="P147" s="62"/>
      <c r="Q147" s="62" t="s">
        <v>769</v>
      </c>
      <c r="R147" s="62" t="s">
        <v>8198</v>
      </c>
      <c r="S147" s="315">
        <v>42668.0</v>
      </c>
      <c r="T147" s="62"/>
      <c r="U147" s="62" t="s">
        <v>769</v>
      </c>
      <c r="V147" s="315">
        <v>42627.0</v>
      </c>
      <c r="W147" s="62"/>
      <c r="X147" s="62"/>
      <c r="Y147" s="62"/>
      <c r="Z147" s="62"/>
    </row>
    <row r="148" ht="26.25" customHeight="1">
      <c r="A148" s="62"/>
      <c r="B148" s="62" t="s">
        <v>8199</v>
      </c>
      <c r="C148" s="62"/>
      <c r="D148" s="62" t="s">
        <v>7695</v>
      </c>
      <c r="E148" s="62" t="s">
        <v>1654</v>
      </c>
      <c r="F148" s="62" t="s">
        <v>7532</v>
      </c>
      <c r="G148" s="327">
        <v>2014.0</v>
      </c>
      <c r="H148" s="62" t="s">
        <v>8210</v>
      </c>
      <c r="I148" s="62"/>
      <c r="J148" s="62"/>
      <c r="K148" s="62" t="s">
        <v>8212</v>
      </c>
      <c r="L148" s="62" t="s">
        <v>7685</v>
      </c>
      <c r="M148" s="72" t="s">
        <v>2495</v>
      </c>
      <c r="N148" s="62" t="s">
        <v>2495</v>
      </c>
      <c r="O148" s="62"/>
      <c r="P148" s="62"/>
      <c r="Q148" s="62" t="s">
        <v>769</v>
      </c>
      <c r="R148" s="62" t="s">
        <v>8214</v>
      </c>
      <c r="S148" s="315">
        <v>42341.0</v>
      </c>
      <c r="T148" s="315">
        <v>42528.0</v>
      </c>
      <c r="U148" s="315" t="s">
        <v>769</v>
      </c>
      <c r="V148" s="315">
        <v>42347.0</v>
      </c>
      <c r="W148" s="62"/>
      <c r="X148" s="315"/>
      <c r="Y148" s="62"/>
      <c r="Z148" s="62"/>
    </row>
    <row r="149" ht="25.5" customHeight="1">
      <c r="A149" s="62"/>
      <c r="B149" s="62" t="s">
        <v>8215</v>
      </c>
      <c r="C149" s="62"/>
      <c r="D149" s="62" t="s">
        <v>8216</v>
      </c>
      <c r="E149" s="62" t="s">
        <v>3641</v>
      </c>
      <c r="F149" s="62" t="s">
        <v>3642</v>
      </c>
      <c r="G149" s="68">
        <v>42067.0</v>
      </c>
      <c r="H149" s="62" t="s">
        <v>8217</v>
      </c>
      <c r="I149" s="62"/>
      <c r="J149" s="62"/>
      <c r="K149" s="327"/>
      <c r="L149" s="315" t="s">
        <v>8218</v>
      </c>
      <c r="M149" s="62" t="s">
        <v>462</v>
      </c>
      <c r="N149" s="62" t="s">
        <v>462</v>
      </c>
      <c r="O149" s="62"/>
      <c r="P149" s="62"/>
      <c r="Q149" s="62" t="s">
        <v>677</v>
      </c>
      <c r="R149" s="62"/>
      <c r="S149" s="62"/>
      <c r="T149" s="62"/>
      <c r="U149" s="62"/>
      <c r="V149" s="62"/>
      <c r="W149" s="62"/>
      <c r="X149" s="62"/>
      <c r="Y149" s="62"/>
      <c r="Z149" s="62"/>
    </row>
    <row r="150" ht="25.5" customHeight="1">
      <c r="A150" s="62"/>
      <c r="B150" s="62"/>
      <c r="C150" s="316"/>
      <c r="D150" s="62"/>
      <c r="E150" s="62"/>
      <c r="F150" s="62"/>
      <c r="G150" s="316"/>
      <c r="H150" s="62"/>
      <c r="I150" s="316"/>
      <c r="J150" s="62"/>
      <c r="K150" s="62"/>
      <c r="L150" s="62"/>
      <c r="M150" s="62"/>
      <c r="N150" s="62"/>
      <c r="O150" s="62"/>
      <c r="P150" s="62"/>
      <c r="Q150" s="62"/>
      <c r="R150" s="62"/>
      <c r="S150" s="62"/>
      <c r="T150" s="62"/>
      <c r="U150" s="62"/>
      <c r="V150" s="62"/>
      <c r="W150" s="62"/>
      <c r="X150" s="62"/>
      <c r="Y150" s="62"/>
      <c r="Z150" s="62"/>
    </row>
    <row r="151" ht="25.5" customHeight="1">
      <c r="A151" s="62"/>
      <c r="B151" s="62"/>
      <c r="C151" s="316"/>
      <c r="D151" s="62"/>
      <c r="E151" s="62"/>
      <c r="F151" s="62"/>
      <c r="G151" s="316"/>
      <c r="H151" s="62"/>
      <c r="I151" s="316"/>
      <c r="J151" s="318"/>
      <c r="K151" s="318"/>
      <c r="L151" s="62"/>
      <c r="M151" s="318"/>
      <c r="N151" s="62"/>
      <c r="O151" s="318"/>
      <c r="P151" s="62"/>
      <c r="Q151" s="318"/>
      <c r="R151" s="318"/>
      <c r="S151" s="318"/>
      <c r="T151" s="318"/>
      <c r="U151" s="318"/>
      <c r="V151" s="318"/>
      <c r="W151" s="62"/>
      <c r="X151" s="62"/>
      <c r="Y151" s="62"/>
      <c r="Z151" s="62"/>
    </row>
    <row r="152" ht="25.5" customHeight="1">
      <c r="A152" s="318" t="s">
        <v>8221</v>
      </c>
      <c r="B152" s="318"/>
      <c r="C152" s="316"/>
      <c r="D152" s="318" t="s">
        <v>7228</v>
      </c>
      <c r="E152" s="318"/>
      <c r="F152" s="318"/>
      <c r="G152" s="316"/>
      <c r="H152" s="318" t="s">
        <v>8225</v>
      </c>
      <c r="I152" s="316"/>
      <c r="J152" s="328">
        <v>0.2826388888888889</v>
      </c>
      <c r="K152" s="318"/>
      <c r="L152" s="318" t="s">
        <v>7231</v>
      </c>
      <c r="M152" s="318"/>
      <c r="N152" s="62"/>
      <c r="O152" s="318"/>
      <c r="P152" s="62"/>
      <c r="Q152" s="62"/>
      <c r="R152" s="318"/>
      <c r="S152" s="62"/>
      <c r="T152" s="318"/>
      <c r="U152" s="318"/>
      <c r="V152" s="329"/>
      <c r="W152" s="62"/>
      <c r="X152" s="62"/>
      <c r="Y152" s="62"/>
      <c r="Z152" s="62"/>
    </row>
    <row r="153" ht="25.5" customHeight="1">
      <c r="A153" s="318" t="s">
        <v>8221</v>
      </c>
      <c r="B153" s="318" t="s">
        <v>8232</v>
      </c>
      <c r="C153" s="316"/>
      <c r="D153" s="62" t="s">
        <v>7252</v>
      </c>
      <c r="E153" s="318" t="s">
        <v>7255</v>
      </c>
      <c r="F153" s="318" t="s">
        <v>8237</v>
      </c>
      <c r="G153" s="316"/>
      <c r="H153" s="318" t="s">
        <v>8238</v>
      </c>
      <c r="I153" s="316"/>
      <c r="J153" s="330" t="s">
        <v>8239</v>
      </c>
      <c r="K153" s="318"/>
      <c r="L153" s="331" t="str">
        <f>HYPERLINK("https://www.youtube.com/watch?v=jGIxYjfMedg","https://www.youtube.com/watch?v=jGIxYjfMedg")</f>
        <v>https://www.youtube.com/watch?v=jGIxYjfMedg</v>
      </c>
      <c r="M153" s="318"/>
      <c r="N153" s="62"/>
      <c r="O153" s="318" t="s">
        <v>8251</v>
      </c>
      <c r="P153" s="62"/>
      <c r="Q153" s="62"/>
      <c r="R153" s="318"/>
      <c r="S153" s="62"/>
      <c r="T153" s="318"/>
      <c r="U153" s="318"/>
      <c r="V153" s="329"/>
      <c r="W153" s="62"/>
      <c r="X153" s="62"/>
      <c r="Y153" s="62"/>
      <c r="Z153" s="62"/>
    </row>
    <row r="154" ht="25.5" customHeight="1">
      <c r="A154" s="318" t="s">
        <v>8221</v>
      </c>
      <c r="B154" s="318" t="s">
        <v>8255</v>
      </c>
      <c r="C154" s="316"/>
      <c r="D154" s="62" t="s">
        <v>8257</v>
      </c>
      <c r="E154" s="318"/>
      <c r="F154" s="318" t="s">
        <v>8258</v>
      </c>
      <c r="G154" s="316"/>
      <c r="H154" s="318" t="s">
        <v>8261</v>
      </c>
      <c r="I154" s="316"/>
      <c r="J154" s="328" t="s">
        <v>8262</v>
      </c>
      <c r="K154" s="318" t="s">
        <v>8264</v>
      </c>
      <c r="L154" s="318" t="s">
        <v>8265</v>
      </c>
      <c r="M154" s="318" t="s">
        <v>8266</v>
      </c>
      <c r="N154" s="62"/>
      <c r="O154" s="318" t="s">
        <v>8267</v>
      </c>
      <c r="P154" s="62"/>
      <c r="Q154" s="62"/>
      <c r="R154" s="318"/>
      <c r="S154" s="62"/>
      <c r="T154" s="318"/>
      <c r="U154" s="318"/>
      <c r="V154" s="329"/>
      <c r="W154" s="62"/>
      <c r="X154" s="62"/>
      <c r="Y154" s="62"/>
      <c r="Z154" s="62"/>
    </row>
    <row r="155" ht="25.5" customHeight="1">
      <c r="A155" s="318" t="s">
        <v>8268</v>
      </c>
      <c r="B155" s="318" t="s">
        <v>8255</v>
      </c>
      <c r="C155" s="316"/>
      <c r="D155" s="62" t="s">
        <v>8269</v>
      </c>
      <c r="E155" s="318" t="s">
        <v>2414</v>
      </c>
      <c r="F155" s="318" t="s">
        <v>8270</v>
      </c>
      <c r="G155" s="316"/>
      <c r="H155" s="318" t="s">
        <v>8273</v>
      </c>
      <c r="I155" s="316"/>
      <c r="J155" s="328" t="s">
        <v>8275</v>
      </c>
      <c r="K155" s="318"/>
      <c r="L155" s="318" t="s">
        <v>8276</v>
      </c>
      <c r="M155" s="318"/>
      <c r="N155" s="62"/>
      <c r="O155" s="318" t="s">
        <v>8267</v>
      </c>
      <c r="P155" s="62"/>
      <c r="Q155" s="62"/>
      <c r="R155" s="318"/>
      <c r="S155" s="62"/>
      <c r="T155" s="318"/>
      <c r="U155" s="318"/>
      <c r="V155" s="329"/>
      <c r="W155" s="62"/>
      <c r="X155" s="62"/>
      <c r="Y155" s="62"/>
      <c r="Z155" s="62"/>
    </row>
    <row r="156" ht="25.5" customHeight="1">
      <c r="A156" s="318"/>
      <c r="B156" s="318" t="s">
        <v>8255</v>
      </c>
      <c r="C156" s="316"/>
      <c r="D156" s="318" t="s">
        <v>7228</v>
      </c>
      <c r="E156" s="318" t="s">
        <v>3944</v>
      </c>
      <c r="F156" s="318"/>
      <c r="G156" s="316"/>
      <c r="H156" s="318" t="s">
        <v>8225</v>
      </c>
      <c r="I156" s="316"/>
      <c r="J156" s="328">
        <v>0.2826388888888889</v>
      </c>
      <c r="K156" s="318"/>
      <c r="L156" s="332" t="s">
        <v>7231</v>
      </c>
      <c r="M156" s="328"/>
      <c r="N156" s="62"/>
      <c r="O156" s="318" t="s">
        <v>8267</v>
      </c>
      <c r="P156" s="62"/>
      <c r="Q156" s="62"/>
      <c r="R156" s="318"/>
      <c r="S156" s="62"/>
      <c r="T156" s="318"/>
      <c r="U156" s="318"/>
      <c r="V156" s="318"/>
      <c r="W156" s="62"/>
      <c r="X156" s="62"/>
      <c r="Y156" s="62"/>
      <c r="Z156" s="62"/>
    </row>
    <row r="157" ht="25.5" customHeight="1">
      <c r="A157" s="318"/>
      <c r="B157" s="318" t="s">
        <v>8255</v>
      </c>
      <c r="C157" s="316"/>
      <c r="D157" s="318" t="s">
        <v>7245</v>
      </c>
      <c r="E157" s="318" t="s">
        <v>3944</v>
      </c>
      <c r="F157" s="318"/>
      <c r="G157" s="316"/>
      <c r="H157" s="318" t="s">
        <v>8294</v>
      </c>
      <c r="I157" s="316"/>
      <c r="J157" s="330">
        <v>1.5527777777777778</v>
      </c>
      <c r="K157" s="318"/>
      <c r="L157" s="318" t="s">
        <v>7248</v>
      </c>
      <c r="M157" s="330"/>
      <c r="N157" s="62"/>
      <c r="O157" s="318" t="s">
        <v>8267</v>
      </c>
      <c r="P157" s="62"/>
      <c r="Q157" s="62"/>
      <c r="R157" s="318"/>
      <c r="S157" s="62"/>
      <c r="T157" s="318"/>
      <c r="U157" s="318"/>
      <c r="V157" s="318"/>
      <c r="W157" s="62"/>
      <c r="X157" s="62"/>
      <c r="Y157" s="62"/>
      <c r="Z157" s="62"/>
    </row>
    <row r="158" ht="25.5" customHeight="1">
      <c r="A158" s="318"/>
      <c r="B158" s="318" t="s">
        <v>8255</v>
      </c>
      <c r="C158" s="316"/>
      <c r="D158" s="318" t="s">
        <v>8297</v>
      </c>
      <c r="E158" s="318" t="s">
        <v>2414</v>
      </c>
      <c r="F158" s="318"/>
      <c r="G158" s="316"/>
      <c r="H158" s="318" t="s">
        <v>8298</v>
      </c>
      <c r="I158" s="316"/>
      <c r="J158" s="328">
        <v>0.7902777777777777</v>
      </c>
      <c r="K158" s="318"/>
      <c r="L158" s="318" t="s">
        <v>8299</v>
      </c>
      <c r="M158" s="328"/>
      <c r="N158" s="62"/>
      <c r="O158" s="318" t="s">
        <v>8267</v>
      </c>
      <c r="P158" s="62"/>
      <c r="Q158" s="62"/>
      <c r="R158" s="318"/>
      <c r="S158" s="62"/>
      <c r="T158" s="318"/>
      <c r="U158" s="318"/>
      <c r="V158" s="318"/>
      <c r="W158" s="62"/>
      <c r="X158" s="62"/>
      <c r="Y158" s="62"/>
      <c r="Z158" s="62"/>
    </row>
    <row r="159" ht="25.5" customHeight="1">
      <c r="A159" s="318"/>
      <c r="B159" s="318" t="s">
        <v>8255</v>
      </c>
      <c r="C159" s="316"/>
      <c r="D159" s="318" t="s">
        <v>8301</v>
      </c>
      <c r="E159" s="318" t="s">
        <v>8302</v>
      </c>
      <c r="F159" s="318"/>
      <c r="G159" s="316"/>
      <c r="H159" s="318" t="s">
        <v>8306</v>
      </c>
      <c r="I159" s="316"/>
      <c r="J159" s="328">
        <v>0.7625000000000001</v>
      </c>
      <c r="K159" s="318"/>
      <c r="L159" s="318" t="s">
        <v>7238</v>
      </c>
      <c r="M159" s="328"/>
      <c r="N159" s="62"/>
      <c r="O159" s="318" t="s">
        <v>8267</v>
      </c>
      <c r="P159" s="62"/>
      <c r="Q159" s="62"/>
      <c r="R159" s="318"/>
      <c r="S159" s="62"/>
      <c r="T159" s="318"/>
      <c r="U159" s="318"/>
      <c r="V159" s="318"/>
      <c r="W159" s="62"/>
      <c r="X159" s="62"/>
      <c r="Y159" s="62"/>
      <c r="Z159" s="62"/>
    </row>
    <row r="160" ht="25.5" customHeight="1">
      <c r="A160" s="318" t="s">
        <v>8312</v>
      </c>
      <c r="B160" s="318" t="s">
        <v>2424</v>
      </c>
      <c r="C160" s="316"/>
      <c r="D160" s="318" t="s">
        <v>2422</v>
      </c>
      <c r="E160" s="318" t="s">
        <v>2414</v>
      </c>
      <c r="F160" s="318" t="s">
        <v>2423</v>
      </c>
      <c r="G160" s="318">
        <v>2010.0</v>
      </c>
      <c r="H160" s="62"/>
      <c r="I160" s="316"/>
      <c r="J160" s="318" t="s">
        <v>2421</v>
      </c>
      <c r="K160" s="318" t="s">
        <v>2430</v>
      </c>
      <c r="L160" s="331" t="str">
        <f>HYPERLINK("http://www.slideshare.net/captology/3-steps-to-new-habits","http://www.slideshare.net/captology/3-steps-to-new-habits")</f>
        <v>http://www.slideshare.net/captology/3-steps-to-new-habits</v>
      </c>
      <c r="M160" s="318"/>
      <c r="N160" s="62"/>
      <c r="O160" s="318" t="s">
        <v>8321</v>
      </c>
      <c r="P160" s="62"/>
      <c r="Q160" s="62"/>
      <c r="R160" s="318"/>
      <c r="S160" s="62"/>
      <c r="T160" s="318"/>
      <c r="U160" s="318"/>
      <c r="V160" s="318"/>
      <c r="W160" s="62"/>
      <c r="X160" s="62"/>
      <c r="Y160" s="62"/>
      <c r="Z160" s="62"/>
    </row>
    <row r="161" ht="25.5" customHeight="1">
      <c r="A161" s="318" t="s">
        <v>8312</v>
      </c>
      <c r="B161" s="318" t="s">
        <v>2436</v>
      </c>
      <c r="C161" s="316"/>
      <c r="D161" s="318" t="s">
        <v>2434</v>
      </c>
      <c r="E161" s="318" t="s">
        <v>2435</v>
      </c>
      <c r="F161" s="318" t="s">
        <v>2423</v>
      </c>
      <c r="G161" s="329">
        <v>42339.0</v>
      </c>
      <c r="H161" s="62"/>
      <c r="I161" s="316"/>
      <c r="J161" s="318" t="s">
        <v>2421</v>
      </c>
      <c r="K161" s="318" t="s">
        <v>2430</v>
      </c>
      <c r="L161" s="318" t="s">
        <v>8323</v>
      </c>
      <c r="M161" s="318" t="s">
        <v>8324</v>
      </c>
      <c r="N161" s="62"/>
      <c r="O161" s="318" t="s">
        <v>8321</v>
      </c>
      <c r="P161" s="62"/>
      <c r="Q161" s="62"/>
      <c r="R161" s="318"/>
      <c r="S161" s="62"/>
      <c r="T161" s="318"/>
      <c r="U161" s="318"/>
      <c r="V161" s="318"/>
      <c r="W161" s="62"/>
      <c r="X161" s="62"/>
      <c r="Y161" s="62"/>
      <c r="Z161" s="62"/>
    </row>
    <row r="162" ht="25.5" customHeight="1">
      <c r="A162" s="62"/>
      <c r="B162" s="62" t="s">
        <v>8326</v>
      </c>
      <c r="C162" s="316"/>
      <c r="D162" s="62" t="s">
        <v>8327</v>
      </c>
      <c r="E162" s="62" t="s">
        <v>8328</v>
      </c>
      <c r="F162" s="62" t="s">
        <v>7487</v>
      </c>
      <c r="G162" s="62">
        <v>2012.0</v>
      </c>
      <c r="H162" s="333">
        <v>41250.0</v>
      </c>
      <c r="I162" s="316"/>
      <c r="J162" s="62"/>
      <c r="K162" s="62" t="s">
        <v>8340</v>
      </c>
      <c r="L162" s="62" t="s">
        <v>8343</v>
      </c>
      <c r="M162" s="62"/>
      <c r="N162" s="62"/>
      <c r="O162" s="62"/>
      <c r="P162" s="62"/>
      <c r="Q162" s="62"/>
      <c r="R162" s="62"/>
      <c r="S162" s="62"/>
      <c r="T162" s="62"/>
      <c r="U162" s="62"/>
      <c r="V162" s="62"/>
      <c r="W162" s="62"/>
      <c r="X162" s="62"/>
      <c r="Y162" s="62"/>
      <c r="Z162" s="62"/>
    </row>
    <row r="163" ht="36.0" customHeight="1">
      <c r="A163" s="60"/>
      <c r="B163" s="62"/>
      <c r="C163" s="62"/>
      <c r="D163" s="62"/>
      <c r="E163" s="62"/>
      <c r="F163" s="62"/>
      <c r="G163" s="62"/>
      <c r="H163" s="62"/>
      <c r="I163" s="62"/>
      <c r="J163" s="62"/>
      <c r="K163" s="62"/>
      <c r="L163" s="62"/>
      <c r="M163" s="62"/>
      <c r="N163" s="62"/>
      <c r="O163" s="62"/>
      <c r="P163" s="62"/>
      <c r="Q163" s="62"/>
      <c r="R163" s="62"/>
      <c r="S163" s="62"/>
      <c r="T163" s="62"/>
      <c r="U163" s="62"/>
      <c r="V163" s="62"/>
      <c r="W163" s="62"/>
      <c r="X163" s="62"/>
      <c r="Y163" s="62"/>
      <c r="Z163" s="62"/>
    </row>
    <row r="164" ht="25.5" customHeight="1">
      <c r="A164" s="62"/>
      <c r="B164" s="62"/>
      <c r="C164" s="316"/>
      <c r="D164" s="62"/>
      <c r="E164" s="62"/>
      <c r="F164" s="62"/>
      <c r="G164" s="316"/>
      <c r="H164" s="62"/>
      <c r="I164" s="316"/>
      <c r="J164" s="62"/>
      <c r="K164" s="62"/>
      <c r="L164" s="62"/>
      <c r="M164" s="62"/>
      <c r="N164" s="62"/>
      <c r="O164" s="62"/>
      <c r="P164" s="62"/>
      <c r="Q164" s="62"/>
      <c r="R164" s="62"/>
      <c r="S164" s="62"/>
      <c r="T164" s="62"/>
      <c r="U164" s="62"/>
      <c r="V164" s="62"/>
      <c r="W164" s="62"/>
      <c r="X164" s="62"/>
      <c r="Y164" s="62"/>
      <c r="Z164" s="62"/>
    </row>
    <row r="165" ht="26.25" customHeight="1">
      <c r="A165" s="109" t="s">
        <v>462</v>
      </c>
      <c r="B165" s="109" t="s">
        <v>64</v>
      </c>
      <c r="C165" s="109" t="s">
        <v>8346</v>
      </c>
      <c r="D165" s="109"/>
      <c r="E165" s="109"/>
      <c r="F165" s="109"/>
      <c r="G165" s="109"/>
      <c r="H165" s="109" t="s">
        <v>8347</v>
      </c>
      <c r="I165" s="109"/>
      <c r="J165" s="109" t="s">
        <v>8348</v>
      </c>
      <c r="K165" s="110"/>
      <c r="L165" s="109" t="s">
        <v>8353</v>
      </c>
      <c r="M165" s="111" t="str">
        <f>HYPERLINK("http://natureisspeaking.org/thesoil.html","http://natureisspeaking.org/thesoil.html ")</f>
        <v>http://natureisspeaking.org/thesoil.html </v>
      </c>
      <c r="N165" s="334" t="s">
        <v>7683</v>
      </c>
      <c r="O165" s="109" t="s">
        <v>462</v>
      </c>
      <c r="P165" s="109" t="s">
        <v>462</v>
      </c>
      <c r="Q165" s="109" t="s">
        <v>676</v>
      </c>
      <c r="R165" s="109" t="s">
        <v>769</v>
      </c>
      <c r="S165" s="109" t="s">
        <v>8361</v>
      </c>
      <c r="T165" s="112">
        <v>41925.0</v>
      </c>
      <c r="U165" s="109"/>
      <c r="V165" s="109" t="s">
        <v>769</v>
      </c>
      <c r="W165" s="109"/>
      <c r="X165" s="112">
        <v>41925.0</v>
      </c>
      <c r="Y165" s="109"/>
      <c r="Z165" s="109"/>
    </row>
    <row r="166" ht="26.25" customHeight="1">
      <c r="A166" s="109" t="s">
        <v>462</v>
      </c>
      <c r="B166" s="109" t="s">
        <v>64</v>
      </c>
      <c r="C166" s="109" t="s">
        <v>8346</v>
      </c>
      <c r="D166" s="109"/>
      <c r="E166" s="109"/>
      <c r="F166" s="109"/>
      <c r="G166" s="109"/>
      <c r="H166" s="109" t="s">
        <v>8366</v>
      </c>
      <c r="I166" s="109"/>
      <c r="J166" s="109" t="s">
        <v>8348</v>
      </c>
      <c r="K166" s="110"/>
      <c r="L166" s="109" t="s">
        <v>8368</v>
      </c>
      <c r="M166" s="111" t="str">
        <f>HYPERLINK("http://natureisspeaking.org/theocean.html","http://natureisspeaking.org/theocean.html")</f>
        <v>http://natureisspeaking.org/theocean.html</v>
      </c>
      <c r="N166" s="334" t="s">
        <v>7683</v>
      </c>
      <c r="O166" s="109" t="s">
        <v>462</v>
      </c>
      <c r="P166" s="109" t="s">
        <v>462</v>
      </c>
      <c r="Q166" s="109" t="s">
        <v>676</v>
      </c>
      <c r="R166" s="109" t="s">
        <v>677</v>
      </c>
      <c r="S166" s="109" t="s">
        <v>1105</v>
      </c>
      <c r="T166" s="112" t="s">
        <v>1105</v>
      </c>
      <c r="U166" s="109"/>
      <c r="V166" s="109" t="s">
        <v>769</v>
      </c>
      <c r="W166" s="109"/>
      <c r="X166" s="112">
        <v>41942.0</v>
      </c>
      <c r="Y166" s="109"/>
      <c r="Z166" s="109"/>
    </row>
    <row r="167" ht="26.25" customHeight="1">
      <c r="A167" s="109" t="s">
        <v>462</v>
      </c>
      <c r="B167" s="109" t="s">
        <v>64</v>
      </c>
      <c r="C167" s="109" t="s">
        <v>8346</v>
      </c>
      <c r="D167" s="109"/>
      <c r="E167" s="109"/>
      <c r="F167" s="109"/>
      <c r="G167" s="109"/>
      <c r="H167" s="109" t="s">
        <v>8377</v>
      </c>
      <c r="I167" s="109"/>
      <c r="J167" s="109" t="s">
        <v>8348</v>
      </c>
      <c r="K167" s="110"/>
      <c r="L167" s="109" t="s">
        <v>8378</v>
      </c>
      <c r="M167" s="111" t="str">
        <f>HYPERLINK("http://natureisspeaking.org/mothernature.html","http://natureisspeaking.org/mothernature.html")</f>
        <v>http://natureisspeaking.org/mothernature.html</v>
      </c>
      <c r="N167" s="334" t="s">
        <v>7683</v>
      </c>
      <c r="O167" s="109" t="s">
        <v>462</v>
      </c>
      <c r="P167" s="109" t="s">
        <v>462</v>
      </c>
      <c r="Q167" s="109" t="s">
        <v>676</v>
      </c>
      <c r="R167" s="109" t="s">
        <v>677</v>
      </c>
      <c r="S167" s="109" t="s">
        <v>1105</v>
      </c>
      <c r="T167" s="112" t="s">
        <v>1105</v>
      </c>
      <c r="U167" s="109"/>
      <c r="V167" s="109" t="s">
        <v>769</v>
      </c>
      <c r="W167" s="109"/>
      <c r="X167" s="112">
        <v>41934.0</v>
      </c>
      <c r="Y167" s="109"/>
      <c r="Z167" s="109"/>
    </row>
    <row r="168" ht="26.25" customHeight="1">
      <c r="A168" s="109" t="s">
        <v>462</v>
      </c>
      <c r="B168" s="109" t="s">
        <v>64</v>
      </c>
      <c r="C168" s="109" t="s">
        <v>8346</v>
      </c>
      <c r="D168" s="109"/>
      <c r="E168" s="109"/>
      <c r="F168" s="109"/>
      <c r="G168" s="109"/>
      <c r="H168" s="109" t="s">
        <v>8386</v>
      </c>
      <c r="I168" s="109"/>
      <c r="J168" s="109" t="s">
        <v>8348</v>
      </c>
      <c r="K168" s="110"/>
      <c r="L168" s="109" t="s">
        <v>8390</v>
      </c>
      <c r="M168" s="111" t="str">
        <f>HYPERLINK("http://natureisspeaking.org/water.html","http://natureisspeaking.org/water.html ")</f>
        <v>http://natureisspeaking.org/water.html </v>
      </c>
      <c r="N168" s="334" t="s">
        <v>7683</v>
      </c>
      <c r="O168" s="109" t="s">
        <v>462</v>
      </c>
      <c r="P168" s="109" t="s">
        <v>462</v>
      </c>
      <c r="Q168" s="109" t="s">
        <v>676</v>
      </c>
      <c r="R168" s="109" t="s">
        <v>769</v>
      </c>
      <c r="S168" s="109" t="s">
        <v>8411</v>
      </c>
      <c r="T168" s="112"/>
      <c r="U168" s="109"/>
      <c r="V168" s="109" t="s">
        <v>769</v>
      </c>
      <c r="W168" s="109"/>
      <c r="X168" s="112">
        <v>41927.0</v>
      </c>
      <c r="Y168" s="109"/>
      <c r="Z168" s="109"/>
    </row>
    <row r="169" ht="26.25" customHeight="1">
      <c r="A169" s="109" t="s">
        <v>462</v>
      </c>
      <c r="B169" s="109" t="s">
        <v>64</v>
      </c>
      <c r="C169" s="109" t="s">
        <v>8346</v>
      </c>
      <c r="D169" s="109"/>
      <c r="E169" s="109"/>
      <c r="F169" s="109"/>
      <c r="G169" s="109"/>
      <c r="H169" s="109" t="s">
        <v>8419</v>
      </c>
      <c r="I169" s="109"/>
      <c r="J169" s="109" t="s">
        <v>8348</v>
      </c>
      <c r="K169" s="110"/>
      <c r="L169" s="109" t="s">
        <v>8423</v>
      </c>
      <c r="M169" s="111" t="str">
        <f>HYPERLINK("http://natureisspeaking.org/theredwood.html","http://natureisspeaking.org/theredwood.html")</f>
        <v>http://natureisspeaking.org/theredwood.html</v>
      </c>
      <c r="N169" s="334" t="s">
        <v>7683</v>
      </c>
      <c r="O169" s="109" t="s">
        <v>462</v>
      </c>
      <c r="P169" s="109" t="s">
        <v>462</v>
      </c>
      <c r="Q169" s="109" t="s">
        <v>676</v>
      </c>
      <c r="R169" s="109" t="s">
        <v>769</v>
      </c>
      <c r="S169" s="109" t="s">
        <v>8437</v>
      </c>
      <c r="T169" s="112">
        <v>41926.0</v>
      </c>
      <c r="U169" s="109"/>
      <c r="V169" s="109" t="s">
        <v>769</v>
      </c>
      <c r="W169" s="109"/>
      <c r="X169" s="112">
        <v>41926.0</v>
      </c>
      <c r="Y169" s="109"/>
      <c r="Z169" s="109"/>
    </row>
    <row r="170" ht="25.5" customHeight="1">
      <c r="A170" s="62"/>
      <c r="B170" s="62"/>
      <c r="C170" s="316"/>
      <c r="D170" s="62"/>
      <c r="E170" s="62"/>
      <c r="F170" s="62"/>
      <c r="G170" s="316"/>
      <c r="H170" s="62"/>
      <c r="I170" s="316"/>
      <c r="J170" s="62"/>
      <c r="K170" s="62"/>
      <c r="L170" s="62"/>
      <c r="M170" s="62"/>
      <c r="N170" s="62"/>
      <c r="O170" s="62"/>
      <c r="P170" s="62"/>
      <c r="Q170" s="62"/>
      <c r="R170" s="62"/>
      <c r="S170" s="62"/>
      <c r="T170" s="62"/>
      <c r="U170" s="62"/>
      <c r="V170" s="62"/>
      <c r="W170" s="62"/>
      <c r="X170" s="62"/>
      <c r="Y170" s="62"/>
      <c r="Z170" s="62"/>
    </row>
    <row r="171" ht="25.5" customHeight="1">
      <c r="A171" s="62"/>
      <c r="B171" s="62"/>
      <c r="C171" s="316"/>
      <c r="D171" s="62"/>
      <c r="E171" s="62"/>
      <c r="F171" s="62"/>
      <c r="G171" s="316"/>
      <c r="H171" s="62"/>
      <c r="I171" s="316"/>
      <c r="J171" s="62"/>
      <c r="K171" s="62"/>
      <c r="L171" s="62"/>
      <c r="M171" s="62"/>
      <c r="N171" s="62"/>
      <c r="O171" s="62"/>
      <c r="P171" s="62"/>
      <c r="Q171" s="62"/>
      <c r="R171" s="62"/>
      <c r="S171" s="62"/>
      <c r="T171" s="62"/>
      <c r="U171" s="62"/>
      <c r="V171" s="62"/>
      <c r="W171" s="62"/>
      <c r="X171" s="62"/>
      <c r="Y171" s="62"/>
      <c r="Z171" s="62"/>
    </row>
    <row r="172" ht="25.5" customHeight="1">
      <c r="A172" s="62"/>
      <c r="B172" s="62"/>
      <c r="C172" s="316"/>
      <c r="D172" s="62"/>
      <c r="E172" s="62"/>
      <c r="F172" s="62"/>
      <c r="G172" s="316"/>
      <c r="H172" s="62"/>
      <c r="I172" s="316"/>
      <c r="J172" s="62"/>
      <c r="K172" s="62"/>
      <c r="L172" s="62"/>
      <c r="M172" s="62"/>
      <c r="N172" s="62"/>
      <c r="O172" s="62"/>
      <c r="P172" s="62"/>
      <c r="Q172" s="62"/>
      <c r="R172" s="62"/>
      <c r="S172" s="62"/>
      <c r="T172" s="62"/>
      <c r="U172" s="62"/>
      <c r="V172" s="62"/>
      <c r="W172" s="62"/>
      <c r="X172" s="62"/>
      <c r="Y172" s="62"/>
      <c r="Z172" s="62"/>
    </row>
    <row r="173" ht="25.5" customHeight="1">
      <c r="A173" s="62"/>
      <c r="B173" s="62"/>
      <c r="C173" s="316"/>
      <c r="D173" s="62"/>
      <c r="E173" s="62"/>
      <c r="F173" s="62"/>
      <c r="G173" s="316"/>
      <c r="H173" s="62"/>
      <c r="I173" s="316"/>
      <c r="J173" s="62"/>
      <c r="K173" s="62"/>
      <c r="L173" s="62"/>
      <c r="M173" s="62"/>
      <c r="N173" s="62"/>
      <c r="O173" s="62"/>
      <c r="P173" s="62"/>
      <c r="Q173" s="62"/>
      <c r="R173" s="62"/>
      <c r="S173" s="62"/>
      <c r="T173" s="62"/>
      <c r="U173" s="62"/>
      <c r="V173" s="62"/>
      <c r="W173" s="62"/>
      <c r="X173" s="62"/>
      <c r="Y173" s="62"/>
      <c r="Z173" s="62"/>
    </row>
    <row r="174" ht="25.5" customHeight="1">
      <c r="A174" s="62"/>
      <c r="B174" s="62"/>
      <c r="C174" s="316"/>
      <c r="D174" s="62"/>
      <c r="E174" s="62"/>
      <c r="F174" s="62"/>
      <c r="G174" s="316"/>
      <c r="H174" s="62"/>
      <c r="I174" s="316"/>
      <c r="J174" s="62"/>
      <c r="K174" s="62"/>
      <c r="L174" s="62"/>
      <c r="M174" s="62"/>
      <c r="N174" s="62"/>
      <c r="O174" s="62"/>
      <c r="P174" s="62"/>
      <c r="Q174" s="62"/>
      <c r="R174" s="62"/>
      <c r="S174" s="62"/>
      <c r="T174" s="62"/>
      <c r="U174" s="62"/>
      <c r="V174" s="62"/>
      <c r="W174" s="62"/>
      <c r="X174" s="62"/>
      <c r="Y174" s="62"/>
      <c r="Z174" s="62"/>
    </row>
    <row r="175" ht="25.5" customHeight="1">
      <c r="A175" s="62"/>
      <c r="B175" s="62"/>
      <c r="C175" s="316"/>
      <c r="D175" s="62"/>
      <c r="E175" s="62"/>
      <c r="F175" s="62"/>
      <c r="G175" s="316"/>
      <c r="H175" s="62"/>
      <c r="I175" s="316"/>
      <c r="J175" s="62"/>
      <c r="K175" s="62"/>
      <c r="L175" s="62"/>
      <c r="M175" s="62"/>
      <c r="N175" s="62"/>
      <c r="O175" s="62"/>
      <c r="P175" s="62"/>
      <c r="Q175" s="62"/>
      <c r="R175" s="62"/>
      <c r="S175" s="62"/>
      <c r="T175" s="62"/>
      <c r="U175" s="62"/>
      <c r="V175" s="62"/>
      <c r="W175" s="62"/>
      <c r="X175" s="62"/>
      <c r="Y175" s="62"/>
      <c r="Z175" s="62"/>
    </row>
    <row r="176" ht="25.5" customHeight="1">
      <c r="A176" s="62"/>
      <c r="B176" s="62"/>
      <c r="C176" s="316"/>
      <c r="D176" s="62"/>
      <c r="E176" s="62"/>
      <c r="F176" s="62"/>
      <c r="G176" s="316"/>
      <c r="H176" s="62"/>
      <c r="I176" s="316"/>
      <c r="J176" s="62"/>
      <c r="K176" s="62"/>
      <c r="L176" s="62"/>
      <c r="M176" s="62"/>
      <c r="N176" s="62"/>
      <c r="O176" s="62"/>
      <c r="P176" s="62"/>
      <c r="Q176" s="62"/>
      <c r="R176" s="62"/>
      <c r="S176" s="62"/>
      <c r="T176" s="62"/>
      <c r="U176" s="62"/>
      <c r="V176" s="62"/>
      <c r="W176" s="62"/>
      <c r="X176" s="62"/>
      <c r="Y176" s="62"/>
      <c r="Z176" s="62"/>
    </row>
    <row r="177" ht="25.5" customHeight="1">
      <c r="A177" s="62"/>
      <c r="B177" s="62"/>
      <c r="C177" s="316"/>
      <c r="D177" s="62"/>
      <c r="E177" s="62"/>
      <c r="F177" s="62"/>
      <c r="G177" s="316"/>
      <c r="H177" s="62"/>
      <c r="I177" s="316"/>
      <c r="J177" s="62"/>
      <c r="K177" s="62"/>
      <c r="L177" s="62"/>
      <c r="M177" s="62"/>
      <c r="N177" s="62"/>
      <c r="O177" s="62"/>
      <c r="P177" s="62"/>
      <c r="Q177" s="62"/>
      <c r="R177" s="62"/>
      <c r="S177" s="62"/>
      <c r="T177" s="62"/>
      <c r="U177" s="62"/>
      <c r="V177" s="62"/>
      <c r="W177" s="62"/>
      <c r="X177" s="62"/>
      <c r="Y177" s="62"/>
      <c r="Z177" s="62"/>
    </row>
    <row r="178" ht="25.5" customHeight="1">
      <c r="A178" s="62"/>
      <c r="B178" s="62"/>
      <c r="C178" s="316"/>
      <c r="D178" s="62"/>
      <c r="E178" s="62"/>
      <c r="F178" s="62"/>
      <c r="G178" s="316"/>
      <c r="H178" s="62"/>
      <c r="I178" s="316"/>
      <c r="J178" s="62"/>
      <c r="K178" s="62"/>
      <c r="L178" s="62"/>
      <c r="M178" s="62"/>
      <c r="N178" s="62"/>
      <c r="O178" s="62"/>
      <c r="P178" s="62"/>
      <c r="Q178" s="62"/>
      <c r="R178" s="62"/>
      <c r="S178" s="62"/>
      <c r="T178" s="62"/>
      <c r="U178" s="62"/>
      <c r="V178" s="62"/>
      <c r="W178" s="62"/>
      <c r="X178" s="62"/>
      <c r="Y178" s="62"/>
      <c r="Z178" s="62"/>
    </row>
    <row r="179" ht="25.5" customHeight="1">
      <c r="A179" s="62"/>
      <c r="B179" s="62"/>
      <c r="C179" s="316"/>
      <c r="D179" s="62"/>
      <c r="E179" s="62"/>
      <c r="F179" s="62"/>
      <c r="G179" s="316"/>
      <c r="H179" s="62"/>
      <c r="I179" s="316"/>
      <c r="J179" s="62"/>
      <c r="K179" s="62"/>
      <c r="L179" s="62"/>
      <c r="M179" s="62"/>
      <c r="N179" s="62"/>
      <c r="O179" s="62"/>
      <c r="P179" s="62"/>
      <c r="Q179" s="62"/>
      <c r="R179" s="62"/>
      <c r="S179" s="62"/>
      <c r="T179" s="62"/>
      <c r="U179" s="62"/>
      <c r="V179" s="62"/>
      <c r="W179" s="62"/>
      <c r="X179" s="62"/>
      <c r="Y179" s="62"/>
      <c r="Z179" s="62"/>
    </row>
    <row r="180" ht="25.5" customHeight="1">
      <c r="A180" s="62"/>
      <c r="B180" s="62"/>
      <c r="C180" s="316"/>
      <c r="D180" s="62"/>
      <c r="E180" s="62"/>
      <c r="F180" s="62"/>
      <c r="G180" s="316"/>
      <c r="H180" s="62"/>
      <c r="I180" s="316"/>
      <c r="J180" s="62"/>
      <c r="K180" s="62"/>
      <c r="L180" s="62"/>
      <c r="M180" s="62"/>
      <c r="N180" s="62"/>
      <c r="O180" s="62"/>
      <c r="P180" s="62"/>
      <c r="Q180" s="62"/>
      <c r="R180" s="62"/>
      <c r="S180" s="62"/>
      <c r="T180" s="62"/>
      <c r="U180" s="62"/>
      <c r="V180" s="62"/>
      <c r="W180" s="62"/>
      <c r="X180" s="62"/>
      <c r="Y180" s="62"/>
      <c r="Z180" s="62"/>
    </row>
    <row r="181" ht="25.5" customHeight="1">
      <c r="A181" s="62"/>
      <c r="B181" s="62"/>
      <c r="C181" s="316"/>
      <c r="D181" s="62"/>
      <c r="E181" s="62"/>
      <c r="F181" s="62"/>
      <c r="G181" s="316"/>
      <c r="H181" s="62"/>
      <c r="I181" s="316"/>
      <c r="J181" s="62"/>
      <c r="K181" s="62"/>
      <c r="L181" s="62"/>
      <c r="M181" s="62"/>
      <c r="N181" s="62"/>
      <c r="O181" s="62"/>
      <c r="P181" s="62"/>
      <c r="Q181" s="62"/>
      <c r="R181" s="62"/>
      <c r="S181" s="62"/>
      <c r="T181" s="62"/>
      <c r="U181" s="62"/>
      <c r="V181" s="62"/>
      <c r="W181" s="62"/>
      <c r="X181" s="62"/>
      <c r="Y181" s="62"/>
      <c r="Z181" s="62"/>
    </row>
    <row r="182" ht="25.5" customHeight="1">
      <c r="A182" s="62"/>
      <c r="B182" s="62"/>
      <c r="C182" s="316"/>
      <c r="D182" s="62"/>
      <c r="E182" s="62"/>
      <c r="F182" s="62"/>
      <c r="G182" s="316"/>
      <c r="H182" s="62"/>
      <c r="I182" s="316"/>
      <c r="J182" s="62"/>
      <c r="K182" s="62"/>
      <c r="L182" s="62"/>
      <c r="M182" s="62"/>
      <c r="N182" s="62"/>
      <c r="O182" s="62"/>
      <c r="P182" s="62"/>
      <c r="Q182" s="62"/>
      <c r="R182" s="62"/>
      <c r="S182" s="62"/>
      <c r="T182" s="62"/>
      <c r="U182" s="62"/>
      <c r="V182" s="62"/>
      <c r="W182" s="62"/>
      <c r="X182" s="62"/>
      <c r="Y182" s="62"/>
      <c r="Z182" s="62"/>
    </row>
    <row r="183" ht="25.5" customHeight="1">
      <c r="A183" s="62"/>
      <c r="B183" s="62"/>
      <c r="C183" s="316"/>
      <c r="D183" s="62"/>
      <c r="E183" s="62"/>
      <c r="F183" s="62"/>
      <c r="G183" s="316"/>
      <c r="H183" s="62"/>
      <c r="I183" s="316"/>
      <c r="J183" s="62"/>
      <c r="K183" s="62"/>
      <c r="L183" s="62"/>
      <c r="M183" s="62"/>
      <c r="N183" s="62"/>
      <c r="O183" s="62"/>
      <c r="P183" s="62"/>
      <c r="Q183" s="62"/>
      <c r="R183" s="62"/>
      <c r="S183" s="62"/>
      <c r="T183" s="62"/>
      <c r="U183" s="62"/>
      <c r="V183" s="62"/>
      <c r="W183" s="62"/>
      <c r="X183" s="62"/>
      <c r="Y183" s="62"/>
      <c r="Z183" s="62"/>
    </row>
    <row r="184" ht="25.5" customHeight="1">
      <c r="A184" s="62"/>
      <c r="B184" s="62"/>
      <c r="C184" s="316"/>
      <c r="D184" s="62"/>
      <c r="E184" s="62"/>
      <c r="F184" s="62"/>
      <c r="G184" s="316"/>
      <c r="H184" s="62"/>
      <c r="I184" s="316"/>
      <c r="J184" s="62"/>
      <c r="K184" s="62"/>
      <c r="L184" s="62"/>
      <c r="M184" s="62"/>
      <c r="N184" s="62"/>
      <c r="O184" s="62"/>
      <c r="P184" s="62"/>
      <c r="Q184" s="62"/>
      <c r="R184" s="62"/>
      <c r="S184" s="62"/>
      <c r="T184" s="62"/>
      <c r="U184" s="62"/>
      <c r="V184" s="62"/>
      <c r="W184" s="62"/>
      <c r="X184" s="62"/>
      <c r="Y184" s="62"/>
      <c r="Z184" s="62"/>
    </row>
    <row r="185" ht="25.5" customHeight="1">
      <c r="A185" s="62"/>
      <c r="B185" s="62"/>
      <c r="C185" s="316"/>
      <c r="D185" s="62"/>
      <c r="E185" s="62"/>
      <c r="F185" s="62"/>
      <c r="G185" s="316"/>
      <c r="H185" s="62"/>
      <c r="I185" s="316"/>
      <c r="J185" s="62"/>
      <c r="K185" s="62"/>
      <c r="L185" s="62"/>
      <c r="M185" s="62"/>
      <c r="N185" s="62"/>
      <c r="O185" s="62"/>
      <c r="P185" s="62"/>
      <c r="Q185" s="62"/>
      <c r="R185" s="62"/>
      <c r="S185" s="62"/>
      <c r="T185" s="62"/>
      <c r="U185" s="62"/>
      <c r="V185" s="62"/>
      <c r="W185" s="62"/>
      <c r="X185" s="62"/>
      <c r="Y185" s="62"/>
      <c r="Z185" s="62"/>
    </row>
    <row r="186" ht="25.5" customHeight="1">
      <c r="A186" s="62"/>
      <c r="B186" s="62"/>
      <c r="C186" s="316"/>
      <c r="D186" s="62"/>
      <c r="E186" s="62"/>
      <c r="F186" s="62"/>
      <c r="G186" s="316"/>
      <c r="H186" s="62"/>
      <c r="I186" s="316"/>
      <c r="J186" s="62"/>
      <c r="K186" s="62"/>
      <c r="L186" s="62"/>
      <c r="M186" s="62"/>
      <c r="N186" s="62"/>
      <c r="O186" s="62"/>
      <c r="P186" s="62"/>
      <c r="Q186" s="62"/>
      <c r="R186" s="62"/>
      <c r="S186" s="62"/>
      <c r="T186" s="62"/>
      <c r="U186" s="62"/>
      <c r="V186" s="62"/>
      <c r="W186" s="62"/>
      <c r="X186" s="62"/>
      <c r="Y186" s="62"/>
      <c r="Z186" s="62"/>
    </row>
    <row r="187" ht="25.5" customHeight="1">
      <c r="A187" s="62"/>
      <c r="B187" s="62"/>
      <c r="C187" s="316"/>
      <c r="D187" s="62"/>
      <c r="E187" s="62"/>
      <c r="F187" s="62"/>
      <c r="G187" s="316"/>
      <c r="H187" s="62"/>
      <c r="I187" s="316"/>
      <c r="J187" s="62"/>
      <c r="K187" s="62"/>
      <c r="L187" s="62"/>
      <c r="M187" s="62"/>
      <c r="N187" s="62"/>
      <c r="O187" s="62"/>
      <c r="P187" s="62"/>
      <c r="Q187" s="62"/>
      <c r="R187" s="62"/>
      <c r="S187" s="62"/>
      <c r="T187" s="62"/>
      <c r="U187" s="62"/>
      <c r="V187" s="62"/>
      <c r="W187" s="62"/>
      <c r="X187" s="62"/>
      <c r="Y187" s="62"/>
      <c r="Z187" s="62"/>
    </row>
    <row r="188" ht="25.5" customHeight="1">
      <c r="A188" s="62"/>
      <c r="B188" s="62"/>
      <c r="C188" s="316"/>
      <c r="D188" s="62"/>
      <c r="E188" s="62"/>
      <c r="F188" s="62"/>
      <c r="G188" s="316"/>
      <c r="H188" s="62"/>
      <c r="I188" s="316"/>
      <c r="J188" s="62"/>
      <c r="K188" s="62"/>
      <c r="L188" s="62"/>
      <c r="M188" s="62"/>
      <c r="N188" s="62"/>
      <c r="O188" s="62"/>
      <c r="P188" s="62"/>
      <c r="Q188" s="62"/>
      <c r="R188" s="62"/>
      <c r="S188" s="62"/>
      <c r="T188" s="62"/>
      <c r="U188" s="62"/>
      <c r="V188" s="62"/>
      <c r="W188" s="62"/>
      <c r="X188" s="62"/>
      <c r="Y188" s="62"/>
      <c r="Z188" s="62"/>
    </row>
    <row r="189" ht="25.5" customHeight="1">
      <c r="A189" s="62"/>
      <c r="B189" s="62"/>
      <c r="C189" s="316"/>
      <c r="D189" s="62"/>
      <c r="E189" s="62"/>
      <c r="F189" s="62"/>
      <c r="G189" s="316"/>
      <c r="H189" s="62"/>
      <c r="I189" s="316"/>
      <c r="J189" s="62"/>
      <c r="K189" s="62"/>
      <c r="L189" s="62"/>
      <c r="M189" s="62"/>
      <c r="N189" s="62"/>
      <c r="O189" s="62"/>
      <c r="P189" s="62"/>
      <c r="Q189" s="62"/>
      <c r="R189" s="62"/>
      <c r="S189" s="62"/>
      <c r="T189" s="62"/>
      <c r="U189" s="62"/>
      <c r="V189" s="62"/>
      <c r="W189" s="62"/>
      <c r="X189" s="62"/>
      <c r="Y189" s="62"/>
      <c r="Z189" s="62"/>
    </row>
    <row r="190" ht="25.5" customHeight="1">
      <c r="A190" s="62"/>
      <c r="B190" s="62"/>
      <c r="C190" s="316"/>
      <c r="D190" s="62"/>
      <c r="E190" s="62"/>
      <c r="F190" s="62"/>
      <c r="G190" s="316"/>
      <c r="H190" s="62"/>
      <c r="I190" s="316"/>
      <c r="J190" s="62"/>
      <c r="K190" s="62"/>
      <c r="L190" s="62"/>
      <c r="M190" s="62"/>
      <c r="N190" s="62"/>
      <c r="O190" s="62"/>
      <c r="P190" s="62"/>
      <c r="Q190" s="62"/>
      <c r="R190" s="62"/>
      <c r="S190" s="62"/>
      <c r="T190" s="62"/>
      <c r="U190" s="62"/>
      <c r="V190" s="62"/>
      <c r="W190" s="62"/>
      <c r="X190" s="62"/>
      <c r="Y190" s="62"/>
      <c r="Z190" s="62"/>
    </row>
    <row r="191" ht="25.5" customHeight="1">
      <c r="A191" s="62"/>
      <c r="B191" s="62"/>
      <c r="C191" s="316"/>
      <c r="D191" s="62"/>
      <c r="E191" s="62"/>
      <c r="F191" s="62"/>
      <c r="G191" s="316"/>
      <c r="H191" s="62"/>
      <c r="I191" s="316"/>
      <c r="J191" s="62"/>
      <c r="K191" s="62"/>
      <c r="L191" s="62"/>
      <c r="M191" s="62"/>
      <c r="N191" s="62"/>
      <c r="O191" s="62"/>
      <c r="P191" s="62"/>
      <c r="Q191" s="62"/>
      <c r="R191" s="62"/>
      <c r="S191" s="62"/>
      <c r="T191" s="62"/>
      <c r="U191" s="62"/>
      <c r="V191" s="62"/>
      <c r="W191" s="62"/>
      <c r="X191" s="62"/>
      <c r="Y191" s="62"/>
      <c r="Z191" s="62"/>
    </row>
    <row r="192" ht="25.5" customHeight="1">
      <c r="A192" s="62"/>
      <c r="B192" s="62"/>
      <c r="C192" s="316"/>
      <c r="D192" s="62"/>
      <c r="E192" s="62"/>
      <c r="F192" s="62"/>
      <c r="G192" s="316"/>
      <c r="H192" s="62"/>
      <c r="I192" s="316"/>
      <c r="J192" s="62"/>
      <c r="K192" s="62"/>
      <c r="L192" s="62"/>
      <c r="M192" s="62"/>
      <c r="N192" s="62"/>
      <c r="O192" s="62"/>
      <c r="P192" s="62"/>
      <c r="Q192" s="62"/>
      <c r="R192" s="62"/>
      <c r="S192" s="62"/>
      <c r="T192" s="62"/>
      <c r="U192" s="62"/>
      <c r="V192" s="62"/>
      <c r="W192" s="62"/>
      <c r="X192" s="62"/>
      <c r="Y192" s="62"/>
      <c r="Z192" s="62"/>
    </row>
    <row r="193" ht="25.5" customHeight="1">
      <c r="A193" s="62"/>
      <c r="B193" s="62"/>
      <c r="C193" s="316"/>
      <c r="D193" s="62"/>
      <c r="E193" s="62"/>
      <c r="F193" s="62"/>
      <c r="G193" s="316"/>
      <c r="H193" s="62"/>
      <c r="I193" s="316"/>
      <c r="J193" s="62"/>
      <c r="K193" s="62"/>
      <c r="L193" s="62"/>
      <c r="M193" s="62"/>
      <c r="N193" s="62"/>
      <c r="O193" s="62"/>
      <c r="P193" s="62"/>
      <c r="Q193" s="62"/>
      <c r="R193" s="62"/>
      <c r="S193" s="62"/>
      <c r="T193" s="62"/>
      <c r="U193" s="62"/>
      <c r="V193" s="62"/>
      <c r="W193" s="62"/>
      <c r="X193" s="62"/>
      <c r="Y193" s="62"/>
      <c r="Z193" s="62"/>
    </row>
    <row r="194" ht="25.5" customHeight="1">
      <c r="A194" s="62"/>
      <c r="B194" s="62"/>
      <c r="C194" s="316"/>
      <c r="D194" s="62"/>
      <c r="E194" s="62"/>
      <c r="F194" s="62"/>
      <c r="G194" s="316"/>
      <c r="H194" s="62"/>
      <c r="I194" s="316"/>
      <c r="J194" s="62"/>
      <c r="K194" s="62"/>
      <c r="L194" s="62"/>
      <c r="M194" s="62"/>
      <c r="N194" s="62"/>
      <c r="O194" s="62"/>
      <c r="P194" s="62"/>
      <c r="Q194" s="62"/>
      <c r="R194" s="62"/>
      <c r="S194" s="62"/>
      <c r="T194" s="62"/>
      <c r="U194" s="62"/>
      <c r="V194" s="62"/>
      <c r="W194" s="62"/>
      <c r="X194" s="62"/>
      <c r="Y194" s="62"/>
      <c r="Z194" s="62"/>
    </row>
    <row r="195" ht="25.5" customHeight="1">
      <c r="A195" s="62"/>
      <c r="B195" s="62"/>
      <c r="C195" s="316"/>
      <c r="D195" s="62"/>
      <c r="E195" s="62"/>
      <c r="F195" s="62"/>
      <c r="G195" s="316"/>
      <c r="H195" s="62"/>
      <c r="I195" s="316"/>
      <c r="J195" s="62"/>
      <c r="K195" s="62"/>
      <c r="L195" s="62"/>
      <c r="M195" s="62"/>
      <c r="N195" s="62"/>
      <c r="O195" s="62"/>
      <c r="P195" s="62"/>
      <c r="Q195" s="62"/>
      <c r="R195" s="62"/>
      <c r="S195" s="62"/>
      <c r="T195" s="62"/>
      <c r="U195" s="62"/>
      <c r="V195" s="62"/>
      <c r="W195" s="62"/>
      <c r="X195" s="62"/>
      <c r="Y195" s="62"/>
      <c r="Z195" s="62"/>
    </row>
    <row r="196" ht="25.5" customHeight="1">
      <c r="A196" s="62"/>
      <c r="B196" s="62"/>
      <c r="C196" s="316"/>
      <c r="D196" s="62"/>
      <c r="E196" s="62"/>
      <c r="F196" s="62"/>
      <c r="G196" s="316"/>
      <c r="H196" s="62"/>
      <c r="I196" s="316"/>
      <c r="J196" s="62"/>
      <c r="K196" s="62"/>
      <c r="L196" s="62"/>
      <c r="M196" s="62"/>
      <c r="N196" s="62"/>
      <c r="O196" s="62"/>
      <c r="P196" s="62"/>
      <c r="Q196" s="62"/>
      <c r="R196" s="62"/>
      <c r="S196" s="62"/>
      <c r="T196" s="62"/>
      <c r="U196" s="62"/>
      <c r="V196" s="62"/>
      <c r="W196" s="62"/>
      <c r="X196" s="62"/>
      <c r="Y196" s="62"/>
      <c r="Z196" s="62"/>
    </row>
    <row r="197" ht="25.5" customHeight="1">
      <c r="A197" s="62"/>
      <c r="B197" s="62"/>
      <c r="C197" s="316"/>
      <c r="D197" s="62"/>
      <c r="E197" s="62"/>
      <c r="F197" s="62"/>
      <c r="G197" s="316"/>
      <c r="H197" s="62"/>
      <c r="I197" s="316"/>
      <c r="J197" s="62"/>
      <c r="K197" s="62"/>
      <c r="L197" s="62"/>
      <c r="M197" s="62"/>
      <c r="N197" s="62"/>
      <c r="O197" s="62"/>
      <c r="P197" s="62"/>
      <c r="Q197" s="62"/>
      <c r="R197" s="62"/>
      <c r="S197" s="62"/>
      <c r="T197" s="62"/>
      <c r="U197" s="62"/>
      <c r="V197" s="62"/>
      <c r="W197" s="62"/>
      <c r="X197" s="62"/>
      <c r="Y197" s="62"/>
      <c r="Z197" s="62"/>
    </row>
    <row r="198" ht="25.5" customHeight="1">
      <c r="A198" s="62"/>
      <c r="B198" s="62"/>
      <c r="C198" s="316"/>
      <c r="D198" s="62"/>
      <c r="E198" s="62"/>
      <c r="F198" s="62"/>
      <c r="G198" s="316"/>
      <c r="H198" s="62"/>
      <c r="I198" s="316"/>
      <c r="J198" s="62"/>
      <c r="K198" s="62"/>
      <c r="L198" s="62"/>
      <c r="M198" s="62"/>
      <c r="N198" s="62"/>
      <c r="O198" s="62"/>
      <c r="P198" s="62"/>
      <c r="Q198" s="62"/>
      <c r="R198" s="62"/>
      <c r="S198" s="62"/>
      <c r="T198" s="62"/>
      <c r="U198" s="62"/>
      <c r="V198" s="62"/>
      <c r="W198" s="62"/>
      <c r="X198" s="62"/>
      <c r="Y198" s="62"/>
      <c r="Z198" s="62"/>
    </row>
    <row r="199" ht="25.5" customHeight="1">
      <c r="A199" s="62"/>
      <c r="B199" s="62"/>
      <c r="C199" s="316"/>
      <c r="D199" s="62"/>
      <c r="E199" s="62"/>
      <c r="F199" s="62"/>
      <c r="G199" s="316"/>
      <c r="H199" s="62"/>
      <c r="I199" s="316"/>
      <c r="J199" s="62"/>
      <c r="K199" s="62"/>
      <c r="L199" s="62"/>
      <c r="M199" s="62"/>
      <c r="N199" s="62"/>
      <c r="O199" s="62"/>
      <c r="P199" s="62"/>
      <c r="Q199" s="62"/>
      <c r="R199" s="62"/>
      <c r="S199" s="62"/>
      <c r="T199" s="62"/>
      <c r="U199" s="62"/>
      <c r="V199" s="62"/>
      <c r="W199" s="62"/>
      <c r="X199" s="62"/>
      <c r="Y199" s="62"/>
      <c r="Z199" s="62"/>
    </row>
    <row r="200" ht="25.5" customHeight="1">
      <c r="A200" s="62"/>
      <c r="B200" s="62"/>
      <c r="C200" s="316"/>
      <c r="D200" s="62"/>
      <c r="E200" s="62"/>
      <c r="F200" s="62"/>
      <c r="G200" s="316"/>
      <c r="H200" s="62"/>
      <c r="I200" s="316"/>
      <c r="J200" s="62"/>
      <c r="K200" s="62"/>
      <c r="L200" s="62"/>
      <c r="M200" s="62"/>
      <c r="N200" s="62"/>
      <c r="O200" s="62"/>
      <c r="P200" s="62"/>
      <c r="Q200" s="62"/>
      <c r="R200" s="62"/>
      <c r="S200" s="62"/>
      <c r="T200" s="62"/>
      <c r="U200" s="62"/>
      <c r="V200" s="62"/>
      <c r="W200" s="62"/>
      <c r="X200" s="62"/>
      <c r="Y200" s="62"/>
      <c r="Z200" s="62"/>
    </row>
    <row r="201" ht="25.5" customHeight="1">
      <c r="A201" s="62"/>
      <c r="B201" s="62"/>
      <c r="C201" s="316"/>
      <c r="D201" s="62"/>
      <c r="E201" s="62"/>
      <c r="F201" s="62"/>
      <c r="G201" s="316"/>
      <c r="H201" s="62"/>
      <c r="I201" s="316"/>
      <c r="J201" s="62"/>
      <c r="K201" s="62"/>
      <c r="L201" s="62"/>
      <c r="M201" s="62"/>
      <c r="N201" s="62"/>
      <c r="O201" s="62"/>
      <c r="P201" s="62"/>
      <c r="Q201" s="62"/>
      <c r="R201" s="62"/>
      <c r="S201" s="62"/>
      <c r="T201" s="62"/>
      <c r="U201" s="62"/>
      <c r="V201" s="62"/>
      <c r="W201" s="62"/>
      <c r="X201" s="62"/>
      <c r="Y201" s="62"/>
      <c r="Z201" s="62"/>
    </row>
    <row r="202" ht="25.5" customHeight="1">
      <c r="A202" s="62"/>
      <c r="B202" s="62"/>
      <c r="C202" s="316"/>
      <c r="D202" s="62"/>
      <c r="E202" s="62"/>
      <c r="F202" s="62"/>
      <c r="G202" s="316"/>
      <c r="H202" s="62"/>
      <c r="I202" s="316"/>
      <c r="J202" s="62"/>
      <c r="K202" s="62"/>
      <c r="L202" s="62"/>
      <c r="M202" s="62"/>
      <c r="N202" s="62"/>
      <c r="O202" s="62"/>
      <c r="P202" s="62"/>
      <c r="Q202" s="62"/>
      <c r="R202" s="62"/>
      <c r="S202" s="62"/>
      <c r="T202" s="62"/>
      <c r="U202" s="62"/>
      <c r="V202" s="62"/>
      <c r="W202" s="62"/>
      <c r="X202" s="62"/>
      <c r="Y202" s="62"/>
      <c r="Z202" s="62"/>
    </row>
    <row r="203" ht="25.5" customHeight="1">
      <c r="A203" s="62"/>
      <c r="B203" s="62"/>
      <c r="C203" s="316"/>
      <c r="D203" s="62"/>
      <c r="E203" s="62"/>
      <c r="F203" s="62"/>
      <c r="G203" s="316"/>
      <c r="H203" s="62"/>
      <c r="I203" s="316"/>
      <c r="J203" s="62"/>
      <c r="K203" s="62"/>
      <c r="L203" s="62"/>
      <c r="M203" s="62"/>
      <c r="N203" s="62"/>
      <c r="O203" s="62"/>
      <c r="P203" s="62"/>
      <c r="Q203" s="62"/>
      <c r="R203" s="62"/>
      <c r="S203" s="62"/>
      <c r="T203" s="62"/>
      <c r="U203" s="62"/>
      <c r="V203" s="62"/>
      <c r="W203" s="62"/>
      <c r="X203" s="62"/>
      <c r="Y203" s="62"/>
      <c r="Z203" s="62"/>
    </row>
    <row r="204" ht="25.5" customHeight="1">
      <c r="A204" s="62"/>
      <c r="B204" s="62"/>
      <c r="C204" s="316"/>
      <c r="D204" s="62"/>
      <c r="E204" s="62"/>
      <c r="F204" s="62"/>
      <c r="G204" s="316"/>
      <c r="H204" s="62"/>
      <c r="I204" s="316"/>
      <c r="J204" s="62"/>
      <c r="K204" s="62"/>
      <c r="L204" s="62"/>
      <c r="M204" s="62"/>
      <c r="N204" s="62"/>
      <c r="O204" s="62"/>
      <c r="P204" s="62"/>
      <c r="Q204" s="62"/>
      <c r="R204" s="62"/>
      <c r="S204" s="62"/>
      <c r="T204" s="62"/>
      <c r="U204" s="62"/>
      <c r="V204" s="62"/>
      <c r="W204" s="62"/>
      <c r="X204" s="62"/>
      <c r="Y204" s="62"/>
      <c r="Z204" s="62"/>
    </row>
    <row r="205" ht="25.5" customHeight="1">
      <c r="A205" s="62"/>
      <c r="B205" s="62"/>
      <c r="C205" s="316"/>
      <c r="D205" s="62"/>
      <c r="E205" s="62"/>
      <c r="F205" s="62"/>
      <c r="G205" s="316"/>
      <c r="H205" s="62"/>
      <c r="I205" s="316"/>
      <c r="J205" s="62"/>
      <c r="K205" s="62"/>
      <c r="L205" s="62"/>
      <c r="M205" s="62"/>
      <c r="N205" s="62"/>
      <c r="O205" s="62"/>
      <c r="P205" s="62"/>
      <c r="Q205" s="62"/>
      <c r="R205" s="62"/>
      <c r="S205" s="62"/>
      <c r="T205" s="62"/>
      <c r="U205" s="62"/>
      <c r="V205" s="62"/>
      <c r="W205" s="62"/>
      <c r="X205" s="62"/>
      <c r="Y205" s="62"/>
      <c r="Z205" s="62"/>
    </row>
    <row r="206" ht="25.5" customHeight="1">
      <c r="A206" s="62"/>
      <c r="B206" s="62"/>
      <c r="C206" s="316"/>
      <c r="D206" s="62"/>
      <c r="E206" s="62"/>
      <c r="F206" s="62"/>
      <c r="G206" s="316"/>
      <c r="H206" s="62"/>
      <c r="I206" s="316"/>
      <c r="J206" s="62"/>
      <c r="K206" s="62"/>
      <c r="L206" s="62"/>
      <c r="M206" s="62"/>
      <c r="N206" s="62"/>
      <c r="O206" s="62"/>
      <c r="P206" s="62"/>
      <c r="Q206" s="62"/>
      <c r="R206" s="62"/>
      <c r="S206" s="62"/>
      <c r="T206" s="62"/>
      <c r="U206" s="62"/>
      <c r="V206" s="62"/>
      <c r="W206" s="62"/>
      <c r="X206" s="62"/>
      <c r="Y206" s="62"/>
      <c r="Z206" s="62"/>
    </row>
    <row r="207" ht="25.5" customHeight="1">
      <c r="A207" s="62"/>
      <c r="B207" s="62"/>
      <c r="C207" s="316"/>
      <c r="D207" s="62"/>
      <c r="E207" s="62"/>
      <c r="F207" s="62"/>
      <c r="G207" s="316"/>
      <c r="H207" s="62"/>
      <c r="I207" s="316"/>
      <c r="J207" s="62"/>
      <c r="K207" s="62"/>
      <c r="L207" s="62"/>
      <c r="M207" s="62"/>
      <c r="N207" s="62"/>
      <c r="O207" s="62"/>
      <c r="P207" s="62"/>
      <c r="Q207" s="62"/>
      <c r="R207" s="62"/>
      <c r="S207" s="62"/>
      <c r="T207" s="62"/>
      <c r="U207" s="62"/>
      <c r="V207" s="62"/>
      <c r="W207" s="62"/>
      <c r="X207" s="62"/>
      <c r="Y207" s="62"/>
      <c r="Z207" s="62"/>
    </row>
    <row r="208" ht="25.5" customHeight="1">
      <c r="A208" s="62"/>
      <c r="B208" s="62"/>
      <c r="C208" s="316"/>
      <c r="D208" s="62"/>
      <c r="E208" s="62"/>
      <c r="F208" s="62"/>
      <c r="G208" s="316"/>
      <c r="H208" s="62"/>
      <c r="I208" s="316"/>
      <c r="J208" s="62"/>
      <c r="K208" s="62"/>
      <c r="L208" s="62"/>
      <c r="M208" s="62"/>
      <c r="N208" s="62"/>
      <c r="O208" s="62"/>
      <c r="P208" s="62"/>
      <c r="Q208" s="62"/>
      <c r="R208" s="62"/>
      <c r="S208" s="62"/>
      <c r="T208" s="62"/>
      <c r="U208" s="62"/>
      <c r="V208" s="62"/>
      <c r="W208" s="62"/>
      <c r="X208" s="62"/>
      <c r="Y208" s="62"/>
      <c r="Z208" s="62"/>
    </row>
    <row r="209" ht="25.5" customHeight="1">
      <c r="A209" s="62"/>
      <c r="B209" s="62"/>
      <c r="C209" s="316"/>
      <c r="D209" s="62"/>
      <c r="E209" s="62"/>
      <c r="F209" s="62"/>
      <c r="G209" s="316"/>
      <c r="H209" s="62"/>
      <c r="I209" s="316"/>
      <c r="J209" s="62"/>
      <c r="K209" s="62"/>
      <c r="L209" s="62"/>
      <c r="M209" s="62"/>
      <c r="N209" s="62"/>
      <c r="O209" s="62"/>
      <c r="P209" s="62"/>
      <c r="Q209" s="62"/>
      <c r="R209" s="62"/>
      <c r="S209" s="62"/>
      <c r="T209" s="62"/>
      <c r="U209" s="62"/>
      <c r="V209" s="62"/>
      <c r="W209" s="62"/>
      <c r="X209" s="62"/>
      <c r="Y209" s="62"/>
      <c r="Z209" s="62"/>
    </row>
    <row r="210" ht="25.5" customHeight="1">
      <c r="A210" s="62"/>
      <c r="B210" s="62"/>
      <c r="C210" s="316"/>
      <c r="D210" s="62"/>
      <c r="E210" s="62"/>
      <c r="F210" s="62"/>
      <c r="G210" s="316"/>
      <c r="H210" s="62"/>
      <c r="I210" s="316"/>
      <c r="J210" s="62"/>
      <c r="K210" s="62"/>
      <c r="L210" s="62"/>
      <c r="M210" s="62"/>
      <c r="N210" s="62"/>
      <c r="O210" s="62"/>
      <c r="P210" s="62"/>
      <c r="Q210" s="62"/>
      <c r="R210" s="62"/>
      <c r="S210" s="62"/>
      <c r="T210" s="62"/>
      <c r="U210" s="62"/>
      <c r="V210" s="62"/>
      <c r="W210" s="62"/>
      <c r="X210" s="62"/>
      <c r="Y210" s="62"/>
      <c r="Z210" s="62"/>
    </row>
    <row r="211" ht="25.5" customHeight="1">
      <c r="A211" s="62"/>
      <c r="B211" s="62"/>
      <c r="C211" s="316"/>
      <c r="D211" s="62"/>
      <c r="E211" s="62"/>
      <c r="F211" s="62"/>
      <c r="G211" s="316"/>
      <c r="H211" s="62"/>
      <c r="I211" s="316"/>
      <c r="J211" s="62"/>
      <c r="K211" s="62"/>
      <c r="L211" s="62"/>
      <c r="M211" s="62"/>
      <c r="N211" s="62"/>
      <c r="O211" s="62"/>
      <c r="P211" s="62"/>
      <c r="Q211" s="62"/>
      <c r="R211" s="62"/>
      <c r="S211" s="62"/>
      <c r="T211" s="62"/>
      <c r="U211" s="62"/>
      <c r="V211" s="62"/>
      <c r="W211" s="62"/>
      <c r="X211" s="62"/>
      <c r="Y211" s="62"/>
      <c r="Z211" s="62"/>
    </row>
    <row r="212" ht="25.5" customHeight="1">
      <c r="A212" s="62"/>
      <c r="B212" s="62"/>
      <c r="C212" s="316"/>
      <c r="D212" s="62"/>
      <c r="E212" s="62"/>
      <c r="F212" s="62"/>
      <c r="G212" s="316"/>
      <c r="H212" s="62"/>
      <c r="I212" s="316"/>
      <c r="J212" s="62"/>
      <c r="K212" s="62"/>
      <c r="L212" s="62"/>
      <c r="M212" s="62"/>
      <c r="N212" s="62"/>
      <c r="O212" s="62"/>
      <c r="P212" s="62"/>
      <c r="Q212" s="62"/>
      <c r="R212" s="62"/>
      <c r="S212" s="62"/>
      <c r="T212" s="62"/>
      <c r="U212" s="62"/>
      <c r="V212" s="62"/>
      <c r="W212" s="62"/>
      <c r="X212" s="62"/>
      <c r="Y212" s="62"/>
      <c r="Z212" s="62"/>
    </row>
    <row r="213" ht="25.5" customHeight="1">
      <c r="A213" s="62"/>
      <c r="B213" s="62"/>
      <c r="C213" s="316"/>
      <c r="D213" s="62"/>
      <c r="E213" s="62"/>
      <c r="F213" s="62"/>
      <c r="G213" s="316"/>
      <c r="H213" s="62"/>
      <c r="I213" s="316"/>
      <c r="J213" s="62"/>
      <c r="K213" s="62"/>
      <c r="L213" s="62"/>
      <c r="M213" s="62"/>
      <c r="N213" s="62"/>
      <c r="O213" s="62"/>
      <c r="P213" s="62"/>
      <c r="Q213" s="62"/>
      <c r="R213" s="62"/>
      <c r="S213" s="62"/>
      <c r="T213" s="62"/>
      <c r="U213" s="62"/>
      <c r="V213" s="62"/>
      <c r="W213" s="62"/>
      <c r="X213" s="62"/>
      <c r="Y213" s="62"/>
      <c r="Z213" s="62"/>
    </row>
    <row r="214" ht="25.5" customHeight="1">
      <c r="A214" s="62"/>
      <c r="B214" s="62"/>
      <c r="C214" s="316"/>
      <c r="D214" s="62"/>
      <c r="E214" s="62"/>
      <c r="F214" s="62"/>
      <c r="G214" s="316"/>
      <c r="H214" s="62"/>
      <c r="I214" s="316"/>
      <c r="J214" s="62"/>
      <c r="K214" s="62"/>
      <c r="L214" s="62"/>
      <c r="M214" s="62"/>
      <c r="N214" s="62"/>
      <c r="O214" s="62"/>
      <c r="P214" s="62"/>
      <c r="Q214" s="62"/>
      <c r="R214" s="62"/>
      <c r="S214" s="62"/>
      <c r="T214" s="62"/>
      <c r="U214" s="62"/>
      <c r="V214" s="62"/>
      <c r="W214" s="62"/>
      <c r="X214" s="62"/>
      <c r="Y214" s="62"/>
      <c r="Z214" s="62"/>
    </row>
    <row r="215" ht="25.5" customHeight="1">
      <c r="A215" s="62"/>
      <c r="B215" s="62"/>
      <c r="C215" s="316"/>
      <c r="D215" s="62"/>
      <c r="E215" s="62"/>
      <c r="F215" s="62"/>
      <c r="G215" s="316"/>
      <c r="H215" s="62"/>
      <c r="I215" s="316"/>
      <c r="J215" s="62"/>
      <c r="K215" s="62"/>
      <c r="L215" s="62"/>
      <c r="M215" s="62"/>
      <c r="N215" s="62"/>
      <c r="O215" s="62"/>
      <c r="P215" s="62"/>
      <c r="Q215" s="62"/>
      <c r="R215" s="62"/>
      <c r="S215" s="62"/>
      <c r="T215" s="62"/>
      <c r="U215" s="62"/>
      <c r="V215" s="62"/>
      <c r="W215" s="62"/>
      <c r="X215" s="62"/>
      <c r="Y215" s="62"/>
      <c r="Z215" s="62"/>
    </row>
    <row r="216" ht="25.5" customHeight="1">
      <c r="A216" s="62"/>
      <c r="B216" s="62"/>
      <c r="C216" s="316"/>
      <c r="D216" s="62"/>
      <c r="E216" s="62"/>
      <c r="F216" s="62"/>
      <c r="G216" s="316"/>
      <c r="H216" s="62"/>
      <c r="I216" s="316"/>
      <c r="J216" s="62"/>
      <c r="K216" s="62"/>
      <c r="L216" s="62"/>
      <c r="M216" s="62"/>
      <c r="N216" s="62"/>
      <c r="O216" s="62"/>
      <c r="P216" s="62"/>
      <c r="Q216" s="62"/>
      <c r="R216" s="62"/>
      <c r="S216" s="62"/>
      <c r="T216" s="62"/>
      <c r="U216" s="62"/>
      <c r="V216" s="62"/>
      <c r="W216" s="62"/>
      <c r="X216" s="62"/>
      <c r="Y216" s="62"/>
      <c r="Z216" s="62"/>
    </row>
    <row r="217" ht="25.5" customHeight="1">
      <c r="A217" s="62"/>
      <c r="B217" s="62"/>
      <c r="C217" s="316"/>
      <c r="D217" s="62"/>
      <c r="E217" s="62"/>
      <c r="F217" s="62"/>
      <c r="G217" s="316"/>
      <c r="H217" s="62"/>
      <c r="I217" s="316"/>
      <c r="J217" s="62"/>
      <c r="K217" s="62"/>
      <c r="L217" s="62"/>
      <c r="M217" s="62"/>
      <c r="N217" s="62"/>
      <c r="O217" s="62"/>
      <c r="P217" s="62"/>
      <c r="Q217" s="62"/>
      <c r="R217" s="62"/>
      <c r="S217" s="62"/>
      <c r="T217" s="62"/>
      <c r="U217" s="62"/>
      <c r="V217" s="62"/>
      <c r="W217" s="62"/>
      <c r="X217" s="62"/>
      <c r="Y217" s="62"/>
      <c r="Z217" s="62"/>
    </row>
    <row r="218" ht="25.5" customHeight="1">
      <c r="A218" s="62"/>
      <c r="B218" s="62"/>
      <c r="C218" s="316"/>
      <c r="D218" s="62"/>
      <c r="E218" s="62"/>
      <c r="F218" s="62"/>
      <c r="G218" s="316"/>
      <c r="H218" s="62"/>
      <c r="I218" s="316"/>
      <c r="J218" s="62"/>
      <c r="K218" s="62"/>
      <c r="L218" s="62"/>
      <c r="M218" s="62"/>
      <c r="N218" s="62"/>
      <c r="O218" s="62"/>
      <c r="P218" s="62"/>
      <c r="Q218" s="62"/>
      <c r="R218" s="62"/>
      <c r="S218" s="62"/>
      <c r="T218" s="62"/>
      <c r="U218" s="62"/>
      <c r="V218" s="62"/>
      <c r="W218" s="62"/>
      <c r="X218" s="62"/>
      <c r="Y218" s="62"/>
      <c r="Z218" s="62"/>
    </row>
    <row r="219" ht="25.5" customHeight="1">
      <c r="A219" s="62"/>
      <c r="B219" s="62"/>
      <c r="C219" s="316"/>
      <c r="D219" s="62"/>
      <c r="E219" s="62"/>
      <c r="F219" s="62"/>
      <c r="G219" s="316"/>
      <c r="H219" s="62"/>
      <c r="I219" s="316"/>
      <c r="J219" s="62"/>
      <c r="K219" s="62"/>
      <c r="L219" s="62"/>
      <c r="M219" s="62"/>
      <c r="N219" s="62"/>
      <c r="O219" s="62"/>
      <c r="P219" s="62"/>
      <c r="Q219" s="62"/>
      <c r="R219" s="62"/>
      <c r="S219" s="62"/>
      <c r="T219" s="62"/>
      <c r="U219" s="62"/>
      <c r="V219" s="62"/>
      <c r="W219" s="62"/>
      <c r="X219" s="62"/>
      <c r="Y219" s="62"/>
      <c r="Z219" s="62"/>
    </row>
    <row r="220" ht="25.5" customHeight="1">
      <c r="A220" s="62"/>
      <c r="B220" s="62"/>
      <c r="C220" s="316"/>
      <c r="D220" s="62"/>
      <c r="E220" s="62"/>
      <c r="F220" s="62"/>
      <c r="G220" s="316"/>
      <c r="H220" s="62"/>
      <c r="I220" s="316"/>
      <c r="J220" s="62"/>
      <c r="K220" s="62"/>
      <c r="L220" s="62"/>
      <c r="M220" s="62"/>
      <c r="N220" s="62"/>
      <c r="O220" s="62"/>
      <c r="P220" s="62"/>
      <c r="Q220" s="62"/>
      <c r="R220" s="62"/>
      <c r="S220" s="62"/>
      <c r="T220" s="62"/>
      <c r="U220" s="62"/>
      <c r="V220" s="62"/>
      <c r="W220" s="62"/>
      <c r="X220" s="62"/>
      <c r="Y220" s="62"/>
      <c r="Z220" s="62"/>
    </row>
    <row r="221" ht="25.5" customHeight="1">
      <c r="A221" s="62"/>
      <c r="B221" s="62"/>
      <c r="C221" s="316"/>
      <c r="D221" s="62"/>
      <c r="E221" s="62"/>
      <c r="F221" s="62"/>
      <c r="G221" s="316"/>
      <c r="H221" s="62"/>
      <c r="I221" s="316"/>
      <c r="J221" s="62"/>
      <c r="K221" s="62"/>
      <c r="L221" s="62"/>
      <c r="M221" s="62"/>
      <c r="N221" s="62"/>
      <c r="O221" s="62"/>
      <c r="P221" s="62"/>
      <c r="Q221" s="62"/>
      <c r="R221" s="62"/>
      <c r="S221" s="62"/>
      <c r="T221" s="62"/>
      <c r="U221" s="62"/>
      <c r="V221" s="62"/>
      <c r="W221" s="62"/>
      <c r="X221" s="62"/>
      <c r="Y221" s="62"/>
      <c r="Z221" s="62"/>
    </row>
    <row r="222" ht="25.5" customHeight="1">
      <c r="A222" s="62"/>
      <c r="B222" s="62"/>
      <c r="C222" s="316"/>
      <c r="D222" s="62"/>
      <c r="E222" s="62"/>
      <c r="F222" s="62"/>
      <c r="G222" s="316"/>
      <c r="H222" s="62"/>
      <c r="I222" s="316"/>
      <c r="J222" s="62"/>
      <c r="K222" s="62"/>
      <c r="L222" s="62"/>
      <c r="M222" s="62"/>
      <c r="N222" s="62"/>
      <c r="O222" s="62"/>
      <c r="P222" s="62"/>
      <c r="Q222" s="62"/>
      <c r="R222" s="62"/>
      <c r="S222" s="62"/>
      <c r="T222" s="62"/>
      <c r="U222" s="62"/>
      <c r="V222" s="62"/>
      <c r="W222" s="62"/>
      <c r="X222" s="62"/>
      <c r="Y222" s="62"/>
      <c r="Z222" s="62"/>
    </row>
    <row r="223" ht="25.5" customHeight="1">
      <c r="A223" s="62"/>
      <c r="B223" s="62"/>
      <c r="C223" s="316"/>
      <c r="D223" s="62"/>
      <c r="E223" s="62"/>
      <c r="F223" s="62"/>
      <c r="G223" s="316"/>
      <c r="H223" s="62"/>
      <c r="I223" s="316"/>
      <c r="J223" s="62"/>
      <c r="K223" s="62"/>
      <c r="L223" s="62"/>
      <c r="M223" s="62"/>
      <c r="N223" s="62"/>
      <c r="O223" s="62"/>
      <c r="P223" s="62"/>
      <c r="Q223" s="62"/>
      <c r="R223" s="62"/>
      <c r="S223" s="62"/>
      <c r="T223" s="62"/>
      <c r="U223" s="62"/>
      <c r="V223" s="62"/>
      <c r="W223" s="62"/>
      <c r="X223" s="62"/>
      <c r="Y223" s="62"/>
      <c r="Z223" s="62"/>
    </row>
    <row r="224" ht="25.5" customHeight="1">
      <c r="A224" s="62"/>
      <c r="B224" s="62"/>
      <c r="C224" s="316"/>
      <c r="D224" s="62"/>
      <c r="E224" s="62"/>
      <c r="F224" s="62"/>
      <c r="G224" s="316"/>
      <c r="H224" s="62"/>
      <c r="I224" s="316"/>
      <c r="J224" s="62"/>
      <c r="K224" s="62"/>
      <c r="L224" s="62"/>
      <c r="M224" s="62"/>
      <c r="N224" s="62"/>
      <c r="O224" s="62"/>
      <c r="P224" s="62"/>
      <c r="Q224" s="62"/>
      <c r="R224" s="62"/>
      <c r="S224" s="62"/>
      <c r="T224" s="62"/>
      <c r="U224" s="62"/>
      <c r="V224" s="62"/>
      <c r="W224" s="62"/>
      <c r="X224" s="62"/>
      <c r="Y224" s="62"/>
      <c r="Z224" s="62"/>
    </row>
    <row r="225" ht="25.5" customHeight="1">
      <c r="A225" s="62"/>
      <c r="B225" s="62"/>
      <c r="C225" s="316"/>
      <c r="D225" s="62"/>
      <c r="E225" s="62"/>
      <c r="F225" s="62"/>
      <c r="G225" s="316"/>
      <c r="H225" s="62"/>
      <c r="I225" s="316"/>
      <c r="J225" s="62"/>
      <c r="K225" s="62"/>
      <c r="L225" s="62"/>
      <c r="M225" s="62"/>
      <c r="N225" s="62"/>
      <c r="O225" s="62"/>
      <c r="P225" s="62"/>
      <c r="Q225" s="62"/>
      <c r="R225" s="62"/>
      <c r="S225" s="62"/>
      <c r="T225" s="62"/>
      <c r="U225" s="62"/>
      <c r="V225" s="62"/>
      <c r="W225" s="62"/>
      <c r="X225" s="62"/>
      <c r="Y225" s="62"/>
      <c r="Z225" s="62"/>
    </row>
    <row r="226" ht="25.5" customHeight="1">
      <c r="A226" s="62"/>
      <c r="B226" s="62"/>
      <c r="C226" s="316"/>
      <c r="D226" s="62"/>
      <c r="E226" s="62"/>
      <c r="F226" s="62"/>
      <c r="G226" s="316"/>
      <c r="H226" s="62"/>
      <c r="I226" s="316"/>
      <c r="J226" s="62"/>
      <c r="K226" s="62"/>
      <c r="L226" s="62"/>
      <c r="M226" s="62"/>
      <c r="N226" s="62"/>
      <c r="O226" s="62"/>
      <c r="P226" s="62"/>
      <c r="Q226" s="62"/>
      <c r="R226" s="62"/>
      <c r="S226" s="62"/>
      <c r="T226" s="62"/>
      <c r="U226" s="62"/>
      <c r="V226" s="62"/>
      <c r="W226" s="62"/>
      <c r="X226" s="62"/>
      <c r="Y226" s="62"/>
      <c r="Z226" s="62"/>
    </row>
    <row r="227" ht="25.5" customHeight="1">
      <c r="A227" s="62"/>
      <c r="B227" s="62"/>
      <c r="C227" s="316"/>
      <c r="D227" s="62"/>
      <c r="E227" s="62"/>
      <c r="F227" s="62"/>
      <c r="G227" s="316"/>
      <c r="H227" s="62"/>
      <c r="I227" s="316"/>
      <c r="J227" s="62"/>
      <c r="K227" s="62"/>
      <c r="L227" s="62"/>
      <c r="M227" s="62"/>
      <c r="N227" s="62"/>
      <c r="O227" s="62"/>
      <c r="P227" s="62"/>
      <c r="Q227" s="62"/>
      <c r="R227" s="62"/>
      <c r="S227" s="62"/>
      <c r="T227" s="62"/>
      <c r="U227" s="62"/>
      <c r="V227" s="62"/>
      <c r="W227" s="62"/>
      <c r="X227" s="62"/>
      <c r="Y227" s="62"/>
      <c r="Z227" s="62"/>
    </row>
    <row r="228" ht="25.5" customHeight="1">
      <c r="A228" s="62"/>
      <c r="B228" s="62"/>
      <c r="C228" s="316"/>
      <c r="D228" s="62"/>
      <c r="E228" s="62"/>
      <c r="F228" s="62"/>
      <c r="G228" s="316"/>
      <c r="H228" s="62"/>
      <c r="I228" s="316"/>
      <c r="J228" s="62"/>
      <c r="K228" s="62"/>
      <c r="L228" s="62"/>
      <c r="M228" s="62"/>
      <c r="N228" s="62"/>
      <c r="O228" s="62"/>
      <c r="P228" s="62"/>
      <c r="Q228" s="62"/>
      <c r="R228" s="62"/>
      <c r="S228" s="62"/>
      <c r="T228" s="62"/>
      <c r="U228" s="62"/>
      <c r="V228" s="62"/>
      <c r="W228" s="62"/>
      <c r="X228" s="62"/>
      <c r="Y228" s="62"/>
      <c r="Z228" s="62"/>
    </row>
    <row r="229" ht="25.5" customHeight="1">
      <c r="A229" s="62"/>
      <c r="B229" s="62"/>
      <c r="C229" s="316"/>
      <c r="D229" s="62"/>
      <c r="E229" s="62"/>
      <c r="F229" s="62"/>
      <c r="G229" s="316"/>
      <c r="H229" s="62"/>
      <c r="I229" s="316"/>
      <c r="J229" s="62"/>
      <c r="K229" s="62"/>
      <c r="L229" s="62"/>
      <c r="M229" s="62"/>
      <c r="N229" s="62"/>
      <c r="O229" s="62"/>
      <c r="P229" s="62"/>
      <c r="Q229" s="62"/>
      <c r="R229" s="62"/>
      <c r="S229" s="62"/>
      <c r="T229" s="62"/>
      <c r="U229" s="62"/>
      <c r="V229" s="62"/>
      <c r="W229" s="62"/>
      <c r="X229" s="62"/>
      <c r="Y229" s="62"/>
      <c r="Z229" s="62"/>
    </row>
    <row r="230" ht="25.5" customHeight="1">
      <c r="A230" s="62"/>
      <c r="B230" s="62"/>
      <c r="C230" s="316"/>
      <c r="D230" s="62"/>
      <c r="E230" s="62"/>
      <c r="F230" s="62"/>
      <c r="G230" s="316"/>
      <c r="H230" s="62"/>
      <c r="I230" s="316"/>
      <c r="J230" s="62"/>
      <c r="K230" s="62"/>
      <c r="L230" s="62"/>
      <c r="M230" s="62"/>
      <c r="N230" s="62"/>
      <c r="O230" s="62"/>
      <c r="P230" s="62"/>
      <c r="Q230" s="62"/>
      <c r="R230" s="62"/>
      <c r="S230" s="62"/>
      <c r="T230" s="62"/>
      <c r="U230" s="62"/>
      <c r="V230" s="62"/>
      <c r="W230" s="62"/>
      <c r="X230" s="62"/>
      <c r="Y230" s="62"/>
      <c r="Z230" s="62"/>
    </row>
    <row r="231" ht="25.5" customHeight="1">
      <c r="A231" s="62"/>
      <c r="B231" s="62"/>
      <c r="C231" s="316"/>
      <c r="D231" s="62"/>
      <c r="E231" s="62"/>
      <c r="F231" s="62"/>
      <c r="G231" s="316"/>
      <c r="H231" s="62"/>
      <c r="I231" s="316"/>
      <c r="J231" s="62"/>
      <c r="K231" s="62"/>
      <c r="L231" s="62"/>
      <c r="M231" s="62"/>
      <c r="N231" s="62"/>
      <c r="O231" s="62"/>
      <c r="P231" s="62"/>
      <c r="Q231" s="62"/>
      <c r="R231" s="62"/>
      <c r="S231" s="62"/>
      <c r="T231" s="62"/>
      <c r="U231" s="62"/>
      <c r="V231" s="62"/>
      <c r="W231" s="62"/>
      <c r="X231" s="62"/>
      <c r="Y231" s="62"/>
      <c r="Z231" s="62"/>
    </row>
    <row r="232" ht="25.5" customHeight="1">
      <c r="A232" s="62"/>
      <c r="B232" s="62"/>
      <c r="C232" s="316"/>
      <c r="D232" s="62"/>
      <c r="E232" s="62"/>
      <c r="F232" s="62"/>
      <c r="G232" s="316"/>
      <c r="H232" s="62"/>
      <c r="I232" s="316"/>
      <c r="J232" s="62"/>
      <c r="K232" s="62"/>
      <c r="L232" s="62"/>
      <c r="M232" s="62"/>
      <c r="N232" s="62"/>
      <c r="O232" s="62"/>
      <c r="P232" s="62"/>
      <c r="Q232" s="62"/>
      <c r="R232" s="62"/>
      <c r="S232" s="62"/>
      <c r="T232" s="62"/>
      <c r="U232" s="62"/>
      <c r="V232" s="62"/>
      <c r="W232" s="62"/>
      <c r="X232" s="62"/>
      <c r="Y232" s="62"/>
      <c r="Z232" s="62"/>
    </row>
    <row r="233" ht="25.5" customHeight="1">
      <c r="A233" s="62"/>
      <c r="B233" s="62"/>
      <c r="C233" s="316"/>
      <c r="D233" s="62"/>
      <c r="E233" s="62"/>
      <c r="F233" s="62"/>
      <c r="G233" s="316"/>
      <c r="H233" s="62"/>
      <c r="I233" s="316"/>
      <c r="J233" s="62"/>
      <c r="K233" s="62"/>
      <c r="L233" s="62"/>
      <c r="M233" s="62"/>
      <c r="N233" s="62"/>
      <c r="O233" s="62"/>
      <c r="P233" s="62"/>
      <c r="Q233" s="62"/>
      <c r="R233" s="62"/>
      <c r="S233" s="62"/>
      <c r="T233" s="62"/>
      <c r="U233" s="62"/>
      <c r="V233" s="62"/>
      <c r="W233" s="62"/>
      <c r="X233" s="62"/>
      <c r="Y233" s="62"/>
      <c r="Z233" s="62"/>
    </row>
    <row r="234" ht="25.5" customHeight="1">
      <c r="A234" s="62"/>
      <c r="B234" s="62"/>
      <c r="C234" s="316"/>
      <c r="D234" s="62"/>
      <c r="E234" s="62"/>
      <c r="F234" s="62"/>
      <c r="G234" s="316"/>
      <c r="H234" s="62"/>
      <c r="I234" s="316"/>
      <c r="J234" s="62"/>
      <c r="K234" s="62"/>
      <c r="L234" s="62"/>
      <c r="M234" s="62"/>
      <c r="N234" s="62"/>
      <c r="O234" s="62"/>
      <c r="P234" s="62"/>
      <c r="Q234" s="62"/>
      <c r="R234" s="62"/>
      <c r="S234" s="62"/>
      <c r="T234" s="62"/>
      <c r="U234" s="62"/>
      <c r="V234" s="62"/>
      <c r="W234" s="62"/>
      <c r="X234" s="62"/>
      <c r="Y234" s="62"/>
      <c r="Z234" s="62"/>
    </row>
    <row r="235" ht="25.5" customHeight="1">
      <c r="A235" s="62"/>
      <c r="B235" s="62"/>
      <c r="C235" s="316"/>
      <c r="D235" s="62"/>
      <c r="E235" s="62"/>
      <c r="F235" s="62"/>
      <c r="G235" s="316"/>
      <c r="H235" s="62"/>
      <c r="I235" s="316"/>
      <c r="J235" s="62"/>
      <c r="K235" s="62"/>
      <c r="L235" s="62"/>
      <c r="M235" s="62"/>
      <c r="N235" s="62"/>
      <c r="O235" s="62"/>
      <c r="P235" s="62"/>
      <c r="Q235" s="62"/>
      <c r="R235" s="62"/>
      <c r="S235" s="62"/>
      <c r="T235" s="62"/>
      <c r="U235" s="62"/>
      <c r="V235" s="62"/>
      <c r="W235" s="62"/>
      <c r="X235" s="62"/>
      <c r="Y235" s="62"/>
      <c r="Z235" s="62"/>
    </row>
    <row r="236" ht="25.5" customHeight="1">
      <c r="A236" s="62"/>
      <c r="B236" s="62"/>
      <c r="C236" s="316"/>
      <c r="D236" s="62"/>
      <c r="E236" s="62"/>
      <c r="F236" s="62"/>
      <c r="G236" s="316"/>
      <c r="H236" s="62"/>
      <c r="I236" s="316"/>
      <c r="J236" s="62"/>
      <c r="K236" s="62"/>
      <c r="L236" s="62"/>
      <c r="M236" s="62"/>
      <c r="N236" s="62"/>
      <c r="O236" s="62"/>
      <c r="P236" s="62"/>
      <c r="Q236" s="62"/>
      <c r="R236" s="62"/>
      <c r="S236" s="62"/>
      <c r="T236" s="62"/>
      <c r="U236" s="62"/>
      <c r="V236" s="62"/>
      <c r="W236" s="62"/>
      <c r="X236" s="62"/>
      <c r="Y236" s="62"/>
      <c r="Z236" s="62"/>
    </row>
    <row r="237" ht="25.5" customHeight="1">
      <c r="A237" s="62"/>
      <c r="B237" s="62"/>
      <c r="C237" s="316"/>
      <c r="D237" s="62"/>
      <c r="E237" s="62"/>
      <c r="F237" s="62"/>
      <c r="G237" s="316"/>
      <c r="H237" s="62"/>
      <c r="I237" s="316"/>
      <c r="J237" s="62"/>
      <c r="K237" s="62"/>
      <c r="L237" s="62"/>
      <c r="M237" s="62"/>
      <c r="N237" s="62"/>
      <c r="O237" s="62"/>
      <c r="P237" s="62"/>
      <c r="Q237" s="62"/>
      <c r="R237" s="62"/>
      <c r="S237" s="62"/>
      <c r="T237" s="62"/>
      <c r="U237" s="62"/>
      <c r="V237" s="62"/>
      <c r="W237" s="62"/>
      <c r="X237" s="62"/>
      <c r="Y237" s="62"/>
      <c r="Z237" s="62"/>
    </row>
    <row r="238" ht="25.5" customHeight="1">
      <c r="A238" s="62"/>
      <c r="B238" s="62"/>
      <c r="C238" s="316"/>
      <c r="D238" s="62"/>
      <c r="E238" s="62"/>
      <c r="F238" s="62"/>
      <c r="G238" s="316"/>
      <c r="H238" s="62"/>
      <c r="I238" s="316"/>
      <c r="J238" s="62"/>
      <c r="K238" s="62"/>
      <c r="L238" s="62"/>
      <c r="M238" s="62"/>
      <c r="N238" s="62"/>
      <c r="O238" s="62"/>
      <c r="P238" s="62"/>
      <c r="Q238" s="62"/>
      <c r="R238" s="62"/>
      <c r="S238" s="62"/>
      <c r="T238" s="62"/>
      <c r="U238" s="62"/>
      <c r="V238" s="62"/>
      <c r="W238" s="62"/>
      <c r="X238" s="62"/>
      <c r="Y238" s="62"/>
      <c r="Z238" s="62"/>
    </row>
    <row r="239" ht="25.5" customHeight="1">
      <c r="A239" s="62"/>
      <c r="B239" s="62"/>
      <c r="C239" s="316"/>
      <c r="D239" s="62"/>
      <c r="E239" s="62"/>
      <c r="F239" s="62"/>
      <c r="G239" s="316"/>
      <c r="H239" s="62"/>
      <c r="I239" s="316"/>
      <c r="J239" s="62"/>
      <c r="K239" s="62"/>
      <c r="L239" s="62"/>
      <c r="M239" s="62"/>
      <c r="N239" s="62"/>
      <c r="O239" s="62"/>
      <c r="P239" s="62"/>
      <c r="Q239" s="62"/>
      <c r="R239" s="62"/>
      <c r="S239" s="62"/>
      <c r="T239" s="62"/>
      <c r="U239" s="62"/>
      <c r="V239" s="62"/>
      <c r="W239" s="62"/>
      <c r="X239" s="62"/>
      <c r="Y239" s="62"/>
      <c r="Z239" s="62"/>
    </row>
    <row r="240" ht="25.5" customHeight="1">
      <c r="A240" s="62"/>
      <c r="B240" s="62"/>
      <c r="C240" s="316"/>
      <c r="D240" s="62"/>
      <c r="E240" s="62"/>
      <c r="F240" s="62"/>
      <c r="G240" s="316"/>
      <c r="H240" s="62"/>
      <c r="I240" s="316"/>
      <c r="J240" s="62"/>
      <c r="K240" s="62"/>
      <c r="L240" s="62"/>
      <c r="M240" s="62"/>
      <c r="N240" s="62"/>
      <c r="O240" s="62"/>
      <c r="P240" s="62"/>
      <c r="Q240" s="62"/>
      <c r="R240" s="62"/>
      <c r="S240" s="62"/>
      <c r="T240" s="62"/>
      <c r="U240" s="62"/>
      <c r="V240" s="62"/>
      <c r="W240" s="62"/>
      <c r="X240" s="62"/>
      <c r="Y240" s="62"/>
      <c r="Z240" s="62"/>
    </row>
    <row r="241" ht="25.5" customHeight="1">
      <c r="A241" s="62"/>
      <c r="B241" s="62"/>
      <c r="C241" s="316"/>
      <c r="D241" s="62"/>
      <c r="E241" s="62"/>
      <c r="F241" s="62"/>
      <c r="G241" s="316"/>
      <c r="H241" s="62"/>
      <c r="I241" s="316"/>
      <c r="J241" s="62"/>
      <c r="K241" s="62"/>
      <c r="L241" s="62"/>
      <c r="M241" s="62"/>
      <c r="N241" s="62"/>
      <c r="O241" s="62"/>
      <c r="P241" s="62"/>
      <c r="Q241" s="62"/>
      <c r="R241" s="62"/>
      <c r="S241" s="62"/>
      <c r="T241" s="62"/>
      <c r="U241" s="62"/>
      <c r="V241" s="62"/>
      <c r="W241" s="62"/>
      <c r="X241" s="62"/>
      <c r="Y241" s="62"/>
      <c r="Z241" s="62"/>
    </row>
    <row r="242" ht="25.5" customHeight="1">
      <c r="A242" s="62"/>
      <c r="B242" s="62"/>
      <c r="C242" s="316"/>
      <c r="D242" s="62"/>
      <c r="E242" s="62"/>
      <c r="F242" s="62"/>
      <c r="G242" s="316"/>
      <c r="H242" s="62"/>
      <c r="I242" s="316"/>
      <c r="J242" s="62"/>
      <c r="K242" s="62"/>
      <c r="L242" s="62"/>
      <c r="M242" s="62"/>
      <c r="N242" s="62"/>
      <c r="O242" s="62"/>
      <c r="P242" s="62"/>
      <c r="Q242" s="62"/>
      <c r="R242" s="62"/>
      <c r="S242" s="62"/>
      <c r="T242" s="62"/>
      <c r="U242" s="62"/>
      <c r="V242" s="62"/>
      <c r="W242" s="62"/>
      <c r="X242" s="62"/>
      <c r="Y242" s="62"/>
      <c r="Z242" s="62"/>
    </row>
    <row r="243" ht="25.5" customHeight="1">
      <c r="A243" s="62"/>
      <c r="B243" s="62"/>
      <c r="C243" s="316"/>
      <c r="D243" s="62"/>
      <c r="E243" s="62"/>
      <c r="F243" s="62"/>
      <c r="G243" s="316"/>
      <c r="H243" s="62"/>
      <c r="I243" s="316"/>
      <c r="J243" s="62"/>
      <c r="K243" s="62"/>
      <c r="L243" s="62"/>
      <c r="M243" s="62"/>
      <c r="N243" s="62"/>
      <c r="O243" s="62"/>
      <c r="P243" s="62"/>
      <c r="Q243" s="62"/>
      <c r="R243" s="62"/>
      <c r="S243" s="62"/>
      <c r="T243" s="62"/>
      <c r="U243" s="62"/>
      <c r="V243" s="62"/>
      <c r="W243" s="62"/>
      <c r="X243" s="62"/>
      <c r="Y243" s="62"/>
      <c r="Z243" s="62"/>
    </row>
    <row r="244" ht="25.5" customHeight="1">
      <c r="A244" s="62"/>
      <c r="B244" s="62"/>
      <c r="C244" s="316"/>
      <c r="D244" s="62"/>
      <c r="E244" s="62"/>
      <c r="F244" s="62"/>
      <c r="G244" s="316"/>
      <c r="H244" s="62"/>
      <c r="I244" s="316"/>
      <c r="J244" s="62"/>
      <c r="K244" s="62"/>
      <c r="L244" s="62"/>
      <c r="M244" s="62"/>
      <c r="N244" s="62"/>
      <c r="O244" s="62"/>
      <c r="P244" s="62"/>
      <c r="Q244" s="62"/>
      <c r="R244" s="62"/>
      <c r="S244" s="62"/>
      <c r="T244" s="62"/>
      <c r="U244" s="62"/>
      <c r="V244" s="62"/>
      <c r="W244" s="62"/>
      <c r="X244" s="62"/>
      <c r="Y244" s="62"/>
      <c r="Z244" s="62"/>
    </row>
    <row r="245" ht="25.5" customHeight="1">
      <c r="A245" s="62"/>
      <c r="B245" s="62"/>
      <c r="C245" s="316"/>
      <c r="D245" s="62"/>
      <c r="E245" s="62"/>
      <c r="F245" s="62"/>
      <c r="G245" s="316"/>
      <c r="H245" s="62"/>
      <c r="I245" s="316"/>
      <c r="J245" s="62"/>
      <c r="K245" s="62"/>
      <c r="L245" s="62"/>
      <c r="M245" s="62"/>
      <c r="N245" s="62"/>
      <c r="O245" s="62"/>
      <c r="P245" s="62"/>
      <c r="Q245" s="62"/>
      <c r="R245" s="62"/>
      <c r="S245" s="62"/>
      <c r="T245" s="62"/>
      <c r="U245" s="62"/>
      <c r="V245" s="62"/>
      <c r="W245" s="62"/>
      <c r="X245" s="62"/>
      <c r="Y245" s="62"/>
      <c r="Z245" s="62"/>
    </row>
    <row r="246" ht="25.5" customHeight="1">
      <c r="A246" s="62"/>
      <c r="B246" s="62"/>
      <c r="C246" s="316"/>
      <c r="D246" s="62"/>
      <c r="E246" s="62"/>
      <c r="F246" s="62"/>
      <c r="G246" s="316"/>
      <c r="H246" s="62"/>
      <c r="I246" s="316"/>
      <c r="J246" s="62"/>
      <c r="K246" s="62"/>
      <c r="L246" s="62"/>
      <c r="M246" s="62"/>
      <c r="N246" s="62"/>
      <c r="O246" s="62"/>
      <c r="P246" s="62"/>
      <c r="Q246" s="62"/>
      <c r="R246" s="62"/>
      <c r="S246" s="62"/>
      <c r="T246" s="62"/>
      <c r="U246" s="62"/>
      <c r="V246" s="62"/>
      <c r="W246" s="62"/>
      <c r="X246" s="62"/>
      <c r="Y246" s="62"/>
      <c r="Z246" s="62"/>
    </row>
    <row r="247" ht="25.5" customHeight="1">
      <c r="A247" s="62"/>
      <c r="B247" s="62"/>
      <c r="C247" s="316"/>
      <c r="D247" s="62"/>
      <c r="E247" s="62"/>
      <c r="F247" s="62"/>
      <c r="G247" s="316"/>
      <c r="H247" s="62"/>
      <c r="I247" s="316"/>
      <c r="J247" s="62"/>
      <c r="K247" s="62"/>
      <c r="L247" s="62"/>
      <c r="M247" s="62"/>
      <c r="N247" s="62"/>
      <c r="O247" s="62"/>
      <c r="P247" s="62"/>
      <c r="Q247" s="62"/>
      <c r="R247" s="62"/>
      <c r="S247" s="62"/>
      <c r="T247" s="62"/>
      <c r="U247" s="62"/>
      <c r="V247" s="62"/>
      <c r="W247" s="62"/>
      <c r="X247" s="62"/>
      <c r="Y247" s="62"/>
      <c r="Z247" s="62"/>
    </row>
    <row r="248" ht="25.5" customHeight="1">
      <c r="A248" s="62"/>
      <c r="B248" s="62"/>
      <c r="C248" s="316"/>
      <c r="D248" s="62"/>
      <c r="E248" s="62"/>
      <c r="F248" s="62"/>
      <c r="G248" s="316"/>
      <c r="H248" s="62"/>
      <c r="I248" s="316"/>
      <c r="J248" s="62"/>
      <c r="K248" s="62"/>
      <c r="L248" s="62"/>
      <c r="M248" s="62"/>
      <c r="N248" s="62"/>
      <c r="O248" s="62"/>
      <c r="P248" s="62"/>
      <c r="Q248" s="62"/>
      <c r="R248" s="62"/>
      <c r="S248" s="62"/>
      <c r="T248" s="62"/>
      <c r="U248" s="62"/>
      <c r="V248" s="62"/>
      <c r="W248" s="62"/>
      <c r="X248" s="62"/>
      <c r="Y248" s="62"/>
      <c r="Z248" s="62"/>
    </row>
    <row r="249" ht="25.5" customHeight="1">
      <c r="A249" s="62"/>
      <c r="B249" s="62"/>
      <c r="C249" s="316"/>
      <c r="D249" s="62"/>
      <c r="E249" s="62"/>
      <c r="F249" s="62"/>
      <c r="G249" s="316"/>
      <c r="H249" s="62"/>
      <c r="I249" s="316"/>
      <c r="J249" s="62"/>
      <c r="K249" s="62"/>
      <c r="L249" s="62"/>
      <c r="M249" s="62"/>
      <c r="N249" s="62"/>
      <c r="O249" s="62"/>
      <c r="P249" s="62"/>
      <c r="Q249" s="62"/>
      <c r="R249" s="62"/>
      <c r="S249" s="62"/>
      <c r="T249" s="62"/>
      <c r="U249" s="62"/>
      <c r="V249" s="62"/>
      <c r="W249" s="62"/>
      <c r="X249" s="62"/>
      <c r="Y249" s="62"/>
      <c r="Z249" s="62"/>
    </row>
    <row r="250" ht="25.5" customHeight="1">
      <c r="A250" s="62"/>
      <c r="B250" s="62"/>
      <c r="C250" s="316"/>
      <c r="D250" s="62"/>
      <c r="E250" s="62"/>
      <c r="F250" s="62"/>
      <c r="G250" s="316"/>
      <c r="H250" s="62"/>
      <c r="I250" s="316"/>
      <c r="J250" s="62"/>
      <c r="K250" s="62"/>
      <c r="L250" s="62"/>
      <c r="M250" s="62"/>
      <c r="N250" s="62"/>
      <c r="O250" s="62"/>
      <c r="P250" s="62"/>
      <c r="Q250" s="62"/>
      <c r="R250" s="62"/>
      <c r="S250" s="62"/>
      <c r="T250" s="62"/>
      <c r="U250" s="62"/>
      <c r="V250" s="62"/>
      <c r="W250" s="62"/>
      <c r="X250" s="62"/>
      <c r="Y250" s="62"/>
      <c r="Z250" s="62"/>
    </row>
    <row r="251" ht="25.5" customHeight="1">
      <c r="A251" s="62"/>
      <c r="B251" s="62"/>
      <c r="C251" s="316"/>
      <c r="D251" s="62"/>
      <c r="E251" s="62"/>
      <c r="F251" s="62"/>
      <c r="G251" s="316"/>
      <c r="H251" s="62"/>
      <c r="I251" s="316"/>
      <c r="J251" s="62"/>
      <c r="K251" s="62"/>
      <c r="L251" s="62"/>
      <c r="M251" s="62"/>
      <c r="N251" s="62"/>
      <c r="O251" s="62"/>
      <c r="P251" s="62"/>
      <c r="Q251" s="62"/>
      <c r="R251" s="62"/>
      <c r="S251" s="62"/>
      <c r="T251" s="62"/>
      <c r="U251" s="62"/>
      <c r="V251" s="62"/>
      <c r="W251" s="62"/>
      <c r="X251" s="62"/>
      <c r="Y251" s="62"/>
      <c r="Z251" s="62"/>
    </row>
    <row r="252" ht="25.5" customHeight="1">
      <c r="A252" s="62"/>
      <c r="B252" s="62"/>
      <c r="C252" s="316"/>
      <c r="D252" s="62"/>
      <c r="E252" s="62"/>
      <c r="F252" s="62"/>
      <c r="G252" s="316"/>
      <c r="H252" s="62"/>
      <c r="I252" s="316"/>
      <c r="J252" s="62"/>
      <c r="K252" s="62"/>
      <c r="L252" s="62"/>
      <c r="M252" s="62"/>
      <c r="N252" s="62"/>
      <c r="O252" s="62"/>
      <c r="P252" s="62"/>
      <c r="Q252" s="62"/>
      <c r="R252" s="62"/>
      <c r="S252" s="62"/>
      <c r="T252" s="62"/>
      <c r="U252" s="62"/>
      <c r="V252" s="62"/>
      <c r="W252" s="62"/>
      <c r="X252" s="62"/>
      <c r="Y252" s="62"/>
      <c r="Z252" s="62"/>
    </row>
    <row r="253" ht="25.5" customHeight="1">
      <c r="A253" s="62"/>
      <c r="B253" s="62"/>
      <c r="C253" s="316"/>
      <c r="D253" s="62"/>
      <c r="E253" s="62"/>
      <c r="F253" s="62"/>
      <c r="G253" s="316"/>
      <c r="H253" s="62"/>
      <c r="I253" s="316"/>
      <c r="J253" s="62"/>
      <c r="K253" s="62"/>
      <c r="L253" s="62"/>
      <c r="M253" s="62"/>
      <c r="N253" s="62"/>
      <c r="O253" s="62"/>
      <c r="P253" s="62"/>
      <c r="Q253" s="62"/>
      <c r="R253" s="62"/>
      <c r="S253" s="62"/>
      <c r="T253" s="62"/>
      <c r="U253" s="62"/>
      <c r="V253" s="62"/>
      <c r="W253" s="62"/>
      <c r="X253" s="62"/>
      <c r="Y253" s="62"/>
      <c r="Z253" s="62"/>
    </row>
    <row r="254" ht="25.5" customHeight="1">
      <c r="A254" s="62"/>
      <c r="B254" s="62"/>
      <c r="C254" s="316"/>
      <c r="D254" s="62"/>
      <c r="E254" s="62"/>
      <c r="F254" s="62"/>
      <c r="G254" s="316"/>
      <c r="H254" s="62"/>
      <c r="I254" s="316"/>
      <c r="J254" s="62"/>
      <c r="K254" s="62"/>
      <c r="L254" s="62"/>
      <c r="M254" s="62"/>
      <c r="N254" s="62"/>
      <c r="O254" s="62"/>
      <c r="P254" s="62"/>
      <c r="Q254" s="62"/>
      <c r="R254" s="62"/>
      <c r="S254" s="62"/>
      <c r="T254" s="62"/>
      <c r="U254" s="62"/>
      <c r="V254" s="62"/>
      <c r="W254" s="62"/>
      <c r="X254" s="62"/>
      <c r="Y254" s="62"/>
      <c r="Z254" s="62"/>
    </row>
    <row r="255" ht="25.5" customHeight="1">
      <c r="A255" s="62"/>
      <c r="B255" s="62"/>
      <c r="C255" s="316"/>
      <c r="D255" s="62"/>
      <c r="E255" s="62"/>
      <c r="F255" s="62"/>
      <c r="G255" s="316"/>
      <c r="H255" s="62"/>
      <c r="I255" s="316"/>
      <c r="J255" s="62"/>
      <c r="K255" s="62"/>
      <c r="L255" s="62"/>
      <c r="M255" s="62"/>
      <c r="N255" s="62"/>
      <c r="O255" s="62"/>
      <c r="P255" s="62"/>
      <c r="Q255" s="62"/>
      <c r="R255" s="62"/>
      <c r="S255" s="62"/>
      <c r="T255" s="62"/>
      <c r="U255" s="62"/>
      <c r="V255" s="62"/>
      <c r="W255" s="62"/>
      <c r="X255" s="62"/>
      <c r="Y255" s="62"/>
      <c r="Z255" s="62"/>
    </row>
    <row r="256" ht="25.5" customHeight="1">
      <c r="A256" s="62"/>
      <c r="B256" s="62"/>
      <c r="C256" s="316"/>
      <c r="D256" s="62"/>
      <c r="E256" s="62"/>
      <c r="F256" s="62"/>
      <c r="G256" s="316"/>
      <c r="H256" s="62"/>
      <c r="I256" s="316"/>
      <c r="J256" s="62"/>
      <c r="K256" s="62"/>
      <c r="L256" s="62"/>
      <c r="M256" s="62"/>
      <c r="N256" s="62"/>
      <c r="O256" s="62"/>
      <c r="P256" s="62"/>
      <c r="Q256" s="62"/>
      <c r="R256" s="62"/>
      <c r="S256" s="62"/>
      <c r="T256" s="62"/>
      <c r="U256" s="62"/>
      <c r="V256" s="62"/>
      <c r="W256" s="62"/>
      <c r="X256" s="62"/>
      <c r="Y256" s="62"/>
      <c r="Z256" s="62"/>
    </row>
    <row r="257" ht="25.5" customHeight="1">
      <c r="A257" s="62"/>
      <c r="B257" s="62"/>
      <c r="C257" s="316"/>
      <c r="D257" s="62"/>
      <c r="E257" s="62"/>
      <c r="F257" s="62"/>
      <c r="G257" s="316"/>
      <c r="H257" s="62"/>
      <c r="I257" s="316"/>
      <c r="J257" s="62"/>
      <c r="K257" s="62"/>
      <c r="L257" s="62"/>
      <c r="M257" s="62"/>
      <c r="N257" s="62"/>
      <c r="O257" s="62"/>
      <c r="P257" s="62"/>
      <c r="Q257" s="62"/>
      <c r="R257" s="62"/>
      <c r="S257" s="62"/>
      <c r="T257" s="62"/>
      <c r="U257" s="62"/>
      <c r="V257" s="62"/>
      <c r="W257" s="62"/>
      <c r="X257" s="62"/>
      <c r="Y257" s="62"/>
      <c r="Z257" s="62"/>
    </row>
    <row r="258" ht="25.5" customHeight="1">
      <c r="A258" s="62"/>
      <c r="B258" s="62"/>
      <c r="C258" s="316"/>
      <c r="D258" s="62"/>
      <c r="E258" s="62"/>
      <c r="F258" s="62"/>
      <c r="G258" s="316"/>
      <c r="H258" s="62"/>
      <c r="I258" s="316"/>
      <c r="J258" s="62"/>
      <c r="K258" s="62"/>
      <c r="L258" s="62"/>
      <c r="M258" s="62"/>
      <c r="N258" s="62"/>
      <c r="O258" s="62"/>
      <c r="P258" s="62"/>
      <c r="Q258" s="62"/>
      <c r="R258" s="62"/>
      <c r="S258" s="62"/>
      <c r="T258" s="62"/>
      <c r="U258" s="62"/>
      <c r="V258" s="62"/>
      <c r="W258" s="62"/>
      <c r="X258" s="62"/>
      <c r="Y258" s="62"/>
      <c r="Z258" s="62"/>
    </row>
    <row r="259" ht="25.5" customHeight="1">
      <c r="A259" s="62"/>
      <c r="B259" s="62"/>
      <c r="C259" s="316"/>
      <c r="D259" s="62"/>
      <c r="E259" s="62"/>
      <c r="F259" s="62"/>
      <c r="G259" s="316"/>
      <c r="H259" s="62"/>
      <c r="I259" s="316"/>
      <c r="J259" s="62"/>
      <c r="K259" s="62"/>
      <c r="L259" s="62"/>
      <c r="M259" s="62"/>
      <c r="N259" s="62"/>
      <c r="O259" s="62"/>
      <c r="P259" s="62"/>
      <c r="Q259" s="62"/>
      <c r="R259" s="62"/>
      <c r="S259" s="62"/>
      <c r="T259" s="62"/>
      <c r="U259" s="62"/>
      <c r="V259" s="62"/>
      <c r="W259" s="62"/>
      <c r="X259" s="62"/>
      <c r="Y259" s="62"/>
      <c r="Z259" s="62"/>
    </row>
    <row r="260" ht="25.5" customHeight="1">
      <c r="A260" s="62"/>
      <c r="B260" s="62"/>
      <c r="C260" s="316"/>
      <c r="D260" s="62"/>
      <c r="E260" s="62"/>
      <c r="F260" s="62"/>
      <c r="G260" s="316"/>
      <c r="H260" s="62"/>
      <c r="I260" s="316"/>
      <c r="J260" s="62"/>
      <c r="K260" s="62"/>
      <c r="L260" s="62"/>
      <c r="M260" s="62"/>
      <c r="N260" s="62"/>
      <c r="O260" s="62"/>
      <c r="P260" s="62"/>
      <c r="Q260" s="62"/>
      <c r="R260" s="62"/>
      <c r="S260" s="62"/>
      <c r="T260" s="62"/>
      <c r="U260" s="62"/>
      <c r="V260" s="62"/>
      <c r="W260" s="62"/>
      <c r="X260" s="62"/>
      <c r="Y260" s="62"/>
      <c r="Z260" s="62"/>
    </row>
    <row r="261" ht="25.5" customHeight="1">
      <c r="A261" s="62"/>
      <c r="B261" s="62"/>
      <c r="C261" s="316"/>
      <c r="D261" s="62"/>
      <c r="E261" s="62"/>
      <c r="F261" s="62"/>
      <c r="G261" s="316"/>
      <c r="H261" s="62"/>
      <c r="I261" s="316"/>
      <c r="J261" s="62"/>
      <c r="K261" s="62"/>
      <c r="L261" s="62"/>
      <c r="M261" s="62"/>
      <c r="N261" s="62"/>
      <c r="O261" s="62"/>
      <c r="P261" s="62"/>
      <c r="Q261" s="62"/>
      <c r="R261" s="62"/>
      <c r="S261" s="62"/>
      <c r="T261" s="62"/>
      <c r="U261" s="62"/>
      <c r="V261" s="62"/>
      <c r="W261" s="62"/>
      <c r="X261" s="62"/>
      <c r="Y261" s="62"/>
      <c r="Z261" s="62"/>
    </row>
    <row r="262" ht="25.5" customHeight="1">
      <c r="A262" s="62"/>
      <c r="B262" s="62"/>
      <c r="C262" s="316"/>
      <c r="D262" s="62"/>
      <c r="E262" s="62"/>
      <c r="F262" s="62"/>
      <c r="G262" s="316"/>
      <c r="H262" s="62"/>
      <c r="I262" s="316"/>
      <c r="J262" s="62"/>
      <c r="K262" s="62"/>
      <c r="L262" s="62"/>
      <c r="M262" s="62"/>
      <c r="N262" s="62"/>
      <c r="O262" s="62"/>
      <c r="P262" s="62"/>
      <c r="Q262" s="62"/>
      <c r="R262" s="62"/>
      <c r="S262" s="62"/>
      <c r="T262" s="62"/>
      <c r="U262" s="62"/>
      <c r="V262" s="62"/>
      <c r="W262" s="62"/>
      <c r="X262" s="62"/>
      <c r="Y262" s="62"/>
      <c r="Z262" s="62"/>
    </row>
    <row r="263" ht="25.5" customHeight="1">
      <c r="A263" s="62"/>
      <c r="B263" s="62"/>
      <c r="C263" s="316"/>
      <c r="D263" s="62"/>
      <c r="E263" s="62"/>
      <c r="F263" s="62"/>
      <c r="G263" s="316"/>
      <c r="H263" s="62"/>
      <c r="I263" s="316"/>
      <c r="J263" s="62"/>
      <c r="K263" s="62"/>
      <c r="L263" s="62"/>
      <c r="M263" s="62"/>
      <c r="N263" s="62"/>
      <c r="O263" s="62"/>
      <c r="P263" s="62"/>
      <c r="Q263" s="62"/>
      <c r="R263" s="62"/>
      <c r="S263" s="62"/>
      <c r="T263" s="62"/>
      <c r="U263" s="62"/>
      <c r="V263" s="62"/>
      <c r="W263" s="62"/>
      <c r="X263" s="62"/>
      <c r="Y263" s="62"/>
      <c r="Z263" s="62"/>
    </row>
    <row r="264" ht="25.5" customHeight="1">
      <c r="A264" s="62"/>
      <c r="B264" s="62"/>
      <c r="C264" s="316"/>
      <c r="D264" s="62"/>
      <c r="E264" s="62"/>
      <c r="F264" s="62"/>
      <c r="G264" s="316"/>
      <c r="H264" s="62"/>
      <c r="I264" s="316"/>
      <c r="J264" s="62"/>
      <c r="K264" s="62"/>
      <c r="L264" s="62"/>
      <c r="M264" s="62"/>
      <c r="N264" s="62"/>
      <c r="O264" s="62"/>
      <c r="P264" s="62"/>
      <c r="Q264" s="62"/>
      <c r="R264" s="62"/>
      <c r="S264" s="62"/>
      <c r="T264" s="62"/>
      <c r="U264" s="62"/>
      <c r="V264" s="62"/>
      <c r="W264" s="62"/>
      <c r="X264" s="62"/>
      <c r="Y264" s="62"/>
      <c r="Z264" s="62"/>
    </row>
    <row r="265" ht="25.5" customHeight="1">
      <c r="A265" s="62"/>
      <c r="B265" s="62"/>
      <c r="C265" s="316"/>
      <c r="D265" s="62"/>
      <c r="E265" s="62"/>
      <c r="F265" s="62"/>
      <c r="G265" s="316"/>
      <c r="H265" s="62"/>
      <c r="I265" s="316"/>
      <c r="J265" s="62"/>
      <c r="K265" s="62"/>
      <c r="L265" s="62"/>
      <c r="M265" s="62"/>
      <c r="N265" s="62"/>
      <c r="O265" s="62"/>
      <c r="P265" s="62"/>
      <c r="Q265" s="62"/>
      <c r="R265" s="62"/>
      <c r="S265" s="62"/>
      <c r="T265" s="62"/>
      <c r="U265" s="62"/>
      <c r="V265" s="62"/>
      <c r="W265" s="62"/>
      <c r="X265" s="62"/>
      <c r="Y265" s="62"/>
      <c r="Z265" s="62"/>
    </row>
    <row r="266" ht="25.5" customHeight="1">
      <c r="A266" s="62"/>
      <c r="B266" s="62"/>
      <c r="C266" s="316"/>
      <c r="D266" s="62"/>
      <c r="E266" s="62"/>
      <c r="F266" s="62"/>
      <c r="G266" s="316"/>
      <c r="H266" s="62"/>
      <c r="I266" s="316"/>
      <c r="J266" s="62"/>
      <c r="K266" s="62"/>
      <c r="L266" s="62"/>
      <c r="M266" s="62"/>
      <c r="N266" s="62"/>
      <c r="O266" s="62"/>
      <c r="P266" s="62"/>
      <c r="Q266" s="62"/>
      <c r="R266" s="62"/>
      <c r="S266" s="62"/>
      <c r="T266" s="62"/>
      <c r="U266" s="62"/>
      <c r="V266" s="62"/>
      <c r="W266" s="62"/>
      <c r="X266" s="62"/>
      <c r="Y266" s="62"/>
      <c r="Z266" s="62"/>
    </row>
    <row r="267" ht="25.5" customHeight="1">
      <c r="A267" s="62"/>
      <c r="B267" s="62"/>
      <c r="C267" s="316"/>
      <c r="D267" s="62"/>
      <c r="E267" s="62"/>
      <c r="F267" s="62"/>
      <c r="G267" s="316"/>
      <c r="H267" s="62"/>
      <c r="I267" s="316"/>
      <c r="J267" s="62"/>
      <c r="K267" s="62"/>
      <c r="L267" s="62"/>
      <c r="M267" s="62"/>
      <c r="N267" s="62"/>
      <c r="O267" s="62"/>
      <c r="P267" s="62"/>
      <c r="Q267" s="62"/>
      <c r="R267" s="62"/>
      <c r="S267" s="62"/>
      <c r="T267" s="62"/>
      <c r="U267" s="62"/>
      <c r="V267" s="62"/>
      <c r="W267" s="62"/>
      <c r="X267" s="62"/>
      <c r="Y267" s="62"/>
      <c r="Z267" s="62"/>
    </row>
    <row r="268" ht="25.5" customHeight="1">
      <c r="A268" s="62"/>
      <c r="B268" s="62"/>
      <c r="C268" s="316"/>
      <c r="D268" s="62"/>
      <c r="E268" s="62"/>
      <c r="F268" s="62"/>
      <c r="G268" s="316"/>
      <c r="H268" s="62"/>
      <c r="I268" s="316"/>
      <c r="J268" s="62"/>
      <c r="K268" s="62"/>
      <c r="L268" s="62"/>
      <c r="M268" s="62"/>
      <c r="N268" s="62"/>
      <c r="O268" s="62"/>
      <c r="P268" s="62"/>
      <c r="Q268" s="62"/>
      <c r="R268" s="62"/>
      <c r="S268" s="62"/>
      <c r="T268" s="62"/>
      <c r="U268" s="62"/>
      <c r="V268" s="62"/>
      <c r="W268" s="62"/>
      <c r="X268" s="62"/>
      <c r="Y268" s="62"/>
      <c r="Z268" s="62"/>
    </row>
    <row r="269" ht="25.5" customHeight="1">
      <c r="A269" s="62"/>
      <c r="B269" s="62"/>
      <c r="C269" s="316"/>
      <c r="D269" s="62"/>
      <c r="E269" s="62"/>
      <c r="F269" s="62"/>
      <c r="G269" s="316"/>
      <c r="H269" s="62"/>
      <c r="I269" s="316"/>
      <c r="J269" s="62"/>
      <c r="K269" s="62"/>
      <c r="L269" s="62"/>
      <c r="M269" s="62"/>
      <c r="N269" s="62"/>
      <c r="O269" s="62"/>
      <c r="P269" s="62"/>
      <c r="Q269" s="62"/>
      <c r="R269" s="62"/>
      <c r="S269" s="62"/>
      <c r="T269" s="62"/>
      <c r="U269" s="62"/>
      <c r="V269" s="62"/>
      <c r="W269" s="62"/>
      <c r="X269" s="62"/>
      <c r="Y269" s="62"/>
      <c r="Z269" s="62"/>
    </row>
    <row r="270" ht="25.5" customHeight="1">
      <c r="A270" s="62"/>
      <c r="B270" s="62"/>
      <c r="C270" s="316"/>
      <c r="D270" s="62"/>
      <c r="E270" s="62"/>
      <c r="F270" s="62"/>
      <c r="G270" s="316"/>
      <c r="H270" s="62"/>
      <c r="I270" s="316"/>
      <c r="J270" s="62"/>
      <c r="K270" s="62"/>
      <c r="L270" s="62"/>
      <c r="M270" s="62"/>
      <c r="N270" s="62"/>
      <c r="O270" s="62"/>
      <c r="P270" s="62"/>
      <c r="Q270" s="62"/>
      <c r="R270" s="62"/>
      <c r="S270" s="62"/>
      <c r="T270" s="62"/>
      <c r="U270" s="62"/>
      <c r="V270" s="62"/>
      <c r="W270" s="62"/>
      <c r="X270" s="62"/>
      <c r="Y270" s="62"/>
      <c r="Z270" s="62"/>
    </row>
    <row r="271" ht="25.5" customHeight="1">
      <c r="A271" s="62"/>
      <c r="B271" s="62"/>
      <c r="C271" s="316"/>
      <c r="D271" s="62"/>
      <c r="E271" s="62"/>
      <c r="F271" s="62"/>
      <c r="G271" s="316"/>
      <c r="H271" s="62"/>
      <c r="I271" s="316"/>
      <c r="J271" s="62"/>
      <c r="K271" s="62"/>
      <c r="L271" s="62"/>
      <c r="M271" s="62"/>
      <c r="N271" s="62"/>
      <c r="O271" s="62"/>
      <c r="P271" s="62"/>
      <c r="Q271" s="62"/>
      <c r="R271" s="62"/>
      <c r="S271" s="62"/>
      <c r="T271" s="62"/>
      <c r="U271" s="62"/>
      <c r="V271" s="62"/>
      <c r="W271" s="62"/>
      <c r="X271" s="62"/>
      <c r="Y271" s="62"/>
      <c r="Z271" s="62"/>
    </row>
    <row r="272" ht="25.5" customHeight="1">
      <c r="A272" s="62"/>
      <c r="B272" s="62"/>
      <c r="C272" s="316"/>
      <c r="D272" s="62"/>
      <c r="E272" s="62"/>
      <c r="F272" s="62"/>
      <c r="G272" s="316"/>
      <c r="H272" s="62"/>
      <c r="I272" s="316"/>
      <c r="J272" s="62"/>
      <c r="K272" s="62"/>
      <c r="L272" s="62"/>
      <c r="M272" s="62"/>
      <c r="N272" s="62"/>
      <c r="O272" s="62"/>
      <c r="P272" s="62"/>
      <c r="Q272" s="62"/>
      <c r="R272" s="62"/>
      <c r="S272" s="62"/>
      <c r="T272" s="62"/>
      <c r="U272" s="62"/>
      <c r="V272" s="62"/>
      <c r="W272" s="62"/>
      <c r="X272" s="62"/>
      <c r="Y272" s="62"/>
      <c r="Z272" s="62"/>
    </row>
    <row r="273" ht="25.5" customHeight="1">
      <c r="A273" s="62"/>
      <c r="B273" s="62"/>
      <c r="C273" s="316"/>
      <c r="D273" s="62"/>
      <c r="E273" s="62"/>
      <c r="F273" s="62"/>
      <c r="G273" s="316"/>
      <c r="H273" s="62"/>
      <c r="I273" s="316"/>
      <c r="J273" s="62"/>
      <c r="K273" s="62"/>
      <c r="L273" s="62"/>
      <c r="M273" s="62"/>
      <c r="N273" s="62"/>
      <c r="O273" s="62"/>
      <c r="P273" s="62"/>
      <c r="Q273" s="62"/>
      <c r="R273" s="62"/>
      <c r="S273" s="62"/>
      <c r="T273" s="62"/>
      <c r="U273" s="62"/>
      <c r="V273" s="62"/>
      <c r="W273" s="62"/>
      <c r="X273" s="62"/>
      <c r="Y273" s="62"/>
      <c r="Z273" s="62"/>
    </row>
    <row r="274" ht="25.5" customHeight="1">
      <c r="A274" s="62"/>
      <c r="B274" s="62"/>
      <c r="C274" s="316"/>
      <c r="D274" s="62"/>
      <c r="E274" s="62"/>
      <c r="F274" s="62"/>
      <c r="G274" s="316"/>
      <c r="H274" s="62"/>
      <c r="I274" s="316"/>
      <c r="J274" s="62"/>
      <c r="K274" s="62"/>
      <c r="L274" s="62"/>
      <c r="M274" s="62"/>
      <c r="N274" s="62"/>
      <c r="O274" s="62"/>
      <c r="P274" s="62"/>
      <c r="Q274" s="62"/>
      <c r="R274" s="62"/>
      <c r="S274" s="62"/>
      <c r="T274" s="62"/>
      <c r="U274" s="62"/>
      <c r="V274" s="62"/>
      <c r="W274" s="62"/>
      <c r="X274" s="62"/>
      <c r="Y274" s="62"/>
      <c r="Z274" s="62"/>
    </row>
    <row r="275" ht="25.5" customHeight="1">
      <c r="A275" s="62"/>
      <c r="B275" s="62"/>
      <c r="C275" s="316"/>
      <c r="D275" s="62"/>
      <c r="E275" s="62"/>
      <c r="F275" s="62"/>
      <c r="G275" s="316"/>
      <c r="H275" s="62"/>
      <c r="I275" s="316"/>
      <c r="J275" s="62"/>
      <c r="K275" s="62"/>
      <c r="L275" s="62"/>
      <c r="M275" s="62"/>
      <c r="N275" s="62"/>
      <c r="O275" s="62"/>
      <c r="P275" s="62"/>
      <c r="Q275" s="62"/>
      <c r="R275" s="62"/>
      <c r="S275" s="62"/>
      <c r="T275" s="62"/>
      <c r="U275" s="62"/>
      <c r="V275" s="62"/>
      <c r="W275" s="62"/>
      <c r="X275" s="62"/>
      <c r="Y275" s="62"/>
      <c r="Z275" s="62"/>
    </row>
    <row r="276" ht="25.5" customHeight="1">
      <c r="A276" s="62"/>
      <c r="B276" s="62"/>
      <c r="C276" s="316"/>
      <c r="D276" s="62"/>
      <c r="E276" s="62"/>
      <c r="F276" s="62"/>
      <c r="G276" s="316"/>
      <c r="H276" s="62"/>
      <c r="I276" s="316"/>
      <c r="J276" s="62"/>
      <c r="K276" s="62"/>
      <c r="L276" s="62"/>
      <c r="M276" s="62"/>
      <c r="N276" s="62"/>
      <c r="O276" s="62"/>
      <c r="P276" s="62"/>
      <c r="Q276" s="62"/>
      <c r="R276" s="62"/>
      <c r="S276" s="62"/>
      <c r="T276" s="62"/>
      <c r="U276" s="62"/>
      <c r="V276" s="62"/>
      <c r="W276" s="62"/>
      <c r="X276" s="62"/>
      <c r="Y276" s="62"/>
      <c r="Z276" s="62"/>
    </row>
    <row r="277" ht="25.5" customHeight="1">
      <c r="A277" s="62"/>
      <c r="B277" s="62"/>
      <c r="C277" s="316"/>
      <c r="D277" s="62"/>
      <c r="E277" s="62"/>
      <c r="F277" s="62"/>
      <c r="G277" s="316"/>
      <c r="H277" s="62"/>
      <c r="I277" s="316"/>
      <c r="J277" s="62"/>
      <c r="K277" s="62"/>
      <c r="L277" s="62"/>
      <c r="M277" s="62"/>
      <c r="N277" s="62"/>
      <c r="O277" s="62"/>
      <c r="P277" s="62"/>
      <c r="Q277" s="62"/>
      <c r="R277" s="62"/>
      <c r="S277" s="62"/>
      <c r="T277" s="62"/>
      <c r="U277" s="62"/>
      <c r="V277" s="62"/>
      <c r="W277" s="62"/>
      <c r="X277" s="62"/>
      <c r="Y277" s="62"/>
      <c r="Z277" s="62"/>
    </row>
    <row r="278" ht="25.5" customHeight="1">
      <c r="A278" s="62"/>
      <c r="B278" s="62"/>
      <c r="C278" s="316"/>
      <c r="D278" s="62"/>
      <c r="E278" s="62"/>
      <c r="F278" s="62"/>
      <c r="G278" s="316"/>
      <c r="H278" s="62"/>
      <c r="I278" s="316"/>
      <c r="J278" s="62"/>
      <c r="K278" s="62"/>
      <c r="L278" s="62"/>
      <c r="M278" s="62"/>
      <c r="N278" s="62"/>
      <c r="O278" s="62"/>
      <c r="P278" s="62"/>
      <c r="Q278" s="62"/>
      <c r="R278" s="62"/>
      <c r="S278" s="62"/>
      <c r="T278" s="62"/>
      <c r="U278" s="62"/>
      <c r="V278" s="62"/>
      <c r="W278" s="62"/>
      <c r="X278" s="62"/>
      <c r="Y278" s="62"/>
      <c r="Z278" s="62"/>
    </row>
    <row r="279" ht="25.5" customHeight="1">
      <c r="A279" s="62"/>
      <c r="B279" s="62"/>
      <c r="C279" s="316"/>
      <c r="D279" s="62"/>
      <c r="E279" s="62"/>
      <c r="F279" s="62"/>
      <c r="G279" s="316"/>
      <c r="H279" s="62"/>
      <c r="I279" s="316"/>
      <c r="J279" s="62"/>
      <c r="K279" s="62"/>
      <c r="L279" s="62"/>
      <c r="M279" s="62"/>
      <c r="N279" s="62"/>
      <c r="O279" s="62"/>
      <c r="P279" s="62"/>
      <c r="Q279" s="62"/>
      <c r="R279" s="62"/>
      <c r="S279" s="62"/>
      <c r="T279" s="62"/>
      <c r="U279" s="62"/>
      <c r="V279" s="62"/>
      <c r="W279" s="62"/>
      <c r="X279" s="62"/>
      <c r="Y279" s="62"/>
      <c r="Z279" s="62"/>
    </row>
    <row r="280" ht="25.5" customHeight="1">
      <c r="A280" s="62"/>
      <c r="B280" s="62"/>
      <c r="C280" s="316"/>
      <c r="D280" s="62"/>
      <c r="E280" s="62"/>
      <c r="F280" s="62"/>
      <c r="G280" s="316"/>
      <c r="H280" s="62"/>
      <c r="I280" s="316"/>
      <c r="J280" s="62"/>
      <c r="K280" s="62"/>
      <c r="L280" s="62"/>
      <c r="M280" s="62"/>
      <c r="N280" s="62"/>
      <c r="O280" s="62"/>
      <c r="P280" s="62"/>
      <c r="Q280" s="62"/>
      <c r="R280" s="62"/>
      <c r="S280" s="62"/>
      <c r="T280" s="62"/>
      <c r="U280" s="62"/>
      <c r="V280" s="62"/>
      <c r="W280" s="62"/>
      <c r="X280" s="62"/>
      <c r="Y280" s="62"/>
      <c r="Z280" s="62"/>
    </row>
    <row r="281" ht="25.5" customHeight="1">
      <c r="A281" s="62"/>
      <c r="B281" s="62"/>
      <c r="C281" s="316"/>
      <c r="D281" s="62"/>
      <c r="E281" s="62"/>
      <c r="F281" s="62"/>
      <c r="G281" s="316"/>
      <c r="H281" s="62"/>
      <c r="I281" s="316"/>
      <c r="J281" s="62"/>
      <c r="K281" s="62"/>
      <c r="L281" s="62"/>
      <c r="M281" s="62"/>
      <c r="N281" s="62"/>
      <c r="O281" s="62"/>
      <c r="P281" s="62"/>
      <c r="Q281" s="62"/>
      <c r="R281" s="62"/>
      <c r="S281" s="62"/>
      <c r="T281" s="62"/>
      <c r="U281" s="62"/>
      <c r="V281" s="62"/>
      <c r="W281" s="62"/>
      <c r="X281" s="62"/>
      <c r="Y281" s="62"/>
      <c r="Z281" s="62"/>
    </row>
    <row r="282" ht="25.5" customHeight="1">
      <c r="A282" s="62"/>
      <c r="B282" s="62"/>
      <c r="C282" s="316"/>
      <c r="D282" s="62"/>
      <c r="E282" s="62"/>
      <c r="F282" s="62"/>
      <c r="G282" s="316"/>
      <c r="H282" s="62"/>
      <c r="I282" s="316"/>
      <c r="J282" s="62"/>
      <c r="K282" s="62"/>
      <c r="L282" s="62"/>
      <c r="M282" s="62"/>
      <c r="N282" s="62"/>
      <c r="O282" s="62"/>
      <c r="P282" s="62"/>
      <c r="Q282" s="62"/>
      <c r="R282" s="62"/>
      <c r="S282" s="62"/>
      <c r="T282" s="62"/>
      <c r="U282" s="62"/>
      <c r="V282" s="62"/>
      <c r="W282" s="62"/>
      <c r="X282" s="62"/>
      <c r="Y282" s="62"/>
      <c r="Z282" s="62"/>
    </row>
    <row r="283" ht="25.5" customHeight="1">
      <c r="A283" s="62"/>
      <c r="B283" s="62"/>
      <c r="C283" s="316"/>
      <c r="D283" s="62"/>
      <c r="E283" s="62"/>
      <c r="F283" s="62"/>
      <c r="G283" s="316"/>
      <c r="H283" s="62"/>
      <c r="I283" s="316"/>
      <c r="J283" s="62"/>
      <c r="K283" s="62"/>
      <c r="L283" s="62"/>
      <c r="M283" s="62"/>
      <c r="N283" s="62"/>
      <c r="O283" s="62"/>
      <c r="P283" s="62"/>
      <c r="Q283" s="62"/>
      <c r="R283" s="62"/>
      <c r="S283" s="62"/>
      <c r="T283" s="62"/>
      <c r="U283" s="62"/>
      <c r="V283" s="62"/>
      <c r="W283" s="62"/>
      <c r="X283" s="62"/>
      <c r="Y283" s="62"/>
      <c r="Z283" s="62"/>
    </row>
    <row r="284" ht="25.5" customHeight="1">
      <c r="A284" s="62"/>
      <c r="B284" s="62"/>
      <c r="C284" s="316"/>
      <c r="D284" s="62"/>
      <c r="E284" s="62"/>
      <c r="F284" s="62"/>
      <c r="G284" s="316"/>
      <c r="H284" s="62"/>
      <c r="I284" s="316"/>
      <c r="J284" s="62"/>
      <c r="K284" s="62"/>
      <c r="L284" s="62"/>
      <c r="M284" s="62"/>
      <c r="N284" s="62"/>
      <c r="O284" s="62"/>
      <c r="P284" s="62"/>
      <c r="Q284" s="62"/>
      <c r="R284" s="62"/>
      <c r="S284" s="62"/>
      <c r="T284" s="62"/>
      <c r="U284" s="62"/>
      <c r="V284" s="62"/>
      <c r="W284" s="62"/>
      <c r="X284" s="62"/>
      <c r="Y284" s="62"/>
      <c r="Z284" s="62"/>
    </row>
    <row r="285" ht="25.5" customHeight="1">
      <c r="A285" s="62"/>
      <c r="B285" s="62"/>
      <c r="C285" s="316"/>
      <c r="D285" s="62"/>
      <c r="E285" s="62"/>
      <c r="F285" s="62"/>
      <c r="G285" s="316"/>
      <c r="H285" s="62"/>
      <c r="I285" s="316"/>
      <c r="J285" s="62"/>
      <c r="K285" s="62"/>
      <c r="L285" s="62"/>
      <c r="M285" s="62"/>
      <c r="N285" s="62"/>
      <c r="O285" s="62"/>
      <c r="P285" s="62"/>
      <c r="Q285" s="62"/>
      <c r="R285" s="62"/>
      <c r="S285" s="62"/>
      <c r="T285" s="62"/>
      <c r="U285" s="62"/>
      <c r="V285" s="62"/>
      <c r="W285" s="62"/>
      <c r="X285" s="62"/>
      <c r="Y285" s="62"/>
      <c r="Z285" s="62"/>
    </row>
    <row r="286" ht="25.5" customHeight="1">
      <c r="A286" s="62"/>
      <c r="B286" s="62"/>
      <c r="C286" s="316"/>
      <c r="D286" s="62"/>
      <c r="E286" s="62"/>
      <c r="F286" s="62"/>
      <c r="G286" s="316"/>
      <c r="H286" s="62"/>
      <c r="I286" s="316"/>
      <c r="J286" s="62"/>
      <c r="K286" s="62"/>
      <c r="L286" s="62"/>
      <c r="M286" s="62"/>
      <c r="N286" s="62"/>
      <c r="O286" s="62"/>
      <c r="P286" s="62"/>
      <c r="Q286" s="62"/>
      <c r="R286" s="62"/>
      <c r="S286" s="62"/>
      <c r="T286" s="62"/>
      <c r="U286" s="62"/>
      <c r="V286" s="62"/>
      <c r="W286" s="62"/>
      <c r="X286" s="62"/>
      <c r="Y286" s="62"/>
      <c r="Z286" s="62"/>
    </row>
    <row r="287" ht="25.5" customHeight="1">
      <c r="A287" s="62"/>
      <c r="B287" s="62"/>
      <c r="C287" s="316"/>
      <c r="D287" s="62"/>
      <c r="E287" s="62"/>
      <c r="F287" s="62"/>
      <c r="G287" s="316"/>
      <c r="H287" s="62"/>
      <c r="I287" s="316"/>
      <c r="J287" s="62"/>
      <c r="K287" s="62"/>
      <c r="L287" s="62"/>
      <c r="M287" s="62"/>
      <c r="N287" s="62"/>
      <c r="O287" s="62"/>
      <c r="P287" s="62"/>
      <c r="Q287" s="62"/>
      <c r="R287" s="62"/>
      <c r="S287" s="62"/>
      <c r="T287" s="62"/>
      <c r="U287" s="62"/>
      <c r="V287" s="62"/>
      <c r="W287" s="62"/>
      <c r="X287" s="62"/>
      <c r="Y287" s="62"/>
      <c r="Z287" s="62"/>
    </row>
    <row r="288" ht="25.5" customHeight="1">
      <c r="A288" s="62"/>
      <c r="B288" s="62"/>
      <c r="C288" s="316"/>
      <c r="D288" s="62"/>
      <c r="E288" s="62"/>
      <c r="F288" s="62"/>
      <c r="G288" s="316"/>
      <c r="H288" s="62"/>
      <c r="I288" s="316"/>
      <c r="J288" s="62"/>
      <c r="K288" s="62"/>
      <c r="L288" s="62"/>
      <c r="M288" s="62"/>
      <c r="N288" s="62"/>
      <c r="O288" s="62"/>
      <c r="P288" s="62"/>
      <c r="Q288" s="62"/>
      <c r="R288" s="62"/>
      <c r="S288" s="62"/>
      <c r="T288" s="62"/>
      <c r="U288" s="62"/>
      <c r="V288" s="62"/>
      <c r="W288" s="62"/>
      <c r="X288" s="62"/>
      <c r="Y288" s="62"/>
      <c r="Z288" s="62"/>
    </row>
    <row r="289" ht="25.5" customHeight="1">
      <c r="A289" s="62"/>
      <c r="B289" s="62"/>
      <c r="C289" s="316"/>
      <c r="D289" s="62"/>
      <c r="E289" s="62"/>
      <c r="F289" s="62"/>
      <c r="G289" s="316"/>
      <c r="H289" s="62"/>
      <c r="I289" s="316"/>
      <c r="J289" s="62"/>
      <c r="K289" s="62"/>
      <c r="L289" s="62"/>
      <c r="M289" s="62"/>
      <c r="N289" s="62"/>
      <c r="O289" s="62"/>
      <c r="P289" s="62"/>
      <c r="Q289" s="62"/>
      <c r="R289" s="62"/>
      <c r="S289" s="62"/>
      <c r="T289" s="62"/>
      <c r="U289" s="62"/>
      <c r="V289" s="62"/>
      <c r="W289" s="62"/>
      <c r="X289" s="62"/>
      <c r="Y289" s="62"/>
      <c r="Z289" s="62"/>
    </row>
    <row r="290" ht="25.5" customHeight="1">
      <c r="A290" s="62"/>
      <c r="B290" s="62"/>
      <c r="C290" s="316"/>
      <c r="D290" s="62"/>
      <c r="E290" s="62"/>
      <c r="F290" s="62"/>
      <c r="G290" s="316"/>
      <c r="H290" s="62"/>
      <c r="I290" s="316"/>
      <c r="J290" s="62"/>
      <c r="K290" s="62"/>
      <c r="L290" s="62"/>
      <c r="M290" s="62"/>
      <c r="N290" s="62"/>
      <c r="O290" s="62"/>
      <c r="P290" s="62"/>
      <c r="Q290" s="62"/>
      <c r="R290" s="62"/>
      <c r="S290" s="62"/>
      <c r="T290" s="62"/>
      <c r="U290" s="62"/>
      <c r="V290" s="62"/>
      <c r="W290" s="62"/>
      <c r="X290" s="62"/>
      <c r="Y290" s="62"/>
      <c r="Z290" s="62"/>
    </row>
    <row r="291" ht="25.5" customHeight="1">
      <c r="A291" s="62"/>
      <c r="B291" s="62"/>
      <c r="C291" s="316"/>
      <c r="D291" s="62"/>
      <c r="E291" s="62"/>
      <c r="F291" s="62"/>
      <c r="G291" s="316"/>
      <c r="H291" s="62"/>
      <c r="I291" s="316"/>
      <c r="J291" s="62"/>
      <c r="K291" s="62"/>
      <c r="L291" s="62"/>
      <c r="M291" s="62"/>
      <c r="N291" s="62"/>
      <c r="O291" s="62"/>
      <c r="P291" s="62"/>
      <c r="Q291" s="62"/>
      <c r="R291" s="62"/>
      <c r="S291" s="62"/>
      <c r="T291" s="62"/>
      <c r="U291" s="62"/>
      <c r="V291" s="62"/>
      <c r="W291" s="62"/>
      <c r="X291" s="62"/>
      <c r="Y291" s="62"/>
      <c r="Z291" s="62"/>
    </row>
    <row r="292" ht="25.5" customHeight="1">
      <c r="A292" s="62"/>
      <c r="B292" s="62"/>
      <c r="C292" s="316"/>
      <c r="D292" s="62"/>
      <c r="E292" s="62"/>
      <c r="F292" s="62"/>
      <c r="G292" s="316"/>
      <c r="H292" s="62"/>
      <c r="I292" s="316"/>
      <c r="J292" s="62"/>
      <c r="K292" s="62"/>
      <c r="L292" s="62"/>
      <c r="M292" s="62"/>
      <c r="N292" s="62"/>
      <c r="O292" s="62"/>
      <c r="P292" s="62"/>
      <c r="Q292" s="62"/>
      <c r="R292" s="62"/>
      <c r="S292" s="62"/>
      <c r="T292" s="62"/>
      <c r="U292" s="62"/>
      <c r="V292" s="62"/>
      <c r="W292" s="62"/>
      <c r="X292" s="62"/>
      <c r="Y292" s="62"/>
      <c r="Z292" s="62"/>
    </row>
    <row r="293" ht="25.5" customHeight="1">
      <c r="A293" s="62"/>
      <c r="B293" s="62"/>
      <c r="C293" s="316"/>
      <c r="D293" s="62"/>
      <c r="E293" s="62"/>
      <c r="F293" s="62"/>
      <c r="G293" s="316"/>
      <c r="H293" s="62"/>
      <c r="I293" s="316"/>
      <c r="J293" s="62"/>
      <c r="K293" s="62"/>
      <c r="L293" s="62"/>
      <c r="M293" s="62"/>
      <c r="N293" s="62"/>
      <c r="O293" s="62"/>
      <c r="P293" s="62"/>
      <c r="Q293" s="62"/>
      <c r="R293" s="62"/>
      <c r="S293" s="62"/>
      <c r="T293" s="62"/>
      <c r="U293" s="62"/>
      <c r="V293" s="62"/>
      <c r="W293" s="62"/>
      <c r="X293" s="62"/>
      <c r="Y293" s="62"/>
      <c r="Z293" s="62"/>
    </row>
    <row r="294" ht="25.5" customHeight="1">
      <c r="A294" s="62"/>
      <c r="B294" s="62"/>
      <c r="C294" s="316"/>
      <c r="D294" s="62"/>
      <c r="E294" s="62"/>
      <c r="F294" s="62"/>
      <c r="G294" s="316"/>
      <c r="H294" s="62"/>
      <c r="I294" s="316"/>
      <c r="J294" s="62"/>
      <c r="K294" s="62"/>
      <c r="L294" s="62"/>
      <c r="M294" s="62"/>
      <c r="N294" s="62"/>
      <c r="O294" s="62"/>
      <c r="P294" s="62"/>
      <c r="Q294" s="62"/>
      <c r="R294" s="62"/>
      <c r="S294" s="62"/>
      <c r="T294" s="62"/>
      <c r="U294" s="62"/>
      <c r="V294" s="62"/>
      <c r="W294" s="62"/>
      <c r="X294" s="62"/>
      <c r="Y294" s="62"/>
      <c r="Z294" s="62"/>
    </row>
    <row r="295" ht="25.5" customHeight="1">
      <c r="A295" s="62"/>
      <c r="B295" s="62"/>
      <c r="C295" s="316"/>
      <c r="D295" s="62"/>
      <c r="E295" s="62"/>
      <c r="F295" s="62"/>
      <c r="G295" s="316"/>
      <c r="H295" s="62"/>
      <c r="I295" s="316"/>
      <c r="J295" s="62"/>
      <c r="K295" s="62"/>
      <c r="L295" s="62"/>
      <c r="M295" s="62"/>
      <c r="N295" s="62"/>
      <c r="O295" s="62"/>
      <c r="P295" s="62"/>
      <c r="Q295" s="62"/>
      <c r="R295" s="62"/>
      <c r="S295" s="62"/>
      <c r="T295" s="62"/>
      <c r="U295" s="62"/>
      <c r="V295" s="62"/>
      <c r="W295" s="62"/>
      <c r="X295" s="62"/>
      <c r="Y295" s="62"/>
      <c r="Z295" s="62"/>
    </row>
    <row r="296" ht="25.5" customHeight="1">
      <c r="A296" s="62"/>
      <c r="B296" s="62"/>
      <c r="C296" s="316"/>
      <c r="D296" s="62"/>
      <c r="E296" s="62"/>
      <c r="F296" s="62"/>
      <c r="G296" s="316"/>
      <c r="H296" s="62"/>
      <c r="I296" s="316"/>
      <c r="J296" s="62"/>
      <c r="K296" s="62"/>
      <c r="L296" s="62"/>
      <c r="M296" s="62"/>
      <c r="N296" s="62"/>
      <c r="O296" s="62"/>
      <c r="P296" s="62"/>
      <c r="Q296" s="62"/>
      <c r="R296" s="62"/>
      <c r="S296" s="62"/>
      <c r="T296" s="62"/>
      <c r="U296" s="62"/>
      <c r="V296" s="62"/>
      <c r="W296" s="62"/>
      <c r="X296" s="62"/>
      <c r="Y296" s="62"/>
      <c r="Z296" s="62"/>
    </row>
    <row r="297" ht="25.5" customHeight="1">
      <c r="A297" s="62"/>
      <c r="B297" s="62"/>
      <c r="C297" s="316"/>
      <c r="D297" s="62"/>
      <c r="E297" s="62"/>
      <c r="F297" s="62"/>
      <c r="G297" s="316"/>
      <c r="H297" s="62"/>
      <c r="I297" s="316"/>
      <c r="J297" s="62"/>
      <c r="K297" s="62"/>
      <c r="L297" s="62"/>
      <c r="M297" s="62"/>
      <c r="N297" s="62"/>
      <c r="O297" s="62"/>
      <c r="P297" s="62"/>
      <c r="Q297" s="62"/>
      <c r="R297" s="62"/>
      <c r="S297" s="62"/>
      <c r="T297" s="62"/>
      <c r="U297" s="62"/>
      <c r="V297" s="62"/>
      <c r="W297" s="62"/>
      <c r="X297" s="62"/>
      <c r="Y297" s="62"/>
      <c r="Z297" s="62"/>
    </row>
    <row r="298" ht="25.5" customHeight="1">
      <c r="A298" s="62"/>
      <c r="B298" s="62"/>
      <c r="C298" s="316"/>
      <c r="D298" s="62"/>
      <c r="E298" s="62"/>
      <c r="F298" s="62"/>
      <c r="G298" s="316"/>
      <c r="H298" s="62"/>
      <c r="I298" s="316"/>
      <c r="J298" s="62"/>
      <c r="K298" s="62"/>
      <c r="L298" s="62"/>
      <c r="M298" s="62"/>
      <c r="N298" s="62"/>
      <c r="O298" s="62"/>
      <c r="P298" s="62"/>
      <c r="Q298" s="62"/>
      <c r="R298" s="62"/>
      <c r="S298" s="62"/>
      <c r="T298" s="62"/>
      <c r="U298" s="62"/>
      <c r="V298" s="62"/>
      <c r="W298" s="62"/>
      <c r="X298" s="62"/>
      <c r="Y298" s="62"/>
      <c r="Z298" s="62"/>
    </row>
    <row r="299" ht="25.5" customHeight="1">
      <c r="A299" s="62"/>
      <c r="B299" s="62"/>
      <c r="C299" s="316"/>
      <c r="D299" s="62"/>
      <c r="E299" s="62"/>
      <c r="F299" s="62"/>
      <c r="G299" s="316"/>
      <c r="H299" s="62"/>
      <c r="I299" s="316"/>
      <c r="J299" s="62"/>
      <c r="K299" s="62"/>
      <c r="L299" s="62"/>
      <c r="M299" s="62"/>
      <c r="N299" s="62"/>
      <c r="O299" s="62"/>
      <c r="P299" s="62"/>
      <c r="Q299" s="62"/>
      <c r="R299" s="62"/>
      <c r="S299" s="62"/>
      <c r="T299" s="62"/>
      <c r="U299" s="62"/>
      <c r="V299" s="62"/>
      <c r="W299" s="62"/>
      <c r="X299" s="62"/>
      <c r="Y299" s="62"/>
      <c r="Z299" s="62"/>
    </row>
    <row r="300" ht="25.5" customHeight="1">
      <c r="A300" s="62"/>
      <c r="B300" s="62"/>
      <c r="C300" s="316"/>
      <c r="D300" s="62"/>
      <c r="E300" s="62"/>
      <c r="F300" s="62"/>
      <c r="G300" s="316"/>
      <c r="H300" s="62"/>
      <c r="I300" s="316"/>
      <c r="J300" s="62"/>
      <c r="K300" s="62"/>
      <c r="L300" s="62"/>
      <c r="M300" s="62"/>
      <c r="N300" s="62"/>
      <c r="O300" s="62"/>
      <c r="P300" s="62"/>
      <c r="Q300" s="62"/>
      <c r="R300" s="62"/>
      <c r="S300" s="62"/>
      <c r="T300" s="62"/>
      <c r="U300" s="62"/>
      <c r="V300" s="62"/>
      <c r="W300" s="62"/>
      <c r="X300" s="62"/>
      <c r="Y300" s="62"/>
      <c r="Z300" s="62"/>
    </row>
    <row r="301" ht="25.5" customHeight="1">
      <c r="A301" s="62"/>
      <c r="B301" s="62"/>
      <c r="C301" s="316"/>
      <c r="D301" s="62"/>
      <c r="E301" s="62"/>
      <c r="F301" s="62"/>
      <c r="G301" s="316"/>
      <c r="H301" s="62"/>
      <c r="I301" s="316"/>
      <c r="J301" s="62"/>
      <c r="K301" s="62"/>
      <c r="L301" s="62"/>
      <c r="M301" s="62"/>
      <c r="N301" s="62"/>
      <c r="O301" s="62"/>
      <c r="P301" s="62"/>
      <c r="Q301" s="62"/>
      <c r="R301" s="62"/>
      <c r="S301" s="62"/>
      <c r="T301" s="62"/>
      <c r="U301" s="62"/>
      <c r="V301" s="62"/>
      <c r="W301" s="62"/>
      <c r="X301" s="62"/>
      <c r="Y301" s="62"/>
      <c r="Z301" s="62"/>
    </row>
    <row r="302" ht="25.5" customHeight="1">
      <c r="A302" s="62"/>
      <c r="B302" s="62"/>
      <c r="C302" s="316"/>
      <c r="D302" s="62"/>
      <c r="E302" s="62"/>
      <c r="F302" s="62"/>
      <c r="G302" s="316"/>
      <c r="H302" s="62"/>
      <c r="I302" s="316"/>
      <c r="J302" s="62"/>
      <c r="K302" s="62"/>
      <c r="L302" s="62"/>
      <c r="M302" s="62"/>
      <c r="N302" s="62"/>
      <c r="O302" s="62"/>
      <c r="P302" s="62"/>
      <c r="Q302" s="62"/>
      <c r="R302" s="62"/>
      <c r="S302" s="62"/>
      <c r="T302" s="62"/>
      <c r="U302" s="62"/>
      <c r="V302" s="62"/>
      <c r="W302" s="62"/>
      <c r="X302" s="62"/>
      <c r="Y302" s="62"/>
      <c r="Z302" s="62"/>
    </row>
    <row r="303" ht="25.5" customHeight="1">
      <c r="A303" s="62"/>
      <c r="B303" s="62"/>
      <c r="C303" s="316"/>
      <c r="D303" s="62"/>
      <c r="E303" s="62"/>
      <c r="F303" s="62"/>
      <c r="G303" s="316"/>
      <c r="H303" s="62"/>
      <c r="I303" s="316"/>
      <c r="J303" s="62"/>
      <c r="K303" s="62"/>
      <c r="L303" s="62"/>
      <c r="M303" s="62"/>
      <c r="N303" s="62"/>
      <c r="O303" s="62"/>
      <c r="P303" s="62"/>
      <c r="Q303" s="62"/>
      <c r="R303" s="62"/>
      <c r="S303" s="62"/>
      <c r="T303" s="62"/>
      <c r="U303" s="62"/>
      <c r="V303" s="62"/>
      <c r="W303" s="62"/>
      <c r="X303" s="62"/>
      <c r="Y303" s="62"/>
      <c r="Z303" s="62"/>
    </row>
    <row r="304" ht="25.5" customHeight="1">
      <c r="A304" s="62"/>
      <c r="B304" s="62"/>
      <c r="C304" s="316"/>
      <c r="D304" s="62"/>
      <c r="E304" s="62"/>
      <c r="F304" s="62"/>
      <c r="G304" s="316"/>
      <c r="H304" s="62"/>
      <c r="I304" s="316"/>
      <c r="J304" s="62"/>
      <c r="K304" s="62"/>
      <c r="L304" s="62"/>
      <c r="M304" s="62"/>
      <c r="N304" s="62"/>
      <c r="O304" s="62"/>
      <c r="P304" s="62"/>
      <c r="Q304" s="62"/>
      <c r="R304" s="62"/>
      <c r="S304" s="62"/>
      <c r="T304" s="62"/>
      <c r="U304" s="62"/>
      <c r="V304" s="62"/>
      <c r="W304" s="62"/>
      <c r="X304" s="62"/>
      <c r="Y304" s="62"/>
      <c r="Z304" s="62"/>
    </row>
    <row r="305" ht="25.5" customHeight="1">
      <c r="A305" s="62"/>
      <c r="B305" s="62"/>
      <c r="C305" s="316"/>
      <c r="D305" s="62"/>
      <c r="E305" s="62"/>
      <c r="F305" s="62"/>
      <c r="G305" s="316"/>
      <c r="H305" s="62"/>
      <c r="I305" s="316"/>
      <c r="J305" s="62"/>
      <c r="K305" s="62"/>
      <c r="L305" s="62"/>
      <c r="M305" s="62"/>
      <c r="N305" s="62"/>
      <c r="O305" s="62"/>
      <c r="P305" s="62"/>
      <c r="Q305" s="62"/>
      <c r="R305" s="62"/>
      <c r="S305" s="62"/>
      <c r="T305" s="62"/>
      <c r="U305" s="62"/>
      <c r="V305" s="62"/>
      <c r="W305" s="62"/>
      <c r="X305" s="62"/>
      <c r="Y305" s="62"/>
      <c r="Z305" s="62"/>
    </row>
    <row r="306" ht="25.5" customHeight="1">
      <c r="A306" s="62"/>
      <c r="B306" s="62"/>
      <c r="C306" s="316"/>
      <c r="D306" s="62"/>
      <c r="E306" s="62"/>
      <c r="F306" s="62"/>
      <c r="G306" s="316"/>
      <c r="H306" s="62"/>
      <c r="I306" s="316"/>
      <c r="J306" s="62"/>
      <c r="K306" s="62"/>
      <c r="L306" s="62"/>
      <c r="M306" s="62"/>
      <c r="N306" s="62"/>
      <c r="O306" s="62"/>
      <c r="P306" s="62"/>
      <c r="Q306" s="62"/>
      <c r="R306" s="62"/>
      <c r="S306" s="62"/>
      <c r="T306" s="62"/>
      <c r="U306" s="62"/>
      <c r="V306" s="62"/>
      <c r="W306" s="62"/>
      <c r="X306" s="62"/>
      <c r="Y306" s="62"/>
      <c r="Z306" s="62"/>
    </row>
    <row r="307" ht="25.5" customHeight="1">
      <c r="A307" s="62"/>
      <c r="B307" s="62"/>
      <c r="C307" s="316"/>
      <c r="D307" s="62"/>
      <c r="E307" s="62"/>
      <c r="F307" s="62"/>
      <c r="G307" s="316"/>
      <c r="H307" s="62"/>
      <c r="I307" s="316"/>
      <c r="J307" s="62"/>
      <c r="K307" s="62"/>
      <c r="L307" s="62"/>
      <c r="M307" s="62"/>
      <c r="N307" s="62"/>
      <c r="O307" s="62"/>
      <c r="P307" s="62"/>
      <c r="Q307" s="62"/>
      <c r="R307" s="62"/>
      <c r="S307" s="62"/>
      <c r="T307" s="62"/>
      <c r="U307" s="62"/>
      <c r="V307" s="62"/>
      <c r="W307" s="62"/>
      <c r="X307" s="62"/>
      <c r="Y307" s="62"/>
      <c r="Z307" s="62"/>
    </row>
    <row r="308" ht="25.5" customHeight="1">
      <c r="A308" s="62"/>
      <c r="B308" s="62"/>
      <c r="C308" s="316"/>
      <c r="D308" s="62"/>
      <c r="E308" s="62"/>
      <c r="F308" s="62"/>
      <c r="G308" s="316"/>
      <c r="H308" s="62"/>
      <c r="I308" s="316"/>
      <c r="J308" s="62"/>
      <c r="K308" s="62"/>
      <c r="L308" s="62"/>
      <c r="M308" s="62"/>
      <c r="N308" s="62"/>
      <c r="O308" s="62"/>
      <c r="P308" s="62"/>
      <c r="Q308" s="62"/>
      <c r="R308" s="62"/>
      <c r="S308" s="62"/>
      <c r="T308" s="62"/>
      <c r="U308" s="62"/>
      <c r="V308" s="62"/>
      <c r="W308" s="62"/>
      <c r="X308" s="62"/>
      <c r="Y308" s="62"/>
      <c r="Z308" s="62"/>
    </row>
    <row r="309" ht="25.5" customHeight="1">
      <c r="A309" s="62"/>
      <c r="B309" s="62"/>
      <c r="C309" s="316"/>
      <c r="D309" s="62"/>
      <c r="E309" s="62"/>
      <c r="F309" s="62"/>
      <c r="G309" s="316"/>
      <c r="H309" s="62"/>
      <c r="I309" s="316"/>
      <c r="J309" s="62"/>
      <c r="K309" s="62"/>
      <c r="L309" s="62"/>
      <c r="M309" s="62"/>
      <c r="N309" s="62"/>
      <c r="O309" s="62"/>
      <c r="P309" s="62"/>
      <c r="Q309" s="62"/>
      <c r="R309" s="62"/>
      <c r="S309" s="62"/>
      <c r="T309" s="62"/>
      <c r="U309" s="62"/>
      <c r="V309" s="62"/>
      <c r="W309" s="62"/>
      <c r="X309" s="62"/>
      <c r="Y309" s="62"/>
      <c r="Z309" s="62"/>
    </row>
    <row r="310" ht="25.5" customHeight="1">
      <c r="A310" s="62"/>
      <c r="B310" s="62"/>
      <c r="C310" s="316"/>
      <c r="D310" s="62"/>
      <c r="E310" s="62"/>
      <c r="F310" s="62"/>
      <c r="G310" s="316"/>
      <c r="H310" s="62"/>
      <c r="I310" s="316"/>
      <c r="J310" s="62"/>
      <c r="K310" s="62"/>
      <c r="L310" s="62"/>
      <c r="M310" s="62"/>
      <c r="N310" s="62"/>
      <c r="O310" s="62"/>
      <c r="P310" s="62"/>
      <c r="Q310" s="62"/>
      <c r="R310" s="62"/>
      <c r="S310" s="62"/>
      <c r="T310" s="62"/>
      <c r="U310" s="62"/>
      <c r="V310" s="62"/>
      <c r="W310" s="62"/>
      <c r="X310" s="62"/>
      <c r="Y310" s="62"/>
      <c r="Z310" s="62"/>
    </row>
    <row r="311" ht="25.5" customHeight="1">
      <c r="A311" s="62"/>
      <c r="B311" s="62"/>
      <c r="C311" s="316"/>
      <c r="D311" s="62"/>
      <c r="E311" s="62"/>
      <c r="F311" s="62"/>
      <c r="G311" s="316"/>
      <c r="H311" s="62"/>
      <c r="I311" s="316"/>
      <c r="J311" s="62"/>
      <c r="K311" s="62"/>
      <c r="L311" s="62"/>
      <c r="M311" s="62"/>
      <c r="N311" s="62"/>
      <c r="O311" s="62"/>
      <c r="P311" s="62"/>
      <c r="Q311" s="62"/>
      <c r="R311" s="62"/>
      <c r="S311" s="62"/>
      <c r="T311" s="62"/>
      <c r="U311" s="62"/>
      <c r="V311" s="62"/>
      <c r="W311" s="62"/>
      <c r="X311" s="62"/>
      <c r="Y311" s="62"/>
      <c r="Z311" s="62"/>
    </row>
    <row r="312" ht="25.5" customHeight="1">
      <c r="A312" s="62"/>
      <c r="B312" s="62"/>
      <c r="C312" s="316"/>
      <c r="D312" s="62"/>
      <c r="E312" s="62"/>
      <c r="F312" s="62"/>
      <c r="G312" s="316"/>
      <c r="H312" s="62"/>
      <c r="I312" s="316"/>
      <c r="J312" s="62"/>
      <c r="K312" s="62"/>
      <c r="L312" s="62"/>
      <c r="M312" s="62"/>
      <c r="N312" s="62"/>
      <c r="O312" s="62"/>
      <c r="P312" s="62"/>
      <c r="Q312" s="62"/>
      <c r="R312" s="62"/>
      <c r="S312" s="62"/>
      <c r="T312" s="62"/>
      <c r="U312" s="62"/>
      <c r="V312" s="62"/>
      <c r="W312" s="62"/>
      <c r="X312" s="62"/>
      <c r="Y312" s="62"/>
      <c r="Z312" s="62"/>
    </row>
    <row r="313" ht="25.5" customHeight="1">
      <c r="A313" s="62"/>
      <c r="B313" s="62"/>
      <c r="C313" s="316"/>
      <c r="D313" s="62"/>
      <c r="E313" s="62"/>
      <c r="F313" s="62"/>
      <c r="G313" s="316"/>
      <c r="H313" s="62"/>
      <c r="I313" s="316"/>
      <c r="J313" s="62"/>
      <c r="K313" s="62"/>
      <c r="L313" s="62"/>
      <c r="M313" s="62"/>
      <c r="N313" s="62"/>
      <c r="O313" s="62"/>
      <c r="P313" s="62"/>
      <c r="Q313" s="62"/>
      <c r="R313" s="62"/>
      <c r="S313" s="62"/>
      <c r="T313" s="62"/>
      <c r="U313" s="62"/>
      <c r="V313" s="62"/>
      <c r="W313" s="62"/>
      <c r="X313" s="62"/>
      <c r="Y313" s="62"/>
      <c r="Z313" s="62"/>
    </row>
    <row r="314" ht="25.5" customHeight="1">
      <c r="A314" s="62"/>
      <c r="B314" s="62"/>
      <c r="C314" s="316"/>
      <c r="D314" s="62"/>
      <c r="E314" s="62"/>
      <c r="F314" s="62"/>
      <c r="G314" s="316"/>
      <c r="H314" s="62"/>
      <c r="I314" s="316"/>
      <c r="J314" s="62"/>
      <c r="K314" s="62"/>
      <c r="L314" s="62"/>
      <c r="M314" s="62"/>
      <c r="N314" s="62"/>
      <c r="O314" s="62"/>
      <c r="P314" s="62"/>
      <c r="Q314" s="62"/>
      <c r="R314" s="62"/>
      <c r="S314" s="62"/>
      <c r="T314" s="62"/>
      <c r="U314" s="62"/>
      <c r="V314" s="62"/>
      <c r="W314" s="62"/>
      <c r="X314" s="62"/>
      <c r="Y314" s="62"/>
      <c r="Z314" s="62"/>
    </row>
    <row r="315" ht="25.5" customHeight="1">
      <c r="A315" s="62"/>
      <c r="B315" s="62"/>
      <c r="C315" s="316"/>
      <c r="D315" s="62"/>
      <c r="E315" s="62"/>
      <c r="F315" s="62"/>
      <c r="G315" s="316"/>
      <c r="H315" s="62"/>
      <c r="I315" s="316"/>
      <c r="J315" s="62"/>
      <c r="K315" s="62"/>
      <c r="L315" s="62"/>
      <c r="M315" s="62"/>
      <c r="N315" s="62"/>
      <c r="O315" s="62"/>
      <c r="P315" s="62"/>
      <c r="Q315" s="62"/>
      <c r="R315" s="62"/>
      <c r="S315" s="62"/>
      <c r="T315" s="62"/>
      <c r="U315" s="62"/>
      <c r="V315" s="62"/>
      <c r="W315" s="62"/>
      <c r="X315" s="62"/>
      <c r="Y315" s="62"/>
      <c r="Z315" s="62"/>
    </row>
    <row r="316" ht="25.5" customHeight="1">
      <c r="A316" s="62"/>
      <c r="B316" s="62"/>
      <c r="C316" s="316"/>
      <c r="D316" s="62"/>
      <c r="E316" s="62"/>
      <c r="F316" s="62"/>
      <c r="G316" s="316"/>
      <c r="H316" s="62"/>
      <c r="I316" s="316"/>
      <c r="J316" s="62"/>
      <c r="K316" s="62"/>
      <c r="L316" s="62"/>
      <c r="M316" s="62"/>
      <c r="N316" s="62"/>
      <c r="O316" s="62"/>
      <c r="P316" s="62"/>
      <c r="Q316" s="62"/>
      <c r="R316" s="62"/>
      <c r="S316" s="62"/>
      <c r="T316" s="62"/>
      <c r="U316" s="62"/>
      <c r="V316" s="62"/>
      <c r="W316" s="62"/>
      <c r="X316" s="62"/>
      <c r="Y316" s="62"/>
      <c r="Z316" s="62"/>
    </row>
    <row r="317" ht="25.5" customHeight="1">
      <c r="A317" s="62"/>
      <c r="B317" s="62"/>
      <c r="C317" s="316"/>
      <c r="D317" s="62"/>
      <c r="E317" s="62"/>
      <c r="F317" s="62"/>
      <c r="G317" s="316"/>
      <c r="H317" s="62"/>
      <c r="I317" s="316"/>
      <c r="J317" s="62"/>
      <c r="K317" s="62"/>
      <c r="L317" s="62"/>
      <c r="M317" s="62"/>
      <c r="N317" s="62"/>
      <c r="O317" s="62"/>
      <c r="P317" s="62"/>
      <c r="Q317" s="62"/>
      <c r="R317" s="62"/>
      <c r="S317" s="62"/>
      <c r="T317" s="62"/>
      <c r="U317" s="62"/>
      <c r="V317" s="62"/>
      <c r="W317" s="62"/>
      <c r="X317" s="62"/>
      <c r="Y317" s="62"/>
      <c r="Z317" s="62"/>
    </row>
    <row r="318" ht="25.5" customHeight="1">
      <c r="A318" s="62"/>
      <c r="B318" s="62"/>
      <c r="C318" s="316"/>
      <c r="D318" s="62"/>
      <c r="E318" s="62"/>
      <c r="F318" s="62"/>
      <c r="G318" s="316"/>
      <c r="H318" s="62"/>
      <c r="I318" s="316"/>
      <c r="J318" s="62"/>
      <c r="K318" s="62"/>
      <c r="L318" s="62"/>
      <c r="M318" s="62"/>
      <c r="N318" s="62"/>
      <c r="O318" s="62"/>
      <c r="P318" s="62"/>
      <c r="Q318" s="62"/>
      <c r="R318" s="62"/>
      <c r="S318" s="62"/>
      <c r="T318" s="62"/>
      <c r="U318" s="62"/>
      <c r="V318" s="62"/>
      <c r="W318" s="62"/>
      <c r="X318" s="62"/>
      <c r="Y318" s="62"/>
      <c r="Z318" s="62"/>
    </row>
    <row r="319" ht="25.5" customHeight="1">
      <c r="A319" s="62"/>
      <c r="B319" s="62"/>
      <c r="C319" s="316"/>
      <c r="D319" s="62"/>
      <c r="E319" s="62"/>
      <c r="F319" s="62"/>
      <c r="G319" s="316"/>
      <c r="H319" s="62"/>
      <c r="I319" s="316"/>
      <c r="J319" s="62"/>
      <c r="K319" s="62"/>
      <c r="L319" s="62"/>
      <c r="M319" s="62"/>
      <c r="N319" s="62"/>
      <c r="O319" s="62"/>
      <c r="P319" s="62"/>
      <c r="Q319" s="62"/>
      <c r="R319" s="62"/>
      <c r="S319" s="62"/>
      <c r="T319" s="62"/>
      <c r="U319" s="62"/>
      <c r="V319" s="62"/>
      <c r="W319" s="62"/>
      <c r="X319" s="62"/>
      <c r="Y319" s="62"/>
      <c r="Z319" s="62"/>
    </row>
    <row r="320" ht="25.5" customHeight="1">
      <c r="A320" s="62"/>
      <c r="B320" s="62"/>
      <c r="C320" s="316"/>
      <c r="D320" s="62"/>
      <c r="E320" s="62"/>
      <c r="F320" s="62"/>
      <c r="G320" s="316"/>
      <c r="H320" s="62"/>
      <c r="I320" s="316"/>
      <c r="J320" s="62"/>
      <c r="K320" s="62"/>
      <c r="L320" s="62"/>
      <c r="M320" s="62"/>
      <c r="N320" s="62"/>
      <c r="O320" s="62"/>
      <c r="P320" s="62"/>
      <c r="Q320" s="62"/>
      <c r="R320" s="62"/>
      <c r="S320" s="62"/>
      <c r="T320" s="62"/>
      <c r="U320" s="62"/>
      <c r="V320" s="62"/>
      <c r="W320" s="62"/>
      <c r="X320" s="62"/>
      <c r="Y320" s="62"/>
      <c r="Z320" s="62"/>
    </row>
    <row r="321" ht="25.5" customHeight="1">
      <c r="A321" s="62"/>
      <c r="B321" s="62"/>
      <c r="C321" s="316"/>
      <c r="D321" s="62"/>
      <c r="E321" s="62"/>
      <c r="F321" s="62"/>
      <c r="G321" s="316"/>
      <c r="H321" s="62"/>
      <c r="I321" s="316"/>
      <c r="J321" s="62"/>
      <c r="K321" s="62"/>
      <c r="L321" s="62"/>
      <c r="M321" s="62"/>
      <c r="N321" s="62"/>
      <c r="O321" s="62"/>
      <c r="P321" s="62"/>
      <c r="Q321" s="62"/>
      <c r="R321" s="62"/>
      <c r="S321" s="62"/>
      <c r="T321" s="62"/>
      <c r="U321" s="62"/>
      <c r="V321" s="62"/>
      <c r="W321" s="62"/>
      <c r="X321" s="62"/>
      <c r="Y321" s="62"/>
      <c r="Z321" s="62"/>
    </row>
    <row r="322" ht="25.5" customHeight="1">
      <c r="A322" s="62"/>
      <c r="B322" s="62"/>
      <c r="C322" s="316"/>
      <c r="D322" s="62"/>
      <c r="E322" s="62"/>
      <c r="F322" s="62"/>
      <c r="G322" s="316"/>
      <c r="H322" s="62"/>
      <c r="I322" s="316"/>
      <c r="J322" s="62"/>
      <c r="K322" s="62"/>
      <c r="L322" s="62"/>
      <c r="M322" s="62"/>
      <c r="N322" s="62"/>
      <c r="O322" s="62"/>
      <c r="P322" s="62"/>
      <c r="Q322" s="62"/>
      <c r="R322" s="62"/>
      <c r="S322" s="62"/>
      <c r="T322" s="62"/>
      <c r="U322" s="62"/>
      <c r="V322" s="62"/>
      <c r="W322" s="62"/>
      <c r="X322" s="62"/>
      <c r="Y322" s="62"/>
      <c r="Z322" s="62"/>
    </row>
    <row r="323" ht="25.5" customHeight="1">
      <c r="A323" s="62"/>
      <c r="B323" s="62"/>
      <c r="C323" s="316"/>
      <c r="D323" s="62"/>
      <c r="E323" s="62"/>
      <c r="F323" s="62"/>
      <c r="G323" s="316"/>
      <c r="H323" s="62"/>
      <c r="I323" s="316"/>
      <c r="J323" s="62"/>
      <c r="K323" s="62"/>
      <c r="L323" s="62"/>
      <c r="M323" s="62"/>
      <c r="N323" s="62"/>
      <c r="O323" s="62"/>
      <c r="P323" s="62"/>
      <c r="Q323" s="62"/>
      <c r="R323" s="62"/>
      <c r="S323" s="62"/>
      <c r="T323" s="62"/>
      <c r="U323" s="62"/>
      <c r="V323" s="62"/>
      <c r="W323" s="62"/>
      <c r="X323" s="62"/>
      <c r="Y323" s="62"/>
      <c r="Z323" s="62"/>
    </row>
    <row r="324" ht="25.5" customHeight="1">
      <c r="A324" s="62"/>
      <c r="B324" s="62"/>
      <c r="C324" s="316"/>
      <c r="D324" s="62"/>
      <c r="E324" s="62"/>
      <c r="F324" s="62"/>
      <c r="G324" s="316"/>
      <c r="H324" s="62"/>
      <c r="I324" s="316"/>
      <c r="J324" s="62"/>
      <c r="K324" s="62"/>
      <c r="L324" s="62"/>
      <c r="M324" s="62"/>
      <c r="N324" s="62"/>
      <c r="O324" s="62"/>
      <c r="P324" s="62"/>
      <c r="Q324" s="62"/>
      <c r="R324" s="62"/>
      <c r="S324" s="62"/>
      <c r="T324" s="62"/>
      <c r="U324" s="62"/>
      <c r="V324" s="62"/>
      <c r="W324" s="62"/>
      <c r="X324" s="62"/>
      <c r="Y324" s="62"/>
      <c r="Z324" s="62"/>
    </row>
    <row r="325" ht="25.5" customHeight="1">
      <c r="A325" s="62"/>
      <c r="B325" s="62"/>
      <c r="C325" s="316"/>
      <c r="D325" s="62"/>
      <c r="E325" s="62"/>
      <c r="F325" s="62"/>
      <c r="G325" s="316"/>
      <c r="H325" s="62"/>
      <c r="I325" s="316"/>
      <c r="J325" s="62"/>
      <c r="K325" s="62"/>
      <c r="L325" s="62"/>
      <c r="M325" s="62"/>
      <c r="N325" s="62"/>
      <c r="O325" s="62"/>
      <c r="P325" s="62"/>
      <c r="Q325" s="62"/>
      <c r="R325" s="62"/>
      <c r="S325" s="62"/>
      <c r="T325" s="62"/>
      <c r="U325" s="62"/>
      <c r="V325" s="62"/>
      <c r="W325" s="62"/>
      <c r="X325" s="62"/>
      <c r="Y325" s="62"/>
      <c r="Z325" s="62"/>
    </row>
    <row r="326" ht="25.5" customHeight="1">
      <c r="A326" s="62"/>
      <c r="B326" s="62"/>
      <c r="C326" s="316"/>
      <c r="D326" s="62"/>
      <c r="E326" s="62"/>
      <c r="F326" s="62"/>
      <c r="G326" s="316"/>
      <c r="H326" s="62"/>
      <c r="I326" s="316"/>
      <c r="J326" s="62"/>
      <c r="K326" s="62"/>
      <c r="L326" s="62"/>
      <c r="M326" s="62"/>
      <c r="N326" s="62"/>
      <c r="O326" s="62"/>
      <c r="P326" s="62"/>
      <c r="Q326" s="62"/>
      <c r="R326" s="62"/>
      <c r="S326" s="62"/>
      <c r="T326" s="62"/>
      <c r="U326" s="62"/>
      <c r="V326" s="62"/>
      <c r="W326" s="62"/>
      <c r="X326" s="62"/>
      <c r="Y326" s="62"/>
      <c r="Z326" s="62"/>
    </row>
    <row r="327" ht="25.5" customHeight="1">
      <c r="A327" s="62"/>
      <c r="B327" s="62"/>
      <c r="C327" s="316"/>
      <c r="D327" s="62"/>
      <c r="E327" s="62"/>
      <c r="F327" s="62"/>
      <c r="G327" s="316"/>
      <c r="H327" s="62"/>
      <c r="I327" s="316"/>
      <c r="J327" s="62"/>
      <c r="K327" s="62"/>
      <c r="L327" s="62"/>
      <c r="M327" s="62"/>
      <c r="N327" s="62"/>
      <c r="O327" s="62"/>
      <c r="P327" s="62"/>
      <c r="Q327" s="62"/>
      <c r="R327" s="62"/>
      <c r="S327" s="62"/>
      <c r="T327" s="62"/>
      <c r="U327" s="62"/>
      <c r="V327" s="62"/>
      <c r="W327" s="62"/>
      <c r="X327" s="62"/>
      <c r="Y327" s="62"/>
      <c r="Z327" s="62"/>
    </row>
    <row r="328" ht="25.5" customHeight="1">
      <c r="A328" s="62"/>
      <c r="B328" s="62"/>
      <c r="C328" s="316"/>
      <c r="D328" s="62"/>
      <c r="E328" s="62"/>
      <c r="F328" s="62"/>
      <c r="G328" s="316"/>
      <c r="H328" s="62"/>
      <c r="I328" s="316"/>
      <c r="J328" s="62"/>
      <c r="K328" s="62"/>
      <c r="L328" s="62"/>
      <c r="M328" s="62"/>
      <c r="N328" s="62"/>
      <c r="O328" s="62"/>
      <c r="P328" s="62"/>
      <c r="Q328" s="62"/>
      <c r="R328" s="62"/>
      <c r="S328" s="62"/>
      <c r="T328" s="62"/>
      <c r="U328" s="62"/>
      <c r="V328" s="62"/>
      <c r="W328" s="62"/>
      <c r="X328" s="62"/>
      <c r="Y328" s="62"/>
      <c r="Z328" s="62"/>
    </row>
    <row r="329" ht="25.5" customHeight="1">
      <c r="A329" s="62"/>
      <c r="B329" s="62"/>
      <c r="C329" s="316"/>
      <c r="D329" s="62"/>
      <c r="E329" s="62"/>
      <c r="F329" s="62"/>
      <c r="G329" s="316"/>
      <c r="H329" s="62"/>
      <c r="I329" s="316"/>
      <c r="J329" s="62"/>
      <c r="K329" s="62"/>
      <c r="L329" s="62"/>
      <c r="M329" s="62"/>
      <c r="N329" s="62"/>
      <c r="O329" s="62"/>
      <c r="P329" s="62"/>
      <c r="Q329" s="62"/>
      <c r="R329" s="62"/>
      <c r="S329" s="62"/>
      <c r="T329" s="62"/>
      <c r="U329" s="62"/>
      <c r="V329" s="62"/>
      <c r="W329" s="62"/>
      <c r="X329" s="62"/>
      <c r="Y329" s="62"/>
      <c r="Z329" s="62"/>
    </row>
    <row r="330" ht="25.5" customHeight="1">
      <c r="A330" s="62"/>
      <c r="B330" s="62"/>
      <c r="C330" s="316"/>
      <c r="D330" s="62"/>
      <c r="E330" s="62"/>
      <c r="F330" s="62"/>
      <c r="G330" s="316"/>
      <c r="H330" s="62"/>
      <c r="I330" s="316"/>
      <c r="J330" s="62"/>
      <c r="K330" s="62"/>
      <c r="L330" s="62"/>
      <c r="M330" s="62"/>
      <c r="N330" s="62"/>
      <c r="O330" s="62"/>
      <c r="P330" s="62"/>
      <c r="Q330" s="62"/>
      <c r="R330" s="62"/>
      <c r="S330" s="62"/>
      <c r="T330" s="62"/>
      <c r="U330" s="62"/>
      <c r="V330" s="62"/>
      <c r="W330" s="62"/>
      <c r="X330" s="62"/>
      <c r="Y330" s="62"/>
      <c r="Z330" s="62"/>
    </row>
    <row r="331" ht="25.5" customHeight="1">
      <c r="A331" s="62"/>
      <c r="B331" s="62"/>
      <c r="C331" s="316"/>
      <c r="D331" s="62"/>
      <c r="E331" s="62"/>
      <c r="F331" s="62"/>
      <c r="G331" s="316"/>
      <c r="H331" s="62"/>
      <c r="I331" s="316"/>
      <c r="J331" s="62"/>
      <c r="K331" s="62"/>
      <c r="L331" s="62"/>
      <c r="M331" s="62"/>
      <c r="N331" s="62"/>
      <c r="O331" s="62"/>
      <c r="P331" s="62"/>
      <c r="Q331" s="62"/>
      <c r="R331" s="62"/>
      <c r="S331" s="62"/>
      <c r="T331" s="62"/>
      <c r="U331" s="62"/>
      <c r="V331" s="62"/>
      <c r="W331" s="62"/>
      <c r="X331" s="62"/>
      <c r="Y331" s="62"/>
      <c r="Z331" s="62"/>
    </row>
    <row r="332" ht="25.5" customHeight="1">
      <c r="A332" s="62"/>
      <c r="B332" s="62"/>
      <c r="C332" s="316"/>
      <c r="D332" s="62"/>
      <c r="E332" s="62"/>
      <c r="F332" s="62"/>
      <c r="G332" s="316"/>
      <c r="H332" s="62"/>
      <c r="I332" s="316"/>
      <c r="J332" s="62"/>
      <c r="K332" s="62"/>
      <c r="L332" s="62"/>
      <c r="M332" s="62"/>
      <c r="N332" s="62"/>
      <c r="O332" s="62"/>
      <c r="P332" s="62"/>
      <c r="Q332" s="62"/>
      <c r="R332" s="62"/>
      <c r="S332" s="62"/>
      <c r="T332" s="62"/>
      <c r="U332" s="62"/>
      <c r="V332" s="62"/>
      <c r="W332" s="62"/>
      <c r="X332" s="62"/>
      <c r="Y332" s="62"/>
      <c r="Z332" s="62"/>
    </row>
    <row r="333" ht="25.5" customHeight="1">
      <c r="A333" s="62"/>
      <c r="B333" s="62"/>
      <c r="C333" s="316"/>
      <c r="D333" s="62"/>
      <c r="E333" s="62"/>
      <c r="F333" s="62"/>
      <c r="G333" s="316"/>
      <c r="H333" s="62"/>
      <c r="I333" s="316"/>
      <c r="J333" s="62"/>
      <c r="K333" s="62"/>
      <c r="L333" s="62"/>
      <c r="M333" s="62"/>
      <c r="N333" s="62"/>
      <c r="O333" s="62"/>
      <c r="P333" s="62"/>
      <c r="Q333" s="62"/>
      <c r="R333" s="62"/>
      <c r="S333" s="62"/>
      <c r="T333" s="62"/>
      <c r="U333" s="62"/>
      <c r="V333" s="62"/>
      <c r="W333" s="62"/>
      <c r="X333" s="62"/>
      <c r="Y333" s="62"/>
      <c r="Z333" s="62"/>
    </row>
    <row r="334" ht="25.5" customHeight="1">
      <c r="A334" s="62"/>
      <c r="B334" s="62"/>
      <c r="C334" s="316"/>
      <c r="D334" s="62"/>
      <c r="E334" s="62"/>
      <c r="F334" s="62"/>
      <c r="G334" s="316"/>
      <c r="H334" s="62"/>
      <c r="I334" s="316"/>
      <c r="J334" s="62"/>
      <c r="K334" s="62"/>
      <c r="L334" s="62"/>
      <c r="M334" s="62"/>
      <c r="N334" s="62"/>
      <c r="O334" s="62"/>
      <c r="P334" s="62"/>
      <c r="Q334" s="62"/>
      <c r="R334" s="62"/>
      <c r="S334" s="62"/>
      <c r="T334" s="62"/>
      <c r="U334" s="62"/>
      <c r="V334" s="62"/>
      <c r="W334" s="62"/>
      <c r="X334" s="62"/>
      <c r="Y334" s="62"/>
      <c r="Z334" s="62"/>
    </row>
    <row r="335" ht="25.5" customHeight="1">
      <c r="A335" s="62"/>
      <c r="B335" s="62"/>
      <c r="C335" s="316"/>
      <c r="D335" s="62"/>
      <c r="E335" s="62"/>
      <c r="F335" s="62"/>
      <c r="G335" s="316"/>
      <c r="H335" s="62"/>
      <c r="I335" s="316"/>
      <c r="J335" s="62"/>
      <c r="K335" s="62"/>
      <c r="L335" s="62"/>
      <c r="M335" s="62"/>
      <c r="N335" s="62"/>
      <c r="O335" s="62"/>
      <c r="P335" s="62"/>
      <c r="Q335" s="62"/>
      <c r="R335" s="62"/>
      <c r="S335" s="62"/>
      <c r="T335" s="62"/>
      <c r="U335" s="62"/>
      <c r="V335" s="62"/>
      <c r="W335" s="62"/>
      <c r="X335" s="62"/>
      <c r="Y335" s="62"/>
      <c r="Z335" s="62"/>
    </row>
    <row r="336" ht="25.5" customHeight="1">
      <c r="A336" s="62"/>
      <c r="B336" s="62"/>
      <c r="C336" s="316"/>
      <c r="D336" s="62"/>
      <c r="E336" s="62"/>
      <c r="F336" s="62"/>
      <c r="G336" s="316"/>
      <c r="H336" s="62"/>
      <c r="I336" s="316"/>
      <c r="J336" s="62"/>
      <c r="K336" s="62"/>
      <c r="L336" s="62"/>
      <c r="M336" s="62"/>
      <c r="N336" s="62"/>
      <c r="O336" s="62"/>
      <c r="P336" s="62"/>
      <c r="Q336" s="62"/>
      <c r="R336" s="62"/>
      <c r="S336" s="62"/>
      <c r="T336" s="62"/>
      <c r="U336" s="62"/>
      <c r="V336" s="62"/>
      <c r="W336" s="62"/>
      <c r="X336" s="62"/>
      <c r="Y336" s="62"/>
      <c r="Z336" s="62"/>
    </row>
    <row r="337" ht="25.5" customHeight="1">
      <c r="A337" s="62"/>
      <c r="B337" s="62"/>
      <c r="C337" s="316"/>
      <c r="D337" s="62"/>
      <c r="E337" s="62"/>
      <c r="F337" s="62"/>
      <c r="G337" s="316"/>
      <c r="H337" s="62"/>
      <c r="I337" s="316"/>
      <c r="J337" s="62"/>
      <c r="K337" s="62"/>
      <c r="L337" s="62"/>
      <c r="M337" s="62"/>
      <c r="N337" s="62"/>
      <c r="O337" s="62"/>
      <c r="P337" s="62"/>
      <c r="Q337" s="62"/>
      <c r="R337" s="62"/>
      <c r="S337" s="62"/>
      <c r="T337" s="62"/>
      <c r="U337" s="62"/>
      <c r="V337" s="62"/>
      <c r="W337" s="62"/>
      <c r="X337" s="62"/>
      <c r="Y337" s="62"/>
      <c r="Z337" s="62"/>
    </row>
    <row r="338" ht="25.5" customHeight="1">
      <c r="A338" s="62"/>
      <c r="B338" s="62"/>
      <c r="C338" s="316"/>
      <c r="D338" s="62"/>
      <c r="E338" s="62"/>
      <c r="F338" s="62"/>
      <c r="G338" s="316"/>
      <c r="H338" s="62"/>
      <c r="I338" s="316"/>
      <c r="J338" s="62"/>
      <c r="K338" s="62"/>
      <c r="L338" s="62"/>
      <c r="M338" s="62"/>
      <c r="N338" s="62"/>
      <c r="O338" s="62"/>
      <c r="P338" s="62"/>
      <c r="Q338" s="62"/>
      <c r="R338" s="62"/>
      <c r="S338" s="62"/>
      <c r="T338" s="62"/>
      <c r="U338" s="62"/>
      <c r="V338" s="62"/>
      <c r="W338" s="62"/>
      <c r="X338" s="62"/>
      <c r="Y338" s="62"/>
      <c r="Z338" s="62"/>
    </row>
    <row r="339" ht="25.5" customHeight="1">
      <c r="A339" s="62"/>
      <c r="B339" s="62"/>
      <c r="C339" s="316"/>
      <c r="D339" s="62"/>
      <c r="E339" s="62"/>
      <c r="F339" s="62"/>
      <c r="G339" s="316"/>
      <c r="H339" s="62"/>
      <c r="I339" s="316"/>
      <c r="J339" s="62"/>
      <c r="K339" s="62"/>
      <c r="L339" s="62"/>
      <c r="M339" s="62"/>
      <c r="N339" s="62"/>
      <c r="O339" s="62"/>
      <c r="P339" s="62"/>
      <c r="Q339" s="62"/>
      <c r="R339" s="62"/>
      <c r="S339" s="62"/>
      <c r="T339" s="62"/>
      <c r="U339" s="62"/>
      <c r="V339" s="62"/>
      <c r="W339" s="62"/>
      <c r="X339" s="62"/>
      <c r="Y339" s="62"/>
      <c r="Z339" s="62"/>
    </row>
    <row r="340" ht="25.5" customHeight="1">
      <c r="A340" s="62"/>
      <c r="B340" s="62"/>
      <c r="C340" s="316"/>
      <c r="D340" s="62"/>
      <c r="E340" s="62"/>
      <c r="F340" s="62"/>
      <c r="G340" s="316"/>
      <c r="H340" s="62"/>
      <c r="I340" s="316"/>
      <c r="J340" s="62"/>
      <c r="K340" s="62"/>
      <c r="L340" s="62"/>
      <c r="M340" s="62"/>
      <c r="N340" s="62"/>
      <c r="O340" s="62"/>
      <c r="P340" s="62"/>
      <c r="Q340" s="62"/>
      <c r="R340" s="62"/>
      <c r="S340" s="62"/>
      <c r="T340" s="62"/>
      <c r="U340" s="62"/>
      <c r="V340" s="62"/>
      <c r="W340" s="62"/>
      <c r="X340" s="62"/>
      <c r="Y340" s="62"/>
      <c r="Z340" s="62"/>
    </row>
    <row r="341" ht="25.5" customHeight="1">
      <c r="A341" s="62"/>
      <c r="B341" s="62"/>
      <c r="C341" s="316"/>
      <c r="D341" s="62"/>
      <c r="E341" s="62"/>
      <c r="F341" s="62"/>
      <c r="G341" s="316"/>
      <c r="H341" s="62"/>
      <c r="I341" s="316"/>
      <c r="J341" s="62"/>
      <c r="K341" s="62"/>
      <c r="L341" s="62"/>
      <c r="M341" s="62"/>
      <c r="N341" s="62"/>
      <c r="O341" s="62"/>
      <c r="P341" s="62"/>
      <c r="Q341" s="62"/>
      <c r="R341" s="62"/>
      <c r="S341" s="62"/>
      <c r="T341" s="62"/>
      <c r="U341" s="62"/>
      <c r="V341" s="62"/>
      <c r="W341" s="62"/>
      <c r="X341" s="62"/>
      <c r="Y341" s="62"/>
      <c r="Z341" s="62"/>
    </row>
    <row r="342" ht="25.5" customHeight="1">
      <c r="A342" s="62"/>
      <c r="B342" s="62"/>
      <c r="C342" s="316"/>
      <c r="D342" s="62"/>
      <c r="E342" s="62"/>
      <c r="F342" s="62"/>
      <c r="G342" s="316"/>
      <c r="H342" s="62"/>
      <c r="I342" s="316"/>
      <c r="J342" s="62"/>
      <c r="K342" s="62"/>
      <c r="L342" s="62"/>
      <c r="M342" s="62"/>
      <c r="N342" s="62"/>
      <c r="O342" s="62"/>
      <c r="P342" s="62"/>
      <c r="Q342" s="62"/>
      <c r="R342" s="62"/>
      <c r="S342" s="62"/>
      <c r="T342" s="62"/>
      <c r="U342" s="62"/>
      <c r="V342" s="62"/>
      <c r="W342" s="62"/>
      <c r="X342" s="62"/>
      <c r="Y342" s="62"/>
      <c r="Z342" s="62"/>
    </row>
    <row r="343" ht="25.5" customHeight="1">
      <c r="A343" s="62"/>
      <c r="B343" s="62"/>
      <c r="C343" s="316"/>
      <c r="D343" s="62"/>
      <c r="E343" s="62"/>
      <c r="F343" s="62"/>
      <c r="G343" s="316"/>
      <c r="H343" s="62"/>
      <c r="I343" s="316"/>
      <c r="J343" s="62"/>
      <c r="K343" s="62"/>
      <c r="L343" s="62"/>
      <c r="M343" s="62"/>
      <c r="N343" s="62"/>
      <c r="O343" s="62"/>
      <c r="P343" s="62"/>
      <c r="Q343" s="62"/>
      <c r="R343" s="62"/>
      <c r="S343" s="62"/>
      <c r="T343" s="62"/>
      <c r="U343" s="62"/>
      <c r="V343" s="62"/>
      <c r="W343" s="62"/>
      <c r="X343" s="62"/>
      <c r="Y343" s="62"/>
      <c r="Z343" s="62"/>
    </row>
    <row r="344" ht="25.5" customHeight="1">
      <c r="A344" s="62"/>
      <c r="B344" s="62"/>
      <c r="C344" s="316"/>
      <c r="D344" s="62"/>
      <c r="E344" s="62"/>
      <c r="F344" s="62"/>
      <c r="G344" s="316"/>
      <c r="H344" s="62"/>
      <c r="I344" s="316"/>
      <c r="J344" s="62"/>
      <c r="K344" s="62"/>
      <c r="L344" s="62"/>
      <c r="M344" s="62"/>
      <c r="N344" s="62"/>
      <c r="O344" s="62"/>
      <c r="P344" s="62"/>
      <c r="Q344" s="62"/>
      <c r="R344" s="62"/>
      <c r="S344" s="62"/>
      <c r="T344" s="62"/>
      <c r="U344" s="62"/>
      <c r="V344" s="62"/>
      <c r="W344" s="62"/>
      <c r="X344" s="62"/>
      <c r="Y344" s="62"/>
      <c r="Z344" s="62"/>
    </row>
    <row r="345" ht="25.5" customHeight="1">
      <c r="A345" s="62"/>
      <c r="B345" s="62"/>
      <c r="C345" s="316"/>
      <c r="D345" s="62"/>
      <c r="E345" s="62"/>
      <c r="F345" s="62"/>
      <c r="G345" s="316"/>
      <c r="H345" s="62"/>
      <c r="I345" s="316"/>
      <c r="J345" s="62"/>
      <c r="K345" s="62"/>
      <c r="L345" s="62"/>
      <c r="M345" s="62"/>
      <c r="N345" s="62"/>
      <c r="O345" s="62"/>
      <c r="P345" s="62"/>
      <c r="Q345" s="62"/>
      <c r="R345" s="62"/>
      <c r="S345" s="62"/>
      <c r="T345" s="62"/>
      <c r="U345" s="62"/>
      <c r="V345" s="62"/>
      <c r="W345" s="62"/>
      <c r="X345" s="62"/>
      <c r="Y345" s="62"/>
      <c r="Z345" s="62"/>
    </row>
    <row r="346" ht="25.5" customHeight="1">
      <c r="A346" s="62"/>
      <c r="B346" s="62"/>
      <c r="C346" s="316"/>
      <c r="D346" s="62"/>
      <c r="E346" s="62"/>
      <c r="F346" s="62"/>
      <c r="G346" s="316"/>
      <c r="H346" s="62"/>
      <c r="I346" s="316"/>
      <c r="J346" s="62"/>
      <c r="K346" s="62"/>
      <c r="L346" s="62"/>
      <c r="M346" s="62"/>
      <c r="N346" s="62"/>
      <c r="O346" s="62"/>
      <c r="P346" s="62"/>
      <c r="Q346" s="62"/>
      <c r="R346" s="62"/>
      <c r="S346" s="62"/>
      <c r="T346" s="62"/>
      <c r="U346" s="62"/>
      <c r="V346" s="62"/>
      <c r="W346" s="62"/>
      <c r="X346" s="62"/>
      <c r="Y346" s="62"/>
      <c r="Z346" s="62"/>
    </row>
    <row r="347" ht="25.5" customHeight="1">
      <c r="A347" s="62"/>
      <c r="B347" s="62"/>
      <c r="C347" s="316"/>
      <c r="D347" s="62"/>
      <c r="E347" s="62"/>
      <c r="F347" s="62"/>
      <c r="G347" s="316"/>
      <c r="H347" s="62"/>
      <c r="I347" s="316"/>
      <c r="J347" s="62"/>
      <c r="K347" s="62"/>
      <c r="L347" s="62"/>
      <c r="M347" s="62"/>
      <c r="N347" s="62"/>
      <c r="O347" s="62"/>
      <c r="P347" s="62"/>
      <c r="Q347" s="62"/>
      <c r="R347" s="62"/>
      <c r="S347" s="62"/>
      <c r="T347" s="62"/>
      <c r="U347" s="62"/>
      <c r="V347" s="62"/>
      <c r="W347" s="62"/>
      <c r="X347" s="62"/>
      <c r="Y347" s="62"/>
      <c r="Z347" s="62"/>
    </row>
    <row r="348" ht="25.5" customHeight="1">
      <c r="A348" s="62"/>
      <c r="B348" s="62"/>
      <c r="C348" s="316"/>
      <c r="D348" s="62"/>
      <c r="E348" s="62"/>
      <c r="F348" s="62"/>
      <c r="G348" s="316"/>
      <c r="H348" s="62"/>
      <c r="I348" s="316"/>
      <c r="J348" s="62"/>
      <c r="K348" s="62"/>
      <c r="L348" s="62"/>
      <c r="M348" s="62"/>
      <c r="N348" s="62"/>
      <c r="O348" s="62"/>
      <c r="P348" s="62"/>
      <c r="Q348" s="62"/>
      <c r="R348" s="62"/>
      <c r="S348" s="62"/>
      <c r="T348" s="62"/>
      <c r="U348" s="62"/>
      <c r="V348" s="62"/>
      <c r="W348" s="62"/>
      <c r="X348" s="62"/>
      <c r="Y348" s="62"/>
      <c r="Z348" s="62"/>
    </row>
    <row r="349" ht="25.5" customHeight="1">
      <c r="A349" s="62"/>
      <c r="B349" s="62"/>
      <c r="C349" s="316"/>
      <c r="D349" s="62"/>
      <c r="E349" s="62"/>
      <c r="F349" s="62"/>
      <c r="G349" s="316"/>
      <c r="H349" s="62"/>
      <c r="I349" s="316"/>
      <c r="J349" s="62"/>
      <c r="K349" s="62"/>
      <c r="L349" s="62"/>
      <c r="M349" s="62"/>
      <c r="N349" s="62"/>
      <c r="O349" s="62"/>
      <c r="P349" s="62"/>
      <c r="Q349" s="62"/>
      <c r="R349" s="62"/>
      <c r="S349" s="62"/>
      <c r="T349" s="62"/>
      <c r="U349" s="62"/>
      <c r="V349" s="62"/>
      <c r="W349" s="62"/>
      <c r="X349" s="62"/>
      <c r="Y349" s="62"/>
      <c r="Z349" s="62"/>
    </row>
    <row r="350" ht="25.5" customHeight="1">
      <c r="A350" s="62"/>
      <c r="B350" s="62"/>
      <c r="C350" s="316"/>
      <c r="D350" s="62"/>
      <c r="E350" s="62"/>
      <c r="F350" s="62"/>
      <c r="G350" s="316"/>
      <c r="H350" s="62"/>
      <c r="I350" s="316"/>
      <c r="J350" s="62"/>
      <c r="K350" s="62"/>
      <c r="L350" s="62"/>
      <c r="M350" s="62"/>
      <c r="N350" s="62"/>
      <c r="O350" s="62"/>
      <c r="P350" s="62"/>
      <c r="Q350" s="62"/>
      <c r="R350" s="62"/>
      <c r="S350" s="62"/>
      <c r="T350" s="62"/>
      <c r="U350" s="62"/>
      <c r="V350" s="62"/>
      <c r="W350" s="62"/>
      <c r="X350" s="62"/>
      <c r="Y350" s="62"/>
      <c r="Z350" s="62"/>
    </row>
    <row r="351" ht="25.5" customHeight="1">
      <c r="A351" s="62"/>
      <c r="B351" s="62"/>
      <c r="C351" s="316"/>
      <c r="D351" s="62"/>
      <c r="E351" s="62"/>
      <c r="F351" s="62"/>
      <c r="G351" s="316"/>
      <c r="H351" s="62"/>
      <c r="I351" s="316"/>
      <c r="J351" s="62"/>
      <c r="K351" s="62"/>
      <c r="L351" s="62"/>
      <c r="M351" s="62"/>
      <c r="N351" s="62"/>
      <c r="O351" s="62"/>
      <c r="P351" s="62"/>
      <c r="Q351" s="62"/>
      <c r="R351" s="62"/>
      <c r="S351" s="62"/>
      <c r="T351" s="62"/>
      <c r="U351" s="62"/>
      <c r="V351" s="62"/>
      <c r="W351" s="62"/>
      <c r="X351" s="62"/>
      <c r="Y351" s="62"/>
      <c r="Z351" s="62"/>
    </row>
    <row r="352" ht="25.5" customHeight="1">
      <c r="A352" s="62"/>
      <c r="B352" s="62"/>
      <c r="C352" s="316"/>
      <c r="D352" s="62"/>
      <c r="E352" s="62"/>
      <c r="F352" s="62"/>
      <c r="G352" s="316"/>
      <c r="H352" s="62"/>
      <c r="I352" s="316"/>
      <c r="J352" s="62"/>
      <c r="K352" s="62"/>
      <c r="L352" s="62"/>
      <c r="M352" s="62"/>
      <c r="N352" s="62"/>
      <c r="O352" s="62"/>
      <c r="P352" s="62"/>
      <c r="Q352" s="62"/>
      <c r="R352" s="62"/>
      <c r="S352" s="62"/>
      <c r="T352" s="62"/>
      <c r="U352" s="62"/>
      <c r="V352" s="62"/>
      <c r="W352" s="62"/>
      <c r="X352" s="62"/>
      <c r="Y352" s="62"/>
      <c r="Z352" s="62"/>
    </row>
    <row r="353" ht="25.5" customHeight="1">
      <c r="A353" s="62"/>
      <c r="B353" s="62"/>
      <c r="C353" s="316"/>
      <c r="D353" s="62"/>
      <c r="E353" s="62"/>
      <c r="F353" s="62"/>
      <c r="G353" s="316"/>
      <c r="H353" s="62"/>
      <c r="I353" s="316"/>
      <c r="J353" s="62"/>
      <c r="K353" s="62"/>
      <c r="L353" s="62"/>
      <c r="M353" s="62"/>
      <c r="N353" s="62"/>
      <c r="O353" s="62"/>
      <c r="P353" s="62"/>
      <c r="Q353" s="62"/>
      <c r="R353" s="62"/>
      <c r="S353" s="62"/>
      <c r="T353" s="62"/>
      <c r="U353" s="62"/>
      <c r="V353" s="62"/>
      <c r="W353" s="62"/>
      <c r="X353" s="62"/>
      <c r="Y353" s="62"/>
      <c r="Z353" s="62"/>
    </row>
    <row r="354" ht="25.5" customHeight="1">
      <c r="A354" s="62"/>
      <c r="B354" s="62"/>
      <c r="C354" s="316"/>
      <c r="D354" s="62"/>
      <c r="E354" s="62"/>
      <c r="F354" s="62"/>
      <c r="G354" s="316"/>
      <c r="H354" s="62"/>
      <c r="I354" s="316"/>
      <c r="J354" s="62"/>
      <c r="K354" s="62"/>
      <c r="L354" s="62"/>
      <c r="M354" s="62"/>
      <c r="N354" s="62"/>
      <c r="O354" s="62"/>
      <c r="P354" s="62"/>
      <c r="Q354" s="62"/>
      <c r="R354" s="62"/>
      <c r="S354" s="62"/>
      <c r="T354" s="62"/>
      <c r="U354" s="62"/>
      <c r="V354" s="62"/>
      <c r="W354" s="62"/>
      <c r="X354" s="62"/>
      <c r="Y354" s="62"/>
      <c r="Z354" s="62"/>
    </row>
    <row r="355" ht="25.5" customHeight="1">
      <c r="A355" s="62"/>
      <c r="B355" s="62"/>
      <c r="C355" s="316"/>
      <c r="D355" s="62"/>
      <c r="E355" s="62"/>
      <c r="F355" s="62"/>
      <c r="G355" s="316"/>
      <c r="H355" s="62"/>
      <c r="I355" s="316"/>
      <c r="J355" s="62"/>
      <c r="K355" s="62"/>
      <c r="L355" s="62"/>
      <c r="M355" s="62"/>
      <c r="N355" s="62"/>
      <c r="O355" s="62"/>
      <c r="P355" s="62"/>
      <c r="Q355" s="62"/>
      <c r="R355" s="62"/>
      <c r="S355" s="62"/>
      <c r="T355" s="62"/>
      <c r="U355" s="62"/>
      <c r="V355" s="62"/>
      <c r="W355" s="62"/>
      <c r="X355" s="62"/>
      <c r="Y355" s="62"/>
      <c r="Z355" s="62"/>
    </row>
    <row r="356" ht="25.5" customHeight="1">
      <c r="A356" s="62"/>
      <c r="B356" s="62"/>
      <c r="C356" s="316"/>
      <c r="D356" s="62"/>
      <c r="E356" s="62"/>
      <c r="F356" s="62"/>
      <c r="G356" s="316"/>
      <c r="H356" s="62"/>
      <c r="I356" s="316"/>
      <c r="J356" s="62"/>
      <c r="K356" s="62"/>
      <c r="L356" s="62"/>
      <c r="M356" s="62"/>
      <c r="N356" s="62"/>
      <c r="O356" s="62"/>
      <c r="P356" s="62"/>
      <c r="Q356" s="62"/>
      <c r="R356" s="62"/>
      <c r="S356" s="62"/>
      <c r="T356" s="62"/>
      <c r="U356" s="62"/>
      <c r="V356" s="62"/>
      <c r="W356" s="62"/>
      <c r="X356" s="62"/>
      <c r="Y356" s="62"/>
      <c r="Z356" s="62"/>
    </row>
    <row r="357" ht="25.5" customHeight="1">
      <c r="A357" s="62"/>
      <c r="B357" s="62"/>
      <c r="C357" s="316"/>
      <c r="D357" s="62"/>
      <c r="E357" s="62"/>
      <c r="F357" s="62"/>
      <c r="G357" s="316"/>
      <c r="H357" s="62"/>
      <c r="I357" s="316"/>
      <c r="J357" s="62"/>
      <c r="K357" s="62"/>
      <c r="L357" s="62"/>
      <c r="M357" s="62"/>
      <c r="N357" s="62"/>
      <c r="O357" s="62"/>
      <c r="P357" s="62"/>
      <c r="Q357" s="62"/>
      <c r="R357" s="62"/>
      <c r="S357" s="62"/>
      <c r="T357" s="62"/>
      <c r="U357" s="62"/>
      <c r="V357" s="62"/>
      <c r="W357" s="62"/>
      <c r="X357" s="62"/>
      <c r="Y357" s="62"/>
      <c r="Z357" s="62"/>
    </row>
    <row r="358" ht="25.5" customHeight="1">
      <c r="A358" s="62"/>
      <c r="B358" s="62"/>
      <c r="C358" s="316"/>
      <c r="D358" s="62"/>
      <c r="E358" s="62"/>
      <c r="F358" s="62"/>
      <c r="G358" s="316"/>
      <c r="H358" s="62"/>
      <c r="I358" s="316"/>
      <c r="J358" s="62"/>
      <c r="K358" s="62"/>
      <c r="L358" s="62"/>
      <c r="M358" s="62"/>
      <c r="N358" s="62"/>
      <c r="O358" s="62"/>
      <c r="P358" s="62"/>
      <c r="Q358" s="62"/>
      <c r="R358" s="62"/>
      <c r="S358" s="62"/>
      <c r="T358" s="62"/>
      <c r="U358" s="62"/>
      <c r="V358" s="62"/>
      <c r="W358" s="62"/>
      <c r="X358" s="62"/>
      <c r="Y358" s="62"/>
      <c r="Z358" s="62"/>
    </row>
    <row r="359" ht="25.5" customHeight="1">
      <c r="A359" s="62"/>
      <c r="B359" s="62"/>
      <c r="C359" s="316"/>
      <c r="D359" s="62"/>
      <c r="E359" s="62"/>
      <c r="F359" s="62"/>
      <c r="G359" s="316"/>
      <c r="H359" s="62"/>
      <c r="I359" s="316"/>
      <c r="J359" s="62"/>
      <c r="K359" s="62"/>
      <c r="L359" s="62"/>
      <c r="M359" s="62"/>
      <c r="N359" s="62"/>
      <c r="O359" s="62"/>
      <c r="P359" s="62"/>
      <c r="Q359" s="62"/>
      <c r="R359" s="62"/>
      <c r="S359" s="62"/>
      <c r="T359" s="62"/>
      <c r="U359" s="62"/>
      <c r="V359" s="62"/>
      <c r="W359" s="62"/>
      <c r="X359" s="62"/>
      <c r="Y359" s="62"/>
      <c r="Z359" s="62"/>
    </row>
    <row r="360" ht="25.5" customHeight="1">
      <c r="A360" s="62"/>
      <c r="B360" s="62"/>
      <c r="C360" s="316"/>
      <c r="D360" s="62"/>
      <c r="E360" s="62"/>
      <c r="F360" s="62"/>
      <c r="G360" s="316"/>
      <c r="H360" s="62"/>
      <c r="I360" s="316"/>
      <c r="J360" s="62"/>
      <c r="K360" s="62"/>
      <c r="L360" s="62"/>
      <c r="M360" s="62"/>
      <c r="N360" s="62"/>
      <c r="O360" s="62"/>
      <c r="P360" s="62"/>
      <c r="Q360" s="62"/>
      <c r="R360" s="62"/>
      <c r="S360" s="62"/>
      <c r="T360" s="62"/>
      <c r="U360" s="62"/>
      <c r="V360" s="62"/>
      <c r="W360" s="62"/>
      <c r="X360" s="62"/>
      <c r="Y360" s="62"/>
      <c r="Z360" s="62"/>
    </row>
    <row r="361" ht="25.5" customHeight="1">
      <c r="A361" s="62"/>
      <c r="B361" s="62"/>
      <c r="C361" s="316"/>
      <c r="D361" s="62"/>
      <c r="E361" s="62"/>
      <c r="F361" s="62"/>
      <c r="G361" s="316"/>
      <c r="H361" s="62"/>
      <c r="I361" s="316"/>
      <c r="J361" s="62"/>
      <c r="K361" s="62"/>
      <c r="L361" s="62"/>
      <c r="M361" s="62"/>
      <c r="N361" s="62"/>
      <c r="O361" s="62"/>
      <c r="P361" s="62"/>
      <c r="Q361" s="62"/>
      <c r="R361" s="62"/>
      <c r="S361" s="62"/>
      <c r="T361" s="62"/>
      <c r="U361" s="62"/>
      <c r="V361" s="62"/>
      <c r="W361" s="62"/>
      <c r="X361" s="62"/>
      <c r="Y361" s="62"/>
      <c r="Z361" s="62"/>
    </row>
    <row r="362" ht="25.5" customHeight="1">
      <c r="A362" s="62"/>
      <c r="B362" s="62"/>
      <c r="C362" s="316"/>
      <c r="D362" s="62"/>
      <c r="E362" s="62"/>
      <c r="F362" s="62"/>
      <c r="G362" s="316"/>
      <c r="H362" s="62"/>
      <c r="I362" s="316"/>
      <c r="J362" s="62"/>
      <c r="K362" s="62"/>
      <c r="L362" s="62"/>
      <c r="M362" s="62"/>
      <c r="N362" s="62"/>
      <c r="O362" s="62"/>
      <c r="P362" s="62"/>
      <c r="Q362" s="62"/>
      <c r="R362" s="62"/>
      <c r="S362" s="62"/>
      <c r="T362" s="62"/>
      <c r="U362" s="62"/>
      <c r="V362" s="62"/>
      <c r="W362" s="62"/>
      <c r="X362" s="62"/>
      <c r="Y362" s="62"/>
      <c r="Z362" s="62"/>
    </row>
    <row r="363" ht="25.5" customHeight="1">
      <c r="A363" s="62"/>
      <c r="B363" s="62"/>
      <c r="C363" s="316"/>
      <c r="D363" s="62"/>
      <c r="E363" s="62"/>
      <c r="F363" s="62"/>
      <c r="G363" s="316"/>
      <c r="H363" s="62"/>
      <c r="I363" s="316"/>
      <c r="J363" s="62"/>
      <c r="K363" s="62"/>
      <c r="L363" s="62"/>
      <c r="M363" s="62"/>
      <c r="N363" s="62"/>
      <c r="O363" s="62"/>
      <c r="P363" s="62"/>
      <c r="Q363" s="62"/>
      <c r="R363" s="62"/>
      <c r="S363" s="62"/>
      <c r="T363" s="62"/>
      <c r="U363" s="62"/>
      <c r="V363" s="62"/>
      <c r="W363" s="62"/>
      <c r="X363" s="62"/>
      <c r="Y363" s="62"/>
      <c r="Z363" s="62"/>
    </row>
    <row r="364" ht="25.5" customHeight="1">
      <c r="A364" s="62"/>
      <c r="B364" s="62"/>
      <c r="C364" s="316"/>
      <c r="D364" s="62"/>
      <c r="E364" s="62"/>
      <c r="F364" s="62"/>
      <c r="G364" s="316"/>
      <c r="H364" s="62"/>
      <c r="I364" s="316"/>
      <c r="J364" s="62"/>
      <c r="K364" s="62"/>
      <c r="L364" s="62"/>
      <c r="M364" s="62"/>
      <c r="N364" s="62"/>
      <c r="O364" s="62"/>
      <c r="P364" s="62"/>
      <c r="Q364" s="62"/>
      <c r="R364" s="62"/>
      <c r="S364" s="62"/>
      <c r="T364" s="62"/>
      <c r="U364" s="62"/>
      <c r="V364" s="62"/>
      <c r="W364" s="62"/>
      <c r="X364" s="62"/>
      <c r="Y364" s="62"/>
      <c r="Z364" s="62"/>
    </row>
    <row r="365" ht="25.5" customHeight="1">
      <c r="A365" s="62"/>
      <c r="B365" s="62"/>
      <c r="C365" s="316"/>
      <c r="D365" s="62"/>
      <c r="E365" s="62"/>
      <c r="F365" s="62"/>
      <c r="G365" s="316"/>
      <c r="H365" s="62"/>
      <c r="I365" s="316"/>
      <c r="J365" s="62"/>
      <c r="K365" s="62"/>
      <c r="L365" s="62"/>
      <c r="M365" s="62"/>
      <c r="N365" s="62"/>
      <c r="O365" s="62"/>
      <c r="P365" s="62"/>
      <c r="Q365" s="62"/>
      <c r="R365" s="62"/>
      <c r="S365" s="62"/>
      <c r="T365" s="62"/>
      <c r="U365" s="62"/>
      <c r="V365" s="62"/>
      <c r="W365" s="62"/>
      <c r="X365" s="62"/>
      <c r="Y365" s="62"/>
      <c r="Z365" s="62"/>
    </row>
    <row r="366" ht="25.5" customHeight="1">
      <c r="A366" s="62"/>
      <c r="B366" s="62"/>
      <c r="C366" s="316"/>
      <c r="D366" s="62"/>
      <c r="E366" s="62"/>
      <c r="F366" s="62"/>
      <c r="G366" s="316"/>
      <c r="H366" s="62"/>
      <c r="I366" s="316"/>
      <c r="J366" s="62"/>
      <c r="K366" s="62"/>
      <c r="L366" s="62"/>
      <c r="M366" s="62"/>
      <c r="N366" s="62"/>
      <c r="O366" s="62"/>
      <c r="P366" s="62"/>
      <c r="Q366" s="62"/>
      <c r="R366" s="62"/>
      <c r="S366" s="62"/>
      <c r="T366" s="62"/>
      <c r="U366" s="62"/>
      <c r="V366" s="62"/>
      <c r="W366" s="62"/>
      <c r="X366" s="62"/>
      <c r="Y366" s="62"/>
      <c r="Z366" s="62"/>
    </row>
    <row r="367" ht="25.5" customHeight="1">
      <c r="A367" s="62"/>
      <c r="B367" s="62"/>
      <c r="C367" s="316"/>
      <c r="D367" s="62"/>
      <c r="E367" s="62"/>
      <c r="F367" s="62"/>
      <c r="G367" s="316"/>
      <c r="H367" s="62"/>
      <c r="I367" s="316"/>
      <c r="J367" s="62"/>
      <c r="K367" s="62"/>
      <c r="L367" s="62"/>
      <c r="M367" s="62"/>
      <c r="N367" s="62"/>
      <c r="O367" s="62"/>
      <c r="P367" s="62"/>
      <c r="Q367" s="62"/>
      <c r="R367" s="62"/>
      <c r="S367" s="62"/>
      <c r="T367" s="62"/>
      <c r="U367" s="62"/>
      <c r="V367" s="62"/>
      <c r="W367" s="62"/>
      <c r="X367" s="62"/>
      <c r="Y367" s="62"/>
      <c r="Z367" s="62"/>
    </row>
    <row r="368" ht="25.5" customHeight="1">
      <c r="A368" s="62"/>
      <c r="B368" s="62"/>
      <c r="C368" s="316"/>
      <c r="D368" s="62"/>
      <c r="E368" s="62"/>
      <c r="F368" s="62"/>
      <c r="G368" s="316"/>
      <c r="H368" s="62"/>
      <c r="I368" s="316"/>
      <c r="J368" s="62"/>
      <c r="K368" s="62"/>
      <c r="L368" s="62"/>
      <c r="M368" s="62"/>
      <c r="N368" s="62"/>
      <c r="O368" s="62"/>
      <c r="P368" s="62"/>
      <c r="Q368" s="62"/>
      <c r="R368" s="62"/>
      <c r="S368" s="62"/>
      <c r="T368" s="62"/>
      <c r="U368" s="62"/>
      <c r="V368" s="62"/>
      <c r="W368" s="62"/>
      <c r="X368" s="62"/>
      <c r="Y368" s="62"/>
      <c r="Z368" s="62"/>
    </row>
    <row r="369" ht="25.5" customHeight="1">
      <c r="A369" s="62"/>
      <c r="B369" s="62"/>
      <c r="C369" s="316"/>
      <c r="D369" s="62"/>
      <c r="E369" s="62"/>
      <c r="F369" s="62"/>
      <c r="G369" s="316"/>
      <c r="H369" s="62"/>
      <c r="I369" s="316"/>
      <c r="J369" s="62"/>
      <c r="K369" s="62"/>
      <c r="L369" s="62"/>
      <c r="M369" s="62"/>
      <c r="N369" s="62"/>
      <c r="O369" s="62"/>
      <c r="P369" s="62"/>
      <c r="Q369" s="62"/>
      <c r="R369" s="62"/>
      <c r="S369" s="62"/>
      <c r="T369" s="62"/>
      <c r="U369" s="62"/>
      <c r="V369" s="62"/>
      <c r="W369" s="62"/>
      <c r="X369" s="62"/>
      <c r="Y369" s="62"/>
      <c r="Z369" s="62"/>
    </row>
    <row r="370" ht="25.5" customHeight="1">
      <c r="A370" s="62"/>
      <c r="B370" s="62"/>
      <c r="C370" s="316"/>
      <c r="D370" s="62"/>
      <c r="E370" s="62"/>
      <c r="F370" s="62"/>
      <c r="G370" s="316"/>
      <c r="H370" s="62"/>
      <c r="I370" s="316"/>
      <c r="J370" s="62"/>
      <c r="K370" s="62"/>
      <c r="L370" s="62"/>
      <c r="M370" s="62"/>
      <c r="N370" s="62"/>
      <c r="O370" s="62"/>
      <c r="P370" s="62"/>
      <c r="Q370" s="62"/>
      <c r="R370" s="62"/>
      <c r="S370" s="62"/>
      <c r="T370" s="62"/>
      <c r="U370" s="62"/>
      <c r="V370" s="62"/>
      <c r="W370" s="62"/>
      <c r="X370" s="62"/>
      <c r="Y370" s="62"/>
      <c r="Z370" s="62"/>
    </row>
    <row r="371" ht="25.5" customHeight="1">
      <c r="A371" s="62"/>
      <c r="B371" s="62"/>
      <c r="C371" s="316"/>
      <c r="D371" s="62"/>
      <c r="E371" s="62"/>
      <c r="F371" s="62"/>
      <c r="G371" s="316"/>
      <c r="H371" s="62"/>
      <c r="I371" s="316"/>
      <c r="J371" s="62"/>
      <c r="K371" s="62"/>
      <c r="L371" s="62"/>
      <c r="M371" s="62"/>
      <c r="N371" s="62"/>
      <c r="O371" s="62"/>
      <c r="P371" s="62"/>
      <c r="Q371" s="62"/>
      <c r="R371" s="62"/>
      <c r="S371" s="62"/>
      <c r="T371" s="62"/>
      <c r="U371" s="62"/>
      <c r="V371" s="62"/>
      <c r="W371" s="62"/>
      <c r="X371" s="62"/>
      <c r="Y371" s="62"/>
      <c r="Z371" s="62"/>
    </row>
    <row r="372" ht="25.5" customHeight="1">
      <c r="A372" s="62"/>
      <c r="B372" s="62"/>
      <c r="C372" s="316"/>
      <c r="D372" s="62"/>
      <c r="E372" s="62"/>
      <c r="F372" s="62"/>
      <c r="G372" s="316"/>
      <c r="H372" s="62"/>
      <c r="I372" s="316"/>
      <c r="J372" s="62"/>
      <c r="K372" s="62"/>
      <c r="L372" s="62"/>
      <c r="M372" s="62"/>
      <c r="N372" s="62"/>
      <c r="O372" s="62"/>
      <c r="P372" s="62"/>
      <c r="Q372" s="62"/>
      <c r="R372" s="62"/>
      <c r="S372" s="62"/>
      <c r="T372" s="62"/>
      <c r="U372" s="62"/>
      <c r="V372" s="62"/>
      <c r="W372" s="62"/>
      <c r="X372" s="62"/>
      <c r="Y372" s="62"/>
      <c r="Z372" s="62"/>
    </row>
    <row r="373" ht="25.5" customHeight="1">
      <c r="A373" s="62"/>
      <c r="B373" s="62"/>
      <c r="C373" s="316"/>
      <c r="D373" s="62"/>
      <c r="E373" s="62"/>
      <c r="F373" s="62"/>
      <c r="G373" s="316"/>
      <c r="H373" s="62"/>
      <c r="I373" s="316"/>
      <c r="J373" s="62"/>
      <c r="K373" s="62"/>
      <c r="L373" s="62"/>
      <c r="M373" s="62"/>
      <c r="N373" s="62"/>
      <c r="O373" s="62"/>
      <c r="P373" s="62"/>
      <c r="Q373" s="62"/>
      <c r="R373" s="62"/>
      <c r="S373" s="62"/>
      <c r="T373" s="62"/>
      <c r="U373" s="62"/>
      <c r="V373" s="62"/>
      <c r="W373" s="62"/>
      <c r="X373" s="62"/>
      <c r="Y373" s="62"/>
      <c r="Z373" s="62"/>
    </row>
    <row r="374" ht="25.5" customHeight="1">
      <c r="A374" s="62"/>
      <c r="B374" s="62"/>
      <c r="C374" s="316"/>
      <c r="D374" s="62"/>
      <c r="E374" s="62"/>
      <c r="F374" s="62"/>
      <c r="G374" s="316"/>
      <c r="H374" s="62"/>
      <c r="I374" s="316"/>
      <c r="J374" s="62"/>
      <c r="K374" s="62"/>
      <c r="L374" s="62"/>
      <c r="M374" s="62"/>
      <c r="N374" s="62"/>
      <c r="O374" s="62"/>
      <c r="P374" s="62"/>
      <c r="Q374" s="62"/>
      <c r="R374" s="62"/>
      <c r="S374" s="62"/>
      <c r="T374" s="62"/>
      <c r="U374" s="62"/>
      <c r="V374" s="62"/>
      <c r="W374" s="62"/>
      <c r="X374" s="62"/>
      <c r="Y374" s="62"/>
      <c r="Z374" s="62"/>
    </row>
    <row r="375" ht="25.5" customHeight="1">
      <c r="A375" s="62"/>
      <c r="B375" s="62"/>
      <c r="C375" s="316"/>
      <c r="D375" s="62"/>
      <c r="E375" s="62"/>
      <c r="F375" s="62"/>
      <c r="G375" s="316"/>
      <c r="H375" s="62"/>
      <c r="I375" s="316"/>
      <c r="J375" s="62"/>
      <c r="K375" s="62"/>
      <c r="L375" s="62"/>
      <c r="M375" s="62"/>
      <c r="N375" s="62"/>
      <c r="O375" s="62"/>
      <c r="P375" s="62"/>
      <c r="Q375" s="62"/>
      <c r="R375" s="62"/>
      <c r="S375" s="62"/>
      <c r="T375" s="62"/>
      <c r="U375" s="62"/>
      <c r="V375" s="62"/>
      <c r="W375" s="62"/>
      <c r="X375" s="62"/>
      <c r="Y375" s="62"/>
      <c r="Z375" s="62"/>
    </row>
    <row r="376" ht="25.5" customHeight="1">
      <c r="A376" s="62"/>
      <c r="B376" s="62"/>
      <c r="C376" s="316"/>
      <c r="D376" s="62"/>
      <c r="E376" s="62"/>
      <c r="F376" s="62"/>
      <c r="G376" s="316"/>
      <c r="H376" s="62"/>
      <c r="I376" s="316"/>
      <c r="J376" s="62"/>
      <c r="K376" s="62"/>
      <c r="L376" s="62"/>
      <c r="M376" s="62"/>
      <c r="N376" s="62"/>
      <c r="O376" s="62"/>
      <c r="P376" s="62"/>
      <c r="Q376" s="62"/>
      <c r="R376" s="62"/>
      <c r="S376" s="62"/>
      <c r="T376" s="62"/>
      <c r="U376" s="62"/>
      <c r="V376" s="62"/>
      <c r="W376" s="62"/>
      <c r="X376" s="62"/>
      <c r="Y376" s="62"/>
      <c r="Z376" s="62"/>
    </row>
    <row r="377" ht="25.5" customHeight="1">
      <c r="A377" s="62"/>
      <c r="B377" s="62"/>
      <c r="C377" s="316"/>
      <c r="D377" s="62"/>
      <c r="E377" s="62"/>
      <c r="F377" s="62"/>
      <c r="G377" s="316"/>
      <c r="H377" s="62"/>
      <c r="I377" s="316"/>
      <c r="J377" s="62"/>
      <c r="K377" s="62"/>
      <c r="L377" s="62"/>
      <c r="M377" s="62"/>
      <c r="N377" s="62"/>
      <c r="O377" s="62"/>
      <c r="P377" s="62"/>
      <c r="Q377" s="62"/>
      <c r="R377" s="62"/>
      <c r="S377" s="62"/>
      <c r="T377" s="62"/>
      <c r="U377" s="62"/>
      <c r="V377" s="62"/>
      <c r="W377" s="62"/>
      <c r="X377" s="62"/>
      <c r="Y377" s="62"/>
      <c r="Z377" s="62"/>
    </row>
    <row r="378" ht="25.5" customHeight="1">
      <c r="A378" s="62"/>
      <c r="B378" s="62"/>
      <c r="C378" s="316"/>
      <c r="D378" s="62"/>
      <c r="E378" s="62"/>
      <c r="F378" s="62"/>
      <c r="G378" s="316"/>
      <c r="H378" s="62"/>
      <c r="I378" s="316"/>
      <c r="J378" s="62"/>
      <c r="K378" s="62"/>
      <c r="L378" s="62"/>
      <c r="M378" s="62"/>
      <c r="N378" s="62"/>
      <c r="O378" s="62"/>
      <c r="P378" s="62"/>
      <c r="Q378" s="62"/>
      <c r="R378" s="62"/>
      <c r="S378" s="62"/>
      <c r="T378" s="62"/>
      <c r="U378" s="62"/>
      <c r="V378" s="62"/>
      <c r="W378" s="62"/>
      <c r="X378" s="62"/>
      <c r="Y378" s="62"/>
      <c r="Z378" s="62"/>
    </row>
    <row r="379" ht="25.5" customHeight="1">
      <c r="A379" s="62"/>
      <c r="B379" s="62"/>
      <c r="C379" s="316"/>
      <c r="D379" s="62"/>
      <c r="E379" s="62"/>
      <c r="F379" s="62"/>
      <c r="G379" s="316"/>
      <c r="H379" s="62"/>
      <c r="I379" s="316"/>
      <c r="J379" s="62"/>
      <c r="K379" s="62"/>
      <c r="L379" s="62"/>
      <c r="M379" s="62"/>
      <c r="N379" s="62"/>
      <c r="O379" s="62"/>
      <c r="P379" s="62"/>
      <c r="Q379" s="62"/>
      <c r="R379" s="62"/>
      <c r="S379" s="62"/>
      <c r="T379" s="62"/>
      <c r="U379" s="62"/>
      <c r="V379" s="62"/>
      <c r="W379" s="62"/>
      <c r="X379" s="62"/>
      <c r="Y379" s="62"/>
      <c r="Z379" s="62"/>
    </row>
    <row r="380" ht="25.5" customHeight="1">
      <c r="A380" s="62"/>
      <c r="B380" s="62"/>
      <c r="C380" s="316"/>
      <c r="D380" s="62"/>
      <c r="E380" s="62"/>
      <c r="F380" s="62"/>
      <c r="G380" s="316"/>
      <c r="H380" s="62"/>
      <c r="I380" s="316"/>
      <c r="J380" s="62"/>
      <c r="K380" s="62"/>
      <c r="L380" s="62"/>
      <c r="M380" s="62"/>
      <c r="N380" s="62"/>
      <c r="O380" s="62"/>
      <c r="P380" s="62"/>
      <c r="Q380" s="62"/>
      <c r="R380" s="62"/>
      <c r="S380" s="62"/>
      <c r="T380" s="62"/>
      <c r="U380" s="62"/>
      <c r="V380" s="62"/>
      <c r="W380" s="62"/>
      <c r="X380" s="62"/>
      <c r="Y380" s="62"/>
      <c r="Z380" s="62"/>
    </row>
    <row r="381" ht="25.5" customHeight="1">
      <c r="A381" s="62"/>
      <c r="B381" s="62"/>
      <c r="C381" s="316"/>
      <c r="D381" s="62"/>
      <c r="E381" s="62"/>
      <c r="F381" s="62"/>
      <c r="G381" s="316"/>
      <c r="H381" s="62"/>
      <c r="I381" s="316"/>
      <c r="J381" s="62"/>
      <c r="K381" s="62"/>
      <c r="L381" s="62"/>
      <c r="M381" s="62"/>
      <c r="N381" s="62"/>
      <c r="O381" s="62"/>
      <c r="P381" s="62"/>
      <c r="Q381" s="62"/>
      <c r="R381" s="62"/>
      <c r="S381" s="62"/>
      <c r="T381" s="62"/>
      <c r="U381" s="62"/>
      <c r="V381" s="62"/>
      <c r="W381" s="62"/>
      <c r="X381" s="62"/>
      <c r="Y381" s="62"/>
      <c r="Z381" s="62"/>
    </row>
    <row r="382" ht="25.5" customHeight="1">
      <c r="A382" s="62"/>
      <c r="B382" s="62"/>
      <c r="C382" s="316"/>
      <c r="D382" s="62"/>
      <c r="E382" s="62"/>
      <c r="F382" s="62"/>
      <c r="G382" s="316"/>
      <c r="H382" s="62"/>
      <c r="I382" s="316"/>
      <c r="J382" s="62"/>
      <c r="K382" s="62"/>
      <c r="L382" s="62"/>
      <c r="M382" s="62"/>
      <c r="N382" s="62"/>
      <c r="O382" s="62"/>
      <c r="P382" s="62"/>
      <c r="Q382" s="62"/>
      <c r="R382" s="62"/>
      <c r="S382" s="62"/>
      <c r="T382" s="62"/>
      <c r="U382" s="62"/>
      <c r="V382" s="62"/>
      <c r="W382" s="62"/>
      <c r="X382" s="62"/>
      <c r="Y382" s="62"/>
      <c r="Z382" s="62"/>
    </row>
    <row r="383" ht="25.5" customHeight="1">
      <c r="A383" s="62"/>
      <c r="B383" s="62"/>
      <c r="C383" s="316"/>
      <c r="D383" s="62"/>
      <c r="E383" s="62"/>
      <c r="F383" s="62"/>
      <c r="G383" s="316"/>
      <c r="H383" s="62"/>
      <c r="I383" s="316"/>
      <c r="J383" s="62"/>
      <c r="K383" s="62"/>
      <c r="L383" s="62"/>
      <c r="M383" s="62"/>
      <c r="N383" s="62"/>
      <c r="O383" s="62"/>
      <c r="P383" s="62"/>
      <c r="Q383" s="62"/>
      <c r="R383" s="62"/>
      <c r="S383" s="62"/>
      <c r="T383" s="62"/>
      <c r="U383" s="62"/>
      <c r="V383" s="62"/>
      <c r="W383" s="62"/>
      <c r="X383" s="62"/>
      <c r="Y383" s="62"/>
      <c r="Z383" s="62"/>
    </row>
    <row r="384" ht="25.5" customHeight="1">
      <c r="A384" s="62"/>
      <c r="B384" s="62"/>
      <c r="C384" s="316"/>
      <c r="D384" s="62"/>
      <c r="E384" s="62"/>
      <c r="F384" s="62"/>
      <c r="G384" s="316"/>
      <c r="H384" s="62"/>
      <c r="I384" s="316"/>
      <c r="J384" s="62"/>
      <c r="K384" s="62"/>
      <c r="L384" s="62"/>
      <c r="M384" s="62"/>
      <c r="N384" s="62"/>
      <c r="O384" s="62"/>
      <c r="P384" s="62"/>
      <c r="Q384" s="62"/>
      <c r="R384" s="62"/>
      <c r="S384" s="62"/>
      <c r="T384" s="62"/>
      <c r="U384" s="62"/>
      <c r="V384" s="62"/>
      <c r="W384" s="62"/>
      <c r="X384" s="62"/>
      <c r="Y384" s="62"/>
      <c r="Z384" s="62"/>
    </row>
    <row r="385" ht="25.5" customHeight="1">
      <c r="A385" s="62"/>
      <c r="B385" s="62"/>
      <c r="C385" s="316"/>
      <c r="D385" s="62"/>
      <c r="E385" s="62"/>
      <c r="F385" s="62"/>
      <c r="G385" s="316"/>
      <c r="H385" s="62"/>
      <c r="I385" s="316"/>
      <c r="J385" s="62"/>
      <c r="K385" s="62"/>
      <c r="L385" s="62"/>
      <c r="M385" s="62"/>
      <c r="N385" s="62"/>
      <c r="O385" s="62"/>
      <c r="P385" s="62"/>
      <c r="Q385" s="62"/>
      <c r="R385" s="62"/>
      <c r="S385" s="62"/>
      <c r="T385" s="62"/>
      <c r="U385" s="62"/>
      <c r="V385" s="62"/>
      <c r="W385" s="62"/>
      <c r="X385" s="62"/>
      <c r="Y385" s="62"/>
      <c r="Z385" s="62"/>
    </row>
    <row r="386" ht="25.5" customHeight="1">
      <c r="A386" s="62"/>
      <c r="B386" s="62"/>
      <c r="C386" s="316"/>
      <c r="D386" s="62"/>
      <c r="E386" s="62"/>
      <c r="F386" s="62"/>
      <c r="G386" s="316"/>
      <c r="H386" s="62"/>
      <c r="I386" s="316"/>
      <c r="J386" s="62"/>
      <c r="K386" s="62"/>
      <c r="L386" s="62"/>
      <c r="M386" s="62"/>
      <c r="N386" s="62"/>
      <c r="O386" s="62"/>
      <c r="P386" s="62"/>
      <c r="Q386" s="62"/>
      <c r="R386" s="62"/>
      <c r="S386" s="62"/>
      <c r="T386" s="62"/>
      <c r="U386" s="62"/>
      <c r="V386" s="62"/>
      <c r="W386" s="62"/>
      <c r="X386" s="62"/>
      <c r="Y386" s="62"/>
      <c r="Z386" s="62"/>
    </row>
    <row r="387" ht="25.5" customHeight="1">
      <c r="A387" s="62"/>
      <c r="B387" s="62"/>
      <c r="C387" s="316"/>
      <c r="D387" s="62"/>
      <c r="E387" s="62"/>
      <c r="F387" s="62"/>
      <c r="G387" s="316"/>
      <c r="H387" s="62"/>
      <c r="I387" s="316"/>
      <c r="J387" s="62"/>
      <c r="K387" s="62"/>
      <c r="L387" s="62"/>
      <c r="M387" s="62"/>
      <c r="N387" s="62"/>
      <c r="O387" s="62"/>
      <c r="P387" s="62"/>
      <c r="Q387" s="62"/>
      <c r="R387" s="62"/>
      <c r="S387" s="62"/>
      <c r="T387" s="62"/>
      <c r="U387" s="62"/>
      <c r="V387" s="62"/>
      <c r="W387" s="62"/>
      <c r="X387" s="62"/>
      <c r="Y387" s="62"/>
      <c r="Z387" s="62"/>
    </row>
    <row r="388" ht="25.5" customHeight="1">
      <c r="A388" s="62"/>
      <c r="B388" s="62"/>
      <c r="C388" s="316"/>
      <c r="D388" s="62"/>
      <c r="E388" s="62"/>
      <c r="F388" s="62"/>
      <c r="G388" s="316"/>
      <c r="H388" s="62"/>
      <c r="I388" s="316"/>
      <c r="J388" s="62"/>
      <c r="K388" s="62"/>
      <c r="L388" s="62"/>
      <c r="M388" s="62"/>
      <c r="N388" s="62"/>
      <c r="O388" s="62"/>
      <c r="P388" s="62"/>
      <c r="Q388" s="62"/>
      <c r="R388" s="62"/>
      <c r="S388" s="62"/>
      <c r="T388" s="62"/>
      <c r="U388" s="62"/>
      <c r="V388" s="62"/>
      <c r="W388" s="62"/>
      <c r="X388" s="62"/>
      <c r="Y388" s="62"/>
      <c r="Z388" s="62"/>
    </row>
    <row r="389" ht="25.5" customHeight="1">
      <c r="A389" s="62"/>
      <c r="B389" s="62"/>
      <c r="C389" s="316"/>
      <c r="D389" s="62"/>
      <c r="E389" s="62"/>
      <c r="F389" s="62"/>
      <c r="G389" s="316"/>
      <c r="H389" s="62"/>
      <c r="I389" s="316"/>
      <c r="J389" s="62"/>
      <c r="K389" s="62"/>
      <c r="L389" s="62"/>
      <c r="M389" s="62"/>
      <c r="N389" s="62"/>
      <c r="O389" s="62"/>
      <c r="P389" s="62"/>
      <c r="Q389" s="62"/>
      <c r="R389" s="62"/>
      <c r="S389" s="62"/>
      <c r="T389" s="62"/>
      <c r="U389" s="62"/>
      <c r="V389" s="62"/>
      <c r="W389" s="62"/>
      <c r="X389" s="62"/>
      <c r="Y389" s="62"/>
      <c r="Z389" s="62"/>
    </row>
    <row r="390" ht="25.5" customHeight="1">
      <c r="A390" s="62"/>
      <c r="B390" s="62"/>
      <c r="C390" s="316"/>
      <c r="D390" s="62"/>
      <c r="E390" s="62"/>
      <c r="F390" s="62"/>
      <c r="G390" s="316"/>
      <c r="H390" s="62"/>
      <c r="I390" s="316"/>
      <c r="J390" s="62"/>
      <c r="K390" s="62"/>
      <c r="L390" s="62"/>
      <c r="M390" s="62"/>
      <c r="N390" s="62"/>
      <c r="O390" s="62"/>
      <c r="P390" s="62"/>
      <c r="Q390" s="62"/>
      <c r="R390" s="62"/>
      <c r="S390" s="62"/>
      <c r="T390" s="62"/>
      <c r="U390" s="62"/>
      <c r="V390" s="62"/>
      <c r="W390" s="62"/>
      <c r="X390" s="62"/>
      <c r="Y390" s="62"/>
      <c r="Z390" s="62"/>
    </row>
    <row r="391" ht="25.5" customHeight="1">
      <c r="A391" s="62"/>
      <c r="B391" s="62"/>
      <c r="C391" s="316"/>
      <c r="D391" s="62"/>
      <c r="E391" s="62"/>
      <c r="F391" s="62"/>
      <c r="G391" s="316"/>
      <c r="H391" s="62"/>
      <c r="I391" s="316"/>
      <c r="J391" s="62"/>
      <c r="K391" s="62"/>
      <c r="L391" s="62"/>
      <c r="M391" s="62"/>
      <c r="N391" s="62"/>
      <c r="O391" s="62"/>
      <c r="P391" s="62"/>
      <c r="Q391" s="62"/>
      <c r="R391" s="62"/>
      <c r="S391" s="62"/>
      <c r="T391" s="62"/>
      <c r="U391" s="62"/>
      <c r="V391" s="62"/>
      <c r="W391" s="62"/>
      <c r="X391" s="62"/>
      <c r="Y391" s="62"/>
      <c r="Z391" s="62"/>
    </row>
    <row r="392" ht="25.5" customHeight="1">
      <c r="A392" s="62"/>
      <c r="B392" s="62"/>
      <c r="C392" s="316"/>
      <c r="D392" s="62"/>
      <c r="E392" s="62"/>
      <c r="F392" s="62"/>
      <c r="G392" s="316"/>
      <c r="H392" s="62"/>
      <c r="I392" s="316"/>
      <c r="J392" s="62"/>
      <c r="K392" s="62"/>
      <c r="L392" s="62"/>
      <c r="M392" s="62"/>
      <c r="N392" s="62"/>
      <c r="O392" s="62"/>
      <c r="P392" s="62"/>
      <c r="Q392" s="62"/>
      <c r="R392" s="62"/>
      <c r="S392" s="62"/>
      <c r="T392" s="62"/>
      <c r="U392" s="62"/>
      <c r="V392" s="62"/>
      <c r="W392" s="62"/>
      <c r="X392" s="62"/>
      <c r="Y392" s="62"/>
      <c r="Z392" s="62"/>
    </row>
    <row r="393" ht="25.5" customHeight="1">
      <c r="A393" s="62"/>
      <c r="B393" s="62"/>
      <c r="C393" s="316"/>
      <c r="D393" s="62"/>
      <c r="E393" s="62"/>
      <c r="F393" s="62"/>
      <c r="G393" s="316"/>
      <c r="H393" s="62"/>
      <c r="I393" s="316"/>
      <c r="J393" s="62"/>
      <c r="K393" s="62"/>
      <c r="L393" s="62"/>
      <c r="M393" s="62"/>
      <c r="N393" s="62"/>
      <c r="O393" s="62"/>
      <c r="P393" s="62"/>
      <c r="Q393" s="62"/>
      <c r="R393" s="62"/>
      <c r="S393" s="62"/>
      <c r="T393" s="62"/>
      <c r="U393" s="62"/>
      <c r="V393" s="62"/>
      <c r="W393" s="62"/>
      <c r="X393" s="62"/>
      <c r="Y393" s="62"/>
      <c r="Z393" s="62"/>
    </row>
    <row r="394" ht="25.5" customHeight="1">
      <c r="A394" s="62"/>
      <c r="B394" s="62"/>
      <c r="C394" s="316"/>
      <c r="D394" s="62"/>
      <c r="E394" s="62"/>
      <c r="F394" s="62"/>
      <c r="G394" s="316"/>
      <c r="H394" s="62"/>
      <c r="I394" s="316"/>
      <c r="J394" s="62"/>
      <c r="K394" s="62"/>
      <c r="L394" s="62"/>
      <c r="M394" s="62"/>
      <c r="N394" s="62"/>
      <c r="O394" s="62"/>
      <c r="P394" s="62"/>
      <c r="Q394" s="62"/>
      <c r="R394" s="62"/>
      <c r="S394" s="62"/>
      <c r="T394" s="62"/>
      <c r="U394" s="62"/>
      <c r="V394" s="62"/>
      <c r="W394" s="62"/>
      <c r="X394" s="62"/>
      <c r="Y394" s="62"/>
      <c r="Z394" s="62"/>
    </row>
    <row r="395" ht="25.5" customHeight="1">
      <c r="A395" s="62"/>
      <c r="B395" s="62"/>
      <c r="C395" s="316"/>
      <c r="D395" s="62"/>
      <c r="E395" s="62"/>
      <c r="F395" s="62"/>
      <c r="G395" s="316"/>
      <c r="H395" s="62"/>
      <c r="I395" s="316"/>
      <c r="J395" s="62"/>
      <c r="K395" s="62"/>
      <c r="L395" s="62"/>
      <c r="M395" s="62"/>
      <c r="N395" s="62"/>
      <c r="O395" s="62"/>
      <c r="P395" s="62"/>
      <c r="Q395" s="62"/>
      <c r="R395" s="62"/>
      <c r="S395" s="62"/>
      <c r="T395" s="62"/>
      <c r="U395" s="62"/>
      <c r="V395" s="62"/>
      <c r="W395" s="62"/>
      <c r="X395" s="62"/>
      <c r="Y395" s="62"/>
      <c r="Z395" s="62"/>
    </row>
    <row r="396" ht="25.5" customHeight="1">
      <c r="A396" s="62"/>
      <c r="B396" s="62"/>
      <c r="C396" s="316"/>
      <c r="D396" s="62"/>
      <c r="E396" s="62"/>
      <c r="F396" s="62"/>
      <c r="G396" s="316"/>
      <c r="H396" s="62"/>
      <c r="I396" s="316"/>
      <c r="J396" s="62"/>
      <c r="K396" s="62"/>
      <c r="L396" s="62"/>
      <c r="M396" s="62"/>
      <c r="N396" s="62"/>
      <c r="O396" s="62"/>
      <c r="P396" s="62"/>
      <c r="Q396" s="62"/>
      <c r="R396" s="62"/>
      <c r="S396" s="62"/>
      <c r="T396" s="62"/>
      <c r="U396" s="62"/>
      <c r="V396" s="62"/>
      <c r="W396" s="62"/>
      <c r="X396" s="62"/>
      <c r="Y396" s="62"/>
      <c r="Z396" s="62"/>
    </row>
    <row r="397" ht="25.5" customHeight="1">
      <c r="A397" s="62"/>
      <c r="B397" s="62"/>
      <c r="C397" s="316"/>
      <c r="D397" s="62"/>
      <c r="E397" s="62"/>
      <c r="F397" s="62"/>
      <c r="G397" s="316"/>
      <c r="H397" s="62"/>
      <c r="I397" s="316"/>
      <c r="J397" s="62"/>
      <c r="K397" s="62"/>
      <c r="L397" s="62"/>
      <c r="M397" s="62"/>
      <c r="N397" s="62"/>
      <c r="O397" s="62"/>
      <c r="P397" s="62"/>
      <c r="Q397" s="62"/>
      <c r="R397" s="62"/>
      <c r="S397" s="62"/>
      <c r="T397" s="62"/>
      <c r="U397" s="62"/>
      <c r="V397" s="62"/>
      <c r="W397" s="62"/>
      <c r="X397" s="62"/>
      <c r="Y397" s="62"/>
      <c r="Z397" s="62"/>
    </row>
    <row r="398" ht="25.5" customHeight="1">
      <c r="A398" s="62"/>
      <c r="B398" s="62"/>
      <c r="C398" s="316"/>
      <c r="D398" s="62"/>
      <c r="E398" s="62"/>
      <c r="F398" s="62"/>
      <c r="G398" s="316"/>
      <c r="H398" s="62"/>
      <c r="I398" s="316"/>
      <c r="J398" s="62"/>
      <c r="K398" s="62"/>
      <c r="L398" s="62"/>
      <c r="M398" s="62"/>
      <c r="N398" s="62"/>
      <c r="O398" s="62"/>
      <c r="P398" s="62"/>
      <c r="Q398" s="62"/>
      <c r="R398" s="62"/>
      <c r="S398" s="62"/>
      <c r="T398" s="62"/>
      <c r="U398" s="62"/>
      <c r="V398" s="62"/>
      <c r="W398" s="62"/>
      <c r="X398" s="62"/>
      <c r="Y398" s="62"/>
      <c r="Z398" s="62"/>
    </row>
    <row r="399" ht="25.5" customHeight="1">
      <c r="A399" s="62"/>
      <c r="B399" s="62"/>
      <c r="C399" s="316"/>
      <c r="D399" s="62"/>
      <c r="E399" s="62"/>
      <c r="F399" s="62"/>
      <c r="G399" s="316"/>
      <c r="H399" s="62"/>
      <c r="I399" s="316"/>
      <c r="J399" s="62"/>
      <c r="K399" s="62"/>
      <c r="L399" s="62"/>
      <c r="M399" s="62"/>
      <c r="N399" s="62"/>
      <c r="O399" s="62"/>
      <c r="P399" s="62"/>
      <c r="Q399" s="62"/>
      <c r="R399" s="62"/>
      <c r="S399" s="62"/>
      <c r="T399" s="62"/>
      <c r="U399" s="62"/>
      <c r="V399" s="62"/>
      <c r="W399" s="62"/>
      <c r="X399" s="62"/>
      <c r="Y399" s="62"/>
      <c r="Z399" s="62"/>
    </row>
    <row r="400" ht="25.5" customHeight="1">
      <c r="A400" s="62"/>
      <c r="B400" s="62"/>
      <c r="C400" s="316"/>
      <c r="D400" s="62"/>
      <c r="E400" s="62"/>
      <c r="F400" s="62"/>
      <c r="G400" s="316"/>
      <c r="H400" s="62"/>
      <c r="I400" s="316"/>
      <c r="J400" s="62"/>
      <c r="K400" s="62"/>
      <c r="L400" s="62"/>
      <c r="M400" s="62"/>
      <c r="N400" s="62"/>
      <c r="O400" s="62"/>
      <c r="P400" s="62"/>
      <c r="Q400" s="62"/>
      <c r="R400" s="62"/>
      <c r="S400" s="62"/>
      <c r="T400" s="62"/>
      <c r="U400" s="62"/>
      <c r="V400" s="62"/>
      <c r="W400" s="62"/>
      <c r="X400" s="62"/>
      <c r="Y400" s="62"/>
      <c r="Z400" s="62"/>
    </row>
    <row r="401" ht="25.5" customHeight="1">
      <c r="A401" s="62"/>
      <c r="B401" s="62"/>
      <c r="C401" s="316"/>
      <c r="D401" s="62"/>
      <c r="E401" s="62"/>
      <c r="F401" s="62"/>
      <c r="G401" s="316"/>
      <c r="H401" s="62"/>
      <c r="I401" s="316"/>
      <c r="J401" s="62"/>
      <c r="K401" s="62"/>
      <c r="L401" s="62"/>
      <c r="M401" s="62"/>
      <c r="N401" s="62"/>
      <c r="O401" s="62"/>
      <c r="P401" s="62"/>
      <c r="Q401" s="62"/>
      <c r="R401" s="62"/>
      <c r="S401" s="62"/>
      <c r="T401" s="62"/>
      <c r="U401" s="62"/>
      <c r="V401" s="62"/>
      <c r="W401" s="62"/>
      <c r="X401" s="62"/>
      <c r="Y401" s="62"/>
      <c r="Z401" s="62"/>
    </row>
    <row r="402" ht="25.5" customHeight="1">
      <c r="A402" s="62"/>
      <c r="B402" s="62"/>
      <c r="C402" s="316"/>
      <c r="D402" s="62"/>
      <c r="E402" s="62"/>
      <c r="F402" s="62"/>
      <c r="G402" s="316"/>
      <c r="H402" s="62"/>
      <c r="I402" s="316"/>
      <c r="J402" s="62"/>
      <c r="K402" s="62"/>
      <c r="L402" s="62"/>
      <c r="M402" s="62"/>
      <c r="N402" s="62"/>
      <c r="O402" s="62"/>
      <c r="P402" s="62"/>
      <c r="Q402" s="62"/>
      <c r="R402" s="62"/>
      <c r="S402" s="62"/>
      <c r="T402" s="62"/>
      <c r="U402" s="62"/>
      <c r="V402" s="62"/>
      <c r="W402" s="62"/>
      <c r="X402" s="62"/>
      <c r="Y402" s="62"/>
      <c r="Z402" s="62"/>
    </row>
    <row r="403" ht="25.5" customHeight="1">
      <c r="A403" s="62"/>
      <c r="B403" s="62"/>
      <c r="C403" s="316"/>
      <c r="D403" s="62"/>
      <c r="E403" s="62"/>
      <c r="F403" s="62"/>
      <c r="G403" s="316"/>
      <c r="H403" s="62"/>
      <c r="I403" s="316"/>
      <c r="J403" s="62"/>
      <c r="K403" s="62"/>
      <c r="L403" s="62"/>
      <c r="M403" s="62"/>
      <c r="N403" s="62"/>
      <c r="O403" s="62"/>
      <c r="P403" s="62"/>
      <c r="Q403" s="62"/>
      <c r="R403" s="62"/>
      <c r="S403" s="62"/>
      <c r="T403" s="62"/>
      <c r="U403" s="62"/>
      <c r="V403" s="62"/>
      <c r="W403" s="62"/>
      <c r="X403" s="62"/>
      <c r="Y403" s="62"/>
      <c r="Z403" s="62"/>
    </row>
    <row r="404" ht="25.5" customHeight="1">
      <c r="A404" s="62"/>
      <c r="B404" s="62"/>
      <c r="C404" s="316"/>
      <c r="D404" s="62"/>
      <c r="E404" s="62"/>
      <c r="F404" s="62"/>
      <c r="G404" s="316"/>
      <c r="H404" s="62"/>
      <c r="I404" s="316"/>
      <c r="J404" s="62"/>
      <c r="K404" s="62"/>
      <c r="L404" s="62"/>
      <c r="M404" s="62"/>
      <c r="N404" s="62"/>
      <c r="O404" s="62"/>
      <c r="P404" s="62"/>
      <c r="Q404" s="62"/>
      <c r="R404" s="62"/>
      <c r="S404" s="62"/>
      <c r="T404" s="62"/>
      <c r="U404" s="62"/>
      <c r="V404" s="62"/>
      <c r="W404" s="62"/>
      <c r="X404" s="62"/>
      <c r="Y404" s="62"/>
      <c r="Z404" s="62"/>
    </row>
    <row r="405" ht="25.5" customHeight="1">
      <c r="A405" s="62"/>
      <c r="B405" s="62"/>
      <c r="C405" s="316"/>
      <c r="D405" s="62"/>
      <c r="E405" s="62"/>
      <c r="F405" s="62"/>
      <c r="G405" s="316"/>
      <c r="H405" s="62"/>
      <c r="I405" s="316"/>
      <c r="J405" s="62"/>
      <c r="K405" s="62"/>
      <c r="L405" s="62"/>
      <c r="M405" s="62"/>
      <c r="N405" s="62"/>
      <c r="O405" s="62"/>
      <c r="P405" s="62"/>
      <c r="Q405" s="62"/>
      <c r="R405" s="62"/>
      <c r="S405" s="62"/>
      <c r="T405" s="62"/>
      <c r="U405" s="62"/>
      <c r="V405" s="62"/>
      <c r="W405" s="62"/>
      <c r="X405" s="62"/>
      <c r="Y405" s="62"/>
      <c r="Z405" s="62"/>
    </row>
    <row r="406" ht="25.5" customHeight="1">
      <c r="A406" s="62"/>
      <c r="B406" s="62"/>
      <c r="C406" s="316"/>
      <c r="D406" s="62"/>
      <c r="E406" s="62"/>
      <c r="F406" s="62"/>
      <c r="G406" s="316"/>
      <c r="H406" s="62"/>
      <c r="I406" s="316"/>
      <c r="J406" s="62"/>
      <c r="K406" s="62"/>
      <c r="L406" s="62"/>
      <c r="M406" s="62"/>
      <c r="N406" s="62"/>
      <c r="O406" s="62"/>
      <c r="P406" s="62"/>
      <c r="Q406" s="62"/>
      <c r="R406" s="62"/>
      <c r="S406" s="62"/>
      <c r="T406" s="62"/>
      <c r="U406" s="62"/>
      <c r="V406" s="62"/>
      <c r="W406" s="62"/>
      <c r="X406" s="62"/>
      <c r="Y406" s="62"/>
      <c r="Z406" s="62"/>
    </row>
    <row r="407" ht="25.5" customHeight="1">
      <c r="A407" s="62"/>
      <c r="B407" s="62"/>
      <c r="C407" s="316"/>
      <c r="D407" s="62"/>
      <c r="E407" s="62"/>
      <c r="F407" s="62"/>
      <c r="G407" s="316"/>
      <c r="H407" s="62"/>
      <c r="I407" s="316"/>
      <c r="J407" s="62"/>
      <c r="K407" s="62"/>
      <c r="L407" s="62"/>
      <c r="M407" s="62"/>
      <c r="N407" s="62"/>
      <c r="O407" s="62"/>
      <c r="P407" s="62"/>
      <c r="Q407" s="62"/>
      <c r="R407" s="62"/>
      <c r="S407" s="62"/>
      <c r="T407" s="62"/>
      <c r="U407" s="62"/>
      <c r="V407" s="62"/>
      <c r="W407" s="62"/>
      <c r="X407" s="62"/>
      <c r="Y407" s="62"/>
      <c r="Z407" s="62"/>
    </row>
    <row r="408" ht="25.5" customHeight="1">
      <c r="A408" s="62"/>
      <c r="B408" s="62"/>
      <c r="C408" s="316"/>
      <c r="D408" s="62"/>
      <c r="E408" s="62"/>
      <c r="F408" s="62"/>
      <c r="G408" s="316"/>
      <c r="H408" s="62"/>
      <c r="I408" s="316"/>
      <c r="J408" s="62"/>
      <c r="K408" s="62"/>
      <c r="L408" s="62"/>
      <c r="M408" s="62"/>
      <c r="N408" s="62"/>
      <c r="O408" s="62"/>
      <c r="P408" s="62"/>
      <c r="Q408" s="62"/>
      <c r="R408" s="62"/>
      <c r="S408" s="62"/>
      <c r="T408" s="62"/>
      <c r="U408" s="62"/>
      <c r="V408" s="62"/>
      <c r="W408" s="62"/>
      <c r="X408" s="62"/>
      <c r="Y408" s="62"/>
      <c r="Z408" s="62"/>
    </row>
    <row r="409" ht="25.5" customHeight="1">
      <c r="A409" s="62"/>
      <c r="B409" s="62"/>
      <c r="C409" s="316"/>
      <c r="D409" s="62"/>
      <c r="E409" s="62"/>
      <c r="F409" s="62"/>
      <c r="G409" s="316"/>
      <c r="H409" s="62"/>
      <c r="I409" s="316"/>
      <c r="J409" s="62"/>
      <c r="K409" s="62"/>
      <c r="L409" s="62"/>
      <c r="M409" s="62"/>
      <c r="N409" s="62"/>
      <c r="O409" s="62"/>
      <c r="P409" s="62"/>
      <c r="Q409" s="62"/>
      <c r="R409" s="62"/>
      <c r="S409" s="62"/>
      <c r="T409" s="62"/>
      <c r="U409" s="62"/>
      <c r="V409" s="62"/>
      <c r="W409" s="62"/>
      <c r="X409" s="62"/>
      <c r="Y409" s="62"/>
      <c r="Z409" s="62"/>
    </row>
    <row r="410" ht="25.5" customHeight="1">
      <c r="A410" s="62"/>
      <c r="B410" s="62"/>
      <c r="C410" s="316"/>
      <c r="D410" s="62"/>
      <c r="E410" s="62"/>
      <c r="F410" s="62"/>
      <c r="G410" s="316"/>
      <c r="H410" s="62"/>
      <c r="I410" s="316"/>
      <c r="J410" s="62"/>
      <c r="K410" s="62"/>
      <c r="L410" s="62"/>
      <c r="M410" s="62"/>
      <c r="N410" s="62"/>
      <c r="O410" s="62"/>
      <c r="P410" s="62"/>
      <c r="Q410" s="62"/>
      <c r="R410" s="62"/>
      <c r="S410" s="62"/>
      <c r="T410" s="62"/>
      <c r="U410" s="62"/>
      <c r="V410" s="62"/>
      <c r="W410" s="62"/>
      <c r="X410" s="62"/>
      <c r="Y410" s="62"/>
      <c r="Z410" s="62"/>
    </row>
    <row r="411" ht="25.5" customHeight="1">
      <c r="A411" s="62"/>
      <c r="B411" s="62"/>
      <c r="C411" s="316"/>
      <c r="D411" s="62"/>
      <c r="E411" s="62"/>
      <c r="F411" s="62"/>
      <c r="G411" s="316"/>
      <c r="H411" s="62"/>
      <c r="I411" s="316"/>
      <c r="J411" s="62"/>
      <c r="K411" s="62"/>
      <c r="L411" s="62"/>
      <c r="M411" s="62"/>
      <c r="N411" s="62"/>
      <c r="O411" s="62"/>
      <c r="P411" s="62"/>
      <c r="Q411" s="62"/>
      <c r="R411" s="62"/>
      <c r="S411" s="62"/>
      <c r="T411" s="62"/>
      <c r="U411" s="62"/>
      <c r="V411" s="62"/>
      <c r="W411" s="62"/>
      <c r="X411" s="62"/>
      <c r="Y411" s="62"/>
      <c r="Z411" s="62"/>
    </row>
    <row r="412" ht="25.5" customHeight="1">
      <c r="A412" s="62"/>
      <c r="B412" s="62"/>
      <c r="C412" s="316"/>
      <c r="D412" s="62"/>
      <c r="E412" s="62"/>
      <c r="F412" s="62"/>
      <c r="G412" s="316"/>
      <c r="H412" s="62"/>
      <c r="I412" s="316"/>
      <c r="J412" s="62"/>
      <c r="K412" s="62"/>
      <c r="L412" s="62"/>
      <c r="M412" s="62"/>
      <c r="N412" s="62"/>
      <c r="O412" s="62"/>
      <c r="P412" s="62"/>
      <c r="Q412" s="62"/>
      <c r="R412" s="62"/>
      <c r="S412" s="62"/>
      <c r="T412" s="62"/>
      <c r="U412" s="62"/>
      <c r="V412" s="62"/>
      <c r="W412" s="62"/>
      <c r="X412" s="62"/>
      <c r="Y412" s="62"/>
      <c r="Z412" s="62"/>
    </row>
    <row r="413" ht="25.5" customHeight="1">
      <c r="A413" s="62"/>
      <c r="B413" s="62"/>
      <c r="C413" s="316"/>
      <c r="D413" s="62"/>
      <c r="E413" s="62"/>
      <c r="F413" s="62"/>
      <c r="G413" s="316"/>
      <c r="H413" s="62"/>
      <c r="I413" s="316"/>
      <c r="J413" s="62"/>
      <c r="K413" s="62"/>
      <c r="L413" s="62"/>
      <c r="M413" s="62"/>
      <c r="N413" s="62"/>
      <c r="O413" s="62"/>
      <c r="P413" s="62"/>
      <c r="Q413" s="62"/>
      <c r="R413" s="62"/>
      <c r="S413" s="62"/>
      <c r="T413" s="62"/>
      <c r="U413" s="62"/>
      <c r="V413" s="62"/>
      <c r="W413" s="62"/>
      <c r="X413" s="62"/>
      <c r="Y413" s="62"/>
      <c r="Z413" s="62"/>
    </row>
    <row r="414" ht="25.5" customHeight="1">
      <c r="A414" s="62"/>
      <c r="B414" s="62"/>
      <c r="C414" s="316"/>
      <c r="D414" s="62"/>
      <c r="E414" s="62"/>
      <c r="F414" s="62"/>
      <c r="G414" s="316"/>
      <c r="H414" s="62"/>
      <c r="I414" s="316"/>
      <c r="J414" s="62"/>
      <c r="K414" s="62"/>
      <c r="L414" s="62"/>
      <c r="M414" s="62"/>
      <c r="N414" s="62"/>
      <c r="O414" s="62"/>
      <c r="P414" s="62"/>
      <c r="Q414" s="62"/>
      <c r="R414" s="62"/>
      <c r="S414" s="62"/>
      <c r="T414" s="62"/>
      <c r="U414" s="62"/>
      <c r="V414" s="62"/>
      <c r="W414" s="62"/>
      <c r="X414" s="62"/>
      <c r="Y414" s="62"/>
      <c r="Z414" s="62"/>
    </row>
    <row r="415" ht="25.5" customHeight="1">
      <c r="A415" s="62"/>
      <c r="B415" s="62"/>
      <c r="C415" s="316"/>
      <c r="D415" s="62"/>
      <c r="E415" s="62"/>
      <c r="F415" s="62"/>
      <c r="G415" s="316"/>
      <c r="H415" s="62"/>
      <c r="I415" s="316"/>
      <c r="J415" s="62"/>
      <c r="K415" s="62"/>
      <c r="L415" s="62"/>
      <c r="M415" s="62"/>
      <c r="N415" s="62"/>
      <c r="O415" s="62"/>
      <c r="P415" s="62"/>
      <c r="Q415" s="62"/>
      <c r="R415" s="62"/>
      <c r="S415" s="62"/>
      <c r="T415" s="62"/>
      <c r="U415" s="62"/>
      <c r="V415" s="62"/>
      <c r="W415" s="62"/>
      <c r="X415" s="62"/>
      <c r="Y415" s="62"/>
      <c r="Z415" s="62"/>
    </row>
    <row r="416" ht="25.5" customHeight="1">
      <c r="A416" s="62"/>
      <c r="B416" s="62"/>
      <c r="C416" s="316"/>
      <c r="D416" s="62"/>
      <c r="E416" s="62"/>
      <c r="F416" s="62"/>
      <c r="G416" s="316"/>
      <c r="H416" s="62"/>
      <c r="I416" s="316"/>
      <c r="J416" s="62"/>
      <c r="K416" s="62"/>
      <c r="L416" s="62"/>
      <c r="M416" s="62"/>
      <c r="N416" s="62"/>
      <c r="O416" s="62"/>
      <c r="P416" s="62"/>
      <c r="Q416" s="62"/>
      <c r="R416" s="62"/>
      <c r="S416" s="62"/>
      <c r="T416" s="62"/>
      <c r="U416" s="62"/>
      <c r="V416" s="62"/>
      <c r="W416" s="62"/>
      <c r="X416" s="62"/>
      <c r="Y416" s="62"/>
      <c r="Z416" s="62"/>
    </row>
    <row r="417" ht="25.5" customHeight="1">
      <c r="A417" s="62"/>
      <c r="B417" s="62"/>
      <c r="C417" s="316"/>
      <c r="D417" s="62"/>
      <c r="E417" s="62"/>
      <c r="F417" s="62"/>
      <c r="G417" s="316"/>
      <c r="H417" s="62"/>
      <c r="I417" s="316"/>
      <c r="J417" s="62"/>
      <c r="K417" s="62"/>
      <c r="L417" s="62"/>
      <c r="M417" s="62"/>
      <c r="N417" s="62"/>
      <c r="O417" s="62"/>
      <c r="P417" s="62"/>
      <c r="Q417" s="62"/>
      <c r="R417" s="62"/>
      <c r="S417" s="62"/>
      <c r="T417" s="62"/>
      <c r="U417" s="62"/>
      <c r="V417" s="62"/>
      <c r="W417" s="62"/>
      <c r="X417" s="62"/>
      <c r="Y417" s="62"/>
      <c r="Z417" s="62"/>
    </row>
    <row r="418" ht="25.5" customHeight="1">
      <c r="A418" s="62"/>
      <c r="B418" s="62"/>
      <c r="C418" s="316"/>
      <c r="D418" s="62"/>
      <c r="E418" s="62"/>
      <c r="F418" s="62"/>
      <c r="G418" s="316"/>
      <c r="H418" s="62"/>
      <c r="I418" s="316"/>
      <c r="J418" s="62"/>
      <c r="K418" s="62"/>
      <c r="L418" s="62"/>
      <c r="M418" s="62"/>
      <c r="N418" s="62"/>
      <c r="O418" s="62"/>
      <c r="P418" s="62"/>
      <c r="Q418" s="62"/>
      <c r="R418" s="62"/>
      <c r="S418" s="62"/>
      <c r="T418" s="62"/>
      <c r="U418" s="62"/>
      <c r="V418" s="62"/>
      <c r="W418" s="62"/>
      <c r="X418" s="62"/>
      <c r="Y418" s="62"/>
      <c r="Z418" s="62"/>
    </row>
    <row r="419" ht="25.5" customHeight="1">
      <c r="A419" s="62"/>
      <c r="B419" s="62"/>
      <c r="C419" s="316"/>
      <c r="D419" s="62"/>
      <c r="E419" s="62"/>
      <c r="F419" s="62"/>
      <c r="G419" s="316"/>
      <c r="H419" s="62"/>
      <c r="I419" s="316"/>
      <c r="J419" s="62"/>
      <c r="K419" s="62"/>
      <c r="L419" s="62"/>
      <c r="M419" s="62"/>
      <c r="N419" s="62"/>
      <c r="O419" s="62"/>
      <c r="P419" s="62"/>
      <c r="Q419" s="62"/>
      <c r="R419" s="62"/>
      <c r="S419" s="62"/>
      <c r="T419" s="62"/>
      <c r="U419" s="62"/>
      <c r="V419" s="62"/>
      <c r="W419" s="62"/>
      <c r="X419" s="62"/>
      <c r="Y419" s="62"/>
      <c r="Z419" s="62"/>
    </row>
    <row r="420" ht="25.5" customHeight="1">
      <c r="A420" s="62"/>
      <c r="B420" s="62"/>
      <c r="C420" s="316"/>
      <c r="D420" s="62"/>
      <c r="E420" s="62"/>
      <c r="F420" s="62"/>
      <c r="G420" s="316"/>
      <c r="H420" s="62"/>
      <c r="I420" s="316"/>
      <c r="J420" s="62"/>
      <c r="K420" s="62"/>
      <c r="L420" s="62"/>
      <c r="M420" s="62"/>
      <c r="N420" s="62"/>
      <c r="O420" s="62"/>
      <c r="P420" s="62"/>
      <c r="Q420" s="62"/>
      <c r="R420" s="62"/>
      <c r="S420" s="62"/>
      <c r="T420" s="62"/>
      <c r="U420" s="62"/>
      <c r="V420" s="62"/>
      <c r="W420" s="62"/>
      <c r="X420" s="62"/>
      <c r="Y420" s="62"/>
      <c r="Z420" s="62"/>
    </row>
    <row r="421" ht="25.5" customHeight="1">
      <c r="A421" s="62"/>
      <c r="B421" s="62"/>
      <c r="C421" s="316"/>
      <c r="D421" s="62"/>
      <c r="E421" s="62"/>
      <c r="F421" s="62"/>
      <c r="G421" s="316"/>
      <c r="H421" s="62"/>
      <c r="I421" s="316"/>
      <c r="J421" s="62"/>
      <c r="K421" s="62"/>
      <c r="L421" s="62"/>
      <c r="M421" s="62"/>
      <c r="N421" s="62"/>
      <c r="O421" s="62"/>
      <c r="P421" s="62"/>
      <c r="Q421" s="62"/>
      <c r="R421" s="62"/>
      <c r="S421" s="62"/>
      <c r="T421" s="62"/>
      <c r="U421" s="62"/>
      <c r="V421" s="62"/>
      <c r="W421" s="62"/>
      <c r="X421" s="62"/>
      <c r="Y421" s="62"/>
      <c r="Z421" s="62"/>
    </row>
    <row r="422" ht="25.5" customHeight="1">
      <c r="A422" s="62"/>
      <c r="B422" s="62"/>
      <c r="C422" s="316"/>
      <c r="D422" s="62"/>
      <c r="E422" s="62"/>
      <c r="F422" s="62"/>
      <c r="G422" s="316"/>
      <c r="H422" s="62"/>
      <c r="I422" s="316"/>
      <c r="J422" s="62"/>
      <c r="K422" s="62"/>
      <c r="L422" s="62"/>
      <c r="M422" s="62"/>
      <c r="N422" s="62"/>
      <c r="O422" s="62"/>
      <c r="P422" s="62"/>
      <c r="Q422" s="62"/>
      <c r="R422" s="62"/>
      <c r="S422" s="62"/>
      <c r="T422" s="62"/>
      <c r="U422" s="62"/>
      <c r="V422" s="62"/>
      <c r="W422" s="62"/>
      <c r="X422" s="62"/>
      <c r="Y422" s="62"/>
      <c r="Z422" s="62"/>
    </row>
    <row r="423" ht="25.5" customHeight="1">
      <c r="A423" s="62"/>
      <c r="B423" s="62"/>
      <c r="C423" s="316"/>
      <c r="D423" s="62"/>
      <c r="E423" s="62"/>
      <c r="F423" s="62"/>
      <c r="G423" s="316"/>
      <c r="H423" s="62"/>
      <c r="I423" s="316"/>
      <c r="J423" s="62"/>
      <c r="K423" s="62"/>
      <c r="L423" s="62"/>
      <c r="M423" s="62"/>
      <c r="N423" s="62"/>
      <c r="O423" s="62"/>
      <c r="P423" s="62"/>
      <c r="Q423" s="62"/>
      <c r="R423" s="62"/>
      <c r="S423" s="62"/>
      <c r="T423" s="62"/>
      <c r="U423" s="62"/>
      <c r="V423" s="62"/>
      <c r="W423" s="62"/>
      <c r="X423" s="62"/>
      <c r="Y423" s="62"/>
      <c r="Z423" s="62"/>
    </row>
    <row r="424" ht="25.5" customHeight="1">
      <c r="A424" s="62"/>
      <c r="B424" s="62"/>
      <c r="C424" s="316"/>
      <c r="D424" s="62"/>
      <c r="E424" s="62"/>
      <c r="F424" s="62"/>
      <c r="G424" s="316"/>
      <c r="H424" s="62"/>
      <c r="I424" s="316"/>
      <c r="J424" s="62"/>
      <c r="K424" s="62"/>
      <c r="L424" s="62"/>
      <c r="M424" s="62"/>
      <c r="N424" s="62"/>
      <c r="O424" s="62"/>
      <c r="P424" s="62"/>
      <c r="Q424" s="62"/>
      <c r="R424" s="62"/>
      <c r="S424" s="62"/>
      <c r="T424" s="62"/>
      <c r="U424" s="62"/>
      <c r="V424" s="62"/>
      <c r="W424" s="62"/>
      <c r="X424" s="62"/>
      <c r="Y424" s="62"/>
      <c r="Z424" s="62"/>
    </row>
    <row r="425" ht="25.5" customHeight="1">
      <c r="A425" s="62"/>
      <c r="B425" s="62"/>
      <c r="C425" s="316"/>
      <c r="D425" s="62"/>
      <c r="E425" s="62"/>
      <c r="F425" s="62"/>
      <c r="G425" s="316"/>
      <c r="H425" s="62"/>
      <c r="I425" s="316"/>
      <c r="J425" s="62"/>
      <c r="K425" s="62"/>
      <c r="L425" s="62"/>
      <c r="M425" s="62"/>
      <c r="N425" s="62"/>
      <c r="O425" s="62"/>
      <c r="P425" s="62"/>
      <c r="Q425" s="62"/>
      <c r="R425" s="62"/>
      <c r="S425" s="62"/>
      <c r="T425" s="62"/>
      <c r="U425" s="62"/>
      <c r="V425" s="62"/>
      <c r="W425" s="62"/>
      <c r="X425" s="62"/>
      <c r="Y425" s="62"/>
      <c r="Z425" s="62"/>
    </row>
    <row r="426" ht="25.5" customHeight="1">
      <c r="A426" s="62"/>
      <c r="B426" s="62"/>
      <c r="C426" s="316"/>
      <c r="D426" s="62"/>
      <c r="E426" s="62"/>
      <c r="F426" s="62"/>
      <c r="G426" s="316"/>
      <c r="H426" s="62"/>
      <c r="I426" s="316"/>
      <c r="J426" s="62"/>
      <c r="K426" s="62"/>
      <c r="L426" s="62"/>
      <c r="M426" s="62"/>
      <c r="N426" s="62"/>
      <c r="O426" s="62"/>
      <c r="P426" s="62"/>
      <c r="Q426" s="62"/>
      <c r="R426" s="62"/>
      <c r="S426" s="62"/>
      <c r="T426" s="62"/>
      <c r="U426" s="62"/>
      <c r="V426" s="62"/>
      <c r="W426" s="62"/>
      <c r="X426" s="62"/>
      <c r="Y426" s="62"/>
      <c r="Z426" s="62"/>
    </row>
    <row r="427" ht="25.5" customHeight="1">
      <c r="A427" s="62"/>
      <c r="B427" s="62"/>
      <c r="C427" s="316"/>
      <c r="D427" s="62"/>
      <c r="E427" s="62"/>
      <c r="F427" s="62"/>
      <c r="G427" s="316"/>
      <c r="H427" s="62"/>
      <c r="I427" s="316"/>
      <c r="J427" s="62"/>
      <c r="K427" s="62"/>
      <c r="L427" s="62"/>
      <c r="M427" s="62"/>
      <c r="N427" s="62"/>
      <c r="O427" s="62"/>
      <c r="P427" s="62"/>
      <c r="Q427" s="62"/>
      <c r="R427" s="62"/>
      <c r="S427" s="62"/>
      <c r="T427" s="62"/>
      <c r="U427" s="62"/>
      <c r="V427" s="62"/>
      <c r="W427" s="62"/>
      <c r="X427" s="62"/>
      <c r="Y427" s="62"/>
      <c r="Z427" s="62"/>
    </row>
    <row r="428" ht="25.5" customHeight="1">
      <c r="A428" s="62"/>
      <c r="B428" s="62"/>
      <c r="C428" s="316"/>
      <c r="D428" s="62"/>
      <c r="E428" s="62"/>
      <c r="F428" s="62"/>
      <c r="G428" s="316"/>
      <c r="H428" s="62"/>
      <c r="I428" s="316"/>
      <c r="J428" s="62"/>
      <c r="K428" s="62"/>
      <c r="L428" s="62"/>
      <c r="M428" s="62"/>
      <c r="N428" s="62"/>
      <c r="O428" s="62"/>
      <c r="P428" s="62"/>
      <c r="Q428" s="62"/>
      <c r="R428" s="62"/>
      <c r="S428" s="62"/>
      <c r="T428" s="62"/>
      <c r="U428" s="62"/>
      <c r="V428" s="62"/>
      <c r="W428" s="62"/>
      <c r="X428" s="62"/>
      <c r="Y428" s="62"/>
      <c r="Z428" s="62"/>
    </row>
    <row r="429" ht="25.5" customHeight="1">
      <c r="A429" s="62"/>
      <c r="B429" s="62"/>
      <c r="C429" s="316"/>
      <c r="D429" s="62"/>
      <c r="E429" s="62"/>
      <c r="F429" s="62"/>
      <c r="G429" s="316"/>
      <c r="H429" s="62"/>
      <c r="I429" s="316"/>
      <c r="J429" s="62"/>
      <c r="K429" s="62"/>
      <c r="L429" s="62"/>
      <c r="M429" s="62"/>
      <c r="N429" s="62"/>
      <c r="O429" s="62"/>
      <c r="P429" s="62"/>
      <c r="Q429" s="62"/>
      <c r="R429" s="62"/>
      <c r="S429" s="62"/>
      <c r="T429" s="62"/>
      <c r="U429" s="62"/>
      <c r="V429" s="62"/>
      <c r="W429" s="62"/>
      <c r="X429" s="62"/>
      <c r="Y429" s="62"/>
      <c r="Z429" s="62"/>
    </row>
    <row r="430" ht="25.5" customHeight="1">
      <c r="A430" s="62"/>
      <c r="B430" s="62"/>
      <c r="C430" s="316"/>
      <c r="D430" s="62"/>
      <c r="E430" s="62"/>
      <c r="F430" s="62"/>
      <c r="G430" s="316"/>
      <c r="H430" s="62"/>
      <c r="I430" s="316"/>
      <c r="J430" s="62"/>
      <c r="K430" s="62"/>
      <c r="L430" s="62"/>
      <c r="M430" s="62"/>
      <c r="N430" s="62"/>
      <c r="O430" s="62"/>
      <c r="P430" s="62"/>
      <c r="Q430" s="62"/>
      <c r="R430" s="62"/>
      <c r="S430" s="62"/>
      <c r="T430" s="62"/>
      <c r="U430" s="62"/>
      <c r="V430" s="62"/>
      <c r="W430" s="62"/>
      <c r="X430" s="62"/>
      <c r="Y430" s="62"/>
      <c r="Z430" s="62"/>
    </row>
    <row r="431" ht="25.5" customHeight="1">
      <c r="A431" s="62"/>
      <c r="B431" s="62"/>
      <c r="C431" s="316"/>
      <c r="D431" s="62"/>
      <c r="E431" s="62"/>
      <c r="F431" s="62"/>
      <c r="G431" s="316"/>
      <c r="H431" s="62"/>
      <c r="I431" s="316"/>
      <c r="J431" s="62"/>
      <c r="K431" s="62"/>
      <c r="L431" s="62"/>
      <c r="M431" s="62"/>
      <c r="N431" s="62"/>
      <c r="O431" s="62"/>
      <c r="P431" s="62"/>
      <c r="Q431" s="62"/>
      <c r="R431" s="62"/>
      <c r="S431" s="62"/>
      <c r="T431" s="62"/>
      <c r="U431" s="62"/>
      <c r="V431" s="62"/>
      <c r="W431" s="62"/>
      <c r="X431" s="62"/>
      <c r="Y431" s="62"/>
      <c r="Z431" s="62"/>
    </row>
    <row r="432" ht="25.5" customHeight="1">
      <c r="A432" s="62"/>
      <c r="B432" s="62"/>
      <c r="C432" s="316"/>
      <c r="D432" s="62"/>
      <c r="E432" s="62"/>
      <c r="F432" s="62"/>
      <c r="G432" s="316"/>
      <c r="H432" s="62"/>
      <c r="I432" s="316"/>
      <c r="J432" s="62"/>
      <c r="K432" s="62"/>
      <c r="L432" s="62"/>
      <c r="M432" s="62"/>
      <c r="N432" s="62"/>
      <c r="O432" s="62"/>
      <c r="P432" s="62"/>
      <c r="Q432" s="62"/>
      <c r="R432" s="62"/>
      <c r="S432" s="62"/>
      <c r="T432" s="62"/>
      <c r="U432" s="62"/>
      <c r="V432" s="62"/>
      <c r="W432" s="62"/>
      <c r="X432" s="62"/>
      <c r="Y432" s="62"/>
      <c r="Z432" s="62"/>
    </row>
    <row r="433" ht="25.5" customHeight="1">
      <c r="A433" s="62"/>
      <c r="B433" s="62"/>
      <c r="C433" s="316"/>
      <c r="D433" s="62"/>
      <c r="E433" s="62"/>
      <c r="F433" s="62"/>
      <c r="G433" s="316"/>
      <c r="H433" s="62"/>
      <c r="I433" s="316"/>
      <c r="J433" s="62"/>
      <c r="K433" s="62"/>
      <c r="L433" s="62"/>
      <c r="M433" s="62"/>
      <c r="N433" s="62"/>
      <c r="O433" s="62"/>
      <c r="P433" s="62"/>
      <c r="Q433" s="62"/>
      <c r="R433" s="62"/>
      <c r="S433" s="62"/>
      <c r="T433" s="62"/>
      <c r="U433" s="62"/>
      <c r="V433" s="62"/>
      <c r="W433" s="62"/>
      <c r="X433" s="62"/>
      <c r="Y433" s="62"/>
      <c r="Z433" s="62"/>
    </row>
    <row r="434" ht="25.5" customHeight="1">
      <c r="A434" s="62"/>
      <c r="B434" s="62"/>
      <c r="C434" s="316"/>
      <c r="D434" s="62"/>
      <c r="E434" s="62"/>
      <c r="F434" s="62"/>
      <c r="G434" s="316"/>
      <c r="H434" s="62"/>
      <c r="I434" s="316"/>
      <c r="J434" s="62"/>
      <c r="K434" s="62"/>
      <c r="L434" s="62"/>
      <c r="M434" s="62"/>
      <c r="N434" s="62"/>
      <c r="O434" s="62"/>
      <c r="P434" s="62"/>
      <c r="Q434" s="62"/>
      <c r="R434" s="62"/>
      <c r="S434" s="62"/>
      <c r="T434" s="62"/>
      <c r="U434" s="62"/>
      <c r="V434" s="62"/>
      <c r="W434" s="62"/>
      <c r="X434" s="62"/>
      <c r="Y434" s="62"/>
      <c r="Z434" s="62"/>
    </row>
    <row r="435" ht="25.5" customHeight="1">
      <c r="A435" s="62"/>
      <c r="B435" s="62"/>
      <c r="C435" s="316"/>
      <c r="D435" s="62"/>
      <c r="E435" s="62"/>
      <c r="F435" s="62"/>
      <c r="G435" s="316"/>
      <c r="H435" s="62"/>
      <c r="I435" s="316"/>
      <c r="J435" s="62"/>
      <c r="K435" s="62"/>
      <c r="L435" s="62"/>
      <c r="M435" s="62"/>
      <c r="N435" s="62"/>
      <c r="O435" s="62"/>
      <c r="P435" s="62"/>
      <c r="Q435" s="62"/>
      <c r="R435" s="62"/>
      <c r="S435" s="62"/>
      <c r="T435" s="62"/>
      <c r="U435" s="62"/>
      <c r="V435" s="62"/>
      <c r="W435" s="62"/>
      <c r="X435" s="62"/>
      <c r="Y435" s="62"/>
      <c r="Z435" s="62"/>
    </row>
    <row r="436" ht="25.5" customHeight="1">
      <c r="A436" s="62"/>
      <c r="B436" s="62"/>
      <c r="C436" s="316"/>
      <c r="D436" s="62"/>
      <c r="E436" s="62"/>
      <c r="F436" s="62"/>
      <c r="G436" s="316"/>
      <c r="H436" s="62"/>
      <c r="I436" s="316"/>
      <c r="J436" s="62"/>
      <c r="K436" s="62"/>
      <c r="L436" s="62"/>
      <c r="M436" s="62"/>
      <c r="N436" s="62"/>
      <c r="O436" s="62"/>
      <c r="P436" s="62"/>
      <c r="Q436" s="62"/>
      <c r="R436" s="62"/>
      <c r="S436" s="62"/>
      <c r="T436" s="62"/>
      <c r="U436" s="62"/>
      <c r="V436" s="62"/>
      <c r="W436" s="62"/>
      <c r="X436" s="62"/>
      <c r="Y436" s="62"/>
      <c r="Z436" s="62"/>
    </row>
    <row r="437" ht="25.5" customHeight="1">
      <c r="A437" s="62"/>
      <c r="B437" s="62"/>
      <c r="C437" s="316"/>
      <c r="D437" s="62"/>
      <c r="E437" s="62"/>
      <c r="F437" s="62"/>
      <c r="G437" s="316"/>
      <c r="H437" s="62"/>
      <c r="I437" s="316"/>
      <c r="J437" s="62"/>
      <c r="K437" s="62"/>
      <c r="L437" s="62"/>
      <c r="M437" s="62"/>
      <c r="N437" s="62"/>
      <c r="O437" s="62"/>
      <c r="P437" s="62"/>
      <c r="Q437" s="62"/>
      <c r="R437" s="62"/>
      <c r="S437" s="62"/>
      <c r="T437" s="62"/>
      <c r="U437" s="62"/>
      <c r="V437" s="62"/>
      <c r="W437" s="62"/>
      <c r="X437" s="62"/>
      <c r="Y437" s="62"/>
      <c r="Z437" s="62"/>
    </row>
    <row r="438" ht="25.5" customHeight="1">
      <c r="A438" s="62"/>
      <c r="B438" s="62"/>
      <c r="C438" s="316"/>
      <c r="D438" s="62"/>
      <c r="E438" s="62"/>
      <c r="F438" s="62"/>
      <c r="G438" s="316"/>
      <c r="H438" s="62"/>
      <c r="I438" s="316"/>
      <c r="J438" s="62"/>
      <c r="K438" s="62"/>
      <c r="L438" s="62"/>
      <c r="M438" s="62"/>
      <c r="N438" s="62"/>
      <c r="O438" s="62"/>
      <c r="P438" s="62"/>
      <c r="Q438" s="62"/>
      <c r="R438" s="62"/>
      <c r="S438" s="62"/>
      <c r="T438" s="62"/>
      <c r="U438" s="62"/>
      <c r="V438" s="62"/>
      <c r="W438" s="62"/>
      <c r="X438" s="62"/>
      <c r="Y438" s="62"/>
      <c r="Z438" s="62"/>
    </row>
    <row r="439" ht="25.5" customHeight="1">
      <c r="A439" s="62"/>
      <c r="B439" s="62"/>
      <c r="C439" s="316"/>
      <c r="D439" s="62"/>
      <c r="E439" s="62"/>
      <c r="F439" s="62"/>
      <c r="G439" s="316"/>
      <c r="H439" s="62"/>
      <c r="I439" s="316"/>
      <c r="J439" s="62"/>
      <c r="K439" s="62"/>
      <c r="L439" s="62"/>
      <c r="M439" s="62"/>
      <c r="N439" s="62"/>
      <c r="O439" s="62"/>
      <c r="P439" s="62"/>
      <c r="Q439" s="62"/>
      <c r="R439" s="62"/>
      <c r="S439" s="62"/>
      <c r="T439" s="62"/>
      <c r="U439" s="62"/>
      <c r="V439" s="62"/>
      <c r="W439" s="62"/>
      <c r="X439" s="62"/>
      <c r="Y439" s="62"/>
      <c r="Z439" s="62"/>
    </row>
    <row r="440" ht="25.5" customHeight="1">
      <c r="A440" s="62"/>
      <c r="B440" s="62"/>
      <c r="C440" s="316"/>
      <c r="D440" s="62"/>
      <c r="E440" s="62"/>
      <c r="F440" s="62"/>
      <c r="G440" s="316"/>
      <c r="H440" s="62"/>
      <c r="I440" s="316"/>
      <c r="J440" s="62"/>
      <c r="K440" s="62"/>
      <c r="L440" s="62"/>
      <c r="M440" s="62"/>
      <c r="N440" s="62"/>
      <c r="O440" s="62"/>
      <c r="P440" s="62"/>
      <c r="Q440" s="62"/>
      <c r="R440" s="62"/>
      <c r="S440" s="62"/>
      <c r="T440" s="62"/>
      <c r="U440" s="62"/>
      <c r="V440" s="62"/>
      <c r="W440" s="62"/>
      <c r="X440" s="62"/>
      <c r="Y440" s="62"/>
      <c r="Z440" s="62"/>
    </row>
    <row r="441" ht="25.5" customHeight="1">
      <c r="A441" s="62"/>
      <c r="B441" s="62"/>
      <c r="C441" s="316"/>
      <c r="D441" s="62"/>
      <c r="E441" s="62"/>
      <c r="F441" s="62"/>
      <c r="G441" s="316"/>
      <c r="H441" s="62"/>
      <c r="I441" s="316"/>
      <c r="J441" s="62"/>
      <c r="K441" s="62"/>
      <c r="L441" s="62"/>
      <c r="M441" s="62"/>
      <c r="N441" s="62"/>
      <c r="O441" s="62"/>
      <c r="P441" s="62"/>
      <c r="Q441" s="62"/>
      <c r="R441" s="62"/>
      <c r="S441" s="62"/>
      <c r="T441" s="62"/>
      <c r="U441" s="62"/>
      <c r="V441" s="62"/>
      <c r="W441" s="62"/>
      <c r="X441" s="62"/>
      <c r="Y441" s="62"/>
      <c r="Z441" s="62"/>
    </row>
    <row r="442" ht="25.5" customHeight="1">
      <c r="A442" s="62"/>
      <c r="B442" s="62"/>
      <c r="C442" s="316"/>
      <c r="D442" s="62"/>
      <c r="E442" s="62"/>
      <c r="F442" s="62"/>
      <c r="G442" s="316"/>
      <c r="H442" s="62"/>
      <c r="I442" s="316"/>
      <c r="J442" s="62"/>
      <c r="K442" s="62"/>
      <c r="L442" s="62"/>
      <c r="M442" s="62"/>
      <c r="N442" s="62"/>
      <c r="O442" s="62"/>
      <c r="P442" s="62"/>
      <c r="Q442" s="62"/>
      <c r="R442" s="62"/>
      <c r="S442" s="62"/>
      <c r="T442" s="62"/>
      <c r="U442" s="62"/>
      <c r="V442" s="62"/>
      <c r="W442" s="62"/>
      <c r="X442" s="62"/>
      <c r="Y442" s="62"/>
      <c r="Z442" s="62"/>
    </row>
    <row r="443" ht="25.5" customHeight="1">
      <c r="A443" s="62"/>
      <c r="B443" s="62"/>
      <c r="C443" s="316"/>
      <c r="D443" s="62"/>
      <c r="E443" s="62"/>
      <c r="F443" s="62"/>
      <c r="G443" s="316"/>
      <c r="H443" s="62"/>
      <c r="I443" s="316"/>
      <c r="J443" s="62"/>
      <c r="K443" s="62"/>
      <c r="L443" s="62"/>
      <c r="M443" s="62"/>
      <c r="N443" s="62"/>
      <c r="O443" s="62"/>
      <c r="P443" s="62"/>
      <c r="Q443" s="62"/>
      <c r="R443" s="62"/>
      <c r="S443" s="62"/>
      <c r="T443" s="62"/>
      <c r="U443" s="62"/>
      <c r="V443" s="62"/>
      <c r="W443" s="62"/>
      <c r="X443" s="62"/>
      <c r="Y443" s="62"/>
      <c r="Z443" s="62"/>
    </row>
    <row r="444" ht="25.5" customHeight="1">
      <c r="A444" s="62"/>
      <c r="B444" s="62"/>
      <c r="C444" s="316"/>
      <c r="D444" s="62"/>
      <c r="E444" s="62"/>
      <c r="F444" s="62"/>
      <c r="G444" s="316"/>
      <c r="H444" s="62"/>
      <c r="I444" s="316"/>
      <c r="J444" s="62"/>
      <c r="K444" s="62"/>
      <c r="L444" s="62"/>
      <c r="M444" s="62"/>
      <c r="N444" s="62"/>
      <c r="O444" s="62"/>
      <c r="P444" s="62"/>
      <c r="Q444" s="62"/>
      <c r="R444" s="62"/>
      <c r="S444" s="62"/>
      <c r="T444" s="62"/>
      <c r="U444" s="62"/>
      <c r="V444" s="62"/>
      <c r="W444" s="62"/>
      <c r="X444" s="62"/>
      <c r="Y444" s="62"/>
      <c r="Z444" s="62"/>
    </row>
    <row r="445" ht="25.5" customHeight="1">
      <c r="A445" s="62"/>
      <c r="B445" s="62"/>
      <c r="C445" s="316"/>
      <c r="D445" s="62"/>
      <c r="E445" s="62"/>
      <c r="F445" s="62"/>
      <c r="G445" s="316"/>
      <c r="H445" s="62"/>
      <c r="I445" s="316"/>
      <c r="J445" s="62"/>
      <c r="K445" s="62"/>
      <c r="L445" s="62"/>
      <c r="M445" s="62"/>
      <c r="N445" s="62"/>
      <c r="O445" s="62"/>
      <c r="P445" s="62"/>
      <c r="Q445" s="62"/>
      <c r="R445" s="62"/>
      <c r="S445" s="62"/>
      <c r="T445" s="62"/>
      <c r="U445" s="62"/>
      <c r="V445" s="62"/>
      <c r="W445" s="62"/>
      <c r="X445" s="62"/>
      <c r="Y445" s="62"/>
      <c r="Z445" s="62"/>
    </row>
    <row r="446" ht="25.5" customHeight="1">
      <c r="A446" s="62"/>
      <c r="B446" s="62"/>
      <c r="C446" s="316"/>
      <c r="D446" s="62"/>
      <c r="E446" s="62"/>
      <c r="F446" s="62"/>
      <c r="G446" s="316"/>
      <c r="H446" s="62"/>
      <c r="I446" s="316"/>
      <c r="J446" s="62"/>
      <c r="K446" s="62"/>
      <c r="L446" s="62"/>
      <c r="M446" s="62"/>
      <c r="N446" s="62"/>
      <c r="O446" s="62"/>
      <c r="P446" s="62"/>
      <c r="Q446" s="62"/>
      <c r="R446" s="62"/>
      <c r="S446" s="62"/>
      <c r="T446" s="62"/>
      <c r="U446" s="62"/>
      <c r="V446" s="62"/>
      <c r="W446" s="62"/>
      <c r="X446" s="62"/>
      <c r="Y446" s="62"/>
      <c r="Z446" s="62"/>
    </row>
    <row r="447" ht="25.5" customHeight="1">
      <c r="A447" s="62"/>
      <c r="B447" s="62"/>
      <c r="C447" s="316"/>
      <c r="D447" s="62"/>
      <c r="E447" s="62"/>
      <c r="F447" s="62"/>
      <c r="G447" s="316"/>
      <c r="H447" s="62"/>
      <c r="I447" s="316"/>
      <c r="J447" s="62"/>
      <c r="K447" s="62"/>
      <c r="L447" s="62"/>
      <c r="M447" s="62"/>
      <c r="N447" s="62"/>
      <c r="O447" s="62"/>
      <c r="P447" s="62"/>
      <c r="Q447" s="62"/>
      <c r="R447" s="62"/>
      <c r="S447" s="62"/>
      <c r="T447" s="62"/>
      <c r="U447" s="62"/>
      <c r="V447" s="62"/>
      <c r="W447" s="62"/>
      <c r="X447" s="62"/>
      <c r="Y447" s="62"/>
      <c r="Z447" s="62"/>
    </row>
    <row r="448" ht="25.5" customHeight="1">
      <c r="A448" s="62"/>
      <c r="B448" s="62"/>
      <c r="C448" s="316"/>
      <c r="D448" s="62"/>
      <c r="E448" s="62"/>
      <c r="F448" s="62"/>
      <c r="G448" s="316"/>
      <c r="H448" s="62"/>
      <c r="I448" s="316"/>
      <c r="J448" s="62"/>
      <c r="K448" s="62"/>
      <c r="L448" s="62"/>
      <c r="M448" s="62"/>
      <c r="N448" s="62"/>
      <c r="O448" s="62"/>
      <c r="P448" s="62"/>
      <c r="Q448" s="62"/>
      <c r="R448" s="62"/>
      <c r="S448" s="62"/>
      <c r="T448" s="62"/>
      <c r="U448" s="62"/>
      <c r="V448" s="62"/>
      <c r="W448" s="62"/>
      <c r="X448" s="62"/>
      <c r="Y448" s="62"/>
      <c r="Z448" s="62"/>
    </row>
    <row r="449" ht="25.5" customHeight="1">
      <c r="A449" s="62"/>
      <c r="B449" s="62"/>
      <c r="C449" s="316"/>
      <c r="D449" s="62"/>
      <c r="E449" s="62"/>
      <c r="F449" s="62"/>
      <c r="G449" s="316"/>
      <c r="H449" s="62"/>
      <c r="I449" s="316"/>
      <c r="J449" s="62"/>
      <c r="K449" s="62"/>
      <c r="L449" s="62"/>
      <c r="M449" s="62"/>
      <c r="N449" s="62"/>
      <c r="O449" s="62"/>
      <c r="P449" s="62"/>
      <c r="Q449" s="62"/>
      <c r="R449" s="62"/>
      <c r="S449" s="62"/>
      <c r="T449" s="62"/>
      <c r="U449" s="62"/>
      <c r="V449" s="62"/>
      <c r="W449" s="62"/>
      <c r="X449" s="62"/>
      <c r="Y449" s="62"/>
      <c r="Z449" s="62"/>
    </row>
    <row r="450" ht="25.5" customHeight="1">
      <c r="A450" s="62"/>
      <c r="B450" s="62"/>
      <c r="C450" s="316"/>
      <c r="D450" s="62"/>
      <c r="E450" s="62"/>
      <c r="F450" s="62"/>
      <c r="G450" s="316"/>
      <c r="H450" s="62"/>
      <c r="I450" s="316"/>
      <c r="J450" s="62"/>
      <c r="K450" s="62"/>
      <c r="L450" s="62"/>
      <c r="M450" s="62"/>
      <c r="N450" s="62"/>
      <c r="O450" s="62"/>
      <c r="P450" s="62"/>
      <c r="Q450" s="62"/>
      <c r="R450" s="62"/>
      <c r="S450" s="62"/>
      <c r="T450" s="62"/>
      <c r="U450" s="62"/>
      <c r="V450" s="62"/>
      <c r="W450" s="62"/>
      <c r="X450" s="62"/>
      <c r="Y450" s="62"/>
      <c r="Z450" s="62"/>
    </row>
    <row r="451" ht="25.5" customHeight="1">
      <c r="A451" s="62"/>
      <c r="B451" s="62"/>
      <c r="C451" s="316"/>
      <c r="D451" s="62"/>
      <c r="E451" s="62"/>
      <c r="F451" s="62"/>
      <c r="G451" s="316"/>
      <c r="H451" s="62"/>
      <c r="I451" s="316"/>
      <c r="J451" s="62"/>
      <c r="K451" s="62"/>
      <c r="L451" s="62"/>
      <c r="M451" s="62"/>
      <c r="N451" s="62"/>
      <c r="O451" s="62"/>
      <c r="P451" s="62"/>
      <c r="Q451" s="62"/>
      <c r="R451" s="62"/>
      <c r="S451" s="62"/>
      <c r="T451" s="62"/>
      <c r="U451" s="62"/>
      <c r="V451" s="62"/>
      <c r="W451" s="62"/>
      <c r="X451" s="62"/>
      <c r="Y451" s="62"/>
      <c r="Z451" s="62"/>
    </row>
    <row r="452" ht="25.5" customHeight="1">
      <c r="A452" s="62"/>
      <c r="B452" s="62"/>
      <c r="C452" s="316"/>
      <c r="D452" s="62"/>
      <c r="E452" s="62"/>
      <c r="F452" s="62"/>
      <c r="G452" s="316"/>
      <c r="H452" s="62"/>
      <c r="I452" s="316"/>
      <c r="J452" s="62"/>
      <c r="K452" s="62"/>
      <c r="L452" s="62"/>
      <c r="M452" s="62"/>
      <c r="N452" s="62"/>
      <c r="O452" s="62"/>
      <c r="P452" s="62"/>
      <c r="Q452" s="62"/>
      <c r="R452" s="62"/>
      <c r="S452" s="62"/>
      <c r="T452" s="62"/>
      <c r="U452" s="62"/>
      <c r="V452" s="62"/>
      <c r="W452" s="62"/>
      <c r="X452" s="62"/>
      <c r="Y452" s="62"/>
      <c r="Z452" s="62"/>
    </row>
    <row r="453" ht="25.5" customHeight="1">
      <c r="A453" s="62"/>
      <c r="B453" s="62"/>
      <c r="C453" s="316"/>
      <c r="D453" s="62"/>
      <c r="E453" s="62"/>
      <c r="F453" s="62"/>
      <c r="G453" s="316"/>
      <c r="H453" s="62"/>
      <c r="I453" s="316"/>
      <c r="J453" s="62"/>
      <c r="K453" s="62"/>
      <c r="L453" s="62"/>
      <c r="M453" s="62"/>
      <c r="N453" s="62"/>
      <c r="O453" s="62"/>
      <c r="P453" s="62"/>
      <c r="Q453" s="62"/>
      <c r="R453" s="62"/>
      <c r="S453" s="62"/>
      <c r="T453" s="62"/>
      <c r="U453" s="62"/>
      <c r="V453" s="62"/>
      <c r="W453" s="62"/>
      <c r="X453" s="62"/>
      <c r="Y453" s="62"/>
      <c r="Z453" s="62"/>
    </row>
    <row r="454" ht="25.5" customHeight="1">
      <c r="A454" s="62"/>
      <c r="B454" s="62"/>
      <c r="C454" s="316"/>
      <c r="D454" s="62"/>
      <c r="E454" s="62"/>
      <c r="F454" s="62"/>
      <c r="G454" s="316"/>
      <c r="H454" s="62"/>
      <c r="I454" s="316"/>
      <c r="J454" s="62"/>
      <c r="K454" s="62"/>
      <c r="L454" s="62"/>
      <c r="M454" s="62"/>
      <c r="N454" s="62"/>
      <c r="O454" s="62"/>
      <c r="P454" s="62"/>
      <c r="Q454" s="62"/>
      <c r="R454" s="62"/>
      <c r="S454" s="62"/>
      <c r="T454" s="62"/>
      <c r="U454" s="62"/>
      <c r="V454" s="62"/>
      <c r="W454" s="62"/>
      <c r="X454" s="62"/>
      <c r="Y454" s="62"/>
      <c r="Z454" s="62"/>
    </row>
    <row r="455" ht="25.5" customHeight="1">
      <c r="A455" s="62"/>
      <c r="B455" s="62"/>
      <c r="C455" s="316"/>
      <c r="D455" s="62"/>
      <c r="E455" s="62"/>
      <c r="F455" s="62"/>
      <c r="G455" s="316"/>
      <c r="H455" s="62"/>
      <c r="I455" s="316"/>
      <c r="J455" s="62"/>
      <c r="K455" s="62"/>
      <c r="L455" s="62"/>
      <c r="M455" s="62"/>
      <c r="N455" s="62"/>
      <c r="O455" s="62"/>
      <c r="P455" s="62"/>
      <c r="Q455" s="62"/>
      <c r="R455" s="62"/>
      <c r="S455" s="62"/>
      <c r="T455" s="62"/>
      <c r="U455" s="62"/>
      <c r="V455" s="62"/>
      <c r="W455" s="62"/>
      <c r="X455" s="62"/>
      <c r="Y455" s="62"/>
      <c r="Z455" s="62"/>
    </row>
    <row r="456" ht="25.5" customHeight="1">
      <c r="A456" s="62"/>
      <c r="B456" s="62"/>
      <c r="C456" s="316"/>
      <c r="D456" s="62"/>
      <c r="E456" s="62"/>
      <c r="F456" s="62"/>
      <c r="G456" s="316"/>
      <c r="H456" s="62"/>
      <c r="I456" s="316"/>
      <c r="J456" s="62"/>
      <c r="K456" s="62"/>
      <c r="L456" s="62"/>
      <c r="M456" s="62"/>
      <c r="N456" s="62"/>
      <c r="O456" s="62"/>
      <c r="P456" s="62"/>
      <c r="Q456" s="62"/>
      <c r="R456" s="62"/>
      <c r="S456" s="62"/>
      <c r="T456" s="62"/>
      <c r="U456" s="62"/>
      <c r="V456" s="62"/>
      <c r="W456" s="62"/>
      <c r="X456" s="62"/>
      <c r="Y456" s="62"/>
      <c r="Z456" s="62"/>
    </row>
    <row r="457" ht="25.5" customHeight="1">
      <c r="A457" s="62"/>
      <c r="B457" s="62"/>
      <c r="C457" s="316"/>
      <c r="D457" s="62"/>
      <c r="E457" s="62"/>
      <c r="F457" s="62"/>
      <c r="G457" s="316"/>
      <c r="H457" s="62"/>
      <c r="I457" s="316"/>
      <c r="J457" s="62"/>
      <c r="K457" s="62"/>
      <c r="L457" s="62"/>
      <c r="M457" s="62"/>
      <c r="N457" s="62"/>
      <c r="O457" s="62"/>
      <c r="P457" s="62"/>
      <c r="Q457" s="62"/>
      <c r="R457" s="62"/>
      <c r="S457" s="62"/>
      <c r="T457" s="62"/>
      <c r="U457" s="62"/>
      <c r="V457" s="62"/>
      <c r="W457" s="62"/>
      <c r="X457" s="62"/>
      <c r="Y457" s="62"/>
      <c r="Z457" s="62"/>
    </row>
    <row r="458" ht="25.5" customHeight="1">
      <c r="A458" s="62"/>
      <c r="B458" s="62"/>
      <c r="C458" s="316"/>
      <c r="D458" s="62"/>
      <c r="E458" s="62"/>
      <c r="F458" s="62"/>
      <c r="G458" s="316"/>
      <c r="H458" s="62"/>
      <c r="I458" s="316"/>
      <c r="J458" s="62"/>
      <c r="K458" s="62"/>
      <c r="L458" s="62"/>
      <c r="M458" s="62"/>
      <c r="N458" s="62"/>
      <c r="O458" s="62"/>
      <c r="P458" s="62"/>
      <c r="Q458" s="62"/>
      <c r="R458" s="62"/>
      <c r="S458" s="62"/>
      <c r="T458" s="62"/>
      <c r="U458" s="62"/>
      <c r="V458" s="62"/>
      <c r="W458" s="62"/>
      <c r="X458" s="62"/>
      <c r="Y458" s="62"/>
      <c r="Z458" s="62"/>
    </row>
    <row r="459" ht="25.5" customHeight="1">
      <c r="A459" s="62"/>
      <c r="B459" s="62"/>
      <c r="C459" s="316"/>
      <c r="D459" s="62"/>
      <c r="E459" s="62"/>
      <c r="F459" s="62"/>
      <c r="G459" s="316"/>
      <c r="H459" s="62"/>
      <c r="I459" s="316"/>
      <c r="J459" s="62"/>
      <c r="K459" s="62"/>
      <c r="L459" s="62"/>
      <c r="M459" s="62"/>
      <c r="N459" s="62"/>
      <c r="O459" s="62"/>
      <c r="P459" s="62"/>
      <c r="Q459" s="62"/>
      <c r="R459" s="62"/>
      <c r="S459" s="62"/>
      <c r="T459" s="62"/>
      <c r="U459" s="62"/>
      <c r="V459" s="62"/>
      <c r="W459" s="62"/>
      <c r="X459" s="62"/>
      <c r="Y459" s="62"/>
      <c r="Z459" s="62"/>
    </row>
    <row r="460" ht="25.5" customHeight="1">
      <c r="A460" s="62"/>
      <c r="B460" s="62"/>
      <c r="C460" s="316"/>
      <c r="D460" s="62"/>
      <c r="E460" s="62"/>
      <c r="F460" s="62"/>
      <c r="G460" s="316"/>
      <c r="H460" s="62"/>
      <c r="I460" s="316"/>
      <c r="J460" s="62"/>
      <c r="K460" s="62"/>
      <c r="L460" s="62"/>
      <c r="M460" s="62"/>
      <c r="N460" s="62"/>
      <c r="O460" s="62"/>
      <c r="P460" s="62"/>
      <c r="Q460" s="62"/>
      <c r="R460" s="62"/>
      <c r="S460" s="62"/>
      <c r="T460" s="62"/>
      <c r="U460" s="62"/>
      <c r="V460" s="62"/>
      <c r="W460" s="62"/>
      <c r="X460" s="62"/>
      <c r="Y460" s="62"/>
      <c r="Z460" s="62"/>
    </row>
    <row r="461" ht="25.5" customHeight="1">
      <c r="A461" s="62"/>
      <c r="B461" s="62"/>
      <c r="C461" s="316"/>
      <c r="D461" s="62"/>
      <c r="E461" s="62"/>
      <c r="F461" s="62"/>
      <c r="G461" s="316"/>
      <c r="H461" s="62"/>
      <c r="I461" s="316"/>
      <c r="J461" s="62"/>
      <c r="K461" s="62"/>
      <c r="L461" s="62"/>
      <c r="M461" s="62"/>
      <c r="N461" s="62"/>
      <c r="O461" s="62"/>
      <c r="P461" s="62"/>
      <c r="Q461" s="62"/>
      <c r="R461" s="62"/>
      <c r="S461" s="62"/>
      <c r="T461" s="62"/>
      <c r="U461" s="62"/>
      <c r="V461" s="62"/>
      <c r="W461" s="62"/>
      <c r="X461" s="62"/>
      <c r="Y461" s="62"/>
      <c r="Z461" s="62"/>
    </row>
    <row r="462" ht="25.5" customHeight="1">
      <c r="A462" s="62"/>
      <c r="B462" s="62"/>
      <c r="C462" s="316"/>
      <c r="D462" s="62"/>
      <c r="E462" s="62"/>
      <c r="F462" s="62"/>
      <c r="G462" s="316"/>
      <c r="H462" s="62"/>
      <c r="I462" s="316"/>
      <c r="J462" s="62"/>
      <c r="K462" s="62"/>
      <c r="L462" s="62"/>
      <c r="M462" s="62"/>
      <c r="N462" s="62"/>
      <c r="O462" s="62"/>
      <c r="P462" s="62"/>
      <c r="Q462" s="62"/>
      <c r="R462" s="62"/>
      <c r="S462" s="62"/>
      <c r="T462" s="62"/>
      <c r="U462" s="62"/>
      <c r="V462" s="62"/>
      <c r="W462" s="62"/>
      <c r="X462" s="62"/>
      <c r="Y462" s="62"/>
      <c r="Z462" s="62"/>
    </row>
    <row r="463" ht="25.5" customHeight="1">
      <c r="A463" s="62"/>
      <c r="B463" s="62"/>
      <c r="C463" s="316"/>
      <c r="D463" s="62"/>
      <c r="E463" s="62"/>
      <c r="F463" s="62"/>
      <c r="G463" s="316"/>
      <c r="H463" s="62"/>
      <c r="I463" s="316"/>
      <c r="J463" s="62"/>
      <c r="K463" s="62"/>
      <c r="L463" s="62"/>
      <c r="M463" s="62"/>
      <c r="N463" s="62"/>
      <c r="O463" s="62"/>
      <c r="P463" s="62"/>
      <c r="Q463" s="62"/>
      <c r="R463" s="62"/>
      <c r="S463" s="62"/>
      <c r="T463" s="62"/>
      <c r="U463" s="62"/>
      <c r="V463" s="62"/>
      <c r="W463" s="62"/>
      <c r="X463" s="62"/>
      <c r="Y463" s="62"/>
      <c r="Z463" s="62"/>
    </row>
    <row r="464" ht="25.5" customHeight="1">
      <c r="A464" s="62"/>
      <c r="B464" s="62"/>
      <c r="C464" s="316"/>
      <c r="D464" s="62"/>
      <c r="E464" s="62"/>
      <c r="F464" s="62"/>
      <c r="G464" s="316"/>
      <c r="H464" s="62"/>
      <c r="I464" s="316"/>
      <c r="J464" s="62"/>
      <c r="K464" s="62"/>
      <c r="L464" s="62"/>
      <c r="M464" s="62"/>
      <c r="N464" s="62"/>
      <c r="O464" s="62"/>
      <c r="P464" s="62"/>
      <c r="Q464" s="62"/>
      <c r="R464" s="62"/>
      <c r="S464" s="62"/>
      <c r="T464" s="62"/>
      <c r="U464" s="62"/>
      <c r="V464" s="62"/>
      <c r="W464" s="62"/>
      <c r="X464" s="62"/>
      <c r="Y464" s="62"/>
      <c r="Z464" s="62"/>
    </row>
    <row r="465" ht="25.5" customHeight="1">
      <c r="A465" s="62"/>
      <c r="B465" s="62"/>
      <c r="C465" s="316"/>
      <c r="D465" s="62"/>
      <c r="E465" s="62"/>
      <c r="F465" s="62"/>
      <c r="G465" s="316"/>
      <c r="H465" s="62"/>
      <c r="I465" s="316"/>
      <c r="J465" s="62"/>
      <c r="K465" s="62"/>
      <c r="L465" s="62"/>
      <c r="M465" s="62"/>
      <c r="N465" s="62"/>
      <c r="O465" s="62"/>
      <c r="P465" s="62"/>
      <c r="Q465" s="62"/>
      <c r="R465" s="62"/>
      <c r="S465" s="62"/>
      <c r="T465" s="62"/>
      <c r="U465" s="62"/>
      <c r="V465" s="62"/>
      <c r="W465" s="62"/>
      <c r="X465" s="62"/>
      <c r="Y465" s="62"/>
      <c r="Z465" s="62"/>
    </row>
    <row r="466" ht="25.5" customHeight="1">
      <c r="A466" s="62"/>
      <c r="B466" s="62"/>
      <c r="C466" s="316"/>
      <c r="D466" s="62"/>
      <c r="E466" s="62"/>
      <c r="F466" s="62"/>
      <c r="G466" s="316"/>
      <c r="H466" s="62"/>
      <c r="I466" s="316"/>
      <c r="J466" s="62"/>
      <c r="K466" s="62"/>
      <c r="L466" s="62"/>
      <c r="M466" s="62"/>
      <c r="N466" s="62"/>
      <c r="O466" s="62"/>
      <c r="P466" s="62"/>
      <c r="Q466" s="62"/>
      <c r="R466" s="62"/>
      <c r="S466" s="62"/>
      <c r="T466" s="62"/>
      <c r="U466" s="62"/>
      <c r="V466" s="62"/>
      <c r="W466" s="62"/>
      <c r="X466" s="62"/>
      <c r="Y466" s="62"/>
      <c r="Z466" s="62"/>
    </row>
    <row r="467" ht="25.5" customHeight="1">
      <c r="A467" s="62"/>
      <c r="B467" s="62"/>
      <c r="C467" s="316"/>
      <c r="D467" s="62"/>
      <c r="E467" s="62"/>
      <c r="F467" s="62"/>
      <c r="G467" s="316"/>
      <c r="H467" s="62"/>
      <c r="I467" s="316"/>
      <c r="J467" s="62"/>
      <c r="K467" s="62"/>
      <c r="L467" s="62"/>
      <c r="M467" s="62"/>
      <c r="N467" s="62"/>
      <c r="O467" s="62"/>
      <c r="P467" s="62"/>
      <c r="Q467" s="62"/>
      <c r="R467" s="62"/>
      <c r="S467" s="62"/>
      <c r="T467" s="62"/>
      <c r="U467" s="62"/>
      <c r="V467" s="62"/>
      <c r="W467" s="62"/>
      <c r="X467" s="62"/>
      <c r="Y467" s="62"/>
      <c r="Z467" s="62"/>
    </row>
    <row r="468" ht="25.5" customHeight="1">
      <c r="A468" s="62"/>
      <c r="B468" s="62"/>
      <c r="C468" s="316"/>
      <c r="D468" s="62"/>
      <c r="E468" s="62"/>
      <c r="F468" s="62"/>
      <c r="G468" s="316"/>
      <c r="H468" s="62"/>
      <c r="I468" s="316"/>
      <c r="J468" s="62"/>
      <c r="K468" s="62"/>
      <c r="L468" s="62"/>
      <c r="M468" s="62"/>
      <c r="N468" s="62"/>
      <c r="O468" s="62"/>
      <c r="P468" s="62"/>
      <c r="Q468" s="62"/>
      <c r="R468" s="62"/>
      <c r="S468" s="62"/>
      <c r="T468" s="62"/>
      <c r="U468" s="62"/>
      <c r="V468" s="62"/>
      <c r="W468" s="62"/>
      <c r="X468" s="62"/>
      <c r="Y468" s="62"/>
      <c r="Z468" s="62"/>
    </row>
    <row r="469" ht="25.5" customHeight="1">
      <c r="A469" s="62"/>
      <c r="B469" s="62"/>
      <c r="C469" s="316"/>
      <c r="D469" s="62"/>
      <c r="E469" s="62"/>
      <c r="F469" s="62"/>
      <c r="G469" s="316"/>
      <c r="H469" s="62"/>
      <c r="I469" s="316"/>
      <c r="J469" s="62"/>
      <c r="K469" s="62"/>
      <c r="L469" s="62"/>
      <c r="M469" s="62"/>
      <c r="N469" s="62"/>
      <c r="O469" s="62"/>
      <c r="P469" s="62"/>
      <c r="Q469" s="62"/>
      <c r="R469" s="62"/>
      <c r="S469" s="62"/>
      <c r="T469" s="62"/>
      <c r="U469" s="62"/>
      <c r="V469" s="62"/>
      <c r="W469" s="62"/>
      <c r="X469" s="62"/>
      <c r="Y469" s="62"/>
      <c r="Z469" s="62"/>
    </row>
    <row r="470" ht="25.5" customHeight="1">
      <c r="A470" s="62"/>
      <c r="B470" s="62"/>
      <c r="C470" s="316"/>
      <c r="D470" s="62"/>
      <c r="E470" s="62"/>
      <c r="F470" s="62"/>
      <c r="G470" s="316"/>
      <c r="H470" s="62"/>
      <c r="I470" s="316"/>
      <c r="J470" s="62"/>
      <c r="K470" s="62"/>
      <c r="L470" s="62"/>
      <c r="M470" s="62"/>
      <c r="N470" s="62"/>
      <c r="O470" s="62"/>
      <c r="P470" s="62"/>
      <c r="Q470" s="62"/>
      <c r="R470" s="62"/>
      <c r="S470" s="62"/>
      <c r="T470" s="62"/>
      <c r="U470" s="62"/>
      <c r="V470" s="62"/>
      <c r="W470" s="62"/>
      <c r="X470" s="62"/>
      <c r="Y470" s="62"/>
      <c r="Z470" s="62"/>
    </row>
    <row r="471" ht="25.5" customHeight="1">
      <c r="A471" s="62"/>
      <c r="B471" s="62"/>
      <c r="C471" s="316"/>
      <c r="D471" s="62"/>
      <c r="E471" s="62"/>
      <c r="F471" s="62"/>
      <c r="G471" s="316"/>
      <c r="H471" s="62"/>
      <c r="I471" s="316"/>
      <c r="J471" s="62"/>
      <c r="K471" s="62"/>
      <c r="L471" s="62"/>
      <c r="M471" s="62"/>
      <c r="N471" s="62"/>
      <c r="O471" s="62"/>
      <c r="P471" s="62"/>
      <c r="Q471" s="62"/>
      <c r="R471" s="62"/>
      <c r="S471" s="62"/>
      <c r="T471" s="62"/>
      <c r="U471" s="62"/>
      <c r="V471" s="62"/>
      <c r="W471" s="62"/>
      <c r="X471" s="62"/>
      <c r="Y471" s="62"/>
      <c r="Z471" s="62"/>
    </row>
    <row r="472" ht="25.5" customHeight="1">
      <c r="A472" s="62"/>
      <c r="B472" s="62"/>
      <c r="C472" s="316"/>
      <c r="D472" s="62"/>
      <c r="E472" s="62"/>
      <c r="F472" s="62"/>
      <c r="G472" s="316"/>
      <c r="H472" s="62"/>
      <c r="I472" s="316"/>
      <c r="J472" s="62"/>
      <c r="K472" s="62"/>
      <c r="L472" s="62"/>
      <c r="M472" s="62"/>
      <c r="N472" s="62"/>
      <c r="O472" s="62"/>
      <c r="P472" s="62"/>
      <c r="Q472" s="62"/>
      <c r="R472" s="62"/>
      <c r="S472" s="62"/>
      <c r="T472" s="62"/>
      <c r="U472" s="62"/>
      <c r="V472" s="62"/>
      <c r="W472" s="62"/>
      <c r="X472" s="62"/>
      <c r="Y472" s="62"/>
      <c r="Z472" s="62"/>
    </row>
    <row r="473" ht="25.5" customHeight="1">
      <c r="A473" s="62"/>
      <c r="B473" s="62"/>
      <c r="C473" s="316"/>
      <c r="D473" s="62"/>
      <c r="E473" s="62"/>
      <c r="F473" s="62"/>
      <c r="G473" s="316"/>
      <c r="H473" s="62"/>
      <c r="I473" s="316"/>
      <c r="J473" s="62"/>
      <c r="K473" s="62"/>
      <c r="L473" s="62"/>
      <c r="M473" s="62"/>
      <c r="N473" s="62"/>
      <c r="O473" s="62"/>
      <c r="P473" s="62"/>
      <c r="Q473" s="62"/>
      <c r="R473" s="62"/>
      <c r="S473" s="62"/>
      <c r="T473" s="62"/>
      <c r="U473" s="62"/>
      <c r="V473" s="62"/>
      <c r="W473" s="62"/>
      <c r="X473" s="62"/>
      <c r="Y473" s="62"/>
      <c r="Z473" s="62"/>
    </row>
    <row r="474" ht="25.5" customHeight="1">
      <c r="A474" s="62"/>
      <c r="B474" s="62"/>
      <c r="C474" s="316"/>
      <c r="D474" s="62"/>
      <c r="E474" s="62"/>
      <c r="F474" s="62"/>
      <c r="G474" s="316"/>
      <c r="H474" s="62"/>
      <c r="I474" s="316"/>
      <c r="J474" s="62"/>
      <c r="K474" s="62"/>
      <c r="L474" s="62"/>
      <c r="M474" s="62"/>
      <c r="N474" s="62"/>
      <c r="O474" s="62"/>
      <c r="P474" s="62"/>
      <c r="Q474" s="62"/>
      <c r="R474" s="62"/>
      <c r="S474" s="62"/>
      <c r="T474" s="62"/>
      <c r="U474" s="62"/>
      <c r="V474" s="62"/>
      <c r="W474" s="62"/>
      <c r="X474" s="62"/>
      <c r="Y474" s="62"/>
      <c r="Z474" s="62"/>
    </row>
    <row r="475" ht="25.5" customHeight="1">
      <c r="A475" s="62"/>
      <c r="B475" s="62"/>
      <c r="C475" s="316"/>
      <c r="D475" s="62"/>
      <c r="E475" s="62"/>
      <c r="F475" s="62"/>
      <c r="G475" s="316"/>
      <c r="H475" s="62"/>
      <c r="I475" s="316"/>
      <c r="J475" s="62"/>
      <c r="K475" s="62"/>
      <c r="L475" s="62"/>
      <c r="M475" s="62"/>
      <c r="N475" s="62"/>
      <c r="O475" s="62"/>
      <c r="P475" s="62"/>
      <c r="Q475" s="62"/>
      <c r="R475" s="62"/>
      <c r="S475" s="62"/>
      <c r="T475" s="62"/>
      <c r="U475" s="62"/>
      <c r="V475" s="62"/>
      <c r="W475" s="62"/>
      <c r="X475" s="62"/>
      <c r="Y475" s="62"/>
      <c r="Z475" s="62"/>
    </row>
    <row r="476" ht="25.5" customHeight="1">
      <c r="A476" s="62"/>
      <c r="B476" s="62"/>
      <c r="C476" s="316"/>
      <c r="D476" s="62"/>
      <c r="E476" s="62"/>
      <c r="F476" s="62"/>
      <c r="G476" s="316"/>
      <c r="H476" s="62"/>
      <c r="I476" s="316"/>
      <c r="J476" s="62"/>
      <c r="K476" s="62"/>
      <c r="L476" s="62"/>
      <c r="M476" s="62"/>
      <c r="N476" s="62"/>
      <c r="O476" s="62"/>
      <c r="P476" s="62"/>
      <c r="Q476" s="62"/>
      <c r="R476" s="62"/>
      <c r="S476" s="62"/>
      <c r="T476" s="62"/>
      <c r="U476" s="62"/>
      <c r="V476" s="62"/>
      <c r="W476" s="62"/>
      <c r="X476" s="62"/>
      <c r="Y476" s="62"/>
      <c r="Z476" s="62"/>
    </row>
    <row r="477" ht="25.5" customHeight="1">
      <c r="A477" s="62"/>
      <c r="B477" s="62"/>
      <c r="C477" s="316"/>
      <c r="D477" s="62"/>
      <c r="E477" s="62"/>
      <c r="F477" s="62"/>
      <c r="G477" s="316"/>
      <c r="H477" s="62"/>
      <c r="I477" s="316"/>
      <c r="J477" s="62"/>
      <c r="K477" s="62"/>
      <c r="L477" s="62"/>
      <c r="M477" s="62"/>
      <c r="N477" s="62"/>
      <c r="O477" s="62"/>
      <c r="P477" s="62"/>
      <c r="Q477" s="62"/>
      <c r="R477" s="62"/>
      <c r="S477" s="62"/>
      <c r="T477" s="62"/>
      <c r="U477" s="62"/>
      <c r="V477" s="62"/>
      <c r="W477" s="62"/>
      <c r="X477" s="62"/>
      <c r="Y477" s="62"/>
      <c r="Z477" s="62"/>
    </row>
    <row r="478" ht="25.5" customHeight="1">
      <c r="A478" s="62"/>
      <c r="B478" s="62"/>
      <c r="C478" s="316"/>
      <c r="D478" s="62"/>
      <c r="E478" s="62"/>
      <c r="F478" s="62"/>
      <c r="G478" s="316"/>
      <c r="H478" s="62"/>
      <c r="I478" s="316"/>
      <c r="J478" s="62"/>
      <c r="K478" s="62"/>
      <c r="L478" s="62"/>
      <c r="M478" s="62"/>
      <c r="N478" s="62"/>
      <c r="O478" s="62"/>
      <c r="P478" s="62"/>
      <c r="Q478" s="62"/>
      <c r="R478" s="62"/>
      <c r="S478" s="62"/>
      <c r="T478" s="62"/>
      <c r="U478" s="62"/>
      <c r="V478" s="62"/>
      <c r="W478" s="62"/>
      <c r="X478" s="62"/>
      <c r="Y478" s="62"/>
      <c r="Z478" s="62"/>
    </row>
    <row r="479" ht="25.5" customHeight="1">
      <c r="A479" s="62"/>
      <c r="B479" s="62"/>
      <c r="C479" s="316"/>
      <c r="D479" s="62"/>
      <c r="E479" s="62"/>
      <c r="F479" s="62"/>
      <c r="G479" s="316"/>
      <c r="H479" s="62"/>
      <c r="I479" s="316"/>
      <c r="J479" s="62"/>
      <c r="K479" s="62"/>
      <c r="L479" s="62"/>
      <c r="M479" s="62"/>
      <c r="N479" s="62"/>
      <c r="O479" s="62"/>
      <c r="P479" s="62"/>
      <c r="Q479" s="62"/>
      <c r="R479" s="62"/>
      <c r="S479" s="62"/>
      <c r="T479" s="62"/>
      <c r="U479" s="62"/>
      <c r="V479" s="62"/>
      <c r="W479" s="62"/>
      <c r="X479" s="62"/>
      <c r="Y479" s="62"/>
      <c r="Z479" s="62"/>
    </row>
    <row r="480" ht="25.5" customHeight="1">
      <c r="A480" s="62"/>
      <c r="B480" s="62"/>
      <c r="C480" s="316"/>
      <c r="D480" s="62"/>
      <c r="E480" s="62"/>
      <c r="F480" s="62"/>
      <c r="G480" s="316"/>
      <c r="H480" s="62"/>
      <c r="I480" s="316"/>
      <c r="J480" s="62"/>
      <c r="K480" s="62"/>
      <c r="L480" s="62"/>
      <c r="M480" s="62"/>
      <c r="N480" s="62"/>
      <c r="O480" s="62"/>
      <c r="P480" s="62"/>
      <c r="Q480" s="62"/>
      <c r="R480" s="62"/>
      <c r="S480" s="62"/>
      <c r="T480" s="62"/>
      <c r="U480" s="62"/>
      <c r="V480" s="62"/>
      <c r="W480" s="62"/>
      <c r="X480" s="62"/>
      <c r="Y480" s="62"/>
      <c r="Z480" s="62"/>
    </row>
    <row r="481" ht="25.5" customHeight="1">
      <c r="A481" s="62"/>
      <c r="B481" s="62"/>
      <c r="C481" s="316"/>
      <c r="D481" s="62"/>
      <c r="E481" s="62"/>
      <c r="F481" s="62"/>
      <c r="G481" s="316"/>
      <c r="H481" s="62"/>
      <c r="I481" s="316"/>
      <c r="J481" s="62"/>
      <c r="K481" s="62"/>
      <c r="L481" s="62"/>
      <c r="M481" s="62"/>
      <c r="N481" s="62"/>
      <c r="O481" s="62"/>
      <c r="P481" s="62"/>
      <c r="Q481" s="62"/>
      <c r="R481" s="62"/>
      <c r="S481" s="62"/>
      <c r="T481" s="62"/>
      <c r="U481" s="62"/>
      <c r="V481" s="62"/>
      <c r="W481" s="62"/>
      <c r="X481" s="62"/>
      <c r="Y481" s="62"/>
      <c r="Z481" s="62"/>
    </row>
    <row r="482" ht="25.5" customHeight="1">
      <c r="A482" s="62"/>
      <c r="B482" s="62"/>
      <c r="C482" s="316"/>
      <c r="D482" s="62"/>
      <c r="E482" s="62"/>
      <c r="F482" s="62"/>
      <c r="G482" s="316"/>
      <c r="H482" s="62"/>
      <c r="I482" s="316"/>
      <c r="J482" s="62"/>
      <c r="K482" s="62"/>
      <c r="L482" s="62"/>
      <c r="M482" s="62"/>
      <c r="N482" s="62"/>
      <c r="O482" s="62"/>
      <c r="P482" s="62"/>
      <c r="Q482" s="62"/>
      <c r="R482" s="62"/>
      <c r="S482" s="62"/>
      <c r="T482" s="62"/>
      <c r="U482" s="62"/>
      <c r="V482" s="62"/>
      <c r="W482" s="62"/>
      <c r="X482" s="62"/>
      <c r="Y482" s="62"/>
      <c r="Z482" s="62"/>
    </row>
    <row r="483" ht="25.5" customHeight="1">
      <c r="A483" s="62"/>
      <c r="B483" s="62"/>
      <c r="C483" s="316"/>
      <c r="D483" s="62"/>
      <c r="E483" s="62"/>
      <c r="F483" s="62"/>
      <c r="G483" s="316"/>
      <c r="H483" s="62"/>
      <c r="I483" s="316"/>
      <c r="J483" s="62"/>
      <c r="K483" s="62"/>
      <c r="L483" s="62"/>
      <c r="M483" s="62"/>
      <c r="N483" s="62"/>
      <c r="O483" s="62"/>
      <c r="P483" s="62"/>
      <c r="Q483" s="62"/>
      <c r="R483" s="62"/>
      <c r="S483" s="62"/>
      <c r="T483" s="62"/>
      <c r="U483" s="62"/>
      <c r="V483" s="62"/>
      <c r="W483" s="62"/>
      <c r="X483" s="62"/>
      <c r="Y483" s="62"/>
      <c r="Z483" s="62"/>
    </row>
    <row r="484" ht="25.5" customHeight="1">
      <c r="A484" s="62"/>
      <c r="B484" s="62"/>
      <c r="C484" s="316"/>
      <c r="D484" s="62"/>
      <c r="E484" s="62"/>
      <c r="F484" s="62"/>
      <c r="G484" s="316"/>
      <c r="H484" s="62"/>
      <c r="I484" s="316"/>
      <c r="J484" s="62"/>
      <c r="K484" s="62"/>
      <c r="L484" s="62"/>
      <c r="M484" s="62"/>
      <c r="N484" s="62"/>
      <c r="O484" s="62"/>
      <c r="P484" s="62"/>
      <c r="Q484" s="62"/>
      <c r="R484" s="62"/>
      <c r="S484" s="62"/>
      <c r="T484" s="62"/>
      <c r="U484" s="62"/>
      <c r="V484" s="62"/>
      <c r="W484" s="62"/>
      <c r="X484" s="62"/>
      <c r="Y484" s="62"/>
      <c r="Z484" s="62"/>
    </row>
    <row r="485" ht="25.5" customHeight="1">
      <c r="A485" s="62"/>
      <c r="B485" s="62"/>
      <c r="C485" s="316"/>
      <c r="D485" s="62"/>
      <c r="E485" s="62"/>
      <c r="F485" s="62"/>
      <c r="G485" s="316"/>
      <c r="H485" s="62"/>
      <c r="I485" s="316"/>
      <c r="J485" s="62"/>
      <c r="K485" s="62"/>
      <c r="L485" s="62"/>
      <c r="M485" s="62"/>
      <c r="N485" s="62"/>
      <c r="O485" s="62"/>
      <c r="P485" s="62"/>
      <c r="Q485" s="62"/>
      <c r="R485" s="62"/>
      <c r="S485" s="62"/>
      <c r="T485" s="62"/>
      <c r="U485" s="62"/>
      <c r="V485" s="62"/>
      <c r="W485" s="62"/>
      <c r="X485" s="62"/>
      <c r="Y485" s="62"/>
      <c r="Z485" s="62"/>
    </row>
    <row r="486" ht="25.5" customHeight="1">
      <c r="A486" s="62"/>
      <c r="B486" s="62"/>
      <c r="C486" s="316"/>
      <c r="D486" s="62"/>
      <c r="E486" s="62"/>
      <c r="F486" s="62"/>
      <c r="G486" s="316"/>
      <c r="H486" s="62"/>
      <c r="I486" s="316"/>
      <c r="J486" s="62"/>
      <c r="K486" s="62"/>
      <c r="L486" s="62"/>
      <c r="M486" s="62"/>
      <c r="N486" s="62"/>
      <c r="O486" s="62"/>
      <c r="P486" s="62"/>
      <c r="Q486" s="62"/>
      <c r="R486" s="62"/>
      <c r="S486" s="62"/>
      <c r="T486" s="62"/>
      <c r="U486" s="62"/>
      <c r="V486" s="62"/>
      <c r="W486" s="62"/>
      <c r="X486" s="62"/>
      <c r="Y486" s="62"/>
      <c r="Z486" s="62"/>
    </row>
    <row r="487" ht="25.5" customHeight="1">
      <c r="A487" s="62"/>
      <c r="B487" s="62"/>
      <c r="C487" s="316"/>
      <c r="D487" s="62"/>
      <c r="E487" s="62"/>
      <c r="F487" s="62"/>
      <c r="G487" s="316"/>
      <c r="H487" s="62"/>
      <c r="I487" s="316"/>
      <c r="J487" s="62"/>
      <c r="K487" s="62"/>
      <c r="L487" s="62"/>
      <c r="M487" s="62"/>
      <c r="N487" s="62"/>
      <c r="O487" s="62"/>
      <c r="P487" s="62"/>
      <c r="Q487" s="62"/>
      <c r="R487" s="62"/>
      <c r="S487" s="62"/>
      <c r="T487" s="62"/>
      <c r="U487" s="62"/>
      <c r="V487" s="62"/>
      <c r="W487" s="62"/>
      <c r="X487" s="62"/>
      <c r="Y487" s="62"/>
      <c r="Z487" s="62"/>
    </row>
    <row r="488" ht="25.5" customHeight="1">
      <c r="A488" s="62"/>
      <c r="B488" s="62"/>
      <c r="C488" s="316"/>
      <c r="D488" s="62"/>
      <c r="E488" s="62"/>
      <c r="F488" s="62"/>
      <c r="G488" s="316"/>
      <c r="H488" s="62"/>
      <c r="I488" s="316"/>
      <c r="J488" s="62"/>
      <c r="K488" s="62"/>
      <c r="L488" s="62"/>
      <c r="M488" s="62"/>
      <c r="N488" s="62"/>
      <c r="O488" s="62"/>
      <c r="P488" s="62"/>
      <c r="Q488" s="62"/>
      <c r="R488" s="62"/>
      <c r="S488" s="62"/>
      <c r="T488" s="62"/>
      <c r="U488" s="62"/>
      <c r="V488" s="62"/>
      <c r="W488" s="62"/>
      <c r="X488" s="62"/>
      <c r="Y488" s="62"/>
      <c r="Z488" s="62"/>
    </row>
    <row r="489" ht="25.5" customHeight="1">
      <c r="A489" s="62"/>
      <c r="B489" s="62"/>
      <c r="C489" s="316"/>
      <c r="D489" s="62"/>
      <c r="E489" s="62"/>
      <c r="F489" s="62"/>
      <c r="G489" s="316"/>
      <c r="H489" s="62"/>
      <c r="I489" s="316"/>
      <c r="J489" s="62"/>
      <c r="K489" s="62"/>
      <c r="L489" s="62"/>
      <c r="M489" s="62"/>
      <c r="N489" s="62"/>
      <c r="O489" s="62"/>
      <c r="P489" s="62"/>
      <c r="Q489" s="62"/>
      <c r="R489" s="62"/>
      <c r="S489" s="62"/>
      <c r="T489" s="62"/>
      <c r="U489" s="62"/>
      <c r="V489" s="62"/>
      <c r="W489" s="62"/>
      <c r="X489" s="62"/>
      <c r="Y489" s="62"/>
      <c r="Z489" s="62"/>
    </row>
    <row r="490" ht="25.5" customHeight="1">
      <c r="A490" s="62"/>
      <c r="B490" s="62"/>
      <c r="C490" s="316"/>
      <c r="D490" s="62"/>
      <c r="E490" s="62"/>
      <c r="F490" s="62"/>
      <c r="G490" s="316"/>
      <c r="H490" s="62"/>
      <c r="I490" s="316"/>
      <c r="J490" s="62"/>
      <c r="K490" s="62"/>
      <c r="L490" s="62"/>
      <c r="M490" s="62"/>
      <c r="N490" s="62"/>
      <c r="O490" s="62"/>
      <c r="P490" s="62"/>
      <c r="Q490" s="62"/>
      <c r="R490" s="62"/>
      <c r="S490" s="62"/>
      <c r="T490" s="62"/>
      <c r="U490" s="62"/>
      <c r="V490" s="62"/>
      <c r="W490" s="62"/>
      <c r="X490" s="62"/>
      <c r="Y490" s="62"/>
      <c r="Z490" s="62"/>
    </row>
    <row r="491" ht="25.5" customHeight="1">
      <c r="A491" s="62"/>
      <c r="B491" s="62"/>
      <c r="C491" s="316"/>
      <c r="D491" s="62"/>
      <c r="E491" s="62"/>
      <c r="F491" s="62"/>
      <c r="G491" s="316"/>
      <c r="H491" s="62"/>
      <c r="I491" s="316"/>
      <c r="J491" s="62"/>
      <c r="K491" s="62"/>
      <c r="L491" s="62"/>
      <c r="M491" s="62"/>
      <c r="N491" s="62"/>
      <c r="O491" s="62"/>
      <c r="P491" s="62"/>
      <c r="Q491" s="62"/>
      <c r="R491" s="62"/>
      <c r="S491" s="62"/>
      <c r="T491" s="62"/>
      <c r="U491" s="62"/>
      <c r="V491" s="62"/>
      <c r="W491" s="62"/>
      <c r="X491" s="62"/>
      <c r="Y491" s="62"/>
      <c r="Z491" s="62"/>
    </row>
    <row r="492" ht="25.5" customHeight="1">
      <c r="A492" s="62"/>
      <c r="B492" s="62"/>
      <c r="C492" s="316"/>
      <c r="D492" s="62"/>
      <c r="E492" s="62"/>
      <c r="F492" s="62"/>
      <c r="G492" s="316"/>
      <c r="H492" s="62"/>
      <c r="I492" s="316"/>
      <c r="J492" s="62"/>
      <c r="K492" s="62"/>
      <c r="L492" s="62"/>
      <c r="M492" s="62"/>
      <c r="N492" s="62"/>
      <c r="O492" s="62"/>
      <c r="P492" s="62"/>
      <c r="Q492" s="62"/>
      <c r="R492" s="62"/>
      <c r="S492" s="62"/>
      <c r="T492" s="62"/>
      <c r="U492" s="62"/>
      <c r="V492" s="62"/>
      <c r="W492" s="62"/>
      <c r="X492" s="62"/>
      <c r="Y492" s="62"/>
      <c r="Z492" s="62"/>
    </row>
    <row r="493" ht="25.5" customHeight="1">
      <c r="A493" s="62"/>
      <c r="B493" s="62"/>
      <c r="C493" s="316"/>
      <c r="D493" s="62"/>
      <c r="E493" s="62"/>
      <c r="F493" s="62"/>
      <c r="G493" s="316"/>
      <c r="H493" s="62"/>
      <c r="I493" s="316"/>
      <c r="J493" s="62"/>
      <c r="K493" s="62"/>
      <c r="L493" s="62"/>
      <c r="M493" s="62"/>
      <c r="N493" s="62"/>
      <c r="O493" s="62"/>
      <c r="P493" s="62"/>
      <c r="Q493" s="62"/>
      <c r="R493" s="62"/>
      <c r="S493" s="62"/>
      <c r="T493" s="62"/>
      <c r="U493" s="62"/>
      <c r="V493" s="62"/>
      <c r="W493" s="62"/>
      <c r="X493" s="62"/>
      <c r="Y493" s="62"/>
      <c r="Z493" s="62"/>
    </row>
    <row r="494" ht="25.5" customHeight="1">
      <c r="A494" s="62"/>
      <c r="B494" s="62"/>
      <c r="C494" s="316"/>
      <c r="D494" s="62"/>
      <c r="E494" s="62"/>
      <c r="F494" s="62"/>
      <c r="G494" s="316"/>
      <c r="H494" s="62"/>
      <c r="I494" s="316"/>
      <c r="J494" s="62"/>
      <c r="K494" s="62"/>
      <c r="L494" s="62"/>
      <c r="M494" s="62"/>
      <c r="N494" s="62"/>
      <c r="O494" s="62"/>
      <c r="P494" s="62"/>
      <c r="Q494" s="62"/>
      <c r="R494" s="62"/>
      <c r="S494" s="62"/>
      <c r="T494" s="62"/>
      <c r="U494" s="62"/>
      <c r="V494" s="62"/>
      <c r="W494" s="62"/>
      <c r="X494" s="62"/>
      <c r="Y494" s="62"/>
      <c r="Z494" s="62"/>
    </row>
    <row r="495" ht="25.5" customHeight="1">
      <c r="A495" s="62"/>
      <c r="B495" s="62"/>
      <c r="C495" s="316"/>
      <c r="D495" s="62"/>
      <c r="E495" s="62"/>
      <c r="F495" s="62"/>
      <c r="G495" s="316"/>
      <c r="H495" s="62"/>
      <c r="I495" s="316"/>
      <c r="J495" s="62"/>
      <c r="K495" s="62"/>
      <c r="L495" s="62"/>
      <c r="M495" s="62"/>
      <c r="N495" s="62"/>
      <c r="O495" s="62"/>
      <c r="P495" s="62"/>
      <c r="Q495" s="62"/>
      <c r="R495" s="62"/>
      <c r="S495" s="62"/>
      <c r="T495" s="62"/>
      <c r="U495" s="62"/>
      <c r="V495" s="62"/>
      <c r="W495" s="62"/>
      <c r="X495" s="62"/>
      <c r="Y495" s="62"/>
      <c r="Z495" s="62"/>
    </row>
    <row r="496" ht="25.5" customHeight="1">
      <c r="A496" s="62"/>
      <c r="B496" s="62"/>
      <c r="C496" s="316"/>
      <c r="D496" s="62"/>
      <c r="E496" s="62"/>
      <c r="F496" s="62"/>
      <c r="G496" s="316"/>
      <c r="H496" s="62"/>
      <c r="I496" s="316"/>
      <c r="J496" s="62"/>
      <c r="K496" s="62"/>
      <c r="L496" s="62"/>
      <c r="M496" s="62"/>
      <c r="N496" s="62"/>
      <c r="O496" s="62"/>
      <c r="P496" s="62"/>
      <c r="Q496" s="62"/>
      <c r="R496" s="62"/>
      <c r="S496" s="62"/>
      <c r="T496" s="62"/>
      <c r="U496" s="62"/>
      <c r="V496" s="62"/>
      <c r="W496" s="62"/>
      <c r="X496" s="62"/>
      <c r="Y496" s="62"/>
      <c r="Z496" s="62"/>
    </row>
    <row r="497" ht="25.5" customHeight="1">
      <c r="A497" s="62"/>
      <c r="B497" s="62"/>
      <c r="C497" s="316"/>
      <c r="D497" s="62"/>
      <c r="E497" s="62"/>
      <c r="F497" s="62"/>
      <c r="G497" s="316"/>
      <c r="H497" s="62"/>
      <c r="I497" s="316"/>
      <c r="J497" s="62"/>
      <c r="K497" s="62"/>
      <c r="L497" s="62"/>
      <c r="M497" s="62"/>
      <c r="N497" s="62"/>
      <c r="O497" s="62"/>
      <c r="P497" s="62"/>
      <c r="Q497" s="62"/>
      <c r="R497" s="62"/>
      <c r="S497" s="62"/>
      <c r="T497" s="62"/>
      <c r="U497" s="62"/>
      <c r="V497" s="62"/>
      <c r="W497" s="62"/>
      <c r="X497" s="62"/>
      <c r="Y497" s="62"/>
      <c r="Z497" s="62"/>
    </row>
    <row r="498" ht="25.5" customHeight="1">
      <c r="A498" s="62"/>
      <c r="B498" s="62"/>
      <c r="C498" s="316"/>
      <c r="D498" s="62"/>
      <c r="E498" s="62"/>
      <c r="F498" s="62"/>
      <c r="G498" s="316"/>
      <c r="H498" s="62"/>
      <c r="I498" s="316"/>
      <c r="J498" s="62"/>
      <c r="K498" s="62"/>
      <c r="L498" s="62"/>
      <c r="M498" s="62"/>
      <c r="N498" s="62"/>
      <c r="O498" s="62"/>
      <c r="P498" s="62"/>
      <c r="Q498" s="62"/>
      <c r="R498" s="62"/>
      <c r="S498" s="62"/>
      <c r="T498" s="62"/>
      <c r="U498" s="62"/>
      <c r="V498" s="62"/>
      <c r="W498" s="62"/>
      <c r="X498" s="62"/>
      <c r="Y498" s="62"/>
      <c r="Z498" s="62"/>
    </row>
    <row r="499" ht="25.5" customHeight="1">
      <c r="A499" s="62"/>
      <c r="B499" s="62"/>
      <c r="C499" s="316"/>
      <c r="D499" s="62"/>
      <c r="E499" s="62"/>
      <c r="F499" s="62"/>
      <c r="G499" s="316"/>
      <c r="H499" s="62"/>
      <c r="I499" s="316"/>
      <c r="J499" s="62"/>
      <c r="K499" s="62"/>
      <c r="L499" s="62"/>
      <c r="M499" s="62"/>
      <c r="N499" s="62"/>
      <c r="O499" s="62"/>
      <c r="P499" s="62"/>
      <c r="Q499" s="62"/>
      <c r="R499" s="62"/>
      <c r="S499" s="62"/>
      <c r="T499" s="62"/>
      <c r="U499" s="62"/>
      <c r="V499" s="62"/>
      <c r="W499" s="62"/>
      <c r="X499" s="62"/>
      <c r="Y499" s="62"/>
      <c r="Z499" s="62"/>
    </row>
    <row r="500" ht="25.5" customHeight="1">
      <c r="A500" s="62"/>
      <c r="B500" s="62"/>
      <c r="C500" s="316"/>
      <c r="D500" s="62"/>
      <c r="E500" s="62"/>
      <c r="F500" s="62"/>
      <c r="G500" s="316"/>
      <c r="H500" s="62"/>
      <c r="I500" s="316"/>
      <c r="J500" s="62"/>
      <c r="K500" s="62"/>
      <c r="L500" s="62"/>
      <c r="M500" s="62"/>
      <c r="N500" s="62"/>
      <c r="O500" s="62"/>
      <c r="P500" s="62"/>
      <c r="Q500" s="62"/>
      <c r="R500" s="62"/>
      <c r="S500" s="62"/>
      <c r="T500" s="62"/>
      <c r="U500" s="62"/>
      <c r="V500" s="62"/>
      <c r="W500" s="62"/>
      <c r="X500" s="62"/>
      <c r="Y500" s="62"/>
      <c r="Z500" s="62"/>
    </row>
    <row r="501" ht="25.5" customHeight="1">
      <c r="A501" s="62"/>
      <c r="B501" s="62"/>
      <c r="C501" s="316"/>
      <c r="D501" s="62"/>
      <c r="E501" s="62"/>
      <c r="F501" s="62"/>
      <c r="G501" s="316"/>
      <c r="H501" s="62"/>
      <c r="I501" s="316"/>
      <c r="J501" s="62"/>
      <c r="K501" s="62"/>
      <c r="L501" s="62"/>
      <c r="M501" s="62"/>
      <c r="N501" s="62"/>
      <c r="O501" s="62"/>
      <c r="P501" s="62"/>
      <c r="Q501" s="62"/>
      <c r="R501" s="62"/>
      <c r="S501" s="62"/>
      <c r="T501" s="62"/>
      <c r="U501" s="62"/>
      <c r="V501" s="62"/>
      <c r="W501" s="62"/>
      <c r="X501" s="62"/>
      <c r="Y501" s="62"/>
      <c r="Z501" s="62"/>
    </row>
    <row r="502" ht="25.5" customHeight="1">
      <c r="A502" s="62"/>
      <c r="B502" s="62"/>
      <c r="C502" s="316"/>
      <c r="D502" s="62"/>
      <c r="E502" s="62"/>
      <c r="F502" s="62"/>
      <c r="G502" s="316"/>
      <c r="H502" s="62"/>
      <c r="I502" s="316"/>
      <c r="J502" s="62"/>
      <c r="K502" s="62"/>
      <c r="L502" s="62"/>
      <c r="M502" s="62"/>
      <c r="N502" s="62"/>
      <c r="O502" s="62"/>
      <c r="P502" s="62"/>
      <c r="Q502" s="62"/>
      <c r="R502" s="62"/>
      <c r="S502" s="62"/>
      <c r="T502" s="62"/>
      <c r="U502" s="62"/>
      <c r="V502" s="62"/>
      <c r="W502" s="62"/>
      <c r="X502" s="62"/>
      <c r="Y502" s="62"/>
      <c r="Z502" s="62"/>
    </row>
    <row r="503" ht="25.5" customHeight="1">
      <c r="A503" s="62"/>
      <c r="B503" s="62"/>
      <c r="C503" s="316"/>
      <c r="D503" s="62"/>
      <c r="E503" s="62"/>
      <c r="F503" s="62"/>
      <c r="G503" s="316"/>
      <c r="H503" s="62"/>
      <c r="I503" s="316"/>
      <c r="J503" s="62"/>
      <c r="K503" s="62"/>
      <c r="L503" s="62"/>
      <c r="M503" s="62"/>
      <c r="N503" s="62"/>
      <c r="O503" s="62"/>
      <c r="P503" s="62"/>
      <c r="Q503" s="62"/>
      <c r="R503" s="62"/>
      <c r="S503" s="62"/>
      <c r="T503" s="62"/>
      <c r="U503" s="62"/>
      <c r="V503" s="62"/>
      <c r="W503" s="62"/>
      <c r="X503" s="62"/>
      <c r="Y503" s="62"/>
      <c r="Z503" s="62"/>
    </row>
    <row r="504" ht="25.5" customHeight="1">
      <c r="A504" s="62"/>
      <c r="B504" s="62"/>
      <c r="C504" s="316"/>
      <c r="D504" s="62"/>
      <c r="E504" s="62"/>
      <c r="F504" s="62"/>
      <c r="G504" s="316"/>
      <c r="H504" s="62"/>
      <c r="I504" s="316"/>
      <c r="J504" s="62"/>
      <c r="K504" s="62"/>
      <c r="L504" s="62"/>
      <c r="M504" s="62"/>
      <c r="N504" s="62"/>
      <c r="O504" s="62"/>
      <c r="P504" s="62"/>
      <c r="Q504" s="62"/>
      <c r="R504" s="62"/>
      <c r="S504" s="62"/>
      <c r="T504" s="62"/>
      <c r="U504" s="62"/>
      <c r="V504" s="62"/>
      <c r="W504" s="62"/>
      <c r="X504" s="62"/>
      <c r="Y504" s="62"/>
      <c r="Z504" s="62"/>
    </row>
    <row r="505" ht="25.5" customHeight="1">
      <c r="A505" s="62"/>
      <c r="B505" s="62"/>
      <c r="C505" s="316"/>
      <c r="D505" s="62"/>
      <c r="E505" s="62"/>
      <c r="F505" s="62"/>
      <c r="G505" s="316"/>
      <c r="H505" s="62"/>
      <c r="I505" s="316"/>
      <c r="J505" s="62"/>
      <c r="K505" s="62"/>
      <c r="L505" s="62"/>
      <c r="M505" s="62"/>
      <c r="N505" s="62"/>
      <c r="O505" s="62"/>
      <c r="P505" s="62"/>
      <c r="Q505" s="62"/>
      <c r="R505" s="62"/>
      <c r="S505" s="62"/>
      <c r="T505" s="62"/>
      <c r="U505" s="62"/>
      <c r="V505" s="62"/>
      <c r="W505" s="62"/>
      <c r="X505" s="62"/>
      <c r="Y505" s="62"/>
      <c r="Z505" s="62"/>
    </row>
    <row r="506" ht="25.5" customHeight="1">
      <c r="A506" s="62"/>
      <c r="B506" s="62"/>
      <c r="C506" s="316"/>
      <c r="D506" s="62"/>
      <c r="E506" s="62"/>
      <c r="F506" s="62"/>
      <c r="G506" s="316"/>
      <c r="H506" s="62"/>
      <c r="I506" s="316"/>
      <c r="J506" s="62"/>
      <c r="K506" s="62"/>
      <c r="L506" s="62"/>
      <c r="M506" s="62"/>
      <c r="N506" s="62"/>
      <c r="O506" s="62"/>
      <c r="P506" s="62"/>
      <c r="Q506" s="62"/>
      <c r="R506" s="62"/>
      <c r="S506" s="62"/>
      <c r="T506" s="62"/>
      <c r="U506" s="62"/>
      <c r="V506" s="62"/>
      <c r="W506" s="62"/>
      <c r="X506" s="62"/>
      <c r="Y506" s="62"/>
      <c r="Z506" s="62"/>
    </row>
    <row r="507" ht="25.5" customHeight="1">
      <c r="A507" s="62"/>
      <c r="B507" s="62"/>
      <c r="C507" s="316"/>
      <c r="D507" s="62"/>
      <c r="E507" s="62"/>
      <c r="F507" s="62"/>
      <c r="G507" s="316"/>
      <c r="H507" s="62"/>
      <c r="I507" s="316"/>
      <c r="J507" s="62"/>
      <c r="K507" s="62"/>
      <c r="L507" s="62"/>
      <c r="M507" s="62"/>
      <c r="N507" s="62"/>
      <c r="O507" s="62"/>
      <c r="P507" s="62"/>
      <c r="Q507" s="62"/>
      <c r="R507" s="62"/>
      <c r="S507" s="62"/>
      <c r="T507" s="62"/>
      <c r="U507" s="62"/>
      <c r="V507" s="62"/>
      <c r="W507" s="62"/>
      <c r="X507" s="62"/>
      <c r="Y507" s="62"/>
      <c r="Z507" s="62"/>
    </row>
    <row r="508" ht="25.5" customHeight="1">
      <c r="A508" s="62"/>
      <c r="B508" s="62"/>
      <c r="C508" s="316"/>
      <c r="D508" s="62"/>
      <c r="E508" s="62"/>
      <c r="F508" s="62"/>
      <c r="G508" s="316"/>
      <c r="H508" s="62"/>
      <c r="I508" s="316"/>
      <c r="J508" s="62"/>
      <c r="K508" s="62"/>
      <c r="L508" s="62"/>
      <c r="M508" s="62"/>
      <c r="N508" s="62"/>
      <c r="O508" s="62"/>
      <c r="P508" s="62"/>
      <c r="Q508" s="62"/>
      <c r="R508" s="62"/>
      <c r="S508" s="62"/>
      <c r="T508" s="62"/>
      <c r="U508" s="62"/>
      <c r="V508" s="62"/>
      <c r="W508" s="62"/>
      <c r="X508" s="62"/>
      <c r="Y508" s="62"/>
      <c r="Z508" s="62"/>
    </row>
    <row r="509" ht="25.5" customHeight="1">
      <c r="A509" s="62"/>
      <c r="B509" s="62"/>
      <c r="C509" s="316"/>
      <c r="D509" s="62"/>
      <c r="E509" s="62"/>
      <c r="F509" s="62"/>
      <c r="G509" s="316"/>
      <c r="H509" s="62"/>
      <c r="I509" s="316"/>
      <c r="J509" s="62"/>
      <c r="K509" s="62"/>
      <c r="L509" s="62"/>
      <c r="M509" s="62"/>
      <c r="N509" s="62"/>
      <c r="O509" s="62"/>
      <c r="P509" s="62"/>
      <c r="Q509" s="62"/>
      <c r="R509" s="62"/>
      <c r="S509" s="62"/>
      <c r="T509" s="62"/>
      <c r="U509" s="62"/>
      <c r="V509" s="62"/>
      <c r="W509" s="62"/>
      <c r="X509" s="62"/>
      <c r="Y509" s="62"/>
      <c r="Z509" s="62"/>
    </row>
    <row r="510" ht="25.5" customHeight="1">
      <c r="A510" s="62"/>
      <c r="B510" s="62"/>
      <c r="C510" s="316"/>
      <c r="D510" s="62"/>
      <c r="E510" s="62"/>
      <c r="F510" s="62"/>
      <c r="G510" s="316"/>
      <c r="H510" s="62"/>
      <c r="I510" s="316"/>
      <c r="J510" s="62"/>
      <c r="K510" s="62"/>
      <c r="L510" s="62"/>
      <c r="M510" s="62"/>
      <c r="N510" s="62"/>
      <c r="O510" s="62"/>
      <c r="P510" s="62"/>
      <c r="Q510" s="62"/>
      <c r="R510" s="62"/>
      <c r="S510" s="62"/>
      <c r="T510" s="62"/>
      <c r="U510" s="62"/>
      <c r="V510" s="62"/>
      <c r="W510" s="62"/>
      <c r="X510" s="62"/>
      <c r="Y510" s="62"/>
      <c r="Z510" s="62"/>
    </row>
    <row r="511" ht="25.5" customHeight="1">
      <c r="A511" s="62"/>
      <c r="B511" s="62"/>
      <c r="C511" s="316"/>
      <c r="D511" s="62"/>
      <c r="E511" s="62"/>
      <c r="F511" s="62"/>
      <c r="G511" s="316"/>
      <c r="H511" s="62"/>
      <c r="I511" s="316"/>
      <c r="J511" s="62"/>
      <c r="K511" s="62"/>
      <c r="L511" s="62"/>
      <c r="M511" s="62"/>
      <c r="N511" s="62"/>
      <c r="O511" s="62"/>
      <c r="P511" s="62"/>
      <c r="Q511" s="62"/>
      <c r="R511" s="62"/>
      <c r="S511" s="62"/>
      <c r="T511" s="62"/>
      <c r="U511" s="62"/>
      <c r="V511" s="62"/>
      <c r="W511" s="62"/>
      <c r="X511" s="62"/>
      <c r="Y511" s="62"/>
      <c r="Z511" s="62"/>
    </row>
    <row r="512" ht="25.5" customHeight="1">
      <c r="A512" s="62"/>
      <c r="B512" s="62"/>
      <c r="C512" s="316"/>
      <c r="D512" s="62"/>
      <c r="E512" s="62"/>
      <c r="F512" s="62"/>
      <c r="G512" s="316"/>
      <c r="H512" s="62"/>
      <c r="I512" s="316"/>
      <c r="J512" s="62"/>
      <c r="K512" s="62"/>
      <c r="L512" s="62"/>
      <c r="M512" s="62"/>
      <c r="N512" s="62"/>
      <c r="O512" s="62"/>
      <c r="P512" s="62"/>
      <c r="Q512" s="62"/>
      <c r="R512" s="62"/>
      <c r="S512" s="62"/>
      <c r="T512" s="62"/>
      <c r="U512" s="62"/>
      <c r="V512" s="62"/>
      <c r="W512" s="62"/>
      <c r="X512" s="62"/>
      <c r="Y512" s="62"/>
      <c r="Z512" s="62"/>
    </row>
    <row r="513" ht="25.5" customHeight="1">
      <c r="A513" s="62"/>
      <c r="B513" s="62"/>
      <c r="C513" s="316"/>
      <c r="D513" s="62"/>
      <c r="E513" s="62"/>
      <c r="F513" s="62"/>
      <c r="G513" s="316"/>
      <c r="H513" s="62"/>
      <c r="I513" s="316"/>
      <c r="J513" s="62"/>
      <c r="K513" s="62"/>
      <c r="L513" s="62"/>
      <c r="M513" s="62"/>
      <c r="N513" s="62"/>
      <c r="O513" s="62"/>
      <c r="P513" s="62"/>
      <c r="Q513" s="62"/>
      <c r="R513" s="62"/>
      <c r="S513" s="62"/>
      <c r="T513" s="62"/>
      <c r="U513" s="62"/>
      <c r="V513" s="62"/>
      <c r="W513" s="62"/>
      <c r="X513" s="62"/>
      <c r="Y513" s="62"/>
      <c r="Z513" s="62"/>
    </row>
    <row r="514" ht="25.5" customHeight="1">
      <c r="A514" s="62"/>
      <c r="B514" s="62"/>
      <c r="C514" s="316"/>
      <c r="D514" s="62"/>
      <c r="E514" s="62"/>
      <c r="F514" s="62"/>
      <c r="G514" s="316"/>
      <c r="H514" s="62"/>
      <c r="I514" s="316"/>
      <c r="J514" s="62"/>
      <c r="K514" s="62"/>
      <c r="L514" s="62"/>
      <c r="M514" s="62"/>
      <c r="N514" s="62"/>
      <c r="O514" s="62"/>
      <c r="P514" s="62"/>
      <c r="Q514" s="62"/>
      <c r="R514" s="62"/>
      <c r="S514" s="62"/>
      <c r="T514" s="62"/>
      <c r="U514" s="62"/>
      <c r="V514" s="62"/>
      <c r="W514" s="62"/>
      <c r="X514" s="62"/>
      <c r="Y514" s="62"/>
      <c r="Z514" s="62"/>
    </row>
    <row r="515" ht="25.5" customHeight="1">
      <c r="A515" s="62"/>
      <c r="B515" s="62"/>
      <c r="C515" s="316"/>
      <c r="D515" s="62"/>
      <c r="E515" s="62"/>
      <c r="F515" s="62"/>
      <c r="G515" s="316"/>
      <c r="H515" s="62"/>
      <c r="I515" s="316"/>
      <c r="J515" s="62"/>
      <c r="K515" s="62"/>
      <c r="L515" s="62"/>
      <c r="M515" s="62"/>
      <c r="N515" s="62"/>
      <c r="O515" s="62"/>
      <c r="P515" s="62"/>
      <c r="Q515" s="62"/>
      <c r="R515" s="62"/>
      <c r="S515" s="62"/>
      <c r="T515" s="62"/>
      <c r="U515" s="62"/>
      <c r="V515" s="62"/>
      <c r="W515" s="62"/>
      <c r="X515" s="62"/>
      <c r="Y515" s="62"/>
      <c r="Z515" s="62"/>
    </row>
    <row r="516" ht="25.5" customHeight="1">
      <c r="A516" s="62"/>
      <c r="B516" s="62"/>
      <c r="C516" s="316"/>
      <c r="D516" s="62"/>
      <c r="E516" s="62"/>
      <c r="F516" s="62"/>
      <c r="G516" s="316"/>
      <c r="H516" s="62"/>
      <c r="I516" s="316"/>
      <c r="J516" s="62"/>
      <c r="K516" s="62"/>
      <c r="L516" s="62"/>
      <c r="M516" s="62"/>
      <c r="N516" s="62"/>
      <c r="O516" s="62"/>
      <c r="P516" s="62"/>
      <c r="Q516" s="62"/>
      <c r="R516" s="62"/>
      <c r="S516" s="62"/>
      <c r="T516" s="62"/>
      <c r="U516" s="62"/>
      <c r="V516" s="62"/>
      <c r="W516" s="62"/>
      <c r="X516" s="62"/>
      <c r="Y516" s="62"/>
      <c r="Z516" s="62"/>
    </row>
    <row r="517" ht="25.5" customHeight="1">
      <c r="A517" s="62"/>
      <c r="B517" s="62"/>
      <c r="C517" s="316"/>
      <c r="D517" s="62"/>
      <c r="E517" s="62"/>
      <c r="F517" s="62"/>
      <c r="G517" s="316"/>
      <c r="H517" s="62"/>
      <c r="I517" s="316"/>
      <c r="J517" s="62"/>
      <c r="K517" s="62"/>
      <c r="L517" s="62"/>
      <c r="M517" s="62"/>
      <c r="N517" s="62"/>
      <c r="O517" s="62"/>
      <c r="P517" s="62"/>
      <c r="Q517" s="62"/>
      <c r="R517" s="62"/>
      <c r="S517" s="62"/>
      <c r="T517" s="62"/>
      <c r="U517" s="62"/>
      <c r="V517" s="62"/>
      <c r="W517" s="62"/>
      <c r="X517" s="62"/>
      <c r="Y517" s="62"/>
      <c r="Z517" s="62"/>
    </row>
    <row r="518" ht="25.5" customHeight="1">
      <c r="A518" s="62"/>
      <c r="B518" s="62"/>
      <c r="C518" s="316"/>
      <c r="D518" s="62"/>
      <c r="E518" s="62"/>
      <c r="F518" s="62"/>
      <c r="G518" s="316"/>
      <c r="H518" s="62"/>
      <c r="I518" s="316"/>
      <c r="J518" s="62"/>
      <c r="K518" s="62"/>
      <c r="L518" s="62"/>
      <c r="M518" s="62"/>
      <c r="N518" s="62"/>
      <c r="O518" s="62"/>
      <c r="P518" s="62"/>
      <c r="Q518" s="62"/>
      <c r="R518" s="62"/>
      <c r="S518" s="62"/>
      <c r="T518" s="62"/>
      <c r="U518" s="62"/>
      <c r="V518" s="62"/>
      <c r="W518" s="62"/>
      <c r="X518" s="62"/>
      <c r="Y518" s="62"/>
      <c r="Z518" s="62"/>
    </row>
    <row r="519" ht="25.5" customHeight="1">
      <c r="A519" s="62"/>
      <c r="B519" s="62"/>
      <c r="C519" s="316"/>
      <c r="D519" s="62"/>
      <c r="E519" s="62"/>
      <c r="F519" s="62"/>
      <c r="G519" s="316"/>
      <c r="H519" s="62"/>
      <c r="I519" s="316"/>
      <c r="J519" s="62"/>
      <c r="K519" s="62"/>
      <c r="L519" s="62"/>
      <c r="M519" s="62"/>
      <c r="N519" s="62"/>
      <c r="O519" s="62"/>
      <c r="P519" s="62"/>
      <c r="Q519" s="62"/>
      <c r="R519" s="62"/>
      <c r="S519" s="62"/>
      <c r="T519" s="62"/>
      <c r="U519" s="62"/>
      <c r="V519" s="62"/>
      <c r="W519" s="62"/>
      <c r="X519" s="62"/>
      <c r="Y519" s="62"/>
      <c r="Z519" s="62"/>
    </row>
    <row r="520" ht="25.5" customHeight="1">
      <c r="A520" s="62"/>
      <c r="B520" s="62"/>
      <c r="C520" s="316"/>
      <c r="D520" s="62"/>
      <c r="E520" s="62"/>
      <c r="F520" s="62"/>
      <c r="G520" s="316"/>
      <c r="H520" s="62"/>
      <c r="I520" s="316"/>
      <c r="J520" s="62"/>
      <c r="K520" s="62"/>
      <c r="L520" s="62"/>
      <c r="M520" s="62"/>
      <c r="N520" s="62"/>
      <c r="O520" s="62"/>
      <c r="P520" s="62"/>
      <c r="Q520" s="62"/>
      <c r="R520" s="62"/>
      <c r="S520" s="62"/>
      <c r="T520" s="62"/>
      <c r="U520" s="62"/>
      <c r="V520" s="62"/>
      <c r="W520" s="62"/>
      <c r="X520" s="62"/>
      <c r="Y520" s="62"/>
      <c r="Z520" s="62"/>
    </row>
    <row r="521" ht="25.5" customHeight="1">
      <c r="A521" s="62"/>
      <c r="B521" s="62"/>
      <c r="C521" s="316"/>
      <c r="D521" s="62"/>
      <c r="E521" s="62"/>
      <c r="F521" s="62"/>
      <c r="G521" s="316"/>
      <c r="H521" s="62"/>
      <c r="I521" s="316"/>
      <c r="J521" s="62"/>
      <c r="K521" s="62"/>
      <c r="L521" s="62"/>
      <c r="M521" s="62"/>
      <c r="N521" s="62"/>
      <c r="O521" s="62"/>
      <c r="P521" s="62"/>
      <c r="Q521" s="62"/>
      <c r="R521" s="62"/>
      <c r="S521" s="62"/>
      <c r="T521" s="62"/>
      <c r="U521" s="62"/>
      <c r="V521" s="62"/>
      <c r="W521" s="62"/>
      <c r="X521" s="62"/>
      <c r="Y521" s="62"/>
      <c r="Z521" s="62"/>
    </row>
    <row r="522" ht="25.5" customHeight="1">
      <c r="A522" s="62"/>
      <c r="B522" s="62"/>
      <c r="C522" s="316"/>
      <c r="D522" s="62"/>
      <c r="E522" s="62"/>
      <c r="F522" s="62"/>
      <c r="G522" s="316"/>
      <c r="H522" s="62"/>
      <c r="I522" s="316"/>
      <c r="J522" s="62"/>
      <c r="K522" s="62"/>
      <c r="L522" s="62"/>
      <c r="M522" s="62"/>
      <c r="N522" s="62"/>
      <c r="O522" s="62"/>
      <c r="P522" s="62"/>
      <c r="Q522" s="62"/>
      <c r="R522" s="62"/>
      <c r="S522" s="62"/>
      <c r="T522" s="62"/>
      <c r="U522" s="62"/>
      <c r="V522" s="62"/>
      <c r="W522" s="62"/>
      <c r="X522" s="62"/>
      <c r="Y522" s="62"/>
      <c r="Z522" s="62"/>
    </row>
    <row r="523" ht="25.5" customHeight="1">
      <c r="A523" s="62"/>
      <c r="B523" s="62"/>
      <c r="C523" s="316"/>
      <c r="D523" s="62"/>
      <c r="E523" s="62"/>
      <c r="F523" s="62"/>
      <c r="G523" s="316"/>
      <c r="H523" s="62"/>
      <c r="I523" s="316"/>
      <c r="J523" s="62"/>
      <c r="K523" s="62"/>
      <c r="L523" s="62"/>
      <c r="M523" s="62"/>
      <c r="N523" s="62"/>
      <c r="O523" s="62"/>
      <c r="P523" s="62"/>
      <c r="Q523" s="62"/>
      <c r="R523" s="62"/>
      <c r="S523" s="62"/>
      <c r="T523" s="62"/>
      <c r="U523" s="62"/>
      <c r="V523" s="62"/>
      <c r="W523" s="62"/>
      <c r="X523" s="62"/>
      <c r="Y523" s="62"/>
      <c r="Z523" s="62"/>
    </row>
    <row r="524" ht="25.5" customHeight="1">
      <c r="A524" s="62"/>
      <c r="B524" s="62"/>
      <c r="C524" s="316"/>
      <c r="D524" s="62"/>
      <c r="E524" s="62"/>
      <c r="F524" s="62"/>
      <c r="G524" s="316"/>
      <c r="H524" s="62"/>
      <c r="I524" s="316"/>
      <c r="J524" s="62"/>
      <c r="K524" s="62"/>
      <c r="L524" s="62"/>
      <c r="M524" s="62"/>
      <c r="N524" s="62"/>
      <c r="O524" s="62"/>
      <c r="P524" s="62"/>
      <c r="Q524" s="62"/>
      <c r="R524" s="62"/>
      <c r="S524" s="62"/>
      <c r="T524" s="62"/>
      <c r="U524" s="62"/>
      <c r="V524" s="62"/>
      <c r="W524" s="62"/>
      <c r="X524" s="62"/>
      <c r="Y524" s="62"/>
      <c r="Z524" s="62"/>
    </row>
    <row r="525" ht="25.5" customHeight="1">
      <c r="A525" s="62"/>
      <c r="B525" s="62"/>
      <c r="C525" s="316"/>
      <c r="D525" s="62"/>
      <c r="E525" s="62"/>
      <c r="F525" s="62"/>
      <c r="G525" s="316"/>
      <c r="H525" s="62"/>
      <c r="I525" s="316"/>
      <c r="J525" s="62"/>
      <c r="K525" s="62"/>
      <c r="L525" s="62"/>
      <c r="M525" s="62"/>
      <c r="N525" s="62"/>
      <c r="O525" s="62"/>
      <c r="P525" s="62"/>
      <c r="Q525" s="62"/>
      <c r="R525" s="62"/>
      <c r="S525" s="62"/>
      <c r="T525" s="62"/>
      <c r="U525" s="62"/>
      <c r="V525" s="62"/>
      <c r="W525" s="62"/>
      <c r="X525" s="62"/>
      <c r="Y525" s="62"/>
      <c r="Z525" s="62"/>
    </row>
    <row r="526" ht="25.5" customHeight="1">
      <c r="A526" s="62"/>
      <c r="B526" s="62"/>
      <c r="C526" s="316"/>
      <c r="D526" s="62"/>
      <c r="E526" s="62"/>
      <c r="F526" s="62"/>
      <c r="G526" s="316"/>
      <c r="H526" s="62"/>
      <c r="I526" s="316"/>
      <c r="J526" s="62"/>
      <c r="K526" s="62"/>
      <c r="L526" s="62"/>
      <c r="M526" s="62"/>
      <c r="N526" s="62"/>
      <c r="O526" s="62"/>
      <c r="P526" s="62"/>
      <c r="Q526" s="62"/>
      <c r="R526" s="62"/>
      <c r="S526" s="62"/>
      <c r="T526" s="62"/>
      <c r="U526" s="62"/>
      <c r="V526" s="62"/>
      <c r="W526" s="62"/>
      <c r="X526" s="62"/>
      <c r="Y526" s="62"/>
      <c r="Z526" s="62"/>
    </row>
    <row r="527" ht="25.5" customHeight="1">
      <c r="A527" s="62"/>
      <c r="B527" s="62"/>
      <c r="C527" s="316"/>
      <c r="D527" s="62"/>
      <c r="E527" s="62"/>
      <c r="F527" s="62"/>
      <c r="G527" s="316"/>
      <c r="H527" s="62"/>
      <c r="I527" s="316"/>
      <c r="J527" s="62"/>
      <c r="K527" s="62"/>
      <c r="L527" s="62"/>
      <c r="M527" s="62"/>
      <c r="N527" s="62"/>
      <c r="O527" s="62"/>
      <c r="P527" s="62"/>
      <c r="Q527" s="62"/>
      <c r="R527" s="62"/>
      <c r="S527" s="62"/>
      <c r="T527" s="62"/>
      <c r="U527" s="62"/>
      <c r="V527" s="62"/>
      <c r="W527" s="62"/>
      <c r="X527" s="62"/>
      <c r="Y527" s="62"/>
      <c r="Z527" s="62"/>
    </row>
    <row r="528" ht="25.5" customHeight="1">
      <c r="A528" s="62"/>
      <c r="B528" s="62"/>
      <c r="C528" s="316"/>
      <c r="D528" s="62"/>
      <c r="E528" s="62"/>
      <c r="F528" s="62"/>
      <c r="G528" s="316"/>
      <c r="H528" s="62"/>
      <c r="I528" s="316"/>
      <c r="J528" s="62"/>
      <c r="K528" s="62"/>
      <c r="L528" s="62"/>
      <c r="M528" s="62"/>
      <c r="N528" s="62"/>
      <c r="O528" s="62"/>
      <c r="P528" s="62"/>
      <c r="Q528" s="62"/>
      <c r="R528" s="62"/>
      <c r="S528" s="62"/>
      <c r="T528" s="62"/>
      <c r="U528" s="62"/>
      <c r="V528" s="62"/>
      <c r="W528" s="62"/>
      <c r="X528" s="62"/>
      <c r="Y528" s="62"/>
      <c r="Z528" s="62"/>
    </row>
    <row r="529" ht="25.5" customHeight="1">
      <c r="A529" s="62"/>
      <c r="B529" s="62"/>
      <c r="C529" s="316"/>
      <c r="D529" s="62"/>
      <c r="E529" s="62"/>
      <c r="F529" s="62"/>
      <c r="G529" s="316"/>
      <c r="H529" s="62"/>
      <c r="I529" s="316"/>
      <c r="J529" s="62"/>
      <c r="K529" s="62"/>
      <c r="L529" s="62"/>
      <c r="M529" s="62"/>
      <c r="N529" s="62"/>
      <c r="O529" s="62"/>
      <c r="P529" s="62"/>
      <c r="Q529" s="62"/>
      <c r="R529" s="62"/>
      <c r="S529" s="62"/>
      <c r="T529" s="62"/>
      <c r="U529" s="62"/>
      <c r="V529" s="62"/>
      <c r="W529" s="62"/>
      <c r="X529" s="62"/>
      <c r="Y529" s="62"/>
      <c r="Z529" s="62"/>
    </row>
    <row r="530" ht="25.5" customHeight="1">
      <c r="A530" s="62"/>
      <c r="B530" s="62"/>
      <c r="C530" s="316"/>
      <c r="D530" s="62"/>
      <c r="E530" s="62"/>
      <c r="F530" s="62"/>
      <c r="G530" s="316"/>
      <c r="H530" s="62"/>
      <c r="I530" s="316"/>
      <c r="J530" s="62"/>
      <c r="K530" s="62"/>
      <c r="L530" s="62"/>
      <c r="M530" s="62"/>
      <c r="N530" s="62"/>
      <c r="O530" s="62"/>
      <c r="P530" s="62"/>
      <c r="Q530" s="62"/>
      <c r="R530" s="62"/>
      <c r="S530" s="62"/>
      <c r="T530" s="62"/>
      <c r="U530" s="62"/>
      <c r="V530" s="62"/>
      <c r="W530" s="62"/>
      <c r="X530" s="62"/>
      <c r="Y530" s="62"/>
      <c r="Z530" s="62"/>
    </row>
    <row r="531" ht="25.5" customHeight="1">
      <c r="A531" s="62"/>
      <c r="B531" s="62"/>
      <c r="C531" s="316"/>
      <c r="D531" s="62"/>
      <c r="E531" s="62"/>
      <c r="F531" s="62"/>
      <c r="G531" s="316"/>
      <c r="H531" s="62"/>
      <c r="I531" s="316"/>
      <c r="J531" s="62"/>
      <c r="K531" s="62"/>
      <c r="L531" s="62"/>
      <c r="M531" s="62"/>
      <c r="N531" s="62"/>
      <c r="O531" s="62"/>
      <c r="P531" s="62"/>
      <c r="Q531" s="62"/>
      <c r="R531" s="62"/>
      <c r="S531" s="62"/>
      <c r="T531" s="62"/>
      <c r="U531" s="62"/>
      <c r="V531" s="62"/>
      <c r="W531" s="62"/>
      <c r="X531" s="62"/>
      <c r="Y531" s="62"/>
      <c r="Z531" s="62"/>
    </row>
    <row r="532" ht="25.5" customHeight="1">
      <c r="A532" s="62"/>
      <c r="B532" s="62"/>
      <c r="C532" s="316"/>
      <c r="D532" s="62"/>
      <c r="E532" s="62"/>
      <c r="F532" s="62"/>
      <c r="G532" s="316"/>
      <c r="H532" s="62"/>
      <c r="I532" s="316"/>
      <c r="J532" s="62"/>
      <c r="K532" s="62"/>
      <c r="L532" s="62"/>
      <c r="M532" s="62"/>
      <c r="N532" s="62"/>
      <c r="O532" s="62"/>
      <c r="P532" s="62"/>
      <c r="Q532" s="62"/>
      <c r="R532" s="62"/>
      <c r="S532" s="62"/>
      <c r="T532" s="62"/>
      <c r="U532" s="62"/>
      <c r="V532" s="62"/>
      <c r="W532" s="62"/>
      <c r="X532" s="62"/>
      <c r="Y532" s="62"/>
      <c r="Z532" s="62"/>
    </row>
    <row r="533" ht="25.5" customHeight="1">
      <c r="A533" s="62"/>
      <c r="B533" s="62"/>
      <c r="C533" s="316"/>
      <c r="D533" s="62"/>
      <c r="E533" s="62"/>
      <c r="F533" s="62"/>
      <c r="G533" s="316"/>
      <c r="H533" s="62"/>
      <c r="I533" s="316"/>
      <c r="J533" s="62"/>
      <c r="K533" s="62"/>
      <c r="L533" s="62"/>
      <c r="M533" s="62"/>
      <c r="N533" s="62"/>
      <c r="O533" s="62"/>
      <c r="P533" s="62"/>
      <c r="Q533" s="62"/>
      <c r="R533" s="62"/>
      <c r="S533" s="62"/>
      <c r="T533" s="62"/>
      <c r="U533" s="62"/>
      <c r="V533" s="62"/>
      <c r="W533" s="62"/>
      <c r="X533" s="62"/>
      <c r="Y533" s="62"/>
      <c r="Z533" s="62"/>
    </row>
    <row r="534" ht="25.5" customHeight="1">
      <c r="A534" s="62"/>
      <c r="B534" s="62"/>
      <c r="C534" s="316"/>
      <c r="D534" s="62"/>
      <c r="E534" s="62"/>
      <c r="F534" s="62"/>
      <c r="G534" s="316"/>
      <c r="H534" s="62"/>
      <c r="I534" s="316"/>
      <c r="J534" s="62"/>
      <c r="K534" s="62"/>
      <c r="L534" s="62"/>
      <c r="M534" s="62"/>
      <c r="N534" s="62"/>
      <c r="O534" s="62"/>
      <c r="P534" s="62"/>
      <c r="Q534" s="62"/>
      <c r="R534" s="62"/>
      <c r="S534" s="62"/>
      <c r="T534" s="62"/>
      <c r="U534" s="62"/>
      <c r="V534" s="62"/>
      <c r="W534" s="62"/>
      <c r="X534" s="62"/>
      <c r="Y534" s="62"/>
      <c r="Z534" s="62"/>
    </row>
    <row r="535" ht="25.5" customHeight="1">
      <c r="A535" s="62"/>
      <c r="B535" s="62"/>
      <c r="C535" s="316"/>
      <c r="D535" s="62"/>
      <c r="E535" s="62"/>
      <c r="F535" s="62"/>
      <c r="G535" s="316"/>
      <c r="H535" s="62"/>
      <c r="I535" s="316"/>
      <c r="J535" s="62"/>
      <c r="K535" s="62"/>
      <c r="L535" s="62"/>
      <c r="M535" s="62"/>
      <c r="N535" s="62"/>
      <c r="O535" s="62"/>
      <c r="P535" s="62"/>
      <c r="Q535" s="62"/>
      <c r="R535" s="62"/>
      <c r="S535" s="62"/>
      <c r="T535" s="62"/>
      <c r="U535" s="62"/>
      <c r="V535" s="62"/>
      <c r="W535" s="62"/>
      <c r="X535" s="62"/>
      <c r="Y535" s="62"/>
      <c r="Z535" s="62"/>
    </row>
    <row r="536" ht="25.5" customHeight="1">
      <c r="A536" s="62"/>
      <c r="B536" s="62"/>
      <c r="C536" s="316"/>
      <c r="D536" s="62"/>
      <c r="E536" s="62"/>
      <c r="F536" s="62"/>
      <c r="G536" s="316"/>
      <c r="H536" s="62"/>
      <c r="I536" s="316"/>
      <c r="J536" s="62"/>
      <c r="K536" s="62"/>
      <c r="L536" s="62"/>
      <c r="M536" s="62"/>
      <c r="N536" s="62"/>
      <c r="O536" s="62"/>
      <c r="P536" s="62"/>
      <c r="Q536" s="62"/>
      <c r="R536" s="62"/>
      <c r="S536" s="62"/>
      <c r="T536" s="62"/>
      <c r="U536" s="62"/>
      <c r="V536" s="62"/>
      <c r="W536" s="62"/>
      <c r="X536" s="62"/>
      <c r="Y536" s="62"/>
      <c r="Z536" s="62"/>
    </row>
    <row r="537" ht="25.5" customHeight="1">
      <c r="A537" s="62"/>
      <c r="B537" s="62"/>
      <c r="C537" s="316"/>
      <c r="D537" s="62"/>
      <c r="E537" s="62"/>
      <c r="F537" s="62"/>
      <c r="G537" s="316"/>
      <c r="H537" s="62"/>
      <c r="I537" s="316"/>
      <c r="J537" s="62"/>
      <c r="K537" s="62"/>
      <c r="L537" s="62"/>
      <c r="M537" s="62"/>
      <c r="N537" s="62"/>
      <c r="O537" s="62"/>
      <c r="P537" s="62"/>
      <c r="Q537" s="62"/>
      <c r="R537" s="62"/>
      <c r="S537" s="62"/>
      <c r="T537" s="62"/>
      <c r="U537" s="62"/>
      <c r="V537" s="62"/>
      <c r="W537" s="62"/>
      <c r="X537" s="62"/>
      <c r="Y537" s="62"/>
      <c r="Z537" s="62"/>
    </row>
    <row r="538" ht="25.5" customHeight="1">
      <c r="A538" s="62"/>
      <c r="B538" s="62"/>
      <c r="C538" s="316"/>
      <c r="D538" s="62"/>
      <c r="E538" s="62"/>
      <c r="F538" s="62"/>
      <c r="G538" s="316"/>
      <c r="H538" s="62"/>
      <c r="I538" s="316"/>
      <c r="J538" s="62"/>
      <c r="K538" s="62"/>
      <c r="L538" s="62"/>
      <c r="M538" s="62"/>
      <c r="N538" s="62"/>
      <c r="O538" s="62"/>
      <c r="P538" s="62"/>
      <c r="Q538" s="62"/>
      <c r="R538" s="62"/>
      <c r="S538" s="62"/>
      <c r="T538" s="62"/>
      <c r="U538" s="62"/>
      <c r="V538" s="62"/>
      <c r="W538" s="62"/>
      <c r="X538" s="62"/>
      <c r="Y538" s="62"/>
      <c r="Z538" s="62"/>
    </row>
    <row r="539" ht="25.5" customHeight="1">
      <c r="A539" s="62"/>
      <c r="B539" s="62"/>
      <c r="C539" s="316"/>
      <c r="D539" s="62"/>
      <c r="E539" s="62"/>
      <c r="F539" s="62"/>
      <c r="G539" s="316"/>
      <c r="H539" s="62"/>
      <c r="I539" s="316"/>
      <c r="J539" s="62"/>
      <c r="K539" s="62"/>
      <c r="L539" s="62"/>
      <c r="M539" s="62"/>
      <c r="N539" s="62"/>
      <c r="O539" s="62"/>
      <c r="P539" s="62"/>
      <c r="Q539" s="62"/>
      <c r="R539" s="62"/>
      <c r="S539" s="62"/>
      <c r="T539" s="62"/>
      <c r="U539" s="62"/>
      <c r="V539" s="62"/>
      <c r="W539" s="62"/>
      <c r="X539" s="62"/>
      <c r="Y539" s="62"/>
      <c r="Z539" s="62"/>
    </row>
    <row r="540" ht="25.5" customHeight="1">
      <c r="A540" s="62"/>
      <c r="B540" s="62"/>
      <c r="C540" s="316"/>
      <c r="D540" s="62"/>
      <c r="E540" s="62"/>
      <c r="F540" s="62"/>
      <c r="G540" s="316"/>
      <c r="H540" s="62"/>
      <c r="I540" s="316"/>
      <c r="J540" s="62"/>
      <c r="K540" s="62"/>
      <c r="L540" s="62"/>
      <c r="M540" s="62"/>
      <c r="N540" s="62"/>
      <c r="O540" s="62"/>
      <c r="P540" s="62"/>
      <c r="Q540" s="62"/>
      <c r="R540" s="62"/>
      <c r="S540" s="62"/>
      <c r="T540" s="62"/>
      <c r="U540" s="62"/>
      <c r="V540" s="62"/>
      <c r="W540" s="62"/>
      <c r="X540" s="62"/>
      <c r="Y540" s="62"/>
      <c r="Z540" s="62"/>
    </row>
    <row r="541" ht="25.5" customHeight="1">
      <c r="A541" s="62"/>
      <c r="B541" s="62"/>
      <c r="C541" s="316"/>
      <c r="D541" s="62"/>
      <c r="E541" s="62"/>
      <c r="F541" s="62"/>
      <c r="G541" s="316"/>
      <c r="H541" s="62"/>
      <c r="I541" s="316"/>
      <c r="J541" s="62"/>
      <c r="K541" s="62"/>
      <c r="L541" s="62"/>
      <c r="M541" s="62"/>
      <c r="N541" s="62"/>
      <c r="O541" s="62"/>
      <c r="P541" s="62"/>
      <c r="Q541" s="62"/>
      <c r="R541" s="62"/>
      <c r="S541" s="62"/>
      <c r="T541" s="62"/>
      <c r="U541" s="62"/>
      <c r="V541" s="62"/>
      <c r="W541" s="62"/>
      <c r="X541" s="62"/>
      <c r="Y541" s="62"/>
      <c r="Z541" s="62"/>
    </row>
    <row r="542" ht="25.5" customHeight="1">
      <c r="A542" s="62"/>
      <c r="B542" s="62"/>
      <c r="C542" s="316"/>
      <c r="D542" s="62"/>
      <c r="E542" s="62"/>
      <c r="F542" s="62"/>
      <c r="G542" s="316"/>
      <c r="H542" s="62"/>
      <c r="I542" s="316"/>
      <c r="J542" s="62"/>
      <c r="K542" s="62"/>
      <c r="L542" s="62"/>
      <c r="M542" s="62"/>
      <c r="N542" s="62"/>
      <c r="O542" s="62"/>
      <c r="P542" s="62"/>
      <c r="Q542" s="62"/>
      <c r="R542" s="62"/>
      <c r="S542" s="62"/>
      <c r="T542" s="62"/>
      <c r="U542" s="62"/>
      <c r="V542" s="62"/>
      <c r="W542" s="62"/>
      <c r="X542" s="62"/>
      <c r="Y542" s="62"/>
      <c r="Z542" s="62"/>
    </row>
    <row r="543" ht="25.5" customHeight="1">
      <c r="A543" s="62"/>
      <c r="B543" s="62"/>
      <c r="C543" s="316"/>
      <c r="D543" s="62"/>
      <c r="E543" s="62"/>
      <c r="F543" s="62"/>
      <c r="G543" s="316"/>
      <c r="H543" s="62"/>
      <c r="I543" s="316"/>
      <c r="J543" s="62"/>
      <c r="K543" s="62"/>
      <c r="L543" s="62"/>
      <c r="M543" s="62"/>
      <c r="N543" s="62"/>
      <c r="O543" s="62"/>
      <c r="P543" s="62"/>
      <c r="Q543" s="62"/>
      <c r="R543" s="62"/>
      <c r="S543" s="62"/>
      <c r="T543" s="62"/>
      <c r="U543" s="62"/>
      <c r="V543" s="62"/>
      <c r="W543" s="62"/>
      <c r="X543" s="62"/>
      <c r="Y543" s="62"/>
      <c r="Z543" s="62"/>
    </row>
    <row r="544" ht="25.5" customHeight="1">
      <c r="A544" s="62"/>
      <c r="B544" s="62"/>
      <c r="C544" s="316"/>
      <c r="D544" s="62"/>
      <c r="E544" s="62"/>
      <c r="F544" s="62"/>
      <c r="G544" s="316"/>
      <c r="H544" s="62"/>
      <c r="I544" s="316"/>
      <c r="J544" s="62"/>
      <c r="K544" s="62"/>
      <c r="L544" s="62"/>
      <c r="M544" s="62"/>
      <c r="N544" s="62"/>
      <c r="O544" s="62"/>
      <c r="P544" s="62"/>
      <c r="Q544" s="62"/>
      <c r="R544" s="62"/>
      <c r="S544" s="62"/>
      <c r="T544" s="62"/>
      <c r="U544" s="62"/>
      <c r="V544" s="62"/>
      <c r="W544" s="62"/>
      <c r="X544" s="62"/>
      <c r="Y544" s="62"/>
      <c r="Z544" s="62"/>
    </row>
    <row r="545" ht="25.5" customHeight="1">
      <c r="A545" s="62"/>
      <c r="B545" s="62"/>
      <c r="C545" s="316"/>
      <c r="D545" s="62"/>
      <c r="E545" s="62"/>
      <c r="F545" s="62"/>
      <c r="G545" s="316"/>
      <c r="H545" s="62"/>
      <c r="I545" s="316"/>
      <c r="J545" s="62"/>
      <c r="K545" s="62"/>
      <c r="L545" s="62"/>
      <c r="M545" s="62"/>
      <c r="N545" s="62"/>
      <c r="O545" s="62"/>
      <c r="P545" s="62"/>
      <c r="Q545" s="62"/>
      <c r="R545" s="62"/>
      <c r="S545" s="62"/>
      <c r="T545" s="62"/>
      <c r="U545" s="62"/>
      <c r="V545" s="62"/>
      <c r="W545" s="62"/>
      <c r="X545" s="62"/>
      <c r="Y545" s="62"/>
      <c r="Z545" s="62"/>
    </row>
    <row r="546" ht="25.5" customHeight="1">
      <c r="A546" s="62"/>
      <c r="B546" s="62"/>
      <c r="C546" s="316"/>
      <c r="D546" s="62"/>
      <c r="E546" s="62"/>
      <c r="F546" s="62"/>
      <c r="G546" s="316"/>
      <c r="H546" s="62"/>
      <c r="I546" s="316"/>
      <c r="J546" s="62"/>
      <c r="K546" s="62"/>
      <c r="L546" s="62"/>
      <c r="M546" s="62"/>
      <c r="N546" s="62"/>
      <c r="O546" s="62"/>
      <c r="P546" s="62"/>
      <c r="Q546" s="62"/>
      <c r="R546" s="62"/>
      <c r="S546" s="62"/>
      <c r="T546" s="62"/>
      <c r="U546" s="62"/>
      <c r="V546" s="62"/>
      <c r="W546" s="62"/>
      <c r="X546" s="62"/>
      <c r="Y546" s="62"/>
      <c r="Z546" s="62"/>
    </row>
    <row r="547" ht="25.5" customHeight="1">
      <c r="A547" s="62"/>
      <c r="B547" s="62"/>
      <c r="C547" s="316"/>
      <c r="D547" s="62"/>
      <c r="E547" s="62"/>
      <c r="F547" s="62"/>
      <c r="G547" s="316"/>
      <c r="H547" s="62"/>
      <c r="I547" s="316"/>
      <c r="J547" s="62"/>
      <c r="K547" s="62"/>
      <c r="L547" s="62"/>
      <c r="M547" s="62"/>
      <c r="N547" s="62"/>
      <c r="O547" s="62"/>
      <c r="P547" s="62"/>
      <c r="Q547" s="62"/>
      <c r="R547" s="62"/>
      <c r="S547" s="62"/>
      <c r="T547" s="62"/>
      <c r="U547" s="62"/>
      <c r="V547" s="62"/>
      <c r="W547" s="62"/>
      <c r="X547" s="62"/>
      <c r="Y547" s="62"/>
      <c r="Z547" s="62"/>
    </row>
    <row r="548" ht="25.5" customHeight="1">
      <c r="A548" s="62"/>
      <c r="B548" s="62"/>
      <c r="C548" s="316"/>
      <c r="D548" s="62"/>
      <c r="E548" s="62"/>
      <c r="F548" s="62"/>
      <c r="G548" s="316"/>
      <c r="H548" s="62"/>
      <c r="I548" s="316"/>
      <c r="J548" s="62"/>
      <c r="K548" s="62"/>
      <c r="L548" s="62"/>
      <c r="M548" s="62"/>
      <c r="N548" s="62"/>
      <c r="O548" s="62"/>
      <c r="P548" s="62"/>
      <c r="Q548" s="62"/>
      <c r="R548" s="62"/>
      <c r="S548" s="62"/>
      <c r="T548" s="62"/>
      <c r="U548" s="62"/>
      <c r="V548" s="62"/>
      <c r="W548" s="62"/>
      <c r="X548" s="62"/>
      <c r="Y548" s="62"/>
      <c r="Z548" s="62"/>
    </row>
    <row r="549" ht="25.5" customHeight="1">
      <c r="A549" s="62"/>
      <c r="B549" s="62"/>
      <c r="C549" s="316"/>
      <c r="D549" s="62"/>
      <c r="E549" s="62"/>
      <c r="F549" s="62"/>
      <c r="G549" s="316"/>
      <c r="H549" s="62"/>
      <c r="I549" s="316"/>
      <c r="J549" s="62"/>
      <c r="K549" s="62"/>
      <c r="L549" s="62"/>
      <c r="M549" s="62"/>
      <c r="N549" s="62"/>
      <c r="O549" s="62"/>
      <c r="P549" s="62"/>
      <c r="Q549" s="62"/>
      <c r="R549" s="62"/>
      <c r="S549" s="62"/>
      <c r="T549" s="62"/>
      <c r="U549" s="62"/>
      <c r="V549" s="62"/>
      <c r="W549" s="62"/>
      <c r="X549" s="62"/>
      <c r="Y549" s="62"/>
      <c r="Z549" s="62"/>
    </row>
    <row r="550" ht="25.5" customHeight="1">
      <c r="A550" s="62"/>
      <c r="B550" s="62"/>
      <c r="C550" s="316"/>
      <c r="D550" s="62"/>
      <c r="E550" s="62"/>
      <c r="F550" s="62"/>
      <c r="G550" s="316"/>
      <c r="H550" s="62"/>
      <c r="I550" s="316"/>
      <c r="J550" s="62"/>
      <c r="K550" s="62"/>
      <c r="L550" s="62"/>
      <c r="M550" s="62"/>
      <c r="N550" s="62"/>
      <c r="O550" s="62"/>
      <c r="P550" s="62"/>
      <c r="Q550" s="62"/>
      <c r="R550" s="62"/>
      <c r="S550" s="62"/>
      <c r="T550" s="62"/>
      <c r="U550" s="62"/>
      <c r="V550" s="62"/>
      <c r="W550" s="62"/>
      <c r="X550" s="62"/>
      <c r="Y550" s="62"/>
      <c r="Z550" s="62"/>
    </row>
    <row r="551" ht="25.5" customHeight="1">
      <c r="A551" s="62"/>
      <c r="B551" s="62"/>
      <c r="C551" s="316"/>
      <c r="D551" s="62"/>
      <c r="E551" s="62"/>
      <c r="F551" s="62"/>
      <c r="G551" s="316"/>
      <c r="H551" s="62"/>
      <c r="I551" s="316"/>
      <c r="J551" s="62"/>
      <c r="K551" s="62"/>
      <c r="L551" s="62"/>
      <c r="M551" s="62"/>
      <c r="N551" s="62"/>
      <c r="O551" s="62"/>
      <c r="P551" s="62"/>
      <c r="Q551" s="62"/>
      <c r="R551" s="62"/>
      <c r="S551" s="62"/>
      <c r="T551" s="62"/>
      <c r="U551" s="62"/>
      <c r="V551" s="62"/>
      <c r="W551" s="62"/>
      <c r="X551" s="62"/>
      <c r="Y551" s="62"/>
      <c r="Z551" s="62"/>
    </row>
    <row r="552" ht="25.5" customHeight="1">
      <c r="A552" s="62"/>
      <c r="B552" s="62"/>
      <c r="C552" s="316"/>
      <c r="D552" s="62"/>
      <c r="E552" s="62"/>
      <c r="F552" s="62"/>
      <c r="G552" s="316"/>
      <c r="H552" s="62"/>
      <c r="I552" s="316"/>
      <c r="J552" s="62"/>
      <c r="K552" s="62"/>
      <c r="L552" s="62"/>
      <c r="M552" s="62"/>
      <c r="N552" s="62"/>
      <c r="O552" s="62"/>
      <c r="P552" s="62"/>
      <c r="Q552" s="62"/>
      <c r="R552" s="62"/>
      <c r="S552" s="62"/>
      <c r="T552" s="62"/>
      <c r="U552" s="62"/>
      <c r="V552" s="62"/>
      <c r="W552" s="62"/>
      <c r="X552" s="62"/>
      <c r="Y552" s="62"/>
      <c r="Z552" s="62"/>
    </row>
    <row r="553" ht="25.5" customHeight="1">
      <c r="A553" s="62"/>
      <c r="B553" s="62"/>
      <c r="C553" s="316"/>
      <c r="D553" s="62"/>
      <c r="E553" s="62"/>
      <c r="F553" s="62"/>
      <c r="G553" s="316"/>
      <c r="H553" s="62"/>
      <c r="I553" s="316"/>
      <c r="J553" s="62"/>
      <c r="K553" s="62"/>
      <c r="L553" s="62"/>
      <c r="M553" s="62"/>
      <c r="N553" s="62"/>
      <c r="O553" s="62"/>
      <c r="P553" s="62"/>
      <c r="Q553" s="62"/>
      <c r="R553" s="62"/>
      <c r="S553" s="62"/>
      <c r="T553" s="62"/>
      <c r="U553" s="62"/>
      <c r="V553" s="62"/>
      <c r="W553" s="62"/>
      <c r="X553" s="62"/>
      <c r="Y553" s="62"/>
      <c r="Z553" s="62"/>
    </row>
    <row r="554" ht="25.5" customHeight="1">
      <c r="A554" s="62"/>
      <c r="B554" s="62"/>
      <c r="C554" s="316"/>
      <c r="D554" s="62"/>
      <c r="E554" s="62"/>
      <c r="F554" s="62"/>
      <c r="G554" s="316"/>
      <c r="H554" s="62"/>
      <c r="I554" s="316"/>
      <c r="J554" s="62"/>
      <c r="K554" s="62"/>
      <c r="L554" s="62"/>
      <c r="M554" s="62"/>
      <c r="N554" s="62"/>
      <c r="O554" s="62"/>
      <c r="P554" s="62"/>
      <c r="Q554" s="62"/>
      <c r="R554" s="62"/>
      <c r="S554" s="62"/>
      <c r="T554" s="62"/>
      <c r="U554" s="62"/>
      <c r="V554" s="62"/>
      <c r="W554" s="62"/>
      <c r="X554" s="62"/>
      <c r="Y554" s="62"/>
      <c r="Z554" s="62"/>
    </row>
    <row r="555" ht="25.5" customHeight="1">
      <c r="A555" s="62"/>
      <c r="B555" s="62"/>
      <c r="C555" s="316"/>
      <c r="D555" s="62"/>
      <c r="E555" s="62"/>
      <c r="F555" s="62"/>
      <c r="G555" s="316"/>
      <c r="H555" s="62"/>
      <c r="I555" s="316"/>
      <c r="J555" s="62"/>
      <c r="K555" s="62"/>
      <c r="L555" s="62"/>
      <c r="M555" s="62"/>
      <c r="N555" s="62"/>
      <c r="O555" s="62"/>
      <c r="P555" s="62"/>
      <c r="Q555" s="62"/>
      <c r="R555" s="62"/>
      <c r="S555" s="62"/>
      <c r="T555" s="62"/>
      <c r="U555" s="62"/>
      <c r="V555" s="62"/>
      <c r="W555" s="62"/>
      <c r="X555" s="62"/>
      <c r="Y555" s="62"/>
      <c r="Z555" s="62"/>
    </row>
    <row r="556" ht="25.5" customHeight="1">
      <c r="A556" s="62"/>
      <c r="B556" s="62"/>
      <c r="C556" s="316"/>
      <c r="D556" s="62"/>
      <c r="E556" s="62"/>
      <c r="F556" s="62"/>
      <c r="G556" s="316"/>
      <c r="H556" s="62"/>
      <c r="I556" s="316"/>
      <c r="J556" s="62"/>
      <c r="K556" s="62"/>
      <c r="L556" s="62"/>
      <c r="M556" s="62"/>
      <c r="N556" s="62"/>
      <c r="O556" s="62"/>
      <c r="P556" s="62"/>
      <c r="Q556" s="62"/>
      <c r="R556" s="62"/>
      <c r="S556" s="62"/>
      <c r="T556" s="62"/>
      <c r="U556" s="62"/>
      <c r="V556" s="62"/>
      <c r="W556" s="62"/>
      <c r="X556" s="62"/>
      <c r="Y556" s="62"/>
      <c r="Z556" s="62"/>
    </row>
    <row r="557" ht="25.5" customHeight="1">
      <c r="A557" s="62"/>
      <c r="B557" s="62"/>
      <c r="C557" s="316"/>
      <c r="D557" s="62"/>
      <c r="E557" s="62"/>
      <c r="F557" s="62"/>
      <c r="G557" s="316"/>
      <c r="H557" s="62"/>
      <c r="I557" s="316"/>
      <c r="J557" s="62"/>
      <c r="K557" s="62"/>
      <c r="L557" s="62"/>
      <c r="M557" s="62"/>
      <c r="N557" s="62"/>
      <c r="O557" s="62"/>
      <c r="P557" s="62"/>
      <c r="Q557" s="62"/>
      <c r="R557" s="62"/>
      <c r="S557" s="62"/>
      <c r="T557" s="62"/>
      <c r="U557" s="62"/>
      <c r="V557" s="62"/>
      <c r="W557" s="62"/>
      <c r="X557" s="62"/>
      <c r="Y557" s="62"/>
      <c r="Z557" s="62"/>
    </row>
    <row r="558" ht="25.5" customHeight="1">
      <c r="A558" s="62"/>
      <c r="B558" s="62"/>
      <c r="C558" s="316"/>
      <c r="D558" s="62"/>
      <c r="E558" s="62"/>
      <c r="F558" s="62"/>
      <c r="G558" s="316"/>
      <c r="H558" s="62"/>
      <c r="I558" s="316"/>
      <c r="J558" s="62"/>
      <c r="K558" s="62"/>
      <c r="L558" s="62"/>
      <c r="M558" s="62"/>
      <c r="N558" s="62"/>
      <c r="O558" s="62"/>
      <c r="P558" s="62"/>
      <c r="Q558" s="62"/>
      <c r="R558" s="62"/>
      <c r="S558" s="62"/>
      <c r="T558" s="62"/>
      <c r="U558" s="62"/>
      <c r="V558" s="62"/>
      <c r="W558" s="62"/>
      <c r="X558" s="62"/>
      <c r="Y558" s="62"/>
      <c r="Z558" s="62"/>
    </row>
    <row r="559" ht="25.5" customHeight="1">
      <c r="A559" s="62"/>
      <c r="B559" s="62"/>
      <c r="C559" s="316"/>
      <c r="D559" s="62"/>
      <c r="E559" s="62"/>
      <c r="F559" s="62"/>
      <c r="G559" s="316"/>
      <c r="H559" s="62"/>
      <c r="I559" s="316"/>
      <c r="J559" s="62"/>
      <c r="K559" s="62"/>
      <c r="L559" s="62"/>
      <c r="M559" s="62"/>
      <c r="N559" s="62"/>
      <c r="O559" s="62"/>
      <c r="P559" s="62"/>
      <c r="Q559" s="62"/>
      <c r="R559" s="62"/>
      <c r="S559" s="62"/>
      <c r="T559" s="62"/>
      <c r="U559" s="62"/>
      <c r="V559" s="62"/>
      <c r="W559" s="62"/>
      <c r="X559" s="62"/>
      <c r="Y559" s="62"/>
      <c r="Z559" s="62"/>
    </row>
    <row r="560" ht="25.5" customHeight="1">
      <c r="A560" s="62"/>
      <c r="B560" s="62"/>
      <c r="C560" s="316"/>
      <c r="D560" s="62"/>
      <c r="E560" s="62"/>
      <c r="F560" s="62"/>
      <c r="G560" s="316"/>
      <c r="H560" s="62"/>
      <c r="I560" s="316"/>
      <c r="J560" s="62"/>
      <c r="K560" s="62"/>
      <c r="L560" s="62"/>
      <c r="M560" s="62"/>
      <c r="N560" s="62"/>
      <c r="O560" s="62"/>
      <c r="P560" s="62"/>
      <c r="Q560" s="62"/>
      <c r="R560" s="62"/>
      <c r="S560" s="62"/>
      <c r="T560" s="62"/>
      <c r="U560" s="62"/>
      <c r="V560" s="62"/>
      <c r="W560" s="62"/>
      <c r="X560" s="62"/>
      <c r="Y560" s="62"/>
      <c r="Z560" s="62"/>
    </row>
    <row r="561" ht="25.5" customHeight="1">
      <c r="A561" s="62"/>
      <c r="B561" s="62"/>
      <c r="C561" s="316"/>
      <c r="D561" s="62"/>
      <c r="E561" s="62"/>
      <c r="F561" s="62"/>
      <c r="G561" s="316"/>
      <c r="H561" s="62"/>
      <c r="I561" s="316"/>
      <c r="J561" s="62"/>
      <c r="K561" s="62"/>
      <c r="L561" s="62"/>
      <c r="M561" s="62"/>
      <c r="N561" s="62"/>
      <c r="O561" s="62"/>
      <c r="P561" s="62"/>
      <c r="Q561" s="62"/>
      <c r="R561" s="62"/>
      <c r="S561" s="62"/>
      <c r="T561" s="62"/>
      <c r="U561" s="62"/>
      <c r="V561" s="62"/>
      <c r="W561" s="62"/>
      <c r="X561" s="62"/>
      <c r="Y561" s="62"/>
      <c r="Z561" s="62"/>
    </row>
    <row r="562" ht="25.5" customHeight="1">
      <c r="A562" s="62"/>
      <c r="B562" s="62"/>
      <c r="C562" s="316"/>
      <c r="D562" s="62"/>
      <c r="E562" s="62"/>
      <c r="F562" s="62"/>
      <c r="G562" s="316"/>
      <c r="H562" s="62"/>
      <c r="I562" s="316"/>
      <c r="J562" s="62"/>
      <c r="K562" s="62"/>
      <c r="L562" s="62"/>
      <c r="M562" s="62"/>
      <c r="N562" s="62"/>
      <c r="O562" s="62"/>
      <c r="P562" s="62"/>
      <c r="Q562" s="62"/>
      <c r="R562" s="62"/>
      <c r="S562" s="62"/>
      <c r="T562" s="62"/>
      <c r="U562" s="62"/>
      <c r="V562" s="62"/>
      <c r="W562" s="62"/>
      <c r="X562" s="62"/>
      <c r="Y562" s="62"/>
      <c r="Z562" s="62"/>
    </row>
    <row r="563" ht="25.5" customHeight="1">
      <c r="A563" s="62"/>
      <c r="B563" s="62"/>
      <c r="C563" s="316"/>
      <c r="D563" s="62"/>
      <c r="E563" s="62"/>
      <c r="F563" s="62"/>
      <c r="G563" s="316"/>
      <c r="H563" s="62"/>
      <c r="I563" s="316"/>
      <c r="J563" s="62"/>
      <c r="K563" s="62"/>
      <c r="L563" s="62"/>
      <c r="M563" s="62"/>
      <c r="N563" s="62"/>
      <c r="O563" s="62"/>
      <c r="P563" s="62"/>
      <c r="Q563" s="62"/>
      <c r="R563" s="62"/>
      <c r="S563" s="62"/>
      <c r="T563" s="62"/>
      <c r="U563" s="62"/>
      <c r="V563" s="62"/>
      <c r="W563" s="62"/>
      <c r="X563" s="62"/>
      <c r="Y563" s="62"/>
      <c r="Z563" s="62"/>
    </row>
    <row r="564" ht="25.5" customHeight="1">
      <c r="A564" s="62"/>
      <c r="B564" s="62"/>
      <c r="C564" s="316"/>
      <c r="D564" s="62"/>
      <c r="E564" s="62"/>
      <c r="F564" s="62"/>
      <c r="G564" s="316"/>
      <c r="H564" s="62"/>
      <c r="I564" s="316"/>
      <c r="J564" s="62"/>
      <c r="K564" s="62"/>
      <c r="L564" s="62"/>
      <c r="M564" s="62"/>
      <c r="N564" s="62"/>
      <c r="O564" s="62"/>
      <c r="P564" s="62"/>
      <c r="Q564" s="62"/>
      <c r="R564" s="62"/>
      <c r="S564" s="62"/>
      <c r="T564" s="62"/>
      <c r="U564" s="62"/>
      <c r="V564" s="62"/>
      <c r="W564" s="62"/>
      <c r="X564" s="62"/>
      <c r="Y564" s="62"/>
      <c r="Z564" s="62"/>
    </row>
    <row r="565" ht="25.5" customHeight="1">
      <c r="A565" s="62"/>
      <c r="B565" s="62"/>
      <c r="C565" s="316"/>
      <c r="D565" s="62"/>
      <c r="E565" s="62"/>
      <c r="F565" s="62"/>
      <c r="G565" s="316"/>
      <c r="H565" s="62"/>
      <c r="I565" s="316"/>
      <c r="J565" s="62"/>
      <c r="K565" s="62"/>
      <c r="L565" s="62"/>
      <c r="M565" s="62"/>
      <c r="N565" s="62"/>
      <c r="O565" s="62"/>
      <c r="P565" s="62"/>
      <c r="Q565" s="62"/>
      <c r="R565" s="62"/>
      <c r="S565" s="62"/>
      <c r="T565" s="62"/>
      <c r="U565" s="62"/>
      <c r="V565" s="62"/>
      <c r="W565" s="62"/>
      <c r="X565" s="62"/>
      <c r="Y565" s="62"/>
      <c r="Z565" s="62"/>
    </row>
    <row r="566" ht="25.5" customHeight="1">
      <c r="A566" s="62"/>
      <c r="B566" s="62"/>
      <c r="C566" s="316"/>
      <c r="D566" s="62"/>
      <c r="E566" s="62"/>
      <c r="F566" s="62"/>
      <c r="G566" s="316"/>
      <c r="H566" s="62"/>
      <c r="I566" s="316"/>
      <c r="J566" s="62"/>
      <c r="K566" s="62"/>
      <c r="L566" s="62"/>
      <c r="M566" s="62"/>
      <c r="N566" s="62"/>
      <c r="O566" s="62"/>
      <c r="P566" s="62"/>
      <c r="Q566" s="62"/>
      <c r="R566" s="62"/>
      <c r="S566" s="62"/>
      <c r="T566" s="62"/>
      <c r="U566" s="62"/>
      <c r="V566" s="62"/>
      <c r="W566" s="62"/>
      <c r="X566" s="62"/>
      <c r="Y566" s="62"/>
      <c r="Z566" s="62"/>
    </row>
    <row r="567" ht="25.5" customHeight="1">
      <c r="A567" s="62"/>
      <c r="B567" s="62"/>
      <c r="C567" s="316"/>
      <c r="D567" s="62"/>
      <c r="E567" s="62"/>
      <c r="F567" s="62"/>
      <c r="G567" s="316"/>
      <c r="H567" s="62"/>
      <c r="I567" s="316"/>
      <c r="J567" s="62"/>
      <c r="K567" s="62"/>
      <c r="L567" s="62"/>
      <c r="M567" s="62"/>
      <c r="N567" s="62"/>
      <c r="O567" s="62"/>
      <c r="P567" s="62"/>
      <c r="Q567" s="62"/>
      <c r="R567" s="62"/>
      <c r="S567" s="62"/>
      <c r="T567" s="62"/>
      <c r="U567" s="62"/>
      <c r="V567" s="62"/>
      <c r="W567" s="62"/>
      <c r="X567" s="62"/>
      <c r="Y567" s="62"/>
      <c r="Z567" s="62"/>
    </row>
    <row r="568" ht="25.5" customHeight="1">
      <c r="A568" s="62"/>
      <c r="B568" s="62"/>
      <c r="C568" s="316"/>
      <c r="D568" s="62"/>
      <c r="E568" s="62"/>
      <c r="F568" s="62"/>
      <c r="G568" s="316"/>
      <c r="H568" s="62"/>
      <c r="I568" s="316"/>
      <c r="J568" s="62"/>
      <c r="K568" s="62"/>
      <c r="L568" s="62"/>
      <c r="M568" s="62"/>
      <c r="N568" s="62"/>
      <c r="O568" s="62"/>
      <c r="P568" s="62"/>
      <c r="Q568" s="62"/>
      <c r="R568" s="62"/>
      <c r="S568" s="62"/>
      <c r="T568" s="62"/>
      <c r="U568" s="62"/>
      <c r="V568" s="62"/>
      <c r="W568" s="62"/>
      <c r="X568" s="62"/>
      <c r="Y568" s="62"/>
      <c r="Z568" s="62"/>
    </row>
    <row r="569" ht="25.5" customHeight="1">
      <c r="A569" s="62"/>
      <c r="B569" s="62"/>
      <c r="C569" s="316"/>
      <c r="D569" s="62"/>
      <c r="E569" s="62"/>
      <c r="F569" s="62"/>
      <c r="G569" s="316"/>
      <c r="H569" s="62"/>
      <c r="I569" s="316"/>
      <c r="J569" s="62"/>
      <c r="K569" s="62"/>
      <c r="L569" s="62"/>
      <c r="M569" s="62"/>
      <c r="N569" s="62"/>
      <c r="O569" s="62"/>
      <c r="P569" s="62"/>
      <c r="Q569" s="62"/>
      <c r="R569" s="62"/>
      <c r="S569" s="62"/>
      <c r="T569" s="62"/>
      <c r="U569" s="62"/>
      <c r="V569" s="62"/>
      <c r="W569" s="62"/>
      <c r="X569" s="62"/>
      <c r="Y569" s="62"/>
      <c r="Z569" s="62"/>
    </row>
    <row r="570" ht="25.5" customHeight="1">
      <c r="A570" s="62"/>
      <c r="B570" s="62"/>
      <c r="C570" s="316"/>
      <c r="D570" s="62"/>
      <c r="E570" s="62"/>
      <c r="F570" s="62"/>
      <c r="G570" s="316"/>
      <c r="H570" s="62"/>
      <c r="I570" s="316"/>
      <c r="J570" s="62"/>
      <c r="K570" s="62"/>
      <c r="L570" s="62"/>
      <c r="M570" s="62"/>
      <c r="N570" s="62"/>
      <c r="O570" s="62"/>
      <c r="P570" s="62"/>
      <c r="Q570" s="62"/>
      <c r="R570" s="62"/>
      <c r="S570" s="62"/>
      <c r="T570" s="62"/>
      <c r="U570" s="62"/>
      <c r="V570" s="62"/>
      <c r="W570" s="62"/>
      <c r="X570" s="62"/>
      <c r="Y570" s="62"/>
      <c r="Z570" s="62"/>
    </row>
    <row r="571" ht="25.5" customHeight="1">
      <c r="A571" s="62"/>
      <c r="B571" s="62"/>
      <c r="C571" s="316"/>
      <c r="D571" s="62"/>
      <c r="E571" s="62"/>
      <c r="F571" s="62"/>
      <c r="G571" s="316"/>
      <c r="H571" s="62"/>
      <c r="I571" s="316"/>
      <c r="J571" s="62"/>
      <c r="K571" s="62"/>
      <c r="L571" s="62"/>
      <c r="M571" s="62"/>
      <c r="N571" s="62"/>
      <c r="O571" s="62"/>
      <c r="P571" s="62"/>
      <c r="Q571" s="62"/>
      <c r="R571" s="62"/>
      <c r="S571" s="62"/>
      <c r="T571" s="62"/>
      <c r="U571" s="62"/>
      <c r="V571" s="62"/>
      <c r="W571" s="62"/>
      <c r="X571" s="62"/>
      <c r="Y571" s="62"/>
      <c r="Z571" s="62"/>
    </row>
    <row r="572" ht="25.5" customHeight="1">
      <c r="A572" s="62"/>
      <c r="B572" s="62"/>
      <c r="C572" s="316"/>
      <c r="D572" s="62"/>
      <c r="E572" s="62"/>
      <c r="F572" s="62"/>
      <c r="G572" s="316"/>
      <c r="H572" s="62"/>
      <c r="I572" s="316"/>
      <c r="J572" s="62"/>
      <c r="K572" s="62"/>
      <c r="L572" s="62"/>
      <c r="M572" s="62"/>
      <c r="N572" s="62"/>
      <c r="O572" s="62"/>
      <c r="P572" s="62"/>
      <c r="Q572" s="62"/>
      <c r="R572" s="62"/>
      <c r="S572" s="62"/>
      <c r="T572" s="62"/>
      <c r="U572" s="62"/>
      <c r="V572" s="62"/>
      <c r="W572" s="62"/>
      <c r="X572" s="62"/>
      <c r="Y572" s="62"/>
      <c r="Z572" s="62"/>
    </row>
    <row r="573" ht="25.5" customHeight="1">
      <c r="A573" s="62"/>
      <c r="B573" s="62"/>
      <c r="C573" s="316"/>
      <c r="D573" s="62"/>
      <c r="E573" s="62"/>
      <c r="F573" s="62"/>
      <c r="G573" s="316"/>
      <c r="H573" s="62"/>
      <c r="I573" s="316"/>
      <c r="J573" s="62"/>
      <c r="K573" s="62"/>
      <c r="L573" s="62"/>
      <c r="M573" s="62"/>
      <c r="N573" s="62"/>
      <c r="O573" s="62"/>
      <c r="P573" s="62"/>
      <c r="Q573" s="62"/>
      <c r="R573" s="62"/>
      <c r="S573" s="62"/>
      <c r="T573" s="62"/>
      <c r="U573" s="62"/>
      <c r="V573" s="62"/>
      <c r="W573" s="62"/>
      <c r="X573" s="62"/>
      <c r="Y573" s="62"/>
      <c r="Z573" s="62"/>
    </row>
    <row r="574" ht="25.5" customHeight="1">
      <c r="A574" s="62"/>
      <c r="B574" s="62"/>
      <c r="C574" s="316"/>
      <c r="D574" s="62"/>
      <c r="E574" s="62"/>
      <c r="F574" s="62"/>
      <c r="G574" s="316"/>
      <c r="H574" s="62"/>
      <c r="I574" s="316"/>
      <c r="J574" s="62"/>
      <c r="K574" s="62"/>
      <c r="L574" s="62"/>
      <c r="M574" s="62"/>
      <c r="N574" s="62"/>
      <c r="O574" s="62"/>
      <c r="P574" s="62"/>
      <c r="Q574" s="62"/>
      <c r="R574" s="62"/>
      <c r="S574" s="62"/>
      <c r="T574" s="62"/>
      <c r="U574" s="62"/>
      <c r="V574" s="62"/>
      <c r="W574" s="62"/>
      <c r="X574" s="62"/>
      <c r="Y574" s="62"/>
      <c r="Z574" s="62"/>
    </row>
    <row r="575" ht="25.5" customHeight="1">
      <c r="A575" s="62"/>
      <c r="B575" s="62"/>
      <c r="C575" s="316"/>
      <c r="D575" s="62"/>
      <c r="E575" s="62"/>
      <c r="F575" s="62"/>
      <c r="G575" s="316"/>
      <c r="H575" s="62"/>
      <c r="I575" s="316"/>
      <c r="J575" s="62"/>
      <c r="K575" s="62"/>
      <c r="L575" s="62"/>
      <c r="M575" s="62"/>
      <c r="N575" s="62"/>
      <c r="O575" s="62"/>
      <c r="P575" s="62"/>
      <c r="Q575" s="62"/>
      <c r="R575" s="62"/>
      <c r="S575" s="62"/>
      <c r="T575" s="62"/>
      <c r="U575" s="62"/>
      <c r="V575" s="62"/>
      <c r="W575" s="62"/>
      <c r="X575" s="62"/>
      <c r="Y575" s="62"/>
      <c r="Z575" s="62"/>
    </row>
    <row r="576" ht="25.5" customHeight="1">
      <c r="A576" s="62"/>
      <c r="B576" s="62"/>
      <c r="C576" s="316"/>
      <c r="D576" s="62"/>
      <c r="E576" s="62"/>
      <c r="F576" s="62"/>
      <c r="G576" s="316"/>
      <c r="H576" s="62"/>
      <c r="I576" s="316"/>
      <c r="J576" s="62"/>
      <c r="K576" s="62"/>
      <c r="L576" s="62"/>
      <c r="M576" s="62"/>
      <c r="N576" s="62"/>
      <c r="O576" s="62"/>
      <c r="P576" s="62"/>
      <c r="Q576" s="62"/>
      <c r="R576" s="62"/>
      <c r="S576" s="62"/>
      <c r="T576" s="62"/>
      <c r="U576" s="62"/>
      <c r="V576" s="62"/>
      <c r="W576" s="62"/>
      <c r="X576" s="62"/>
      <c r="Y576" s="62"/>
      <c r="Z576" s="62"/>
    </row>
    <row r="577" ht="25.5" customHeight="1">
      <c r="A577" s="62"/>
      <c r="B577" s="62"/>
      <c r="C577" s="316"/>
      <c r="D577" s="62"/>
      <c r="E577" s="62"/>
      <c r="F577" s="62"/>
      <c r="G577" s="316"/>
      <c r="H577" s="62"/>
      <c r="I577" s="316"/>
      <c r="J577" s="62"/>
      <c r="K577" s="62"/>
      <c r="L577" s="62"/>
      <c r="M577" s="62"/>
      <c r="N577" s="62"/>
      <c r="O577" s="62"/>
      <c r="P577" s="62"/>
      <c r="Q577" s="62"/>
      <c r="R577" s="62"/>
      <c r="S577" s="62"/>
      <c r="T577" s="62"/>
      <c r="U577" s="62"/>
      <c r="V577" s="62"/>
      <c r="W577" s="62"/>
      <c r="X577" s="62"/>
      <c r="Y577" s="62"/>
      <c r="Z577" s="62"/>
    </row>
    <row r="578" ht="25.5" customHeight="1">
      <c r="A578" s="62"/>
      <c r="B578" s="62"/>
      <c r="C578" s="316"/>
      <c r="D578" s="62"/>
      <c r="E578" s="62"/>
      <c r="F578" s="62"/>
      <c r="G578" s="316"/>
      <c r="H578" s="62"/>
      <c r="I578" s="316"/>
      <c r="J578" s="62"/>
      <c r="K578" s="62"/>
      <c r="L578" s="62"/>
      <c r="M578" s="62"/>
      <c r="N578" s="62"/>
      <c r="O578" s="62"/>
      <c r="P578" s="62"/>
      <c r="Q578" s="62"/>
      <c r="R578" s="62"/>
      <c r="S578" s="62"/>
      <c r="T578" s="62"/>
      <c r="U578" s="62"/>
      <c r="V578" s="62"/>
      <c r="W578" s="62"/>
      <c r="X578" s="62"/>
      <c r="Y578" s="62"/>
      <c r="Z578" s="62"/>
    </row>
    <row r="579" ht="25.5" customHeight="1">
      <c r="A579" s="62"/>
      <c r="B579" s="62"/>
      <c r="C579" s="316"/>
      <c r="D579" s="62"/>
      <c r="E579" s="62"/>
      <c r="F579" s="62"/>
      <c r="G579" s="316"/>
      <c r="H579" s="62"/>
      <c r="I579" s="316"/>
      <c r="J579" s="62"/>
      <c r="K579" s="62"/>
      <c r="L579" s="62"/>
      <c r="M579" s="62"/>
      <c r="N579" s="62"/>
      <c r="O579" s="62"/>
      <c r="P579" s="62"/>
      <c r="Q579" s="62"/>
      <c r="R579" s="62"/>
      <c r="S579" s="62"/>
      <c r="T579" s="62"/>
      <c r="U579" s="62"/>
      <c r="V579" s="62"/>
      <c r="W579" s="62"/>
      <c r="X579" s="62"/>
      <c r="Y579" s="62"/>
      <c r="Z579" s="62"/>
    </row>
    <row r="580" ht="25.5" customHeight="1">
      <c r="A580" s="62"/>
      <c r="B580" s="62"/>
      <c r="C580" s="316"/>
      <c r="D580" s="62"/>
      <c r="E580" s="62"/>
      <c r="F580" s="62"/>
      <c r="G580" s="316"/>
      <c r="H580" s="62"/>
      <c r="I580" s="316"/>
      <c r="J580" s="62"/>
      <c r="K580" s="62"/>
      <c r="L580" s="62"/>
      <c r="M580" s="62"/>
      <c r="N580" s="62"/>
      <c r="O580" s="62"/>
      <c r="P580" s="62"/>
      <c r="Q580" s="62"/>
      <c r="R580" s="62"/>
      <c r="S580" s="62"/>
      <c r="T580" s="62"/>
      <c r="U580" s="62"/>
      <c r="V580" s="62"/>
      <c r="W580" s="62"/>
      <c r="X580" s="62"/>
      <c r="Y580" s="62"/>
      <c r="Z580" s="62"/>
    </row>
    <row r="581" ht="25.5" customHeight="1">
      <c r="A581" s="62"/>
      <c r="B581" s="62"/>
      <c r="C581" s="316"/>
      <c r="D581" s="62"/>
      <c r="E581" s="62"/>
      <c r="F581" s="62"/>
      <c r="G581" s="316"/>
      <c r="H581" s="62"/>
      <c r="I581" s="316"/>
      <c r="J581" s="62"/>
      <c r="K581" s="62"/>
      <c r="L581" s="62"/>
      <c r="M581" s="62"/>
      <c r="N581" s="62"/>
      <c r="O581" s="62"/>
      <c r="P581" s="62"/>
      <c r="Q581" s="62"/>
      <c r="R581" s="62"/>
      <c r="S581" s="62"/>
      <c r="T581" s="62"/>
      <c r="U581" s="62"/>
      <c r="V581" s="62"/>
      <c r="W581" s="62"/>
      <c r="X581" s="62"/>
      <c r="Y581" s="62"/>
      <c r="Z581" s="62"/>
    </row>
    <row r="582" ht="25.5" customHeight="1">
      <c r="A582" s="62"/>
      <c r="B582" s="62"/>
      <c r="C582" s="316"/>
      <c r="D582" s="62"/>
      <c r="E582" s="62"/>
      <c r="F582" s="62"/>
      <c r="G582" s="316"/>
      <c r="H582" s="62"/>
      <c r="I582" s="316"/>
      <c r="J582" s="62"/>
      <c r="K582" s="62"/>
      <c r="L582" s="62"/>
      <c r="M582" s="62"/>
      <c r="N582" s="62"/>
      <c r="O582" s="62"/>
      <c r="P582" s="62"/>
      <c r="Q582" s="62"/>
      <c r="R582" s="62"/>
      <c r="S582" s="62"/>
      <c r="T582" s="62"/>
      <c r="U582" s="62"/>
      <c r="V582" s="62"/>
      <c r="W582" s="62"/>
      <c r="X582" s="62"/>
      <c r="Y582" s="62"/>
      <c r="Z582" s="62"/>
    </row>
    <row r="583" ht="25.5" customHeight="1">
      <c r="A583" s="62"/>
      <c r="B583" s="62"/>
      <c r="C583" s="316"/>
      <c r="D583" s="62"/>
      <c r="E583" s="62"/>
      <c r="F583" s="62"/>
      <c r="G583" s="316"/>
      <c r="H583" s="62"/>
      <c r="I583" s="316"/>
      <c r="J583" s="62"/>
      <c r="K583" s="62"/>
      <c r="L583" s="62"/>
      <c r="M583" s="62"/>
      <c r="N583" s="62"/>
      <c r="O583" s="62"/>
      <c r="P583" s="62"/>
      <c r="Q583" s="62"/>
      <c r="R583" s="62"/>
      <c r="S583" s="62"/>
      <c r="T583" s="62"/>
      <c r="U583" s="62"/>
      <c r="V583" s="62"/>
      <c r="W583" s="62"/>
      <c r="X583" s="62"/>
      <c r="Y583" s="62"/>
      <c r="Z583" s="62"/>
    </row>
    <row r="584" ht="25.5" customHeight="1">
      <c r="A584" s="62"/>
      <c r="B584" s="62"/>
      <c r="C584" s="316"/>
      <c r="D584" s="62"/>
      <c r="E584" s="62"/>
      <c r="F584" s="62"/>
      <c r="G584" s="316"/>
      <c r="H584" s="62"/>
      <c r="I584" s="316"/>
      <c r="J584" s="62"/>
      <c r="K584" s="62"/>
      <c r="L584" s="62"/>
      <c r="M584" s="62"/>
      <c r="N584" s="62"/>
      <c r="O584" s="62"/>
      <c r="P584" s="62"/>
      <c r="Q584" s="62"/>
      <c r="R584" s="62"/>
      <c r="S584" s="62"/>
      <c r="T584" s="62"/>
      <c r="U584" s="62"/>
      <c r="V584" s="62"/>
      <c r="W584" s="62"/>
      <c r="X584" s="62"/>
      <c r="Y584" s="62"/>
      <c r="Z584" s="62"/>
    </row>
    <row r="585" ht="25.5" customHeight="1">
      <c r="A585" s="62"/>
      <c r="B585" s="62"/>
      <c r="C585" s="316"/>
      <c r="D585" s="62"/>
      <c r="E585" s="62"/>
      <c r="F585" s="62"/>
      <c r="G585" s="316"/>
      <c r="H585" s="62"/>
      <c r="I585" s="316"/>
      <c r="J585" s="62"/>
      <c r="K585" s="62"/>
      <c r="L585" s="62"/>
      <c r="M585" s="62"/>
      <c r="N585" s="62"/>
      <c r="O585" s="62"/>
      <c r="P585" s="62"/>
      <c r="Q585" s="62"/>
      <c r="R585" s="62"/>
      <c r="S585" s="62"/>
      <c r="T585" s="62"/>
      <c r="U585" s="62"/>
      <c r="V585" s="62"/>
      <c r="W585" s="62"/>
      <c r="X585" s="62"/>
      <c r="Y585" s="62"/>
      <c r="Z585" s="62"/>
    </row>
    <row r="586" ht="25.5" customHeight="1">
      <c r="A586" s="62"/>
      <c r="B586" s="62"/>
      <c r="C586" s="316"/>
      <c r="D586" s="62"/>
      <c r="E586" s="62"/>
      <c r="F586" s="62"/>
      <c r="G586" s="316"/>
      <c r="H586" s="62"/>
      <c r="I586" s="316"/>
      <c r="J586" s="62"/>
      <c r="K586" s="62"/>
      <c r="L586" s="62"/>
      <c r="M586" s="62"/>
      <c r="N586" s="62"/>
      <c r="O586" s="62"/>
      <c r="P586" s="62"/>
      <c r="Q586" s="62"/>
      <c r="R586" s="62"/>
      <c r="S586" s="62"/>
      <c r="T586" s="62"/>
      <c r="U586" s="62"/>
      <c r="V586" s="62"/>
      <c r="W586" s="62"/>
      <c r="X586" s="62"/>
      <c r="Y586" s="62"/>
      <c r="Z586" s="62"/>
    </row>
    <row r="587" ht="25.5" customHeight="1">
      <c r="A587" s="62"/>
      <c r="B587" s="62"/>
      <c r="C587" s="316"/>
      <c r="D587" s="62"/>
      <c r="E587" s="62"/>
      <c r="F587" s="62"/>
      <c r="G587" s="316"/>
      <c r="H587" s="62"/>
      <c r="I587" s="316"/>
      <c r="J587" s="62"/>
      <c r="K587" s="62"/>
      <c r="L587" s="62"/>
      <c r="M587" s="62"/>
      <c r="N587" s="62"/>
      <c r="O587" s="62"/>
      <c r="P587" s="62"/>
      <c r="Q587" s="62"/>
      <c r="R587" s="62"/>
      <c r="S587" s="62"/>
      <c r="T587" s="62"/>
      <c r="U587" s="62"/>
      <c r="V587" s="62"/>
      <c r="W587" s="62"/>
      <c r="X587" s="62"/>
      <c r="Y587" s="62"/>
      <c r="Z587" s="62"/>
    </row>
    <row r="588" ht="25.5" customHeight="1">
      <c r="A588" s="62"/>
      <c r="B588" s="62"/>
      <c r="C588" s="316"/>
      <c r="D588" s="62"/>
      <c r="E588" s="62"/>
      <c r="F588" s="62"/>
      <c r="G588" s="316"/>
      <c r="H588" s="62"/>
      <c r="I588" s="316"/>
      <c r="J588" s="62"/>
      <c r="K588" s="62"/>
      <c r="L588" s="62"/>
      <c r="M588" s="62"/>
      <c r="N588" s="62"/>
      <c r="O588" s="62"/>
      <c r="P588" s="62"/>
      <c r="Q588" s="62"/>
      <c r="R588" s="62"/>
      <c r="S588" s="62"/>
      <c r="T588" s="62"/>
      <c r="U588" s="62"/>
      <c r="V588" s="62"/>
      <c r="W588" s="62"/>
      <c r="X588" s="62"/>
      <c r="Y588" s="62"/>
      <c r="Z588" s="62"/>
    </row>
    <row r="589" ht="25.5" customHeight="1">
      <c r="A589" s="62"/>
      <c r="B589" s="62"/>
      <c r="C589" s="316"/>
      <c r="D589" s="62"/>
      <c r="E589" s="62"/>
      <c r="F589" s="62"/>
      <c r="G589" s="316"/>
      <c r="H589" s="62"/>
      <c r="I589" s="316"/>
      <c r="J589" s="62"/>
      <c r="K589" s="62"/>
      <c r="L589" s="62"/>
      <c r="M589" s="62"/>
      <c r="N589" s="62"/>
      <c r="O589" s="62"/>
      <c r="P589" s="62"/>
      <c r="Q589" s="62"/>
      <c r="R589" s="62"/>
      <c r="S589" s="62"/>
      <c r="T589" s="62"/>
      <c r="U589" s="62"/>
      <c r="V589" s="62"/>
      <c r="W589" s="62"/>
      <c r="X589" s="62"/>
      <c r="Y589" s="62"/>
      <c r="Z589" s="62"/>
    </row>
    <row r="590" ht="25.5" customHeight="1">
      <c r="A590" s="62"/>
      <c r="B590" s="62"/>
      <c r="C590" s="316"/>
      <c r="D590" s="62"/>
      <c r="E590" s="62"/>
      <c r="F590" s="62"/>
      <c r="G590" s="316"/>
      <c r="H590" s="62"/>
      <c r="I590" s="316"/>
      <c r="J590" s="62"/>
      <c r="K590" s="62"/>
      <c r="L590" s="62"/>
      <c r="M590" s="62"/>
      <c r="N590" s="62"/>
      <c r="O590" s="62"/>
      <c r="P590" s="62"/>
      <c r="Q590" s="62"/>
      <c r="R590" s="62"/>
      <c r="S590" s="62"/>
      <c r="T590" s="62"/>
      <c r="U590" s="62"/>
      <c r="V590" s="62"/>
      <c r="W590" s="62"/>
      <c r="X590" s="62"/>
      <c r="Y590" s="62"/>
      <c r="Z590" s="62"/>
    </row>
    <row r="591" ht="25.5" customHeight="1">
      <c r="A591" s="62"/>
      <c r="B591" s="62"/>
      <c r="C591" s="316"/>
      <c r="D591" s="62"/>
      <c r="E591" s="62"/>
      <c r="F591" s="62"/>
      <c r="G591" s="316"/>
      <c r="H591" s="62"/>
      <c r="I591" s="316"/>
      <c r="J591" s="62"/>
      <c r="K591" s="62"/>
      <c r="L591" s="62"/>
      <c r="M591" s="62"/>
      <c r="N591" s="62"/>
      <c r="O591" s="62"/>
      <c r="P591" s="62"/>
      <c r="Q591" s="62"/>
      <c r="R591" s="62"/>
      <c r="S591" s="62"/>
      <c r="T591" s="62"/>
      <c r="U591" s="62"/>
      <c r="V591" s="62"/>
      <c r="W591" s="62"/>
      <c r="X591" s="62"/>
      <c r="Y591" s="62"/>
      <c r="Z591" s="62"/>
    </row>
    <row r="592" ht="25.5" customHeight="1">
      <c r="A592" s="62"/>
      <c r="B592" s="62"/>
      <c r="C592" s="316"/>
      <c r="D592" s="62"/>
      <c r="E592" s="62"/>
      <c r="F592" s="62"/>
      <c r="G592" s="316"/>
      <c r="H592" s="62"/>
      <c r="I592" s="316"/>
      <c r="J592" s="62"/>
      <c r="K592" s="62"/>
      <c r="L592" s="62"/>
      <c r="M592" s="62"/>
      <c r="N592" s="62"/>
      <c r="O592" s="62"/>
      <c r="P592" s="62"/>
      <c r="Q592" s="62"/>
      <c r="R592" s="62"/>
      <c r="S592" s="62"/>
      <c r="T592" s="62"/>
      <c r="U592" s="62"/>
      <c r="V592" s="62"/>
      <c r="W592" s="62"/>
      <c r="X592" s="62"/>
      <c r="Y592" s="62"/>
      <c r="Z592" s="62"/>
    </row>
    <row r="593" ht="25.5" customHeight="1">
      <c r="A593" s="62"/>
      <c r="B593" s="62"/>
      <c r="C593" s="316"/>
      <c r="D593" s="62"/>
      <c r="E593" s="62"/>
      <c r="F593" s="62"/>
      <c r="G593" s="316"/>
      <c r="H593" s="62"/>
      <c r="I593" s="316"/>
      <c r="J593" s="62"/>
      <c r="K593" s="62"/>
      <c r="L593" s="62"/>
      <c r="M593" s="62"/>
      <c r="N593" s="62"/>
      <c r="O593" s="62"/>
      <c r="P593" s="62"/>
      <c r="Q593" s="62"/>
      <c r="R593" s="62"/>
      <c r="S593" s="62"/>
      <c r="T593" s="62"/>
      <c r="U593" s="62"/>
      <c r="V593" s="62"/>
      <c r="W593" s="62"/>
      <c r="X593" s="62"/>
      <c r="Y593" s="62"/>
      <c r="Z593" s="62"/>
    </row>
    <row r="594" ht="25.5" customHeight="1">
      <c r="A594" s="62"/>
      <c r="B594" s="62"/>
      <c r="C594" s="316"/>
      <c r="D594" s="62"/>
      <c r="E594" s="62"/>
      <c r="F594" s="62"/>
      <c r="G594" s="316"/>
      <c r="H594" s="62"/>
      <c r="I594" s="316"/>
      <c r="J594" s="62"/>
      <c r="K594" s="62"/>
      <c r="L594" s="62"/>
      <c r="M594" s="62"/>
      <c r="N594" s="62"/>
      <c r="O594" s="62"/>
      <c r="P594" s="62"/>
      <c r="Q594" s="62"/>
      <c r="R594" s="62"/>
      <c r="S594" s="62"/>
      <c r="T594" s="62"/>
      <c r="U594" s="62"/>
      <c r="V594" s="62"/>
      <c r="W594" s="62"/>
      <c r="X594" s="62"/>
      <c r="Y594" s="62"/>
      <c r="Z594" s="62"/>
    </row>
    <row r="595" ht="25.5" customHeight="1">
      <c r="A595" s="62"/>
      <c r="B595" s="62"/>
      <c r="C595" s="316"/>
      <c r="D595" s="62"/>
      <c r="E595" s="62"/>
      <c r="F595" s="62"/>
      <c r="G595" s="316"/>
      <c r="H595" s="62"/>
      <c r="I595" s="316"/>
      <c r="J595" s="62"/>
      <c r="K595" s="62"/>
      <c r="L595" s="62"/>
      <c r="M595" s="62"/>
      <c r="N595" s="62"/>
      <c r="O595" s="62"/>
      <c r="P595" s="62"/>
      <c r="Q595" s="62"/>
      <c r="R595" s="62"/>
      <c r="S595" s="62"/>
      <c r="T595" s="62"/>
      <c r="U595" s="62"/>
      <c r="V595" s="62"/>
      <c r="W595" s="62"/>
      <c r="X595" s="62"/>
      <c r="Y595" s="62"/>
      <c r="Z595" s="62"/>
    </row>
    <row r="596" ht="25.5" customHeight="1">
      <c r="A596" s="62"/>
      <c r="B596" s="62"/>
      <c r="C596" s="316"/>
      <c r="D596" s="62"/>
      <c r="E596" s="62"/>
      <c r="F596" s="62"/>
      <c r="G596" s="316"/>
      <c r="H596" s="62"/>
      <c r="I596" s="316"/>
      <c r="J596" s="62"/>
      <c r="K596" s="62"/>
      <c r="L596" s="62"/>
      <c r="M596" s="62"/>
      <c r="N596" s="62"/>
      <c r="O596" s="62"/>
      <c r="P596" s="62"/>
      <c r="Q596" s="62"/>
      <c r="R596" s="62"/>
      <c r="S596" s="62"/>
      <c r="T596" s="62"/>
      <c r="U596" s="62"/>
      <c r="V596" s="62"/>
      <c r="W596" s="62"/>
      <c r="X596" s="62"/>
      <c r="Y596" s="62"/>
      <c r="Z596" s="62"/>
    </row>
    <row r="597" ht="25.5" customHeight="1">
      <c r="A597" s="62"/>
      <c r="B597" s="62"/>
      <c r="C597" s="316"/>
      <c r="D597" s="62"/>
      <c r="E597" s="62"/>
      <c r="F597" s="62"/>
      <c r="G597" s="316"/>
      <c r="H597" s="62"/>
      <c r="I597" s="316"/>
      <c r="J597" s="62"/>
      <c r="K597" s="62"/>
      <c r="L597" s="62"/>
      <c r="M597" s="62"/>
      <c r="N597" s="62"/>
      <c r="O597" s="62"/>
      <c r="P597" s="62"/>
      <c r="Q597" s="62"/>
      <c r="R597" s="62"/>
      <c r="S597" s="62"/>
      <c r="T597" s="62"/>
      <c r="U597" s="62"/>
      <c r="V597" s="62"/>
      <c r="W597" s="62"/>
      <c r="X597" s="62"/>
      <c r="Y597" s="62"/>
      <c r="Z597" s="62"/>
    </row>
    <row r="598" ht="25.5" customHeight="1">
      <c r="A598" s="62"/>
      <c r="B598" s="62"/>
      <c r="C598" s="316"/>
      <c r="D598" s="62"/>
      <c r="E598" s="62"/>
      <c r="F598" s="62"/>
      <c r="G598" s="316"/>
      <c r="H598" s="62"/>
      <c r="I598" s="316"/>
      <c r="J598" s="62"/>
      <c r="K598" s="62"/>
      <c r="L598" s="62"/>
      <c r="M598" s="62"/>
      <c r="N598" s="62"/>
      <c r="O598" s="62"/>
      <c r="P598" s="62"/>
      <c r="Q598" s="62"/>
      <c r="R598" s="62"/>
      <c r="S598" s="62"/>
      <c r="T598" s="62"/>
      <c r="U598" s="62"/>
      <c r="V598" s="62"/>
      <c r="W598" s="62"/>
      <c r="X598" s="62"/>
      <c r="Y598" s="62"/>
      <c r="Z598" s="62"/>
    </row>
    <row r="599" ht="25.5" customHeight="1">
      <c r="A599" s="62"/>
      <c r="B599" s="62"/>
      <c r="C599" s="316"/>
      <c r="D599" s="62"/>
      <c r="E599" s="62"/>
      <c r="F599" s="62"/>
      <c r="G599" s="316"/>
      <c r="H599" s="62"/>
      <c r="I599" s="316"/>
      <c r="J599" s="62"/>
      <c r="K599" s="62"/>
      <c r="L599" s="62"/>
      <c r="M599" s="62"/>
      <c r="N599" s="62"/>
      <c r="O599" s="62"/>
      <c r="P599" s="62"/>
      <c r="Q599" s="62"/>
      <c r="R599" s="62"/>
      <c r="S599" s="62"/>
      <c r="T599" s="62"/>
      <c r="U599" s="62"/>
      <c r="V599" s="62"/>
      <c r="W599" s="62"/>
      <c r="X599" s="62"/>
      <c r="Y599" s="62"/>
      <c r="Z599" s="62"/>
    </row>
    <row r="600" ht="25.5" customHeight="1">
      <c r="A600" s="62"/>
      <c r="B600" s="62"/>
      <c r="C600" s="316"/>
      <c r="D600" s="62"/>
      <c r="E600" s="62"/>
      <c r="F600" s="62"/>
      <c r="G600" s="316"/>
      <c r="H600" s="62"/>
      <c r="I600" s="316"/>
      <c r="J600" s="62"/>
      <c r="K600" s="62"/>
      <c r="L600" s="62"/>
      <c r="M600" s="62"/>
      <c r="N600" s="62"/>
      <c r="O600" s="62"/>
      <c r="P600" s="62"/>
      <c r="Q600" s="62"/>
      <c r="R600" s="62"/>
      <c r="S600" s="62"/>
      <c r="T600" s="62"/>
      <c r="U600" s="62"/>
      <c r="V600" s="62"/>
      <c r="W600" s="62"/>
      <c r="X600" s="62"/>
      <c r="Y600" s="62"/>
      <c r="Z600" s="62"/>
    </row>
    <row r="601" ht="25.5" customHeight="1">
      <c r="A601" s="62"/>
      <c r="B601" s="62"/>
      <c r="C601" s="316"/>
      <c r="D601" s="62"/>
      <c r="E601" s="62"/>
      <c r="F601" s="62"/>
      <c r="G601" s="316"/>
      <c r="H601" s="62"/>
      <c r="I601" s="316"/>
      <c r="J601" s="62"/>
      <c r="K601" s="62"/>
      <c r="L601" s="62"/>
      <c r="M601" s="62"/>
      <c r="N601" s="62"/>
      <c r="O601" s="62"/>
      <c r="P601" s="62"/>
      <c r="Q601" s="62"/>
      <c r="R601" s="62"/>
      <c r="S601" s="62"/>
      <c r="T601" s="62"/>
      <c r="U601" s="62"/>
      <c r="V601" s="62"/>
      <c r="W601" s="62"/>
      <c r="X601" s="62"/>
      <c r="Y601" s="62"/>
      <c r="Z601" s="62"/>
    </row>
    <row r="602" ht="25.5" customHeight="1">
      <c r="A602" s="62"/>
      <c r="B602" s="62"/>
      <c r="C602" s="316"/>
      <c r="D602" s="62"/>
      <c r="E602" s="62"/>
      <c r="F602" s="62"/>
      <c r="G602" s="316"/>
      <c r="H602" s="62"/>
      <c r="I602" s="316"/>
      <c r="J602" s="62"/>
      <c r="K602" s="62"/>
      <c r="L602" s="62"/>
      <c r="M602" s="62"/>
      <c r="N602" s="62"/>
      <c r="O602" s="62"/>
      <c r="P602" s="62"/>
      <c r="Q602" s="62"/>
      <c r="R602" s="62"/>
      <c r="S602" s="62"/>
      <c r="T602" s="62"/>
      <c r="U602" s="62"/>
      <c r="V602" s="62"/>
      <c r="W602" s="62"/>
      <c r="X602" s="62"/>
      <c r="Y602" s="62"/>
      <c r="Z602" s="62"/>
    </row>
    <row r="603" ht="25.5" customHeight="1">
      <c r="A603" s="62"/>
      <c r="B603" s="62"/>
      <c r="C603" s="316"/>
      <c r="D603" s="62"/>
      <c r="E603" s="62"/>
      <c r="F603" s="62"/>
      <c r="G603" s="316"/>
      <c r="H603" s="62"/>
      <c r="I603" s="316"/>
      <c r="J603" s="62"/>
      <c r="K603" s="62"/>
      <c r="L603" s="62"/>
      <c r="M603" s="62"/>
      <c r="N603" s="62"/>
      <c r="O603" s="62"/>
      <c r="P603" s="62"/>
      <c r="Q603" s="62"/>
      <c r="R603" s="62"/>
      <c r="S603" s="62"/>
      <c r="T603" s="62"/>
      <c r="U603" s="62"/>
      <c r="V603" s="62"/>
      <c r="W603" s="62"/>
      <c r="X603" s="62"/>
      <c r="Y603" s="62"/>
      <c r="Z603" s="62"/>
    </row>
    <row r="604" ht="25.5" customHeight="1">
      <c r="A604" s="62"/>
      <c r="B604" s="62"/>
      <c r="C604" s="316"/>
      <c r="D604" s="62"/>
      <c r="E604" s="62"/>
      <c r="F604" s="62"/>
      <c r="G604" s="316"/>
      <c r="H604" s="62"/>
      <c r="I604" s="316"/>
      <c r="J604" s="62"/>
      <c r="K604" s="62"/>
      <c r="L604" s="62"/>
      <c r="M604" s="62"/>
      <c r="N604" s="62"/>
      <c r="O604" s="62"/>
      <c r="P604" s="62"/>
      <c r="Q604" s="62"/>
      <c r="R604" s="62"/>
      <c r="S604" s="62"/>
      <c r="T604" s="62"/>
      <c r="U604" s="62"/>
      <c r="V604" s="62"/>
      <c r="W604" s="62"/>
      <c r="X604" s="62"/>
      <c r="Y604" s="62"/>
      <c r="Z604" s="62"/>
    </row>
    <row r="605" ht="25.5" customHeight="1">
      <c r="A605" s="62"/>
      <c r="B605" s="62"/>
      <c r="C605" s="316"/>
      <c r="D605" s="62"/>
      <c r="E605" s="62"/>
      <c r="F605" s="62"/>
      <c r="G605" s="316"/>
      <c r="H605" s="62"/>
      <c r="I605" s="316"/>
      <c r="J605" s="62"/>
      <c r="K605" s="62"/>
      <c r="L605" s="62"/>
      <c r="M605" s="62"/>
      <c r="N605" s="62"/>
      <c r="O605" s="62"/>
      <c r="P605" s="62"/>
      <c r="Q605" s="62"/>
      <c r="R605" s="62"/>
      <c r="S605" s="62"/>
      <c r="T605" s="62"/>
      <c r="U605" s="62"/>
      <c r="V605" s="62"/>
      <c r="W605" s="62"/>
      <c r="X605" s="62"/>
      <c r="Y605" s="62"/>
      <c r="Z605" s="62"/>
    </row>
    <row r="606" ht="25.5" customHeight="1">
      <c r="A606" s="62"/>
      <c r="B606" s="62"/>
      <c r="C606" s="316"/>
      <c r="D606" s="62"/>
      <c r="E606" s="62"/>
      <c r="F606" s="62"/>
      <c r="G606" s="316"/>
      <c r="H606" s="62"/>
      <c r="I606" s="316"/>
      <c r="J606" s="62"/>
      <c r="K606" s="62"/>
      <c r="L606" s="62"/>
      <c r="M606" s="62"/>
      <c r="N606" s="62"/>
      <c r="O606" s="62"/>
      <c r="P606" s="62"/>
      <c r="Q606" s="62"/>
      <c r="R606" s="62"/>
      <c r="S606" s="62"/>
      <c r="T606" s="62"/>
      <c r="U606" s="62"/>
      <c r="V606" s="62"/>
      <c r="W606" s="62"/>
      <c r="X606" s="62"/>
      <c r="Y606" s="62"/>
      <c r="Z606" s="62"/>
    </row>
    <row r="607" ht="25.5" customHeight="1">
      <c r="A607" s="62"/>
      <c r="B607" s="62"/>
      <c r="C607" s="316"/>
      <c r="D607" s="62"/>
      <c r="E607" s="62"/>
      <c r="F607" s="62"/>
      <c r="G607" s="316"/>
      <c r="H607" s="62"/>
      <c r="I607" s="316"/>
      <c r="J607" s="62"/>
      <c r="K607" s="62"/>
      <c r="L607" s="62"/>
      <c r="M607" s="62"/>
      <c r="N607" s="62"/>
      <c r="O607" s="62"/>
      <c r="P607" s="62"/>
      <c r="Q607" s="62"/>
      <c r="R607" s="62"/>
      <c r="S607" s="62"/>
      <c r="T607" s="62"/>
      <c r="U607" s="62"/>
      <c r="V607" s="62"/>
      <c r="W607" s="62"/>
      <c r="X607" s="62"/>
      <c r="Y607" s="62"/>
      <c r="Z607" s="62"/>
    </row>
    <row r="608" ht="25.5" customHeight="1">
      <c r="A608" s="62"/>
      <c r="B608" s="62"/>
      <c r="C608" s="316"/>
      <c r="D608" s="62"/>
      <c r="E608" s="62"/>
      <c r="F608" s="62"/>
      <c r="G608" s="316"/>
      <c r="H608" s="62"/>
      <c r="I608" s="316"/>
      <c r="J608" s="62"/>
      <c r="K608" s="62"/>
      <c r="L608" s="62"/>
      <c r="M608" s="62"/>
      <c r="N608" s="62"/>
      <c r="O608" s="62"/>
      <c r="P608" s="62"/>
      <c r="Q608" s="62"/>
      <c r="R608" s="62"/>
      <c r="S608" s="62"/>
      <c r="T608" s="62"/>
      <c r="U608" s="62"/>
      <c r="V608" s="62"/>
      <c r="W608" s="62"/>
      <c r="X608" s="62"/>
      <c r="Y608" s="62"/>
      <c r="Z608" s="62"/>
    </row>
    <row r="609" ht="25.5" customHeight="1">
      <c r="A609" s="62"/>
      <c r="B609" s="62"/>
      <c r="C609" s="316"/>
      <c r="D609" s="62"/>
      <c r="E609" s="62"/>
      <c r="F609" s="62"/>
      <c r="G609" s="316"/>
      <c r="H609" s="62"/>
      <c r="I609" s="316"/>
      <c r="J609" s="62"/>
      <c r="K609" s="62"/>
      <c r="L609" s="62"/>
      <c r="M609" s="62"/>
      <c r="N609" s="62"/>
      <c r="O609" s="62"/>
      <c r="P609" s="62"/>
      <c r="Q609" s="62"/>
      <c r="R609" s="62"/>
      <c r="S609" s="62"/>
      <c r="T609" s="62"/>
      <c r="U609" s="62"/>
      <c r="V609" s="62"/>
      <c r="W609" s="62"/>
      <c r="X609" s="62"/>
      <c r="Y609" s="62"/>
      <c r="Z609" s="62"/>
    </row>
    <row r="610" ht="25.5" customHeight="1">
      <c r="A610" s="62"/>
      <c r="B610" s="62"/>
      <c r="C610" s="316"/>
      <c r="D610" s="62"/>
      <c r="E610" s="62"/>
      <c r="F610" s="62"/>
      <c r="G610" s="316"/>
      <c r="H610" s="62"/>
      <c r="I610" s="316"/>
      <c r="J610" s="62"/>
      <c r="K610" s="62"/>
      <c r="L610" s="62"/>
      <c r="M610" s="62"/>
      <c r="N610" s="62"/>
      <c r="O610" s="62"/>
      <c r="P610" s="62"/>
      <c r="Q610" s="62"/>
      <c r="R610" s="62"/>
      <c r="S610" s="62"/>
      <c r="T610" s="62"/>
      <c r="U610" s="62"/>
      <c r="V610" s="62"/>
      <c r="W610" s="62"/>
      <c r="X610" s="62"/>
      <c r="Y610" s="62"/>
      <c r="Z610" s="62"/>
    </row>
    <row r="611" ht="25.5" customHeight="1">
      <c r="A611" s="62"/>
      <c r="B611" s="62"/>
      <c r="C611" s="316"/>
      <c r="D611" s="62"/>
      <c r="E611" s="62"/>
      <c r="F611" s="62"/>
      <c r="G611" s="316"/>
      <c r="H611" s="62"/>
      <c r="I611" s="316"/>
      <c r="J611" s="62"/>
      <c r="K611" s="62"/>
      <c r="L611" s="62"/>
      <c r="M611" s="62"/>
      <c r="N611" s="62"/>
      <c r="O611" s="62"/>
      <c r="P611" s="62"/>
      <c r="Q611" s="62"/>
      <c r="R611" s="62"/>
      <c r="S611" s="62"/>
      <c r="T611" s="62"/>
      <c r="U611" s="62"/>
      <c r="V611" s="62"/>
      <c r="W611" s="62"/>
      <c r="X611" s="62"/>
      <c r="Y611" s="62"/>
      <c r="Z611" s="62"/>
    </row>
    <row r="612" ht="25.5" customHeight="1">
      <c r="A612" s="62"/>
      <c r="B612" s="62"/>
      <c r="C612" s="316"/>
      <c r="D612" s="62"/>
      <c r="E612" s="62"/>
      <c r="F612" s="62"/>
      <c r="G612" s="316"/>
      <c r="H612" s="62"/>
      <c r="I612" s="316"/>
      <c r="J612" s="62"/>
      <c r="K612" s="62"/>
      <c r="L612" s="62"/>
      <c r="M612" s="62"/>
      <c r="N612" s="62"/>
      <c r="O612" s="62"/>
      <c r="P612" s="62"/>
      <c r="Q612" s="62"/>
      <c r="R612" s="62"/>
      <c r="S612" s="62"/>
      <c r="T612" s="62"/>
      <c r="U612" s="62"/>
      <c r="V612" s="62"/>
      <c r="W612" s="62"/>
      <c r="X612" s="62"/>
      <c r="Y612" s="62"/>
      <c r="Z612" s="62"/>
    </row>
    <row r="613" ht="25.5" customHeight="1">
      <c r="A613" s="62"/>
      <c r="B613" s="62"/>
      <c r="C613" s="316"/>
      <c r="D613" s="62"/>
      <c r="E613" s="62"/>
      <c r="F613" s="62"/>
      <c r="G613" s="316"/>
      <c r="H613" s="62"/>
      <c r="I613" s="316"/>
      <c r="J613" s="62"/>
      <c r="K613" s="62"/>
      <c r="L613" s="62"/>
      <c r="M613" s="62"/>
      <c r="N613" s="62"/>
      <c r="O613" s="62"/>
      <c r="P613" s="62"/>
      <c r="Q613" s="62"/>
      <c r="R613" s="62"/>
      <c r="S613" s="62"/>
      <c r="T613" s="62"/>
      <c r="U613" s="62"/>
      <c r="V613" s="62"/>
      <c r="W613" s="62"/>
      <c r="X613" s="62"/>
      <c r="Y613" s="62"/>
      <c r="Z613" s="62"/>
    </row>
    <row r="614" ht="25.5" customHeight="1">
      <c r="A614" s="62"/>
      <c r="B614" s="62"/>
      <c r="C614" s="316"/>
      <c r="D614" s="62"/>
      <c r="E614" s="62"/>
      <c r="F614" s="62"/>
      <c r="G614" s="316"/>
      <c r="H614" s="62"/>
      <c r="I614" s="316"/>
      <c r="J614" s="62"/>
      <c r="K614" s="62"/>
      <c r="L614" s="62"/>
      <c r="M614" s="62"/>
      <c r="N614" s="62"/>
      <c r="O614" s="62"/>
      <c r="P614" s="62"/>
      <c r="Q614" s="62"/>
      <c r="R614" s="62"/>
      <c r="S614" s="62"/>
      <c r="T614" s="62"/>
      <c r="U614" s="62"/>
      <c r="V614" s="62"/>
      <c r="W614" s="62"/>
      <c r="X614" s="62"/>
      <c r="Y614" s="62"/>
      <c r="Z614" s="62"/>
    </row>
    <row r="615" ht="25.5" customHeight="1">
      <c r="A615" s="62"/>
      <c r="B615" s="62"/>
      <c r="C615" s="316"/>
      <c r="D615" s="62"/>
      <c r="E615" s="62"/>
      <c r="F615" s="62"/>
      <c r="G615" s="316"/>
      <c r="H615" s="62"/>
      <c r="I615" s="316"/>
      <c r="J615" s="62"/>
      <c r="K615" s="62"/>
      <c r="L615" s="62"/>
      <c r="M615" s="62"/>
      <c r="N615" s="62"/>
      <c r="O615" s="62"/>
      <c r="P615" s="62"/>
      <c r="Q615" s="62"/>
      <c r="R615" s="62"/>
      <c r="S615" s="62"/>
      <c r="T615" s="62"/>
      <c r="U615" s="62"/>
      <c r="V615" s="62"/>
      <c r="W615" s="62"/>
      <c r="X615" s="62"/>
      <c r="Y615" s="62"/>
      <c r="Z615" s="62"/>
    </row>
    <row r="616" ht="25.5" customHeight="1">
      <c r="A616" s="62"/>
      <c r="B616" s="62"/>
      <c r="C616" s="316"/>
      <c r="D616" s="62"/>
      <c r="E616" s="62"/>
      <c r="F616" s="62"/>
      <c r="G616" s="316"/>
      <c r="H616" s="62"/>
      <c r="I616" s="316"/>
      <c r="J616" s="62"/>
      <c r="K616" s="62"/>
      <c r="L616" s="62"/>
      <c r="M616" s="62"/>
      <c r="N616" s="62"/>
      <c r="O616" s="62"/>
      <c r="P616" s="62"/>
      <c r="Q616" s="62"/>
      <c r="R616" s="62"/>
      <c r="S616" s="62"/>
      <c r="T616" s="62"/>
      <c r="U616" s="62"/>
      <c r="V616" s="62"/>
      <c r="W616" s="62"/>
      <c r="X616" s="62"/>
      <c r="Y616" s="62"/>
      <c r="Z616" s="62"/>
    </row>
    <row r="617" ht="25.5" customHeight="1">
      <c r="A617" s="62"/>
      <c r="B617" s="62"/>
      <c r="C617" s="316"/>
      <c r="D617" s="62"/>
      <c r="E617" s="62"/>
      <c r="F617" s="62"/>
      <c r="G617" s="316"/>
      <c r="H617" s="62"/>
      <c r="I617" s="316"/>
      <c r="J617" s="62"/>
      <c r="K617" s="62"/>
      <c r="L617" s="62"/>
      <c r="M617" s="62"/>
      <c r="N617" s="62"/>
      <c r="O617" s="62"/>
      <c r="P617" s="62"/>
      <c r="Q617" s="62"/>
      <c r="R617" s="62"/>
      <c r="S617" s="62"/>
      <c r="T617" s="62"/>
      <c r="U617" s="62"/>
      <c r="V617" s="62"/>
      <c r="W617" s="62"/>
      <c r="X617" s="62"/>
      <c r="Y617" s="62"/>
      <c r="Z617" s="62"/>
    </row>
    <row r="618" ht="25.5" customHeight="1">
      <c r="A618" s="62"/>
      <c r="B618" s="62"/>
      <c r="C618" s="316"/>
      <c r="D618" s="62"/>
      <c r="E618" s="62"/>
      <c r="F618" s="62"/>
      <c r="G618" s="316"/>
      <c r="H618" s="62"/>
      <c r="I618" s="316"/>
      <c r="J618" s="62"/>
      <c r="K618" s="62"/>
      <c r="L618" s="62"/>
      <c r="M618" s="62"/>
      <c r="N618" s="62"/>
      <c r="O618" s="62"/>
      <c r="P618" s="62"/>
      <c r="Q618" s="62"/>
      <c r="R618" s="62"/>
      <c r="S618" s="62"/>
      <c r="T618" s="62"/>
      <c r="U618" s="62"/>
      <c r="V618" s="62"/>
      <c r="W618" s="62"/>
      <c r="X618" s="62"/>
      <c r="Y618" s="62"/>
      <c r="Z618" s="62"/>
    </row>
    <row r="619" ht="25.5" customHeight="1">
      <c r="A619" s="62"/>
      <c r="B619" s="62"/>
      <c r="C619" s="316"/>
      <c r="D619" s="62"/>
      <c r="E619" s="62"/>
      <c r="F619" s="62"/>
      <c r="G619" s="316"/>
      <c r="H619" s="62"/>
      <c r="I619" s="316"/>
      <c r="J619" s="62"/>
      <c r="K619" s="62"/>
      <c r="L619" s="62"/>
      <c r="M619" s="62"/>
      <c r="N619" s="62"/>
      <c r="O619" s="62"/>
      <c r="P619" s="62"/>
      <c r="Q619" s="62"/>
      <c r="R619" s="62"/>
      <c r="S619" s="62"/>
      <c r="T619" s="62"/>
      <c r="U619" s="62"/>
      <c r="V619" s="62"/>
      <c r="W619" s="62"/>
      <c r="X619" s="62"/>
      <c r="Y619" s="62"/>
      <c r="Z619" s="62"/>
    </row>
    <row r="620" ht="25.5" customHeight="1">
      <c r="A620" s="62"/>
      <c r="B620" s="62"/>
      <c r="C620" s="316"/>
      <c r="D620" s="62"/>
      <c r="E620" s="62"/>
      <c r="F620" s="62"/>
      <c r="G620" s="316"/>
      <c r="H620" s="62"/>
      <c r="I620" s="316"/>
      <c r="J620" s="62"/>
      <c r="K620" s="62"/>
      <c r="L620" s="62"/>
      <c r="M620" s="62"/>
      <c r="N620" s="62"/>
      <c r="O620" s="62"/>
      <c r="P620" s="62"/>
      <c r="Q620" s="62"/>
      <c r="R620" s="62"/>
      <c r="S620" s="62"/>
      <c r="T620" s="62"/>
      <c r="U620" s="62"/>
      <c r="V620" s="62"/>
      <c r="W620" s="62"/>
      <c r="X620" s="62"/>
      <c r="Y620" s="62"/>
      <c r="Z620" s="62"/>
    </row>
    <row r="621" ht="25.5" customHeight="1">
      <c r="A621" s="62"/>
      <c r="B621" s="62"/>
      <c r="C621" s="316"/>
      <c r="D621" s="62"/>
      <c r="E621" s="62"/>
      <c r="F621" s="62"/>
      <c r="G621" s="316"/>
      <c r="H621" s="62"/>
      <c r="I621" s="316"/>
      <c r="J621" s="62"/>
      <c r="K621" s="62"/>
      <c r="L621" s="62"/>
      <c r="M621" s="62"/>
      <c r="N621" s="62"/>
      <c r="O621" s="62"/>
      <c r="P621" s="62"/>
      <c r="Q621" s="62"/>
      <c r="R621" s="62"/>
      <c r="S621" s="62"/>
      <c r="T621" s="62"/>
      <c r="U621" s="62"/>
      <c r="V621" s="62"/>
      <c r="W621" s="62"/>
      <c r="X621" s="62"/>
      <c r="Y621" s="62"/>
      <c r="Z621" s="62"/>
    </row>
    <row r="622" ht="25.5" customHeight="1">
      <c r="A622" s="62"/>
      <c r="B622" s="62"/>
      <c r="C622" s="316"/>
      <c r="D622" s="62"/>
      <c r="E622" s="62"/>
      <c r="F622" s="62"/>
      <c r="G622" s="316"/>
      <c r="H622" s="62"/>
      <c r="I622" s="316"/>
      <c r="J622" s="62"/>
      <c r="K622" s="62"/>
      <c r="L622" s="62"/>
      <c r="M622" s="62"/>
      <c r="N622" s="62"/>
      <c r="O622" s="62"/>
      <c r="P622" s="62"/>
      <c r="Q622" s="62"/>
      <c r="R622" s="62"/>
      <c r="S622" s="62"/>
      <c r="T622" s="62"/>
      <c r="U622" s="62"/>
      <c r="V622" s="62"/>
      <c r="W622" s="62"/>
      <c r="X622" s="62"/>
      <c r="Y622" s="62"/>
      <c r="Z622" s="62"/>
    </row>
    <row r="623" ht="25.5" customHeight="1">
      <c r="A623" s="62"/>
      <c r="B623" s="62"/>
      <c r="C623" s="316"/>
      <c r="D623" s="62"/>
      <c r="E623" s="62"/>
      <c r="F623" s="62"/>
      <c r="G623" s="316"/>
      <c r="H623" s="62"/>
      <c r="I623" s="316"/>
      <c r="J623" s="62"/>
      <c r="K623" s="62"/>
      <c r="L623" s="62"/>
      <c r="M623" s="62"/>
      <c r="N623" s="62"/>
      <c r="O623" s="62"/>
      <c r="P623" s="62"/>
      <c r="Q623" s="62"/>
      <c r="R623" s="62"/>
      <c r="S623" s="62"/>
      <c r="T623" s="62"/>
      <c r="U623" s="62"/>
      <c r="V623" s="62"/>
      <c r="W623" s="62"/>
      <c r="X623" s="62"/>
      <c r="Y623" s="62"/>
      <c r="Z623" s="62"/>
    </row>
    <row r="624" ht="25.5" customHeight="1">
      <c r="A624" s="62"/>
      <c r="B624" s="62"/>
      <c r="C624" s="316"/>
      <c r="D624" s="62"/>
      <c r="E624" s="62"/>
      <c r="F624" s="62"/>
      <c r="G624" s="316"/>
      <c r="H624" s="62"/>
      <c r="I624" s="316"/>
      <c r="J624" s="62"/>
      <c r="K624" s="62"/>
      <c r="L624" s="62"/>
      <c r="M624" s="62"/>
      <c r="N624" s="62"/>
      <c r="O624" s="62"/>
      <c r="P624" s="62"/>
      <c r="Q624" s="62"/>
      <c r="R624" s="62"/>
      <c r="S624" s="62"/>
      <c r="T624" s="62"/>
      <c r="U624" s="62"/>
      <c r="V624" s="62"/>
      <c r="W624" s="62"/>
      <c r="X624" s="62"/>
      <c r="Y624" s="62"/>
      <c r="Z624" s="62"/>
    </row>
    <row r="625" ht="25.5" customHeight="1">
      <c r="A625" s="62"/>
      <c r="B625" s="62"/>
      <c r="C625" s="316"/>
      <c r="D625" s="62"/>
      <c r="E625" s="62"/>
      <c r="F625" s="62"/>
      <c r="G625" s="316"/>
      <c r="H625" s="62"/>
      <c r="I625" s="316"/>
      <c r="J625" s="62"/>
      <c r="K625" s="62"/>
      <c r="L625" s="62"/>
      <c r="M625" s="62"/>
      <c r="N625" s="62"/>
      <c r="O625" s="62"/>
      <c r="P625" s="62"/>
      <c r="Q625" s="62"/>
      <c r="R625" s="62"/>
      <c r="S625" s="62"/>
      <c r="T625" s="62"/>
      <c r="U625" s="62"/>
      <c r="V625" s="62"/>
      <c r="W625" s="62"/>
      <c r="X625" s="62"/>
      <c r="Y625" s="62"/>
      <c r="Z625" s="62"/>
    </row>
    <row r="626" ht="25.5" customHeight="1">
      <c r="A626" s="62"/>
      <c r="B626" s="62"/>
      <c r="C626" s="316"/>
      <c r="D626" s="62"/>
      <c r="E626" s="62"/>
      <c r="F626" s="62"/>
      <c r="G626" s="316"/>
      <c r="H626" s="62"/>
      <c r="I626" s="316"/>
      <c r="J626" s="62"/>
      <c r="K626" s="62"/>
      <c r="L626" s="62"/>
      <c r="M626" s="62"/>
      <c r="N626" s="62"/>
      <c r="O626" s="62"/>
      <c r="P626" s="62"/>
      <c r="Q626" s="62"/>
      <c r="R626" s="62"/>
      <c r="S626" s="62"/>
      <c r="T626" s="62"/>
      <c r="U626" s="62"/>
      <c r="V626" s="62"/>
      <c r="W626" s="62"/>
      <c r="X626" s="62"/>
      <c r="Y626" s="62"/>
      <c r="Z626" s="62"/>
    </row>
    <row r="627" ht="25.5" customHeight="1">
      <c r="A627" s="62"/>
      <c r="B627" s="62"/>
      <c r="C627" s="316"/>
      <c r="D627" s="62"/>
      <c r="E627" s="62"/>
      <c r="F627" s="62"/>
      <c r="G627" s="316"/>
      <c r="H627" s="62"/>
      <c r="I627" s="316"/>
      <c r="J627" s="62"/>
      <c r="K627" s="62"/>
      <c r="L627" s="62"/>
      <c r="M627" s="62"/>
      <c r="N627" s="62"/>
      <c r="O627" s="62"/>
      <c r="P627" s="62"/>
      <c r="Q627" s="62"/>
      <c r="R627" s="62"/>
      <c r="S627" s="62"/>
      <c r="T627" s="62"/>
      <c r="U627" s="62"/>
      <c r="V627" s="62"/>
      <c r="W627" s="62"/>
      <c r="X627" s="62"/>
      <c r="Y627" s="62"/>
      <c r="Z627" s="62"/>
    </row>
    <row r="628" ht="25.5" customHeight="1">
      <c r="A628" s="62"/>
      <c r="B628" s="62"/>
      <c r="C628" s="316"/>
      <c r="D628" s="62"/>
      <c r="E628" s="62"/>
      <c r="F628" s="62"/>
      <c r="G628" s="316"/>
      <c r="H628" s="62"/>
      <c r="I628" s="316"/>
      <c r="J628" s="62"/>
      <c r="K628" s="62"/>
      <c r="L628" s="62"/>
      <c r="M628" s="62"/>
      <c r="N628" s="62"/>
      <c r="O628" s="62"/>
      <c r="P628" s="62"/>
      <c r="Q628" s="62"/>
      <c r="R628" s="62"/>
      <c r="S628" s="62"/>
      <c r="T628" s="62"/>
      <c r="U628" s="62"/>
      <c r="V628" s="62"/>
      <c r="W628" s="62"/>
      <c r="X628" s="62"/>
      <c r="Y628" s="62"/>
      <c r="Z628" s="62"/>
    </row>
    <row r="629" ht="25.5" customHeight="1">
      <c r="A629" s="62"/>
      <c r="B629" s="62"/>
      <c r="C629" s="316"/>
      <c r="D629" s="62"/>
      <c r="E629" s="62"/>
      <c r="F629" s="62"/>
      <c r="G629" s="316"/>
      <c r="H629" s="62"/>
      <c r="I629" s="316"/>
      <c r="J629" s="62"/>
      <c r="K629" s="62"/>
      <c r="L629" s="62"/>
      <c r="M629" s="62"/>
      <c r="N629" s="62"/>
      <c r="O629" s="62"/>
      <c r="P629" s="62"/>
      <c r="Q629" s="62"/>
      <c r="R629" s="62"/>
      <c r="S629" s="62"/>
      <c r="T629" s="62"/>
      <c r="U629" s="62"/>
      <c r="V629" s="62"/>
      <c r="W629" s="62"/>
      <c r="X629" s="62"/>
      <c r="Y629" s="62"/>
      <c r="Z629" s="62"/>
    </row>
    <row r="630" ht="25.5" customHeight="1">
      <c r="A630" s="62"/>
      <c r="B630" s="62"/>
      <c r="C630" s="316"/>
      <c r="D630" s="62"/>
      <c r="E630" s="62"/>
      <c r="F630" s="62"/>
      <c r="G630" s="316"/>
      <c r="H630" s="62"/>
      <c r="I630" s="316"/>
      <c r="J630" s="62"/>
      <c r="K630" s="62"/>
      <c r="L630" s="62"/>
      <c r="M630" s="62"/>
      <c r="N630" s="62"/>
      <c r="O630" s="62"/>
      <c r="P630" s="62"/>
      <c r="Q630" s="62"/>
      <c r="R630" s="62"/>
      <c r="S630" s="62"/>
      <c r="T630" s="62"/>
      <c r="U630" s="62"/>
      <c r="V630" s="62"/>
      <c r="W630" s="62"/>
      <c r="X630" s="62"/>
      <c r="Y630" s="62"/>
      <c r="Z630" s="62"/>
    </row>
    <row r="631" ht="25.5" customHeight="1">
      <c r="A631" s="62"/>
      <c r="B631" s="62"/>
      <c r="C631" s="316"/>
      <c r="D631" s="62"/>
      <c r="E631" s="62"/>
      <c r="F631" s="62"/>
      <c r="G631" s="316"/>
      <c r="H631" s="62"/>
      <c r="I631" s="316"/>
      <c r="J631" s="62"/>
      <c r="K631" s="62"/>
      <c r="L631" s="62"/>
      <c r="M631" s="62"/>
      <c r="N631" s="62"/>
      <c r="O631" s="62"/>
      <c r="P631" s="62"/>
      <c r="Q631" s="62"/>
      <c r="R631" s="62"/>
      <c r="S631" s="62"/>
      <c r="T631" s="62"/>
      <c r="U631" s="62"/>
      <c r="V631" s="62"/>
      <c r="W631" s="62"/>
      <c r="X631" s="62"/>
      <c r="Y631" s="62"/>
      <c r="Z631" s="62"/>
    </row>
    <row r="632" ht="25.5" customHeight="1">
      <c r="A632" s="62"/>
      <c r="B632" s="62"/>
      <c r="C632" s="316"/>
      <c r="D632" s="62"/>
      <c r="E632" s="62"/>
      <c r="F632" s="62"/>
      <c r="G632" s="316"/>
      <c r="H632" s="62"/>
      <c r="I632" s="316"/>
      <c r="J632" s="62"/>
      <c r="K632" s="62"/>
      <c r="L632" s="62"/>
      <c r="M632" s="62"/>
      <c r="N632" s="62"/>
      <c r="O632" s="62"/>
      <c r="P632" s="62"/>
      <c r="Q632" s="62"/>
      <c r="R632" s="62"/>
      <c r="S632" s="62"/>
      <c r="T632" s="62"/>
      <c r="U632" s="62"/>
      <c r="V632" s="62"/>
      <c r="W632" s="62"/>
      <c r="X632" s="62"/>
      <c r="Y632" s="62"/>
      <c r="Z632" s="62"/>
    </row>
    <row r="633" ht="25.5" customHeight="1">
      <c r="A633" s="62"/>
      <c r="B633" s="62"/>
      <c r="C633" s="316"/>
      <c r="D633" s="62"/>
      <c r="E633" s="62"/>
      <c r="F633" s="62"/>
      <c r="G633" s="316"/>
      <c r="H633" s="62"/>
      <c r="I633" s="316"/>
      <c r="J633" s="62"/>
      <c r="K633" s="62"/>
      <c r="L633" s="62"/>
      <c r="M633" s="62"/>
      <c r="N633" s="62"/>
      <c r="O633" s="62"/>
      <c r="P633" s="62"/>
      <c r="Q633" s="62"/>
      <c r="R633" s="62"/>
      <c r="S633" s="62"/>
      <c r="T633" s="62"/>
      <c r="U633" s="62"/>
      <c r="V633" s="62"/>
      <c r="W633" s="62"/>
      <c r="X633" s="62"/>
      <c r="Y633" s="62"/>
      <c r="Z633" s="62"/>
    </row>
    <row r="634" ht="25.5" customHeight="1">
      <c r="A634" s="62"/>
      <c r="B634" s="62"/>
      <c r="C634" s="316"/>
      <c r="D634" s="62"/>
      <c r="E634" s="62"/>
      <c r="F634" s="62"/>
      <c r="G634" s="316"/>
      <c r="H634" s="62"/>
      <c r="I634" s="316"/>
      <c r="J634" s="62"/>
      <c r="K634" s="62"/>
      <c r="L634" s="62"/>
      <c r="M634" s="62"/>
      <c r="N634" s="62"/>
      <c r="O634" s="62"/>
      <c r="P634" s="62"/>
      <c r="Q634" s="62"/>
      <c r="R634" s="62"/>
      <c r="S634" s="62"/>
      <c r="T634" s="62"/>
      <c r="U634" s="62"/>
      <c r="V634" s="62"/>
      <c r="W634" s="62"/>
      <c r="X634" s="62"/>
      <c r="Y634" s="62"/>
      <c r="Z634" s="62"/>
    </row>
    <row r="635" ht="25.5" customHeight="1">
      <c r="A635" s="62"/>
      <c r="B635" s="62"/>
      <c r="C635" s="316"/>
      <c r="D635" s="62"/>
      <c r="E635" s="62"/>
      <c r="F635" s="62"/>
      <c r="G635" s="316"/>
      <c r="H635" s="62"/>
      <c r="I635" s="316"/>
      <c r="J635" s="62"/>
      <c r="K635" s="62"/>
      <c r="L635" s="62"/>
      <c r="M635" s="62"/>
      <c r="N635" s="62"/>
      <c r="O635" s="62"/>
      <c r="P635" s="62"/>
      <c r="Q635" s="62"/>
      <c r="R635" s="62"/>
      <c r="S635" s="62"/>
      <c r="T635" s="62"/>
      <c r="U635" s="62"/>
      <c r="V635" s="62"/>
      <c r="W635" s="62"/>
      <c r="X635" s="62"/>
      <c r="Y635" s="62"/>
      <c r="Z635" s="62"/>
    </row>
    <row r="636" ht="25.5" customHeight="1">
      <c r="A636" s="62"/>
      <c r="B636" s="62"/>
      <c r="C636" s="316"/>
      <c r="D636" s="62"/>
      <c r="E636" s="62"/>
      <c r="F636" s="62"/>
      <c r="G636" s="316"/>
      <c r="H636" s="62"/>
      <c r="I636" s="316"/>
      <c r="J636" s="62"/>
      <c r="K636" s="62"/>
      <c r="L636" s="62"/>
      <c r="M636" s="62"/>
      <c r="N636" s="62"/>
      <c r="O636" s="62"/>
      <c r="P636" s="62"/>
      <c r="Q636" s="62"/>
      <c r="R636" s="62"/>
      <c r="S636" s="62"/>
      <c r="T636" s="62"/>
      <c r="U636" s="62"/>
      <c r="V636" s="62"/>
      <c r="W636" s="62"/>
      <c r="X636" s="62"/>
      <c r="Y636" s="62"/>
      <c r="Z636" s="62"/>
    </row>
    <row r="637" ht="25.5" customHeight="1">
      <c r="A637" s="62"/>
      <c r="B637" s="62"/>
      <c r="C637" s="316"/>
      <c r="D637" s="62"/>
      <c r="E637" s="62"/>
      <c r="F637" s="62"/>
      <c r="G637" s="316"/>
      <c r="H637" s="62"/>
      <c r="I637" s="316"/>
      <c r="J637" s="62"/>
      <c r="K637" s="62"/>
      <c r="L637" s="62"/>
      <c r="M637" s="62"/>
      <c r="N637" s="62"/>
      <c r="O637" s="62"/>
      <c r="P637" s="62"/>
      <c r="Q637" s="62"/>
      <c r="R637" s="62"/>
      <c r="S637" s="62"/>
      <c r="T637" s="62"/>
      <c r="U637" s="62"/>
      <c r="V637" s="62"/>
      <c r="W637" s="62"/>
      <c r="X637" s="62"/>
      <c r="Y637" s="62"/>
      <c r="Z637" s="62"/>
    </row>
    <row r="638" ht="25.5" customHeight="1">
      <c r="A638" s="62"/>
      <c r="B638" s="62"/>
      <c r="C638" s="316"/>
      <c r="D638" s="62"/>
      <c r="E638" s="62"/>
      <c r="F638" s="62"/>
      <c r="G638" s="316"/>
      <c r="H638" s="62"/>
      <c r="I638" s="316"/>
      <c r="J638" s="62"/>
      <c r="K638" s="62"/>
      <c r="L638" s="62"/>
      <c r="M638" s="62"/>
      <c r="N638" s="62"/>
      <c r="O638" s="62"/>
      <c r="P638" s="62"/>
      <c r="Q638" s="62"/>
      <c r="R638" s="62"/>
      <c r="S638" s="62"/>
      <c r="T638" s="62"/>
      <c r="U638" s="62"/>
      <c r="V638" s="62"/>
      <c r="W638" s="62"/>
      <c r="X638" s="62"/>
      <c r="Y638" s="62"/>
      <c r="Z638" s="62"/>
    </row>
    <row r="639" ht="25.5" customHeight="1">
      <c r="A639" s="62"/>
      <c r="B639" s="62"/>
      <c r="C639" s="316"/>
      <c r="D639" s="62"/>
      <c r="E639" s="62"/>
      <c r="F639" s="62"/>
      <c r="G639" s="316"/>
      <c r="H639" s="62"/>
      <c r="I639" s="316"/>
      <c r="J639" s="62"/>
      <c r="K639" s="62"/>
      <c r="L639" s="62"/>
      <c r="M639" s="62"/>
      <c r="N639" s="62"/>
      <c r="O639" s="62"/>
      <c r="P639" s="62"/>
      <c r="Q639" s="62"/>
      <c r="R639" s="62"/>
      <c r="S639" s="62"/>
      <c r="T639" s="62"/>
      <c r="U639" s="62"/>
      <c r="V639" s="62"/>
      <c r="W639" s="62"/>
      <c r="X639" s="62"/>
      <c r="Y639" s="62"/>
      <c r="Z639" s="62"/>
    </row>
    <row r="640" ht="25.5" customHeight="1">
      <c r="A640" s="62"/>
      <c r="B640" s="62"/>
      <c r="C640" s="316"/>
      <c r="D640" s="62"/>
      <c r="E640" s="62"/>
      <c r="F640" s="62"/>
      <c r="G640" s="316"/>
      <c r="H640" s="62"/>
      <c r="I640" s="316"/>
      <c r="J640" s="62"/>
      <c r="K640" s="62"/>
      <c r="L640" s="62"/>
      <c r="M640" s="62"/>
      <c r="N640" s="62"/>
      <c r="O640" s="62"/>
      <c r="P640" s="62"/>
      <c r="Q640" s="62"/>
      <c r="R640" s="62"/>
      <c r="S640" s="62"/>
      <c r="T640" s="62"/>
      <c r="U640" s="62"/>
      <c r="V640" s="62"/>
      <c r="W640" s="62"/>
      <c r="X640" s="62"/>
      <c r="Y640" s="62"/>
      <c r="Z640" s="62"/>
    </row>
    <row r="641" ht="25.5" customHeight="1">
      <c r="A641" s="62"/>
      <c r="B641" s="62"/>
      <c r="C641" s="316"/>
      <c r="D641" s="62"/>
      <c r="E641" s="62"/>
      <c r="F641" s="62"/>
      <c r="G641" s="316"/>
      <c r="H641" s="62"/>
      <c r="I641" s="316"/>
      <c r="J641" s="62"/>
      <c r="K641" s="62"/>
      <c r="L641" s="62"/>
      <c r="M641" s="62"/>
      <c r="N641" s="62"/>
      <c r="O641" s="62"/>
      <c r="P641" s="62"/>
      <c r="Q641" s="62"/>
      <c r="R641" s="62"/>
      <c r="S641" s="62"/>
      <c r="T641" s="62"/>
      <c r="U641" s="62"/>
      <c r="V641" s="62"/>
      <c r="W641" s="62"/>
      <c r="X641" s="62"/>
      <c r="Y641" s="62"/>
      <c r="Z641" s="62"/>
    </row>
    <row r="642" ht="25.5" customHeight="1">
      <c r="A642" s="62"/>
      <c r="B642" s="62"/>
      <c r="C642" s="316"/>
      <c r="D642" s="62"/>
      <c r="E642" s="62"/>
      <c r="F642" s="62"/>
      <c r="G642" s="316"/>
      <c r="H642" s="62"/>
      <c r="I642" s="316"/>
      <c r="J642" s="62"/>
      <c r="K642" s="62"/>
      <c r="L642" s="62"/>
      <c r="M642" s="62"/>
      <c r="N642" s="62"/>
      <c r="O642" s="62"/>
      <c r="P642" s="62"/>
      <c r="Q642" s="62"/>
      <c r="R642" s="62"/>
      <c r="S642" s="62"/>
      <c r="T642" s="62"/>
      <c r="U642" s="62"/>
      <c r="V642" s="62"/>
      <c r="W642" s="62"/>
      <c r="X642" s="62"/>
      <c r="Y642" s="62"/>
      <c r="Z642" s="62"/>
    </row>
    <row r="643" ht="25.5" customHeight="1">
      <c r="A643" s="62"/>
      <c r="B643" s="62"/>
      <c r="C643" s="316"/>
      <c r="D643" s="62"/>
      <c r="E643" s="62"/>
      <c r="F643" s="62"/>
      <c r="G643" s="316"/>
      <c r="H643" s="62"/>
      <c r="I643" s="316"/>
      <c r="J643" s="62"/>
      <c r="K643" s="62"/>
      <c r="L643" s="62"/>
      <c r="M643" s="62"/>
      <c r="N643" s="62"/>
      <c r="O643" s="62"/>
      <c r="P643" s="62"/>
      <c r="Q643" s="62"/>
      <c r="R643" s="62"/>
      <c r="S643" s="62"/>
      <c r="T643" s="62"/>
      <c r="U643" s="62"/>
      <c r="V643" s="62"/>
      <c r="W643" s="62"/>
      <c r="X643" s="62"/>
      <c r="Y643" s="62"/>
      <c r="Z643" s="62"/>
    </row>
    <row r="644" ht="25.5" customHeight="1">
      <c r="A644" s="62"/>
      <c r="B644" s="62"/>
      <c r="C644" s="316"/>
      <c r="D644" s="62"/>
      <c r="E644" s="62"/>
      <c r="F644" s="62"/>
      <c r="G644" s="316"/>
      <c r="H644" s="62"/>
      <c r="I644" s="316"/>
      <c r="J644" s="62"/>
      <c r="K644" s="62"/>
      <c r="L644" s="62"/>
      <c r="M644" s="62"/>
      <c r="N644" s="62"/>
      <c r="O644" s="62"/>
      <c r="P644" s="62"/>
      <c r="Q644" s="62"/>
      <c r="R644" s="62"/>
      <c r="S644" s="62"/>
      <c r="T644" s="62"/>
      <c r="U644" s="62"/>
      <c r="V644" s="62"/>
      <c r="W644" s="62"/>
      <c r="X644" s="62"/>
      <c r="Y644" s="62"/>
      <c r="Z644" s="62"/>
    </row>
    <row r="645" ht="25.5" customHeight="1">
      <c r="A645" s="62"/>
      <c r="B645" s="62"/>
      <c r="C645" s="316"/>
      <c r="D645" s="62"/>
      <c r="E645" s="62"/>
      <c r="F645" s="62"/>
      <c r="G645" s="316"/>
      <c r="H645" s="62"/>
      <c r="I645" s="316"/>
      <c r="J645" s="62"/>
      <c r="K645" s="62"/>
      <c r="L645" s="62"/>
      <c r="M645" s="62"/>
      <c r="N645" s="62"/>
      <c r="O645" s="62"/>
      <c r="P645" s="62"/>
      <c r="Q645" s="62"/>
      <c r="R645" s="62"/>
      <c r="S645" s="62"/>
      <c r="T645" s="62"/>
      <c r="U645" s="62"/>
      <c r="V645" s="62"/>
      <c r="W645" s="62"/>
      <c r="X645" s="62"/>
      <c r="Y645" s="62"/>
      <c r="Z645" s="62"/>
    </row>
    <row r="646" ht="25.5" customHeight="1">
      <c r="A646" s="62"/>
      <c r="B646" s="62"/>
      <c r="C646" s="316"/>
      <c r="D646" s="62"/>
      <c r="E646" s="62"/>
      <c r="F646" s="62"/>
      <c r="G646" s="316"/>
      <c r="H646" s="62"/>
      <c r="I646" s="316"/>
      <c r="J646" s="62"/>
      <c r="K646" s="62"/>
      <c r="L646" s="62"/>
      <c r="M646" s="62"/>
      <c r="N646" s="62"/>
      <c r="O646" s="62"/>
      <c r="P646" s="62"/>
      <c r="Q646" s="62"/>
      <c r="R646" s="62"/>
      <c r="S646" s="62"/>
      <c r="T646" s="62"/>
      <c r="U646" s="62"/>
      <c r="V646" s="62"/>
      <c r="W646" s="62"/>
      <c r="X646" s="62"/>
      <c r="Y646" s="62"/>
      <c r="Z646" s="62"/>
    </row>
    <row r="647" ht="25.5" customHeight="1">
      <c r="A647" s="62"/>
      <c r="B647" s="62"/>
      <c r="C647" s="316"/>
      <c r="D647" s="62"/>
      <c r="E647" s="62"/>
      <c r="F647" s="62"/>
      <c r="G647" s="316"/>
      <c r="H647" s="62"/>
      <c r="I647" s="316"/>
      <c r="J647" s="62"/>
      <c r="K647" s="62"/>
      <c r="L647" s="62"/>
      <c r="M647" s="62"/>
      <c r="N647" s="62"/>
      <c r="O647" s="62"/>
      <c r="P647" s="62"/>
      <c r="Q647" s="62"/>
      <c r="R647" s="62"/>
      <c r="S647" s="62"/>
      <c r="T647" s="62"/>
      <c r="U647" s="62"/>
      <c r="V647" s="62"/>
      <c r="W647" s="62"/>
      <c r="X647" s="62"/>
      <c r="Y647" s="62"/>
      <c r="Z647" s="62"/>
    </row>
    <row r="648" ht="25.5" customHeight="1">
      <c r="A648" s="62"/>
      <c r="B648" s="62"/>
      <c r="C648" s="316"/>
      <c r="D648" s="62"/>
      <c r="E648" s="62"/>
      <c r="F648" s="62"/>
      <c r="G648" s="316"/>
      <c r="H648" s="62"/>
      <c r="I648" s="316"/>
      <c r="J648" s="62"/>
      <c r="K648" s="62"/>
      <c r="L648" s="62"/>
      <c r="M648" s="62"/>
      <c r="N648" s="62"/>
      <c r="O648" s="62"/>
      <c r="P648" s="62"/>
      <c r="Q648" s="62"/>
      <c r="R648" s="62"/>
      <c r="S648" s="62"/>
      <c r="T648" s="62"/>
      <c r="U648" s="62"/>
      <c r="V648" s="62"/>
      <c r="W648" s="62"/>
      <c r="X648" s="62"/>
      <c r="Y648" s="62"/>
      <c r="Z648" s="62"/>
    </row>
    <row r="649" ht="25.5" customHeight="1">
      <c r="A649" s="62"/>
      <c r="B649" s="62"/>
      <c r="C649" s="316"/>
      <c r="D649" s="62"/>
      <c r="E649" s="62"/>
      <c r="F649" s="62"/>
      <c r="G649" s="316"/>
      <c r="H649" s="62"/>
      <c r="I649" s="316"/>
      <c r="J649" s="62"/>
      <c r="K649" s="62"/>
      <c r="L649" s="62"/>
      <c r="M649" s="62"/>
      <c r="N649" s="62"/>
      <c r="O649" s="62"/>
      <c r="P649" s="62"/>
      <c r="Q649" s="62"/>
      <c r="R649" s="62"/>
      <c r="S649" s="62"/>
      <c r="T649" s="62"/>
      <c r="U649" s="62"/>
      <c r="V649" s="62"/>
      <c r="W649" s="62"/>
      <c r="X649" s="62"/>
      <c r="Y649" s="62"/>
      <c r="Z649" s="62"/>
    </row>
    <row r="650" ht="25.5" customHeight="1">
      <c r="A650" s="62"/>
      <c r="B650" s="62"/>
      <c r="C650" s="316"/>
      <c r="D650" s="62"/>
      <c r="E650" s="62"/>
      <c r="F650" s="62"/>
      <c r="G650" s="316"/>
      <c r="H650" s="62"/>
      <c r="I650" s="316"/>
      <c r="J650" s="62"/>
      <c r="K650" s="62"/>
      <c r="L650" s="62"/>
      <c r="M650" s="62"/>
      <c r="N650" s="62"/>
      <c r="O650" s="62"/>
      <c r="P650" s="62"/>
      <c r="Q650" s="62"/>
      <c r="R650" s="62"/>
      <c r="S650" s="62"/>
      <c r="T650" s="62"/>
      <c r="U650" s="62"/>
      <c r="V650" s="62"/>
      <c r="W650" s="62"/>
      <c r="X650" s="62"/>
      <c r="Y650" s="62"/>
      <c r="Z650" s="62"/>
    </row>
    <row r="651" ht="25.5" customHeight="1">
      <c r="A651" s="62"/>
      <c r="B651" s="62"/>
      <c r="C651" s="316"/>
      <c r="D651" s="62"/>
      <c r="E651" s="62"/>
      <c r="F651" s="62"/>
      <c r="G651" s="316"/>
      <c r="H651" s="62"/>
      <c r="I651" s="316"/>
      <c r="J651" s="62"/>
      <c r="K651" s="62"/>
      <c r="L651" s="62"/>
      <c r="M651" s="62"/>
      <c r="N651" s="62"/>
      <c r="O651" s="62"/>
      <c r="P651" s="62"/>
      <c r="Q651" s="62"/>
      <c r="R651" s="62"/>
      <c r="S651" s="62"/>
      <c r="T651" s="62"/>
      <c r="U651" s="62"/>
      <c r="V651" s="62"/>
      <c r="W651" s="62"/>
      <c r="X651" s="62"/>
      <c r="Y651" s="62"/>
      <c r="Z651" s="62"/>
    </row>
    <row r="652" ht="25.5" customHeight="1">
      <c r="A652" s="62"/>
      <c r="B652" s="62"/>
      <c r="C652" s="316"/>
      <c r="D652" s="62"/>
      <c r="E652" s="62"/>
      <c r="F652" s="62"/>
      <c r="G652" s="316"/>
      <c r="H652" s="62"/>
      <c r="I652" s="316"/>
      <c r="J652" s="62"/>
      <c r="K652" s="62"/>
      <c r="L652" s="62"/>
      <c r="M652" s="62"/>
      <c r="N652" s="62"/>
      <c r="O652" s="62"/>
      <c r="P652" s="62"/>
      <c r="Q652" s="62"/>
      <c r="R652" s="62"/>
      <c r="S652" s="62"/>
      <c r="T652" s="62"/>
      <c r="U652" s="62"/>
      <c r="V652" s="62"/>
      <c r="W652" s="62"/>
      <c r="X652" s="62"/>
      <c r="Y652" s="62"/>
      <c r="Z652" s="62"/>
    </row>
    <row r="653" ht="25.5" customHeight="1">
      <c r="A653" s="62"/>
      <c r="B653" s="62"/>
      <c r="C653" s="316"/>
      <c r="D653" s="62"/>
      <c r="E653" s="62"/>
      <c r="F653" s="62"/>
      <c r="G653" s="316"/>
      <c r="H653" s="62"/>
      <c r="I653" s="316"/>
      <c r="J653" s="62"/>
      <c r="K653" s="62"/>
      <c r="L653" s="62"/>
      <c r="M653" s="62"/>
      <c r="N653" s="62"/>
      <c r="O653" s="62"/>
      <c r="P653" s="62"/>
      <c r="Q653" s="62"/>
      <c r="R653" s="62"/>
      <c r="S653" s="62"/>
      <c r="T653" s="62"/>
      <c r="U653" s="62"/>
      <c r="V653" s="62"/>
      <c r="W653" s="62"/>
      <c r="X653" s="62"/>
      <c r="Y653" s="62"/>
      <c r="Z653" s="62"/>
    </row>
    <row r="654" ht="25.5" customHeight="1">
      <c r="A654" s="62"/>
      <c r="B654" s="62"/>
      <c r="C654" s="316"/>
      <c r="D654" s="62"/>
      <c r="E654" s="62"/>
      <c r="F654" s="62"/>
      <c r="G654" s="316"/>
      <c r="H654" s="62"/>
      <c r="I654" s="316"/>
      <c r="J654" s="62"/>
      <c r="K654" s="62"/>
      <c r="L654" s="62"/>
      <c r="M654" s="62"/>
      <c r="N654" s="62"/>
      <c r="O654" s="62"/>
      <c r="P654" s="62"/>
      <c r="Q654" s="62"/>
      <c r="R654" s="62"/>
      <c r="S654" s="62"/>
      <c r="T654" s="62"/>
      <c r="U654" s="62"/>
      <c r="V654" s="62"/>
      <c r="W654" s="62"/>
      <c r="X654" s="62"/>
      <c r="Y654" s="62"/>
      <c r="Z654" s="62"/>
    </row>
    <row r="655" ht="25.5" customHeight="1">
      <c r="A655" s="62"/>
      <c r="B655" s="62"/>
      <c r="C655" s="316"/>
      <c r="D655" s="62"/>
      <c r="E655" s="62"/>
      <c r="F655" s="62"/>
      <c r="G655" s="316"/>
      <c r="H655" s="62"/>
      <c r="I655" s="316"/>
      <c r="J655" s="62"/>
      <c r="K655" s="62"/>
      <c r="L655" s="62"/>
      <c r="M655" s="62"/>
      <c r="N655" s="62"/>
      <c r="O655" s="62"/>
      <c r="P655" s="62"/>
      <c r="Q655" s="62"/>
      <c r="R655" s="62"/>
      <c r="S655" s="62"/>
      <c r="T655" s="62"/>
      <c r="U655" s="62"/>
      <c r="V655" s="62"/>
      <c r="W655" s="62"/>
      <c r="X655" s="62"/>
      <c r="Y655" s="62"/>
      <c r="Z655" s="62"/>
    </row>
    <row r="656" ht="25.5" customHeight="1">
      <c r="A656" s="62"/>
      <c r="B656" s="62"/>
      <c r="C656" s="316"/>
      <c r="D656" s="62"/>
      <c r="E656" s="62"/>
      <c r="F656" s="62"/>
      <c r="G656" s="316"/>
      <c r="H656" s="62"/>
      <c r="I656" s="316"/>
      <c r="J656" s="62"/>
      <c r="K656" s="62"/>
      <c r="L656" s="62"/>
      <c r="M656" s="62"/>
      <c r="N656" s="62"/>
      <c r="O656" s="62"/>
      <c r="P656" s="62"/>
      <c r="Q656" s="62"/>
      <c r="R656" s="62"/>
      <c r="S656" s="62"/>
      <c r="T656" s="62"/>
      <c r="U656" s="62"/>
      <c r="V656" s="62"/>
      <c r="W656" s="62"/>
      <c r="X656" s="62"/>
      <c r="Y656" s="62"/>
      <c r="Z656" s="62"/>
    </row>
    <row r="657" ht="25.5" customHeight="1">
      <c r="A657" s="62"/>
      <c r="B657" s="62"/>
      <c r="C657" s="316"/>
      <c r="D657" s="62"/>
      <c r="E657" s="62"/>
      <c r="F657" s="62"/>
      <c r="G657" s="316"/>
      <c r="H657" s="62"/>
      <c r="I657" s="316"/>
      <c r="J657" s="62"/>
      <c r="K657" s="62"/>
      <c r="L657" s="62"/>
      <c r="M657" s="62"/>
      <c r="N657" s="62"/>
      <c r="O657" s="62"/>
      <c r="P657" s="62"/>
      <c r="Q657" s="62"/>
      <c r="R657" s="62"/>
      <c r="S657" s="62"/>
      <c r="T657" s="62"/>
      <c r="U657" s="62"/>
      <c r="V657" s="62"/>
      <c r="W657" s="62"/>
      <c r="X657" s="62"/>
      <c r="Y657" s="62"/>
      <c r="Z657" s="62"/>
    </row>
    <row r="658" ht="25.5" customHeight="1">
      <c r="A658" s="62"/>
      <c r="B658" s="62"/>
      <c r="C658" s="316"/>
      <c r="D658" s="62"/>
      <c r="E658" s="62"/>
      <c r="F658" s="62"/>
      <c r="G658" s="316"/>
      <c r="H658" s="62"/>
      <c r="I658" s="316"/>
      <c r="J658" s="62"/>
      <c r="K658" s="62"/>
      <c r="L658" s="62"/>
      <c r="M658" s="62"/>
      <c r="N658" s="62"/>
      <c r="O658" s="62"/>
      <c r="P658" s="62"/>
      <c r="Q658" s="62"/>
      <c r="R658" s="62"/>
      <c r="S658" s="62"/>
      <c r="T658" s="62"/>
      <c r="U658" s="62"/>
      <c r="V658" s="62"/>
      <c r="W658" s="62"/>
      <c r="X658" s="62"/>
      <c r="Y658" s="62"/>
      <c r="Z658" s="62"/>
    </row>
    <row r="659" ht="25.5" customHeight="1">
      <c r="A659" s="62"/>
      <c r="B659" s="62"/>
      <c r="C659" s="316"/>
      <c r="D659" s="62"/>
      <c r="E659" s="62"/>
      <c r="F659" s="62"/>
      <c r="G659" s="316"/>
      <c r="H659" s="62"/>
      <c r="I659" s="316"/>
      <c r="J659" s="62"/>
      <c r="K659" s="62"/>
      <c r="L659" s="62"/>
      <c r="M659" s="62"/>
      <c r="N659" s="62"/>
      <c r="O659" s="62"/>
      <c r="P659" s="62"/>
      <c r="Q659" s="62"/>
      <c r="R659" s="62"/>
      <c r="S659" s="62"/>
      <c r="T659" s="62"/>
      <c r="U659" s="62"/>
      <c r="V659" s="62"/>
      <c r="W659" s="62"/>
      <c r="X659" s="62"/>
      <c r="Y659" s="62"/>
      <c r="Z659" s="62"/>
    </row>
    <row r="660" ht="25.5" customHeight="1">
      <c r="A660" s="62"/>
      <c r="B660" s="62"/>
      <c r="C660" s="316"/>
      <c r="D660" s="62"/>
      <c r="E660" s="62"/>
      <c r="F660" s="62"/>
      <c r="G660" s="316"/>
      <c r="H660" s="62"/>
      <c r="I660" s="316"/>
      <c r="J660" s="62"/>
      <c r="K660" s="62"/>
      <c r="L660" s="62"/>
      <c r="M660" s="62"/>
      <c r="N660" s="62"/>
      <c r="O660" s="62"/>
      <c r="P660" s="62"/>
      <c r="Q660" s="62"/>
      <c r="R660" s="62"/>
      <c r="S660" s="62"/>
      <c r="T660" s="62"/>
      <c r="U660" s="62"/>
      <c r="V660" s="62"/>
      <c r="W660" s="62"/>
      <c r="X660" s="62"/>
      <c r="Y660" s="62"/>
      <c r="Z660" s="62"/>
    </row>
    <row r="661" ht="25.5" customHeight="1">
      <c r="A661" s="62"/>
      <c r="B661" s="62"/>
      <c r="C661" s="316"/>
      <c r="D661" s="62"/>
      <c r="E661" s="62"/>
      <c r="F661" s="62"/>
      <c r="G661" s="316"/>
      <c r="H661" s="62"/>
      <c r="I661" s="316"/>
      <c r="J661" s="62"/>
      <c r="K661" s="62"/>
      <c r="L661" s="62"/>
      <c r="M661" s="62"/>
      <c r="N661" s="62"/>
      <c r="O661" s="62"/>
      <c r="P661" s="62"/>
      <c r="Q661" s="62"/>
      <c r="R661" s="62"/>
      <c r="S661" s="62"/>
      <c r="T661" s="62"/>
      <c r="U661" s="62"/>
      <c r="V661" s="62"/>
      <c r="W661" s="62"/>
      <c r="X661" s="62"/>
      <c r="Y661" s="62"/>
      <c r="Z661" s="62"/>
    </row>
    <row r="662" ht="25.5" customHeight="1">
      <c r="A662" s="62"/>
      <c r="B662" s="62"/>
      <c r="C662" s="316"/>
      <c r="D662" s="62"/>
      <c r="E662" s="62"/>
      <c r="F662" s="62"/>
      <c r="G662" s="316"/>
      <c r="H662" s="62"/>
      <c r="I662" s="316"/>
      <c r="J662" s="62"/>
      <c r="K662" s="62"/>
      <c r="L662" s="62"/>
      <c r="M662" s="62"/>
      <c r="N662" s="62"/>
      <c r="O662" s="62"/>
      <c r="P662" s="62"/>
      <c r="Q662" s="62"/>
      <c r="R662" s="62"/>
      <c r="S662" s="62"/>
      <c r="T662" s="62"/>
      <c r="U662" s="62"/>
      <c r="V662" s="62"/>
      <c r="W662" s="62"/>
      <c r="X662" s="62"/>
      <c r="Y662" s="62"/>
      <c r="Z662" s="62"/>
    </row>
    <row r="663" ht="25.5" customHeight="1">
      <c r="A663" s="62"/>
      <c r="B663" s="62"/>
      <c r="C663" s="316"/>
      <c r="D663" s="62"/>
      <c r="E663" s="62"/>
      <c r="F663" s="62"/>
      <c r="G663" s="316"/>
      <c r="H663" s="62"/>
      <c r="I663" s="316"/>
      <c r="J663" s="62"/>
      <c r="K663" s="62"/>
      <c r="L663" s="62"/>
      <c r="M663" s="62"/>
      <c r="N663" s="62"/>
      <c r="O663" s="62"/>
      <c r="P663" s="62"/>
      <c r="Q663" s="62"/>
      <c r="R663" s="62"/>
      <c r="S663" s="62"/>
      <c r="T663" s="62"/>
      <c r="U663" s="62"/>
      <c r="V663" s="62"/>
      <c r="W663" s="62"/>
      <c r="X663" s="62"/>
      <c r="Y663" s="62"/>
      <c r="Z663" s="62"/>
    </row>
    <row r="664" ht="25.5" customHeight="1">
      <c r="A664" s="62"/>
      <c r="B664" s="62"/>
      <c r="C664" s="316"/>
      <c r="D664" s="62"/>
      <c r="E664" s="62"/>
      <c r="F664" s="62"/>
      <c r="G664" s="316"/>
      <c r="H664" s="62"/>
      <c r="I664" s="316"/>
      <c r="J664" s="62"/>
      <c r="K664" s="62"/>
      <c r="L664" s="62"/>
      <c r="M664" s="62"/>
      <c r="N664" s="62"/>
      <c r="O664" s="62"/>
      <c r="P664" s="62"/>
      <c r="Q664" s="62"/>
      <c r="R664" s="62"/>
      <c r="S664" s="62"/>
      <c r="T664" s="62"/>
      <c r="U664" s="62"/>
      <c r="V664" s="62"/>
      <c r="W664" s="62"/>
      <c r="X664" s="62"/>
      <c r="Y664" s="62"/>
      <c r="Z664" s="62"/>
    </row>
    <row r="665" ht="25.5" customHeight="1">
      <c r="A665" s="62"/>
      <c r="B665" s="62"/>
      <c r="C665" s="316"/>
      <c r="D665" s="62"/>
      <c r="E665" s="62"/>
      <c r="F665" s="62"/>
      <c r="G665" s="316"/>
      <c r="H665" s="62"/>
      <c r="I665" s="316"/>
      <c r="J665" s="62"/>
      <c r="K665" s="62"/>
      <c r="L665" s="62"/>
      <c r="M665" s="62"/>
      <c r="N665" s="62"/>
      <c r="O665" s="62"/>
      <c r="P665" s="62"/>
      <c r="Q665" s="62"/>
      <c r="R665" s="62"/>
      <c r="S665" s="62"/>
      <c r="T665" s="62"/>
      <c r="U665" s="62"/>
      <c r="V665" s="62"/>
      <c r="W665" s="62"/>
      <c r="X665" s="62"/>
      <c r="Y665" s="62"/>
      <c r="Z665" s="62"/>
    </row>
    <row r="666" ht="25.5" customHeight="1">
      <c r="A666" s="62"/>
      <c r="B666" s="62"/>
      <c r="C666" s="316"/>
      <c r="D666" s="62"/>
      <c r="E666" s="62"/>
      <c r="F666" s="62"/>
      <c r="G666" s="316"/>
      <c r="H666" s="62"/>
      <c r="I666" s="316"/>
      <c r="J666" s="62"/>
      <c r="K666" s="62"/>
      <c r="L666" s="62"/>
      <c r="M666" s="62"/>
      <c r="N666" s="62"/>
      <c r="O666" s="62"/>
      <c r="P666" s="62"/>
      <c r="Q666" s="62"/>
      <c r="R666" s="62"/>
      <c r="S666" s="62"/>
      <c r="T666" s="62"/>
      <c r="U666" s="62"/>
      <c r="V666" s="62"/>
      <c r="W666" s="62"/>
      <c r="X666" s="62"/>
      <c r="Y666" s="62"/>
      <c r="Z666" s="62"/>
    </row>
    <row r="667" ht="25.5" customHeight="1">
      <c r="A667" s="62"/>
      <c r="B667" s="62"/>
      <c r="C667" s="316"/>
      <c r="D667" s="62"/>
      <c r="E667" s="62"/>
      <c r="F667" s="62"/>
      <c r="G667" s="316"/>
      <c r="H667" s="62"/>
      <c r="I667" s="316"/>
      <c r="J667" s="62"/>
      <c r="K667" s="62"/>
      <c r="L667" s="62"/>
      <c r="M667" s="62"/>
      <c r="N667" s="62"/>
      <c r="O667" s="62"/>
      <c r="P667" s="62"/>
      <c r="Q667" s="62"/>
      <c r="R667" s="62"/>
      <c r="S667" s="62"/>
      <c r="T667" s="62"/>
      <c r="U667" s="62"/>
      <c r="V667" s="62"/>
      <c r="W667" s="62"/>
      <c r="X667" s="62"/>
      <c r="Y667" s="62"/>
      <c r="Z667" s="62"/>
    </row>
    <row r="668" ht="25.5" customHeight="1">
      <c r="A668" s="62"/>
      <c r="B668" s="62"/>
      <c r="C668" s="316"/>
      <c r="D668" s="62"/>
      <c r="E668" s="62"/>
      <c r="F668" s="62"/>
      <c r="G668" s="316"/>
      <c r="H668" s="62"/>
      <c r="I668" s="316"/>
      <c r="J668" s="62"/>
      <c r="K668" s="62"/>
      <c r="L668" s="62"/>
      <c r="M668" s="62"/>
      <c r="N668" s="62"/>
      <c r="O668" s="62"/>
      <c r="P668" s="62"/>
      <c r="Q668" s="62"/>
      <c r="R668" s="62"/>
      <c r="S668" s="62"/>
      <c r="T668" s="62"/>
      <c r="U668" s="62"/>
      <c r="V668" s="62"/>
      <c r="W668" s="62"/>
      <c r="X668" s="62"/>
      <c r="Y668" s="62"/>
      <c r="Z668" s="62"/>
    </row>
    <row r="669" ht="25.5" customHeight="1">
      <c r="A669" s="62"/>
      <c r="B669" s="62"/>
      <c r="C669" s="316"/>
      <c r="D669" s="62"/>
      <c r="E669" s="62"/>
      <c r="F669" s="62"/>
      <c r="G669" s="316"/>
      <c r="H669" s="62"/>
      <c r="I669" s="316"/>
      <c r="J669" s="62"/>
      <c r="K669" s="62"/>
      <c r="L669" s="62"/>
      <c r="M669" s="62"/>
      <c r="N669" s="62"/>
      <c r="O669" s="62"/>
      <c r="P669" s="62"/>
      <c r="Q669" s="62"/>
      <c r="R669" s="62"/>
      <c r="S669" s="62"/>
      <c r="T669" s="62"/>
      <c r="U669" s="62"/>
      <c r="V669" s="62"/>
      <c r="W669" s="62"/>
      <c r="X669" s="62"/>
      <c r="Y669" s="62"/>
      <c r="Z669" s="62"/>
    </row>
    <row r="670" ht="25.5" customHeight="1">
      <c r="A670" s="62"/>
      <c r="B670" s="62"/>
      <c r="C670" s="316"/>
      <c r="D670" s="62"/>
      <c r="E670" s="62"/>
      <c r="F670" s="62"/>
      <c r="G670" s="316"/>
      <c r="H670" s="62"/>
      <c r="I670" s="316"/>
      <c r="J670" s="62"/>
      <c r="K670" s="62"/>
      <c r="L670" s="62"/>
      <c r="M670" s="62"/>
      <c r="N670" s="62"/>
      <c r="O670" s="62"/>
      <c r="P670" s="62"/>
      <c r="Q670" s="62"/>
      <c r="R670" s="62"/>
      <c r="S670" s="62"/>
      <c r="T670" s="62"/>
      <c r="U670" s="62"/>
      <c r="V670" s="62"/>
      <c r="W670" s="62"/>
      <c r="X670" s="62"/>
      <c r="Y670" s="62"/>
      <c r="Z670" s="62"/>
    </row>
    <row r="671" ht="25.5" customHeight="1">
      <c r="A671" s="62"/>
      <c r="B671" s="62"/>
      <c r="C671" s="316"/>
      <c r="D671" s="62"/>
      <c r="E671" s="62"/>
      <c r="F671" s="62"/>
      <c r="G671" s="316"/>
      <c r="H671" s="62"/>
      <c r="I671" s="316"/>
      <c r="J671" s="62"/>
      <c r="K671" s="62"/>
      <c r="L671" s="62"/>
      <c r="M671" s="62"/>
      <c r="N671" s="62"/>
      <c r="O671" s="62"/>
      <c r="P671" s="62"/>
      <c r="Q671" s="62"/>
      <c r="R671" s="62"/>
      <c r="S671" s="62"/>
      <c r="T671" s="62"/>
      <c r="U671" s="62"/>
      <c r="V671" s="62"/>
      <c r="W671" s="62"/>
      <c r="X671" s="62"/>
      <c r="Y671" s="62"/>
      <c r="Z671" s="62"/>
    </row>
    <row r="672" ht="25.5" customHeight="1">
      <c r="A672" s="62"/>
      <c r="B672" s="62"/>
      <c r="C672" s="316"/>
      <c r="D672" s="62"/>
      <c r="E672" s="62"/>
      <c r="F672" s="62"/>
      <c r="G672" s="316"/>
      <c r="H672" s="62"/>
      <c r="I672" s="316"/>
      <c r="J672" s="62"/>
      <c r="K672" s="62"/>
      <c r="L672" s="62"/>
      <c r="M672" s="62"/>
      <c r="N672" s="62"/>
      <c r="O672" s="62"/>
      <c r="P672" s="62"/>
      <c r="Q672" s="62"/>
      <c r="R672" s="62"/>
      <c r="S672" s="62"/>
      <c r="T672" s="62"/>
      <c r="U672" s="62"/>
      <c r="V672" s="62"/>
      <c r="W672" s="62"/>
      <c r="X672" s="62"/>
      <c r="Y672" s="62"/>
      <c r="Z672" s="62"/>
    </row>
    <row r="673" ht="25.5" customHeight="1">
      <c r="A673" s="62"/>
      <c r="B673" s="62"/>
      <c r="C673" s="316"/>
      <c r="D673" s="62"/>
      <c r="E673" s="62"/>
      <c r="F673" s="62"/>
      <c r="G673" s="316"/>
      <c r="H673" s="62"/>
      <c r="I673" s="316"/>
      <c r="J673" s="62"/>
      <c r="K673" s="62"/>
      <c r="L673" s="62"/>
      <c r="M673" s="62"/>
      <c r="N673" s="62"/>
      <c r="O673" s="62"/>
      <c r="P673" s="62"/>
      <c r="Q673" s="62"/>
      <c r="R673" s="62"/>
      <c r="S673" s="62"/>
      <c r="T673" s="62"/>
      <c r="U673" s="62"/>
      <c r="V673" s="62"/>
      <c r="W673" s="62"/>
      <c r="X673" s="62"/>
      <c r="Y673" s="62"/>
      <c r="Z673" s="62"/>
    </row>
    <row r="674" ht="25.5" customHeight="1">
      <c r="A674" s="62"/>
      <c r="B674" s="62"/>
      <c r="C674" s="316"/>
      <c r="D674" s="62"/>
      <c r="E674" s="62"/>
      <c r="F674" s="62"/>
      <c r="G674" s="316"/>
      <c r="H674" s="62"/>
      <c r="I674" s="316"/>
      <c r="J674" s="62"/>
      <c r="K674" s="62"/>
      <c r="L674" s="62"/>
      <c r="M674" s="62"/>
      <c r="N674" s="62"/>
      <c r="O674" s="62"/>
      <c r="P674" s="62"/>
      <c r="Q674" s="62"/>
      <c r="R674" s="62"/>
      <c r="S674" s="62"/>
      <c r="T674" s="62"/>
      <c r="U674" s="62"/>
      <c r="V674" s="62"/>
      <c r="W674" s="62"/>
      <c r="X674" s="62"/>
      <c r="Y674" s="62"/>
      <c r="Z674" s="62"/>
    </row>
    <row r="675" ht="25.5" customHeight="1">
      <c r="A675" s="62"/>
      <c r="B675" s="62"/>
      <c r="C675" s="316"/>
      <c r="D675" s="62"/>
      <c r="E675" s="62"/>
      <c r="F675" s="62"/>
      <c r="G675" s="316"/>
      <c r="H675" s="62"/>
      <c r="I675" s="316"/>
      <c r="J675" s="62"/>
      <c r="K675" s="62"/>
      <c r="L675" s="62"/>
      <c r="M675" s="62"/>
      <c r="N675" s="62"/>
      <c r="O675" s="62"/>
      <c r="P675" s="62"/>
      <c r="Q675" s="62"/>
      <c r="R675" s="62"/>
      <c r="S675" s="62"/>
      <c r="T675" s="62"/>
      <c r="U675" s="62"/>
      <c r="V675" s="62"/>
      <c r="W675" s="62"/>
      <c r="X675" s="62"/>
      <c r="Y675" s="62"/>
      <c r="Z675" s="62"/>
    </row>
    <row r="676" ht="25.5" customHeight="1">
      <c r="A676" s="62"/>
      <c r="B676" s="62"/>
      <c r="C676" s="316"/>
      <c r="D676" s="62"/>
      <c r="E676" s="62"/>
      <c r="F676" s="62"/>
      <c r="G676" s="316"/>
      <c r="H676" s="62"/>
      <c r="I676" s="316"/>
      <c r="J676" s="62"/>
      <c r="K676" s="62"/>
      <c r="L676" s="62"/>
      <c r="M676" s="62"/>
      <c r="N676" s="62"/>
      <c r="O676" s="62"/>
      <c r="P676" s="62"/>
      <c r="Q676" s="62"/>
      <c r="R676" s="62"/>
      <c r="S676" s="62"/>
      <c r="T676" s="62"/>
      <c r="U676" s="62"/>
      <c r="V676" s="62"/>
      <c r="W676" s="62"/>
      <c r="X676" s="62"/>
      <c r="Y676" s="62"/>
      <c r="Z676" s="62"/>
    </row>
    <row r="677" ht="25.5" customHeight="1">
      <c r="A677" s="62"/>
      <c r="B677" s="62"/>
      <c r="C677" s="316"/>
      <c r="D677" s="62"/>
      <c r="E677" s="62"/>
      <c r="F677" s="62"/>
      <c r="G677" s="316"/>
      <c r="H677" s="62"/>
      <c r="I677" s="316"/>
      <c r="J677" s="62"/>
      <c r="K677" s="62"/>
      <c r="L677" s="62"/>
      <c r="M677" s="62"/>
      <c r="N677" s="62"/>
      <c r="O677" s="62"/>
      <c r="P677" s="62"/>
      <c r="Q677" s="62"/>
      <c r="R677" s="62"/>
      <c r="S677" s="62"/>
      <c r="T677" s="62"/>
      <c r="U677" s="62"/>
      <c r="V677" s="62"/>
      <c r="W677" s="62"/>
      <c r="X677" s="62"/>
      <c r="Y677" s="62"/>
      <c r="Z677" s="62"/>
    </row>
    <row r="678" ht="25.5" customHeight="1">
      <c r="A678" s="62"/>
      <c r="B678" s="62"/>
      <c r="C678" s="316"/>
      <c r="D678" s="62"/>
      <c r="E678" s="62"/>
      <c r="F678" s="62"/>
      <c r="G678" s="316"/>
      <c r="H678" s="62"/>
      <c r="I678" s="316"/>
      <c r="J678" s="62"/>
      <c r="K678" s="62"/>
      <c r="L678" s="62"/>
      <c r="M678" s="62"/>
      <c r="N678" s="62"/>
      <c r="O678" s="62"/>
      <c r="P678" s="62"/>
      <c r="Q678" s="62"/>
      <c r="R678" s="62"/>
      <c r="S678" s="62"/>
      <c r="T678" s="62"/>
      <c r="U678" s="62"/>
      <c r="V678" s="62"/>
      <c r="W678" s="62"/>
      <c r="X678" s="62"/>
      <c r="Y678" s="62"/>
      <c r="Z678" s="62"/>
    </row>
    <row r="679" ht="25.5" customHeight="1">
      <c r="A679" s="62"/>
      <c r="B679" s="62"/>
      <c r="C679" s="316"/>
      <c r="D679" s="62"/>
      <c r="E679" s="62"/>
      <c r="F679" s="62"/>
      <c r="G679" s="316"/>
      <c r="H679" s="62"/>
      <c r="I679" s="316"/>
      <c r="J679" s="62"/>
      <c r="K679" s="62"/>
      <c r="L679" s="62"/>
      <c r="M679" s="62"/>
      <c r="N679" s="62"/>
      <c r="O679" s="62"/>
      <c r="P679" s="62"/>
      <c r="Q679" s="62"/>
      <c r="R679" s="62"/>
      <c r="S679" s="62"/>
      <c r="T679" s="62"/>
      <c r="U679" s="62"/>
      <c r="V679" s="62"/>
      <c r="W679" s="62"/>
      <c r="X679" s="62"/>
      <c r="Y679" s="62"/>
      <c r="Z679" s="62"/>
    </row>
    <row r="680" ht="25.5" customHeight="1">
      <c r="A680" s="62"/>
      <c r="B680" s="62"/>
      <c r="C680" s="316"/>
      <c r="D680" s="62"/>
      <c r="E680" s="62"/>
      <c r="F680" s="62"/>
      <c r="G680" s="316"/>
      <c r="H680" s="62"/>
      <c r="I680" s="316"/>
      <c r="J680" s="62"/>
      <c r="K680" s="62"/>
      <c r="L680" s="62"/>
      <c r="M680" s="62"/>
      <c r="N680" s="62"/>
      <c r="O680" s="62"/>
      <c r="P680" s="62"/>
      <c r="Q680" s="62"/>
      <c r="R680" s="62"/>
      <c r="S680" s="62"/>
      <c r="T680" s="62"/>
      <c r="U680" s="62"/>
      <c r="V680" s="62"/>
      <c r="W680" s="62"/>
      <c r="X680" s="62"/>
      <c r="Y680" s="62"/>
      <c r="Z680" s="62"/>
    </row>
    <row r="681" ht="25.5" customHeight="1">
      <c r="A681" s="62"/>
      <c r="B681" s="62"/>
      <c r="C681" s="316"/>
      <c r="D681" s="62"/>
      <c r="E681" s="62"/>
      <c r="F681" s="62"/>
      <c r="G681" s="316"/>
      <c r="H681" s="62"/>
      <c r="I681" s="316"/>
      <c r="J681" s="62"/>
      <c r="K681" s="62"/>
      <c r="L681" s="62"/>
      <c r="M681" s="62"/>
      <c r="N681" s="62"/>
      <c r="O681" s="62"/>
      <c r="P681" s="62"/>
      <c r="Q681" s="62"/>
      <c r="R681" s="62"/>
      <c r="S681" s="62"/>
      <c r="T681" s="62"/>
      <c r="U681" s="62"/>
      <c r="V681" s="62"/>
      <c r="W681" s="62"/>
      <c r="X681" s="62"/>
      <c r="Y681" s="62"/>
      <c r="Z681" s="62"/>
    </row>
    <row r="682" ht="25.5" customHeight="1">
      <c r="A682" s="62"/>
      <c r="B682" s="62"/>
      <c r="C682" s="316"/>
      <c r="D682" s="62"/>
      <c r="E682" s="62"/>
      <c r="F682" s="62"/>
      <c r="G682" s="316"/>
      <c r="H682" s="62"/>
      <c r="I682" s="316"/>
      <c r="J682" s="62"/>
      <c r="K682" s="62"/>
      <c r="L682" s="62"/>
      <c r="M682" s="62"/>
      <c r="N682" s="62"/>
      <c r="O682" s="62"/>
      <c r="P682" s="62"/>
      <c r="Q682" s="62"/>
      <c r="R682" s="62"/>
      <c r="S682" s="62"/>
      <c r="T682" s="62"/>
      <c r="U682" s="62"/>
      <c r="V682" s="62"/>
      <c r="W682" s="62"/>
      <c r="X682" s="62"/>
      <c r="Y682" s="62"/>
      <c r="Z682" s="62"/>
    </row>
    <row r="683" ht="25.5" customHeight="1">
      <c r="A683" s="62"/>
      <c r="B683" s="62"/>
      <c r="C683" s="316"/>
      <c r="D683" s="62"/>
      <c r="E683" s="62"/>
      <c r="F683" s="62"/>
      <c r="G683" s="316"/>
      <c r="H683" s="62"/>
      <c r="I683" s="316"/>
      <c r="J683" s="62"/>
      <c r="K683" s="62"/>
      <c r="L683" s="62"/>
      <c r="M683" s="62"/>
      <c r="N683" s="62"/>
      <c r="O683" s="62"/>
      <c r="P683" s="62"/>
      <c r="Q683" s="62"/>
      <c r="R683" s="62"/>
      <c r="S683" s="62"/>
      <c r="T683" s="62"/>
      <c r="U683" s="62"/>
      <c r="V683" s="62"/>
      <c r="W683" s="62"/>
      <c r="X683" s="62"/>
      <c r="Y683" s="62"/>
      <c r="Z683" s="62"/>
    </row>
    <row r="684" ht="25.5" customHeight="1">
      <c r="A684" s="62"/>
      <c r="B684" s="62"/>
      <c r="C684" s="316"/>
      <c r="D684" s="62"/>
      <c r="E684" s="62"/>
      <c r="F684" s="62"/>
      <c r="G684" s="316"/>
      <c r="H684" s="62"/>
      <c r="I684" s="316"/>
      <c r="J684" s="62"/>
      <c r="K684" s="62"/>
      <c r="L684" s="62"/>
      <c r="M684" s="62"/>
      <c r="N684" s="62"/>
      <c r="O684" s="62"/>
      <c r="P684" s="62"/>
      <c r="Q684" s="62"/>
      <c r="R684" s="62"/>
      <c r="S684" s="62"/>
      <c r="T684" s="62"/>
      <c r="U684" s="62"/>
      <c r="V684" s="62"/>
      <c r="W684" s="62"/>
      <c r="X684" s="62"/>
      <c r="Y684" s="62"/>
      <c r="Z684" s="62"/>
    </row>
    <row r="685" ht="25.5" customHeight="1">
      <c r="A685" s="62"/>
      <c r="B685" s="62"/>
      <c r="C685" s="316"/>
      <c r="D685" s="62"/>
      <c r="E685" s="62"/>
      <c r="F685" s="62"/>
      <c r="G685" s="316"/>
      <c r="H685" s="62"/>
      <c r="I685" s="316"/>
      <c r="J685" s="62"/>
      <c r="K685" s="62"/>
      <c r="L685" s="62"/>
      <c r="M685" s="62"/>
      <c r="N685" s="62"/>
      <c r="O685" s="62"/>
      <c r="P685" s="62"/>
      <c r="Q685" s="62"/>
      <c r="R685" s="62"/>
      <c r="S685" s="62"/>
      <c r="T685" s="62"/>
      <c r="U685" s="62"/>
      <c r="V685" s="62"/>
      <c r="W685" s="62"/>
      <c r="X685" s="62"/>
      <c r="Y685" s="62"/>
      <c r="Z685" s="62"/>
    </row>
    <row r="686" ht="25.5" customHeight="1">
      <c r="A686" s="62"/>
      <c r="B686" s="62"/>
      <c r="C686" s="316"/>
      <c r="D686" s="62"/>
      <c r="E686" s="62"/>
      <c r="F686" s="62"/>
      <c r="G686" s="316"/>
      <c r="H686" s="62"/>
      <c r="I686" s="316"/>
      <c r="J686" s="62"/>
      <c r="K686" s="62"/>
      <c r="L686" s="62"/>
      <c r="M686" s="62"/>
      <c r="N686" s="62"/>
      <c r="O686" s="62"/>
      <c r="P686" s="62"/>
      <c r="Q686" s="62"/>
      <c r="R686" s="62"/>
      <c r="S686" s="62"/>
      <c r="T686" s="62"/>
      <c r="U686" s="62"/>
      <c r="V686" s="62"/>
      <c r="W686" s="62"/>
      <c r="X686" s="62"/>
      <c r="Y686" s="62"/>
      <c r="Z686" s="62"/>
    </row>
    <row r="687" ht="25.5" customHeight="1">
      <c r="A687" s="62"/>
      <c r="B687" s="62"/>
      <c r="C687" s="316"/>
      <c r="D687" s="62"/>
      <c r="E687" s="62"/>
      <c r="F687" s="62"/>
      <c r="G687" s="316"/>
      <c r="H687" s="62"/>
      <c r="I687" s="316"/>
      <c r="J687" s="62"/>
      <c r="K687" s="62"/>
      <c r="L687" s="62"/>
      <c r="M687" s="62"/>
      <c r="N687" s="62"/>
      <c r="O687" s="62"/>
      <c r="P687" s="62"/>
      <c r="Q687" s="62"/>
      <c r="R687" s="62"/>
      <c r="S687" s="62"/>
      <c r="T687" s="62"/>
      <c r="U687" s="62"/>
      <c r="V687" s="62"/>
      <c r="W687" s="62"/>
      <c r="X687" s="62"/>
      <c r="Y687" s="62"/>
      <c r="Z687" s="62"/>
    </row>
    <row r="688" ht="25.5" customHeight="1">
      <c r="A688" s="62"/>
      <c r="B688" s="62"/>
      <c r="C688" s="316"/>
      <c r="D688" s="62"/>
      <c r="E688" s="62"/>
      <c r="F688" s="62"/>
      <c r="G688" s="316"/>
      <c r="H688" s="62"/>
      <c r="I688" s="316"/>
      <c r="J688" s="62"/>
      <c r="K688" s="62"/>
      <c r="L688" s="62"/>
      <c r="M688" s="62"/>
      <c r="N688" s="62"/>
      <c r="O688" s="62"/>
      <c r="P688" s="62"/>
      <c r="Q688" s="62"/>
      <c r="R688" s="62"/>
      <c r="S688" s="62"/>
      <c r="T688" s="62"/>
      <c r="U688" s="62"/>
      <c r="V688" s="62"/>
      <c r="W688" s="62"/>
      <c r="X688" s="62"/>
      <c r="Y688" s="62"/>
      <c r="Z688" s="62"/>
    </row>
    <row r="689" ht="25.5" customHeight="1">
      <c r="A689" s="62"/>
      <c r="B689" s="62"/>
      <c r="C689" s="316"/>
      <c r="D689" s="62"/>
      <c r="E689" s="62"/>
      <c r="F689" s="62"/>
      <c r="G689" s="316"/>
      <c r="H689" s="62"/>
      <c r="I689" s="316"/>
      <c r="J689" s="62"/>
      <c r="K689" s="62"/>
      <c r="L689" s="62"/>
      <c r="M689" s="62"/>
      <c r="N689" s="62"/>
      <c r="O689" s="62"/>
      <c r="P689" s="62"/>
      <c r="Q689" s="62"/>
      <c r="R689" s="62"/>
      <c r="S689" s="62"/>
      <c r="T689" s="62"/>
      <c r="U689" s="62"/>
      <c r="V689" s="62"/>
      <c r="W689" s="62"/>
      <c r="X689" s="62"/>
      <c r="Y689" s="62"/>
      <c r="Z689" s="62"/>
    </row>
    <row r="690" ht="25.5" customHeight="1">
      <c r="A690" s="62"/>
      <c r="B690" s="62"/>
      <c r="C690" s="316"/>
      <c r="D690" s="62"/>
      <c r="E690" s="62"/>
      <c r="F690" s="62"/>
      <c r="G690" s="316"/>
      <c r="H690" s="62"/>
      <c r="I690" s="316"/>
      <c r="J690" s="62"/>
      <c r="K690" s="62"/>
      <c r="L690" s="62"/>
      <c r="M690" s="62"/>
      <c r="N690" s="62"/>
      <c r="O690" s="62"/>
      <c r="P690" s="62"/>
      <c r="Q690" s="62"/>
      <c r="R690" s="62"/>
      <c r="S690" s="62"/>
      <c r="T690" s="62"/>
      <c r="U690" s="62"/>
      <c r="V690" s="62"/>
      <c r="W690" s="62"/>
      <c r="X690" s="62"/>
      <c r="Y690" s="62"/>
      <c r="Z690" s="62"/>
    </row>
    <row r="691" ht="25.5" customHeight="1">
      <c r="A691" s="62"/>
      <c r="B691" s="62"/>
      <c r="C691" s="316"/>
      <c r="D691" s="62"/>
      <c r="E691" s="62"/>
      <c r="F691" s="62"/>
      <c r="G691" s="316"/>
      <c r="H691" s="62"/>
      <c r="I691" s="316"/>
      <c r="J691" s="62"/>
      <c r="K691" s="62"/>
      <c r="L691" s="62"/>
      <c r="M691" s="62"/>
      <c r="N691" s="62"/>
      <c r="O691" s="62"/>
      <c r="P691" s="62"/>
      <c r="Q691" s="62"/>
      <c r="R691" s="62"/>
      <c r="S691" s="62"/>
      <c r="T691" s="62"/>
      <c r="U691" s="62"/>
      <c r="V691" s="62"/>
      <c r="W691" s="62"/>
      <c r="X691" s="62"/>
      <c r="Y691" s="62"/>
      <c r="Z691" s="62"/>
    </row>
    <row r="692" ht="25.5" customHeight="1">
      <c r="A692" s="62"/>
      <c r="B692" s="62"/>
      <c r="C692" s="316"/>
      <c r="D692" s="62"/>
      <c r="E692" s="62"/>
      <c r="F692" s="62"/>
      <c r="G692" s="316"/>
      <c r="H692" s="62"/>
      <c r="I692" s="316"/>
      <c r="J692" s="62"/>
      <c r="K692" s="62"/>
      <c r="L692" s="62"/>
      <c r="M692" s="62"/>
      <c r="N692" s="62"/>
      <c r="O692" s="62"/>
      <c r="P692" s="62"/>
      <c r="Q692" s="62"/>
      <c r="R692" s="62"/>
      <c r="S692" s="62"/>
      <c r="T692" s="62"/>
      <c r="U692" s="62"/>
      <c r="V692" s="62"/>
      <c r="W692" s="62"/>
      <c r="X692" s="62"/>
      <c r="Y692" s="62"/>
      <c r="Z692" s="62"/>
    </row>
    <row r="693" ht="25.5" customHeight="1">
      <c r="A693" s="62"/>
      <c r="B693" s="62"/>
      <c r="C693" s="316"/>
      <c r="D693" s="62"/>
      <c r="E693" s="62"/>
      <c r="F693" s="62"/>
      <c r="G693" s="316"/>
      <c r="H693" s="62"/>
      <c r="I693" s="316"/>
      <c r="J693" s="62"/>
      <c r="K693" s="62"/>
      <c r="L693" s="62"/>
      <c r="M693" s="62"/>
      <c r="N693" s="62"/>
      <c r="O693" s="62"/>
      <c r="P693" s="62"/>
      <c r="Q693" s="62"/>
      <c r="R693" s="62"/>
      <c r="S693" s="62"/>
      <c r="T693" s="62"/>
      <c r="U693" s="62"/>
      <c r="V693" s="62"/>
      <c r="W693" s="62"/>
      <c r="X693" s="62"/>
      <c r="Y693" s="62"/>
      <c r="Z693" s="62"/>
    </row>
    <row r="694" ht="25.5" customHeight="1">
      <c r="A694" s="62"/>
      <c r="B694" s="62"/>
      <c r="C694" s="316"/>
      <c r="D694" s="62"/>
      <c r="E694" s="62"/>
      <c r="F694" s="62"/>
      <c r="G694" s="316"/>
      <c r="H694" s="62"/>
      <c r="I694" s="316"/>
      <c r="J694" s="62"/>
      <c r="K694" s="62"/>
      <c r="L694" s="62"/>
      <c r="M694" s="62"/>
      <c r="N694" s="62"/>
      <c r="O694" s="62"/>
      <c r="P694" s="62"/>
      <c r="Q694" s="62"/>
      <c r="R694" s="62"/>
      <c r="S694" s="62"/>
      <c r="T694" s="62"/>
      <c r="U694" s="62"/>
      <c r="V694" s="62"/>
      <c r="W694" s="62"/>
      <c r="X694" s="62"/>
      <c r="Y694" s="62"/>
      <c r="Z694" s="62"/>
    </row>
    <row r="695" ht="25.5" customHeight="1">
      <c r="A695" s="62"/>
      <c r="B695" s="62"/>
      <c r="C695" s="316"/>
      <c r="D695" s="62"/>
      <c r="E695" s="62"/>
      <c r="F695" s="62"/>
      <c r="G695" s="316"/>
      <c r="H695" s="62"/>
      <c r="I695" s="316"/>
      <c r="J695" s="62"/>
      <c r="K695" s="62"/>
      <c r="L695" s="62"/>
      <c r="M695" s="62"/>
      <c r="N695" s="62"/>
      <c r="O695" s="62"/>
      <c r="P695" s="62"/>
      <c r="Q695" s="62"/>
      <c r="R695" s="62"/>
      <c r="S695" s="62"/>
      <c r="T695" s="62"/>
      <c r="U695" s="62"/>
      <c r="V695" s="62"/>
      <c r="W695" s="62"/>
      <c r="X695" s="62"/>
      <c r="Y695" s="62"/>
      <c r="Z695" s="62"/>
    </row>
    <row r="696" ht="25.5" customHeight="1">
      <c r="A696" s="62"/>
      <c r="B696" s="62"/>
      <c r="C696" s="316"/>
      <c r="D696" s="62"/>
      <c r="E696" s="62"/>
      <c r="F696" s="62"/>
      <c r="G696" s="316"/>
      <c r="H696" s="62"/>
      <c r="I696" s="316"/>
      <c r="J696" s="62"/>
      <c r="K696" s="62"/>
      <c r="L696" s="62"/>
      <c r="M696" s="62"/>
      <c r="N696" s="62"/>
      <c r="O696" s="62"/>
      <c r="P696" s="62"/>
      <c r="Q696" s="62"/>
      <c r="R696" s="62"/>
      <c r="S696" s="62"/>
      <c r="T696" s="62"/>
      <c r="U696" s="62"/>
      <c r="V696" s="62"/>
      <c r="W696" s="62"/>
      <c r="X696" s="62"/>
      <c r="Y696" s="62"/>
      <c r="Z696" s="62"/>
    </row>
    <row r="697" ht="25.5" customHeight="1">
      <c r="A697" s="62"/>
      <c r="B697" s="62"/>
      <c r="C697" s="316"/>
      <c r="D697" s="62"/>
      <c r="E697" s="62"/>
      <c r="F697" s="62"/>
      <c r="G697" s="316"/>
      <c r="H697" s="62"/>
      <c r="I697" s="316"/>
      <c r="J697" s="62"/>
      <c r="K697" s="62"/>
      <c r="L697" s="62"/>
      <c r="M697" s="62"/>
      <c r="N697" s="62"/>
      <c r="O697" s="62"/>
      <c r="P697" s="62"/>
      <c r="Q697" s="62"/>
      <c r="R697" s="62"/>
      <c r="S697" s="62"/>
      <c r="T697" s="62"/>
      <c r="U697" s="62"/>
      <c r="V697" s="62"/>
      <c r="W697" s="62"/>
      <c r="X697" s="62"/>
      <c r="Y697" s="62"/>
      <c r="Z697" s="62"/>
    </row>
    <row r="698" ht="25.5" customHeight="1">
      <c r="A698" s="62"/>
      <c r="B698" s="62"/>
      <c r="C698" s="316"/>
      <c r="D698" s="62"/>
      <c r="E698" s="62"/>
      <c r="F698" s="62"/>
      <c r="G698" s="316"/>
      <c r="H698" s="62"/>
      <c r="I698" s="316"/>
      <c r="J698" s="62"/>
      <c r="K698" s="62"/>
      <c r="L698" s="62"/>
      <c r="M698" s="62"/>
      <c r="N698" s="62"/>
      <c r="O698" s="62"/>
      <c r="P698" s="62"/>
      <c r="Q698" s="62"/>
      <c r="R698" s="62"/>
      <c r="S698" s="62"/>
      <c r="T698" s="62"/>
      <c r="U698" s="62"/>
      <c r="V698" s="62"/>
      <c r="W698" s="62"/>
      <c r="X698" s="62"/>
      <c r="Y698" s="62"/>
      <c r="Z698" s="62"/>
    </row>
    <row r="699" ht="25.5" customHeight="1">
      <c r="A699" s="62"/>
      <c r="B699" s="62"/>
      <c r="C699" s="316"/>
      <c r="D699" s="62"/>
      <c r="E699" s="62"/>
      <c r="F699" s="62"/>
      <c r="G699" s="316"/>
      <c r="H699" s="62"/>
      <c r="I699" s="316"/>
      <c r="J699" s="62"/>
      <c r="K699" s="62"/>
      <c r="L699" s="62"/>
      <c r="M699" s="62"/>
      <c r="N699" s="62"/>
      <c r="O699" s="62"/>
      <c r="P699" s="62"/>
      <c r="Q699" s="62"/>
      <c r="R699" s="62"/>
      <c r="S699" s="62"/>
      <c r="T699" s="62"/>
      <c r="U699" s="62"/>
      <c r="V699" s="62"/>
      <c r="W699" s="62"/>
      <c r="X699" s="62"/>
      <c r="Y699" s="62"/>
      <c r="Z699" s="62"/>
    </row>
    <row r="700" ht="25.5" customHeight="1">
      <c r="A700" s="62"/>
      <c r="B700" s="62"/>
      <c r="C700" s="316"/>
      <c r="D700" s="62"/>
      <c r="E700" s="62"/>
      <c r="F700" s="62"/>
      <c r="G700" s="316"/>
      <c r="H700" s="62"/>
      <c r="I700" s="316"/>
      <c r="J700" s="62"/>
      <c r="K700" s="62"/>
      <c r="L700" s="62"/>
      <c r="M700" s="62"/>
      <c r="N700" s="62"/>
      <c r="O700" s="62"/>
      <c r="P700" s="62"/>
      <c r="Q700" s="62"/>
      <c r="R700" s="62"/>
      <c r="S700" s="62"/>
      <c r="T700" s="62"/>
      <c r="U700" s="62"/>
      <c r="V700" s="62"/>
      <c r="W700" s="62"/>
      <c r="X700" s="62"/>
      <c r="Y700" s="62"/>
      <c r="Z700" s="62"/>
    </row>
    <row r="701" ht="25.5" customHeight="1">
      <c r="A701" s="62"/>
      <c r="B701" s="62"/>
      <c r="C701" s="316"/>
      <c r="D701" s="62"/>
      <c r="E701" s="62"/>
      <c r="F701" s="62"/>
      <c r="G701" s="316"/>
      <c r="H701" s="62"/>
      <c r="I701" s="316"/>
      <c r="J701" s="62"/>
      <c r="K701" s="62"/>
      <c r="L701" s="62"/>
      <c r="M701" s="62"/>
      <c r="N701" s="62"/>
      <c r="O701" s="62"/>
      <c r="P701" s="62"/>
      <c r="Q701" s="62"/>
      <c r="R701" s="62"/>
      <c r="S701" s="62"/>
      <c r="T701" s="62"/>
      <c r="U701" s="62"/>
      <c r="V701" s="62"/>
      <c r="W701" s="62"/>
      <c r="X701" s="62"/>
      <c r="Y701" s="62"/>
      <c r="Z701" s="62"/>
    </row>
    <row r="702" ht="25.5" customHeight="1">
      <c r="A702" s="62"/>
      <c r="B702" s="62"/>
      <c r="C702" s="316"/>
      <c r="D702" s="62"/>
      <c r="E702" s="62"/>
      <c r="F702" s="62"/>
      <c r="G702" s="316"/>
      <c r="H702" s="62"/>
      <c r="I702" s="316"/>
      <c r="J702" s="62"/>
      <c r="K702" s="62"/>
      <c r="L702" s="62"/>
      <c r="M702" s="62"/>
      <c r="N702" s="62"/>
      <c r="O702" s="62"/>
      <c r="P702" s="62"/>
      <c r="Q702" s="62"/>
      <c r="R702" s="62"/>
      <c r="S702" s="62"/>
      <c r="T702" s="62"/>
      <c r="U702" s="62"/>
      <c r="V702" s="62"/>
      <c r="W702" s="62"/>
      <c r="X702" s="62"/>
      <c r="Y702" s="62"/>
      <c r="Z702" s="62"/>
    </row>
    <row r="703" ht="25.5" customHeight="1">
      <c r="A703" s="62"/>
      <c r="B703" s="62"/>
      <c r="C703" s="316"/>
      <c r="D703" s="62"/>
      <c r="E703" s="62"/>
      <c r="F703" s="62"/>
      <c r="G703" s="316"/>
      <c r="H703" s="62"/>
      <c r="I703" s="316"/>
      <c r="J703" s="62"/>
      <c r="K703" s="62"/>
      <c r="L703" s="62"/>
      <c r="M703" s="62"/>
      <c r="N703" s="62"/>
      <c r="O703" s="62"/>
      <c r="P703" s="62"/>
      <c r="Q703" s="62"/>
      <c r="R703" s="62"/>
      <c r="S703" s="62"/>
      <c r="T703" s="62"/>
      <c r="U703" s="62"/>
      <c r="V703" s="62"/>
      <c r="W703" s="62"/>
      <c r="X703" s="62"/>
      <c r="Y703" s="62"/>
      <c r="Z703" s="62"/>
    </row>
    <row r="704" ht="25.5" customHeight="1">
      <c r="A704" s="62"/>
      <c r="B704" s="62"/>
      <c r="C704" s="316"/>
      <c r="D704" s="62"/>
      <c r="E704" s="62"/>
      <c r="F704" s="62"/>
      <c r="G704" s="316"/>
      <c r="H704" s="62"/>
      <c r="I704" s="316"/>
      <c r="J704" s="62"/>
      <c r="K704" s="62"/>
      <c r="L704" s="62"/>
      <c r="M704" s="62"/>
      <c r="N704" s="62"/>
      <c r="O704" s="62"/>
      <c r="P704" s="62"/>
      <c r="Q704" s="62"/>
      <c r="R704" s="62"/>
      <c r="S704" s="62"/>
      <c r="T704" s="62"/>
      <c r="U704" s="62"/>
      <c r="V704" s="62"/>
      <c r="W704" s="62"/>
      <c r="X704" s="62"/>
      <c r="Y704" s="62"/>
      <c r="Z704" s="62"/>
    </row>
    <row r="705" ht="25.5" customHeight="1">
      <c r="A705" s="62"/>
      <c r="B705" s="62"/>
      <c r="C705" s="316"/>
      <c r="D705" s="62"/>
      <c r="E705" s="62"/>
      <c r="F705" s="62"/>
      <c r="G705" s="316"/>
      <c r="H705" s="62"/>
      <c r="I705" s="316"/>
      <c r="J705" s="62"/>
      <c r="K705" s="62"/>
      <c r="L705" s="62"/>
      <c r="M705" s="62"/>
      <c r="N705" s="62"/>
      <c r="O705" s="62"/>
      <c r="P705" s="62"/>
      <c r="Q705" s="62"/>
      <c r="R705" s="62"/>
      <c r="S705" s="62"/>
      <c r="T705" s="62"/>
      <c r="U705" s="62"/>
      <c r="V705" s="62"/>
      <c r="W705" s="62"/>
      <c r="X705" s="62"/>
      <c r="Y705" s="62"/>
      <c r="Z705" s="62"/>
    </row>
    <row r="706" ht="25.5" customHeight="1">
      <c r="A706" s="62"/>
      <c r="B706" s="62"/>
      <c r="C706" s="316"/>
      <c r="D706" s="62"/>
      <c r="E706" s="62"/>
      <c r="F706" s="62"/>
      <c r="G706" s="316"/>
      <c r="H706" s="62"/>
      <c r="I706" s="316"/>
      <c r="J706" s="62"/>
      <c r="K706" s="62"/>
      <c r="L706" s="62"/>
      <c r="M706" s="62"/>
      <c r="N706" s="62"/>
      <c r="O706" s="62"/>
      <c r="P706" s="62"/>
      <c r="Q706" s="62"/>
      <c r="R706" s="62"/>
      <c r="S706" s="62"/>
      <c r="T706" s="62"/>
      <c r="U706" s="62"/>
      <c r="V706" s="62"/>
      <c r="W706" s="62"/>
      <c r="X706" s="62"/>
      <c r="Y706" s="62"/>
      <c r="Z706" s="62"/>
    </row>
    <row r="707" ht="25.5" customHeight="1">
      <c r="A707" s="62"/>
      <c r="B707" s="62"/>
      <c r="C707" s="316"/>
      <c r="D707" s="62"/>
      <c r="E707" s="62"/>
      <c r="F707" s="62"/>
      <c r="G707" s="316"/>
      <c r="H707" s="62"/>
      <c r="I707" s="316"/>
      <c r="J707" s="62"/>
      <c r="K707" s="62"/>
      <c r="L707" s="62"/>
      <c r="M707" s="62"/>
      <c r="N707" s="62"/>
      <c r="O707" s="62"/>
      <c r="P707" s="62"/>
      <c r="Q707" s="62"/>
      <c r="R707" s="62"/>
      <c r="S707" s="62"/>
      <c r="T707" s="62"/>
      <c r="U707" s="62"/>
      <c r="V707" s="62"/>
      <c r="W707" s="62"/>
      <c r="X707" s="62"/>
      <c r="Y707" s="62"/>
      <c r="Z707" s="62"/>
    </row>
    <row r="708" ht="25.5" customHeight="1">
      <c r="A708" s="62"/>
      <c r="B708" s="62"/>
      <c r="C708" s="316"/>
      <c r="D708" s="62"/>
      <c r="E708" s="62"/>
      <c r="F708" s="62"/>
      <c r="G708" s="316"/>
      <c r="H708" s="62"/>
      <c r="I708" s="316"/>
      <c r="J708" s="62"/>
      <c r="K708" s="62"/>
      <c r="L708" s="62"/>
      <c r="M708" s="62"/>
      <c r="N708" s="62"/>
      <c r="O708" s="62"/>
      <c r="P708" s="62"/>
      <c r="Q708" s="62"/>
      <c r="R708" s="62"/>
      <c r="S708" s="62"/>
      <c r="T708" s="62"/>
      <c r="U708" s="62"/>
      <c r="V708" s="62"/>
      <c r="W708" s="62"/>
      <c r="X708" s="62"/>
      <c r="Y708" s="62"/>
      <c r="Z708" s="62"/>
    </row>
    <row r="709" ht="25.5" customHeight="1">
      <c r="A709" s="62"/>
      <c r="B709" s="62"/>
      <c r="C709" s="316"/>
      <c r="D709" s="62"/>
      <c r="E709" s="62"/>
      <c r="F709" s="62"/>
      <c r="G709" s="316"/>
      <c r="H709" s="62"/>
      <c r="I709" s="316"/>
      <c r="J709" s="62"/>
      <c r="K709" s="62"/>
      <c r="L709" s="62"/>
      <c r="M709" s="62"/>
      <c r="N709" s="62"/>
      <c r="O709" s="62"/>
      <c r="P709" s="62"/>
      <c r="Q709" s="62"/>
      <c r="R709" s="62"/>
      <c r="S709" s="62"/>
      <c r="T709" s="62"/>
      <c r="U709" s="62"/>
      <c r="V709" s="62"/>
      <c r="W709" s="62"/>
      <c r="X709" s="62"/>
      <c r="Y709" s="62"/>
      <c r="Z709" s="62"/>
    </row>
    <row r="710" ht="25.5" customHeight="1">
      <c r="A710" s="62"/>
      <c r="B710" s="62"/>
      <c r="C710" s="316"/>
      <c r="D710" s="62"/>
      <c r="E710" s="62"/>
      <c r="F710" s="62"/>
      <c r="G710" s="316"/>
      <c r="H710" s="62"/>
      <c r="I710" s="316"/>
      <c r="J710" s="62"/>
      <c r="K710" s="62"/>
      <c r="L710" s="62"/>
      <c r="M710" s="62"/>
      <c r="N710" s="62"/>
      <c r="O710" s="62"/>
      <c r="P710" s="62"/>
      <c r="Q710" s="62"/>
      <c r="R710" s="62"/>
      <c r="S710" s="62"/>
      <c r="T710" s="62"/>
      <c r="U710" s="62"/>
      <c r="V710" s="62"/>
      <c r="W710" s="62"/>
      <c r="X710" s="62"/>
      <c r="Y710" s="62"/>
      <c r="Z710" s="62"/>
    </row>
    <row r="711" ht="25.5" customHeight="1">
      <c r="A711" s="62"/>
      <c r="B711" s="62"/>
      <c r="C711" s="316"/>
      <c r="D711" s="62"/>
      <c r="E711" s="62"/>
      <c r="F711" s="62"/>
      <c r="G711" s="316"/>
      <c r="H711" s="62"/>
      <c r="I711" s="316"/>
      <c r="J711" s="62"/>
      <c r="K711" s="62"/>
      <c r="L711" s="62"/>
      <c r="M711" s="62"/>
      <c r="N711" s="62"/>
      <c r="O711" s="62"/>
      <c r="P711" s="62"/>
      <c r="Q711" s="62"/>
      <c r="R711" s="62"/>
      <c r="S711" s="62"/>
      <c r="T711" s="62"/>
      <c r="U711" s="62"/>
      <c r="V711" s="62"/>
      <c r="W711" s="62"/>
      <c r="X711" s="62"/>
      <c r="Y711" s="62"/>
      <c r="Z711" s="62"/>
    </row>
    <row r="712" ht="25.5" customHeight="1">
      <c r="A712" s="62"/>
      <c r="B712" s="62"/>
      <c r="C712" s="316"/>
      <c r="D712" s="62"/>
      <c r="E712" s="62"/>
      <c r="F712" s="62"/>
      <c r="G712" s="316"/>
      <c r="H712" s="62"/>
      <c r="I712" s="316"/>
      <c r="J712" s="62"/>
      <c r="K712" s="62"/>
      <c r="L712" s="62"/>
      <c r="M712" s="62"/>
      <c r="N712" s="62"/>
      <c r="O712" s="62"/>
      <c r="P712" s="62"/>
      <c r="Q712" s="62"/>
      <c r="R712" s="62"/>
      <c r="S712" s="62"/>
      <c r="T712" s="62"/>
      <c r="U712" s="62"/>
      <c r="V712" s="62"/>
      <c r="W712" s="62"/>
      <c r="X712" s="62"/>
      <c r="Y712" s="62"/>
      <c r="Z712" s="62"/>
    </row>
    <row r="713" ht="25.5" customHeight="1">
      <c r="A713" s="62"/>
      <c r="B713" s="62"/>
      <c r="C713" s="316"/>
      <c r="D713" s="62"/>
      <c r="E713" s="62"/>
      <c r="F713" s="62"/>
      <c r="G713" s="316"/>
      <c r="H713" s="62"/>
      <c r="I713" s="316"/>
      <c r="J713" s="62"/>
      <c r="K713" s="62"/>
      <c r="L713" s="62"/>
      <c r="M713" s="62"/>
      <c r="N713" s="62"/>
      <c r="O713" s="62"/>
      <c r="P713" s="62"/>
      <c r="Q713" s="62"/>
      <c r="R713" s="62"/>
      <c r="S713" s="62"/>
      <c r="T713" s="62"/>
      <c r="U713" s="62"/>
      <c r="V713" s="62"/>
      <c r="W713" s="62"/>
      <c r="X713" s="62"/>
      <c r="Y713" s="62"/>
      <c r="Z713" s="62"/>
    </row>
    <row r="714" ht="25.5" customHeight="1">
      <c r="A714" s="62"/>
      <c r="B714" s="62"/>
      <c r="C714" s="316"/>
      <c r="D714" s="62"/>
      <c r="E714" s="62"/>
      <c r="F714" s="62"/>
      <c r="G714" s="316"/>
      <c r="H714" s="62"/>
      <c r="I714" s="316"/>
      <c r="J714" s="62"/>
      <c r="K714" s="62"/>
      <c r="L714" s="62"/>
      <c r="M714" s="62"/>
      <c r="N714" s="62"/>
      <c r="O714" s="62"/>
      <c r="P714" s="62"/>
      <c r="Q714" s="62"/>
      <c r="R714" s="62"/>
      <c r="S714" s="62"/>
      <c r="T714" s="62"/>
      <c r="U714" s="62"/>
      <c r="V714" s="62"/>
      <c r="W714" s="62"/>
      <c r="X714" s="62"/>
      <c r="Y714" s="62"/>
      <c r="Z714" s="62"/>
    </row>
    <row r="715" ht="25.5" customHeight="1">
      <c r="A715" s="62"/>
      <c r="B715" s="62"/>
      <c r="C715" s="316"/>
      <c r="D715" s="62"/>
      <c r="E715" s="62"/>
      <c r="F715" s="62"/>
      <c r="G715" s="316"/>
      <c r="H715" s="62"/>
      <c r="I715" s="316"/>
      <c r="J715" s="62"/>
      <c r="K715" s="62"/>
      <c r="L715" s="62"/>
      <c r="M715" s="62"/>
      <c r="N715" s="62"/>
      <c r="O715" s="62"/>
      <c r="P715" s="62"/>
      <c r="Q715" s="62"/>
      <c r="R715" s="62"/>
      <c r="S715" s="62"/>
      <c r="T715" s="62"/>
      <c r="U715" s="62"/>
      <c r="V715" s="62"/>
      <c r="W715" s="62"/>
      <c r="X715" s="62"/>
      <c r="Y715" s="62"/>
      <c r="Z715" s="62"/>
    </row>
    <row r="716" ht="25.5" customHeight="1">
      <c r="A716" s="62"/>
      <c r="B716" s="62"/>
      <c r="C716" s="316"/>
      <c r="D716" s="62"/>
      <c r="E716" s="62"/>
      <c r="F716" s="62"/>
      <c r="G716" s="316"/>
      <c r="H716" s="62"/>
      <c r="I716" s="316"/>
      <c r="J716" s="62"/>
      <c r="K716" s="62"/>
      <c r="L716" s="62"/>
      <c r="M716" s="62"/>
      <c r="N716" s="62"/>
      <c r="O716" s="62"/>
      <c r="P716" s="62"/>
      <c r="Q716" s="62"/>
      <c r="R716" s="62"/>
      <c r="S716" s="62"/>
      <c r="T716" s="62"/>
      <c r="U716" s="62"/>
      <c r="V716" s="62"/>
      <c r="W716" s="62"/>
      <c r="X716" s="62"/>
      <c r="Y716" s="62"/>
      <c r="Z716" s="62"/>
    </row>
    <row r="717" ht="25.5" customHeight="1">
      <c r="A717" s="62"/>
      <c r="B717" s="62"/>
      <c r="C717" s="316"/>
      <c r="D717" s="62"/>
      <c r="E717" s="62"/>
      <c r="F717" s="62"/>
      <c r="G717" s="316"/>
      <c r="H717" s="62"/>
      <c r="I717" s="316"/>
      <c r="J717" s="62"/>
      <c r="K717" s="62"/>
      <c r="L717" s="62"/>
      <c r="M717" s="62"/>
      <c r="N717" s="62"/>
      <c r="O717" s="62"/>
      <c r="P717" s="62"/>
      <c r="Q717" s="62"/>
      <c r="R717" s="62"/>
      <c r="S717" s="62"/>
      <c r="T717" s="62"/>
      <c r="U717" s="62"/>
      <c r="V717" s="62"/>
      <c r="W717" s="62"/>
      <c r="X717" s="62"/>
      <c r="Y717" s="62"/>
      <c r="Z717" s="62"/>
    </row>
    <row r="718" ht="25.5" customHeight="1">
      <c r="A718" s="62"/>
      <c r="B718" s="62"/>
      <c r="C718" s="316"/>
      <c r="D718" s="62"/>
      <c r="E718" s="62"/>
      <c r="F718" s="62"/>
      <c r="G718" s="316"/>
      <c r="H718" s="62"/>
      <c r="I718" s="316"/>
      <c r="J718" s="62"/>
      <c r="K718" s="62"/>
      <c r="L718" s="62"/>
      <c r="M718" s="62"/>
      <c r="N718" s="62"/>
      <c r="O718" s="62"/>
      <c r="P718" s="62"/>
      <c r="Q718" s="62"/>
      <c r="R718" s="62"/>
      <c r="S718" s="62"/>
      <c r="T718" s="62"/>
      <c r="U718" s="62"/>
      <c r="V718" s="62"/>
      <c r="W718" s="62"/>
      <c r="X718" s="62"/>
      <c r="Y718" s="62"/>
      <c r="Z718" s="62"/>
    </row>
    <row r="719" ht="25.5" customHeight="1">
      <c r="A719" s="62"/>
      <c r="B719" s="62"/>
      <c r="C719" s="316"/>
      <c r="D719" s="62"/>
      <c r="E719" s="62"/>
      <c r="F719" s="62"/>
      <c r="G719" s="316"/>
      <c r="H719" s="62"/>
      <c r="I719" s="316"/>
      <c r="J719" s="62"/>
      <c r="K719" s="62"/>
      <c r="L719" s="62"/>
      <c r="M719" s="62"/>
      <c r="N719" s="62"/>
      <c r="O719" s="62"/>
      <c r="P719" s="62"/>
      <c r="Q719" s="62"/>
      <c r="R719" s="62"/>
      <c r="S719" s="62"/>
      <c r="T719" s="62"/>
      <c r="U719" s="62"/>
      <c r="V719" s="62"/>
      <c r="W719" s="62"/>
      <c r="X719" s="62"/>
      <c r="Y719" s="62"/>
      <c r="Z719" s="62"/>
    </row>
    <row r="720" ht="25.5" customHeight="1">
      <c r="A720" s="62"/>
      <c r="B720" s="62"/>
      <c r="C720" s="316"/>
      <c r="D720" s="62"/>
      <c r="E720" s="62"/>
      <c r="F720" s="62"/>
      <c r="G720" s="316"/>
      <c r="H720" s="62"/>
      <c r="I720" s="316"/>
      <c r="J720" s="62"/>
      <c r="K720" s="62"/>
      <c r="L720" s="62"/>
      <c r="M720" s="62"/>
      <c r="N720" s="62"/>
      <c r="O720" s="62"/>
      <c r="P720" s="62"/>
      <c r="Q720" s="62"/>
      <c r="R720" s="62"/>
      <c r="S720" s="62"/>
      <c r="T720" s="62"/>
      <c r="U720" s="62"/>
      <c r="V720" s="62"/>
      <c r="W720" s="62"/>
      <c r="X720" s="62"/>
      <c r="Y720" s="62"/>
      <c r="Z720" s="62"/>
    </row>
    <row r="721" ht="25.5" customHeight="1">
      <c r="A721" s="62"/>
      <c r="B721" s="62"/>
      <c r="C721" s="316"/>
      <c r="D721" s="62"/>
      <c r="E721" s="62"/>
      <c r="F721" s="62"/>
      <c r="G721" s="316"/>
      <c r="H721" s="62"/>
      <c r="I721" s="316"/>
      <c r="J721" s="62"/>
      <c r="K721" s="62"/>
      <c r="L721" s="62"/>
      <c r="M721" s="62"/>
      <c r="N721" s="62"/>
      <c r="O721" s="62"/>
      <c r="P721" s="62"/>
      <c r="Q721" s="62"/>
      <c r="R721" s="62"/>
      <c r="S721" s="62"/>
      <c r="T721" s="62"/>
      <c r="U721" s="62"/>
      <c r="V721" s="62"/>
      <c r="W721" s="62"/>
      <c r="X721" s="62"/>
      <c r="Y721" s="62"/>
      <c r="Z721" s="62"/>
    </row>
    <row r="722" ht="25.5" customHeight="1">
      <c r="A722" s="62"/>
      <c r="B722" s="62"/>
      <c r="C722" s="316"/>
      <c r="D722" s="62"/>
      <c r="E722" s="62"/>
      <c r="F722" s="62"/>
      <c r="G722" s="316"/>
      <c r="H722" s="62"/>
      <c r="I722" s="316"/>
      <c r="J722" s="62"/>
      <c r="K722" s="62"/>
      <c r="L722" s="62"/>
      <c r="M722" s="62"/>
      <c r="N722" s="62"/>
      <c r="O722" s="62"/>
      <c r="P722" s="62"/>
      <c r="Q722" s="62"/>
      <c r="R722" s="62"/>
      <c r="S722" s="62"/>
      <c r="T722" s="62"/>
      <c r="U722" s="62"/>
      <c r="V722" s="62"/>
      <c r="W722" s="62"/>
      <c r="X722" s="62"/>
      <c r="Y722" s="62"/>
      <c r="Z722" s="62"/>
    </row>
    <row r="723" ht="25.5" customHeight="1">
      <c r="A723" s="62"/>
      <c r="B723" s="62"/>
      <c r="C723" s="316"/>
      <c r="D723" s="62"/>
      <c r="E723" s="62"/>
      <c r="F723" s="62"/>
      <c r="G723" s="316"/>
      <c r="H723" s="62"/>
      <c r="I723" s="316"/>
      <c r="J723" s="62"/>
      <c r="K723" s="62"/>
      <c r="L723" s="62"/>
      <c r="M723" s="62"/>
      <c r="N723" s="62"/>
      <c r="O723" s="62"/>
      <c r="P723" s="62"/>
      <c r="Q723" s="62"/>
      <c r="R723" s="62"/>
      <c r="S723" s="62"/>
      <c r="T723" s="62"/>
      <c r="U723" s="62"/>
      <c r="V723" s="62"/>
      <c r="W723" s="62"/>
      <c r="X723" s="62"/>
      <c r="Y723" s="62"/>
      <c r="Z723" s="62"/>
    </row>
    <row r="724" ht="25.5" customHeight="1">
      <c r="A724" s="62"/>
      <c r="B724" s="62"/>
      <c r="C724" s="316"/>
      <c r="D724" s="62"/>
      <c r="E724" s="62"/>
      <c r="F724" s="62"/>
      <c r="G724" s="316"/>
      <c r="H724" s="62"/>
      <c r="I724" s="316"/>
      <c r="J724" s="62"/>
      <c r="K724" s="62"/>
      <c r="L724" s="62"/>
      <c r="M724" s="62"/>
      <c r="N724" s="62"/>
      <c r="O724" s="62"/>
      <c r="P724" s="62"/>
      <c r="Q724" s="62"/>
      <c r="R724" s="62"/>
      <c r="S724" s="62"/>
      <c r="T724" s="62"/>
      <c r="U724" s="62"/>
      <c r="V724" s="62"/>
      <c r="W724" s="62"/>
      <c r="X724" s="62"/>
      <c r="Y724" s="62"/>
      <c r="Z724" s="62"/>
    </row>
    <row r="725" ht="25.5" customHeight="1">
      <c r="A725" s="62"/>
      <c r="B725" s="62"/>
      <c r="C725" s="316"/>
      <c r="D725" s="62"/>
      <c r="E725" s="62"/>
      <c r="F725" s="62"/>
      <c r="G725" s="316"/>
      <c r="H725" s="62"/>
      <c r="I725" s="316"/>
      <c r="J725" s="62"/>
      <c r="K725" s="62"/>
      <c r="L725" s="62"/>
      <c r="M725" s="62"/>
      <c r="N725" s="62"/>
      <c r="O725" s="62"/>
      <c r="P725" s="62"/>
      <c r="Q725" s="62"/>
      <c r="R725" s="62"/>
      <c r="S725" s="62"/>
      <c r="T725" s="62"/>
      <c r="U725" s="62"/>
      <c r="V725" s="62"/>
      <c r="W725" s="62"/>
      <c r="X725" s="62"/>
      <c r="Y725" s="62"/>
      <c r="Z725" s="62"/>
    </row>
    <row r="726" ht="25.5" customHeight="1">
      <c r="A726" s="62"/>
      <c r="B726" s="62"/>
      <c r="C726" s="316"/>
      <c r="D726" s="62"/>
      <c r="E726" s="62"/>
      <c r="F726" s="62"/>
      <c r="G726" s="316"/>
      <c r="H726" s="62"/>
      <c r="I726" s="316"/>
      <c r="J726" s="62"/>
      <c r="K726" s="62"/>
      <c r="L726" s="62"/>
      <c r="M726" s="62"/>
      <c r="N726" s="62"/>
      <c r="O726" s="62"/>
      <c r="P726" s="62"/>
      <c r="Q726" s="62"/>
      <c r="R726" s="62"/>
      <c r="S726" s="62"/>
      <c r="T726" s="62"/>
      <c r="U726" s="62"/>
      <c r="V726" s="62"/>
      <c r="W726" s="62"/>
      <c r="X726" s="62"/>
      <c r="Y726" s="62"/>
      <c r="Z726" s="62"/>
    </row>
    <row r="727" ht="25.5" customHeight="1">
      <c r="A727" s="62"/>
      <c r="B727" s="62"/>
      <c r="C727" s="316"/>
      <c r="D727" s="62"/>
      <c r="E727" s="62"/>
      <c r="F727" s="62"/>
      <c r="G727" s="316"/>
      <c r="H727" s="62"/>
      <c r="I727" s="316"/>
      <c r="J727" s="62"/>
      <c r="K727" s="62"/>
      <c r="L727" s="62"/>
      <c r="M727" s="62"/>
      <c r="N727" s="62"/>
      <c r="O727" s="62"/>
      <c r="P727" s="62"/>
      <c r="Q727" s="62"/>
      <c r="R727" s="62"/>
      <c r="S727" s="62"/>
      <c r="T727" s="62"/>
      <c r="U727" s="62"/>
      <c r="V727" s="62"/>
      <c r="W727" s="62"/>
      <c r="X727" s="62"/>
      <c r="Y727" s="62"/>
      <c r="Z727" s="62"/>
    </row>
    <row r="728" ht="25.5" customHeight="1">
      <c r="A728" s="62"/>
      <c r="B728" s="62"/>
      <c r="C728" s="316"/>
      <c r="D728" s="62"/>
      <c r="E728" s="62"/>
      <c r="F728" s="62"/>
      <c r="G728" s="316"/>
      <c r="H728" s="62"/>
      <c r="I728" s="316"/>
      <c r="J728" s="62"/>
      <c r="K728" s="62"/>
      <c r="L728" s="62"/>
      <c r="M728" s="62"/>
      <c r="N728" s="62"/>
      <c r="O728" s="62"/>
      <c r="P728" s="62"/>
      <c r="Q728" s="62"/>
      <c r="R728" s="62"/>
      <c r="S728" s="62"/>
      <c r="T728" s="62"/>
      <c r="U728" s="62"/>
      <c r="V728" s="62"/>
      <c r="W728" s="62"/>
      <c r="X728" s="62"/>
      <c r="Y728" s="62"/>
      <c r="Z728" s="62"/>
    </row>
    <row r="729" ht="25.5" customHeight="1">
      <c r="A729" s="62"/>
      <c r="B729" s="62"/>
      <c r="C729" s="316"/>
      <c r="D729" s="62"/>
      <c r="E729" s="62"/>
      <c r="F729" s="62"/>
      <c r="G729" s="316"/>
      <c r="H729" s="62"/>
      <c r="I729" s="316"/>
      <c r="J729" s="62"/>
      <c r="K729" s="62"/>
      <c r="L729" s="62"/>
      <c r="M729" s="62"/>
      <c r="N729" s="62"/>
      <c r="O729" s="62"/>
      <c r="P729" s="62"/>
      <c r="Q729" s="62"/>
      <c r="R729" s="62"/>
      <c r="S729" s="62"/>
      <c r="T729" s="62"/>
      <c r="U729" s="62"/>
      <c r="V729" s="62"/>
      <c r="W729" s="62"/>
      <c r="X729" s="62"/>
      <c r="Y729" s="62"/>
      <c r="Z729" s="62"/>
    </row>
    <row r="730" ht="25.5" customHeight="1">
      <c r="A730" s="62"/>
      <c r="B730" s="62"/>
      <c r="C730" s="316"/>
      <c r="D730" s="62"/>
      <c r="E730" s="62"/>
      <c r="F730" s="62"/>
      <c r="G730" s="316"/>
      <c r="H730" s="62"/>
      <c r="I730" s="316"/>
      <c r="J730" s="62"/>
      <c r="K730" s="62"/>
      <c r="L730" s="62"/>
      <c r="M730" s="62"/>
      <c r="N730" s="62"/>
      <c r="O730" s="62"/>
      <c r="P730" s="62"/>
      <c r="Q730" s="62"/>
      <c r="R730" s="62"/>
      <c r="S730" s="62"/>
      <c r="T730" s="62"/>
      <c r="U730" s="62"/>
      <c r="V730" s="62"/>
      <c r="W730" s="62"/>
      <c r="X730" s="62"/>
      <c r="Y730" s="62"/>
      <c r="Z730" s="62"/>
    </row>
    <row r="731" ht="25.5" customHeight="1">
      <c r="A731" s="62"/>
      <c r="B731" s="62"/>
      <c r="C731" s="316"/>
      <c r="D731" s="62"/>
      <c r="E731" s="62"/>
      <c r="F731" s="62"/>
      <c r="G731" s="316"/>
      <c r="H731" s="62"/>
      <c r="I731" s="316"/>
      <c r="J731" s="62"/>
      <c r="K731" s="62"/>
      <c r="L731" s="62"/>
      <c r="M731" s="62"/>
      <c r="N731" s="62"/>
      <c r="O731" s="62"/>
      <c r="P731" s="62"/>
      <c r="Q731" s="62"/>
      <c r="R731" s="62"/>
      <c r="S731" s="62"/>
      <c r="T731" s="62"/>
      <c r="U731" s="62"/>
      <c r="V731" s="62"/>
      <c r="W731" s="62"/>
      <c r="X731" s="62"/>
      <c r="Y731" s="62"/>
      <c r="Z731" s="62"/>
    </row>
    <row r="732" ht="25.5" customHeight="1">
      <c r="A732" s="62"/>
      <c r="B732" s="62"/>
      <c r="C732" s="316"/>
      <c r="D732" s="62"/>
      <c r="E732" s="62"/>
      <c r="F732" s="62"/>
      <c r="G732" s="316"/>
      <c r="H732" s="62"/>
      <c r="I732" s="316"/>
      <c r="J732" s="62"/>
      <c r="K732" s="62"/>
      <c r="L732" s="62"/>
      <c r="M732" s="62"/>
      <c r="N732" s="62"/>
      <c r="O732" s="62"/>
      <c r="P732" s="62"/>
      <c r="Q732" s="62"/>
      <c r="R732" s="62"/>
      <c r="S732" s="62"/>
      <c r="T732" s="62"/>
      <c r="U732" s="62"/>
      <c r="V732" s="62"/>
      <c r="W732" s="62"/>
      <c r="X732" s="62"/>
      <c r="Y732" s="62"/>
      <c r="Z732" s="62"/>
    </row>
    <row r="733" ht="25.5" customHeight="1">
      <c r="A733" s="62"/>
      <c r="B733" s="62"/>
      <c r="C733" s="316"/>
      <c r="D733" s="62"/>
      <c r="E733" s="62"/>
      <c r="F733" s="62"/>
      <c r="G733" s="316"/>
      <c r="H733" s="62"/>
      <c r="I733" s="316"/>
      <c r="J733" s="62"/>
      <c r="K733" s="62"/>
      <c r="L733" s="62"/>
      <c r="M733" s="62"/>
      <c r="N733" s="62"/>
      <c r="O733" s="62"/>
      <c r="P733" s="62"/>
      <c r="Q733" s="62"/>
      <c r="R733" s="62"/>
      <c r="S733" s="62"/>
      <c r="T733" s="62"/>
      <c r="U733" s="62"/>
      <c r="V733" s="62"/>
      <c r="W733" s="62"/>
      <c r="X733" s="62"/>
      <c r="Y733" s="62"/>
      <c r="Z733" s="62"/>
    </row>
    <row r="734" ht="25.5" customHeight="1">
      <c r="A734" s="62"/>
      <c r="B734" s="62"/>
      <c r="C734" s="316"/>
      <c r="D734" s="62"/>
      <c r="E734" s="62"/>
      <c r="F734" s="62"/>
      <c r="G734" s="316"/>
      <c r="H734" s="62"/>
      <c r="I734" s="316"/>
      <c r="J734" s="62"/>
      <c r="K734" s="62"/>
      <c r="L734" s="62"/>
      <c r="M734" s="62"/>
      <c r="N734" s="62"/>
      <c r="O734" s="62"/>
      <c r="P734" s="62"/>
      <c r="Q734" s="62"/>
      <c r="R734" s="62"/>
      <c r="S734" s="62"/>
      <c r="T734" s="62"/>
      <c r="U734" s="62"/>
      <c r="V734" s="62"/>
      <c r="W734" s="62"/>
      <c r="X734" s="62"/>
      <c r="Y734" s="62"/>
      <c r="Z734" s="62"/>
    </row>
    <row r="735" ht="25.5" customHeight="1">
      <c r="A735" s="62"/>
      <c r="B735" s="62"/>
      <c r="C735" s="316"/>
      <c r="D735" s="62"/>
      <c r="E735" s="62"/>
      <c r="F735" s="62"/>
      <c r="G735" s="316"/>
      <c r="H735" s="62"/>
      <c r="I735" s="316"/>
      <c r="J735" s="62"/>
      <c r="K735" s="62"/>
      <c r="L735" s="62"/>
      <c r="M735" s="62"/>
      <c r="N735" s="62"/>
      <c r="O735" s="62"/>
      <c r="P735" s="62"/>
      <c r="Q735" s="62"/>
      <c r="R735" s="62"/>
      <c r="S735" s="62"/>
      <c r="T735" s="62"/>
      <c r="U735" s="62"/>
      <c r="V735" s="62"/>
      <c r="W735" s="62"/>
      <c r="X735" s="62"/>
      <c r="Y735" s="62"/>
      <c r="Z735" s="62"/>
    </row>
    <row r="736" ht="25.5" customHeight="1">
      <c r="A736" s="62"/>
      <c r="B736" s="62"/>
      <c r="C736" s="316"/>
      <c r="D736" s="62"/>
      <c r="E736" s="62"/>
      <c r="F736" s="62"/>
      <c r="G736" s="316"/>
      <c r="H736" s="62"/>
      <c r="I736" s="316"/>
      <c r="J736" s="62"/>
      <c r="K736" s="62"/>
      <c r="L736" s="62"/>
      <c r="M736" s="62"/>
      <c r="N736" s="62"/>
      <c r="O736" s="62"/>
      <c r="P736" s="62"/>
      <c r="Q736" s="62"/>
      <c r="R736" s="62"/>
      <c r="S736" s="62"/>
      <c r="T736" s="62"/>
      <c r="U736" s="62"/>
      <c r="V736" s="62"/>
      <c r="W736" s="62"/>
      <c r="X736" s="62"/>
      <c r="Y736" s="62"/>
      <c r="Z736" s="62"/>
    </row>
    <row r="737" ht="25.5" customHeight="1">
      <c r="A737" s="62"/>
      <c r="B737" s="62"/>
      <c r="C737" s="316"/>
      <c r="D737" s="62"/>
      <c r="E737" s="62"/>
      <c r="F737" s="62"/>
      <c r="G737" s="316"/>
      <c r="H737" s="62"/>
      <c r="I737" s="316"/>
      <c r="J737" s="62"/>
      <c r="K737" s="62"/>
      <c r="L737" s="62"/>
      <c r="M737" s="62"/>
      <c r="N737" s="62"/>
      <c r="O737" s="62"/>
      <c r="P737" s="62"/>
      <c r="Q737" s="62"/>
      <c r="R737" s="62"/>
      <c r="S737" s="62"/>
      <c r="T737" s="62"/>
      <c r="U737" s="62"/>
      <c r="V737" s="62"/>
      <c r="W737" s="62"/>
      <c r="X737" s="62"/>
      <c r="Y737" s="62"/>
      <c r="Z737" s="62"/>
    </row>
    <row r="738" ht="25.5" customHeight="1">
      <c r="A738" s="62"/>
      <c r="B738" s="62"/>
      <c r="C738" s="316"/>
      <c r="D738" s="62"/>
      <c r="E738" s="62"/>
      <c r="F738" s="62"/>
      <c r="G738" s="316"/>
      <c r="H738" s="62"/>
      <c r="I738" s="316"/>
      <c r="J738" s="62"/>
      <c r="K738" s="62"/>
      <c r="L738" s="62"/>
      <c r="M738" s="62"/>
      <c r="N738" s="62"/>
      <c r="O738" s="62"/>
      <c r="P738" s="62"/>
      <c r="Q738" s="62"/>
      <c r="R738" s="62"/>
      <c r="S738" s="62"/>
      <c r="T738" s="62"/>
      <c r="U738" s="62"/>
      <c r="V738" s="62"/>
      <c r="W738" s="62"/>
      <c r="X738" s="62"/>
      <c r="Y738" s="62"/>
      <c r="Z738" s="62"/>
    </row>
    <row r="739" ht="25.5" customHeight="1">
      <c r="A739" s="62"/>
      <c r="B739" s="62"/>
      <c r="C739" s="316"/>
      <c r="D739" s="62"/>
      <c r="E739" s="62"/>
      <c r="F739" s="62"/>
      <c r="G739" s="316"/>
      <c r="H739" s="62"/>
      <c r="I739" s="316"/>
      <c r="J739" s="62"/>
      <c r="K739" s="62"/>
      <c r="L739" s="62"/>
      <c r="M739" s="62"/>
      <c r="N739" s="62"/>
      <c r="O739" s="62"/>
      <c r="P739" s="62"/>
      <c r="Q739" s="62"/>
      <c r="R739" s="62"/>
      <c r="S739" s="62"/>
      <c r="T739" s="62"/>
      <c r="U739" s="62"/>
      <c r="V739" s="62"/>
      <c r="W739" s="62"/>
      <c r="X739" s="62"/>
      <c r="Y739" s="62"/>
      <c r="Z739" s="62"/>
    </row>
    <row r="740" ht="25.5" customHeight="1">
      <c r="A740" s="62"/>
      <c r="B740" s="62"/>
      <c r="C740" s="316"/>
      <c r="D740" s="62"/>
      <c r="E740" s="62"/>
      <c r="F740" s="62"/>
      <c r="G740" s="316"/>
      <c r="H740" s="62"/>
      <c r="I740" s="316"/>
      <c r="J740" s="62"/>
      <c r="K740" s="62"/>
      <c r="L740" s="62"/>
      <c r="M740" s="62"/>
      <c r="N740" s="62"/>
      <c r="O740" s="62"/>
      <c r="P740" s="62"/>
      <c r="Q740" s="62"/>
      <c r="R740" s="62"/>
      <c r="S740" s="62"/>
      <c r="T740" s="62"/>
      <c r="U740" s="62"/>
      <c r="V740" s="62"/>
      <c r="W740" s="62"/>
      <c r="X740" s="62"/>
      <c r="Y740" s="62"/>
      <c r="Z740" s="62"/>
    </row>
    <row r="741" ht="25.5" customHeight="1">
      <c r="A741" s="62"/>
      <c r="B741" s="62"/>
      <c r="C741" s="316"/>
      <c r="D741" s="62"/>
      <c r="E741" s="62"/>
      <c r="F741" s="62"/>
      <c r="G741" s="316"/>
      <c r="H741" s="62"/>
      <c r="I741" s="316"/>
      <c r="J741" s="62"/>
      <c r="K741" s="62"/>
      <c r="L741" s="62"/>
      <c r="M741" s="62"/>
      <c r="N741" s="62"/>
      <c r="O741" s="62"/>
      <c r="P741" s="62"/>
      <c r="Q741" s="62"/>
      <c r="R741" s="62"/>
      <c r="S741" s="62"/>
      <c r="T741" s="62"/>
      <c r="U741" s="62"/>
      <c r="V741" s="62"/>
      <c r="W741" s="62"/>
      <c r="X741" s="62"/>
      <c r="Y741" s="62"/>
      <c r="Z741" s="62"/>
    </row>
    <row r="742" ht="25.5" customHeight="1">
      <c r="A742" s="62"/>
      <c r="B742" s="62"/>
      <c r="C742" s="316"/>
      <c r="D742" s="62"/>
      <c r="E742" s="62"/>
      <c r="F742" s="62"/>
      <c r="G742" s="316"/>
      <c r="H742" s="62"/>
      <c r="I742" s="316"/>
      <c r="J742" s="62"/>
      <c r="K742" s="62"/>
      <c r="L742" s="62"/>
      <c r="M742" s="62"/>
      <c r="N742" s="62"/>
      <c r="O742" s="62"/>
      <c r="P742" s="62"/>
      <c r="Q742" s="62"/>
      <c r="R742" s="62"/>
      <c r="S742" s="62"/>
      <c r="T742" s="62"/>
      <c r="U742" s="62"/>
      <c r="V742" s="62"/>
      <c r="W742" s="62"/>
      <c r="X742" s="62"/>
      <c r="Y742" s="62"/>
      <c r="Z742" s="62"/>
    </row>
    <row r="743" ht="25.5" customHeight="1">
      <c r="A743" s="62"/>
      <c r="B743" s="62"/>
      <c r="C743" s="316"/>
      <c r="D743" s="62"/>
      <c r="E743" s="62"/>
      <c r="F743" s="62"/>
      <c r="G743" s="316"/>
      <c r="H743" s="62"/>
      <c r="I743" s="316"/>
      <c r="J743" s="62"/>
      <c r="K743" s="62"/>
      <c r="L743" s="62"/>
      <c r="M743" s="62"/>
      <c r="N743" s="62"/>
      <c r="O743" s="62"/>
      <c r="P743" s="62"/>
      <c r="Q743" s="62"/>
      <c r="R743" s="62"/>
      <c r="S743" s="62"/>
      <c r="T743" s="62"/>
      <c r="U743" s="62"/>
      <c r="V743" s="62"/>
      <c r="W743" s="62"/>
      <c r="X743" s="62"/>
      <c r="Y743" s="62"/>
      <c r="Z743" s="62"/>
    </row>
    <row r="744" ht="25.5" customHeight="1">
      <c r="A744" s="62"/>
      <c r="B744" s="62"/>
      <c r="C744" s="316"/>
      <c r="D744" s="62"/>
      <c r="E744" s="62"/>
      <c r="F744" s="62"/>
      <c r="G744" s="316"/>
      <c r="H744" s="62"/>
      <c r="I744" s="316"/>
      <c r="J744" s="62"/>
      <c r="K744" s="62"/>
      <c r="L744" s="62"/>
      <c r="M744" s="62"/>
      <c r="N744" s="62"/>
      <c r="O744" s="62"/>
      <c r="P744" s="62"/>
      <c r="Q744" s="62"/>
      <c r="R744" s="62"/>
      <c r="S744" s="62"/>
      <c r="T744" s="62"/>
      <c r="U744" s="62"/>
      <c r="V744" s="62"/>
      <c r="W744" s="62"/>
      <c r="X744" s="62"/>
      <c r="Y744" s="62"/>
      <c r="Z744" s="62"/>
    </row>
    <row r="745" ht="25.5" customHeight="1">
      <c r="A745" s="62"/>
      <c r="B745" s="62"/>
      <c r="C745" s="316"/>
      <c r="D745" s="62"/>
      <c r="E745" s="62"/>
      <c r="F745" s="62"/>
      <c r="G745" s="316"/>
      <c r="H745" s="62"/>
      <c r="I745" s="316"/>
      <c r="J745" s="62"/>
      <c r="K745" s="62"/>
      <c r="L745" s="62"/>
      <c r="M745" s="62"/>
      <c r="N745" s="62"/>
      <c r="O745" s="62"/>
      <c r="P745" s="62"/>
      <c r="Q745" s="62"/>
      <c r="R745" s="62"/>
      <c r="S745" s="62"/>
      <c r="T745" s="62"/>
      <c r="U745" s="62"/>
      <c r="V745" s="62"/>
      <c r="W745" s="62"/>
      <c r="X745" s="62"/>
      <c r="Y745" s="62"/>
      <c r="Z745" s="62"/>
    </row>
    <row r="746" ht="25.5" customHeight="1">
      <c r="A746" s="62"/>
      <c r="B746" s="62"/>
      <c r="C746" s="316"/>
      <c r="D746" s="62"/>
      <c r="E746" s="62"/>
      <c r="F746" s="62"/>
      <c r="G746" s="316"/>
      <c r="H746" s="62"/>
      <c r="I746" s="316"/>
      <c r="J746" s="62"/>
      <c r="K746" s="62"/>
      <c r="L746" s="62"/>
      <c r="M746" s="62"/>
      <c r="N746" s="62"/>
      <c r="O746" s="62"/>
      <c r="P746" s="62"/>
      <c r="Q746" s="62"/>
      <c r="R746" s="62"/>
      <c r="S746" s="62"/>
      <c r="T746" s="62"/>
      <c r="U746" s="62"/>
      <c r="V746" s="62"/>
      <c r="W746" s="62"/>
      <c r="X746" s="62"/>
      <c r="Y746" s="62"/>
      <c r="Z746" s="62"/>
    </row>
    <row r="747" ht="25.5" customHeight="1">
      <c r="A747" s="62"/>
      <c r="B747" s="62"/>
      <c r="C747" s="316"/>
      <c r="D747" s="62"/>
      <c r="E747" s="62"/>
      <c r="F747" s="62"/>
      <c r="G747" s="316"/>
      <c r="H747" s="62"/>
      <c r="I747" s="316"/>
      <c r="J747" s="62"/>
      <c r="K747" s="62"/>
      <c r="L747" s="62"/>
      <c r="M747" s="62"/>
      <c r="N747" s="62"/>
      <c r="O747" s="62"/>
      <c r="P747" s="62"/>
      <c r="Q747" s="62"/>
      <c r="R747" s="62"/>
      <c r="S747" s="62"/>
      <c r="T747" s="62"/>
      <c r="U747" s="62"/>
      <c r="V747" s="62"/>
      <c r="W747" s="62"/>
      <c r="X747" s="62"/>
      <c r="Y747" s="62"/>
      <c r="Z747" s="62"/>
    </row>
    <row r="748" ht="25.5" customHeight="1">
      <c r="A748" s="62"/>
      <c r="B748" s="62"/>
      <c r="C748" s="316"/>
      <c r="D748" s="62"/>
      <c r="E748" s="62"/>
      <c r="F748" s="62"/>
      <c r="G748" s="316"/>
      <c r="H748" s="62"/>
      <c r="I748" s="316"/>
      <c r="J748" s="62"/>
      <c r="K748" s="62"/>
      <c r="L748" s="62"/>
      <c r="M748" s="62"/>
      <c r="N748" s="62"/>
      <c r="O748" s="62"/>
      <c r="P748" s="62"/>
      <c r="Q748" s="62"/>
      <c r="R748" s="62"/>
      <c r="S748" s="62"/>
      <c r="T748" s="62"/>
      <c r="U748" s="62"/>
      <c r="V748" s="62"/>
      <c r="W748" s="62"/>
      <c r="X748" s="62"/>
      <c r="Y748" s="62"/>
      <c r="Z748" s="62"/>
    </row>
    <row r="749" ht="25.5" customHeight="1">
      <c r="A749" s="62"/>
      <c r="B749" s="62"/>
      <c r="C749" s="316"/>
      <c r="D749" s="62"/>
      <c r="E749" s="62"/>
      <c r="F749" s="62"/>
      <c r="G749" s="316"/>
      <c r="H749" s="62"/>
      <c r="I749" s="316"/>
      <c r="J749" s="62"/>
      <c r="K749" s="62"/>
      <c r="L749" s="62"/>
      <c r="M749" s="62"/>
      <c r="N749" s="62"/>
      <c r="O749" s="62"/>
      <c r="P749" s="62"/>
      <c r="Q749" s="62"/>
      <c r="R749" s="62"/>
      <c r="S749" s="62"/>
      <c r="T749" s="62"/>
      <c r="U749" s="62"/>
      <c r="V749" s="62"/>
      <c r="W749" s="62"/>
      <c r="X749" s="62"/>
      <c r="Y749" s="62"/>
      <c r="Z749" s="62"/>
    </row>
    <row r="750" ht="25.5" customHeight="1">
      <c r="A750" s="62"/>
      <c r="B750" s="62"/>
      <c r="C750" s="316"/>
      <c r="D750" s="62"/>
      <c r="E750" s="62"/>
      <c r="F750" s="62"/>
      <c r="G750" s="316"/>
      <c r="H750" s="62"/>
      <c r="I750" s="316"/>
      <c r="J750" s="62"/>
      <c r="K750" s="62"/>
      <c r="L750" s="62"/>
      <c r="M750" s="62"/>
      <c r="N750" s="62"/>
      <c r="O750" s="62"/>
      <c r="P750" s="62"/>
      <c r="Q750" s="62"/>
      <c r="R750" s="62"/>
      <c r="S750" s="62"/>
      <c r="T750" s="62"/>
      <c r="U750" s="62"/>
      <c r="V750" s="62"/>
      <c r="W750" s="62"/>
      <c r="X750" s="62"/>
      <c r="Y750" s="62"/>
      <c r="Z750" s="62"/>
    </row>
    <row r="751" ht="25.5" customHeight="1">
      <c r="A751" s="62"/>
      <c r="B751" s="62"/>
      <c r="C751" s="316"/>
      <c r="D751" s="62"/>
      <c r="E751" s="62"/>
      <c r="F751" s="62"/>
      <c r="G751" s="316"/>
      <c r="H751" s="62"/>
      <c r="I751" s="316"/>
      <c r="J751" s="62"/>
      <c r="K751" s="62"/>
      <c r="L751" s="62"/>
      <c r="M751" s="62"/>
      <c r="N751" s="62"/>
      <c r="O751" s="62"/>
      <c r="P751" s="62"/>
      <c r="Q751" s="62"/>
      <c r="R751" s="62"/>
      <c r="S751" s="62"/>
      <c r="T751" s="62"/>
      <c r="U751" s="62"/>
      <c r="V751" s="62"/>
      <c r="W751" s="62"/>
      <c r="X751" s="62"/>
      <c r="Y751" s="62"/>
      <c r="Z751" s="62"/>
    </row>
    <row r="752" ht="25.5" customHeight="1">
      <c r="A752" s="62"/>
      <c r="B752" s="62"/>
      <c r="C752" s="316"/>
      <c r="D752" s="62"/>
      <c r="E752" s="62"/>
      <c r="F752" s="62"/>
      <c r="G752" s="316"/>
      <c r="H752" s="62"/>
      <c r="I752" s="316"/>
      <c r="J752" s="62"/>
      <c r="K752" s="62"/>
      <c r="L752" s="62"/>
      <c r="M752" s="62"/>
      <c r="N752" s="62"/>
      <c r="O752" s="62"/>
      <c r="P752" s="62"/>
      <c r="Q752" s="62"/>
      <c r="R752" s="62"/>
      <c r="S752" s="62"/>
      <c r="T752" s="62"/>
      <c r="U752" s="62"/>
      <c r="V752" s="62"/>
      <c r="W752" s="62"/>
      <c r="X752" s="62"/>
      <c r="Y752" s="62"/>
      <c r="Z752" s="62"/>
    </row>
    <row r="753" ht="25.5" customHeight="1">
      <c r="A753" s="62"/>
      <c r="B753" s="62"/>
      <c r="C753" s="316"/>
      <c r="D753" s="62"/>
      <c r="E753" s="62"/>
      <c r="F753" s="62"/>
      <c r="G753" s="316"/>
      <c r="H753" s="62"/>
      <c r="I753" s="316"/>
      <c r="J753" s="62"/>
      <c r="K753" s="62"/>
      <c r="L753" s="62"/>
      <c r="M753" s="62"/>
      <c r="N753" s="62"/>
      <c r="O753" s="62"/>
      <c r="P753" s="62"/>
      <c r="Q753" s="62"/>
      <c r="R753" s="62"/>
      <c r="S753" s="62"/>
      <c r="T753" s="62"/>
      <c r="U753" s="62"/>
      <c r="V753" s="62"/>
      <c r="W753" s="62"/>
      <c r="X753" s="62"/>
      <c r="Y753" s="62"/>
      <c r="Z753" s="62"/>
    </row>
    <row r="754" ht="25.5" customHeight="1">
      <c r="A754" s="62"/>
      <c r="B754" s="62"/>
      <c r="C754" s="316"/>
      <c r="D754" s="62"/>
      <c r="E754" s="62"/>
      <c r="F754" s="62"/>
      <c r="G754" s="316"/>
      <c r="H754" s="62"/>
      <c r="I754" s="316"/>
      <c r="J754" s="62"/>
      <c r="K754" s="62"/>
      <c r="L754" s="62"/>
      <c r="M754" s="62"/>
      <c r="N754" s="62"/>
      <c r="O754" s="62"/>
      <c r="P754" s="62"/>
      <c r="Q754" s="62"/>
      <c r="R754" s="62"/>
      <c r="S754" s="62"/>
      <c r="T754" s="62"/>
      <c r="U754" s="62"/>
      <c r="V754" s="62"/>
      <c r="W754" s="62"/>
      <c r="X754" s="62"/>
      <c r="Y754" s="62"/>
      <c r="Z754" s="62"/>
    </row>
    <row r="755" ht="25.5" customHeight="1">
      <c r="A755" s="62"/>
      <c r="B755" s="62"/>
      <c r="C755" s="316"/>
      <c r="D755" s="62"/>
      <c r="E755" s="62"/>
      <c r="F755" s="62"/>
      <c r="G755" s="316"/>
      <c r="H755" s="62"/>
      <c r="I755" s="316"/>
      <c r="J755" s="62"/>
      <c r="K755" s="62"/>
      <c r="L755" s="62"/>
      <c r="M755" s="62"/>
      <c r="N755" s="62"/>
      <c r="O755" s="62"/>
      <c r="P755" s="62"/>
      <c r="Q755" s="62"/>
      <c r="R755" s="62"/>
      <c r="S755" s="62"/>
      <c r="T755" s="62"/>
      <c r="U755" s="62"/>
      <c r="V755" s="62"/>
      <c r="W755" s="62"/>
      <c r="X755" s="62"/>
      <c r="Y755" s="62"/>
      <c r="Z755" s="62"/>
    </row>
    <row r="756" ht="25.5" customHeight="1">
      <c r="A756" s="62"/>
      <c r="B756" s="62"/>
      <c r="C756" s="316"/>
      <c r="D756" s="62"/>
      <c r="E756" s="62"/>
      <c r="F756" s="62"/>
      <c r="G756" s="316"/>
      <c r="H756" s="62"/>
      <c r="I756" s="316"/>
      <c r="J756" s="62"/>
      <c r="K756" s="62"/>
      <c r="L756" s="62"/>
      <c r="M756" s="62"/>
      <c r="N756" s="62"/>
      <c r="O756" s="62"/>
      <c r="P756" s="62"/>
      <c r="Q756" s="62"/>
      <c r="R756" s="62"/>
      <c r="S756" s="62"/>
      <c r="T756" s="62"/>
      <c r="U756" s="62"/>
      <c r="V756" s="62"/>
      <c r="W756" s="62"/>
      <c r="X756" s="62"/>
      <c r="Y756" s="62"/>
      <c r="Z756" s="62"/>
    </row>
    <row r="757" ht="25.5" customHeight="1">
      <c r="A757" s="62"/>
      <c r="B757" s="62"/>
      <c r="C757" s="316"/>
      <c r="D757" s="62"/>
      <c r="E757" s="62"/>
      <c r="F757" s="62"/>
      <c r="G757" s="316"/>
      <c r="H757" s="62"/>
      <c r="I757" s="316"/>
      <c r="J757" s="62"/>
      <c r="K757" s="62"/>
      <c r="L757" s="62"/>
      <c r="M757" s="62"/>
      <c r="N757" s="62"/>
      <c r="O757" s="62"/>
      <c r="P757" s="62"/>
      <c r="Q757" s="62"/>
      <c r="R757" s="62"/>
      <c r="S757" s="62"/>
      <c r="T757" s="62"/>
      <c r="U757" s="62"/>
      <c r="V757" s="62"/>
      <c r="W757" s="62"/>
      <c r="X757" s="62"/>
      <c r="Y757" s="62"/>
      <c r="Z757" s="62"/>
    </row>
    <row r="758" ht="25.5" customHeight="1">
      <c r="A758" s="62"/>
      <c r="B758" s="62"/>
      <c r="C758" s="316"/>
      <c r="D758" s="62"/>
      <c r="E758" s="62"/>
      <c r="F758" s="62"/>
      <c r="G758" s="316"/>
      <c r="H758" s="62"/>
      <c r="I758" s="316"/>
      <c r="J758" s="62"/>
      <c r="K758" s="62"/>
      <c r="L758" s="62"/>
      <c r="M758" s="62"/>
      <c r="N758" s="62"/>
      <c r="O758" s="62"/>
      <c r="P758" s="62"/>
      <c r="Q758" s="62"/>
      <c r="R758" s="62"/>
      <c r="S758" s="62"/>
      <c r="T758" s="62"/>
      <c r="U758" s="62"/>
      <c r="V758" s="62"/>
      <c r="W758" s="62"/>
      <c r="X758" s="62"/>
      <c r="Y758" s="62"/>
      <c r="Z758" s="62"/>
    </row>
    <row r="759" ht="25.5" customHeight="1">
      <c r="A759" s="62"/>
      <c r="B759" s="62"/>
      <c r="C759" s="316"/>
      <c r="D759" s="62"/>
      <c r="E759" s="62"/>
      <c r="F759" s="62"/>
      <c r="G759" s="316"/>
      <c r="H759" s="62"/>
      <c r="I759" s="316"/>
      <c r="J759" s="62"/>
      <c r="K759" s="62"/>
      <c r="L759" s="62"/>
      <c r="M759" s="62"/>
      <c r="N759" s="62"/>
      <c r="O759" s="62"/>
      <c r="P759" s="62"/>
      <c r="Q759" s="62"/>
      <c r="R759" s="62"/>
      <c r="S759" s="62"/>
      <c r="T759" s="62"/>
      <c r="U759" s="62"/>
      <c r="V759" s="62"/>
      <c r="W759" s="62"/>
      <c r="X759" s="62"/>
      <c r="Y759" s="62"/>
      <c r="Z759" s="62"/>
    </row>
    <row r="760" ht="25.5" customHeight="1">
      <c r="A760" s="62"/>
      <c r="B760" s="62"/>
      <c r="C760" s="316"/>
      <c r="D760" s="62"/>
      <c r="E760" s="62"/>
      <c r="F760" s="62"/>
      <c r="G760" s="316"/>
      <c r="H760" s="62"/>
      <c r="I760" s="316"/>
      <c r="J760" s="62"/>
      <c r="K760" s="62"/>
      <c r="L760" s="62"/>
      <c r="M760" s="62"/>
      <c r="N760" s="62"/>
      <c r="O760" s="62"/>
      <c r="P760" s="62"/>
      <c r="Q760" s="62"/>
      <c r="R760" s="62"/>
      <c r="S760" s="62"/>
      <c r="T760" s="62"/>
      <c r="U760" s="62"/>
      <c r="V760" s="62"/>
      <c r="W760" s="62"/>
      <c r="X760" s="62"/>
      <c r="Y760" s="62"/>
      <c r="Z760" s="62"/>
    </row>
    <row r="761" ht="25.5" customHeight="1">
      <c r="A761" s="62"/>
      <c r="B761" s="62"/>
      <c r="C761" s="316"/>
      <c r="D761" s="62"/>
      <c r="E761" s="62"/>
      <c r="F761" s="62"/>
      <c r="G761" s="316"/>
      <c r="H761" s="62"/>
      <c r="I761" s="316"/>
      <c r="J761" s="62"/>
      <c r="K761" s="62"/>
      <c r="L761" s="62"/>
      <c r="M761" s="62"/>
      <c r="N761" s="62"/>
      <c r="O761" s="62"/>
      <c r="P761" s="62"/>
      <c r="Q761" s="62"/>
      <c r="R761" s="62"/>
      <c r="S761" s="62"/>
      <c r="T761" s="62"/>
      <c r="U761" s="62"/>
      <c r="V761" s="62"/>
      <c r="W761" s="62"/>
      <c r="X761" s="62"/>
      <c r="Y761" s="62"/>
      <c r="Z761" s="62"/>
    </row>
    <row r="762" ht="25.5" customHeight="1">
      <c r="A762" s="62"/>
      <c r="B762" s="62"/>
      <c r="C762" s="316"/>
      <c r="D762" s="62"/>
      <c r="E762" s="62"/>
      <c r="F762" s="62"/>
      <c r="G762" s="316"/>
      <c r="H762" s="62"/>
      <c r="I762" s="316"/>
      <c r="J762" s="62"/>
      <c r="K762" s="62"/>
      <c r="L762" s="62"/>
      <c r="M762" s="62"/>
      <c r="N762" s="62"/>
      <c r="O762" s="62"/>
      <c r="P762" s="62"/>
      <c r="Q762" s="62"/>
      <c r="R762" s="62"/>
      <c r="S762" s="62"/>
      <c r="T762" s="62"/>
      <c r="U762" s="62"/>
      <c r="V762" s="62"/>
      <c r="W762" s="62"/>
      <c r="X762" s="62"/>
      <c r="Y762" s="62"/>
      <c r="Z762" s="62"/>
    </row>
    <row r="763" ht="25.5" customHeight="1">
      <c r="A763" s="62"/>
      <c r="B763" s="62"/>
      <c r="C763" s="316"/>
      <c r="D763" s="62"/>
      <c r="E763" s="62"/>
      <c r="F763" s="62"/>
      <c r="G763" s="316"/>
      <c r="H763" s="62"/>
      <c r="I763" s="316"/>
      <c r="J763" s="62"/>
      <c r="K763" s="62"/>
      <c r="L763" s="62"/>
      <c r="M763" s="62"/>
      <c r="N763" s="62"/>
      <c r="O763" s="62"/>
      <c r="P763" s="62"/>
      <c r="Q763" s="62"/>
      <c r="R763" s="62"/>
      <c r="S763" s="62"/>
      <c r="T763" s="62"/>
      <c r="U763" s="62"/>
      <c r="V763" s="62"/>
      <c r="W763" s="62"/>
      <c r="X763" s="62"/>
      <c r="Y763" s="62"/>
      <c r="Z763" s="62"/>
    </row>
    <row r="764" ht="25.5" customHeight="1">
      <c r="A764" s="62"/>
      <c r="B764" s="62"/>
      <c r="C764" s="316"/>
      <c r="D764" s="62"/>
      <c r="E764" s="62"/>
      <c r="F764" s="62"/>
      <c r="G764" s="316"/>
      <c r="H764" s="62"/>
      <c r="I764" s="316"/>
      <c r="J764" s="62"/>
      <c r="K764" s="62"/>
      <c r="L764" s="62"/>
      <c r="M764" s="62"/>
      <c r="N764" s="62"/>
      <c r="O764" s="62"/>
      <c r="P764" s="62"/>
      <c r="Q764" s="62"/>
      <c r="R764" s="62"/>
      <c r="S764" s="62"/>
      <c r="T764" s="62"/>
      <c r="U764" s="62"/>
      <c r="V764" s="62"/>
      <c r="W764" s="62"/>
      <c r="X764" s="62"/>
      <c r="Y764" s="62"/>
      <c r="Z764" s="62"/>
    </row>
    <row r="765" ht="25.5" customHeight="1">
      <c r="A765" s="62"/>
      <c r="B765" s="62"/>
      <c r="C765" s="316"/>
      <c r="D765" s="62"/>
      <c r="E765" s="62"/>
      <c r="F765" s="62"/>
      <c r="G765" s="316"/>
      <c r="H765" s="62"/>
      <c r="I765" s="316"/>
      <c r="J765" s="62"/>
      <c r="K765" s="62"/>
      <c r="L765" s="62"/>
      <c r="M765" s="62"/>
      <c r="N765" s="62"/>
      <c r="O765" s="62"/>
      <c r="P765" s="62"/>
      <c r="Q765" s="62"/>
      <c r="R765" s="62"/>
      <c r="S765" s="62"/>
      <c r="T765" s="62"/>
      <c r="U765" s="62"/>
      <c r="V765" s="62"/>
      <c r="W765" s="62"/>
      <c r="X765" s="62"/>
      <c r="Y765" s="62"/>
      <c r="Z765" s="62"/>
    </row>
    <row r="766" ht="25.5" customHeight="1">
      <c r="A766" s="62"/>
      <c r="B766" s="62"/>
      <c r="C766" s="316"/>
      <c r="D766" s="62"/>
      <c r="E766" s="62"/>
      <c r="F766" s="62"/>
      <c r="G766" s="316"/>
      <c r="H766" s="62"/>
      <c r="I766" s="316"/>
      <c r="J766" s="62"/>
      <c r="K766" s="62"/>
      <c r="L766" s="62"/>
      <c r="M766" s="62"/>
      <c r="N766" s="62"/>
      <c r="O766" s="62"/>
      <c r="P766" s="62"/>
      <c r="Q766" s="62"/>
      <c r="R766" s="62"/>
      <c r="S766" s="62"/>
      <c r="T766" s="62"/>
      <c r="U766" s="62"/>
      <c r="V766" s="62"/>
      <c r="W766" s="62"/>
      <c r="X766" s="62"/>
      <c r="Y766" s="62"/>
      <c r="Z766" s="62"/>
    </row>
    <row r="767" ht="25.5" customHeight="1">
      <c r="A767" s="62"/>
      <c r="B767" s="62"/>
      <c r="C767" s="316"/>
      <c r="D767" s="62"/>
      <c r="E767" s="62"/>
      <c r="F767" s="62"/>
      <c r="G767" s="316"/>
      <c r="H767" s="62"/>
      <c r="I767" s="316"/>
      <c r="J767" s="62"/>
      <c r="K767" s="62"/>
      <c r="L767" s="62"/>
      <c r="M767" s="62"/>
      <c r="N767" s="62"/>
      <c r="O767" s="62"/>
      <c r="P767" s="62"/>
      <c r="Q767" s="62"/>
      <c r="R767" s="62"/>
      <c r="S767" s="62"/>
      <c r="T767" s="62"/>
      <c r="U767" s="62"/>
      <c r="V767" s="62"/>
      <c r="W767" s="62"/>
      <c r="X767" s="62"/>
      <c r="Y767" s="62"/>
      <c r="Z767" s="62"/>
    </row>
    <row r="768" ht="25.5" customHeight="1">
      <c r="A768" s="62"/>
      <c r="B768" s="62"/>
      <c r="C768" s="316"/>
      <c r="D768" s="62"/>
      <c r="E768" s="62"/>
      <c r="F768" s="62"/>
      <c r="G768" s="316"/>
      <c r="H768" s="62"/>
      <c r="I768" s="316"/>
      <c r="J768" s="62"/>
      <c r="K768" s="62"/>
      <c r="L768" s="62"/>
      <c r="M768" s="62"/>
      <c r="N768" s="62"/>
      <c r="O768" s="62"/>
      <c r="P768" s="62"/>
      <c r="Q768" s="62"/>
      <c r="R768" s="62"/>
      <c r="S768" s="62"/>
      <c r="T768" s="62"/>
      <c r="U768" s="62"/>
      <c r="V768" s="62"/>
      <c r="W768" s="62"/>
      <c r="X768" s="62"/>
      <c r="Y768" s="62"/>
      <c r="Z768" s="62"/>
    </row>
    <row r="769" ht="25.5" customHeight="1">
      <c r="A769" s="62"/>
      <c r="B769" s="62"/>
      <c r="C769" s="316"/>
      <c r="D769" s="62"/>
      <c r="E769" s="62"/>
      <c r="F769" s="62"/>
      <c r="G769" s="316"/>
      <c r="H769" s="62"/>
      <c r="I769" s="316"/>
      <c r="J769" s="62"/>
      <c r="K769" s="62"/>
      <c r="L769" s="62"/>
      <c r="M769" s="62"/>
      <c r="N769" s="62"/>
      <c r="O769" s="62"/>
      <c r="P769" s="62"/>
      <c r="Q769" s="62"/>
      <c r="R769" s="62"/>
      <c r="S769" s="62"/>
      <c r="T769" s="62"/>
      <c r="U769" s="62"/>
      <c r="V769" s="62"/>
      <c r="W769" s="62"/>
      <c r="X769" s="62"/>
      <c r="Y769" s="62"/>
      <c r="Z769" s="62"/>
    </row>
    <row r="770" ht="25.5" customHeight="1">
      <c r="A770" s="62"/>
      <c r="B770" s="62"/>
      <c r="C770" s="316"/>
      <c r="D770" s="62"/>
      <c r="E770" s="62"/>
      <c r="F770" s="62"/>
      <c r="G770" s="316"/>
      <c r="H770" s="62"/>
      <c r="I770" s="316"/>
      <c r="J770" s="62"/>
      <c r="K770" s="62"/>
      <c r="L770" s="62"/>
      <c r="M770" s="62"/>
      <c r="N770" s="62"/>
      <c r="O770" s="62"/>
      <c r="P770" s="62"/>
      <c r="Q770" s="62"/>
      <c r="R770" s="62"/>
      <c r="S770" s="62"/>
      <c r="T770" s="62"/>
      <c r="U770" s="62"/>
      <c r="V770" s="62"/>
      <c r="W770" s="62"/>
      <c r="X770" s="62"/>
      <c r="Y770" s="62"/>
      <c r="Z770" s="62"/>
    </row>
    <row r="771" ht="25.5" customHeight="1">
      <c r="A771" s="62"/>
      <c r="B771" s="62"/>
      <c r="C771" s="316"/>
      <c r="D771" s="62"/>
      <c r="E771" s="62"/>
      <c r="F771" s="62"/>
      <c r="G771" s="316"/>
      <c r="H771" s="62"/>
      <c r="I771" s="316"/>
      <c r="J771" s="62"/>
      <c r="K771" s="62"/>
      <c r="L771" s="62"/>
      <c r="M771" s="62"/>
      <c r="N771" s="62"/>
      <c r="O771" s="62"/>
      <c r="P771" s="62"/>
      <c r="Q771" s="62"/>
      <c r="R771" s="62"/>
      <c r="S771" s="62"/>
      <c r="T771" s="62"/>
      <c r="U771" s="62"/>
      <c r="V771" s="62"/>
      <c r="W771" s="62"/>
      <c r="X771" s="62"/>
      <c r="Y771" s="62"/>
      <c r="Z771" s="62"/>
    </row>
    <row r="772" ht="25.5" customHeight="1">
      <c r="A772" s="62"/>
      <c r="B772" s="62"/>
      <c r="C772" s="316"/>
      <c r="D772" s="62"/>
      <c r="E772" s="62"/>
      <c r="F772" s="62"/>
      <c r="G772" s="316"/>
      <c r="H772" s="62"/>
      <c r="I772" s="316"/>
      <c r="J772" s="62"/>
      <c r="K772" s="62"/>
      <c r="L772" s="62"/>
      <c r="M772" s="62"/>
      <c r="N772" s="62"/>
      <c r="O772" s="62"/>
      <c r="P772" s="62"/>
      <c r="Q772" s="62"/>
      <c r="R772" s="62"/>
      <c r="S772" s="62"/>
      <c r="T772" s="62"/>
      <c r="U772" s="62"/>
      <c r="V772" s="62"/>
      <c r="W772" s="62"/>
      <c r="X772" s="62"/>
      <c r="Y772" s="62"/>
      <c r="Z772" s="62"/>
    </row>
    <row r="773" ht="25.5" customHeight="1">
      <c r="A773" s="62"/>
      <c r="B773" s="62"/>
      <c r="C773" s="316"/>
      <c r="D773" s="62"/>
      <c r="E773" s="62"/>
      <c r="F773" s="62"/>
      <c r="G773" s="316"/>
      <c r="H773" s="62"/>
      <c r="I773" s="316"/>
      <c r="J773" s="62"/>
      <c r="K773" s="62"/>
      <c r="L773" s="62"/>
      <c r="M773" s="62"/>
      <c r="N773" s="62"/>
      <c r="O773" s="62"/>
      <c r="P773" s="62"/>
      <c r="Q773" s="62"/>
      <c r="R773" s="62"/>
      <c r="S773" s="62"/>
      <c r="T773" s="62"/>
      <c r="U773" s="62"/>
      <c r="V773" s="62"/>
      <c r="W773" s="62"/>
      <c r="X773" s="62"/>
      <c r="Y773" s="62"/>
      <c r="Z773" s="62"/>
    </row>
    <row r="774" ht="25.5" customHeight="1">
      <c r="A774" s="62"/>
      <c r="B774" s="62"/>
      <c r="C774" s="316"/>
      <c r="D774" s="62"/>
      <c r="E774" s="62"/>
      <c r="F774" s="62"/>
      <c r="G774" s="316"/>
      <c r="H774" s="62"/>
      <c r="I774" s="316"/>
      <c r="J774" s="62"/>
      <c r="K774" s="62"/>
      <c r="L774" s="62"/>
      <c r="M774" s="62"/>
      <c r="N774" s="62"/>
      <c r="O774" s="62"/>
      <c r="P774" s="62"/>
      <c r="Q774" s="62"/>
      <c r="R774" s="62"/>
      <c r="S774" s="62"/>
      <c r="T774" s="62"/>
      <c r="U774" s="62"/>
      <c r="V774" s="62"/>
      <c r="W774" s="62"/>
      <c r="X774" s="62"/>
      <c r="Y774" s="62"/>
      <c r="Z774" s="62"/>
    </row>
    <row r="775" ht="25.5" customHeight="1">
      <c r="A775" s="62"/>
      <c r="B775" s="62"/>
      <c r="C775" s="316"/>
      <c r="D775" s="62"/>
      <c r="E775" s="62"/>
      <c r="F775" s="62"/>
      <c r="G775" s="316"/>
      <c r="H775" s="62"/>
      <c r="I775" s="316"/>
      <c r="J775" s="62"/>
      <c r="K775" s="62"/>
      <c r="L775" s="62"/>
      <c r="M775" s="62"/>
      <c r="N775" s="62"/>
      <c r="O775" s="62"/>
      <c r="P775" s="62"/>
      <c r="Q775" s="62"/>
      <c r="R775" s="62"/>
      <c r="S775" s="62"/>
      <c r="T775" s="62"/>
      <c r="U775" s="62"/>
      <c r="V775" s="62"/>
      <c r="W775" s="62"/>
      <c r="X775" s="62"/>
      <c r="Y775" s="62"/>
      <c r="Z775" s="62"/>
    </row>
    <row r="776" ht="25.5" customHeight="1">
      <c r="A776" s="62"/>
      <c r="B776" s="62"/>
      <c r="C776" s="316"/>
      <c r="D776" s="62"/>
      <c r="E776" s="62"/>
      <c r="F776" s="62"/>
      <c r="G776" s="316"/>
      <c r="H776" s="62"/>
      <c r="I776" s="316"/>
      <c r="J776" s="62"/>
      <c r="K776" s="62"/>
      <c r="L776" s="62"/>
      <c r="M776" s="62"/>
      <c r="N776" s="62"/>
      <c r="O776" s="62"/>
      <c r="P776" s="62"/>
      <c r="Q776" s="62"/>
      <c r="R776" s="62"/>
      <c r="S776" s="62"/>
      <c r="T776" s="62"/>
      <c r="U776" s="62"/>
      <c r="V776" s="62"/>
      <c r="W776" s="62"/>
      <c r="X776" s="62"/>
      <c r="Y776" s="62"/>
      <c r="Z776" s="62"/>
    </row>
    <row r="777" ht="25.5" customHeight="1">
      <c r="A777" s="62"/>
      <c r="B777" s="62"/>
      <c r="C777" s="316"/>
      <c r="D777" s="62"/>
      <c r="E777" s="62"/>
      <c r="F777" s="62"/>
      <c r="G777" s="316"/>
      <c r="H777" s="62"/>
      <c r="I777" s="316"/>
      <c r="J777" s="62"/>
      <c r="K777" s="62"/>
      <c r="L777" s="62"/>
      <c r="M777" s="62"/>
      <c r="N777" s="62"/>
      <c r="O777" s="62"/>
      <c r="P777" s="62"/>
      <c r="Q777" s="62"/>
      <c r="R777" s="62"/>
      <c r="S777" s="62"/>
      <c r="T777" s="62"/>
      <c r="U777" s="62"/>
      <c r="V777" s="62"/>
      <c r="W777" s="62"/>
      <c r="X777" s="62"/>
      <c r="Y777" s="62"/>
      <c r="Z777" s="62"/>
    </row>
    <row r="778" ht="25.5" customHeight="1">
      <c r="A778" s="62"/>
      <c r="B778" s="62"/>
      <c r="C778" s="316"/>
      <c r="D778" s="62"/>
      <c r="E778" s="62"/>
      <c r="F778" s="62"/>
      <c r="G778" s="316"/>
      <c r="H778" s="62"/>
      <c r="I778" s="316"/>
      <c r="J778" s="62"/>
      <c r="K778" s="62"/>
      <c r="L778" s="62"/>
      <c r="M778" s="62"/>
      <c r="N778" s="62"/>
      <c r="O778" s="62"/>
      <c r="P778" s="62"/>
      <c r="Q778" s="62"/>
      <c r="R778" s="62"/>
      <c r="S778" s="62"/>
      <c r="T778" s="62"/>
      <c r="U778" s="62"/>
      <c r="V778" s="62"/>
      <c r="W778" s="62"/>
      <c r="X778" s="62"/>
      <c r="Y778" s="62"/>
      <c r="Z778" s="62"/>
    </row>
    <row r="779" ht="25.5" customHeight="1">
      <c r="A779" s="62"/>
      <c r="B779" s="62"/>
      <c r="C779" s="316"/>
      <c r="D779" s="62"/>
      <c r="E779" s="62"/>
      <c r="F779" s="62"/>
      <c r="G779" s="316"/>
      <c r="H779" s="62"/>
      <c r="I779" s="316"/>
      <c r="J779" s="62"/>
      <c r="K779" s="62"/>
      <c r="L779" s="62"/>
      <c r="M779" s="62"/>
      <c r="N779" s="62"/>
      <c r="O779" s="62"/>
      <c r="P779" s="62"/>
      <c r="Q779" s="62"/>
      <c r="R779" s="62"/>
      <c r="S779" s="62"/>
      <c r="T779" s="62"/>
      <c r="U779" s="62"/>
      <c r="V779" s="62"/>
      <c r="W779" s="62"/>
      <c r="X779" s="62"/>
      <c r="Y779" s="62"/>
      <c r="Z779" s="62"/>
    </row>
    <row r="780" ht="25.5" customHeight="1">
      <c r="A780" s="62"/>
      <c r="B780" s="62"/>
      <c r="C780" s="316"/>
      <c r="D780" s="62"/>
      <c r="E780" s="62"/>
      <c r="F780" s="62"/>
      <c r="G780" s="316"/>
      <c r="H780" s="62"/>
      <c r="I780" s="316"/>
      <c r="J780" s="62"/>
      <c r="K780" s="62"/>
      <c r="L780" s="62"/>
      <c r="M780" s="62"/>
      <c r="N780" s="62"/>
      <c r="O780" s="62"/>
      <c r="P780" s="62"/>
      <c r="Q780" s="62"/>
      <c r="R780" s="62"/>
      <c r="S780" s="62"/>
      <c r="T780" s="62"/>
      <c r="U780" s="62"/>
      <c r="V780" s="62"/>
      <c r="W780" s="62"/>
      <c r="X780" s="62"/>
      <c r="Y780" s="62"/>
      <c r="Z780" s="62"/>
    </row>
    <row r="781" ht="25.5" customHeight="1">
      <c r="A781" s="62"/>
      <c r="B781" s="62"/>
      <c r="C781" s="316"/>
      <c r="D781" s="62"/>
      <c r="E781" s="62"/>
      <c r="F781" s="62"/>
      <c r="G781" s="316"/>
      <c r="H781" s="62"/>
      <c r="I781" s="316"/>
      <c r="J781" s="62"/>
      <c r="K781" s="62"/>
      <c r="L781" s="62"/>
      <c r="M781" s="62"/>
      <c r="N781" s="62"/>
      <c r="O781" s="62"/>
      <c r="P781" s="62"/>
      <c r="Q781" s="62"/>
      <c r="R781" s="62"/>
      <c r="S781" s="62"/>
      <c r="T781" s="62"/>
      <c r="U781" s="62"/>
      <c r="V781" s="62"/>
      <c r="W781" s="62"/>
      <c r="X781" s="62"/>
      <c r="Y781" s="62"/>
      <c r="Z781" s="62"/>
    </row>
    <row r="782" ht="25.5" customHeight="1">
      <c r="A782" s="62"/>
      <c r="B782" s="62"/>
      <c r="C782" s="316"/>
      <c r="D782" s="62"/>
      <c r="E782" s="62"/>
      <c r="F782" s="62"/>
      <c r="G782" s="316"/>
      <c r="H782" s="62"/>
      <c r="I782" s="316"/>
      <c r="J782" s="62"/>
      <c r="K782" s="62"/>
      <c r="L782" s="62"/>
      <c r="M782" s="62"/>
      <c r="N782" s="62"/>
      <c r="O782" s="62"/>
      <c r="P782" s="62"/>
      <c r="Q782" s="62"/>
      <c r="R782" s="62"/>
      <c r="S782" s="62"/>
      <c r="T782" s="62"/>
      <c r="U782" s="62"/>
      <c r="V782" s="62"/>
      <c r="W782" s="62"/>
      <c r="X782" s="62"/>
      <c r="Y782" s="62"/>
      <c r="Z782" s="62"/>
    </row>
    <row r="783" ht="25.5" customHeight="1">
      <c r="A783" s="62"/>
      <c r="B783" s="62"/>
      <c r="C783" s="316"/>
      <c r="D783" s="62"/>
      <c r="E783" s="62"/>
      <c r="F783" s="62"/>
      <c r="G783" s="316"/>
      <c r="H783" s="62"/>
      <c r="I783" s="316"/>
      <c r="J783" s="62"/>
      <c r="K783" s="62"/>
      <c r="L783" s="62"/>
      <c r="M783" s="62"/>
      <c r="N783" s="62"/>
      <c r="O783" s="62"/>
      <c r="P783" s="62"/>
      <c r="Q783" s="62"/>
      <c r="R783" s="62"/>
      <c r="S783" s="62"/>
      <c r="T783" s="62"/>
      <c r="U783" s="62"/>
      <c r="V783" s="62"/>
      <c r="W783" s="62"/>
      <c r="X783" s="62"/>
      <c r="Y783" s="62"/>
      <c r="Z783" s="62"/>
    </row>
    <row r="784" ht="25.5" customHeight="1">
      <c r="A784" s="62"/>
      <c r="B784" s="62"/>
      <c r="C784" s="316"/>
      <c r="D784" s="62"/>
      <c r="E784" s="62"/>
      <c r="F784" s="62"/>
      <c r="G784" s="316"/>
      <c r="H784" s="62"/>
      <c r="I784" s="316"/>
      <c r="J784" s="62"/>
      <c r="K784" s="62"/>
      <c r="L784" s="62"/>
      <c r="M784" s="62"/>
      <c r="N784" s="62"/>
      <c r="O784" s="62"/>
      <c r="P784" s="62"/>
      <c r="Q784" s="62"/>
      <c r="R784" s="62"/>
      <c r="S784" s="62"/>
      <c r="T784" s="62"/>
      <c r="U784" s="62"/>
      <c r="V784" s="62"/>
      <c r="W784" s="62"/>
      <c r="X784" s="62"/>
      <c r="Y784" s="62"/>
      <c r="Z784" s="62"/>
    </row>
    <row r="785" ht="25.5" customHeight="1">
      <c r="A785" s="62"/>
      <c r="B785" s="62"/>
      <c r="C785" s="316"/>
      <c r="D785" s="62"/>
      <c r="E785" s="62"/>
      <c r="F785" s="62"/>
      <c r="G785" s="316"/>
      <c r="H785" s="62"/>
      <c r="I785" s="316"/>
      <c r="J785" s="62"/>
      <c r="K785" s="62"/>
      <c r="L785" s="62"/>
      <c r="M785" s="62"/>
      <c r="N785" s="62"/>
      <c r="O785" s="62"/>
      <c r="P785" s="62"/>
      <c r="Q785" s="62"/>
      <c r="R785" s="62"/>
      <c r="S785" s="62"/>
      <c r="T785" s="62"/>
      <c r="U785" s="62"/>
      <c r="V785" s="62"/>
      <c r="W785" s="62"/>
      <c r="X785" s="62"/>
      <c r="Y785" s="62"/>
      <c r="Z785" s="62"/>
    </row>
    <row r="786" ht="25.5" customHeight="1">
      <c r="A786" s="62"/>
      <c r="B786" s="62"/>
      <c r="C786" s="316"/>
      <c r="D786" s="62"/>
      <c r="E786" s="62"/>
      <c r="F786" s="62"/>
      <c r="G786" s="316"/>
      <c r="H786" s="62"/>
      <c r="I786" s="316"/>
      <c r="J786" s="62"/>
      <c r="K786" s="62"/>
      <c r="L786" s="62"/>
      <c r="M786" s="62"/>
      <c r="N786" s="62"/>
      <c r="O786" s="62"/>
      <c r="P786" s="62"/>
      <c r="Q786" s="62"/>
      <c r="R786" s="62"/>
      <c r="S786" s="62"/>
      <c r="T786" s="62"/>
      <c r="U786" s="62"/>
      <c r="V786" s="62"/>
      <c r="W786" s="62"/>
      <c r="X786" s="62"/>
      <c r="Y786" s="62"/>
      <c r="Z786" s="62"/>
    </row>
    <row r="787" ht="25.5" customHeight="1">
      <c r="A787" s="62"/>
      <c r="B787" s="62"/>
      <c r="C787" s="316"/>
      <c r="D787" s="62"/>
      <c r="E787" s="62"/>
      <c r="F787" s="62"/>
      <c r="G787" s="316"/>
      <c r="H787" s="62"/>
      <c r="I787" s="316"/>
      <c r="J787" s="62"/>
      <c r="K787" s="62"/>
      <c r="L787" s="62"/>
      <c r="M787" s="62"/>
      <c r="N787" s="62"/>
      <c r="O787" s="62"/>
      <c r="P787" s="62"/>
      <c r="Q787" s="62"/>
      <c r="R787" s="62"/>
      <c r="S787" s="62"/>
      <c r="T787" s="62"/>
      <c r="U787" s="62"/>
      <c r="V787" s="62"/>
      <c r="W787" s="62"/>
      <c r="X787" s="62"/>
      <c r="Y787" s="62"/>
      <c r="Z787" s="62"/>
    </row>
    <row r="788" ht="25.5" customHeight="1">
      <c r="A788" s="62"/>
      <c r="B788" s="62"/>
      <c r="C788" s="316"/>
      <c r="D788" s="62"/>
      <c r="E788" s="62"/>
      <c r="F788" s="62"/>
      <c r="G788" s="316"/>
      <c r="H788" s="62"/>
      <c r="I788" s="316"/>
      <c r="J788" s="62"/>
      <c r="K788" s="62"/>
      <c r="L788" s="62"/>
      <c r="M788" s="62"/>
      <c r="N788" s="62"/>
      <c r="O788" s="62"/>
      <c r="P788" s="62"/>
      <c r="Q788" s="62"/>
      <c r="R788" s="62"/>
      <c r="S788" s="62"/>
      <c r="T788" s="62"/>
      <c r="U788" s="62"/>
      <c r="V788" s="62"/>
      <c r="W788" s="62"/>
      <c r="X788" s="62"/>
      <c r="Y788" s="62"/>
      <c r="Z788" s="62"/>
    </row>
    <row r="789" ht="25.5" customHeight="1">
      <c r="A789" s="62"/>
      <c r="B789" s="62"/>
      <c r="C789" s="316"/>
      <c r="D789" s="62"/>
      <c r="E789" s="62"/>
      <c r="F789" s="62"/>
      <c r="G789" s="316"/>
      <c r="H789" s="62"/>
      <c r="I789" s="316"/>
      <c r="J789" s="62"/>
      <c r="K789" s="62"/>
      <c r="L789" s="62"/>
      <c r="M789" s="62"/>
      <c r="N789" s="62"/>
      <c r="O789" s="62"/>
      <c r="P789" s="62"/>
      <c r="Q789" s="62"/>
      <c r="R789" s="62"/>
      <c r="S789" s="62"/>
      <c r="T789" s="62"/>
      <c r="U789" s="62"/>
      <c r="V789" s="62"/>
      <c r="W789" s="62"/>
      <c r="X789" s="62"/>
      <c r="Y789" s="62"/>
      <c r="Z789" s="62"/>
    </row>
    <row r="790" ht="25.5" customHeight="1">
      <c r="A790" s="62"/>
      <c r="B790" s="62"/>
      <c r="C790" s="316"/>
      <c r="D790" s="62"/>
      <c r="E790" s="62"/>
      <c r="F790" s="62"/>
      <c r="G790" s="316"/>
      <c r="H790" s="62"/>
      <c r="I790" s="316"/>
      <c r="J790" s="62"/>
      <c r="K790" s="62"/>
      <c r="L790" s="62"/>
      <c r="M790" s="62"/>
      <c r="N790" s="62"/>
      <c r="O790" s="62"/>
      <c r="P790" s="62"/>
      <c r="Q790" s="62"/>
      <c r="R790" s="62"/>
      <c r="S790" s="62"/>
      <c r="T790" s="62"/>
      <c r="U790" s="62"/>
      <c r="V790" s="62"/>
      <c r="W790" s="62"/>
      <c r="X790" s="62"/>
      <c r="Y790" s="62"/>
      <c r="Z790" s="62"/>
    </row>
    <row r="791" ht="25.5" customHeight="1">
      <c r="A791" s="62"/>
      <c r="B791" s="62"/>
      <c r="C791" s="316"/>
      <c r="D791" s="62"/>
      <c r="E791" s="62"/>
      <c r="F791" s="62"/>
      <c r="G791" s="316"/>
      <c r="H791" s="62"/>
      <c r="I791" s="316"/>
      <c r="J791" s="62"/>
      <c r="K791" s="62"/>
      <c r="L791" s="62"/>
      <c r="M791" s="62"/>
      <c r="N791" s="62"/>
      <c r="O791" s="62"/>
      <c r="P791" s="62"/>
      <c r="Q791" s="62"/>
      <c r="R791" s="62"/>
      <c r="S791" s="62"/>
      <c r="T791" s="62"/>
      <c r="U791" s="62"/>
      <c r="V791" s="62"/>
      <c r="W791" s="62"/>
      <c r="X791" s="62"/>
      <c r="Y791" s="62"/>
      <c r="Z791" s="62"/>
    </row>
    <row r="792" ht="25.5" customHeight="1">
      <c r="A792" s="62"/>
      <c r="B792" s="62"/>
      <c r="C792" s="316"/>
      <c r="D792" s="62"/>
      <c r="E792" s="62"/>
      <c r="F792" s="62"/>
      <c r="G792" s="316"/>
      <c r="H792" s="62"/>
      <c r="I792" s="316"/>
      <c r="J792" s="62"/>
      <c r="K792" s="62"/>
      <c r="L792" s="62"/>
      <c r="M792" s="62"/>
      <c r="N792" s="62"/>
      <c r="O792" s="62"/>
      <c r="P792" s="62"/>
      <c r="Q792" s="62"/>
      <c r="R792" s="62"/>
      <c r="S792" s="62"/>
      <c r="T792" s="62"/>
      <c r="U792" s="62"/>
      <c r="V792" s="62"/>
      <c r="W792" s="62"/>
      <c r="X792" s="62"/>
      <c r="Y792" s="62"/>
      <c r="Z792" s="62"/>
    </row>
    <row r="793" ht="25.5" customHeight="1">
      <c r="A793" s="62"/>
      <c r="B793" s="62"/>
      <c r="C793" s="316"/>
      <c r="D793" s="62"/>
      <c r="E793" s="62"/>
      <c r="F793" s="62"/>
      <c r="G793" s="316"/>
      <c r="H793" s="62"/>
      <c r="I793" s="316"/>
      <c r="J793" s="62"/>
      <c r="K793" s="62"/>
      <c r="L793" s="62"/>
      <c r="M793" s="62"/>
      <c r="N793" s="62"/>
      <c r="O793" s="62"/>
      <c r="P793" s="62"/>
      <c r="Q793" s="62"/>
      <c r="R793" s="62"/>
      <c r="S793" s="62"/>
      <c r="T793" s="62"/>
      <c r="U793" s="62"/>
      <c r="V793" s="62"/>
      <c r="W793" s="62"/>
      <c r="X793" s="62"/>
      <c r="Y793" s="62"/>
      <c r="Z793" s="62"/>
    </row>
    <row r="794" ht="25.5" customHeight="1">
      <c r="A794" s="62"/>
      <c r="B794" s="62"/>
      <c r="C794" s="316"/>
      <c r="D794" s="62"/>
      <c r="E794" s="62"/>
      <c r="F794" s="62"/>
      <c r="G794" s="316"/>
      <c r="H794" s="62"/>
      <c r="I794" s="316"/>
      <c r="J794" s="62"/>
      <c r="K794" s="62"/>
      <c r="L794" s="62"/>
      <c r="M794" s="62"/>
      <c r="N794" s="62"/>
      <c r="O794" s="62"/>
      <c r="P794" s="62"/>
      <c r="Q794" s="62"/>
      <c r="R794" s="62"/>
      <c r="S794" s="62"/>
      <c r="T794" s="62"/>
      <c r="U794" s="62"/>
      <c r="V794" s="62"/>
      <c r="W794" s="62"/>
      <c r="X794" s="62"/>
      <c r="Y794" s="62"/>
      <c r="Z794" s="62"/>
    </row>
    <row r="795" ht="25.5" customHeight="1">
      <c r="A795" s="62"/>
      <c r="B795" s="62"/>
      <c r="C795" s="316"/>
      <c r="D795" s="62"/>
      <c r="E795" s="62"/>
      <c r="F795" s="62"/>
      <c r="G795" s="316"/>
      <c r="H795" s="62"/>
      <c r="I795" s="316"/>
      <c r="J795" s="62"/>
      <c r="K795" s="62"/>
      <c r="L795" s="62"/>
      <c r="M795" s="62"/>
      <c r="N795" s="62"/>
      <c r="O795" s="62"/>
      <c r="P795" s="62"/>
      <c r="Q795" s="62"/>
      <c r="R795" s="62"/>
      <c r="S795" s="62"/>
      <c r="T795" s="62"/>
      <c r="U795" s="62"/>
      <c r="V795" s="62"/>
      <c r="W795" s="62"/>
      <c r="X795" s="62"/>
      <c r="Y795" s="62"/>
      <c r="Z795" s="62"/>
    </row>
    <row r="796" ht="25.5" customHeight="1">
      <c r="A796" s="62"/>
      <c r="B796" s="62"/>
      <c r="C796" s="316"/>
      <c r="D796" s="62"/>
      <c r="E796" s="62"/>
      <c r="F796" s="62"/>
      <c r="G796" s="316"/>
      <c r="H796" s="62"/>
      <c r="I796" s="316"/>
      <c r="J796" s="62"/>
      <c r="K796" s="62"/>
      <c r="L796" s="62"/>
      <c r="M796" s="62"/>
      <c r="N796" s="62"/>
      <c r="O796" s="62"/>
      <c r="P796" s="62"/>
      <c r="Q796" s="62"/>
      <c r="R796" s="62"/>
      <c r="S796" s="62"/>
      <c r="T796" s="62"/>
      <c r="U796" s="62"/>
      <c r="V796" s="62"/>
      <c r="W796" s="62"/>
      <c r="X796" s="62"/>
      <c r="Y796" s="62"/>
      <c r="Z796" s="62"/>
    </row>
    <row r="797" ht="25.5" customHeight="1">
      <c r="A797" s="62"/>
      <c r="B797" s="62"/>
      <c r="C797" s="316"/>
      <c r="D797" s="62"/>
      <c r="E797" s="62"/>
      <c r="F797" s="62"/>
      <c r="G797" s="316"/>
      <c r="H797" s="62"/>
      <c r="I797" s="316"/>
      <c r="J797" s="62"/>
      <c r="K797" s="62"/>
      <c r="L797" s="62"/>
      <c r="M797" s="62"/>
      <c r="N797" s="62"/>
      <c r="O797" s="62"/>
      <c r="P797" s="62"/>
      <c r="Q797" s="62"/>
      <c r="R797" s="62"/>
      <c r="S797" s="62"/>
      <c r="T797" s="62"/>
      <c r="U797" s="62"/>
      <c r="V797" s="62"/>
      <c r="W797" s="62"/>
      <c r="X797" s="62"/>
      <c r="Y797" s="62"/>
      <c r="Z797" s="62"/>
    </row>
    <row r="798" ht="25.5" customHeight="1">
      <c r="A798" s="62"/>
      <c r="B798" s="62"/>
      <c r="C798" s="316"/>
      <c r="D798" s="62"/>
      <c r="E798" s="62"/>
      <c r="F798" s="62"/>
      <c r="G798" s="316"/>
      <c r="H798" s="62"/>
      <c r="I798" s="316"/>
      <c r="J798" s="62"/>
      <c r="K798" s="62"/>
      <c r="L798" s="62"/>
      <c r="M798" s="62"/>
      <c r="N798" s="62"/>
      <c r="O798" s="62"/>
      <c r="P798" s="62"/>
      <c r="Q798" s="62"/>
      <c r="R798" s="62"/>
      <c r="S798" s="62"/>
      <c r="T798" s="62"/>
      <c r="U798" s="62"/>
      <c r="V798" s="62"/>
      <c r="W798" s="62"/>
      <c r="X798" s="62"/>
      <c r="Y798" s="62"/>
      <c r="Z798" s="62"/>
    </row>
    <row r="799" ht="25.5" customHeight="1">
      <c r="A799" s="62"/>
      <c r="B799" s="62"/>
      <c r="C799" s="316"/>
      <c r="D799" s="62"/>
      <c r="E799" s="62"/>
      <c r="F799" s="62"/>
      <c r="G799" s="316"/>
      <c r="H799" s="62"/>
      <c r="I799" s="316"/>
      <c r="J799" s="62"/>
      <c r="K799" s="62"/>
      <c r="L799" s="62"/>
      <c r="M799" s="62"/>
      <c r="N799" s="62"/>
      <c r="O799" s="62"/>
      <c r="P799" s="62"/>
      <c r="Q799" s="62"/>
      <c r="R799" s="62"/>
      <c r="S799" s="62"/>
      <c r="T799" s="62"/>
      <c r="U799" s="62"/>
      <c r="V799" s="62"/>
      <c r="W799" s="62"/>
      <c r="X799" s="62"/>
      <c r="Y799" s="62"/>
      <c r="Z799" s="62"/>
    </row>
    <row r="800" ht="25.5" customHeight="1">
      <c r="A800" s="62"/>
      <c r="B800" s="62"/>
      <c r="C800" s="316"/>
      <c r="D800" s="62"/>
      <c r="E800" s="62"/>
      <c r="F800" s="62"/>
      <c r="G800" s="316"/>
      <c r="H800" s="62"/>
      <c r="I800" s="316"/>
      <c r="J800" s="62"/>
      <c r="K800" s="62"/>
      <c r="L800" s="62"/>
      <c r="M800" s="62"/>
      <c r="N800" s="62"/>
      <c r="O800" s="62"/>
      <c r="P800" s="62"/>
      <c r="Q800" s="62"/>
      <c r="R800" s="62"/>
      <c r="S800" s="62"/>
      <c r="T800" s="62"/>
      <c r="U800" s="62"/>
      <c r="V800" s="62"/>
      <c r="W800" s="62"/>
      <c r="X800" s="62"/>
      <c r="Y800" s="62"/>
      <c r="Z800" s="62"/>
    </row>
    <row r="801" ht="25.5" customHeight="1">
      <c r="A801" s="62"/>
      <c r="B801" s="62"/>
      <c r="C801" s="316"/>
      <c r="D801" s="62"/>
      <c r="E801" s="62"/>
      <c r="F801" s="62"/>
      <c r="G801" s="316"/>
      <c r="H801" s="62"/>
      <c r="I801" s="316"/>
      <c r="J801" s="62"/>
      <c r="K801" s="62"/>
      <c r="L801" s="62"/>
      <c r="M801" s="62"/>
      <c r="N801" s="62"/>
      <c r="O801" s="62"/>
      <c r="P801" s="62"/>
      <c r="Q801" s="62"/>
      <c r="R801" s="62"/>
      <c r="S801" s="62"/>
      <c r="T801" s="62"/>
      <c r="U801" s="62"/>
      <c r="V801" s="62"/>
      <c r="W801" s="62"/>
      <c r="X801" s="62"/>
      <c r="Y801" s="62"/>
      <c r="Z801" s="62"/>
    </row>
    <row r="802" ht="25.5" customHeight="1">
      <c r="A802" s="62"/>
      <c r="B802" s="62"/>
      <c r="C802" s="316"/>
      <c r="D802" s="62"/>
      <c r="E802" s="62"/>
      <c r="F802" s="62"/>
      <c r="G802" s="316"/>
      <c r="H802" s="62"/>
      <c r="I802" s="316"/>
      <c r="J802" s="62"/>
      <c r="K802" s="62"/>
      <c r="L802" s="62"/>
      <c r="M802" s="62"/>
      <c r="N802" s="62"/>
      <c r="O802" s="62"/>
      <c r="P802" s="62"/>
      <c r="Q802" s="62"/>
      <c r="R802" s="62"/>
      <c r="S802" s="62"/>
      <c r="T802" s="62"/>
      <c r="U802" s="62"/>
      <c r="V802" s="62"/>
      <c r="W802" s="62"/>
      <c r="X802" s="62"/>
      <c r="Y802" s="62"/>
      <c r="Z802" s="62"/>
    </row>
    <row r="803" ht="25.5" customHeight="1">
      <c r="A803" s="62"/>
      <c r="B803" s="62"/>
      <c r="C803" s="316"/>
      <c r="D803" s="62"/>
      <c r="E803" s="62"/>
      <c r="F803" s="62"/>
      <c r="G803" s="316"/>
      <c r="H803" s="62"/>
      <c r="I803" s="316"/>
      <c r="J803" s="62"/>
      <c r="K803" s="62"/>
      <c r="L803" s="62"/>
      <c r="M803" s="62"/>
      <c r="N803" s="62"/>
      <c r="O803" s="62"/>
      <c r="P803" s="62"/>
      <c r="Q803" s="62"/>
      <c r="R803" s="62"/>
      <c r="S803" s="62"/>
      <c r="T803" s="62"/>
      <c r="U803" s="62"/>
      <c r="V803" s="62"/>
      <c r="W803" s="62"/>
      <c r="X803" s="62"/>
      <c r="Y803" s="62"/>
      <c r="Z803" s="62"/>
    </row>
    <row r="804" ht="25.5" customHeight="1">
      <c r="A804" s="62"/>
      <c r="B804" s="62"/>
      <c r="C804" s="316"/>
      <c r="D804" s="62"/>
      <c r="E804" s="62"/>
      <c r="F804" s="62"/>
      <c r="G804" s="316"/>
      <c r="H804" s="62"/>
      <c r="I804" s="316"/>
      <c r="J804" s="62"/>
      <c r="K804" s="62"/>
      <c r="L804" s="62"/>
      <c r="M804" s="62"/>
      <c r="N804" s="62"/>
      <c r="O804" s="62"/>
      <c r="P804" s="62"/>
      <c r="Q804" s="62"/>
      <c r="R804" s="62"/>
      <c r="S804" s="62"/>
      <c r="T804" s="62"/>
      <c r="U804" s="62"/>
      <c r="V804" s="62"/>
      <c r="W804" s="62"/>
      <c r="X804" s="62"/>
      <c r="Y804" s="62"/>
      <c r="Z804" s="62"/>
    </row>
    <row r="805" ht="25.5" customHeight="1">
      <c r="A805" s="62"/>
      <c r="B805" s="62"/>
      <c r="C805" s="316"/>
      <c r="D805" s="62"/>
      <c r="E805" s="62"/>
      <c r="F805" s="62"/>
      <c r="G805" s="316"/>
      <c r="H805" s="62"/>
      <c r="I805" s="316"/>
      <c r="J805" s="62"/>
      <c r="K805" s="62"/>
      <c r="L805" s="62"/>
      <c r="M805" s="62"/>
      <c r="N805" s="62"/>
      <c r="O805" s="62"/>
      <c r="P805" s="62"/>
      <c r="Q805" s="62"/>
      <c r="R805" s="62"/>
      <c r="S805" s="62"/>
      <c r="T805" s="62"/>
      <c r="U805" s="62"/>
      <c r="V805" s="62"/>
      <c r="W805" s="62"/>
      <c r="X805" s="62"/>
      <c r="Y805" s="62"/>
      <c r="Z805" s="62"/>
    </row>
    <row r="806" ht="25.5" customHeight="1">
      <c r="A806" s="62"/>
      <c r="B806" s="62"/>
      <c r="C806" s="316"/>
      <c r="D806" s="62"/>
      <c r="E806" s="62"/>
      <c r="F806" s="62"/>
      <c r="G806" s="316"/>
      <c r="H806" s="62"/>
      <c r="I806" s="316"/>
      <c r="J806" s="62"/>
      <c r="K806" s="62"/>
      <c r="L806" s="62"/>
      <c r="M806" s="62"/>
      <c r="N806" s="62"/>
      <c r="O806" s="62"/>
      <c r="P806" s="62"/>
      <c r="Q806" s="62"/>
      <c r="R806" s="62"/>
      <c r="S806" s="62"/>
      <c r="T806" s="62"/>
      <c r="U806" s="62"/>
      <c r="V806" s="62"/>
      <c r="W806" s="62"/>
      <c r="X806" s="62"/>
      <c r="Y806" s="62"/>
      <c r="Z806" s="62"/>
    </row>
    <row r="807" ht="25.5" customHeight="1">
      <c r="A807" s="62"/>
      <c r="B807" s="62"/>
      <c r="C807" s="316"/>
      <c r="D807" s="62"/>
      <c r="E807" s="62"/>
      <c r="F807" s="62"/>
      <c r="G807" s="316"/>
      <c r="H807" s="62"/>
      <c r="I807" s="316"/>
      <c r="J807" s="62"/>
      <c r="K807" s="62"/>
      <c r="L807" s="62"/>
      <c r="M807" s="62"/>
      <c r="N807" s="62"/>
      <c r="O807" s="62"/>
      <c r="P807" s="62"/>
      <c r="Q807" s="62"/>
      <c r="R807" s="62"/>
      <c r="S807" s="62"/>
      <c r="T807" s="62"/>
      <c r="U807" s="62"/>
      <c r="V807" s="62"/>
      <c r="W807" s="62"/>
      <c r="X807" s="62"/>
      <c r="Y807" s="62"/>
      <c r="Z807" s="62"/>
    </row>
    <row r="808" ht="25.5" customHeight="1">
      <c r="A808" s="62"/>
      <c r="B808" s="62"/>
      <c r="C808" s="316"/>
      <c r="D808" s="62"/>
      <c r="E808" s="62"/>
      <c r="F808" s="62"/>
      <c r="G808" s="316"/>
      <c r="H808" s="62"/>
      <c r="I808" s="316"/>
      <c r="J808" s="62"/>
      <c r="K808" s="62"/>
      <c r="L808" s="62"/>
      <c r="M808" s="62"/>
      <c r="N808" s="62"/>
      <c r="O808" s="62"/>
      <c r="P808" s="62"/>
      <c r="Q808" s="62"/>
      <c r="R808" s="62"/>
      <c r="S808" s="62"/>
      <c r="T808" s="62"/>
      <c r="U808" s="62"/>
      <c r="V808" s="62"/>
      <c r="W808" s="62"/>
      <c r="X808" s="62"/>
      <c r="Y808" s="62"/>
      <c r="Z808" s="62"/>
    </row>
    <row r="809" ht="25.5" customHeight="1">
      <c r="A809" s="62"/>
      <c r="B809" s="62"/>
      <c r="C809" s="316"/>
      <c r="D809" s="62"/>
      <c r="E809" s="62"/>
      <c r="F809" s="62"/>
      <c r="G809" s="316"/>
      <c r="H809" s="62"/>
      <c r="I809" s="316"/>
      <c r="J809" s="62"/>
      <c r="K809" s="62"/>
      <c r="L809" s="62"/>
      <c r="M809" s="62"/>
      <c r="N809" s="62"/>
      <c r="O809" s="62"/>
      <c r="P809" s="62"/>
      <c r="Q809" s="62"/>
      <c r="R809" s="62"/>
      <c r="S809" s="62"/>
      <c r="T809" s="62"/>
      <c r="U809" s="62"/>
      <c r="V809" s="62"/>
      <c r="W809" s="62"/>
      <c r="X809" s="62"/>
      <c r="Y809" s="62"/>
      <c r="Z809" s="62"/>
    </row>
    <row r="810" ht="25.5" customHeight="1">
      <c r="A810" s="62"/>
      <c r="B810" s="62"/>
      <c r="C810" s="316"/>
      <c r="D810" s="62"/>
      <c r="E810" s="62"/>
      <c r="F810" s="62"/>
      <c r="G810" s="316"/>
      <c r="H810" s="62"/>
      <c r="I810" s="316"/>
      <c r="J810" s="62"/>
      <c r="K810" s="62"/>
      <c r="L810" s="62"/>
      <c r="M810" s="62"/>
      <c r="N810" s="62"/>
      <c r="O810" s="62"/>
      <c r="P810" s="62"/>
      <c r="Q810" s="62"/>
      <c r="R810" s="62"/>
      <c r="S810" s="62"/>
      <c r="T810" s="62"/>
      <c r="U810" s="62"/>
      <c r="V810" s="62"/>
      <c r="W810" s="62"/>
      <c r="X810" s="62"/>
      <c r="Y810" s="62"/>
      <c r="Z810" s="62"/>
    </row>
    <row r="811" ht="25.5" customHeight="1">
      <c r="A811" s="62"/>
      <c r="B811" s="62"/>
      <c r="C811" s="316"/>
      <c r="D811" s="62"/>
      <c r="E811" s="62"/>
      <c r="F811" s="62"/>
      <c r="G811" s="316"/>
      <c r="H811" s="62"/>
      <c r="I811" s="316"/>
      <c r="J811" s="62"/>
      <c r="K811" s="62"/>
      <c r="L811" s="62"/>
      <c r="M811" s="62"/>
      <c r="N811" s="62"/>
      <c r="O811" s="62"/>
      <c r="P811" s="62"/>
      <c r="Q811" s="62"/>
      <c r="R811" s="62"/>
      <c r="S811" s="62"/>
      <c r="T811" s="62"/>
      <c r="U811" s="62"/>
      <c r="V811" s="62"/>
      <c r="W811" s="62"/>
      <c r="X811" s="62"/>
      <c r="Y811" s="62"/>
      <c r="Z811" s="62"/>
    </row>
    <row r="812" ht="25.5" customHeight="1">
      <c r="A812" s="62"/>
      <c r="B812" s="62"/>
      <c r="C812" s="316"/>
      <c r="D812" s="62"/>
      <c r="E812" s="62"/>
      <c r="F812" s="62"/>
      <c r="G812" s="316"/>
      <c r="H812" s="62"/>
      <c r="I812" s="316"/>
      <c r="J812" s="62"/>
      <c r="K812" s="62"/>
      <c r="L812" s="62"/>
      <c r="M812" s="62"/>
      <c r="N812" s="62"/>
      <c r="O812" s="62"/>
      <c r="P812" s="62"/>
      <c r="Q812" s="62"/>
      <c r="R812" s="62"/>
      <c r="S812" s="62"/>
      <c r="T812" s="62"/>
      <c r="U812" s="62"/>
      <c r="V812" s="62"/>
      <c r="W812" s="62"/>
      <c r="X812" s="62"/>
      <c r="Y812" s="62"/>
      <c r="Z812" s="62"/>
    </row>
    <row r="813" ht="25.5" customHeight="1">
      <c r="A813" s="62"/>
      <c r="B813" s="62"/>
      <c r="C813" s="316"/>
      <c r="D813" s="62"/>
      <c r="E813" s="62"/>
      <c r="F813" s="62"/>
      <c r="G813" s="316"/>
      <c r="H813" s="62"/>
      <c r="I813" s="316"/>
      <c r="J813" s="62"/>
      <c r="K813" s="62"/>
      <c r="L813" s="62"/>
      <c r="M813" s="62"/>
      <c r="N813" s="62"/>
      <c r="O813" s="62"/>
      <c r="P813" s="62"/>
      <c r="Q813" s="62"/>
      <c r="R813" s="62"/>
      <c r="S813" s="62"/>
      <c r="T813" s="62"/>
      <c r="U813" s="62"/>
      <c r="V813" s="62"/>
      <c r="W813" s="62"/>
      <c r="X813" s="62"/>
      <c r="Y813" s="62"/>
      <c r="Z813" s="62"/>
    </row>
    <row r="814" ht="25.5" customHeight="1">
      <c r="A814" s="62"/>
      <c r="B814" s="62"/>
      <c r="C814" s="316"/>
      <c r="D814" s="62"/>
      <c r="E814" s="62"/>
      <c r="F814" s="62"/>
      <c r="G814" s="316"/>
      <c r="H814" s="62"/>
      <c r="I814" s="316"/>
      <c r="J814" s="62"/>
      <c r="K814" s="62"/>
      <c r="L814" s="62"/>
      <c r="M814" s="62"/>
      <c r="N814" s="62"/>
      <c r="O814" s="62"/>
      <c r="P814" s="62"/>
      <c r="Q814" s="62"/>
      <c r="R814" s="62"/>
      <c r="S814" s="62"/>
      <c r="T814" s="62"/>
      <c r="U814" s="62"/>
      <c r="V814" s="62"/>
      <c r="W814" s="62"/>
      <c r="X814" s="62"/>
      <c r="Y814" s="62"/>
      <c r="Z814" s="62"/>
    </row>
    <row r="815" ht="25.5" customHeight="1">
      <c r="A815" s="62"/>
      <c r="B815" s="62"/>
      <c r="C815" s="316"/>
      <c r="D815" s="62"/>
      <c r="E815" s="62"/>
      <c r="F815" s="62"/>
      <c r="G815" s="316"/>
      <c r="H815" s="62"/>
      <c r="I815" s="316"/>
      <c r="J815" s="62"/>
      <c r="K815" s="62"/>
      <c r="L815" s="62"/>
      <c r="M815" s="62"/>
      <c r="N815" s="62"/>
      <c r="O815" s="62"/>
      <c r="P815" s="62"/>
      <c r="Q815" s="62"/>
      <c r="R815" s="62"/>
      <c r="S815" s="62"/>
      <c r="T815" s="62"/>
      <c r="U815" s="62"/>
      <c r="V815" s="62"/>
      <c r="W815" s="62"/>
      <c r="X815" s="62"/>
      <c r="Y815" s="62"/>
      <c r="Z815" s="62"/>
    </row>
    <row r="816" ht="25.5" customHeight="1">
      <c r="A816" s="62"/>
      <c r="B816" s="62"/>
      <c r="C816" s="316"/>
      <c r="D816" s="62"/>
      <c r="E816" s="62"/>
      <c r="F816" s="62"/>
      <c r="G816" s="316"/>
      <c r="H816" s="62"/>
      <c r="I816" s="316"/>
      <c r="J816" s="62"/>
      <c r="K816" s="62"/>
      <c r="L816" s="62"/>
      <c r="M816" s="62"/>
      <c r="N816" s="62"/>
      <c r="O816" s="62"/>
      <c r="P816" s="62"/>
      <c r="Q816" s="62"/>
      <c r="R816" s="62"/>
      <c r="S816" s="62"/>
      <c r="T816" s="62"/>
      <c r="U816" s="62"/>
      <c r="V816" s="62"/>
      <c r="W816" s="62"/>
      <c r="X816" s="62"/>
      <c r="Y816" s="62"/>
      <c r="Z816" s="62"/>
    </row>
    <row r="817" ht="25.5" customHeight="1">
      <c r="A817" s="62"/>
      <c r="B817" s="62"/>
      <c r="C817" s="316"/>
      <c r="D817" s="62"/>
      <c r="E817" s="62"/>
      <c r="F817" s="62"/>
      <c r="G817" s="316"/>
      <c r="H817" s="62"/>
      <c r="I817" s="316"/>
      <c r="J817" s="62"/>
      <c r="K817" s="62"/>
      <c r="L817" s="62"/>
      <c r="M817" s="62"/>
      <c r="N817" s="62"/>
      <c r="O817" s="62"/>
      <c r="P817" s="62"/>
      <c r="Q817" s="62"/>
      <c r="R817" s="62"/>
      <c r="S817" s="62"/>
      <c r="T817" s="62"/>
      <c r="U817" s="62"/>
      <c r="V817" s="62"/>
      <c r="W817" s="62"/>
      <c r="X817" s="62"/>
      <c r="Y817" s="62"/>
      <c r="Z817" s="62"/>
    </row>
    <row r="818" ht="25.5" customHeight="1">
      <c r="A818" s="62"/>
      <c r="B818" s="62"/>
      <c r="C818" s="316"/>
      <c r="D818" s="62"/>
      <c r="E818" s="62"/>
      <c r="F818" s="62"/>
      <c r="G818" s="316"/>
      <c r="H818" s="62"/>
      <c r="I818" s="316"/>
      <c r="J818" s="62"/>
      <c r="K818" s="62"/>
      <c r="L818" s="62"/>
      <c r="M818" s="62"/>
      <c r="N818" s="62"/>
      <c r="O818" s="62"/>
      <c r="P818" s="62"/>
      <c r="Q818" s="62"/>
      <c r="R818" s="62"/>
      <c r="S818" s="62"/>
      <c r="T818" s="62"/>
      <c r="U818" s="62"/>
      <c r="V818" s="62"/>
      <c r="W818" s="62"/>
      <c r="X818" s="62"/>
      <c r="Y818" s="62"/>
      <c r="Z818" s="62"/>
    </row>
    <row r="819" ht="25.5" customHeight="1">
      <c r="A819" s="62"/>
      <c r="B819" s="62"/>
      <c r="C819" s="316"/>
      <c r="D819" s="62"/>
      <c r="E819" s="62"/>
      <c r="F819" s="62"/>
      <c r="G819" s="316"/>
      <c r="H819" s="62"/>
      <c r="I819" s="316"/>
      <c r="J819" s="62"/>
      <c r="K819" s="62"/>
      <c r="L819" s="62"/>
      <c r="M819" s="62"/>
      <c r="N819" s="62"/>
      <c r="O819" s="62"/>
      <c r="P819" s="62"/>
      <c r="Q819" s="62"/>
      <c r="R819" s="62"/>
      <c r="S819" s="62"/>
      <c r="T819" s="62"/>
      <c r="U819" s="62"/>
      <c r="V819" s="62"/>
      <c r="W819" s="62"/>
      <c r="X819" s="62"/>
      <c r="Y819" s="62"/>
      <c r="Z819" s="62"/>
    </row>
    <row r="820" ht="25.5" customHeight="1">
      <c r="A820" s="62"/>
      <c r="B820" s="62"/>
      <c r="C820" s="316"/>
      <c r="D820" s="62"/>
      <c r="E820" s="62"/>
      <c r="F820" s="62"/>
      <c r="G820" s="316"/>
      <c r="H820" s="62"/>
      <c r="I820" s="316"/>
      <c r="J820" s="62"/>
      <c r="K820" s="62"/>
      <c r="L820" s="62"/>
      <c r="M820" s="62"/>
      <c r="N820" s="62"/>
      <c r="O820" s="62"/>
      <c r="P820" s="62"/>
      <c r="Q820" s="62"/>
      <c r="R820" s="62"/>
      <c r="S820" s="62"/>
      <c r="T820" s="62"/>
      <c r="U820" s="62"/>
      <c r="V820" s="62"/>
      <c r="W820" s="62"/>
      <c r="X820" s="62"/>
      <c r="Y820" s="62"/>
      <c r="Z820" s="62"/>
    </row>
    <row r="821" ht="25.5" customHeight="1">
      <c r="A821" s="62"/>
      <c r="B821" s="62"/>
      <c r="C821" s="316"/>
      <c r="D821" s="62"/>
      <c r="E821" s="62"/>
      <c r="F821" s="62"/>
      <c r="G821" s="316"/>
      <c r="H821" s="62"/>
      <c r="I821" s="316"/>
      <c r="J821" s="62"/>
      <c r="K821" s="62"/>
      <c r="L821" s="62"/>
      <c r="M821" s="62"/>
      <c r="N821" s="62"/>
      <c r="O821" s="62"/>
      <c r="P821" s="62"/>
      <c r="Q821" s="62"/>
      <c r="R821" s="62"/>
      <c r="S821" s="62"/>
      <c r="T821" s="62"/>
      <c r="U821" s="62"/>
      <c r="V821" s="62"/>
      <c r="W821" s="62"/>
      <c r="X821" s="62"/>
      <c r="Y821" s="62"/>
      <c r="Z821" s="62"/>
    </row>
    <row r="822" ht="25.5" customHeight="1">
      <c r="A822" s="62"/>
      <c r="B822" s="62"/>
      <c r="C822" s="316"/>
      <c r="D822" s="62"/>
      <c r="E822" s="62"/>
      <c r="F822" s="62"/>
      <c r="G822" s="316"/>
      <c r="H822" s="62"/>
      <c r="I822" s="316"/>
      <c r="J822" s="62"/>
      <c r="K822" s="62"/>
      <c r="L822" s="62"/>
      <c r="M822" s="62"/>
      <c r="N822" s="62"/>
      <c r="O822" s="62"/>
      <c r="P822" s="62"/>
      <c r="Q822" s="62"/>
      <c r="R822" s="62"/>
      <c r="S822" s="62"/>
      <c r="T822" s="62"/>
      <c r="U822" s="62"/>
      <c r="V822" s="62"/>
      <c r="W822" s="62"/>
      <c r="X822" s="62"/>
      <c r="Y822" s="62"/>
      <c r="Z822" s="62"/>
    </row>
    <row r="823" ht="25.5" customHeight="1">
      <c r="A823" s="62"/>
      <c r="B823" s="62"/>
      <c r="C823" s="316"/>
      <c r="D823" s="62"/>
      <c r="E823" s="62"/>
      <c r="F823" s="62"/>
      <c r="G823" s="316"/>
      <c r="H823" s="62"/>
      <c r="I823" s="316"/>
      <c r="J823" s="62"/>
      <c r="K823" s="62"/>
      <c r="L823" s="62"/>
      <c r="M823" s="62"/>
      <c r="N823" s="62"/>
      <c r="O823" s="62"/>
      <c r="P823" s="62"/>
      <c r="Q823" s="62"/>
      <c r="R823" s="62"/>
      <c r="S823" s="62"/>
      <c r="T823" s="62"/>
      <c r="U823" s="62"/>
      <c r="V823" s="62"/>
      <c r="W823" s="62"/>
      <c r="X823" s="62"/>
      <c r="Y823" s="62"/>
      <c r="Z823" s="62"/>
    </row>
    <row r="824" ht="25.5" customHeight="1">
      <c r="A824" s="62"/>
      <c r="B824" s="62"/>
      <c r="C824" s="316"/>
      <c r="D824" s="62"/>
      <c r="E824" s="62"/>
      <c r="F824" s="62"/>
      <c r="G824" s="316"/>
      <c r="H824" s="62"/>
      <c r="I824" s="316"/>
      <c r="J824" s="62"/>
      <c r="K824" s="62"/>
      <c r="L824" s="62"/>
      <c r="M824" s="62"/>
      <c r="N824" s="62"/>
      <c r="O824" s="62"/>
      <c r="P824" s="62"/>
      <c r="Q824" s="62"/>
      <c r="R824" s="62"/>
      <c r="S824" s="62"/>
      <c r="T824" s="62"/>
      <c r="U824" s="62"/>
      <c r="V824" s="62"/>
      <c r="W824" s="62"/>
      <c r="X824" s="62"/>
      <c r="Y824" s="62"/>
      <c r="Z824" s="62"/>
    </row>
    <row r="825" ht="25.5" customHeight="1">
      <c r="A825" s="62"/>
      <c r="B825" s="62"/>
      <c r="C825" s="316"/>
      <c r="D825" s="62"/>
      <c r="E825" s="62"/>
      <c r="F825" s="62"/>
      <c r="G825" s="316"/>
      <c r="H825" s="62"/>
      <c r="I825" s="316"/>
      <c r="J825" s="62"/>
      <c r="K825" s="62"/>
      <c r="L825" s="62"/>
      <c r="M825" s="62"/>
      <c r="N825" s="62"/>
      <c r="O825" s="62"/>
      <c r="P825" s="62"/>
      <c r="Q825" s="62"/>
      <c r="R825" s="62"/>
      <c r="S825" s="62"/>
      <c r="T825" s="62"/>
      <c r="U825" s="62"/>
      <c r="V825" s="62"/>
      <c r="W825" s="62"/>
      <c r="X825" s="62"/>
      <c r="Y825" s="62"/>
      <c r="Z825" s="62"/>
    </row>
    <row r="826" ht="25.5" customHeight="1">
      <c r="A826" s="62"/>
      <c r="B826" s="62"/>
      <c r="C826" s="316"/>
      <c r="D826" s="62"/>
      <c r="E826" s="62"/>
      <c r="F826" s="62"/>
      <c r="G826" s="316"/>
      <c r="H826" s="62"/>
      <c r="I826" s="316"/>
      <c r="J826" s="62"/>
      <c r="K826" s="62"/>
      <c r="L826" s="62"/>
      <c r="M826" s="62"/>
      <c r="N826" s="62"/>
      <c r="O826" s="62"/>
      <c r="P826" s="62"/>
      <c r="Q826" s="62"/>
      <c r="R826" s="62"/>
      <c r="S826" s="62"/>
      <c r="T826" s="62"/>
      <c r="U826" s="62"/>
      <c r="V826" s="62"/>
      <c r="W826" s="62"/>
      <c r="X826" s="62"/>
      <c r="Y826" s="62"/>
      <c r="Z826" s="62"/>
    </row>
    <row r="827" ht="25.5" customHeight="1">
      <c r="A827" s="62"/>
      <c r="B827" s="62"/>
      <c r="C827" s="316"/>
      <c r="D827" s="62"/>
      <c r="E827" s="62"/>
      <c r="F827" s="62"/>
      <c r="G827" s="316"/>
      <c r="H827" s="62"/>
      <c r="I827" s="316"/>
      <c r="J827" s="62"/>
      <c r="K827" s="62"/>
      <c r="L827" s="62"/>
      <c r="M827" s="62"/>
      <c r="N827" s="62"/>
      <c r="O827" s="62"/>
      <c r="P827" s="62"/>
      <c r="Q827" s="62"/>
      <c r="R827" s="62"/>
      <c r="S827" s="62"/>
      <c r="T827" s="62"/>
      <c r="U827" s="62"/>
      <c r="V827" s="62"/>
      <c r="W827" s="62"/>
      <c r="X827" s="62"/>
      <c r="Y827" s="62"/>
      <c r="Z827" s="62"/>
    </row>
    <row r="828" ht="25.5" customHeight="1">
      <c r="A828" s="62"/>
      <c r="B828" s="62"/>
      <c r="C828" s="316"/>
      <c r="D828" s="62"/>
      <c r="E828" s="62"/>
      <c r="F828" s="62"/>
      <c r="G828" s="316"/>
      <c r="H828" s="62"/>
      <c r="I828" s="316"/>
      <c r="J828" s="62"/>
      <c r="K828" s="62"/>
      <c r="L828" s="62"/>
      <c r="M828" s="62"/>
      <c r="N828" s="62"/>
      <c r="O828" s="62"/>
      <c r="P828" s="62"/>
      <c r="Q828" s="62"/>
      <c r="R828" s="62"/>
      <c r="S828" s="62"/>
      <c r="T828" s="62"/>
      <c r="U828" s="62"/>
      <c r="V828" s="62"/>
      <c r="W828" s="62"/>
      <c r="X828" s="62"/>
      <c r="Y828" s="62"/>
      <c r="Z828" s="62"/>
    </row>
    <row r="829" ht="25.5" customHeight="1">
      <c r="A829" s="62"/>
      <c r="B829" s="62"/>
      <c r="C829" s="316"/>
      <c r="D829" s="62"/>
      <c r="E829" s="62"/>
      <c r="F829" s="62"/>
      <c r="G829" s="316"/>
      <c r="H829" s="62"/>
      <c r="I829" s="316"/>
      <c r="J829" s="62"/>
      <c r="K829" s="62"/>
      <c r="L829" s="62"/>
      <c r="M829" s="62"/>
      <c r="N829" s="62"/>
      <c r="O829" s="62"/>
      <c r="P829" s="62"/>
      <c r="Q829" s="62"/>
      <c r="R829" s="62"/>
      <c r="S829" s="62"/>
      <c r="T829" s="62"/>
      <c r="U829" s="62"/>
      <c r="V829" s="62"/>
      <c r="W829" s="62"/>
      <c r="X829" s="62"/>
      <c r="Y829" s="62"/>
      <c r="Z829" s="62"/>
    </row>
    <row r="830" ht="25.5" customHeight="1">
      <c r="A830" s="62"/>
      <c r="B830" s="62"/>
      <c r="C830" s="316"/>
      <c r="D830" s="62"/>
      <c r="E830" s="62"/>
      <c r="F830" s="62"/>
      <c r="G830" s="316"/>
      <c r="H830" s="62"/>
      <c r="I830" s="316"/>
      <c r="J830" s="62"/>
      <c r="K830" s="62"/>
      <c r="L830" s="62"/>
      <c r="M830" s="62"/>
      <c r="N830" s="62"/>
      <c r="O830" s="62"/>
      <c r="P830" s="62"/>
      <c r="Q830" s="62"/>
      <c r="R830" s="62"/>
      <c r="S830" s="62"/>
      <c r="T830" s="62"/>
      <c r="U830" s="62"/>
      <c r="V830" s="62"/>
      <c r="W830" s="62"/>
      <c r="X830" s="62"/>
      <c r="Y830" s="62"/>
      <c r="Z830" s="62"/>
    </row>
    <row r="831" ht="25.5" customHeight="1">
      <c r="A831" s="62"/>
      <c r="B831" s="62"/>
      <c r="C831" s="316"/>
      <c r="D831" s="62"/>
      <c r="E831" s="62"/>
      <c r="F831" s="62"/>
      <c r="G831" s="316"/>
      <c r="H831" s="62"/>
      <c r="I831" s="316"/>
      <c r="J831" s="62"/>
      <c r="K831" s="62"/>
      <c r="L831" s="62"/>
      <c r="M831" s="62"/>
      <c r="N831" s="62"/>
      <c r="O831" s="62"/>
      <c r="P831" s="62"/>
      <c r="Q831" s="62"/>
      <c r="R831" s="62"/>
      <c r="S831" s="62"/>
      <c r="T831" s="62"/>
      <c r="U831" s="62"/>
      <c r="V831" s="62"/>
      <c r="W831" s="62"/>
      <c r="X831" s="62"/>
      <c r="Y831" s="62"/>
      <c r="Z831" s="62"/>
    </row>
    <row r="832" ht="25.5" customHeight="1">
      <c r="A832" s="62"/>
      <c r="B832" s="62"/>
      <c r="C832" s="316"/>
      <c r="D832" s="62"/>
      <c r="E832" s="62"/>
      <c r="F832" s="62"/>
      <c r="G832" s="316"/>
      <c r="H832" s="62"/>
      <c r="I832" s="316"/>
      <c r="J832" s="62"/>
      <c r="K832" s="62"/>
      <c r="L832" s="62"/>
      <c r="M832" s="62"/>
      <c r="N832" s="62"/>
      <c r="O832" s="62"/>
      <c r="P832" s="62"/>
      <c r="Q832" s="62"/>
      <c r="R832" s="62"/>
      <c r="S832" s="62"/>
      <c r="T832" s="62"/>
      <c r="U832" s="62"/>
      <c r="V832" s="62"/>
      <c r="W832" s="62"/>
      <c r="X832" s="62"/>
      <c r="Y832" s="62"/>
      <c r="Z832" s="62"/>
    </row>
    <row r="833" ht="25.5" customHeight="1">
      <c r="A833" s="62"/>
      <c r="B833" s="62"/>
      <c r="C833" s="316"/>
      <c r="D833" s="62"/>
      <c r="E833" s="62"/>
      <c r="F833" s="62"/>
      <c r="G833" s="316"/>
      <c r="H833" s="62"/>
      <c r="I833" s="316"/>
      <c r="J833" s="62"/>
      <c r="K833" s="62"/>
      <c r="L833" s="62"/>
      <c r="M833" s="62"/>
      <c r="N833" s="62"/>
      <c r="O833" s="62"/>
      <c r="P833" s="62"/>
      <c r="Q833" s="62"/>
      <c r="R833" s="62"/>
      <c r="S833" s="62"/>
      <c r="T833" s="62"/>
      <c r="U833" s="62"/>
      <c r="V833" s="62"/>
      <c r="W833" s="62"/>
      <c r="X833" s="62"/>
      <c r="Y833" s="62"/>
      <c r="Z833" s="62"/>
    </row>
    <row r="834" ht="25.5" customHeight="1">
      <c r="A834" s="62"/>
      <c r="B834" s="62"/>
      <c r="C834" s="316"/>
      <c r="D834" s="62"/>
      <c r="E834" s="62"/>
      <c r="F834" s="62"/>
      <c r="G834" s="316"/>
      <c r="H834" s="62"/>
      <c r="I834" s="316"/>
      <c r="J834" s="62"/>
      <c r="K834" s="62"/>
      <c r="L834" s="62"/>
      <c r="M834" s="62"/>
      <c r="N834" s="62"/>
      <c r="O834" s="62"/>
      <c r="P834" s="62"/>
      <c r="Q834" s="62"/>
      <c r="R834" s="62"/>
      <c r="S834" s="62"/>
      <c r="T834" s="62"/>
      <c r="U834" s="62"/>
      <c r="V834" s="62"/>
      <c r="W834" s="62"/>
      <c r="X834" s="62"/>
      <c r="Y834" s="62"/>
      <c r="Z834" s="62"/>
    </row>
    <row r="835" ht="25.5" customHeight="1">
      <c r="A835" s="62"/>
      <c r="B835" s="62"/>
      <c r="C835" s="316"/>
      <c r="D835" s="62"/>
      <c r="E835" s="62"/>
      <c r="F835" s="62"/>
      <c r="G835" s="316"/>
      <c r="H835" s="62"/>
      <c r="I835" s="316"/>
      <c r="J835" s="62"/>
      <c r="K835" s="62"/>
      <c r="L835" s="62"/>
      <c r="M835" s="62"/>
      <c r="N835" s="62"/>
      <c r="O835" s="62"/>
      <c r="P835" s="62"/>
      <c r="Q835" s="62"/>
      <c r="R835" s="62"/>
      <c r="S835" s="62"/>
      <c r="T835" s="62"/>
      <c r="U835" s="62"/>
      <c r="V835" s="62"/>
      <c r="W835" s="62"/>
      <c r="X835" s="62"/>
      <c r="Y835" s="62"/>
      <c r="Z835" s="62"/>
    </row>
    <row r="836" ht="25.5" customHeight="1">
      <c r="A836" s="62"/>
      <c r="B836" s="62"/>
      <c r="C836" s="316"/>
      <c r="D836" s="62"/>
      <c r="E836" s="62"/>
      <c r="F836" s="62"/>
      <c r="G836" s="316"/>
      <c r="H836" s="62"/>
      <c r="I836" s="316"/>
      <c r="J836" s="62"/>
      <c r="K836" s="62"/>
      <c r="L836" s="62"/>
      <c r="M836" s="62"/>
      <c r="N836" s="62"/>
      <c r="O836" s="62"/>
      <c r="P836" s="62"/>
      <c r="Q836" s="62"/>
      <c r="R836" s="62"/>
      <c r="S836" s="62"/>
      <c r="T836" s="62"/>
      <c r="U836" s="62"/>
      <c r="V836" s="62"/>
      <c r="W836" s="62"/>
      <c r="X836" s="62"/>
      <c r="Y836" s="62"/>
      <c r="Z836" s="62"/>
    </row>
    <row r="837" ht="25.5" customHeight="1">
      <c r="A837" s="62"/>
      <c r="B837" s="62"/>
      <c r="C837" s="316"/>
      <c r="D837" s="62"/>
      <c r="E837" s="62"/>
      <c r="F837" s="62"/>
      <c r="G837" s="316"/>
      <c r="H837" s="62"/>
      <c r="I837" s="316"/>
      <c r="J837" s="62"/>
      <c r="K837" s="62"/>
      <c r="L837" s="62"/>
      <c r="M837" s="62"/>
      <c r="N837" s="62"/>
      <c r="O837" s="62"/>
      <c r="P837" s="62"/>
      <c r="Q837" s="62"/>
      <c r="R837" s="62"/>
      <c r="S837" s="62"/>
      <c r="T837" s="62"/>
      <c r="U837" s="62"/>
      <c r="V837" s="62"/>
      <c r="W837" s="62"/>
      <c r="X837" s="62"/>
      <c r="Y837" s="62"/>
      <c r="Z837" s="62"/>
    </row>
    <row r="838" ht="25.5" customHeight="1">
      <c r="A838" s="62"/>
      <c r="B838" s="62"/>
      <c r="C838" s="316"/>
      <c r="D838" s="62"/>
      <c r="E838" s="62"/>
      <c r="F838" s="62"/>
      <c r="G838" s="316"/>
      <c r="H838" s="62"/>
      <c r="I838" s="316"/>
      <c r="J838" s="62"/>
      <c r="K838" s="62"/>
      <c r="L838" s="62"/>
      <c r="M838" s="62"/>
      <c r="N838" s="62"/>
      <c r="O838" s="62"/>
      <c r="P838" s="62"/>
      <c r="Q838" s="62"/>
      <c r="R838" s="62"/>
      <c r="S838" s="62"/>
      <c r="T838" s="62"/>
      <c r="U838" s="62"/>
      <c r="V838" s="62"/>
      <c r="W838" s="62"/>
      <c r="X838" s="62"/>
      <c r="Y838" s="62"/>
      <c r="Z838" s="62"/>
    </row>
    <row r="839" ht="25.5" customHeight="1">
      <c r="A839" s="62"/>
      <c r="B839" s="62"/>
      <c r="C839" s="316"/>
      <c r="D839" s="62"/>
      <c r="E839" s="62"/>
      <c r="F839" s="62"/>
      <c r="G839" s="316"/>
      <c r="H839" s="62"/>
      <c r="I839" s="316"/>
      <c r="J839" s="62"/>
      <c r="K839" s="62"/>
      <c r="L839" s="62"/>
      <c r="M839" s="62"/>
      <c r="N839" s="62"/>
      <c r="O839" s="62"/>
      <c r="P839" s="62"/>
      <c r="Q839" s="62"/>
      <c r="R839" s="62"/>
      <c r="S839" s="62"/>
      <c r="T839" s="62"/>
      <c r="U839" s="62"/>
      <c r="V839" s="62"/>
      <c r="W839" s="62"/>
      <c r="X839" s="62"/>
      <c r="Y839" s="62"/>
      <c r="Z839" s="62"/>
    </row>
    <row r="840" ht="25.5" customHeight="1">
      <c r="A840" s="62"/>
      <c r="B840" s="62"/>
      <c r="C840" s="316"/>
      <c r="D840" s="62"/>
      <c r="E840" s="62"/>
      <c r="F840" s="62"/>
      <c r="G840" s="316"/>
      <c r="H840" s="62"/>
      <c r="I840" s="316"/>
      <c r="J840" s="62"/>
      <c r="K840" s="62"/>
      <c r="L840" s="62"/>
      <c r="M840" s="62"/>
      <c r="N840" s="62"/>
      <c r="O840" s="62"/>
      <c r="P840" s="62"/>
      <c r="Q840" s="62"/>
      <c r="R840" s="62"/>
      <c r="S840" s="62"/>
      <c r="T840" s="62"/>
      <c r="U840" s="62"/>
      <c r="V840" s="62"/>
      <c r="W840" s="62"/>
      <c r="X840" s="62"/>
      <c r="Y840" s="62"/>
      <c r="Z840" s="62"/>
    </row>
    <row r="841" ht="25.5" customHeight="1">
      <c r="A841" s="62"/>
      <c r="B841" s="62"/>
      <c r="C841" s="316"/>
      <c r="D841" s="62"/>
      <c r="E841" s="62"/>
      <c r="F841" s="62"/>
      <c r="G841" s="316"/>
      <c r="H841" s="62"/>
      <c r="I841" s="316"/>
      <c r="J841" s="62"/>
      <c r="K841" s="62"/>
      <c r="L841" s="62"/>
      <c r="M841" s="62"/>
      <c r="N841" s="62"/>
      <c r="O841" s="62"/>
      <c r="P841" s="62"/>
      <c r="Q841" s="62"/>
      <c r="R841" s="62"/>
      <c r="S841" s="62"/>
      <c r="T841" s="62"/>
      <c r="U841" s="62"/>
      <c r="V841" s="62"/>
      <c r="W841" s="62"/>
      <c r="X841" s="62"/>
      <c r="Y841" s="62"/>
      <c r="Z841" s="62"/>
    </row>
    <row r="842" ht="25.5" customHeight="1">
      <c r="A842" s="62"/>
      <c r="B842" s="62"/>
      <c r="C842" s="316"/>
      <c r="D842" s="62"/>
      <c r="E842" s="62"/>
      <c r="F842" s="62"/>
      <c r="G842" s="316"/>
      <c r="H842" s="62"/>
      <c r="I842" s="316"/>
      <c r="J842" s="62"/>
      <c r="K842" s="62"/>
      <c r="L842" s="62"/>
      <c r="M842" s="62"/>
      <c r="N842" s="62"/>
      <c r="O842" s="62"/>
      <c r="P842" s="62"/>
      <c r="Q842" s="62"/>
      <c r="R842" s="62"/>
      <c r="S842" s="62"/>
      <c r="T842" s="62"/>
      <c r="U842" s="62"/>
      <c r="V842" s="62"/>
      <c r="W842" s="62"/>
      <c r="X842" s="62"/>
      <c r="Y842" s="62"/>
      <c r="Z842" s="62"/>
    </row>
    <row r="843" ht="25.5" customHeight="1">
      <c r="A843" s="62"/>
      <c r="B843" s="62"/>
      <c r="C843" s="316"/>
      <c r="D843" s="62"/>
      <c r="E843" s="62"/>
      <c r="F843" s="62"/>
      <c r="G843" s="316"/>
      <c r="H843" s="62"/>
      <c r="I843" s="316"/>
      <c r="J843" s="62"/>
      <c r="K843" s="62"/>
      <c r="L843" s="62"/>
      <c r="M843" s="62"/>
      <c r="N843" s="62"/>
      <c r="O843" s="62"/>
      <c r="P843" s="62"/>
      <c r="Q843" s="62"/>
      <c r="R843" s="62"/>
      <c r="S843" s="62"/>
      <c r="T843" s="62"/>
      <c r="U843" s="62"/>
      <c r="V843" s="62"/>
      <c r="W843" s="62"/>
      <c r="X843" s="62"/>
      <c r="Y843" s="62"/>
      <c r="Z843" s="62"/>
    </row>
    <row r="844" ht="25.5" customHeight="1">
      <c r="A844" s="62"/>
      <c r="B844" s="62"/>
      <c r="C844" s="316"/>
      <c r="D844" s="62"/>
      <c r="E844" s="62"/>
      <c r="F844" s="62"/>
      <c r="G844" s="316"/>
      <c r="H844" s="62"/>
      <c r="I844" s="316"/>
      <c r="J844" s="62"/>
      <c r="K844" s="62"/>
      <c r="L844" s="62"/>
      <c r="M844" s="62"/>
      <c r="N844" s="62"/>
      <c r="O844" s="62"/>
      <c r="P844" s="62"/>
      <c r="Q844" s="62"/>
      <c r="R844" s="62"/>
      <c r="S844" s="62"/>
      <c r="T844" s="62"/>
      <c r="U844" s="62"/>
      <c r="V844" s="62"/>
      <c r="W844" s="62"/>
      <c r="X844" s="62"/>
      <c r="Y844" s="62"/>
      <c r="Z844" s="62"/>
    </row>
    <row r="845" ht="25.5" customHeight="1">
      <c r="A845" s="62"/>
      <c r="B845" s="62"/>
      <c r="C845" s="316"/>
      <c r="D845" s="62"/>
      <c r="E845" s="62"/>
      <c r="F845" s="62"/>
      <c r="G845" s="316"/>
      <c r="H845" s="62"/>
      <c r="I845" s="316"/>
      <c r="J845" s="62"/>
      <c r="K845" s="62"/>
      <c r="L845" s="62"/>
      <c r="M845" s="62"/>
      <c r="N845" s="62"/>
      <c r="O845" s="62"/>
      <c r="P845" s="62"/>
      <c r="Q845" s="62"/>
      <c r="R845" s="62"/>
      <c r="S845" s="62"/>
      <c r="T845" s="62"/>
      <c r="U845" s="62"/>
      <c r="V845" s="62"/>
      <c r="W845" s="62"/>
      <c r="X845" s="62"/>
      <c r="Y845" s="62"/>
      <c r="Z845" s="62"/>
    </row>
    <row r="846" ht="25.5" customHeight="1">
      <c r="A846" s="62"/>
      <c r="B846" s="62"/>
      <c r="C846" s="316"/>
      <c r="D846" s="62"/>
      <c r="E846" s="62"/>
      <c r="F846" s="62"/>
      <c r="G846" s="316"/>
      <c r="H846" s="62"/>
      <c r="I846" s="316"/>
      <c r="J846" s="62"/>
      <c r="K846" s="62"/>
      <c r="L846" s="62"/>
      <c r="M846" s="62"/>
      <c r="N846" s="62"/>
      <c r="O846" s="62"/>
      <c r="P846" s="62"/>
      <c r="Q846" s="62"/>
      <c r="R846" s="62"/>
      <c r="S846" s="62"/>
      <c r="T846" s="62"/>
      <c r="U846" s="62"/>
      <c r="V846" s="62"/>
      <c r="W846" s="62"/>
      <c r="X846" s="62"/>
      <c r="Y846" s="62"/>
      <c r="Z846" s="62"/>
    </row>
    <row r="847" ht="25.5" customHeight="1">
      <c r="A847" s="62"/>
      <c r="B847" s="62"/>
      <c r="C847" s="316"/>
      <c r="D847" s="62"/>
      <c r="E847" s="62"/>
      <c r="F847" s="62"/>
      <c r="G847" s="316"/>
      <c r="H847" s="62"/>
      <c r="I847" s="316"/>
      <c r="J847" s="62"/>
      <c r="K847" s="62"/>
      <c r="L847" s="62"/>
      <c r="M847" s="62"/>
      <c r="N847" s="62"/>
      <c r="O847" s="62"/>
      <c r="P847" s="62"/>
      <c r="Q847" s="62"/>
      <c r="R847" s="62"/>
      <c r="S847" s="62"/>
      <c r="T847" s="62"/>
      <c r="U847" s="62"/>
      <c r="V847" s="62"/>
      <c r="W847" s="62"/>
      <c r="X847" s="62"/>
      <c r="Y847" s="62"/>
      <c r="Z847" s="62"/>
    </row>
    <row r="848" ht="25.5" customHeight="1">
      <c r="A848" s="62"/>
      <c r="B848" s="62"/>
      <c r="C848" s="316"/>
      <c r="D848" s="62"/>
      <c r="E848" s="62"/>
      <c r="F848" s="62"/>
      <c r="G848" s="316"/>
      <c r="H848" s="62"/>
      <c r="I848" s="316"/>
      <c r="J848" s="62"/>
      <c r="K848" s="62"/>
      <c r="L848" s="62"/>
      <c r="M848" s="62"/>
      <c r="N848" s="62"/>
      <c r="O848" s="62"/>
      <c r="P848" s="62"/>
      <c r="Q848" s="62"/>
      <c r="R848" s="62"/>
      <c r="S848" s="62"/>
      <c r="T848" s="62"/>
      <c r="U848" s="62"/>
      <c r="V848" s="62"/>
      <c r="W848" s="62"/>
      <c r="X848" s="62"/>
      <c r="Y848" s="62"/>
      <c r="Z848" s="62"/>
    </row>
    <row r="849" ht="25.5" customHeight="1">
      <c r="A849" s="62"/>
      <c r="B849" s="62"/>
      <c r="C849" s="316"/>
      <c r="D849" s="62"/>
      <c r="E849" s="62"/>
      <c r="F849" s="62"/>
      <c r="G849" s="316"/>
      <c r="H849" s="62"/>
      <c r="I849" s="316"/>
      <c r="J849" s="62"/>
      <c r="K849" s="62"/>
      <c r="L849" s="62"/>
      <c r="M849" s="62"/>
      <c r="N849" s="62"/>
      <c r="O849" s="62"/>
      <c r="P849" s="62"/>
      <c r="Q849" s="62"/>
      <c r="R849" s="62"/>
      <c r="S849" s="62"/>
      <c r="T849" s="62"/>
      <c r="U849" s="62"/>
      <c r="V849" s="62"/>
      <c r="W849" s="62"/>
      <c r="X849" s="62"/>
      <c r="Y849" s="62"/>
      <c r="Z849" s="62"/>
    </row>
    <row r="850" ht="25.5" customHeight="1">
      <c r="A850" s="62"/>
      <c r="B850" s="62"/>
      <c r="C850" s="316"/>
      <c r="D850" s="62"/>
      <c r="E850" s="62"/>
      <c r="F850" s="62"/>
      <c r="G850" s="316"/>
      <c r="H850" s="62"/>
      <c r="I850" s="316"/>
      <c r="J850" s="62"/>
      <c r="K850" s="62"/>
      <c r="L850" s="62"/>
      <c r="M850" s="62"/>
      <c r="N850" s="62"/>
      <c r="O850" s="62"/>
      <c r="P850" s="62"/>
      <c r="Q850" s="62"/>
      <c r="R850" s="62"/>
      <c r="S850" s="62"/>
      <c r="T850" s="62"/>
      <c r="U850" s="62"/>
      <c r="V850" s="62"/>
      <c r="W850" s="62"/>
      <c r="X850" s="62"/>
      <c r="Y850" s="62"/>
      <c r="Z850" s="62"/>
    </row>
    <row r="851" ht="25.5" customHeight="1">
      <c r="A851" s="62"/>
      <c r="B851" s="62"/>
      <c r="C851" s="316"/>
      <c r="D851" s="62"/>
      <c r="E851" s="62"/>
      <c r="F851" s="62"/>
      <c r="G851" s="316"/>
      <c r="H851" s="62"/>
      <c r="I851" s="316"/>
      <c r="J851" s="62"/>
      <c r="K851" s="62"/>
      <c r="L851" s="62"/>
      <c r="M851" s="62"/>
      <c r="N851" s="62"/>
      <c r="O851" s="62"/>
      <c r="P851" s="62"/>
      <c r="Q851" s="62"/>
      <c r="R851" s="62"/>
      <c r="S851" s="62"/>
      <c r="T851" s="62"/>
      <c r="U851" s="62"/>
      <c r="V851" s="62"/>
      <c r="W851" s="62"/>
      <c r="X851" s="62"/>
      <c r="Y851" s="62"/>
      <c r="Z851" s="62"/>
    </row>
    <row r="852" ht="25.5" customHeight="1">
      <c r="A852" s="62"/>
      <c r="B852" s="62"/>
      <c r="C852" s="316"/>
      <c r="D852" s="62"/>
      <c r="E852" s="62"/>
      <c r="F852" s="62"/>
      <c r="G852" s="316"/>
      <c r="H852" s="62"/>
      <c r="I852" s="316"/>
      <c r="J852" s="62"/>
      <c r="K852" s="62"/>
      <c r="L852" s="62"/>
      <c r="M852" s="62"/>
      <c r="N852" s="62"/>
      <c r="O852" s="62"/>
      <c r="P852" s="62"/>
      <c r="Q852" s="62"/>
      <c r="R852" s="62"/>
      <c r="S852" s="62"/>
      <c r="T852" s="62"/>
      <c r="U852" s="62"/>
      <c r="V852" s="62"/>
      <c r="W852" s="62"/>
      <c r="X852" s="62"/>
      <c r="Y852" s="62"/>
      <c r="Z852" s="62"/>
    </row>
    <row r="853" ht="25.5" customHeight="1">
      <c r="A853" s="62"/>
      <c r="B853" s="62"/>
      <c r="C853" s="316"/>
      <c r="D853" s="62"/>
      <c r="E853" s="62"/>
      <c r="F853" s="62"/>
      <c r="G853" s="316"/>
      <c r="H853" s="62"/>
      <c r="I853" s="316"/>
      <c r="J853" s="62"/>
      <c r="K853" s="62"/>
      <c r="L853" s="62"/>
      <c r="M853" s="62"/>
      <c r="N853" s="62"/>
      <c r="O853" s="62"/>
      <c r="P853" s="62"/>
      <c r="Q853" s="62"/>
      <c r="R853" s="62"/>
      <c r="S853" s="62"/>
      <c r="T853" s="62"/>
      <c r="U853" s="62"/>
      <c r="V853" s="62"/>
      <c r="W853" s="62"/>
      <c r="X853" s="62"/>
      <c r="Y853" s="62"/>
      <c r="Z853" s="62"/>
    </row>
    <row r="854" ht="25.5" customHeight="1">
      <c r="A854" s="62"/>
      <c r="B854" s="62"/>
      <c r="C854" s="316"/>
      <c r="D854" s="62"/>
      <c r="E854" s="62"/>
      <c r="F854" s="62"/>
      <c r="G854" s="316"/>
      <c r="H854" s="62"/>
      <c r="I854" s="316"/>
      <c r="J854" s="62"/>
      <c r="K854" s="62"/>
      <c r="L854" s="62"/>
      <c r="M854" s="62"/>
      <c r="N854" s="62"/>
      <c r="O854" s="62"/>
      <c r="P854" s="62"/>
      <c r="Q854" s="62"/>
      <c r="R854" s="62"/>
      <c r="S854" s="62"/>
      <c r="T854" s="62"/>
      <c r="U854" s="62"/>
      <c r="V854" s="62"/>
      <c r="W854" s="62"/>
      <c r="X854" s="62"/>
      <c r="Y854" s="62"/>
      <c r="Z854" s="62"/>
    </row>
    <row r="855" ht="25.5" customHeight="1">
      <c r="A855" s="62"/>
      <c r="B855" s="62"/>
      <c r="C855" s="316"/>
      <c r="D855" s="62"/>
      <c r="E855" s="62"/>
      <c r="F855" s="62"/>
      <c r="G855" s="316"/>
      <c r="H855" s="62"/>
      <c r="I855" s="316"/>
      <c r="J855" s="62"/>
      <c r="K855" s="62"/>
      <c r="L855" s="62"/>
      <c r="M855" s="62"/>
      <c r="N855" s="62"/>
      <c r="O855" s="62"/>
      <c r="P855" s="62"/>
      <c r="Q855" s="62"/>
      <c r="R855" s="62"/>
      <c r="S855" s="62"/>
      <c r="T855" s="62"/>
      <c r="U855" s="62"/>
      <c r="V855" s="62"/>
      <c r="W855" s="62"/>
      <c r="X855" s="62"/>
      <c r="Y855" s="62"/>
      <c r="Z855" s="62"/>
    </row>
    <row r="856" ht="25.5" customHeight="1">
      <c r="A856" s="62"/>
      <c r="B856" s="62"/>
      <c r="C856" s="316"/>
      <c r="D856" s="62"/>
      <c r="E856" s="62"/>
      <c r="F856" s="62"/>
      <c r="G856" s="316"/>
      <c r="H856" s="62"/>
      <c r="I856" s="316"/>
      <c r="J856" s="62"/>
      <c r="K856" s="62"/>
      <c r="L856" s="62"/>
      <c r="M856" s="62"/>
      <c r="N856" s="62"/>
      <c r="O856" s="62"/>
      <c r="P856" s="62"/>
      <c r="Q856" s="62"/>
      <c r="R856" s="62"/>
      <c r="S856" s="62"/>
      <c r="T856" s="62"/>
      <c r="U856" s="62"/>
      <c r="V856" s="62"/>
      <c r="W856" s="62"/>
      <c r="X856" s="62"/>
      <c r="Y856" s="62"/>
      <c r="Z856" s="62"/>
    </row>
    <row r="857" ht="25.5" customHeight="1">
      <c r="A857" s="62"/>
      <c r="B857" s="62"/>
      <c r="C857" s="316"/>
      <c r="D857" s="62"/>
      <c r="E857" s="62"/>
      <c r="F857" s="62"/>
      <c r="G857" s="316"/>
      <c r="H857" s="62"/>
      <c r="I857" s="316"/>
      <c r="J857" s="62"/>
      <c r="K857" s="62"/>
      <c r="L857" s="62"/>
      <c r="M857" s="62"/>
      <c r="N857" s="62"/>
      <c r="O857" s="62"/>
      <c r="P857" s="62"/>
      <c r="Q857" s="62"/>
      <c r="R857" s="62"/>
      <c r="S857" s="62"/>
      <c r="T857" s="62"/>
      <c r="U857" s="62"/>
      <c r="V857" s="62"/>
      <c r="W857" s="62"/>
      <c r="X857" s="62"/>
      <c r="Y857" s="62"/>
      <c r="Z857" s="62"/>
    </row>
    <row r="858" ht="25.5" customHeight="1">
      <c r="A858" s="62"/>
      <c r="B858" s="62"/>
      <c r="C858" s="316"/>
      <c r="D858" s="62"/>
      <c r="E858" s="62"/>
      <c r="F858" s="62"/>
      <c r="G858" s="316"/>
      <c r="H858" s="62"/>
      <c r="I858" s="316"/>
      <c r="J858" s="62"/>
      <c r="K858" s="62"/>
      <c r="L858" s="62"/>
      <c r="M858" s="62"/>
      <c r="N858" s="62"/>
      <c r="O858" s="62"/>
      <c r="P858" s="62"/>
      <c r="Q858" s="62"/>
      <c r="R858" s="62"/>
      <c r="S858" s="62"/>
      <c r="T858" s="62"/>
      <c r="U858" s="62"/>
      <c r="V858" s="62"/>
      <c r="W858" s="62"/>
      <c r="X858" s="62"/>
      <c r="Y858" s="62"/>
      <c r="Z858" s="62"/>
    </row>
    <row r="859" ht="25.5" customHeight="1">
      <c r="A859" s="62"/>
      <c r="B859" s="62"/>
      <c r="C859" s="316"/>
      <c r="D859" s="62"/>
      <c r="E859" s="62"/>
      <c r="F859" s="62"/>
      <c r="G859" s="316"/>
      <c r="H859" s="62"/>
      <c r="I859" s="316"/>
      <c r="J859" s="62"/>
      <c r="K859" s="62"/>
      <c r="L859" s="62"/>
      <c r="M859" s="62"/>
      <c r="N859" s="62"/>
      <c r="O859" s="62"/>
      <c r="P859" s="62"/>
      <c r="Q859" s="62"/>
      <c r="R859" s="62"/>
      <c r="S859" s="62"/>
      <c r="T859" s="62"/>
      <c r="U859" s="62"/>
      <c r="V859" s="62"/>
      <c r="W859" s="62"/>
      <c r="X859" s="62"/>
      <c r="Y859" s="62"/>
      <c r="Z859" s="62"/>
    </row>
    <row r="860" ht="25.5" customHeight="1">
      <c r="A860" s="62"/>
      <c r="B860" s="62"/>
      <c r="C860" s="316"/>
      <c r="D860" s="62"/>
      <c r="E860" s="62"/>
      <c r="F860" s="62"/>
      <c r="G860" s="316"/>
      <c r="H860" s="62"/>
      <c r="I860" s="316"/>
      <c r="J860" s="62"/>
      <c r="K860" s="62"/>
      <c r="L860" s="62"/>
      <c r="M860" s="62"/>
      <c r="N860" s="62"/>
      <c r="O860" s="62"/>
      <c r="P860" s="62"/>
      <c r="Q860" s="62"/>
      <c r="R860" s="62"/>
      <c r="S860" s="62"/>
      <c r="T860" s="62"/>
      <c r="U860" s="62"/>
      <c r="V860" s="62"/>
      <c r="W860" s="62"/>
      <c r="X860" s="62"/>
      <c r="Y860" s="62"/>
      <c r="Z860" s="62"/>
    </row>
    <row r="861" ht="25.5" customHeight="1">
      <c r="A861" s="62"/>
      <c r="B861" s="62"/>
      <c r="C861" s="316"/>
      <c r="D861" s="62"/>
      <c r="E861" s="62"/>
      <c r="F861" s="62"/>
      <c r="G861" s="316"/>
      <c r="H861" s="62"/>
      <c r="I861" s="316"/>
      <c r="J861" s="62"/>
      <c r="K861" s="62"/>
      <c r="L861" s="62"/>
      <c r="M861" s="62"/>
      <c r="N861" s="62"/>
      <c r="O861" s="62"/>
      <c r="P861" s="62"/>
      <c r="Q861" s="62"/>
      <c r="R861" s="62"/>
      <c r="S861" s="62"/>
      <c r="T861" s="62"/>
      <c r="U861" s="62"/>
      <c r="V861" s="62"/>
      <c r="W861" s="62"/>
      <c r="X861" s="62"/>
      <c r="Y861" s="62"/>
      <c r="Z861" s="62"/>
    </row>
    <row r="862" ht="25.5" customHeight="1">
      <c r="A862" s="62"/>
      <c r="B862" s="62"/>
      <c r="C862" s="316"/>
      <c r="D862" s="62"/>
      <c r="E862" s="62"/>
      <c r="F862" s="62"/>
      <c r="G862" s="316"/>
      <c r="H862" s="62"/>
      <c r="I862" s="316"/>
      <c r="J862" s="62"/>
      <c r="K862" s="62"/>
      <c r="L862" s="62"/>
      <c r="M862" s="62"/>
      <c r="N862" s="62"/>
      <c r="O862" s="62"/>
      <c r="P862" s="62"/>
      <c r="Q862" s="62"/>
      <c r="R862" s="62"/>
      <c r="S862" s="62"/>
      <c r="T862" s="62"/>
      <c r="U862" s="62"/>
      <c r="V862" s="62"/>
      <c r="W862" s="62"/>
      <c r="X862" s="62"/>
      <c r="Y862" s="62"/>
      <c r="Z862" s="62"/>
    </row>
    <row r="863" ht="25.5" customHeight="1">
      <c r="A863" s="62"/>
      <c r="B863" s="62"/>
      <c r="C863" s="316"/>
      <c r="D863" s="62"/>
      <c r="E863" s="62"/>
      <c r="F863" s="62"/>
      <c r="G863" s="316"/>
      <c r="H863" s="62"/>
      <c r="I863" s="316"/>
      <c r="J863" s="62"/>
      <c r="K863" s="62"/>
      <c r="L863" s="62"/>
      <c r="M863" s="62"/>
      <c r="N863" s="62"/>
      <c r="O863" s="62"/>
      <c r="P863" s="62"/>
      <c r="Q863" s="62"/>
      <c r="R863" s="62"/>
      <c r="S863" s="62"/>
      <c r="T863" s="62"/>
      <c r="U863" s="62"/>
      <c r="V863" s="62"/>
      <c r="W863" s="62"/>
      <c r="X863" s="62"/>
      <c r="Y863" s="62"/>
      <c r="Z863" s="62"/>
    </row>
    <row r="864" ht="25.5" customHeight="1">
      <c r="A864" s="62"/>
      <c r="B864" s="62"/>
      <c r="C864" s="316"/>
      <c r="D864" s="62"/>
      <c r="E864" s="62"/>
      <c r="F864" s="62"/>
      <c r="G864" s="316"/>
      <c r="H864" s="62"/>
      <c r="I864" s="316"/>
      <c r="J864" s="62"/>
      <c r="K864" s="62"/>
      <c r="L864" s="62"/>
      <c r="M864" s="62"/>
      <c r="N864" s="62"/>
      <c r="O864" s="62"/>
      <c r="P864" s="62"/>
      <c r="Q864" s="62"/>
      <c r="R864" s="62"/>
      <c r="S864" s="62"/>
      <c r="T864" s="62"/>
      <c r="U864" s="62"/>
      <c r="V864" s="62"/>
      <c r="W864" s="62"/>
      <c r="X864" s="62"/>
      <c r="Y864" s="62"/>
      <c r="Z864" s="62"/>
    </row>
    <row r="865" ht="25.5" customHeight="1">
      <c r="A865" s="62"/>
      <c r="B865" s="62"/>
      <c r="C865" s="316"/>
      <c r="D865" s="62"/>
      <c r="E865" s="62"/>
      <c r="F865" s="62"/>
      <c r="G865" s="316"/>
      <c r="H865" s="62"/>
      <c r="I865" s="316"/>
      <c r="J865" s="62"/>
      <c r="K865" s="62"/>
      <c r="L865" s="62"/>
      <c r="M865" s="62"/>
      <c r="N865" s="62"/>
      <c r="O865" s="62"/>
      <c r="P865" s="62"/>
      <c r="Q865" s="62"/>
      <c r="R865" s="62"/>
      <c r="S865" s="62"/>
      <c r="T865" s="62"/>
      <c r="U865" s="62"/>
      <c r="V865" s="62"/>
      <c r="W865" s="62"/>
      <c r="X865" s="62"/>
      <c r="Y865" s="62"/>
      <c r="Z865" s="62"/>
    </row>
    <row r="866" ht="25.5" customHeight="1">
      <c r="A866" s="62"/>
      <c r="B866" s="62"/>
      <c r="C866" s="316"/>
      <c r="D866" s="62"/>
      <c r="E866" s="62"/>
      <c r="F866" s="62"/>
      <c r="G866" s="316"/>
      <c r="H866" s="62"/>
      <c r="I866" s="316"/>
      <c r="J866" s="62"/>
      <c r="K866" s="62"/>
      <c r="L866" s="62"/>
      <c r="M866" s="62"/>
      <c r="N866" s="62"/>
      <c r="O866" s="62"/>
      <c r="P866" s="62"/>
      <c r="Q866" s="62"/>
      <c r="R866" s="62"/>
      <c r="S866" s="62"/>
      <c r="T866" s="62"/>
      <c r="U866" s="62"/>
      <c r="V866" s="62"/>
      <c r="W866" s="62"/>
      <c r="X866" s="62"/>
      <c r="Y866" s="62"/>
      <c r="Z866" s="62"/>
    </row>
    <row r="867" ht="25.5" customHeight="1">
      <c r="A867" s="62"/>
      <c r="B867" s="62"/>
      <c r="C867" s="316"/>
      <c r="D867" s="62"/>
      <c r="E867" s="62"/>
      <c r="F867" s="62"/>
      <c r="G867" s="316"/>
      <c r="H867" s="62"/>
      <c r="I867" s="316"/>
      <c r="J867" s="62"/>
      <c r="K867" s="62"/>
      <c r="L867" s="62"/>
      <c r="M867" s="62"/>
      <c r="N867" s="62"/>
      <c r="O867" s="62"/>
      <c r="P867" s="62"/>
      <c r="Q867" s="62"/>
      <c r="R867" s="62"/>
      <c r="S867" s="62"/>
      <c r="T867" s="62"/>
      <c r="U867" s="62"/>
      <c r="V867" s="62"/>
      <c r="W867" s="62"/>
      <c r="X867" s="62"/>
      <c r="Y867" s="62"/>
      <c r="Z867" s="62"/>
    </row>
    <row r="868" ht="25.5" customHeight="1">
      <c r="A868" s="62"/>
      <c r="B868" s="62"/>
      <c r="C868" s="316"/>
      <c r="D868" s="62"/>
      <c r="E868" s="62"/>
      <c r="F868" s="62"/>
      <c r="G868" s="316"/>
      <c r="H868" s="62"/>
      <c r="I868" s="316"/>
      <c r="J868" s="62"/>
      <c r="K868" s="62"/>
      <c r="L868" s="62"/>
      <c r="M868" s="62"/>
      <c r="N868" s="62"/>
      <c r="O868" s="62"/>
      <c r="P868" s="62"/>
      <c r="Q868" s="62"/>
      <c r="R868" s="62"/>
      <c r="S868" s="62"/>
      <c r="T868" s="62"/>
      <c r="U868" s="62"/>
      <c r="V868" s="62"/>
      <c r="W868" s="62"/>
      <c r="X868" s="62"/>
      <c r="Y868" s="62"/>
      <c r="Z868" s="62"/>
    </row>
    <row r="869" ht="25.5" customHeight="1">
      <c r="A869" s="62"/>
      <c r="B869" s="62"/>
      <c r="C869" s="316"/>
      <c r="D869" s="62"/>
      <c r="E869" s="62"/>
      <c r="F869" s="62"/>
      <c r="G869" s="316"/>
      <c r="H869" s="62"/>
      <c r="I869" s="316"/>
      <c r="J869" s="62"/>
      <c r="K869" s="62"/>
      <c r="L869" s="62"/>
      <c r="M869" s="62"/>
      <c r="N869" s="62"/>
      <c r="O869" s="62"/>
      <c r="P869" s="62"/>
      <c r="Q869" s="62"/>
      <c r="R869" s="62"/>
      <c r="S869" s="62"/>
      <c r="T869" s="62"/>
      <c r="U869" s="62"/>
      <c r="V869" s="62"/>
      <c r="W869" s="62"/>
      <c r="X869" s="62"/>
      <c r="Y869" s="62"/>
      <c r="Z869" s="62"/>
    </row>
    <row r="870" ht="25.5" customHeight="1">
      <c r="A870" s="62"/>
      <c r="B870" s="62"/>
      <c r="C870" s="316"/>
      <c r="D870" s="62"/>
      <c r="E870" s="62"/>
      <c r="F870" s="62"/>
      <c r="G870" s="316"/>
      <c r="H870" s="62"/>
      <c r="I870" s="316"/>
      <c r="J870" s="62"/>
      <c r="K870" s="62"/>
      <c r="L870" s="62"/>
      <c r="M870" s="62"/>
      <c r="N870" s="62"/>
      <c r="O870" s="62"/>
      <c r="P870" s="62"/>
      <c r="Q870" s="62"/>
      <c r="R870" s="62"/>
      <c r="S870" s="62"/>
      <c r="T870" s="62"/>
      <c r="U870" s="62"/>
      <c r="V870" s="62"/>
      <c r="W870" s="62"/>
      <c r="X870" s="62"/>
      <c r="Y870" s="62"/>
      <c r="Z870" s="62"/>
    </row>
    <row r="871" ht="25.5" customHeight="1">
      <c r="A871" s="62"/>
      <c r="B871" s="62"/>
      <c r="C871" s="316"/>
      <c r="D871" s="62"/>
      <c r="E871" s="62"/>
      <c r="F871" s="62"/>
      <c r="G871" s="316"/>
      <c r="H871" s="62"/>
      <c r="I871" s="316"/>
      <c r="J871" s="62"/>
      <c r="K871" s="62"/>
      <c r="L871" s="62"/>
      <c r="M871" s="62"/>
      <c r="N871" s="62"/>
      <c r="O871" s="62"/>
      <c r="P871" s="62"/>
      <c r="Q871" s="62"/>
      <c r="R871" s="62"/>
      <c r="S871" s="62"/>
      <c r="T871" s="62"/>
      <c r="U871" s="62"/>
      <c r="V871" s="62"/>
      <c r="W871" s="62"/>
      <c r="X871" s="62"/>
      <c r="Y871" s="62"/>
      <c r="Z871" s="62"/>
    </row>
    <row r="872" ht="25.5" customHeight="1">
      <c r="A872" s="62"/>
      <c r="B872" s="62"/>
      <c r="C872" s="316"/>
      <c r="D872" s="62"/>
      <c r="E872" s="62"/>
      <c r="F872" s="62"/>
      <c r="G872" s="316"/>
      <c r="H872" s="62"/>
      <c r="I872" s="316"/>
      <c r="J872" s="62"/>
      <c r="K872" s="62"/>
      <c r="L872" s="62"/>
      <c r="M872" s="62"/>
      <c r="N872" s="62"/>
      <c r="O872" s="62"/>
      <c r="P872" s="62"/>
      <c r="Q872" s="62"/>
      <c r="R872" s="62"/>
      <c r="S872" s="62"/>
      <c r="T872" s="62"/>
      <c r="U872" s="62"/>
      <c r="V872" s="62"/>
      <c r="W872" s="62"/>
      <c r="X872" s="62"/>
      <c r="Y872" s="62"/>
      <c r="Z872" s="62"/>
    </row>
    <row r="873" ht="25.5" customHeight="1">
      <c r="A873" s="62"/>
      <c r="B873" s="62"/>
      <c r="C873" s="316"/>
      <c r="D873" s="62"/>
      <c r="E873" s="62"/>
      <c r="F873" s="62"/>
      <c r="G873" s="316"/>
      <c r="H873" s="62"/>
      <c r="I873" s="316"/>
      <c r="J873" s="62"/>
      <c r="K873" s="62"/>
      <c r="L873" s="62"/>
      <c r="M873" s="62"/>
      <c r="N873" s="62"/>
      <c r="O873" s="62"/>
      <c r="P873" s="62"/>
      <c r="Q873" s="62"/>
      <c r="R873" s="62"/>
      <c r="S873" s="62"/>
      <c r="T873" s="62"/>
      <c r="U873" s="62"/>
      <c r="V873" s="62"/>
      <c r="W873" s="62"/>
      <c r="X873" s="62"/>
      <c r="Y873" s="62"/>
      <c r="Z873" s="62"/>
    </row>
    <row r="874" ht="25.5" customHeight="1">
      <c r="A874" s="62"/>
      <c r="B874" s="62"/>
      <c r="C874" s="316"/>
      <c r="D874" s="62"/>
      <c r="E874" s="62"/>
      <c r="F874" s="62"/>
      <c r="G874" s="316"/>
      <c r="H874" s="62"/>
      <c r="I874" s="316"/>
      <c r="J874" s="62"/>
      <c r="K874" s="62"/>
      <c r="L874" s="62"/>
      <c r="M874" s="62"/>
      <c r="N874" s="62"/>
      <c r="O874" s="62"/>
      <c r="P874" s="62"/>
      <c r="Q874" s="62"/>
      <c r="R874" s="62"/>
      <c r="S874" s="62"/>
      <c r="T874" s="62"/>
      <c r="U874" s="62"/>
      <c r="V874" s="62"/>
      <c r="W874" s="62"/>
      <c r="X874" s="62"/>
      <c r="Y874" s="62"/>
      <c r="Z874" s="62"/>
    </row>
    <row r="875" ht="25.5" customHeight="1">
      <c r="A875" s="62"/>
      <c r="B875" s="62"/>
      <c r="C875" s="316"/>
      <c r="D875" s="62"/>
      <c r="E875" s="62"/>
      <c r="F875" s="62"/>
      <c r="G875" s="316"/>
      <c r="H875" s="62"/>
      <c r="I875" s="316"/>
      <c r="J875" s="62"/>
      <c r="K875" s="62"/>
      <c r="L875" s="62"/>
      <c r="M875" s="62"/>
      <c r="N875" s="62"/>
      <c r="O875" s="62"/>
      <c r="P875" s="62"/>
      <c r="Q875" s="62"/>
      <c r="R875" s="62"/>
      <c r="S875" s="62"/>
      <c r="T875" s="62"/>
      <c r="U875" s="62"/>
      <c r="V875" s="62"/>
      <c r="W875" s="62"/>
      <c r="X875" s="62"/>
      <c r="Y875" s="62"/>
      <c r="Z875" s="62"/>
    </row>
    <row r="876" ht="25.5" customHeight="1">
      <c r="A876" s="62"/>
      <c r="B876" s="62"/>
      <c r="C876" s="316"/>
      <c r="D876" s="62"/>
      <c r="E876" s="62"/>
      <c r="F876" s="62"/>
      <c r="G876" s="316"/>
      <c r="H876" s="62"/>
      <c r="I876" s="316"/>
      <c r="J876" s="62"/>
      <c r="K876" s="62"/>
      <c r="L876" s="62"/>
      <c r="M876" s="62"/>
      <c r="N876" s="62"/>
      <c r="O876" s="62"/>
      <c r="P876" s="62"/>
      <c r="Q876" s="62"/>
      <c r="R876" s="62"/>
      <c r="S876" s="62"/>
      <c r="T876" s="62"/>
      <c r="U876" s="62"/>
      <c r="V876" s="62"/>
      <c r="W876" s="62"/>
      <c r="X876" s="62"/>
      <c r="Y876" s="62"/>
      <c r="Z876" s="62"/>
    </row>
    <row r="877" ht="25.5" customHeight="1">
      <c r="A877" s="62"/>
      <c r="B877" s="62"/>
      <c r="C877" s="316"/>
      <c r="D877" s="62"/>
      <c r="E877" s="62"/>
      <c r="F877" s="62"/>
      <c r="G877" s="316"/>
      <c r="H877" s="62"/>
      <c r="I877" s="316"/>
      <c r="J877" s="62"/>
      <c r="K877" s="62"/>
      <c r="L877" s="62"/>
      <c r="M877" s="62"/>
      <c r="N877" s="62"/>
      <c r="O877" s="62"/>
      <c r="P877" s="62"/>
      <c r="Q877" s="62"/>
      <c r="R877" s="62"/>
      <c r="S877" s="62"/>
      <c r="T877" s="62"/>
      <c r="U877" s="62"/>
      <c r="V877" s="62"/>
      <c r="W877" s="62"/>
      <c r="X877" s="62"/>
      <c r="Y877" s="62"/>
      <c r="Z877" s="62"/>
    </row>
    <row r="878" ht="25.5" customHeight="1">
      <c r="A878" s="62"/>
      <c r="B878" s="62"/>
      <c r="C878" s="316"/>
      <c r="D878" s="62"/>
      <c r="E878" s="62"/>
      <c r="F878" s="62"/>
      <c r="G878" s="316"/>
      <c r="H878" s="62"/>
      <c r="I878" s="316"/>
      <c r="J878" s="62"/>
      <c r="K878" s="62"/>
      <c r="L878" s="62"/>
      <c r="M878" s="62"/>
      <c r="N878" s="62"/>
      <c r="O878" s="62"/>
      <c r="P878" s="62"/>
      <c r="Q878" s="62"/>
      <c r="R878" s="62"/>
      <c r="S878" s="62"/>
      <c r="T878" s="62"/>
      <c r="U878" s="62"/>
      <c r="V878" s="62"/>
      <c r="W878" s="62"/>
      <c r="X878" s="62"/>
      <c r="Y878" s="62"/>
      <c r="Z878" s="62"/>
    </row>
    <row r="879" ht="25.5" customHeight="1">
      <c r="A879" s="62"/>
      <c r="B879" s="62"/>
      <c r="C879" s="316"/>
      <c r="D879" s="62"/>
      <c r="E879" s="62"/>
      <c r="F879" s="62"/>
      <c r="G879" s="316"/>
      <c r="H879" s="62"/>
      <c r="I879" s="316"/>
      <c r="J879" s="62"/>
      <c r="K879" s="62"/>
      <c r="L879" s="62"/>
      <c r="M879" s="62"/>
      <c r="N879" s="62"/>
      <c r="O879" s="62"/>
      <c r="P879" s="62"/>
      <c r="Q879" s="62"/>
      <c r="R879" s="62"/>
      <c r="S879" s="62"/>
      <c r="T879" s="62"/>
      <c r="U879" s="62"/>
      <c r="V879" s="62"/>
      <c r="W879" s="62"/>
      <c r="X879" s="62"/>
      <c r="Y879" s="62"/>
      <c r="Z879" s="62"/>
    </row>
    <row r="880" ht="25.5" customHeight="1">
      <c r="A880" s="62"/>
      <c r="B880" s="62"/>
      <c r="C880" s="316"/>
      <c r="D880" s="62"/>
      <c r="E880" s="62"/>
      <c r="F880" s="62"/>
      <c r="G880" s="316"/>
      <c r="H880" s="62"/>
      <c r="I880" s="316"/>
      <c r="J880" s="62"/>
      <c r="K880" s="62"/>
      <c r="L880" s="62"/>
      <c r="M880" s="62"/>
      <c r="N880" s="62"/>
      <c r="O880" s="62"/>
      <c r="P880" s="62"/>
      <c r="Q880" s="62"/>
      <c r="R880" s="62"/>
      <c r="S880" s="62"/>
      <c r="T880" s="62"/>
      <c r="U880" s="62"/>
      <c r="V880" s="62"/>
      <c r="W880" s="62"/>
      <c r="X880" s="62"/>
      <c r="Y880" s="62"/>
      <c r="Z880" s="62"/>
    </row>
    <row r="881" ht="25.5" customHeight="1">
      <c r="A881" s="62"/>
      <c r="B881" s="62"/>
      <c r="C881" s="316"/>
      <c r="D881" s="62"/>
      <c r="E881" s="62"/>
      <c r="F881" s="62"/>
      <c r="G881" s="316"/>
      <c r="H881" s="62"/>
      <c r="I881" s="316"/>
      <c r="J881" s="62"/>
      <c r="K881" s="62"/>
      <c r="L881" s="62"/>
      <c r="M881" s="62"/>
      <c r="N881" s="62"/>
      <c r="O881" s="62"/>
      <c r="P881" s="62"/>
      <c r="Q881" s="62"/>
      <c r="R881" s="62"/>
      <c r="S881" s="62"/>
      <c r="T881" s="62"/>
      <c r="U881" s="62"/>
      <c r="V881" s="62"/>
      <c r="W881" s="62"/>
      <c r="X881" s="62"/>
      <c r="Y881" s="62"/>
      <c r="Z881" s="62"/>
    </row>
    <row r="882" ht="25.5" customHeight="1">
      <c r="A882" s="62"/>
      <c r="B882" s="62"/>
      <c r="C882" s="316"/>
      <c r="D882" s="62"/>
      <c r="E882" s="62"/>
      <c r="F882" s="62"/>
      <c r="G882" s="316"/>
      <c r="H882" s="62"/>
      <c r="I882" s="316"/>
      <c r="J882" s="62"/>
      <c r="K882" s="62"/>
      <c r="L882" s="62"/>
      <c r="M882" s="62"/>
      <c r="N882" s="62"/>
      <c r="O882" s="62"/>
      <c r="P882" s="62"/>
      <c r="Q882" s="62"/>
      <c r="R882" s="62"/>
      <c r="S882" s="62"/>
      <c r="T882" s="62"/>
      <c r="U882" s="62"/>
      <c r="V882" s="62"/>
      <c r="W882" s="62"/>
      <c r="X882" s="62"/>
      <c r="Y882" s="62"/>
      <c r="Z882" s="62"/>
    </row>
    <row r="883" ht="25.5" customHeight="1">
      <c r="A883" s="62"/>
      <c r="B883" s="62"/>
      <c r="C883" s="316"/>
      <c r="D883" s="62"/>
      <c r="E883" s="62"/>
      <c r="F883" s="62"/>
      <c r="G883" s="316"/>
      <c r="H883" s="62"/>
      <c r="I883" s="316"/>
      <c r="J883" s="62"/>
      <c r="K883" s="62"/>
      <c r="L883" s="62"/>
      <c r="M883" s="62"/>
      <c r="N883" s="62"/>
      <c r="O883" s="62"/>
      <c r="P883" s="62"/>
      <c r="Q883" s="62"/>
      <c r="R883" s="62"/>
      <c r="S883" s="62"/>
      <c r="T883" s="62"/>
      <c r="U883" s="62"/>
      <c r="V883" s="62"/>
      <c r="W883" s="62"/>
      <c r="X883" s="62"/>
      <c r="Y883" s="62"/>
      <c r="Z883" s="62"/>
    </row>
    <row r="884" ht="25.5" customHeight="1">
      <c r="A884" s="62"/>
      <c r="B884" s="62"/>
      <c r="C884" s="316"/>
      <c r="D884" s="62"/>
      <c r="E884" s="62"/>
      <c r="F884" s="62"/>
      <c r="G884" s="316"/>
      <c r="H884" s="62"/>
      <c r="I884" s="316"/>
      <c r="J884" s="62"/>
      <c r="K884" s="62"/>
      <c r="L884" s="62"/>
      <c r="M884" s="62"/>
      <c r="N884" s="62"/>
      <c r="O884" s="62"/>
      <c r="P884" s="62"/>
      <c r="Q884" s="62"/>
      <c r="R884" s="62"/>
      <c r="S884" s="62"/>
      <c r="T884" s="62"/>
      <c r="U884" s="62"/>
      <c r="V884" s="62"/>
      <c r="W884" s="62"/>
      <c r="X884" s="62"/>
      <c r="Y884" s="62"/>
      <c r="Z884" s="62"/>
    </row>
    <row r="885" ht="25.5" customHeight="1">
      <c r="A885" s="62"/>
      <c r="B885" s="62"/>
      <c r="C885" s="316"/>
      <c r="D885" s="62"/>
      <c r="E885" s="62"/>
      <c r="F885" s="62"/>
      <c r="G885" s="316"/>
      <c r="H885" s="62"/>
      <c r="I885" s="316"/>
      <c r="J885" s="62"/>
      <c r="K885" s="62"/>
      <c r="L885" s="62"/>
      <c r="M885" s="62"/>
      <c r="N885" s="62"/>
      <c r="O885" s="62"/>
      <c r="P885" s="62"/>
      <c r="Q885" s="62"/>
      <c r="R885" s="62"/>
      <c r="S885" s="62"/>
      <c r="T885" s="62"/>
      <c r="U885" s="62"/>
      <c r="V885" s="62"/>
      <c r="W885" s="62"/>
      <c r="X885" s="62"/>
      <c r="Y885" s="62"/>
      <c r="Z885" s="62"/>
    </row>
    <row r="886" ht="25.5" customHeight="1">
      <c r="A886" s="62"/>
      <c r="B886" s="62"/>
      <c r="C886" s="316"/>
      <c r="D886" s="62"/>
      <c r="E886" s="62"/>
      <c r="F886" s="62"/>
      <c r="G886" s="316"/>
      <c r="H886" s="62"/>
      <c r="I886" s="316"/>
      <c r="J886" s="62"/>
      <c r="K886" s="62"/>
      <c r="L886" s="62"/>
      <c r="M886" s="62"/>
      <c r="N886" s="62"/>
      <c r="O886" s="62"/>
      <c r="P886" s="62"/>
      <c r="Q886" s="62"/>
      <c r="R886" s="62"/>
      <c r="S886" s="62"/>
      <c r="T886" s="62"/>
      <c r="U886" s="62"/>
      <c r="V886" s="62"/>
      <c r="W886" s="62"/>
      <c r="X886" s="62"/>
      <c r="Y886" s="62"/>
      <c r="Z886" s="62"/>
    </row>
    <row r="887" ht="25.5" customHeight="1">
      <c r="A887" s="62"/>
      <c r="B887" s="62"/>
      <c r="C887" s="316"/>
      <c r="D887" s="62"/>
      <c r="E887" s="62"/>
      <c r="F887" s="62"/>
      <c r="G887" s="316"/>
      <c r="H887" s="62"/>
      <c r="I887" s="316"/>
      <c r="J887" s="62"/>
      <c r="K887" s="62"/>
      <c r="L887" s="62"/>
      <c r="M887" s="62"/>
      <c r="N887" s="62"/>
      <c r="O887" s="62"/>
      <c r="P887" s="62"/>
      <c r="Q887" s="62"/>
      <c r="R887" s="62"/>
      <c r="S887" s="62"/>
      <c r="T887" s="62"/>
      <c r="U887" s="62"/>
      <c r="V887" s="62"/>
      <c r="W887" s="62"/>
      <c r="X887" s="62"/>
      <c r="Y887" s="62"/>
      <c r="Z887" s="62"/>
    </row>
    <row r="888" ht="25.5" customHeight="1">
      <c r="A888" s="62"/>
      <c r="B888" s="62"/>
      <c r="C888" s="316"/>
      <c r="D888" s="62"/>
      <c r="E888" s="62"/>
      <c r="F888" s="62"/>
      <c r="G888" s="316"/>
      <c r="H888" s="62"/>
      <c r="I888" s="316"/>
      <c r="J888" s="62"/>
      <c r="K888" s="62"/>
      <c r="L888" s="62"/>
      <c r="M888" s="62"/>
      <c r="N888" s="62"/>
      <c r="O888" s="62"/>
      <c r="P888" s="62"/>
      <c r="Q888" s="62"/>
      <c r="R888" s="62"/>
      <c r="S888" s="62"/>
      <c r="T888" s="62"/>
      <c r="U888" s="62"/>
      <c r="V888" s="62"/>
      <c r="W888" s="62"/>
      <c r="X888" s="62"/>
      <c r="Y888" s="62"/>
      <c r="Z888" s="62"/>
    </row>
    <row r="889" ht="25.5" customHeight="1">
      <c r="A889" s="62"/>
      <c r="B889" s="62"/>
      <c r="C889" s="316"/>
      <c r="D889" s="62"/>
      <c r="E889" s="62"/>
      <c r="F889" s="62"/>
      <c r="G889" s="316"/>
      <c r="H889" s="62"/>
      <c r="I889" s="316"/>
      <c r="J889" s="62"/>
      <c r="K889" s="62"/>
      <c r="L889" s="62"/>
      <c r="M889" s="62"/>
      <c r="N889" s="62"/>
      <c r="O889" s="62"/>
      <c r="P889" s="62"/>
      <c r="Q889" s="62"/>
      <c r="R889" s="62"/>
      <c r="S889" s="62"/>
      <c r="T889" s="62"/>
      <c r="U889" s="62"/>
      <c r="V889" s="62"/>
      <c r="W889" s="62"/>
      <c r="X889" s="62"/>
      <c r="Y889" s="62"/>
      <c r="Z889" s="62"/>
    </row>
    <row r="890" ht="25.5" customHeight="1">
      <c r="A890" s="62"/>
      <c r="B890" s="62"/>
      <c r="C890" s="316"/>
      <c r="D890" s="62"/>
      <c r="E890" s="62"/>
      <c r="F890" s="62"/>
      <c r="G890" s="316"/>
      <c r="H890" s="62"/>
      <c r="I890" s="316"/>
      <c r="J890" s="62"/>
      <c r="K890" s="62"/>
      <c r="L890" s="62"/>
      <c r="M890" s="62"/>
      <c r="N890" s="62"/>
      <c r="O890" s="62"/>
      <c r="P890" s="62"/>
      <c r="Q890" s="62"/>
      <c r="R890" s="62"/>
      <c r="S890" s="62"/>
      <c r="T890" s="62"/>
      <c r="U890" s="62"/>
      <c r="V890" s="62"/>
      <c r="W890" s="62"/>
      <c r="X890" s="62"/>
      <c r="Y890" s="62"/>
      <c r="Z890" s="62"/>
    </row>
    <row r="891" ht="25.5" customHeight="1">
      <c r="A891" s="62"/>
      <c r="B891" s="62"/>
      <c r="C891" s="316"/>
      <c r="D891" s="62"/>
      <c r="E891" s="62"/>
      <c r="F891" s="62"/>
      <c r="G891" s="316"/>
      <c r="H891" s="62"/>
      <c r="I891" s="316"/>
      <c r="J891" s="62"/>
      <c r="K891" s="62"/>
      <c r="L891" s="62"/>
      <c r="M891" s="62"/>
      <c r="N891" s="62"/>
      <c r="O891" s="62"/>
      <c r="P891" s="62"/>
      <c r="Q891" s="62"/>
      <c r="R891" s="62"/>
      <c r="S891" s="62"/>
      <c r="T891" s="62"/>
      <c r="U891" s="62"/>
      <c r="V891" s="62"/>
      <c r="W891" s="62"/>
      <c r="X891" s="62"/>
      <c r="Y891" s="62"/>
      <c r="Z891" s="62"/>
    </row>
    <row r="892" ht="25.5" customHeight="1">
      <c r="A892" s="62"/>
      <c r="B892" s="62"/>
      <c r="C892" s="316"/>
      <c r="D892" s="62"/>
      <c r="E892" s="62"/>
      <c r="F892" s="62"/>
      <c r="G892" s="316"/>
      <c r="H892" s="62"/>
      <c r="I892" s="316"/>
      <c r="J892" s="62"/>
      <c r="K892" s="62"/>
      <c r="L892" s="62"/>
      <c r="M892" s="62"/>
      <c r="N892" s="62"/>
      <c r="O892" s="62"/>
      <c r="P892" s="62"/>
      <c r="Q892" s="62"/>
      <c r="R892" s="62"/>
      <c r="S892" s="62"/>
      <c r="T892" s="62"/>
      <c r="U892" s="62"/>
      <c r="V892" s="62"/>
      <c r="W892" s="62"/>
      <c r="X892" s="62"/>
      <c r="Y892" s="62"/>
      <c r="Z892" s="62"/>
    </row>
    <row r="893" ht="25.5" customHeight="1">
      <c r="A893" s="62"/>
      <c r="B893" s="62"/>
      <c r="C893" s="316"/>
      <c r="D893" s="62"/>
      <c r="E893" s="62"/>
      <c r="F893" s="62"/>
      <c r="G893" s="316"/>
      <c r="H893" s="62"/>
      <c r="I893" s="316"/>
      <c r="J893" s="62"/>
      <c r="K893" s="62"/>
      <c r="L893" s="62"/>
      <c r="M893" s="62"/>
      <c r="N893" s="62"/>
      <c r="O893" s="62"/>
      <c r="P893" s="62"/>
      <c r="Q893" s="62"/>
      <c r="R893" s="62"/>
      <c r="S893" s="62"/>
      <c r="T893" s="62"/>
      <c r="U893" s="62"/>
      <c r="V893" s="62"/>
      <c r="W893" s="62"/>
      <c r="X893" s="62"/>
      <c r="Y893" s="62"/>
      <c r="Z893" s="62"/>
    </row>
    <row r="894" ht="25.5" customHeight="1">
      <c r="A894" s="62"/>
      <c r="B894" s="62"/>
      <c r="C894" s="316"/>
      <c r="D894" s="62"/>
      <c r="E894" s="62"/>
      <c r="F894" s="62"/>
      <c r="G894" s="316"/>
      <c r="H894" s="62"/>
      <c r="I894" s="316"/>
      <c r="J894" s="62"/>
      <c r="K894" s="62"/>
      <c r="L894" s="62"/>
      <c r="M894" s="62"/>
      <c r="N894" s="62"/>
      <c r="O894" s="62"/>
      <c r="P894" s="62"/>
      <c r="Q894" s="62"/>
      <c r="R894" s="62"/>
      <c r="S894" s="62"/>
      <c r="T894" s="62"/>
      <c r="U894" s="62"/>
      <c r="V894" s="62"/>
      <c r="W894" s="62"/>
      <c r="X894" s="62"/>
      <c r="Y894" s="62"/>
      <c r="Z894" s="62"/>
    </row>
    <row r="895" ht="25.5" customHeight="1">
      <c r="A895" s="62"/>
      <c r="B895" s="62"/>
      <c r="C895" s="316"/>
      <c r="D895" s="62"/>
      <c r="E895" s="62"/>
      <c r="F895" s="62"/>
      <c r="G895" s="316"/>
      <c r="H895" s="62"/>
      <c r="I895" s="316"/>
      <c r="J895" s="62"/>
      <c r="K895" s="62"/>
      <c r="L895" s="62"/>
      <c r="M895" s="62"/>
      <c r="N895" s="62"/>
      <c r="O895" s="62"/>
      <c r="P895" s="62"/>
      <c r="Q895" s="62"/>
      <c r="R895" s="62"/>
      <c r="S895" s="62"/>
      <c r="T895" s="62"/>
      <c r="U895" s="62"/>
      <c r="V895" s="62"/>
      <c r="W895" s="62"/>
      <c r="X895" s="62"/>
      <c r="Y895" s="62"/>
      <c r="Z895" s="62"/>
    </row>
    <row r="896" ht="25.5" customHeight="1">
      <c r="A896" s="62"/>
      <c r="B896" s="62"/>
      <c r="C896" s="316"/>
      <c r="D896" s="62"/>
      <c r="E896" s="62"/>
      <c r="F896" s="62"/>
      <c r="G896" s="316"/>
      <c r="H896" s="62"/>
      <c r="I896" s="316"/>
      <c r="J896" s="62"/>
      <c r="K896" s="62"/>
      <c r="L896" s="62"/>
      <c r="M896" s="62"/>
      <c r="N896" s="62"/>
      <c r="O896" s="62"/>
      <c r="P896" s="62"/>
      <c r="Q896" s="62"/>
      <c r="R896" s="62"/>
      <c r="S896" s="62"/>
      <c r="T896" s="62"/>
      <c r="U896" s="62"/>
      <c r="V896" s="62"/>
      <c r="W896" s="62"/>
      <c r="X896" s="62"/>
      <c r="Y896" s="62"/>
      <c r="Z896" s="62"/>
    </row>
    <row r="897" ht="25.5" customHeight="1">
      <c r="A897" s="62"/>
      <c r="B897" s="62"/>
      <c r="C897" s="316"/>
      <c r="D897" s="62"/>
      <c r="E897" s="62"/>
      <c r="F897" s="62"/>
      <c r="G897" s="316"/>
      <c r="H897" s="62"/>
      <c r="I897" s="316"/>
      <c r="J897" s="62"/>
      <c r="K897" s="62"/>
      <c r="L897" s="62"/>
      <c r="M897" s="62"/>
      <c r="N897" s="62"/>
      <c r="O897" s="62"/>
      <c r="P897" s="62"/>
      <c r="Q897" s="62"/>
      <c r="R897" s="62"/>
      <c r="S897" s="62"/>
      <c r="T897" s="62"/>
      <c r="U897" s="62"/>
      <c r="V897" s="62"/>
      <c r="W897" s="62"/>
      <c r="X897" s="62"/>
      <c r="Y897" s="62"/>
      <c r="Z897" s="62"/>
    </row>
    <row r="898" ht="25.5" customHeight="1">
      <c r="A898" s="62"/>
      <c r="B898" s="62"/>
      <c r="C898" s="316"/>
      <c r="D898" s="62"/>
      <c r="E898" s="62"/>
      <c r="F898" s="62"/>
      <c r="G898" s="316"/>
      <c r="H898" s="62"/>
      <c r="I898" s="316"/>
      <c r="J898" s="62"/>
      <c r="K898" s="62"/>
      <c r="L898" s="62"/>
      <c r="M898" s="62"/>
      <c r="N898" s="62"/>
      <c r="O898" s="62"/>
      <c r="P898" s="62"/>
      <c r="Q898" s="62"/>
      <c r="R898" s="62"/>
      <c r="S898" s="62"/>
      <c r="T898" s="62"/>
      <c r="U898" s="62"/>
      <c r="V898" s="62"/>
      <c r="W898" s="62"/>
      <c r="X898" s="62"/>
      <c r="Y898" s="62"/>
      <c r="Z898" s="62"/>
    </row>
    <row r="899" ht="25.5" customHeight="1">
      <c r="A899" s="62"/>
      <c r="B899" s="62"/>
      <c r="C899" s="316"/>
      <c r="D899" s="62"/>
      <c r="E899" s="62"/>
      <c r="F899" s="62"/>
      <c r="G899" s="316"/>
      <c r="H899" s="62"/>
      <c r="I899" s="316"/>
      <c r="J899" s="62"/>
      <c r="K899" s="62"/>
      <c r="L899" s="62"/>
      <c r="M899" s="62"/>
      <c r="N899" s="62"/>
      <c r="O899" s="62"/>
      <c r="P899" s="62"/>
      <c r="Q899" s="62"/>
      <c r="R899" s="62"/>
      <c r="S899" s="62"/>
      <c r="T899" s="62"/>
      <c r="U899" s="62"/>
      <c r="V899" s="62"/>
      <c r="W899" s="62"/>
      <c r="X899" s="62"/>
      <c r="Y899" s="62"/>
      <c r="Z899" s="62"/>
    </row>
    <row r="900" ht="25.5" customHeight="1">
      <c r="A900" s="62"/>
      <c r="B900" s="62"/>
      <c r="C900" s="316"/>
      <c r="D900" s="62"/>
      <c r="E900" s="62"/>
      <c r="F900" s="62"/>
      <c r="G900" s="316"/>
      <c r="H900" s="62"/>
      <c r="I900" s="316"/>
      <c r="J900" s="62"/>
      <c r="K900" s="62"/>
      <c r="L900" s="62"/>
      <c r="M900" s="62"/>
      <c r="N900" s="62"/>
      <c r="O900" s="62"/>
      <c r="P900" s="62"/>
      <c r="Q900" s="62"/>
      <c r="R900" s="62"/>
      <c r="S900" s="62"/>
      <c r="T900" s="62"/>
      <c r="U900" s="62"/>
      <c r="V900" s="62"/>
      <c r="W900" s="62"/>
      <c r="X900" s="62"/>
      <c r="Y900" s="62"/>
      <c r="Z900" s="62"/>
    </row>
    <row r="901" ht="25.5" customHeight="1">
      <c r="A901" s="62"/>
      <c r="B901" s="62"/>
      <c r="C901" s="316"/>
      <c r="D901" s="62"/>
      <c r="E901" s="62"/>
      <c r="F901" s="62"/>
      <c r="G901" s="316"/>
      <c r="H901" s="62"/>
      <c r="I901" s="316"/>
      <c r="J901" s="62"/>
      <c r="K901" s="62"/>
      <c r="L901" s="62"/>
      <c r="M901" s="62"/>
      <c r="N901" s="62"/>
      <c r="O901" s="62"/>
      <c r="P901" s="62"/>
      <c r="Q901" s="62"/>
      <c r="R901" s="62"/>
      <c r="S901" s="62"/>
      <c r="T901" s="62"/>
      <c r="U901" s="62"/>
      <c r="V901" s="62"/>
      <c r="W901" s="62"/>
      <c r="X901" s="62"/>
      <c r="Y901" s="62"/>
      <c r="Z901" s="62"/>
    </row>
    <row r="902" ht="25.5" customHeight="1">
      <c r="A902" s="62"/>
      <c r="B902" s="62"/>
      <c r="C902" s="316"/>
      <c r="D902" s="62"/>
      <c r="E902" s="62"/>
      <c r="F902" s="62"/>
      <c r="G902" s="316"/>
      <c r="H902" s="62"/>
      <c r="I902" s="316"/>
      <c r="J902" s="62"/>
      <c r="K902" s="62"/>
      <c r="L902" s="62"/>
      <c r="M902" s="62"/>
      <c r="N902" s="62"/>
      <c r="O902" s="62"/>
      <c r="P902" s="62"/>
      <c r="Q902" s="62"/>
      <c r="R902" s="62"/>
      <c r="S902" s="62"/>
      <c r="T902" s="62"/>
      <c r="U902" s="62"/>
      <c r="V902" s="62"/>
      <c r="W902" s="62"/>
      <c r="X902" s="62"/>
      <c r="Y902" s="62"/>
      <c r="Z902" s="62"/>
    </row>
    <row r="903" ht="25.5" customHeight="1">
      <c r="A903" s="62"/>
      <c r="B903" s="62"/>
      <c r="C903" s="316"/>
      <c r="D903" s="62"/>
      <c r="E903" s="62"/>
      <c r="F903" s="62"/>
      <c r="G903" s="316"/>
      <c r="H903" s="62"/>
      <c r="I903" s="316"/>
      <c r="J903" s="62"/>
      <c r="K903" s="62"/>
      <c r="L903" s="62"/>
      <c r="M903" s="62"/>
      <c r="N903" s="62"/>
      <c r="O903" s="62"/>
      <c r="P903" s="62"/>
      <c r="Q903" s="62"/>
      <c r="R903" s="62"/>
      <c r="S903" s="62"/>
      <c r="T903" s="62"/>
      <c r="U903" s="62"/>
      <c r="V903" s="62"/>
      <c r="W903" s="62"/>
      <c r="X903" s="62"/>
      <c r="Y903" s="62"/>
      <c r="Z903" s="62"/>
    </row>
    <row r="904" ht="25.5" customHeight="1">
      <c r="A904" s="62"/>
      <c r="B904" s="62"/>
      <c r="C904" s="316"/>
      <c r="D904" s="62"/>
      <c r="E904" s="62"/>
      <c r="F904" s="62"/>
      <c r="G904" s="316"/>
      <c r="H904" s="62"/>
      <c r="I904" s="316"/>
      <c r="J904" s="62"/>
      <c r="K904" s="62"/>
      <c r="L904" s="62"/>
      <c r="M904" s="62"/>
      <c r="N904" s="62"/>
      <c r="O904" s="62"/>
      <c r="P904" s="62"/>
      <c r="Q904" s="62"/>
      <c r="R904" s="62"/>
      <c r="S904" s="62"/>
      <c r="T904" s="62"/>
      <c r="U904" s="62"/>
      <c r="V904" s="62"/>
      <c r="W904" s="62"/>
      <c r="X904" s="62"/>
      <c r="Y904" s="62"/>
      <c r="Z904" s="62"/>
    </row>
    <row r="905" ht="25.5" customHeight="1">
      <c r="A905" s="62"/>
      <c r="B905" s="62"/>
      <c r="C905" s="316"/>
      <c r="D905" s="62"/>
      <c r="E905" s="62"/>
      <c r="F905" s="62"/>
      <c r="G905" s="316"/>
      <c r="H905" s="62"/>
      <c r="I905" s="316"/>
      <c r="J905" s="62"/>
      <c r="K905" s="62"/>
      <c r="L905" s="62"/>
      <c r="M905" s="62"/>
      <c r="N905" s="62"/>
      <c r="O905" s="62"/>
      <c r="P905" s="62"/>
      <c r="Q905" s="62"/>
      <c r="R905" s="62"/>
      <c r="S905" s="62"/>
      <c r="T905" s="62"/>
      <c r="U905" s="62"/>
      <c r="V905" s="62"/>
      <c r="W905" s="62"/>
      <c r="X905" s="62"/>
      <c r="Y905" s="62"/>
      <c r="Z905" s="62"/>
    </row>
    <row r="906" ht="25.5" customHeight="1">
      <c r="A906" s="62"/>
      <c r="B906" s="62"/>
      <c r="C906" s="316"/>
      <c r="D906" s="62"/>
      <c r="E906" s="62"/>
      <c r="F906" s="62"/>
      <c r="G906" s="316"/>
      <c r="H906" s="62"/>
      <c r="I906" s="316"/>
      <c r="J906" s="62"/>
      <c r="K906" s="62"/>
      <c r="L906" s="62"/>
      <c r="M906" s="62"/>
      <c r="N906" s="62"/>
      <c r="O906" s="62"/>
      <c r="P906" s="62"/>
      <c r="Q906" s="62"/>
      <c r="R906" s="62"/>
      <c r="S906" s="62"/>
      <c r="T906" s="62"/>
      <c r="U906" s="62"/>
      <c r="V906" s="62"/>
      <c r="W906" s="62"/>
      <c r="X906" s="62"/>
      <c r="Y906" s="62"/>
      <c r="Z906" s="62"/>
    </row>
    <row r="907" ht="25.5" customHeight="1">
      <c r="A907" s="62"/>
      <c r="B907" s="62"/>
      <c r="C907" s="316"/>
      <c r="D907" s="62"/>
      <c r="E907" s="62"/>
      <c r="F907" s="62"/>
      <c r="G907" s="316"/>
      <c r="H907" s="62"/>
      <c r="I907" s="316"/>
      <c r="J907" s="62"/>
      <c r="K907" s="62"/>
      <c r="L907" s="62"/>
      <c r="M907" s="62"/>
      <c r="N907" s="62"/>
      <c r="O907" s="62"/>
      <c r="P907" s="62"/>
      <c r="Q907" s="62"/>
      <c r="R907" s="62"/>
      <c r="S907" s="62"/>
      <c r="T907" s="62"/>
      <c r="U907" s="62"/>
      <c r="V907" s="62"/>
      <c r="W907" s="62"/>
      <c r="X907" s="62"/>
      <c r="Y907" s="62"/>
      <c r="Z907" s="62"/>
    </row>
    <row r="908" ht="25.5" customHeight="1">
      <c r="A908" s="62"/>
      <c r="B908" s="62"/>
      <c r="C908" s="316"/>
      <c r="D908" s="62"/>
      <c r="E908" s="62"/>
      <c r="F908" s="62"/>
      <c r="G908" s="316"/>
      <c r="H908" s="62"/>
      <c r="I908" s="316"/>
      <c r="J908" s="62"/>
      <c r="K908" s="62"/>
      <c r="L908" s="62"/>
      <c r="M908" s="62"/>
      <c r="N908" s="62"/>
      <c r="O908" s="62"/>
      <c r="P908" s="62"/>
      <c r="Q908" s="62"/>
      <c r="R908" s="62"/>
      <c r="S908" s="62"/>
      <c r="T908" s="62"/>
      <c r="U908" s="62"/>
      <c r="V908" s="62"/>
      <c r="W908" s="62"/>
      <c r="X908" s="62"/>
      <c r="Y908" s="62"/>
      <c r="Z908" s="62"/>
    </row>
    <row r="909" ht="25.5" customHeight="1">
      <c r="A909" s="62"/>
      <c r="B909" s="62"/>
      <c r="C909" s="316"/>
      <c r="D909" s="62"/>
      <c r="E909" s="62"/>
      <c r="F909" s="62"/>
      <c r="G909" s="316"/>
      <c r="H909" s="62"/>
      <c r="I909" s="316"/>
      <c r="J909" s="62"/>
      <c r="K909" s="62"/>
      <c r="L909" s="62"/>
      <c r="M909" s="62"/>
      <c r="N909" s="62"/>
      <c r="O909" s="62"/>
      <c r="P909" s="62"/>
      <c r="Q909" s="62"/>
      <c r="R909" s="62"/>
      <c r="S909" s="62"/>
      <c r="T909" s="62"/>
      <c r="U909" s="62"/>
      <c r="V909" s="62"/>
      <c r="W909" s="62"/>
      <c r="X909" s="62"/>
      <c r="Y909" s="62"/>
      <c r="Z909" s="62"/>
    </row>
    <row r="910" ht="25.5" customHeight="1">
      <c r="A910" s="62"/>
      <c r="B910" s="62"/>
      <c r="C910" s="316"/>
      <c r="D910" s="62"/>
      <c r="E910" s="62"/>
      <c r="F910" s="62"/>
      <c r="G910" s="316"/>
      <c r="H910" s="62"/>
      <c r="I910" s="316"/>
      <c r="J910" s="62"/>
      <c r="K910" s="62"/>
      <c r="L910" s="62"/>
      <c r="M910" s="62"/>
      <c r="N910" s="62"/>
      <c r="O910" s="62"/>
      <c r="P910" s="62"/>
      <c r="Q910" s="62"/>
      <c r="R910" s="62"/>
      <c r="S910" s="62"/>
      <c r="T910" s="62"/>
      <c r="U910" s="62"/>
      <c r="V910" s="62"/>
      <c r="W910" s="62"/>
      <c r="X910" s="62"/>
      <c r="Y910" s="62"/>
      <c r="Z910" s="62"/>
    </row>
    <row r="911" ht="25.5" customHeight="1">
      <c r="A911" s="62"/>
      <c r="B911" s="62"/>
      <c r="C911" s="316"/>
      <c r="D911" s="62"/>
      <c r="E911" s="62"/>
      <c r="F911" s="62"/>
      <c r="G911" s="316"/>
      <c r="H911" s="62"/>
      <c r="I911" s="316"/>
      <c r="J911" s="62"/>
      <c r="K911" s="62"/>
      <c r="L911" s="62"/>
      <c r="M911" s="62"/>
      <c r="N911" s="62"/>
      <c r="O911" s="62"/>
      <c r="P911" s="62"/>
      <c r="Q911" s="62"/>
      <c r="R911" s="62"/>
      <c r="S911" s="62"/>
      <c r="T911" s="62"/>
      <c r="U911" s="62"/>
      <c r="V911" s="62"/>
      <c r="W911" s="62"/>
      <c r="X911" s="62"/>
      <c r="Y911" s="62"/>
      <c r="Z911" s="62"/>
    </row>
    <row r="912" ht="25.5" customHeight="1">
      <c r="A912" s="62"/>
      <c r="B912" s="62"/>
      <c r="C912" s="316"/>
      <c r="D912" s="62"/>
      <c r="E912" s="62"/>
      <c r="F912" s="62"/>
      <c r="G912" s="316"/>
      <c r="H912" s="62"/>
      <c r="I912" s="316"/>
      <c r="J912" s="62"/>
      <c r="K912" s="62"/>
      <c r="L912" s="62"/>
      <c r="M912" s="62"/>
      <c r="N912" s="62"/>
      <c r="O912" s="62"/>
      <c r="P912" s="62"/>
      <c r="Q912" s="62"/>
      <c r="R912" s="62"/>
      <c r="S912" s="62"/>
      <c r="T912" s="62"/>
      <c r="U912" s="62"/>
      <c r="V912" s="62"/>
      <c r="W912" s="62"/>
      <c r="X912" s="62"/>
      <c r="Y912" s="62"/>
      <c r="Z912" s="62"/>
    </row>
    <row r="913" ht="25.5" customHeight="1">
      <c r="A913" s="62"/>
      <c r="B913" s="62"/>
      <c r="C913" s="316"/>
      <c r="D913" s="62"/>
      <c r="E913" s="62"/>
      <c r="F913" s="62"/>
      <c r="G913" s="316"/>
      <c r="H913" s="62"/>
      <c r="I913" s="316"/>
      <c r="J913" s="62"/>
      <c r="K913" s="62"/>
      <c r="L913" s="62"/>
      <c r="M913" s="62"/>
      <c r="N913" s="62"/>
      <c r="O913" s="62"/>
      <c r="P913" s="62"/>
      <c r="Q913" s="62"/>
      <c r="R913" s="62"/>
      <c r="S913" s="62"/>
      <c r="T913" s="62"/>
      <c r="U913" s="62"/>
      <c r="V913" s="62"/>
      <c r="W913" s="62"/>
      <c r="X913" s="62"/>
      <c r="Y913" s="62"/>
      <c r="Z913" s="62"/>
    </row>
    <row r="914" ht="25.5" customHeight="1">
      <c r="A914" s="62"/>
      <c r="B914" s="62"/>
      <c r="C914" s="316"/>
      <c r="D914" s="62"/>
      <c r="E914" s="62"/>
      <c r="F914" s="62"/>
      <c r="G914" s="316"/>
      <c r="H914" s="62"/>
      <c r="I914" s="316"/>
      <c r="J914" s="62"/>
      <c r="K914" s="62"/>
      <c r="L914" s="62"/>
      <c r="M914" s="62"/>
      <c r="N914" s="62"/>
      <c r="O914" s="62"/>
      <c r="P914" s="62"/>
      <c r="Q914" s="62"/>
      <c r="R914" s="62"/>
      <c r="S914" s="62"/>
      <c r="T914" s="62"/>
      <c r="U914" s="62"/>
      <c r="V914" s="62"/>
      <c r="W914" s="62"/>
      <c r="X914" s="62"/>
      <c r="Y914" s="62"/>
      <c r="Z914" s="62"/>
    </row>
    <row r="915" ht="25.5" customHeight="1">
      <c r="A915" s="62"/>
      <c r="B915" s="62"/>
      <c r="C915" s="316"/>
      <c r="D915" s="62"/>
      <c r="E915" s="62"/>
      <c r="F915" s="62"/>
      <c r="G915" s="316"/>
      <c r="H915" s="62"/>
      <c r="I915" s="316"/>
      <c r="J915" s="62"/>
      <c r="K915" s="62"/>
      <c r="L915" s="62"/>
      <c r="M915" s="62"/>
      <c r="N915" s="62"/>
      <c r="O915" s="62"/>
      <c r="P915" s="62"/>
      <c r="Q915" s="62"/>
      <c r="R915" s="62"/>
      <c r="S915" s="62"/>
      <c r="T915" s="62"/>
      <c r="U915" s="62"/>
      <c r="V915" s="62"/>
      <c r="W915" s="62"/>
      <c r="X915" s="62"/>
      <c r="Y915" s="62"/>
      <c r="Z915" s="62"/>
    </row>
    <row r="916" ht="25.5" customHeight="1">
      <c r="A916" s="62"/>
      <c r="B916" s="62"/>
      <c r="C916" s="316"/>
      <c r="D916" s="62"/>
      <c r="E916" s="62"/>
      <c r="F916" s="62"/>
      <c r="G916" s="316"/>
      <c r="H916" s="62"/>
      <c r="I916" s="316"/>
      <c r="J916" s="62"/>
      <c r="K916" s="62"/>
      <c r="L916" s="62"/>
      <c r="M916" s="62"/>
      <c r="N916" s="62"/>
      <c r="O916" s="62"/>
      <c r="P916" s="62"/>
      <c r="Q916" s="62"/>
      <c r="R916" s="62"/>
      <c r="S916" s="62"/>
      <c r="T916" s="62"/>
      <c r="U916" s="62"/>
      <c r="V916" s="62"/>
      <c r="W916" s="62"/>
      <c r="X916" s="62"/>
      <c r="Y916" s="62"/>
      <c r="Z916" s="62"/>
    </row>
    <row r="917" ht="25.5" customHeight="1">
      <c r="A917" s="62"/>
      <c r="B917" s="62"/>
      <c r="C917" s="316"/>
      <c r="D917" s="62"/>
      <c r="E917" s="62"/>
      <c r="F917" s="62"/>
      <c r="G917" s="316"/>
      <c r="H917" s="62"/>
      <c r="I917" s="316"/>
      <c r="J917" s="62"/>
      <c r="K917" s="62"/>
      <c r="L917" s="62"/>
      <c r="M917" s="62"/>
      <c r="N917" s="62"/>
      <c r="O917" s="62"/>
      <c r="P917" s="62"/>
      <c r="Q917" s="62"/>
      <c r="R917" s="62"/>
      <c r="S917" s="62"/>
      <c r="T917" s="62"/>
      <c r="U917" s="62"/>
      <c r="V917" s="62"/>
      <c r="W917" s="62"/>
      <c r="X917" s="62"/>
      <c r="Y917" s="62"/>
      <c r="Z917" s="62"/>
    </row>
    <row r="918" ht="25.5" customHeight="1">
      <c r="A918" s="62"/>
      <c r="B918" s="62"/>
      <c r="C918" s="316"/>
      <c r="D918" s="62"/>
      <c r="E918" s="62"/>
      <c r="F918" s="62"/>
      <c r="G918" s="316"/>
      <c r="H918" s="62"/>
      <c r="I918" s="316"/>
      <c r="J918" s="62"/>
      <c r="K918" s="62"/>
      <c r="L918" s="62"/>
      <c r="M918" s="62"/>
      <c r="N918" s="62"/>
      <c r="O918" s="62"/>
      <c r="P918" s="62"/>
      <c r="Q918" s="62"/>
      <c r="R918" s="62"/>
      <c r="S918" s="62"/>
      <c r="T918" s="62"/>
      <c r="U918" s="62"/>
      <c r="V918" s="62"/>
      <c r="W918" s="62"/>
      <c r="X918" s="62"/>
      <c r="Y918" s="62"/>
      <c r="Z918" s="62"/>
    </row>
    <row r="919" ht="25.5" customHeight="1">
      <c r="A919" s="62"/>
      <c r="B919" s="62"/>
      <c r="C919" s="316"/>
      <c r="D919" s="62"/>
      <c r="E919" s="62"/>
      <c r="F919" s="62"/>
      <c r="G919" s="316"/>
      <c r="H919" s="62"/>
      <c r="I919" s="316"/>
      <c r="J919" s="62"/>
      <c r="K919" s="62"/>
      <c r="L919" s="62"/>
      <c r="M919" s="62"/>
      <c r="N919" s="62"/>
      <c r="O919" s="62"/>
      <c r="P919" s="62"/>
      <c r="Q919" s="62"/>
      <c r="R919" s="62"/>
      <c r="S919" s="62"/>
      <c r="T919" s="62"/>
      <c r="U919" s="62"/>
      <c r="V919" s="62"/>
      <c r="W919" s="62"/>
      <c r="X919" s="62"/>
      <c r="Y919" s="62"/>
      <c r="Z919" s="62"/>
    </row>
    <row r="920" ht="25.5" customHeight="1">
      <c r="A920" s="62"/>
      <c r="B920" s="62"/>
      <c r="C920" s="316"/>
      <c r="D920" s="62"/>
      <c r="E920" s="62"/>
      <c r="F920" s="62"/>
      <c r="G920" s="316"/>
      <c r="H920" s="62"/>
      <c r="I920" s="316"/>
      <c r="J920" s="62"/>
      <c r="K920" s="62"/>
      <c r="L920" s="62"/>
      <c r="M920" s="62"/>
      <c r="N920" s="62"/>
      <c r="O920" s="62"/>
      <c r="P920" s="62"/>
      <c r="Q920" s="62"/>
      <c r="R920" s="62"/>
      <c r="S920" s="62"/>
      <c r="T920" s="62"/>
      <c r="U920" s="62"/>
      <c r="V920" s="62"/>
      <c r="W920" s="62"/>
      <c r="X920" s="62"/>
      <c r="Y920" s="62"/>
      <c r="Z920" s="62"/>
    </row>
    <row r="921" ht="25.5" customHeight="1">
      <c r="A921" s="62"/>
      <c r="B921" s="62"/>
      <c r="C921" s="316"/>
      <c r="D921" s="62"/>
      <c r="E921" s="62"/>
      <c r="F921" s="62"/>
      <c r="G921" s="316"/>
      <c r="H921" s="62"/>
      <c r="I921" s="316"/>
      <c r="J921" s="62"/>
      <c r="K921" s="62"/>
      <c r="L921" s="62"/>
      <c r="M921" s="62"/>
      <c r="N921" s="62"/>
      <c r="O921" s="62"/>
      <c r="P921" s="62"/>
      <c r="Q921" s="62"/>
      <c r="R921" s="62"/>
      <c r="S921" s="62"/>
      <c r="T921" s="62"/>
      <c r="U921" s="62"/>
      <c r="V921" s="62"/>
      <c r="W921" s="62"/>
      <c r="X921" s="62"/>
      <c r="Y921" s="62"/>
      <c r="Z921" s="62"/>
    </row>
    <row r="922" ht="25.5" customHeight="1">
      <c r="A922" s="62"/>
      <c r="B922" s="62"/>
      <c r="C922" s="316"/>
      <c r="D922" s="62"/>
      <c r="E922" s="62"/>
      <c r="F922" s="62"/>
      <c r="G922" s="316"/>
      <c r="H922" s="62"/>
      <c r="I922" s="316"/>
      <c r="J922" s="62"/>
      <c r="K922" s="62"/>
      <c r="L922" s="62"/>
      <c r="M922" s="62"/>
      <c r="N922" s="62"/>
      <c r="O922" s="62"/>
      <c r="P922" s="62"/>
      <c r="Q922" s="62"/>
      <c r="R922" s="62"/>
      <c r="S922" s="62"/>
      <c r="T922" s="62"/>
      <c r="U922" s="62"/>
      <c r="V922" s="62"/>
      <c r="W922" s="62"/>
      <c r="X922" s="62"/>
      <c r="Y922" s="62"/>
      <c r="Z922" s="62"/>
    </row>
    <row r="923" ht="25.5" customHeight="1">
      <c r="A923" s="62"/>
      <c r="B923" s="62"/>
      <c r="C923" s="316"/>
      <c r="D923" s="62"/>
      <c r="E923" s="62"/>
      <c r="F923" s="62"/>
      <c r="G923" s="316"/>
      <c r="H923" s="62"/>
      <c r="I923" s="316"/>
      <c r="J923" s="62"/>
      <c r="K923" s="62"/>
      <c r="L923" s="62"/>
      <c r="M923" s="62"/>
      <c r="N923" s="62"/>
      <c r="O923" s="62"/>
      <c r="P923" s="62"/>
      <c r="Q923" s="62"/>
      <c r="R923" s="62"/>
      <c r="S923" s="62"/>
      <c r="T923" s="62"/>
      <c r="U923" s="62"/>
      <c r="V923" s="62"/>
      <c r="W923" s="62"/>
      <c r="X923" s="62"/>
      <c r="Y923" s="62"/>
      <c r="Z923" s="62"/>
    </row>
    <row r="924" ht="25.5" customHeight="1">
      <c r="A924" s="62"/>
      <c r="B924" s="62"/>
      <c r="C924" s="316"/>
      <c r="D924" s="62"/>
      <c r="E924" s="62"/>
      <c r="F924" s="62"/>
      <c r="G924" s="316"/>
      <c r="H924" s="62"/>
      <c r="I924" s="316"/>
      <c r="J924" s="62"/>
      <c r="K924" s="62"/>
      <c r="L924" s="62"/>
      <c r="M924" s="62"/>
      <c r="N924" s="62"/>
      <c r="O924" s="62"/>
      <c r="P924" s="62"/>
      <c r="Q924" s="62"/>
      <c r="R924" s="62"/>
      <c r="S924" s="62"/>
      <c r="T924" s="62"/>
      <c r="U924" s="62"/>
      <c r="V924" s="62"/>
      <c r="W924" s="62"/>
      <c r="X924" s="62"/>
      <c r="Y924" s="62"/>
      <c r="Z924" s="62"/>
    </row>
    <row r="925" ht="25.5" customHeight="1">
      <c r="A925" s="62"/>
      <c r="B925" s="62"/>
      <c r="C925" s="316"/>
      <c r="D925" s="62"/>
      <c r="E925" s="62"/>
      <c r="F925" s="62"/>
      <c r="G925" s="316"/>
      <c r="H925" s="62"/>
      <c r="I925" s="316"/>
      <c r="J925" s="62"/>
      <c r="K925" s="62"/>
      <c r="L925" s="62"/>
      <c r="M925" s="62"/>
      <c r="N925" s="62"/>
      <c r="O925" s="62"/>
      <c r="P925" s="62"/>
      <c r="Q925" s="62"/>
      <c r="R925" s="62"/>
      <c r="S925" s="62"/>
      <c r="T925" s="62"/>
      <c r="U925" s="62"/>
      <c r="V925" s="62"/>
      <c r="W925" s="62"/>
      <c r="X925" s="62"/>
      <c r="Y925" s="62"/>
      <c r="Z925" s="62"/>
    </row>
    <row r="926" ht="25.5" customHeight="1">
      <c r="A926" s="62"/>
      <c r="B926" s="62"/>
      <c r="C926" s="316"/>
      <c r="D926" s="62"/>
      <c r="E926" s="62"/>
      <c r="F926" s="62"/>
      <c r="G926" s="316"/>
      <c r="H926" s="62"/>
      <c r="I926" s="316"/>
      <c r="J926" s="62"/>
      <c r="K926" s="62"/>
      <c r="L926" s="62"/>
      <c r="M926" s="62"/>
      <c r="N926" s="62"/>
      <c r="O926" s="62"/>
      <c r="P926" s="62"/>
      <c r="Q926" s="62"/>
      <c r="R926" s="62"/>
      <c r="S926" s="62"/>
      <c r="T926" s="62"/>
      <c r="U926" s="62"/>
      <c r="V926" s="62"/>
      <c r="W926" s="62"/>
      <c r="X926" s="62"/>
      <c r="Y926" s="62"/>
      <c r="Z926" s="62"/>
    </row>
    <row r="927" ht="25.5" customHeight="1">
      <c r="A927" s="62"/>
      <c r="B927" s="62"/>
      <c r="C927" s="316"/>
      <c r="D927" s="62"/>
      <c r="E927" s="62"/>
      <c r="F927" s="62"/>
      <c r="G927" s="316"/>
      <c r="H927" s="62"/>
      <c r="I927" s="316"/>
      <c r="J927" s="62"/>
      <c r="K927" s="62"/>
      <c r="L927" s="62"/>
      <c r="M927" s="62"/>
      <c r="N927" s="62"/>
      <c r="O927" s="62"/>
      <c r="P927" s="62"/>
      <c r="Q927" s="62"/>
      <c r="R927" s="62"/>
      <c r="S927" s="62"/>
      <c r="T927" s="62"/>
      <c r="U927" s="62"/>
      <c r="V927" s="62"/>
      <c r="W927" s="62"/>
      <c r="X927" s="62"/>
      <c r="Y927" s="62"/>
      <c r="Z927" s="62"/>
    </row>
    <row r="928" ht="25.5" customHeight="1">
      <c r="A928" s="62"/>
      <c r="B928" s="62"/>
      <c r="C928" s="316"/>
      <c r="D928" s="62"/>
      <c r="E928" s="62"/>
      <c r="F928" s="62"/>
      <c r="G928" s="316"/>
      <c r="H928" s="62"/>
      <c r="I928" s="316"/>
      <c r="J928" s="62"/>
      <c r="K928" s="62"/>
      <c r="L928" s="62"/>
      <c r="M928" s="62"/>
      <c r="N928" s="62"/>
      <c r="O928" s="62"/>
      <c r="P928" s="62"/>
      <c r="Q928" s="62"/>
      <c r="R928" s="62"/>
      <c r="S928" s="62"/>
      <c r="T928" s="62"/>
      <c r="U928" s="62"/>
      <c r="V928" s="62"/>
      <c r="W928" s="62"/>
      <c r="X928" s="62"/>
      <c r="Y928" s="62"/>
      <c r="Z928" s="62"/>
    </row>
    <row r="929" ht="25.5" customHeight="1">
      <c r="A929" s="62"/>
      <c r="B929" s="62"/>
      <c r="C929" s="316"/>
      <c r="D929" s="62"/>
      <c r="E929" s="62"/>
      <c r="F929" s="62"/>
      <c r="G929" s="316"/>
      <c r="H929" s="62"/>
      <c r="I929" s="316"/>
      <c r="J929" s="62"/>
      <c r="K929" s="62"/>
      <c r="L929" s="62"/>
      <c r="M929" s="62"/>
      <c r="N929" s="62"/>
      <c r="O929" s="62"/>
      <c r="P929" s="62"/>
      <c r="Q929" s="62"/>
      <c r="R929" s="62"/>
      <c r="S929" s="62"/>
      <c r="T929" s="62"/>
      <c r="U929" s="62"/>
      <c r="V929" s="62"/>
      <c r="W929" s="62"/>
      <c r="X929" s="62"/>
      <c r="Y929" s="62"/>
      <c r="Z929" s="62"/>
    </row>
    <row r="930" ht="25.5" customHeight="1">
      <c r="A930" s="62"/>
      <c r="B930" s="62"/>
      <c r="C930" s="316"/>
      <c r="D930" s="62"/>
      <c r="E930" s="62"/>
      <c r="F930" s="62"/>
      <c r="G930" s="316"/>
      <c r="H930" s="62"/>
      <c r="I930" s="316"/>
      <c r="J930" s="62"/>
      <c r="K930" s="62"/>
      <c r="L930" s="62"/>
      <c r="M930" s="62"/>
      <c r="N930" s="62"/>
      <c r="O930" s="62"/>
      <c r="P930" s="62"/>
      <c r="Q930" s="62"/>
      <c r="R930" s="62"/>
      <c r="S930" s="62"/>
      <c r="T930" s="62"/>
      <c r="U930" s="62"/>
      <c r="V930" s="62"/>
      <c r="W930" s="62"/>
      <c r="X930" s="62"/>
      <c r="Y930" s="62"/>
      <c r="Z930" s="62"/>
    </row>
    <row r="931" ht="25.5" customHeight="1">
      <c r="A931" s="62"/>
      <c r="B931" s="62"/>
      <c r="C931" s="316"/>
      <c r="D931" s="62"/>
      <c r="E931" s="62"/>
      <c r="F931" s="62"/>
      <c r="G931" s="316"/>
      <c r="H931" s="62"/>
      <c r="I931" s="316"/>
      <c r="J931" s="62"/>
      <c r="K931" s="62"/>
      <c r="L931" s="62"/>
      <c r="M931" s="62"/>
      <c r="N931" s="62"/>
      <c r="O931" s="62"/>
      <c r="P931" s="62"/>
      <c r="Q931" s="62"/>
      <c r="R931" s="62"/>
      <c r="S931" s="62"/>
      <c r="T931" s="62"/>
      <c r="U931" s="62"/>
      <c r="V931" s="62"/>
      <c r="W931" s="62"/>
      <c r="X931" s="62"/>
      <c r="Y931" s="62"/>
      <c r="Z931" s="62"/>
    </row>
    <row r="932" ht="25.5" customHeight="1">
      <c r="A932" s="62"/>
      <c r="B932" s="62"/>
      <c r="C932" s="316"/>
      <c r="D932" s="62"/>
      <c r="E932" s="62"/>
      <c r="F932" s="62"/>
      <c r="G932" s="316"/>
      <c r="H932" s="62"/>
      <c r="I932" s="316"/>
      <c r="J932" s="62"/>
      <c r="K932" s="62"/>
      <c r="L932" s="62"/>
      <c r="M932" s="62"/>
      <c r="N932" s="62"/>
      <c r="O932" s="62"/>
      <c r="P932" s="62"/>
      <c r="Q932" s="62"/>
      <c r="R932" s="62"/>
      <c r="S932" s="62"/>
      <c r="T932" s="62"/>
      <c r="U932" s="62"/>
      <c r="V932" s="62"/>
      <c r="W932" s="62"/>
      <c r="X932" s="62"/>
      <c r="Y932" s="62"/>
      <c r="Z932" s="62"/>
    </row>
    <row r="933" ht="25.5" customHeight="1">
      <c r="A933" s="62"/>
      <c r="B933" s="62"/>
      <c r="C933" s="316"/>
      <c r="D933" s="62"/>
      <c r="E933" s="62"/>
      <c r="F933" s="62"/>
      <c r="G933" s="316"/>
      <c r="H933" s="62"/>
      <c r="I933" s="316"/>
      <c r="J933" s="62"/>
      <c r="K933" s="62"/>
      <c r="L933" s="62"/>
      <c r="M933" s="62"/>
      <c r="N933" s="62"/>
      <c r="O933" s="62"/>
      <c r="P933" s="62"/>
      <c r="Q933" s="62"/>
      <c r="R933" s="62"/>
      <c r="S933" s="62"/>
      <c r="T933" s="62"/>
      <c r="U933" s="62"/>
      <c r="V933" s="62"/>
      <c r="W933" s="62"/>
      <c r="X933" s="62"/>
      <c r="Y933" s="62"/>
      <c r="Z933" s="62"/>
    </row>
    <row r="934" ht="25.5" customHeight="1">
      <c r="A934" s="62"/>
      <c r="B934" s="62"/>
      <c r="C934" s="316"/>
      <c r="D934" s="62"/>
      <c r="E934" s="62"/>
      <c r="F934" s="62"/>
      <c r="G934" s="316"/>
      <c r="H934" s="62"/>
      <c r="I934" s="316"/>
      <c r="J934" s="62"/>
      <c r="K934" s="62"/>
      <c r="L934" s="62"/>
      <c r="M934" s="62"/>
      <c r="N934" s="62"/>
      <c r="O934" s="62"/>
      <c r="P934" s="62"/>
      <c r="Q934" s="62"/>
      <c r="R934" s="62"/>
      <c r="S934" s="62"/>
      <c r="T934" s="62"/>
      <c r="U934" s="62"/>
      <c r="V934" s="62"/>
      <c r="W934" s="62"/>
      <c r="X934" s="62"/>
      <c r="Y934" s="62"/>
      <c r="Z934" s="62"/>
    </row>
    <row r="935" ht="25.5" customHeight="1">
      <c r="A935" s="62"/>
      <c r="B935" s="62"/>
      <c r="C935" s="316"/>
      <c r="D935" s="62"/>
      <c r="E935" s="62"/>
      <c r="F935" s="62"/>
      <c r="G935" s="316"/>
      <c r="H935" s="62"/>
      <c r="I935" s="316"/>
      <c r="J935" s="62"/>
      <c r="K935" s="62"/>
      <c r="L935" s="62"/>
      <c r="M935" s="62"/>
      <c r="N935" s="62"/>
      <c r="O935" s="62"/>
      <c r="P935" s="62"/>
      <c r="Q935" s="62"/>
      <c r="R935" s="62"/>
      <c r="S935" s="62"/>
      <c r="T935" s="62"/>
      <c r="U935" s="62"/>
      <c r="V935" s="62"/>
      <c r="W935" s="62"/>
      <c r="X935" s="62"/>
      <c r="Y935" s="62"/>
      <c r="Z935" s="62"/>
    </row>
    <row r="936" ht="25.5" customHeight="1">
      <c r="A936" s="62"/>
      <c r="B936" s="62"/>
      <c r="C936" s="316"/>
      <c r="D936" s="62"/>
      <c r="E936" s="62"/>
      <c r="F936" s="62"/>
      <c r="G936" s="316"/>
      <c r="H936" s="62"/>
      <c r="I936" s="316"/>
      <c r="J936" s="62"/>
      <c r="K936" s="62"/>
      <c r="L936" s="62"/>
      <c r="M936" s="62"/>
      <c r="N936" s="62"/>
      <c r="O936" s="62"/>
      <c r="P936" s="62"/>
      <c r="Q936" s="62"/>
      <c r="R936" s="62"/>
      <c r="S936" s="62"/>
      <c r="T936" s="62"/>
      <c r="U936" s="62"/>
      <c r="V936" s="62"/>
      <c r="W936" s="62"/>
      <c r="X936" s="62"/>
      <c r="Y936" s="62"/>
      <c r="Z936" s="62"/>
    </row>
    <row r="937" ht="25.5" customHeight="1">
      <c r="A937" s="62"/>
      <c r="B937" s="62"/>
      <c r="C937" s="316"/>
      <c r="D937" s="62"/>
      <c r="E937" s="62"/>
      <c r="F937" s="62"/>
      <c r="G937" s="316"/>
      <c r="H937" s="62"/>
      <c r="I937" s="316"/>
      <c r="J937" s="62"/>
      <c r="K937" s="62"/>
      <c r="L937" s="62"/>
      <c r="M937" s="62"/>
      <c r="N937" s="62"/>
      <c r="O937" s="62"/>
      <c r="P937" s="62"/>
      <c r="Q937" s="62"/>
      <c r="R937" s="62"/>
      <c r="S937" s="62"/>
      <c r="T937" s="62"/>
      <c r="U937" s="62"/>
      <c r="V937" s="62"/>
      <c r="W937" s="62"/>
      <c r="X937" s="62"/>
      <c r="Y937" s="62"/>
      <c r="Z937" s="62"/>
    </row>
    <row r="938" ht="25.5" customHeight="1">
      <c r="A938" s="62"/>
      <c r="B938" s="62"/>
      <c r="C938" s="316"/>
      <c r="D938" s="62"/>
      <c r="E938" s="62"/>
      <c r="F938" s="62"/>
      <c r="G938" s="316"/>
      <c r="H938" s="62"/>
      <c r="I938" s="316"/>
      <c r="J938" s="62"/>
      <c r="K938" s="62"/>
      <c r="L938" s="62"/>
      <c r="M938" s="62"/>
      <c r="N938" s="62"/>
      <c r="O938" s="62"/>
      <c r="P938" s="62"/>
      <c r="Q938" s="62"/>
      <c r="R938" s="62"/>
      <c r="S938" s="62"/>
      <c r="T938" s="62"/>
      <c r="U938" s="62"/>
      <c r="V938" s="62"/>
      <c r="W938" s="62"/>
      <c r="X938" s="62"/>
      <c r="Y938" s="62"/>
      <c r="Z938" s="62"/>
    </row>
    <row r="939" ht="25.5" customHeight="1">
      <c r="A939" s="62"/>
      <c r="B939" s="62"/>
      <c r="C939" s="316"/>
      <c r="D939" s="62"/>
      <c r="E939" s="62"/>
      <c r="F939" s="62"/>
      <c r="G939" s="316"/>
      <c r="H939" s="62"/>
      <c r="I939" s="316"/>
      <c r="J939" s="62"/>
      <c r="K939" s="62"/>
      <c r="L939" s="62"/>
      <c r="M939" s="62"/>
      <c r="N939" s="62"/>
      <c r="O939" s="62"/>
      <c r="P939" s="62"/>
      <c r="Q939" s="62"/>
      <c r="R939" s="62"/>
      <c r="S939" s="62"/>
      <c r="T939" s="62"/>
      <c r="U939" s="62"/>
      <c r="V939" s="62"/>
      <c r="W939" s="62"/>
      <c r="X939" s="62"/>
      <c r="Y939" s="62"/>
      <c r="Z939" s="62"/>
    </row>
    <row r="940" ht="25.5" customHeight="1">
      <c r="A940" s="62"/>
      <c r="B940" s="62"/>
      <c r="C940" s="316"/>
      <c r="D940" s="62"/>
      <c r="E940" s="62"/>
      <c r="F940" s="62"/>
      <c r="G940" s="316"/>
      <c r="H940" s="62"/>
      <c r="I940" s="316"/>
      <c r="J940" s="62"/>
      <c r="K940" s="62"/>
      <c r="L940" s="62"/>
      <c r="M940" s="62"/>
      <c r="N940" s="62"/>
      <c r="O940" s="62"/>
      <c r="P940" s="62"/>
      <c r="Q940" s="62"/>
      <c r="R940" s="62"/>
      <c r="S940" s="62"/>
      <c r="T940" s="62"/>
      <c r="U940" s="62"/>
      <c r="V940" s="62"/>
      <c r="W940" s="62"/>
      <c r="X940" s="62"/>
      <c r="Y940" s="62"/>
      <c r="Z940" s="62"/>
    </row>
    <row r="941" ht="25.5" customHeight="1">
      <c r="A941" s="62"/>
      <c r="B941" s="62"/>
      <c r="C941" s="316"/>
      <c r="D941" s="62"/>
      <c r="E941" s="62"/>
      <c r="F941" s="62"/>
      <c r="G941" s="316"/>
      <c r="H941" s="62"/>
      <c r="I941" s="316"/>
      <c r="J941" s="62"/>
      <c r="K941" s="62"/>
      <c r="L941" s="62"/>
      <c r="M941" s="62"/>
      <c r="N941" s="62"/>
      <c r="O941" s="62"/>
      <c r="P941" s="62"/>
      <c r="Q941" s="62"/>
      <c r="R941" s="62"/>
      <c r="S941" s="62"/>
      <c r="T941" s="62"/>
      <c r="U941" s="62"/>
      <c r="V941" s="62"/>
      <c r="W941" s="62"/>
      <c r="X941" s="62"/>
      <c r="Y941" s="62"/>
      <c r="Z941" s="62"/>
    </row>
    <row r="942" ht="25.5" customHeight="1">
      <c r="A942" s="62"/>
      <c r="B942" s="62"/>
      <c r="C942" s="316"/>
      <c r="D942" s="62"/>
      <c r="E942" s="62"/>
      <c r="F942" s="62"/>
      <c r="G942" s="316"/>
      <c r="H942" s="62"/>
      <c r="I942" s="316"/>
      <c r="J942" s="62"/>
      <c r="K942" s="62"/>
      <c r="L942" s="62"/>
      <c r="M942" s="62"/>
      <c r="N942" s="62"/>
      <c r="O942" s="62"/>
      <c r="P942" s="62"/>
      <c r="Q942" s="62"/>
      <c r="R942" s="62"/>
      <c r="S942" s="62"/>
      <c r="T942" s="62"/>
      <c r="U942" s="62"/>
      <c r="V942" s="62"/>
      <c r="W942" s="62"/>
      <c r="X942" s="62"/>
      <c r="Y942" s="62"/>
      <c r="Z942" s="62"/>
    </row>
    <row r="943" ht="25.5" customHeight="1">
      <c r="A943" s="62"/>
      <c r="B943" s="62"/>
      <c r="C943" s="316"/>
      <c r="D943" s="62"/>
      <c r="E943" s="62"/>
      <c r="F943" s="62"/>
      <c r="G943" s="316"/>
      <c r="H943" s="62"/>
      <c r="I943" s="316"/>
      <c r="J943" s="62"/>
      <c r="K943" s="62"/>
      <c r="L943" s="62"/>
      <c r="M943" s="62"/>
      <c r="N943" s="62"/>
      <c r="O943" s="62"/>
      <c r="P943" s="62"/>
      <c r="Q943" s="62"/>
      <c r="R943" s="62"/>
      <c r="S943" s="62"/>
      <c r="T943" s="62"/>
      <c r="U943" s="62"/>
      <c r="V943" s="62"/>
      <c r="W943" s="62"/>
      <c r="X943" s="62"/>
      <c r="Y943" s="62"/>
      <c r="Z943" s="62"/>
    </row>
    <row r="944" ht="25.5" customHeight="1">
      <c r="A944" s="62"/>
      <c r="B944" s="62"/>
      <c r="C944" s="316"/>
      <c r="D944" s="62"/>
      <c r="E944" s="62"/>
      <c r="F944" s="62"/>
      <c r="G944" s="316"/>
      <c r="H944" s="62"/>
      <c r="I944" s="316"/>
      <c r="J944" s="62"/>
      <c r="K944" s="62"/>
      <c r="L944" s="62"/>
      <c r="M944" s="62"/>
      <c r="N944" s="62"/>
      <c r="O944" s="62"/>
      <c r="P944" s="62"/>
      <c r="Q944" s="62"/>
      <c r="R944" s="62"/>
      <c r="S944" s="62"/>
      <c r="T944" s="62"/>
      <c r="U944" s="62"/>
      <c r="V944" s="62"/>
      <c r="W944" s="62"/>
      <c r="X944" s="62"/>
      <c r="Y944" s="62"/>
      <c r="Z944" s="62"/>
    </row>
    <row r="945" ht="25.5" customHeight="1">
      <c r="A945" s="62"/>
      <c r="B945" s="62"/>
      <c r="C945" s="316"/>
      <c r="D945" s="62"/>
      <c r="E945" s="62"/>
      <c r="F945" s="62"/>
      <c r="G945" s="316"/>
      <c r="H945" s="62"/>
      <c r="I945" s="316"/>
      <c r="J945" s="62"/>
      <c r="K945" s="62"/>
      <c r="L945" s="62"/>
      <c r="M945" s="62"/>
      <c r="N945" s="62"/>
      <c r="O945" s="62"/>
      <c r="P945" s="62"/>
      <c r="Q945" s="62"/>
      <c r="R945" s="62"/>
      <c r="S945" s="62"/>
      <c r="T945" s="62"/>
      <c r="U945" s="62"/>
      <c r="V945" s="62"/>
      <c r="W945" s="62"/>
      <c r="X945" s="62"/>
      <c r="Y945" s="62"/>
      <c r="Z945" s="62"/>
    </row>
    <row r="946" ht="25.5" customHeight="1">
      <c r="A946" s="62"/>
      <c r="B946" s="62"/>
      <c r="C946" s="316"/>
      <c r="D946" s="62"/>
      <c r="E946" s="62"/>
      <c r="F946" s="62"/>
      <c r="G946" s="316"/>
      <c r="H946" s="62"/>
      <c r="I946" s="316"/>
      <c r="J946" s="62"/>
      <c r="K946" s="62"/>
      <c r="L946" s="62"/>
      <c r="M946" s="62"/>
      <c r="N946" s="62"/>
      <c r="O946" s="62"/>
      <c r="P946" s="62"/>
      <c r="Q946" s="62"/>
      <c r="R946" s="62"/>
      <c r="S946" s="62"/>
      <c r="T946" s="62"/>
      <c r="U946" s="62"/>
      <c r="V946" s="62"/>
      <c r="W946" s="62"/>
      <c r="X946" s="62"/>
      <c r="Y946" s="62"/>
      <c r="Z946" s="62"/>
    </row>
    <row r="947" ht="25.5" customHeight="1">
      <c r="A947" s="62"/>
      <c r="B947" s="62"/>
      <c r="C947" s="316"/>
      <c r="D947" s="62"/>
      <c r="E947" s="62"/>
      <c r="F947" s="62"/>
      <c r="G947" s="316"/>
      <c r="H947" s="62"/>
      <c r="I947" s="316"/>
      <c r="J947" s="62"/>
      <c r="K947" s="62"/>
      <c r="L947" s="62"/>
      <c r="M947" s="62"/>
      <c r="N947" s="62"/>
      <c r="O947" s="62"/>
      <c r="P947" s="62"/>
      <c r="Q947" s="62"/>
      <c r="R947" s="62"/>
      <c r="S947" s="62"/>
      <c r="T947" s="62"/>
      <c r="U947" s="62"/>
      <c r="V947" s="62"/>
      <c r="W947" s="62"/>
      <c r="X947" s="62"/>
      <c r="Y947" s="62"/>
      <c r="Z947" s="62"/>
    </row>
    <row r="948" ht="25.5" customHeight="1">
      <c r="A948" s="62"/>
      <c r="B948" s="62"/>
      <c r="C948" s="316"/>
      <c r="D948" s="62"/>
      <c r="E948" s="62"/>
      <c r="F948" s="62"/>
      <c r="G948" s="316"/>
      <c r="H948" s="62"/>
      <c r="I948" s="316"/>
      <c r="J948" s="62"/>
      <c r="K948" s="62"/>
      <c r="L948" s="62"/>
      <c r="M948" s="62"/>
      <c r="N948" s="62"/>
      <c r="O948" s="62"/>
      <c r="P948" s="62"/>
      <c r="Q948" s="62"/>
      <c r="R948" s="62"/>
      <c r="S948" s="62"/>
      <c r="T948" s="62"/>
      <c r="U948" s="62"/>
      <c r="V948" s="62"/>
      <c r="W948" s="62"/>
      <c r="X948" s="62"/>
      <c r="Y948" s="62"/>
      <c r="Z948" s="62"/>
    </row>
    <row r="949" ht="25.5" customHeight="1">
      <c r="A949" s="62"/>
      <c r="B949" s="62"/>
      <c r="C949" s="316"/>
      <c r="D949" s="62"/>
      <c r="E949" s="62"/>
      <c r="F949" s="62"/>
      <c r="G949" s="316"/>
      <c r="H949" s="62"/>
      <c r="I949" s="316"/>
      <c r="J949" s="62"/>
      <c r="K949" s="62"/>
      <c r="L949" s="62"/>
      <c r="M949" s="62"/>
      <c r="N949" s="62"/>
      <c r="O949" s="62"/>
      <c r="P949" s="62"/>
      <c r="Q949" s="62"/>
      <c r="R949" s="62"/>
      <c r="S949" s="62"/>
      <c r="T949" s="62"/>
      <c r="U949" s="62"/>
      <c r="V949" s="62"/>
      <c r="W949" s="62"/>
      <c r="X949" s="62"/>
      <c r="Y949" s="62"/>
      <c r="Z949" s="62"/>
    </row>
    <row r="950" ht="25.5" customHeight="1">
      <c r="A950" s="62"/>
      <c r="B950" s="62"/>
      <c r="C950" s="316"/>
      <c r="D950" s="62"/>
      <c r="E950" s="62"/>
      <c r="F950" s="62"/>
      <c r="G950" s="316"/>
      <c r="H950" s="62"/>
      <c r="I950" s="316"/>
      <c r="J950" s="62"/>
      <c r="K950" s="62"/>
      <c r="L950" s="62"/>
      <c r="M950" s="62"/>
      <c r="N950" s="62"/>
      <c r="O950" s="62"/>
      <c r="P950" s="62"/>
      <c r="Q950" s="62"/>
      <c r="R950" s="62"/>
      <c r="S950" s="62"/>
      <c r="T950" s="62"/>
      <c r="U950" s="62"/>
      <c r="V950" s="62"/>
      <c r="W950" s="62"/>
      <c r="X950" s="62"/>
      <c r="Y950" s="62"/>
      <c r="Z950" s="62"/>
    </row>
    <row r="951" ht="25.5" customHeight="1">
      <c r="A951" s="62"/>
      <c r="B951" s="62"/>
      <c r="C951" s="316"/>
      <c r="D951" s="62"/>
      <c r="E951" s="62"/>
      <c r="F951" s="62"/>
      <c r="G951" s="316"/>
      <c r="H951" s="62"/>
      <c r="I951" s="316"/>
      <c r="J951" s="62"/>
      <c r="K951" s="62"/>
      <c r="L951" s="62"/>
      <c r="M951" s="62"/>
      <c r="N951" s="62"/>
      <c r="O951" s="62"/>
      <c r="P951" s="62"/>
      <c r="Q951" s="62"/>
      <c r="R951" s="62"/>
      <c r="S951" s="62"/>
      <c r="T951" s="62"/>
      <c r="U951" s="62"/>
      <c r="V951" s="62"/>
      <c r="W951" s="62"/>
      <c r="X951" s="62"/>
      <c r="Y951" s="62"/>
      <c r="Z951" s="62"/>
    </row>
    <row r="952" ht="25.5" customHeight="1">
      <c r="A952" s="62"/>
      <c r="B952" s="62"/>
      <c r="C952" s="316"/>
      <c r="D952" s="62"/>
      <c r="E952" s="62"/>
      <c r="F952" s="62"/>
      <c r="G952" s="316"/>
      <c r="H952" s="62"/>
      <c r="I952" s="316"/>
      <c r="J952" s="62"/>
      <c r="K952" s="62"/>
      <c r="L952" s="62"/>
      <c r="M952" s="62"/>
      <c r="N952" s="62"/>
      <c r="O952" s="62"/>
      <c r="P952" s="62"/>
      <c r="Q952" s="62"/>
      <c r="R952" s="62"/>
      <c r="S952" s="62"/>
      <c r="T952" s="62"/>
      <c r="U952" s="62"/>
      <c r="V952" s="62"/>
      <c r="W952" s="62"/>
      <c r="X952" s="62"/>
      <c r="Y952" s="62"/>
      <c r="Z952" s="62"/>
    </row>
    <row r="953" ht="25.5" customHeight="1">
      <c r="A953" s="62"/>
      <c r="B953" s="62"/>
      <c r="C953" s="316"/>
      <c r="D953" s="62"/>
      <c r="E953" s="62"/>
      <c r="F953" s="62"/>
      <c r="G953" s="316"/>
      <c r="H953" s="62"/>
      <c r="I953" s="316"/>
      <c r="J953" s="62"/>
      <c r="K953" s="62"/>
      <c r="L953" s="62"/>
      <c r="M953" s="62"/>
      <c r="N953" s="62"/>
      <c r="O953" s="62"/>
      <c r="P953" s="62"/>
      <c r="Q953" s="62"/>
      <c r="R953" s="62"/>
      <c r="S953" s="62"/>
      <c r="T953" s="62"/>
      <c r="U953" s="62"/>
      <c r="V953" s="62"/>
      <c r="W953" s="62"/>
      <c r="X953" s="62"/>
      <c r="Y953" s="62"/>
      <c r="Z953" s="62"/>
    </row>
    <row r="954" ht="25.5" customHeight="1">
      <c r="A954" s="62"/>
      <c r="B954" s="62"/>
      <c r="C954" s="316"/>
      <c r="D954" s="62"/>
      <c r="E954" s="62"/>
      <c r="F954" s="62"/>
      <c r="G954" s="316"/>
      <c r="H954" s="62"/>
      <c r="I954" s="316"/>
      <c r="J954" s="62"/>
      <c r="K954" s="62"/>
      <c r="L954" s="62"/>
      <c r="M954" s="62"/>
      <c r="N954" s="62"/>
      <c r="O954" s="62"/>
      <c r="P954" s="62"/>
      <c r="Q954" s="62"/>
      <c r="R954" s="62"/>
      <c r="S954" s="62"/>
      <c r="T954" s="62"/>
      <c r="U954" s="62"/>
      <c r="V954" s="62"/>
      <c r="W954" s="62"/>
      <c r="X954" s="62"/>
      <c r="Y954" s="62"/>
      <c r="Z954" s="62"/>
    </row>
    <row r="955" ht="25.5" customHeight="1">
      <c r="A955" s="62"/>
      <c r="B955" s="62"/>
      <c r="C955" s="316"/>
      <c r="D955" s="62"/>
      <c r="E955" s="62"/>
      <c r="F955" s="62"/>
      <c r="G955" s="316"/>
      <c r="H955" s="62"/>
      <c r="I955" s="316"/>
      <c r="J955" s="62"/>
      <c r="K955" s="62"/>
      <c r="L955" s="62"/>
      <c r="M955" s="62"/>
      <c r="N955" s="62"/>
      <c r="O955" s="62"/>
      <c r="P955" s="62"/>
      <c r="Q955" s="62"/>
      <c r="R955" s="62"/>
      <c r="S955" s="62"/>
      <c r="T955" s="62"/>
      <c r="U955" s="62"/>
      <c r="V955" s="62"/>
      <c r="W955" s="62"/>
      <c r="X955" s="62"/>
      <c r="Y955" s="62"/>
      <c r="Z955" s="62"/>
    </row>
    <row r="956" ht="25.5" customHeight="1">
      <c r="A956" s="62"/>
      <c r="B956" s="62"/>
      <c r="C956" s="316"/>
      <c r="D956" s="62"/>
      <c r="E956" s="62"/>
      <c r="F956" s="62"/>
      <c r="G956" s="316"/>
      <c r="H956" s="62"/>
      <c r="I956" s="316"/>
      <c r="J956" s="62"/>
      <c r="K956" s="62"/>
      <c r="L956" s="62"/>
      <c r="M956" s="62"/>
      <c r="N956" s="62"/>
      <c r="O956" s="62"/>
      <c r="P956" s="62"/>
      <c r="Q956" s="62"/>
      <c r="R956" s="62"/>
      <c r="S956" s="62"/>
      <c r="T956" s="62"/>
      <c r="U956" s="62"/>
      <c r="V956" s="62"/>
      <c r="W956" s="62"/>
      <c r="X956" s="62"/>
      <c r="Y956" s="62"/>
      <c r="Z956" s="62"/>
    </row>
    <row r="957" ht="25.5" customHeight="1">
      <c r="A957" s="62"/>
      <c r="B957" s="62"/>
      <c r="C957" s="316"/>
      <c r="D957" s="62"/>
      <c r="E957" s="62"/>
      <c r="F957" s="62"/>
      <c r="G957" s="316"/>
      <c r="H957" s="62"/>
      <c r="I957" s="316"/>
      <c r="J957" s="62"/>
      <c r="K957" s="62"/>
      <c r="L957" s="62"/>
      <c r="M957" s="62"/>
      <c r="N957" s="62"/>
      <c r="O957" s="62"/>
      <c r="P957" s="62"/>
      <c r="Q957" s="62"/>
      <c r="R957" s="62"/>
      <c r="S957" s="62"/>
      <c r="T957" s="62"/>
      <c r="U957" s="62"/>
      <c r="V957" s="62"/>
      <c r="W957" s="62"/>
      <c r="X957" s="62"/>
      <c r="Y957" s="62"/>
      <c r="Z957" s="62"/>
    </row>
    <row r="958" ht="25.5" customHeight="1">
      <c r="A958" s="62"/>
      <c r="B958" s="62"/>
      <c r="C958" s="316"/>
      <c r="D958" s="62"/>
      <c r="E958" s="62"/>
      <c r="F958" s="62"/>
      <c r="G958" s="316"/>
      <c r="H958" s="62"/>
      <c r="I958" s="316"/>
      <c r="J958" s="62"/>
      <c r="K958" s="62"/>
      <c r="L958" s="62"/>
      <c r="M958" s="62"/>
      <c r="N958" s="62"/>
      <c r="O958" s="62"/>
      <c r="P958" s="62"/>
      <c r="Q958" s="62"/>
      <c r="R958" s="62"/>
      <c r="S958" s="62"/>
      <c r="T958" s="62"/>
      <c r="U958" s="62"/>
      <c r="V958" s="62"/>
      <c r="W958" s="62"/>
      <c r="X958" s="62"/>
      <c r="Y958" s="62"/>
      <c r="Z958" s="62"/>
    </row>
    <row r="959" ht="25.5" customHeight="1">
      <c r="A959" s="62"/>
      <c r="B959" s="62"/>
      <c r="C959" s="316"/>
      <c r="D959" s="62"/>
      <c r="E959" s="62"/>
      <c r="F959" s="62"/>
      <c r="G959" s="316"/>
      <c r="H959" s="62"/>
      <c r="I959" s="316"/>
      <c r="J959" s="62"/>
      <c r="K959" s="62"/>
      <c r="L959" s="62"/>
      <c r="M959" s="62"/>
      <c r="N959" s="62"/>
      <c r="O959" s="62"/>
      <c r="P959" s="62"/>
      <c r="Q959" s="62"/>
      <c r="R959" s="62"/>
      <c r="S959" s="62"/>
      <c r="T959" s="62"/>
      <c r="U959" s="62"/>
      <c r="V959" s="62"/>
      <c r="W959" s="62"/>
      <c r="X959" s="62"/>
      <c r="Y959" s="62"/>
      <c r="Z959" s="62"/>
    </row>
    <row r="960" ht="25.5" customHeight="1">
      <c r="A960" s="62"/>
      <c r="B960" s="62"/>
      <c r="C960" s="316"/>
      <c r="D960" s="62"/>
      <c r="E960" s="62"/>
      <c r="F960" s="62"/>
      <c r="G960" s="316"/>
      <c r="H960" s="62"/>
      <c r="I960" s="316"/>
      <c r="J960" s="62"/>
      <c r="K960" s="62"/>
      <c r="L960" s="62"/>
      <c r="M960" s="62"/>
      <c r="N960" s="62"/>
      <c r="O960" s="62"/>
      <c r="P960" s="62"/>
      <c r="Q960" s="62"/>
      <c r="R960" s="62"/>
      <c r="S960" s="62"/>
      <c r="T960" s="62"/>
      <c r="U960" s="62"/>
      <c r="V960" s="62"/>
      <c r="W960" s="62"/>
      <c r="X960" s="62"/>
      <c r="Y960" s="62"/>
      <c r="Z960" s="62"/>
    </row>
    <row r="961" ht="25.5" customHeight="1">
      <c r="A961" s="62"/>
      <c r="B961" s="62"/>
      <c r="C961" s="316"/>
      <c r="D961" s="62"/>
      <c r="E961" s="62"/>
      <c r="F961" s="62"/>
      <c r="G961" s="316"/>
      <c r="H961" s="62"/>
      <c r="I961" s="316"/>
      <c r="J961" s="62"/>
      <c r="K961" s="62"/>
      <c r="L961" s="62"/>
      <c r="M961" s="62"/>
      <c r="N961" s="62"/>
      <c r="O961" s="62"/>
      <c r="P961" s="62"/>
      <c r="Q961" s="62"/>
      <c r="R961" s="62"/>
      <c r="S961" s="62"/>
      <c r="T961" s="62"/>
      <c r="U961" s="62"/>
      <c r="V961" s="62"/>
      <c r="W961" s="62"/>
      <c r="X961" s="62"/>
      <c r="Y961" s="62"/>
      <c r="Z961" s="62"/>
    </row>
    <row r="962" ht="25.5" customHeight="1">
      <c r="A962" s="62"/>
      <c r="B962" s="62"/>
      <c r="C962" s="316"/>
      <c r="D962" s="62"/>
      <c r="E962" s="62"/>
      <c r="F962" s="62"/>
      <c r="G962" s="316"/>
      <c r="H962" s="62"/>
      <c r="I962" s="316"/>
      <c r="J962" s="62"/>
      <c r="K962" s="62"/>
      <c r="L962" s="62"/>
      <c r="M962" s="62"/>
      <c r="N962" s="62"/>
      <c r="O962" s="62"/>
      <c r="P962" s="62"/>
      <c r="Q962" s="62"/>
      <c r="R962" s="62"/>
      <c r="S962" s="62"/>
      <c r="T962" s="62"/>
      <c r="U962" s="62"/>
      <c r="V962" s="62"/>
      <c r="W962" s="62"/>
      <c r="X962" s="62"/>
      <c r="Y962" s="62"/>
      <c r="Z962" s="62"/>
    </row>
    <row r="963" ht="25.5" customHeight="1">
      <c r="A963" s="62"/>
      <c r="B963" s="62"/>
      <c r="C963" s="316"/>
      <c r="D963" s="62"/>
      <c r="E963" s="62"/>
      <c r="F963" s="62"/>
      <c r="G963" s="316"/>
      <c r="H963" s="62"/>
      <c r="I963" s="316"/>
      <c r="J963" s="62"/>
      <c r="K963" s="62"/>
      <c r="L963" s="62"/>
      <c r="M963" s="62"/>
      <c r="N963" s="62"/>
      <c r="O963" s="62"/>
      <c r="P963" s="62"/>
      <c r="Q963" s="62"/>
      <c r="R963" s="62"/>
      <c r="S963" s="62"/>
      <c r="T963" s="62"/>
      <c r="U963" s="62"/>
      <c r="V963" s="62"/>
      <c r="W963" s="62"/>
      <c r="X963" s="62"/>
      <c r="Y963" s="62"/>
      <c r="Z963" s="62"/>
    </row>
    <row r="964" ht="25.5" customHeight="1">
      <c r="A964" s="62"/>
      <c r="B964" s="62"/>
      <c r="C964" s="316"/>
      <c r="D964" s="62"/>
      <c r="E964" s="62"/>
      <c r="F964" s="62"/>
      <c r="G964" s="316"/>
      <c r="H964" s="62"/>
      <c r="I964" s="316"/>
      <c r="J964" s="62"/>
      <c r="K964" s="62"/>
      <c r="L964" s="62"/>
      <c r="M964" s="62"/>
      <c r="N964" s="62"/>
      <c r="O964" s="62"/>
      <c r="P964" s="62"/>
      <c r="Q964" s="62"/>
      <c r="R964" s="62"/>
      <c r="S964" s="62"/>
      <c r="T964" s="62"/>
      <c r="U964" s="62"/>
      <c r="V964" s="62"/>
      <c r="W964" s="62"/>
      <c r="X964" s="62"/>
      <c r="Y964" s="62"/>
      <c r="Z964" s="62"/>
    </row>
    <row r="965" ht="25.5" customHeight="1">
      <c r="A965" s="62"/>
      <c r="B965" s="62"/>
      <c r="C965" s="316"/>
      <c r="D965" s="62"/>
      <c r="E965" s="62"/>
      <c r="F965" s="62"/>
      <c r="G965" s="316"/>
      <c r="H965" s="62"/>
      <c r="I965" s="316"/>
      <c r="J965" s="62"/>
      <c r="K965" s="62"/>
      <c r="L965" s="62"/>
      <c r="M965" s="62"/>
      <c r="N965" s="62"/>
      <c r="O965" s="62"/>
      <c r="P965" s="62"/>
      <c r="Q965" s="62"/>
      <c r="R965" s="62"/>
      <c r="S965" s="62"/>
      <c r="T965" s="62"/>
      <c r="U965" s="62"/>
      <c r="V965" s="62"/>
      <c r="W965" s="62"/>
      <c r="X965" s="62"/>
      <c r="Y965" s="62"/>
      <c r="Z965" s="62"/>
    </row>
    <row r="966" ht="25.5" customHeight="1">
      <c r="A966" s="62"/>
      <c r="B966" s="62"/>
      <c r="C966" s="316"/>
      <c r="D966" s="62"/>
      <c r="E966" s="62"/>
      <c r="F966" s="62"/>
      <c r="G966" s="316"/>
      <c r="H966" s="62"/>
      <c r="I966" s="316"/>
      <c r="J966" s="62"/>
      <c r="K966" s="62"/>
      <c r="L966" s="62"/>
      <c r="M966" s="62"/>
      <c r="N966" s="62"/>
      <c r="O966" s="62"/>
      <c r="P966" s="62"/>
      <c r="Q966" s="62"/>
      <c r="R966" s="62"/>
      <c r="S966" s="62"/>
      <c r="T966" s="62"/>
      <c r="U966" s="62"/>
      <c r="V966" s="62"/>
      <c r="W966" s="62"/>
      <c r="X966" s="62"/>
      <c r="Y966" s="62"/>
      <c r="Z966" s="62"/>
    </row>
    <row r="967" ht="25.5" customHeight="1">
      <c r="A967" s="62"/>
      <c r="B967" s="62"/>
      <c r="C967" s="316"/>
      <c r="D967" s="62"/>
      <c r="E967" s="62"/>
      <c r="F967" s="62"/>
      <c r="G967" s="316"/>
      <c r="H967" s="62"/>
      <c r="I967" s="316"/>
      <c r="J967" s="62"/>
      <c r="K967" s="62"/>
      <c r="L967" s="62"/>
      <c r="M967" s="62"/>
      <c r="N967" s="62"/>
      <c r="O967" s="62"/>
      <c r="P967" s="62"/>
      <c r="Q967" s="62"/>
      <c r="R967" s="62"/>
      <c r="S967" s="62"/>
      <c r="T967" s="62"/>
      <c r="U967" s="62"/>
      <c r="V967" s="62"/>
      <c r="W967" s="62"/>
      <c r="X967" s="62"/>
      <c r="Y967" s="62"/>
      <c r="Z967" s="62"/>
    </row>
    <row r="968" ht="25.5" customHeight="1">
      <c r="A968" s="62"/>
      <c r="B968" s="62"/>
      <c r="C968" s="316"/>
      <c r="D968" s="62"/>
      <c r="E968" s="62"/>
      <c r="F968" s="62"/>
      <c r="G968" s="316"/>
      <c r="H968" s="62"/>
      <c r="I968" s="316"/>
      <c r="J968" s="62"/>
      <c r="K968" s="62"/>
      <c r="L968" s="62"/>
      <c r="M968" s="62"/>
      <c r="N968" s="62"/>
      <c r="O968" s="62"/>
      <c r="P968" s="62"/>
      <c r="Q968" s="62"/>
      <c r="R968" s="62"/>
      <c r="S968" s="62"/>
      <c r="T968" s="62"/>
      <c r="U968" s="62"/>
      <c r="V968" s="62"/>
      <c r="W968" s="62"/>
      <c r="X968" s="62"/>
      <c r="Y968" s="62"/>
      <c r="Z968" s="62"/>
    </row>
    <row r="969" ht="25.5" customHeight="1">
      <c r="A969" s="62"/>
      <c r="B969" s="62"/>
      <c r="C969" s="316"/>
      <c r="D969" s="62"/>
      <c r="E969" s="62"/>
      <c r="F969" s="62"/>
      <c r="G969" s="316"/>
      <c r="H969" s="62"/>
      <c r="I969" s="316"/>
      <c r="J969" s="62"/>
      <c r="K969" s="62"/>
      <c r="L969" s="62"/>
      <c r="M969" s="62"/>
      <c r="N969" s="62"/>
      <c r="O969" s="62"/>
      <c r="P969" s="62"/>
      <c r="Q969" s="62"/>
      <c r="R969" s="62"/>
      <c r="S969" s="62"/>
      <c r="T969" s="62"/>
      <c r="U969" s="62"/>
      <c r="V969" s="62"/>
      <c r="W969" s="62"/>
      <c r="X969" s="62"/>
      <c r="Y969" s="62"/>
      <c r="Z969" s="62"/>
    </row>
    <row r="970" ht="25.5" customHeight="1">
      <c r="A970" s="62"/>
      <c r="B970" s="62"/>
      <c r="C970" s="316"/>
      <c r="D970" s="62"/>
      <c r="E970" s="62"/>
      <c r="F970" s="62"/>
      <c r="G970" s="316"/>
      <c r="H970" s="62"/>
      <c r="I970" s="316"/>
      <c r="J970" s="62"/>
      <c r="K970" s="62"/>
      <c r="L970" s="62"/>
      <c r="M970" s="62"/>
      <c r="N970" s="62"/>
      <c r="O970" s="62"/>
      <c r="P970" s="62"/>
      <c r="Q970" s="62"/>
      <c r="R970" s="62"/>
      <c r="S970" s="62"/>
      <c r="T970" s="62"/>
      <c r="U970" s="62"/>
      <c r="V970" s="62"/>
      <c r="W970" s="62"/>
      <c r="X970" s="62"/>
      <c r="Y970" s="62"/>
      <c r="Z970" s="62"/>
    </row>
    <row r="971" ht="25.5" customHeight="1">
      <c r="A971" s="62"/>
      <c r="B971" s="62"/>
      <c r="C971" s="316"/>
      <c r="D971" s="62"/>
      <c r="E971" s="62"/>
      <c r="F971" s="62"/>
      <c r="G971" s="316"/>
      <c r="H971" s="62"/>
      <c r="I971" s="316"/>
      <c r="J971" s="62"/>
      <c r="K971" s="62"/>
      <c r="L971" s="62"/>
      <c r="M971" s="62"/>
      <c r="N971" s="62"/>
      <c r="O971" s="62"/>
      <c r="P971" s="62"/>
      <c r="Q971" s="62"/>
      <c r="R971" s="62"/>
      <c r="S971" s="62"/>
      <c r="T971" s="62"/>
      <c r="U971" s="62"/>
      <c r="V971" s="62"/>
      <c r="W971" s="62"/>
      <c r="X971" s="62"/>
      <c r="Y971" s="62"/>
      <c r="Z971" s="62"/>
    </row>
    <row r="972" ht="25.5" customHeight="1">
      <c r="A972" s="62"/>
      <c r="B972" s="62"/>
      <c r="C972" s="316"/>
      <c r="D972" s="62"/>
      <c r="E972" s="62"/>
      <c r="F972" s="62"/>
      <c r="G972" s="316"/>
      <c r="H972" s="62"/>
      <c r="I972" s="316"/>
      <c r="J972" s="62"/>
      <c r="K972" s="62"/>
      <c r="L972" s="62"/>
      <c r="M972" s="62"/>
      <c r="N972" s="62"/>
      <c r="O972" s="62"/>
      <c r="P972" s="62"/>
      <c r="Q972" s="62"/>
      <c r="R972" s="62"/>
      <c r="S972" s="62"/>
      <c r="T972" s="62"/>
      <c r="U972" s="62"/>
      <c r="V972" s="62"/>
      <c r="W972" s="62"/>
      <c r="X972" s="62"/>
      <c r="Y972" s="62"/>
      <c r="Z972" s="62"/>
    </row>
    <row r="973" ht="25.5" customHeight="1">
      <c r="A973" s="62"/>
      <c r="B973" s="62"/>
      <c r="C973" s="316"/>
      <c r="D973" s="62"/>
      <c r="E973" s="62"/>
      <c r="F973" s="62"/>
      <c r="G973" s="316"/>
      <c r="H973" s="62"/>
      <c r="I973" s="316"/>
      <c r="J973" s="62"/>
      <c r="K973" s="62"/>
      <c r="L973" s="62"/>
      <c r="M973" s="62"/>
      <c r="N973" s="62"/>
      <c r="O973" s="62"/>
      <c r="P973" s="62"/>
      <c r="Q973" s="62"/>
      <c r="R973" s="62"/>
      <c r="S973" s="62"/>
      <c r="T973" s="62"/>
      <c r="U973" s="62"/>
      <c r="V973" s="62"/>
      <c r="W973" s="62"/>
      <c r="X973" s="62"/>
      <c r="Y973" s="62"/>
      <c r="Z973" s="62"/>
    </row>
    <row r="974" ht="25.5" customHeight="1">
      <c r="A974" s="62"/>
      <c r="B974" s="62"/>
      <c r="C974" s="316"/>
      <c r="D974" s="62"/>
      <c r="E974" s="62"/>
      <c r="F974" s="62"/>
      <c r="G974" s="316"/>
      <c r="H974" s="62"/>
      <c r="I974" s="316"/>
      <c r="J974" s="62"/>
      <c r="K974" s="62"/>
      <c r="L974" s="62"/>
      <c r="M974" s="62"/>
      <c r="N974" s="62"/>
      <c r="O974" s="62"/>
      <c r="P974" s="62"/>
      <c r="Q974" s="62"/>
      <c r="R974" s="62"/>
      <c r="S974" s="62"/>
      <c r="T974" s="62"/>
      <c r="U974" s="62"/>
      <c r="V974" s="62"/>
      <c r="W974" s="62"/>
      <c r="X974" s="62"/>
      <c r="Y974" s="62"/>
      <c r="Z974" s="62"/>
    </row>
    <row r="975" ht="25.5" customHeight="1">
      <c r="A975" s="62"/>
      <c r="B975" s="62"/>
      <c r="C975" s="316"/>
      <c r="D975" s="62"/>
      <c r="E975" s="62"/>
      <c r="F975" s="62"/>
      <c r="G975" s="316"/>
      <c r="H975" s="62"/>
      <c r="I975" s="316"/>
      <c r="J975" s="62"/>
      <c r="K975" s="62"/>
      <c r="L975" s="62"/>
      <c r="M975" s="62"/>
      <c r="N975" s="62"/>
      <c r="O975" s="62"/>
      <c r="P975" s="62"/>
      <c r="Q975" s="62"/>
      <c r="R975" s="62"/>
      <c r="S975" s="62"/>
      <c r="T975" s="62"/>
      <c r="U975" s="62"/>
      <c r="V975" s="62"/>
      <c r="W975" s="62"/>
      <c r="X975" s="62"/>
      <c r="Y975" s="62"/>
      <c r="Z975" s="62"/>
    </row>
    <row r="976" ht="25.5" customHeight="1">
      <c r="A976" s="62"/>
      <c r="B976" s="62"/>
      <c r="C976" s="316"/>
      <c r="D976" s="62"/>
      <c r="E976" s="62"/>
      <c r="F976" s="62"/>
      <c r="G976" s="316"/>
      <c r="H976" s="62"/>
      <c r="I976" s="316"/>
      <c r="J976" s="62"/>
      <c r="K976" s="62"/>
      <c r="L976" s="62"/>
      <c r="M976" s="62"/>
      <c r="N976" s="62"/>
      <c r="O976" s="62"/>
      <c r="P976" s="62"/>
      <c r="Q976" s="62"/>
      <c r="R976" s="62"/>
      <c r="S976" s="62"/>
      <c r="T976" s="62"/>
      <c r="U976" s="62"/>
      <c r="V976" s="62"/>
      <c r="W976" s="62"/>
      <c r="X976" s="62"/>
      <c r="Y976" s="62"/>
      <c r="Z976" s="62"/>
    </row>
    <row r="977" ht="25.5" customHeight="1">
      <c r="A977" s="62"/>
      <c r="B977" s="62"/>
      <c r="C977" s="316"/>
      <c r="D977" s="62"/>
      <c r="E977" s="62"/>
      <c r="F977" s="62"/>
      <c r="G977" s="316"/>
      <c r="H977" s="62"/>
      <c r="I977" s="316"/>
      <c r="J977" s="62"/>
      <c r="K977" s="62"/>
      <c r="L977" s="62"/>
      <c r="M977" s="62"/>
      <c r="N977" s="62"/>
      <c r="O977" s="62"/>
      <c r="P977" s="62"/>
      <c r="Q977" s="62"/>
      <c r="R977" s="62"/>
      <c r="S977" s="62"/>
      <c r="T977" s="62"/>
      <c r="U977" s="62"/>
      <c r="V977" s="62"/>
      <c r="W977" s="62"/>
      <c r="X977" s="62"/>
      <c r="Y977" s="62"/>
      <c r="Z977" s="62"/>
    </row>
    <row r="978" ht="25.5" customHeight="1">
      <c r="A978" s="62"/>
      <c r="B978" s="62"/>
      <c r="C978" s="316"/>
      <c r="D978" s="62"/>
      <c r="E978" s="62"/>
      <c r="F978" s="62"/>
      <c r="G978" s="316"/>
      <c r="H978" s="62"/>
      <c r="I978" s="316"/>
      <c r="J978" s="62"/>
      <c r="K978" s="62"/>
      <c r="L978" s="62"/>
      <c r="M978" s="62"/>
      <c r="N978" s="62"/>
      <c r="O978" s="62"/>
      <c r="P978" s="62"/>
      <c r="Q978" s="62"/>
      <c r="R978" s="62"/>
      <c r="S978" s="62"/>
      <c r="T978" s="62"/>
      <c r="U978" s="62"/>
      <c r="V978" s="62"/>
      <c r="W978" s="62"/>
      <c r="X978" s="62"/>
      <c r="Y978" s="62"/>
      <c r="Z978" s="62"/>
    </row>
    <row r="979" ht="25.5" customHeight="1">
      <c r="A979" s="62"/>
      <c r="B979" s="62"/>
      <c r="C979" s="316"/>
      <c r="D979" s="62"/>
      <c r="E979" s="62"/>
      <c r="F979" s="62"/>
      <c r="G979" s="316"/>
      <c r="H979" s="62"/>
      <c r="I979" s="316"/>
      <c r="J979" s="62"/>
      <c r="K979" s="62"/>
      <c r="L979" s="62"/>
      <c r="M979" s="62"/>
      <c r="N979" s="62"/>
      <c r="O979" s="62"/>
      <c r="P979" s="62"/>
      <c r="Q979" s="62"/>
      <c r="R979" s="62"/>
      <c r="S979" s="62"/>
      <c r="T979" s="62"/>
      <c r="U979" s="62"/>
      <c r="V979" s="62"/>
      <c r="W979" s="62"/>
      <c r="X979" s="62"/>
      <c r="Y979" s="62"/>
      <c r="Z979" s="62"/>
    </row>
    <row r="980" ht="25.5" customHeight="1">
      <c r="A980" s="62"/>
      <c r="B980" s="62"/>
      <c r="C980" s="316"/>
      <c r="D980" s="62"/>
      <c r="E980" s="62"/>
      <c r="F980" s="62"/>
      <c r="G980" s="316"/>
      <c r="H980" s="62"/>
      <c r="I980" s="316"/>
      <c r="J980" s="62"/>
      <c r="K980" s="62"/>
      <c r="L980" s="62"/>
      <c r="M980" s="62"/>
      <c r="N980" s="62"/>
      <c r="O980" s="62"/>
      <c r="P980" s="62"/>
      <c r="Q980" s="62"/>
      <c r="R980" s="62"/>
      <c r="S980" s="62"/>
      <c r="T980" s="62"/>
      <c r="U980" s="62"/>
      <c r="V980" s="62"/>
      <c r="W980" s="62"/>
      <c r="X980" s="62"/>
      <c r="Y980" s="62"/>
      <c r="Z980" s="62"/>
    </row>
    <row r="981" ht="25.5" customHeight="1">
      <c r="A981" s="62"/>
      <c r="B981" s="62"/>
      <c r="C981" s="316"/>
      <c r="D981" s="62"/>
      <c r="E981" s="62"/>
      <c r="F981" s="62"/>
      <c r="G981" s="316"/>
      <c r="H981" s="62"/>
      <c r="I981" s="316"/>
      <c r="J981" s="62"/>
      <c r="K981" s="62"/>
      <c r="L981" s="62"/>
      <c r="M981" s="62"/>
      <c r="N981" s="62"/>
      <c r="O981" s="62"/>
      <c r="P981" s="62"/>
      <c r="Q981" s="62"/>
      <c r="R981" s="62"/>
      <c r="S981" s="62"/>
      <c r="T981" s="62"/>
      <c r="U981" s="62"/>
      <c r="V981" s="62"/>
      <c r="W981" s="62"/>
      <c r="X981" s="62"/>
      <c r="Y981" s="62"/>
      <c r="Z981" s="62"/>
    </row>
    <row r="982" ht="25.5" customHeight="1">
      <c r="A982" s="62"/>
      <c r="B982" s="62"/>
      <c r="C982" s="316"/>
      <c r="D982" s="62"/>
      <c r="E982" s="62"/>
      <c r="F982" s="62"/>
      <c r="G982" s="316"/>
      <c r="H982" s="62"/>
      <c r="I982" s="316"/>
      <c r="J982" s="62"/>
      <c r="K982" s="62"/>
      <c r="L982" s="62"/>
      <c r="M982" s="62"/>
      <c r="N982" s="62"/>
      <c r="O982" s="62"/>
      <c r="P982" s="62"/>
      <c r="Q982" s="62"/>
      <c r="R982" s="62"/>
      <c r="S982" s="62"/>
      <c r="T982" s="62"/>
      <c r="U982" s="62"/>
      <c r="V982" s="62"/>
      <c r="W982" s="62"/>
      <c r="X982" s="62"/>
      <c r="Y982" s="62"/>
      <c r="Z982" s="62"/>
    </row>
    <row r="983" ht="25.5" customHeight="1">
      <c r="A983" s="62"/>
      <c r="B983" s="62"/>
      <c r="C983" s="316"/>
      <c r="D983" s="62"/>
      <c r="E983" s="62"/>
      <c r="F983" s="62"/>
      <c r="G983" s="316"/>
      <c r="H983" s="62"/>
      <c r="I983" s="316"/>
      <c r="J983" s="62"/>
      <c r="K983" s="62"/>
      <c r="L983" s="62"/>
      <c r="M983" s="62"/>
      <c r="N983" s="62"/>
      <c r="O983" s="62"/>
      <c r="P983" s="62"/>
      <c r="Q983" s="62"/>
      <c r="R983" s="62"/>
      <c r="S983" s="62"/>
      <c r="T983" s="62"/>
      <c r="U983" s="62"/>
      <c r="V983" s="62"/>
      <c r="W983" s="62"/>
      <c r="X983" s="62"/>
      <c r="Y983" s="62"/>
      <c r="Z983" s="62"/>
    </row>
    <row r="984" ht="25.5" customHeight="1">
      <c r="A984" s="62"/>
      <c r="B984" s="62"/>
      <c r="C984" s="316"/>
      <c r="D984" s="62"/>
      <c r="E984" s="62"/>
      <c r="F984" s="62"/>
      <c r="G984" s="316"/>
      <c r="H984" s="62"/>
      <c r="I984" s="316"/>
      <c r="J984" s="62"/>
      <c r="K984" s="62"/>
      <c r="L984" s="62"/>
      <c r="M984" s="62"/>
      <c r="N984" s="62"/>
      <c r="O984" s="62"/>
      <c r="P984" s="62"/>
      <c r="Q984" s="62"/>
      <c r="R984" s="62"/>
      <c r="S984" s="62"/>
      <c r="T984" s="62"/>
      <c r="U984" s="62"/>
      <c r="V984" s="62"/>
      <c r="W984" s="62"/>
      <c r="X984" s="62"/>
      <c r="Y984" s="62"/>
      <c r="Z984" s="62"/>
    </row>
    <row r="985" ht="25.5" customHeight="1">
      <c r="A985" s="62"/>
      <c r="B985" s="62"/>
      <c r="C985" s="316"/>
      <c r="D985" s="62"/>
      <c r="E985" s="62"/>
      <c r="F985" s="62"/>
      <c r="G985" s="316"/>
      <c r="H985" s="62"/>
      <c r="I985" s="316"/>
      <c r="J985" s="62"/>
      <c r="K985" s="62"/>
      <c r="L985" s="62"/>
      <c r="M985" s="62"/>
      <c r="N985" s="62"/>
      <c r="O985" s="62"/>
      <c r="P985" s="62"/>
      <c r="Q985" s="62"/>
      <c r="R985" s="62"/>
      <c r="S985" s="62"/>
      <c r="T985" s="62"/>
      <c r="U985" s="62"/>
      <c r="V985" s="62"/>
      <c r="W985" s="62"/>
      <c r="X985" s="62"/>
      <c r="Y985" s="62"/>
      <c r="Z985" s="62"/>
    </row>
    <row r="986" ht="25.5" customHeight="1">
      <c r="A986" s="62"/>
      <c r="B986" s="62"/>
      <c r="C986" s="316"/>
      <c r="D986" s="62"/>
      <c r="E986" s="62"/>
      <c r="F986" s="62"/>
      <c r="G986" s="316"/>
      <c r="H986" s="62"/>
      <c r="I986" s="316"/>
      <c r="J986" s="62"/>
      <c r="K986" s="62"/>
      <c r="L986" s="62"/>
      <c r="M986" s="62"/>
      <c r="N986" s="62"/>
      <c r="O986" s="62"/>
      <c r="P986" s="62"/>
      <c r="Q986" s="62"/>
      <c r="R986" s="62"/>
      <c r="S986" s="62"/>
      <c r="T986" s="62"/>
      <c r="U986" s="62"/>
      <c r="V986" s="62"/>
      <c r="W986" s="62"/>
      <c r="X986" s="62"/>
      <c r="Y986" s="62"/>
      <c r="Z986" s="62"/>
    </row>
    <row r="987" ht="25.5" customHeight="1">
      <c r="A987" s="62"/>
      <c r="B987" s="62"/>
      <c r="C987" s="316"/>
      <c r="D987" s="62"/>
      <c r="E987" s="62"/>
      <c r="F987" s="62"/>
      <c r="G987" s="316"/>
      <c r="H987" s="62"/>
      <c r="I987" s="316"/>
      <c r="J987" s="62"/>
      <c r="K987" s="62"/>
      <c r="L987" s="62"/>
      <c r="M987" s="62"/>
      <c r="N987" s="62"/>
      <c r="O987" s="62"/>
      <c r="P987" s="62"/>
      <c r="Q987" s="62"/>
      <c r="R987" s="62"/>
      <c r="S987" s="62"/>
      <c r="T987" s="62"/>
      <c r="U987" s="62"/>
      <c r="V987" s="62"/>
      <c r="W987" s="62"/>
      <c r="X987" s="62"/>
      <c r="Y987" s="62"/>
      <c r="Z987" s="62"/>
    </row>
    <row r="988" ht="25.5" customHeight="1">
      <c r="A988" s="62"/>
      <c r="B988" s="62"/>
      <c r="C988" s="316"/>
      <c r="D988" s="62"/>
      <c r="E988" s="62"/>
      <c r="F988" s="62"/>
      <c r="G988" s="316"/>
      <c r="H988" s="62"/>
      <c r="I988" s="316"/>
      <c r="J988" s="62"/>
      <c r="K988" s="62"/>
      <c r="L988" s="62"/>
      <c r="M988" s="62"/>
      <c r="N988" s="62"/>
      <c r="O988" s="62"/>
      <c r="P988" s="62"/>
      <c r="Q988" s="62"/>
      <c r="R988" s="62"/>
      <c r="S988" s="62"/>
      <c r="T988" s="62"/>
      <c r="U988" s="62"/>
      <c r="V988" s="62"/>
      <c r="W988" s="62"/>
      <c r="X988" s="62"/>
      <c r="Y988" s="62"/>
      <c r="Z988" s="62"/>
    </row>
    <row r="989" ht="25.5" customHeight="1">
      <c r="A989" s="62"/>
      <c r="B989" s="62"/>
      <c r="C989" s="316"/>
      <c r="D989" s="62"/>
      <c r="E989" s="62"/>
      <c r="F989" s="62"/>
      <c r="G989" s="316"/>
      <c r="H989" s="62"/>
      <c r="I989" s="316"/>
      <c r="J989" s="62"/>
      <c r="K989" s="62"/>
      <c r="L989" s="62"/>
      <c r="M989" s="62"/>
      <c r="N989" s="62"/>
      <c r="O989" s="62"/>
      <c r="P989" s="62"/>
      <c r="Q989" s="62"/>
      <c r="R989" s="62"/>
      <c r="S989" s="62"/>
      <c r="T989" s="62"/>
      <c r="U989" s="62"/>
      <c r="V989" s="62"/>
      <c r="W989" s="62"/>
      <c r="X989" s="62"/>
      <c r="Y989" s="62"/>
      <c r="Z989" s="62"/>
    </row>
    <row r="990" ht="25.5" customHeight="1">
      <c r="A990" s="62"/>
      <c r="B990" s="62"/>
      <c r="C990" s="316"/>
      <c r="D990" s="62"/>
      <c r="E990" s="62"/>
      <c r="F990" s="62"/>
      <c r="G990" s="316"/>
      <c r="H990" s="62"/>
      <c r="I990" s="316"/>
      <c r="J990" s="62"/>
      <c r="K990" s="62"/>
      <c r="L990" s="62"/>
      <c r="M990" s="62"/>
      <c r="N990" s="62"/>
      <c r="O990" s="62"/>
      <c r="P990" s="62"/>
      <c r="Q990" s="62"/>
      <c r="R990" s="62"/>
      <c r="S990" s="62"/>
      <c r="T990" s="62"/>
      <c r="U990" s="62"/>
      <c r="V990" s="62"/>
      <c r="W990" s="62"/>
      <c r="X990" s="62"/>
      <c r="Y990" s="62"/>
      <c r="Z990" s="62"/>
    </row>
    <row r="991" ht="25.5" customHeight="1">
      <c r="A991" s="62"/>
      <c r="B991" s="62"/>
      <c r="C991" s="316"/>
      <c r="D991" s="62"/>
      <c r="E991" s="62"/>
      <c r="F991" s="62"/>
      <c r="G991" s="316"/>
      <c r="H991" s="62"/>
      <c r="I991" s="316"/>
      <c r="J991" s="62"/>
      <c r="K991" s="62"/>
      <c r="L991" s="62"/>
      <c r="M991" s="62"/>
      <c r="N991" s="62"/>
      <c r="O991" s="62"/>
      <c r="P991" s="62"/>
      <c r="Q991" s="62"/>
      <c r="R991" s="62"/>
      <c r="S991" s="62"/>
      <c r="T991" s="62"/>
      <c r="U991" s="62"/>
      <c r="V991" s="62"/>
      <c r="W991" s="62"/>
      <c r="X991" s="62"/>
      <c r="Y991" s="62"/>
      <c r="Z991" s="62"/>
    </row>
    <row r="992" ht="25.5" customHeight="1">
      <c r="A992" s="62"/>
      <c r="B992" s="62"/>
      <c r="C992" s="316"/>
      <c r="D992" s="62"/>
      <c r="E992" s="62"/>
      <c r="F992" s="62"/>
      <c r="G992" s="316"/>
      <c r="H992" s="62"/>
      <c r="I992" s="316"/>
      <c r="J992" s="62"/>
      <c r="K992" s="62"/>
      <c r="L992" s="62"/>
      <c r="M992" s="62"/>
      <c r="N992" s="62"/>
      <c r="O992" s="62"/>
      <c r="P992" s="62"/>
      <c r="Q992" s="62"/>
      <c r="R992" s="62"/>
      <c r="S992" s="62"/>
      <c r="T992" s="62"/>
      <c r="U992" s="62"/>
      <c r="V992" s="62"/>
      <c r="W992" s="62"/>
      <c r="X992" s="62"/>
      <c r="Y992" s="62"/>
      <c r="Z992" s="62"/>
    </row>
    <row r="993" ht="25.5" customHeight="1">
      <c r="A993" s="62"/>
      <c r="B993" s="62"/>
      <c r="C993" s="316"/>
      <c r="D993" s="62"/>
      <c r="E993" s="62"/>
      <c r="F993" s="62"/>
      <c r="G993" s="316"/>
      <c r="H993" s="62"/>
      <c r="I993" s="316"/>
      <c r="J993" s="62"/>
      <c r="K993" s="62"/>
      <c r="L993" s="62"/>
      <c r="M993" s="62"/>
      <c r="N993" s="62"/>
      <c r="O993" s="62"/>
      <c r="P993" s="62"/>
      <c r="Q993" s="62"/>
      <c r="R993" s="62"/>
      <c r="S993" s="62"/>
      <c r="T993" s="62"/>
      <c r="U993" s="62"/>
      <c r="V993" s="62"/>
      <c r="W993" s="62"/>
      <c r="X993" s="62"/>
      <c r="Y993" s="62"/>
      <c r="Z993" s="62"/>
    </row>
    <row r="994" ht="25.5" customHeight="1">
      <c r="A994" s="62"/>
      <c r="B994" s="62"/>
      <c r="C994" s="316"/>
      <c r="D994" s="62"/>
      <c r="E994" s="62"/>
      <c r="F994" s="62"/>
      <c r="G994" s="316"/>
      <c r="H994" s="62"/>
      <c r="I994" s="316"/>
      <c r="J994" s="62"/>
      <c r="K994" s="62"/>
      <c r="L994" s="62"/>
      <c r="M994" s="62"/>
      <c r="N994" s="62"/>
      <c r="O994" s="62"/>
      <c r="P994" s="62"/>
      <c r="Q994" s="62"/>
      <c r="R994" s="62"/>
      <c r="S994" s="62"/>
      <c r="T994" s="62"/>
      <c r="U994" s="62"/>
      <c r="V994" s="62"/>
      <c r="W994" s="62"/>
      <c r="X994" s="62"/>
      <c r="Y994" s="62"/>
      <c r="Z994" s="62"/>
    </row>
    <row r="995" ht="25.5" customHeight="1">
      <c r="A995" s="62"/>
      <c r="B995" s="62"/>
      <c r="C995" s="316"/>
      <c r="D995" s="62"/>
      <c r="E995" s="62"/>
      <c r="F995" s="62"/>
      <c r="G995" s="316"/>
      <c r="H995" s="62"/>
      <c r="I995" s="316"/>
      <c r="J995" s="62"/>
      <c r="K995" s="62"/>
      <c r="L995" s="62"/>
      <c r="M995" s="62"/>
      <c r="N995" s="62"/>
      <c r="O995" s="62"/>
      <c r="P995" s="62"/>
      <c r="Q995" s="62"/>
      <c r="R995" s="62"/>
      <c r="S995" s="62"/>
      <c r="T995" s="62"/>
      <c r="U995" s="62"/>
      <c r="V995" s="62"/>
      <c r="W995" s="62"/>
      <c r="X995" s="62"/>
      <c r="Y995" s="62"/>
      <c r="Z995" s="62"/>
    </row>
    <row r="996" ht="25.5" customHeight="1">
      <c r="A996" s="62"/>
      <c r="B996" s="62"/>
      <c r="C996" s="316"/>
      <c r="D996" s="62"/>
      <c r="E996" s="62"/>
      <c r="F996" s="62"/>
      <c r="G996" s="316"/>
      <c r="H996" s="62"/>
      <c r="I996" s="316"/>
      <c r="J996" s="62"/>
      <c r="K996" s="62"/>
      <c r="L996" s="62"/>
      <c r="M996" s="62"/>
      <c r="N996" s="62"/>
      <c r="O996" s="62"/>
      <c r="P996" s="62"/>
      <c r="Q996" s="62"/>
      <c r="R996" s="62"/>
      <c r="S996" s="62"/>
      <c r="T996" s="62"/>
      <c r="U996" s="62"/>
      <c r="V996" s="62"/>
      <c r="W996" s="62"/>
      <c r="X996" s="62"/>
      <c r="Y996" s="62"/>
      <c r="Z996" s="62"/>
    </row>
    <row r="997" ht="25.5" customHeight="1">
      <c r="A997" s="62"/>
      <c r="B997" s="62"/>
      <c r="C997" s="316"/>
      <c r="D997" s="62"/>
      <c r="E997" s="62"/>
      <c r="F997" s="62"/>
      <c r="G997" s="316"/>
      <c r="H997" s="62"/>
      <c r="I997" s="316"/>
      <c r="J997" s="62"/>
      <c r="K997" s="62"/>
      <c r="L997" s="62"/>
      <c r="M997" s="62"/>
      <c r="N997" s="62"/>
      <c r="O997" s="62"/>
      <c r="P997" s="62"/>
      <c r="Q997" s="62"/>
      <c r="R997" s="62"/>
      <c r="S997" s="62"/>
      <c r="T997" s="62"/>
      <c r="U997" s="62"/>
      <c r="V997" s="62"/>
      <c r="W997" s="62"/>
      <c r="X997" s="62"/>
      <c r="Y997" s="62"/>
      <c r="Z997" s="62"/>
    </row>
    <row r="998" ht="25.5" customHeight="1">
      <c r="A998" s="62"/>
      <c r="B998" s="62"/>
      <c r="C998" s="316"/>
      <c r="D998" s="62"/>
      <c r="E998" s="62"/>
      <c r="F998" s="62"/>
      <c r="G998" s="316"/>
      <c r="H998" s="62"/>
      <c r="I998" s="316"/>
      <c r="J998" s="62"/>
      <c r="K998" s="62"/>
      <c r="L998" s="62"/>
      <c r="M998" s="62"/>
      <c r="N998" s="62"/>
      <c r="O998" s="62"/>
      <c r="P998" s="62"/>
      <c r="Q998" s="62"/>
      <c r="R998" s="62"/>
      <c r="S998" s="62"/>
      <c r="T998" s="62"/>
      <c r="U998" s="62"/>
      <c r="V998" s="62"/>
      <c r="W998" s="62"/>
      <c r="X998" s="62"/>
      <c r="Y998" s="62"/>
      <c r="Z998" s="62"/>
    </row>
    <row r="999" ht="25.5" customHeight="1">
      <c r="A999" s="62"/>
      <c r="B999" s="62"/>
      <c r="C999" s="316"/>
      <c r="D999" s="62"/>
      <c r="E999" s="62"/>
      <c r="F999" s="62"/>
      <c r="G999" s="316"/>
      <c r="H999" s="62"/>
      <c r="I999" s="316"/>
      <c r="J999" s="62"/>
      <c r="K999" s="62"/>
      <c r="L999" s="62"/>
      <c r="M999" s="62"/>
      <c r="N999" s="62"/>
      <c r="O999" s="62"/>
      <c r="P999" s="62"/>
      <c r="Q999" s="62"/>
      <c r="R999" s="62"/>
      <c r="S999" s="62"/>
      <c r="T999" s="62"/>
      <c r="U999" s="62"/>
      <c r="V999" s="62"/>
      <c r="W999" s="62"/>
      <c r="X999" s="62"/>
      <c r="Y999" s="62"/>
      <c r="Z999" s="62"/>
    </row>
    <row r="1000" ht="25.5" customHeight="1">
      <c r="A1000" s="62"/>
      <c r="B1000" s="62"/>
      <c r="C1000" s="316"/>
      <c r="D1000" s="62"/>
      <c r="E1000" s="62"/>
      <c r="F1000" s="62"/>
      <c r="G1000" s="316"/>
      <c r="H1000" s="62"/>
      <c r="I1000" s="316"/>
      <c r="J1000" s="62"/>
      <c r="K1000" s="62"/>
      <c r="L1000" s="62"/>
      <c r="M1000" s="62"/>
      <c r="N1000" s="62"/>
      <c r="O1000" s="62"/>
      <c r="P1000" s="62"/>
      <c r="Q1000" s="62"/>
      <c r="R1000" s="62"/>
      <c r="S1000" s="62"/>
      <c r="T1000" s="62"/>
      <c r="U1000" s="62"/>
      <c r="V1000" s="62"/>
      <c r="W1000" s="62"/>
      <c r="X1000" s="62"/>
      <c r="Y1000" s="62"/>
      <c r="Z1000" s="62"/>
    </row>
  </sheetData>
  <hyperlinks>
    <hyperlink r:id="rId2" ref="D7"/>
    <hyperlink r:id="rId3" ref="L26"/>
    <hyperlink r:id="rId4" ref="L27"/>
    <hyperlink r:id="rId5" ref="L65"/>
    <hyperlink r:id="rId6" ref="L66"/>
    <hyperlink r:id="rId7" ref="L68"/>
    <hyperlink r:id="rId8" ref="L71"/>
    <hyperlink r:id="rId9" ref="L73"/>
    <hyperlink r:id="rId10" ref="L90"/>
    <hyperlink r:id="rId11" ref="L95"/>
    <hyperlink r:id="rId12" ref="L128"/>
    <hyperlink r:id="rId13" ref="I134"/>
    <hyperlink r:id="rId14" location="t-134769" ref="I135"/>
    <hyperlink r:id="rId15" ref="I139"/>
    <hyperlink r:id="rId16" ref="I140"/>
    <hyperlink r:id="rId17" ref="I141"/>
    <hyperlink r:id="rId18" ref="I142"/>
    <hyperlink r:id="rId19" ref="I144"/>
    <hyperlink r:id="rId20" ref="I146"/>
    <hyperlink r:id="rId21" ref="L153"/>
    <hyperlink r:id="rId22" ref="L160"/>
    <hyperlink r:id="rId23" ref="M165"/>
    <hyperlink r:id="rId24" ref="M166"/>
    <hyperlink r:id="rId25" ref="M167"/>
    <hyperlink r:id="rId26" ref="M168"/>
    <hyperlink r:id="rId27" ref="M169"/>
  </hyperlinks>
  <drawing r:id="rId28"/>
  <legacyDrawing r:id="rId29"/>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1" width="41.0"/>
    <col customWidth="1" min="2" max="10" width="17.44"/>
    <col customWidth="1" min="11" max="11" width="11.0"/>
    <col customWidth="1" min="12" max="14" width="17.44"/>
    <col customWidth="1" min="15" max="16" width="52.44"/>
    <col customWidth="1" min="17" max="26" width="17.44"/>
  </cols>
  <sheetData>
    <row r="1" ht="168.75" customHeight="1">
      <c r="A1" s="288" t="s">
        <v>6438</v>
      </c>
      <c r="B1" s="289" t="s">
        <v>7166</v>
      </c>
      <c r="C1" s="289" t="s">
        <v>7167</v>
      </c>
      <c r="D1" s="289" t="s">
        <v>7168</v>
      </c>
      <c r="E1" s="289" t="s">
        <v>7170</v>
      </c>
      <c r="F1" s="289" t="s">
        <v>7171</v>
      </c>
      <c r="G1" s="289" t="s">
        <v>7172</v>
      </c>
      <c r="H1" s="289" t="s">
        <v>7175</v>
      </c>
      <c r="I1" s="289" t="s">
        <v>7176</v>
      </c>
      <c r="J1" s="289" t="s">
        <v>7178</v>
      </c>
      <c r="K1" s="289" t="s">
        <v>7179</v>
      </c>
      <c r="L1" s="290" t="s">
        <v>7181</v>
      </c>
      <c r="M1" s="291" t="s">
        <v>67</v>
      </c>
      <c r="N1" s="292" t="s">
        <v>7182</v>
      </c>
      <c r="O1" s="293" t="s">
        <v>7183</v>
      </c>
      <c r="P1" s="289" t="s">
        <v>7184</v>
      </c>
      <c r="Q1" s="289" t="s">
        <v>7185</v>
      </c>
      <c r="R1" s="288"/>
      <c r="S1" s="288"/>
      <c r="T1" s="288"/>
      <c r="U1" s="288"/>
      <c r="V1" s="288"/>
      <c r="W1" s="288"/>
      <c r="X1" s="288"/>
      <c r="Y1" s="288"/>
      <c r="Z1" s="288"/>
    </row>
    <row r="2" ht="39.75" customHeight="1">
      <c r="A2" s="109" t="s">
        <v>6456</v>
      </c>
      <c r="B2" s="109" t="s">
        <v>7186</v>
      </c>
      <c r="C2" s="109" t="s">
        <v>7187</v>
      </c>
      <c r="D2" s="109" t="s">
        <v>7188</v>
      </c>
      <c r="E2" s="109" t="s">
        <v>7189</v>
      </c>
      <c r="F2" s="109" t="s">
        <v>7190</v>
      </c>
      <c r="G2" s="109" t="s">
        <v>7192</v>
      </c>
      <c r="H2" s="109" t="s">
        <v>7193</v>
      </c>
      <c r="I2" s="109" t="s">
        <v>7194</v>
      </c>
      <c r="J2" s="109" t="s">
        <v>7195</v>
      </c>
      <c r="K2" s="109" t="s">
        <v>7198</v>
      </c>
      <c r="L2" s="109" t="s">
        <v>7199</v>
      </c>
      <c r="M2" s="109"/>
      <c r="N2" s="109"/>
      <c r="O2" s="109"/>
      <c r="P2" s="109" t="s">
        <v>7201</v>
      </c>
      <c r="Q2" s="109"/>
      <c r="R2" s="109"/>
      <c r="S2" s="109"/>
      <c r="T2" s="109"/>
      <c r="U2" s="109"/>
      <c r="V2" s="109"/>
      <c r="W2" s="109"/>
      <c r="X2" s="109"/>
      <c r="Y2" s="109"/>
      <c r="Z2" s="109"/>
    </row>
    <row r="3" ht="39.75" customHeight="1">
      <c r="A3" s="109" t="s">
        <v>6456</v>
      </c>
      <c r="B3" s="109" t="s">
        <v>7202</v>
      </c>
      <c r="C3" s="109" t="s">
        <v>7204</v>
      </c>
      <c r="D3" s="109" t="s">
        <v>7205</v>
      </c>
      <c r="E3" s="109"/>
      <c r="F3" s="109"/>
      <c r="G3" s="109" t="s">
        <v>7206</v>
      </c>
      <c r="H3" s="109"/>
      <c r="I3" s="109" t="s">
        <v>7207</v>
      </c>
      <c r="J3" s="109"/>
      <c r="K3" s="109" t="s">
        <v>7208</v>
      </c>
      <c r="L3" s="109"/>
      <c r="M3" s="109"/>
      <c r="N3" s="109"/>
      <c r="O3" s="109"/>
      <c r="P3" s="109"/>
      <c r="Q3" s="109"/>
      <c r="R3" s="109"/>
      <c r="S3" s="109"/>
      <c r="T3" s="109"/>
      <c r="U3" s="109"/>
      <c r="V3" s="109"/>
      <c r="W3" s="109"/>
      <c r="X3" s="109"/>
      <c r="Y3" s="109"/>
      <c r="Z3" s="109"/>
    </row>
    <row r="4" ht="39.75" customHeight="1">
      <c r="A4" s="109" t="s">
        <v>7210</v>
      </c>
      <c r="B4" s="124" t="s">
        <v>7107</v>
      </c>
      <c r="C4" s="109"/>
      <c r="D4" s="109" t="s">
        <v>7212</v>
      </c>
      <c r="E4" s="109" t="s">
        <v>7189</v>
      </c>
      <c r="F4" s="109" t="s">
        <v>7190</v>
      </c>
      <c r="G4" s="109" t="s">
        <v>7214</v>
      </c>
      <c r="H4" s="109" t="s">
        <v>7216</v>
      </c>
      <c r="I4" s="109" t="s">
        <v>7218</v>
      </c>
      <c r="J4" s="109" t="s">
        <v>7219</v>
      </c>
      <c r="K4" s="317" t="s">
        <v>7220</v>
      </c>
      <c r="L4" s="109" t="s">
        <v>7232</v>
      </c>
      <c r="M4" s="109"/>
      <c r="N4" s="109" t="s">
        <v>7235</v>
      </c>
      <c r="O4" s="109" t="s">
        <v>7237</v>
      </c>
      <c r="P4" s="109"/>
      <c r="Q4" s="131" t="str">
        <f>HYPERLINK("https://twitter.com/dougcbsm","@dougcbsm")</f>
        <v>@dougcbsm</v>
      </c>
      <c r="R4" s="109"/>
      <c r="S4" s="109"/>
      <c r="T4" s="109"/>
      <c r="U4" s="109"/>
      <c r="V4" s="109"/>
      <c r="W4" s="109"/>
      <c r="X4" s="109"/>
      <c r="Y4" s="109"/>
      <c r="Z4" s="109"/>
    </row>
    <row r="5" ht="39.75" customHeight="1">
      <c r="A5" s="109" t="s">
        <v>7210</v>
      </c>
      <c r="B5" s="124" t="s">
        <v>7249</v>
      </c>
      <c r="C5" s="109" t="s">
        <v>7251</v>
      </c>
      <c r="D5" s="109" t="s">
        <v>7253</v>
      </c>
      <c r="E5" s="109" t="s">
        <v>7254</v>
      </c>
      <c r="F5" s="109" t="s">
        <v>7190</v>
      </c>
      <c r="G5" s="109" t="s">
        <v>7258</v>
      </c>
      <c r="H5" s="109" t="s">
        <v>7260</v>
      </c>
      <c r="I5" s="109" t="s">
        <v>7261</v>
      </c>
      <c r="J5" s="109" t="s">
        <v>7262</v>
      </c>
      <c r="K5" s="109" t="s">
        <v>7263</v>
      </c>
      <c r="L5" s="109"/>
      <c r="M5" s="109"/>
      <c r="N5" s="109"/>
      <c r="O5" s="109"/>
      <c r="P5" s="109"/>
      <c r="Q5" s="131" t="str">
        <f>HYPERLINK("https://twitter.com/leahstokes","@leahstokes")</f>
        <v>@leahstokes</v>
      </c>
      <c r="R5" s="109"/>
      <c r="S5" s="109"/>
      <c r="T5" s="109"/>
      <c r="U5" s="109"/>
      <c r="V5" s="109"/>
      <c r="W5" s="109"/>
      <c r="X5" s="109"/>
      <c r="Y5" s="109"/>
      <c r="Z5" s="109"/>
    </row>
    <row r="6" ht="39.75" customHeight="1">
      <c r="A6" s="109" t="s">
        <v>7266</v>
      </c>
      <c r="B6" s="109" t="s">
        <v>1429</v>
      </c>
      <c r="C6" s="109" t="s">
        <v>7267</v>
      </c>
      <c r="D6" s="109" t="s">
        <v>7268</v>
      </c>
      <c r="E6" s="109" t="s">
        <v>7189</v>
      </c>
      <c r="F6" s="109" t="s">
        <v>7190</v>
      </c>
      <c r="G6" s="109" t="s">
        <v>7269</v>
      </c>
      <c r="H6" s="109" t="s">
        <v>7270</v>
      </c>
      <c r="I6" s="109" t="s">
        <v>7271</v>
      </c>
      <c r="J6" s="109"/>
      <c r="K6" s="109" t="s">
        <v>7272</v>
      </c>
      <c r="L6" s="109" t="s">
        <v>7273</v>
      </c>
      <c r="M6" s="109" t="s">
        <v>7274</v>
      </c>
      <c r="N6" s="109" t="s">
        <v>7275</v>
      </c>
      <c r="O6" s="109"/>
      <c r="P6" s="109"/>
      <c r="Q6" s="131" t="str">
        <f>HYPERLINK("https://twitter.com/HiddenBrain","@HiddenBrain")</f>
        <v>@HiddenBrain</v>
      </c>
      <c r="R6" s="109"/>
      <c r="S6" s="109"/>
      <c r="T6" s="109"/>
      <c r="U6" s="109"/>
      <c r="V6" s="109"/>
      <c r="W6" s="109"/>
      <c r="X6" s="109"/>
      <c r="Y6" s="109"/>
      <c r="Z6" s="109"/>
    </row>
    <row r="7" ht="39.75" customHeight="1">
      <c r="A7" s="109" t="s">
        <v>7284</v>
      </c>
      <c r="B7" s="109" t="s">
        <v>7286</v>
      </c>
      <c r="C7" s="109" t="s">
        <v>7287</v>
      </c>
      <c r="D7" s="109" t="s">
        <v>7288</v>
      </c>
      <c r="E7" s="109" t="s">
        <v>7254</v>
      </c>
      <c r="F7" s="109" t="s">
        <v>7190</v>
      </c>
      <c r="G7" s="109" t="s">
        <v>7290</v>
      </c>
      <c r="H7" s="109" t="s">
        <v>7293</v>
      </c>
      <c r="I7" s="109" t="s">
        <v>7294</v>
      </c>
      <c r="J7" s="109" t="s">
        <v>7295</v>
      </c>
      <c r="K7" s="109" t="s">
        <v>7300</v>
      </c>
      <c r="L7" s="109"/>
      <c r="M7" s="109"/>
      <c r="N7" s="109"/>
      <c r="O7" s="109"/>
      <c r="P7" s="109"/>
      <c r="Q7" s="109"/>
      <c r="R7" s="109"/>
      <c r="S7" s="109"/>
      <c r="T7" s="109"/>
      <c r="U7" s="109"/>
      <c r="V7" s="109"/>
      <c r="W7" s="109"/>
      <c r="X7" s="109"/>
      <c r="Y7" s="109"/>
      <c r="Z7" s="109"/>
    </row>
    <row r="8" ht="39.75" customHeight="1">
      <c r="A8" s="109" t="s">
        <v>7301</v>
      </c>
      <c r="B8" s="124" t="s">
        <v>7101</v>
      </c>
      <c r="C8" s="109" t="s">
        <v>7302</v>
      </c>
      <c r="D8" s="109" t="s">
        <v>7303</v>
      </c>
      <c r="E8" s="109" t="s">
        <v>7189</v>
      </c>
      <c r="F8" s="109" t="s">
        <v>7190</v>
      </c>
      <c r="G8" s="109" t="s">
        <v>7306</v>
      </c>
      <c r="H8" s="109" t="s">
        <v>7309</v>
      </c>
      <c r="I8" s="109" t="s">
        <v>7310</v>
      </c>
      <c r="J8" s="109" t="s">
        <v>7311</v>
      </c>
      <c r="K8" s="317" t="s">
        <v>7313</v>
      </c>
      <c r="L8" s="109" t="s">
        <v>7318</v>
      </c>
      <c r="M8" s="109"/>
      <c r="N8" s="109" t="s">
        <v>7319</v>
      </c>
      <c r="O8" s="109"/>
      <c r="P8" s="109"/>
      <c r="Q8" s="131" t="str">
        <f>HYPERLINK("https://twitter.com/CassSunstein","@CassSunstein")</f>
        <v>@CassSunstein</v>
      </c>
      <c r="R8" s="109"/>
      <c r="S8" s="109"/>
      <c r="T8" s="109"/>
      <c r="U8" s="109"/>
      <c r="V8" s="109"/>
      <c r="W8" s="109"/>
      <c r="X8" s="109"/>
      <c r="Y8" s="109"/>
      <c r="Z8" s="109"/>
    </row>
    <row r="9" ht="39.75" customHeight="1">
      <c r="A9" s="109" t="s">
        <v>7301</v>
      </c>
      <c r="B9" s="109" t="s">
        <v>7161</v>
      </c>
      <c r="C9" s="109" t="s">
        <v>6557</v>
      </c>
      <c r="D9" s="109" t="s">
        <v>7325</v>
      </c>
      <c r="E9" s="109" t="s">
        <v>7189</v>
      </c>
      <c r="F9" s="109" t="s">
        <v>7190</v>
      </c>
      <c r="G9" s="109"/>
      <c r="H9" s="109" t="s">
        <v>6487</v>
      </c>
      <c r="I9" s="109" t="s">
        <v>7329</v>
      </c>
      <c r="J9" s="109" t="s">
        <v>7330</v>
      </c>
      <c r="K9" s="317" t="s">
        <v>7331</v>
      </c>
      <c r="L9" s="109" t="s">
        <v>7333</v>
      </c>
      <c r="M9" s="109"/>
      <c r="N9" s="109"/>
      <c r="O9" s="109" t="s">
        <v>7334</v>
      </c>
      <c r="P9" s="109" t="s">
        <v>7335</v>
      </c>
      <c r="Q9" s="131" t="str">
        <f>HYPERLINK("https://twitter.com/danariely","@danariely")</f>
        <v>@danariely</v>
      </c>
      <c r="R9" s="109"/>
      <c r="S9" s="109"/>
      <c r="T9" s="109"/>
      <c r="U9" s="109"/>
      <c r="V9" s="109"/>
      <c r="W9" s="109"/>
      <c r="X9" s="109"/>
      <c r="Y9" s="109"/>
      <c r="Z9" s="109"/>
    </row>
    <row r="10" ht="39.75" customHeight="1">
      <c r="A10" s="109" t="s">
        <v>7301</v>
      </c>
      <c r="B10" s="109" t="s">
        <v>7342</v>
      </c>
      <c r="C10" s="109" t="s">
        <v>7344</v>
      </c>
      <c r="D10" s="109" t="s">
        <v>7345</v>
      </c>
      <c r="E10" s="109" t="s">
        <v>7189</v>
      </c>
      <c r="F10" s="109" t="s">
        <v>7190</v>
      </c>
      <c r="G10" s="109" t="s">
        <v>7346</v>
      </c>
      <c r="H10" s="109" t="s">
        <v>7193</v>
      </c>
      <c r="I10" s="109" t="s">
        <v>7348</v>
      </c>
      <c r="J10" s="109" t="s">
        <v>7195</v>
      </c>
      <c r="K10" s="109" t="s">
        <v>7353</v>
      </c>
      <c r="L10" s="109" t="s">
        <v>7355</v>
      </c>
      <c r="M10" s="109"/>
      <c r="N10" s="109" t="s">
        <v>7358</v>
      </c>
      <c r="O10" s="109"/>
      <c r="P10" s="109" t="s">
        <v>7201</v>
      </c>
      <c r="Q10" s="109"/>
      <c r="R10" s="109"/>
      <c r="S10" s="109"/>
      <c r="T10" s="109"/>
      <c r="U10" s="109"/>
      <c r="V10" s="109"/>
      <c r="W10" s="109"/>
      <c r="X10" s="109"/>
      <c r="Y10" s="109"/>
      <c r="Z10" s="109"/>
    </row>
    <row r="11" ht="39.75" customHeight="1">
      <c r="A11" s="109" t="s">
        <v>7301</v>
      </c>
      <c r="B11" s="109" t="s">
        <v>1805</v>
      </c>
      <c r="C11" s="109" t="s">
        <v>6628</v>
      </c>
      <c r="D11" s="109" t="s">
        <v>7360</v>
      </c>
      <c r="E11" s="109" t="s">
        <v>7189</v>
      </c>
      <c r="F11" s="109" t="s">
        <v>7190</v>
      </c>
      <c r="G11" s="109" t="s">
        <v>7364</v>
      </c>
      <c r="H11" s="109" t="s">
        <v>7366</v>
      </c>
      <c r="I11" s="109" t="s">
        <v>7367</v>
      </c>
      <c r="J11" s="109" t="s">
        <v>7368</v>
      </c>
      <c r="K11" s="317" t="s">
        <v>7370</v>
      </c>
      <c r="L11" s="109" t="s">
        <v>7374</v>
      </c>
      <c r="M11" s="109"/>
      <c r="N11" s="109" t="s">
        <v>7376</v>
      </c>
      <c r="O11" s="109"/>
      <c r="P11" s="109" t="s">
        <v>7378</v>
      </c>
      <c r="Q11" s="131" t="str">
        <f>HYPERLINK("https://twitter.com/R_Thaler","@R_Thaler")</f>
        <v>@R_Thaler</v>
      </c>
      <c r="R11" s="109"/>
      <c r="S11" s="109"/>
      <c r="T11" s="109"/>
      <c r="U11" s="109"/>
      <c r="V11" s="109"/>
      <c r="W11" s="109"/>
      <c r="X11" s="109"/>
      <c r="Y11" s="109"/>
      <c r="Z11" s="109"/>
    </row>
    <row r="12" ht="39.75" customHeight="1">
      <c r="A12" s="109" t="s">
        <v>7386</v>
      </c>
      <c r="B12" s="124" t="s">
        <v>7388</v>
      </c>
      <c r="C12" s="109" t="s">
        <v>7389</v>
      </c>
      <c r="D12" s="109" t="s">
        <v>7390</v>
      </c>
      <c r="E12" s="109" t="s">
        <v>7392</v>
      </c>
      <c r="F12" s="109" t="s">
        <v>7190</v>
      </c>
      <c r="G12" s="109" t="s">
        <v>7394</v>
      </c>
      <c r="H12" s="109" t="s">
        <v>7395</v>
      </c>
      <c r="I12" s="109" t="s">
        <v>7396</v>
      </c>
      <c r="J12" s="109" t="s">
        <v>7398</v>
      </c>
      <c r="K12" s="317" t="s">
        <v>7400</v>
      </c>
      <c r="L12" s="109"/>
      <c r="M12" s="109"/>
      <c r="N12" s="109" t="s">
        <v>7401</v>
      </c>
      <c r="O12" s="109"/>
      <c r="P12" s="109" t="s">
        <v>7402</v>
      </c>
      <c r="Q12" s="109"/>
      <c r="R12" s="109"/>
      <c r="S12" s="109"/>
      <c r="T12" s="109"/>
      <c r="U12" s="109"/>
      <c r="V12" s="109"/>
      <c r="W12" s="109"/>
      <c r="X12" s="109"/>
      <c r="Y12" s="109"/>
      <c r="Z12" s="109"/>
    </row>
    <row r="13" ht="39.75" customHeight="1">
      <c r="A13" s="109" t="s">
        <v>7403</v>
      </c>
      <c r="B13" s="109" t="s">
        <v>7127</v>
      </c>
      <c r="C13" s="109" t="s">
        <v>7344</v>
      </c>
      <c r="D13" s="109" t="s">
        <v>7404</v>
      </c>
      <c r="E13" s="109" t="s">
        <v>7189</v>
      </c>
      <c r="F13" s="109" t="s">
        <v>7190</v>
      </c>
      <c r="G13" s="109" t="s">
        <v>7405</v>
      </c>
      <c r="H13" s="109" t="s">
        <v>7406</v>
      </c>
      <c r="I13" s="109" t="s">
        <v>7408</v>
      </c>
      <c r="J13" s="131" t="str">
        <f>HYPERLINK("mailto:euw2@columbia.edu","email: euw2@columbia.edu 
phone: 646 896 9410
fax: 212 316 9355")</f>
        <v>email: euw2@columbia.edu 
phone: 646 896 9410
fax: 212 316 9355</v>
      </c>
      <c r="K13" s="109" t="s">
        <v>7415</v>
      </c>
      <c r="L13" s="109" t="s">
        <v>7419</v>
      </c>
      <c r="M13" s="109"/>
      <c r="N13" s="109" t="s">
        <v>7420</v>
      </c>
      <c r="O13" s="109"/>
      <c r="P13" s="109" t="s">
        <v>7422</v>
      </c>
      <c r="Q13" s="131" t="str">
        <f>HYPERLINK("https://twitter.com/elkeweber","@elkeweber")</f>
        <v>@elkeweber</v>
      </c>
      <c r="R13" s="109"/>
      <c r="S13" s="109"/>
      <c r="T13" s="109"/>
      <c r="U13" s="109"/>
      <c r="V13" s="109"/>
      <c r="W13" s="109"/>
      <c r="X13" s="109"/>
      <c r="Y13" s="109"/>
      <c r="Z13" s="109"/>
    </row>
    <row r="14" ht="39.75" customHeight="1">
      <c r="A14" s="109" t="s">
        <v>429</v>
      </c>
      <c r="B14" s="124" t="s">
        <v>7432</v>
      </c>
      <c r="C14" s="109" t="s">
        <v>7434</v>
      </c>
      <c r="D14" s="109" t="s">
        <v>7435</v>
      </c>
      <c r="E14" s="109" t="s">
        <v>7189</v>
      </c>
      <c r="F14" s="109" t="s">
        <v>7190</v>
      </c>
      <c r="G14" s="109" t="s">
        <v>7437</v>
      </c>
      <c r="H14" s="109"/>
      <c r="I14" s="109" t="s">
        <v>7438</v>
      </c>
      <c r="J14" s="109"/>
      <c r="K14" s="317"/>
      <c r="L14" s="109" t="s">
        <v>7442</v>
      </c>
      <c r="M14" s="109"/>
      <c r="N14" s="109" t="s">
        <v>7443</v>
      </c>
      <c r="O14" s="109" t="s">
        <v>7444</v>
      </c>
      <c r="P14" s="109" t="s">
        <v>7445</v>
      </c>
      <c r="Q14" s="109"/>
      <c r="R14" s="109"/>
      <c r="S14" s="109"/>
      <c r="T14" s="109"/>
      <c r="U14" s="109"/>
      <c r="V14" s="109"/>
      <c r="W14" s="109"/>
      <c r="X14" s="109"/>
      <c r="Y14" s="109"/>
      <c r="Z14" s="109"/>
    </row>
    <row r="15" ht="39.75" customHeight="1">
      <c r="A15" s="109" t="s">
        <v>429</v>
      </c>
      <c r="B15" s="109" t="s">
        <v>7447</v>
      </c>
      <c r="C15" s="109" t="s">
        <v>7448</v>
      </c>
      <c r="D15" s="109"/>
      <c r="E15" s="109"/>
      <c r="F15" s="109"/>
      <c r="G15" s="109" t="s">
        <v>7450</v>
      </c>
      <c r="H15" s="109"/>
      <c r="I15" s="109" t="s">
        <v>7452</v>
      </c>
      <c r="J15" s="109"/>
      <c r="K15" s="317"/>
      <c r="L15" s="109"/>
      <c r="M15" s="109"/>
      <c r="N15" s="109"/>
      <c r="O15" s="109"/>
      <c r="P15" s="109"/>
      <c r="Q15" s="131" t="str">
        <f>HYPERLINK("https://twitter.com/dstokols","@dstokols")</f>
        <v>@dstokols</v>
      </c>
      <c r="R15" s="109"/>
      <c r="S15" s="109"/>
      <c r="T15" s="109"/>
      <c r="U15" s="109"/>
      <c r="V15" s="109"/>
      <c r="W15" s="109"/>
      <c r="X15" s="109"/>
      <c r="Y15" s="109"/>
      <c r="Z15" s="109"/>
    </row>
    <row r="16" ht="39.75" customHeight="1">
      <c r="A16" s="109" t="s">
        <v>429</v>
      </c>
      <c r="B16" s="109" t="s">
        <v>7460</v>
      </c>
      <c r="C16" s="109" t="s">
        <v>7462</v>
      </c>
      <c r="D16" s="109" t="s">
        <v>7464</v>
      </c>
      <c r="E16" s="109"/>
      <c r="F16" s="109"/>
      <c r="G16" s="109" t="s">
        <v>7465</v>
      </c>
      <c r="H16" s="109"/>
      <c r="I16" s="109" t="s">
        <v>7468</v>
      </c>
      <c r="J16" s="109"/>
      <c r="K16" s="317"/>
      <c r="L16" s="109"/>
      <c r="M16" s="109"/>
      <c r="N16" s="109"/>
      <c r="O16" s="109"/>
      <c r="P16" s="109"/>
      <c r="Q16" s="131" t="str">
        <f>HYPERLINK("https://twitter.com/katy_milkman","@katy_milkman")</f>
        <v>@katy_milkman</v>
      </c>
      <c r="R16" s="109"/>
      <c r="S16" s="109"/>
      <c r="T16" s="109"/>
      <c r="U16" s="109"/>
      <c r="V16" s="109"/>
      <c r="W16" s="109"/>
      <c r="X16" s="109"/>
      <c r="Y16" s="109"/>
      <c r="Z16" s="109"/>
    </row>
    <row r="17" ht="39.75" customHeight="1">
      <c r="A17" s="109" t="s">
        <v>429</v>
      </c>
      <c r="B17" s="124" t="s">
        <v>7240</v>
      </c>
      <c r="C17" s="109" t="s">
        <v>7302</v>
      </c>
      <c r="D17" s="109" t="s">
        <v>7464</v>
      </c>
      <c r="E17" s="109" t="s">
        <v>7189</v>
      </c>
      <c r="F17" s="109" t="s">
        <v>7474</v>
      </c>
      <c r="G17" s="109" t="s">
        <v>7478</v>
      </c>
      <c r="H17" s="109" t="s">
        <v>7481</v>
      </c>
      <c r="I17" s="109" t="s">
        <v>7482</v>
      </c>
      <c r="J17" s="109" t="s">
        <v>7483</v>
      </c>
      <c r="K17" s="317" t="s">
        <v>7488</v>
      </c>
      <c r="L17" s="109" t="s">
        <v>7491</v>
      </c>
      <c r="M17" s="109"/>
      <c r="N17" s="109" t="s">
        <v>7495</v>
      </c>
      <c r="O17" s="109"/>
      <c r="P17" s="109" t="s">
        <v>3766</v>
      </c>
      <c r="Q17" s="131" t="str">
        <f>HYPERLINK("https://twitter.com/m_sendhil","@m_sendhil")</f>
        <v>@m_sendhil</v>
      </c>
      <c r="R17" s="109"/>
      <c r="S17" s="109"/>
      <c r="T17" s="109"/>
      <c r="U17" s="109"/>
      <c r="V17" s="109"/>
      <c r="W17" s="109"/>
      <c r="X17" s="109"/>
      <c r="Y17" s="109"/>
      <c r="Z17" s="109"/>
    </row>
    <row r="18" ht="39.75" customHeight="1">
      <c r="A18" s="109" t="s">
        <v>7503</v>
      </c>
      <c r="B18" s="124" t="s">
        <v>2414</v>
      </c>
      <c r="C18" s="109" t="s">
        <v>7506</v>
      </c>
      <c r="D18" s="109" t="s">
        <v>7508</v>
      </c>
      <c r="E18" s="109" t="s">
        <v>7189</v>
      </c>
      <c r="F18" s="109" t="s">
        <v>7190</v>
      </c>
      <c r="G18" s="109" t="s">
        <v>7512</v>
      </c>
      <c r="H18" s="109"/>
      <c r="I18" s="109" t="s">
        <v>7513</v>
      </c>
      <c r="J18" s="109" t="s">
        <v>7515</v>
      </c>
      <c r="K18" s="317" t="s">
        <v>7516</v>
      </c>
      <c r="L18" s="109" t="s">
        <v>7522</v>
      </c>
      <c r="M18" s="109"/>
      <c r="N18" s="109" t="s">
        <v>7523</v>
      </c>
      <c r="O18" s="109"/>
      <c r="P18" s="109" t="s">
        <v>7524</v>
      </c>
      <c r="Q18" s="131" t="str">
        <f>HYPERLINK("https://twitter.com/bjfogg","@bjfogg")</f>
        <v>@bjfogg</v>
      </c>
      <c r="R18" s="109"/>
      <c r="S18" s="109"/>
      <c r="T18" s="109"/>
      <c r="U18" s="109"/>
      <c r="V18" s="109"/>
      <c r="W18" s="109"/>
      <c r="X18" s="109"/>
      <c r="Y18" s="109"/>
      <c r="Z18" s="109"/>
    </row>
    <row r="19" ht="39.75" customHeight="1">
      <c r="A19" s="109" t="s">
        <v>7244</v>
      </c>
      <c r="B19" s="109" t="s">
        <v>7533</v>
      </c>
      <c r="C19" s="109" t="s">
        <v>7534</v>
      </c>
      <c r="D19" s="109"/>
      <c r="E19" s="109"/>
      <c r="F19" s="109"/>
      <c r="G19" s="109" t="s">
        <v>7537</v>
      </c>
      <c r="H19" s="109"/>
      <c r="I19" s="109" t="s">
        <v>7539</v>
      </c>
      <c r="J19" s="109"/>
      <c r="K19" s="317"/>
      <c r="L19" s="109"/>
      <c r="M19" s="109"/>
      <c r="N19" s="109"/>
      <c r="O19" s="109"/>
      <c r="P19" s="109"/>
      <c r="Q19" s="109"/>
      <c r="R19" s="109"/>
      <c r="S19" s="109"/>
      <c r="T19" s="109"/>
      <c r="U19" s="109"/>
      <c r="V19" s="109"/>
      <c r="W19" s="109"/>
      <c r="X19" s="109"/>
      <c r="Y19" s="109"/>
      <c r="Z19" s="109"/>
    </row>
    <row r="20" ht="39.75" customHeight="1">
      <c r="A20" s="109" t="s">
        <v>7541</v>
      </c>
      <c r="B20" s="109" t="s">
        <v>7211</v>
      </c>
      <c r="C20" s="109" t="s">
        <v>7542</v>
      </c>
      <c r="D20" s="109" t="s">
        <v>7544</v>
      </c>
      <c r="E20" s="109" t="s">
        <v>7254</v>
      </c>
      <c r="F20" s="109"/>
      <c r="G20" s="109" t="s">
        <v>7549</v>
      </c>
      <c r="H20" s="109" t="s">
        <v>7550</v>
      </c>
      <c r="I20" s="109" t="s">
        <v>7551</v>
      </c>
      <c r="J20" s="109" t="s">
        <v>7553</v>
      </c>
      <c r="K20" s="109" t="s">
        <v>7555</v>
      </c>
      <c r="L20" s="109" t="s">
        <v>7559</v>
      </c>
      <c r="M20" s="109"/>
      <c r="N20" s="109" t="s">
        <v>7561</v>
      </c>
      <c r="O20" s="109"/>
      <c r="P20" s="109"/>
      <c r="Q20" s="109"/>
      <c r="R20" s="109"/>
      <c r="S20" s="109"/>
      <c r="T20" s="109"/>
      <c r="U20" s="109"/>
      <c r="V20" s="109"/>
      <c r="W20" s="109"/>
      <c r="X20" s="109"/>
      <c r="Y20" s="109"/>
      <c r="Z20" s="109"/>
    </row>
    <row r="21" ht="39.75" customHeight="1">
      <c r="A21" s="109" t="s">
        <v>7562</v>
      </c>
      <c r="B21" s="124" t="s">
        <v>3944</v>
      </c>
      <c r="C21" s="109"/>
      <c r="D21" s="109" t="s">
        <v>7565</v>
      </c>
      <c r="E21" s="109" t="s">
        <v>7189</v>
      </c>
      <c r="F21" s="109" t="s">
        <v>7190</v>
      </c>
      <c r="G21" s="109" t="s">
        <v>7567</v>
      </c>
      <c r="H21" s="109" t="s">
        <v>7568</v>
      </c>
      <c r="I21" s="109" t="s">
        <v>7569</v>
      </c>
      <c r="J21" s="109" t="s">
        <v>7570</v>
      </c>
      <c r="K21" s="317" t="s">
        <v>7571</v>
      </c>
      <c r="L21" s="109" t="s">
        <v>7572</v>
      </c>
      <c r="M21" s="109"/>
      <c r="N21" s="109" t="s">
        <v>7573</v>
      </c>
      <c r="O21" s="109"/>
      <c r="P21" s="109"/>
      <c r="Q21" s="131" t="str">
        <f>HYPERLINK("https://twitter.com/cduhigg","@cduhigg")</f>
        <v>@cduhigg</v>
      </c>
      <c r="R21" s="109"/>
      <c r="S21" s="109"/>
      <c r="T21" s="109"/>
      <c r="U21" s="109"/>
      <c r="V21" s="109"/>
      <c r="W21" s="109"/>
      <c r="X21" s="109"/>
      <c r="Y21" s="109"/>
      <c r="Z21" s="109"/>
    </row>
    <row r="22" ht="39.75" customHeight="1">
      <c r="A22" s="109" t="s">
        <v>7276</v>
      </c>
      <c r="B22" s="124" t="s">
        <v>7578</v>
      </c>
      <c r="C22" s="109" t="s">
        <v>7579</v>
      </c>
      <c r="D22" s="109" t="s">
        <v>7580</v>
      </c>
      <c r="E22" s="109" t="s">
        <v>7392</v>
      </c>
      <c r="F22" s="109" t="s">
        <v>7474</v>
      </c>
      <c r="G22" s="109" t="s">
        <v>7581</v>
      </c>
      <c r="H22" s="109" t="s">
        <v>7582</v>
      </c>
      <c r="I22" s="109" t="s">
        <v>7583</v>
      </c>
      <c r="J22" s="109" t="s">
        <v>7584</v>
      </c>
      <c r="K22" s="317" t="s">
        <v>7585</v>
      </c>
      <c r="L22" s="109" t="s">
        <v>7586</v>
      </c>
      <c r="M22" s="109"/>
      <c r="N22" s="109"/>
      <c r="O22" s="109"/>
      <c r="P22" s="109" t="s">
        <v>7587</v>
      </c>
      <c r="Q22" s="109"/>
      <c r="R22" s="109"/>
      <c r="S22" s="109"/>
      <c r="T22" s="109"/>
      <c r="U22" s="109"/>
      <c r="V22" s="109"/>
      <c r="W22" s="109"/>
      <c r="X22" s="109"/>
      <c r="Y22" s="109"/>
      <c r="Z22" s="109"/>
    </row>
    <row r="23" ht="39.75" customHeight="1">
      <c r="A23" s="109" t="s">
        <v>7276</v>
      </c>
      <c r="B23" s="109" t="s">
        <v>7589</v>
      </c>
      <c r="C23" s="109" t="s">
        <v>7590</v>
      </c>
      <c r="D23" s="109" t="s">
        <v>7591</v>
      </c>
      <c r="E23" s="109"/>
      <c r="F23" s="109"/>
      <c r="G23" s="109" t="s">
        <v>7592</v>
      </c>
      <c r="H23" s="109"/>
      <c r="I23" s="131" t="str">
        <f>HYPERLINK("http://www.empowermentinstitute.net/index.php/about/about-david-gershon","http://www.empowermentinstitute.net/index.php/about/about-david-gershon")</f>
        <v>http://www.empowermentinstitute.net/index.php/about/about-david-gershon</v>
      </c>
      <c r="J23" s="109"/>
      <c r="K23" s="109" t="s">
        <v>7597</v>
      </c>
      <c r="L23" s="109" t="s">
        <v>2925</v>
      </c>
      <c r="M23" s="109"/>
      <c r="N23" s="109"/>
      <c r="O23" s="109"/>
      <c r="P23" s="109"/>
      <c r="Q23" s="109"/>
      <c r="R23" s="109"/>
      <c r="S23" s="109"/>
      <c r="T23" s="109"/>
      <c r="U23" s="109"/>
      <c r="V23" s="109"/>
      <c r="W23" s="109"/>
      <c r="X23" s="109"/>
      <c r="Y23" s="109"/>
      <c r="Z23" s="109"/>
    </row>
    <row r="24" ht="39.75" customHeight="1">
      <c r="A24" s="109" t="s">
        <v>7598</v>
      </c>
      <c r="B24" s="124" t="s">
        <v>7414</v>
      </c>
      <c r="C24" s="109" t="s">
        <v>7599</v>
      </c>
      <c r="D24" s="109" t="s">
        <v>7600</v>
      </c>
      <c r="E24" s="109" t="s">
        <v>7189</v>
      </c>
      <c r="F24" s="109" t="s">
        <v>7474</v>
      </c>
      <c r="G24" s="109" t="s">
        <v>7601</v>
      </c>
      <c r="H24" s="109" t="s">
        <v>7602</v>
      </c>
      <c r="I24" s="109" t="s">
        <v>7603</v>
      </c>
      <c r="J24" s="109"/>
      <c r="K24" s="317" t="s">
        <v>7604</v>
      </c>
      <c r="L24" s="109" t="s">
        <v>7606</v>
      </c>
      <c r="M24" s="109"/>
      <c r="N24" s="109"/>
      <c r="O24" s="109"/>
      <c r="P24" s="109"/>
      <c r="Q24" s="109"/>
      <c r="R24" s="109"/>
      <c r="S24" s="109"/>
      <c r="T24" s="109"/>
      <c r="U24" s="109"/>
      <c r="V24" s="109"/>
      <c r="W24" s="109"/>
      <c r="X24" s="109"/>
      <c r="Y24" s="109"/>
      <c r="Z24" s="109"/>
    </row>
    <row r="25" ht="39.75" customHeight="1">
      <c r="A25" s="320" t="s">
        <v>7598</v>
      </c>
      <c r="B25" s="321" t="s">
        <v>7619</v>
      </c>
      <c r="C25" s="320" t="s">
        <v>7434</v>
      </c>
      <c r="D25" s="320" t="s">
        <v>7404</v>
      </c>
      <c r="E25" s="320" t="s">
        <v>7254</v>
      </c>
      <c r="F25" s="320"/>
      <c r="G25" s="320" t="s">
        <v>7624</v>
      </c>
      <c r="H25" s="320" t="s">
        <v>7625</v>
      </c>
      <c r="I25" s="320" t="s">
        <v>7626</v>
      </c>
      <c r="J25" s="320"/>
      <c r="K25" s="320" t="s">
        <v>7627</v>
      </c>
      <c r="L25" s="320" t="s">
        <v>7628</v>
      </c>
      <c r="M25" s="320"/>
      <c r="N25" s="320" t="s">
        <v>7629</v>
      </c>
      <c r="O25" s="320"/>
      <c r="P25" s="320"/>
      <c r="Q25" s="320"/>
      <c r="R25" s="109"/>
      <c r="S25" s="109"/>
      <c r="T25" s="109"/>
      <c r="U25" s="109"/>
      <c r="V25" s="109"/>
      <c r="W25" s="109"/>
      <c r="X25" s="109"/>
      <c r="Y25" s="109"/>
      <c r="Z25" s="109"/>
    </row>
    <row r="26" ht="39.75" customHeight="1">
      <c r="A26" s="109" t="s">
        <v>7598</v>
      </c>
      <c r="B26" s="124" t="s">
        <v>7630</v>
      </c>
      <c r="C26" s="109" t="s">
        <v>7631</v>
      </c>
      <c r="D26" s="109" t="s">
        <v>7632</v>
      </c>
      <c r="E26" s="109" t="s">
        <v>7254</v>
      </c>
      <c r="F26" s="109" t="s">
        <v>7190</v>
      </c>
      <c r="G26" s="109" t="s">
        <v>7633</v>
      </c>
      <c r="H26" s="109"/>
      <c r="I26" s="109" t="s">
        <v>7635</v>
      </c>
      <c r="J26" s="109" t="s">
        <v>7636</v>
      </c>
      <c r="K26" s="109" t="s">
        <v>7637</v>
      </c>
      <c r="L26" s="109" t="s">
        <v>7638</v>
      </c>
      <c r="M26" s="109"/>
      <c r="N26" s="109"/>
      <c r="O26" s="109" t="s">
        <v>7640</v>
      </c>
      <c r="P26" s="109" t="s">
        <v>7641</v>
      </c>
      <c r="Q26" s="131" t="str">
        <f>HYPERLINK("https://twitter.com/jgastil","@jgastil")</f>
        <v>@jgastil</v>
      </c>
      <c r="R26" s="109"/>
      <c r="S26" s="109"/>
      <c r="T26" s="109"/>
      <c r="U26" s="109"/>
      <c r="V26" s="109"/>
      <c r="W26" s="109"/>
      <c r="X26" s="109"/>
      <c r="Y26" s="109"/>
      <c r="Z26" s="109"/>
    </row>
    <row r="27" ht="39.75" customHeight="1">
      <c r="A27" s="109" t="s">
        <v>7312</v>
      </c>
      <c r="B27" s="124" t="s">
        <v>7305</v>
      </c>
      <c r="C27" s="109" t="s">
        <v>7649</v>
      </c>
      <c r="D27" s="109" t="s">
        <v>7650</v>
      </c>
      <c r="E27" s="109" t="s">
        <v>7189</v>
      </c>
      <c r="F27" s="109" t="s">
        <v>7474</v>
      </c>
      <c r="G27" s="109" t="s">
        <v>7651</v>
      </c>
      <c r="H27" s="109" t="s">
        <v>7652</v>
      </c>
      <c r="I27" s="109" t="s">
        <v>7653</v>
      </c>
      <c r="J27" s="109" t="s">
        <v>7654</v>
      </c>
      <c r="K27" s="317" t="s">
        <v>7655</v>
      </c>
      <c r="L27" s="109" t="s">
        <v>7656</v>
      </c>
      <c r="M27" s="109"/>
      <c r="N27" s="109" t="s">
        <v>7657</v>
      </c>
      <c r="O27" s="109" t="s">
        <v>7659</v>
      </c>
      <c r="P27" s="109" t="s">
        <v>7660</v>
      </c>
      <c r="Q27" s="131" t="str">
        <f>HYPERLINK("https://twitter.com/profsimons","@profsimons")</f>
        <v>@profsimons</v>
      </c>
      <c r="R27" s="109"/>
      <c r="S27" s="109"/>
      <c r="T27" s="109"/>
      <c r="U27" s="109"/>
      <c r="V27" s="109"/>
      <c r="W27" s="109"/>
      <c r="X27" s="109"/>
      <c r="Y27" s="109"/>
      <c r="Z27" s="109"/>
    </row>
    <row r="28" ht="39.75" customHeight="1">
      <c r="A28" s="109" t="s">
        <v>7138</v>
      </c>
      <c r="B28" s="124" t="s">
        <v>7669</v>
      </c>
      <c r="C28" s="109" t="s">
        <v>7671</v>
      </c>
      <c r="D28" s="109" t="s">
        <v>7464</v>
      </c>
      <c r="E28" s="109" t="s">
        <v>7392</v>
      </c>
      <c r="F28" s="109" t="s">
        <v>7190</v>
      </c>
      <c r="G28" s="109" t="s">
        <v>7673</v>
      </c>
      <c r="H28" s="109" t="s">
        <v>4915</v>
      </c>
      <c r="I28" s="109" t="s">
        <v>7675</v>
      </c>
      <c r="J28" s="109" t="s">
        <v>7676</v>
      </c>
      <c r="K28" s="317" t="s">
        <v>7678</v>
      </c>
      <c r="L28" s="109" t="s">
        <v>7681</v>
      </c>
      <c r="M28" s="109"/>
      <c r="N28" s="109" t="s">
        <v>7684</v>
      </c>
      <c r="O28" s="109"/>
      <c r="P28" s="109"/>
      <c r="Q28" s="109"/>
      <c r="R28" s="109"/>
      <c r="S28" s="109"/>
      <c r="T28" s="109"/>
      <c r="U28" s="109"/>
      <c r="V28" s="109"/>
      <c r="W28" s="109"/>
      <c r="X28" s="109"/>
      <c r="Y28" s="109"/>
      <c r="Z28" s="109"/>
    </row>
    <row r="29" ht="39.75" customHeight="1">
      <c r="A29" s="109" t="s">
        <v>7138</v>
      </c>
      <c r="B29" s="124" t="s">
        <v>7686</v>
      </c>
      <c r="C29" s="109" t="s">
        <v>7687</v>
      </c>
      <c r="D29" s="109" t="s">
        <v>7650</v>
      </c>
      <c r="E29" s="109" t="s">
        <v>7254</v>
      </c>
      <c r="F29" s="109" t="s">
        <v>7474</v>
      </c>
      <c r="G29" s="109" t="s">
        <v>7691</v>
      </c>
      <c r="H29" s="109" t="s">
        <v>4915</v>
      </c>
      <c r="I29" s="109" t="s">
        <v>7692</v>
      </c>
      <c r="J29" s="109" t="s">
        <v>7693</v>
      </c>
      <c r="K29" s="317" t="s">
        <v>7694</v>
      </c>
      <c r="L29" s="109"/>
      <c r="M29" s="109"/>
      <c r="N29" s="109" t="s">
        <v>7696</v>
      </c>
      <c r="O29" s="109"/>
      <c r="P29" s="109"/>
      <c r="Q29" s="109"/>
      <c r="R29" s="109"/>
      <c r="S29" s="109"/>
      <c r="T29" s="109"/>
      <c r="U29" s="109"/>
      <c r="V29" s="109"/>
      <c r="W29" s="109"/>
      <c r="X29" s="109"/>
      <c r="Y29" s="109"/>
      <c r="Z29" s="109"/>
    </row>
    <row r="30" ht="39.75" customHeight="1">
      <c r="A30" s="109" t="s">
        <v>7138</v>
      </c>
      <c r="B30" s="124" t="s">
        <v>7697</v>
      </c>
      <c r="C30" s="109" t="s">
        <v>6628</v>
      </c>
      <c r="D30" s="109" t="s">
        <v>7464</v>
      </c>
      <c r="E30" s="109" t="s">
        <v>7189</v>
      </c>
      <c r="F30" s="109" t="s">
        <v>7190</v>
      </c>
      <c r="G30" s="109" t="s">
        <v>7699</v>
      </c>
      <c r="H30" s="109" t="s">
        <v>7700</v>
      </c>
      <c r="I30" s="109" t="s">
        <v>7701</v>
      </c>
      <c r="J30" s="109"/>
      <c r="K30" s="317"/>
      <c r="L30" s="109" t="s">
        <v>7703</v>
      </c>
      <c r="M30" s="109"/>
      <c r="N30" s="109" t="s">
        <v>7707</v>
      </c>
      <c r="O30" s="109"/>
      <c r="P30" s="109"/>
      <c r="Q30" s="109"/>
      <c r="R30" s="109"/>
      <c r="S30" s="109"/>
      <c r="T30" s="109"/>
      <c r="U30" s="109"/>
      <c r="V30" s="109"/>
      <c r="W30" s="109"/>
      <c r="X30" s="109"/>
      <c r="Y30" s="109"/>
      <c r="Z30" s="109"/>
    </row>
    <row r="31" ht="39.75" customHeight="1">
      <c r="A31" s="109" t="s">
        <v>7138</v>
      </c>
      <c r="B31" s="124" t="s">
        <v>7709</v>
      </c>
      <c r="C31" s="109" t="s">
        <v>7710</v>
      </c>
      <c r="D31" s="109"/>
      <c r="E31" s="109" t="s">
        <v>7254</v>
      </c>
      <c r="F31" s="109" t="s">
        <v>7190</v>
      </c>
      <c r="G31" s="109" t="s">
        <v>7712</v>
      </c>
      <c r="H31" s="109"/>
      <c r="I31" s="109" t="s">
        <v>7713</v>
      </c>
      <c r="J31" s="109" t="s">
        <v>7716</v>
      </c>
      <c r="K31" s="109" t="s">
        <v>7718</v>
      </c>
      <c r="L31" s="109" t="s">
        <v>7719</v>
      </c>
      <c r="M31" s="109"/>
      <c r="N31" s="109"/>
      <c r="O31" s="109" t="s">
        <v>7721</v>
      </c>
      <c r="P31" s="109" t="s">
        <v>7722</v>
      </c>
      <c r="Q31" s="109"/>
      <c r="R31" s="109"/>
      <c r="S31" s="109"/>
      <c r="T31" s="109"/>
      <c r="U31" s="109"/>
      <c r="V31" s="109"/>
      <c r="W31" s="109"/>
      <c r="X31" s="109"/>
      <c r="Y31" s="109"/>
      <c r="Z31" s="109"/>
    </row>
    <row r="32" ht="39.75" customHeight="1">
      <c r="A32" s="109" t="s">
        <v>7138</v>
      </c>
      <c r="B32" s="124" t="s">
        <v>7115</v>
      </c>
      <c r="C32" s="109" t="s">
        <v>7723</v>
      </c>
      <c r="D32" s="109" t="s">
        <v>7650</v>
      </c>
      <c r="E32" s="109" t="s">
        <v>7189</v>
      </c>
      <c r="F32" s="109" t="s">
        <v>7474</v>
      </c>
      <c r="G32" s="109" t="s">
        <v>7725</v>
      </c>
      <c r="H32" s="109" t="s">
        <v>4915</v>
      </c>
      <c r="I32" s="109" t="s">
        <v>7726</v>
      </c>
      <c r="J32" s="109" t="s">
        <v>7728</v>
      </c>
      <c r="K32" s="317" t="s">
        <v>7731</v>
      </c>
      <c r="L32" s="109" t="s">
        <v>7735</v>
      </c>
      <c r="M32" s="109"/>
      <c r="N32" s="109" t="s">
        <v>7737</v>
      </c>
      <c r="O32" s="109"/>
      <c r="P32" s="109" t="s">
        <v>7738</v>
      </c>
      <c r="Q32" s="109"/>
      <c r="R32" s="109"/>
      <c r="S32" s="109"/>
      <c r="T32" s="109"/>
      <c r="U32" s="109"/>
      <c r="V32" s="109"/>
      <c r="W32" s="109"/>
      <c r="X32" s="109"/>
      <c r="Y32" s="109"/>
      <c r="Z32" s="109"/>
    </row>
    <row r="33" ht="39.75" customHeight="1">
      <c r="A33" s="109" t="s">
        <v>7138</v>
      </c>
      <c r="B33" s="124" t="s">
        <v>4923</v>
      </c>
      <c r="C33" s="109"/>
      <c r="D33" s="109" t="s">
        <v>7741</v>
      </c>
      <c r="E33" s="109" t="s">
        <v>7189</v>
      </c>
      <c r="F33" s="109" t="s">
        <v>7474</v>
      </c>
      <c r="G33" s="109" t="s">
        <v>7742</v>
      </c>
      <c r="H33" s="109" t="s">
        <v>4915</v>
      </c>
      <c r="I33" s="109" t="s">
        <v>7743</v>
      </c>
      <c r="J33" s="109"/>
      <c r="K33" s="317" t="s">
        <v>7745</v>
      </c>
      <c r="L33" s="109" t="s">
        <v>7748</v>
      </c>
      <c r="M33" s="109"/>
      <c r="N33" s="109" t="s">
        <v>7750</v>
      </c>
      <c r="O33" s="109"/>
      <c r="P33" s="109"/>
      <c r="Q33" s="131" t="str">
        <f>HYPERLINK("https://twitter.com/tirosenberg","@tirosenberg")</f>
        <v>@tirosenberg</v>
      </c>
      <c r="R33" s="109"/>
      <c r="S33" s="109"/>
      <c r="T33" s="109"/>
      <c r="U33" s="109"/>
      <c r="V33" s="109"/>
      <c r="W33" s="109"/>
      <c r="X33" s="109"/>
      <c r="Y33" s="109"/>
      <c r="Z33" s="109"/>
    </row>
    <row r="34" ht="39.75" customHeight="1">
      <c r="A34" s="109" t="s">
        <v>7138</v>
      </c>
      <c r="B34" s="109" t="s">
        <v>7155</v>
      </c>
      <c r="C34" s="109" t="s">
        <v>7761</v>
      </c>
      <c r="D34" s="109" t="s">
        <v>7763</v>
      </c>
      <c r="E34" s="109"/>
      <c r="F34" s="109" t="s">
        <v>7190</v>
      </c>
      <c r="G34" s="109" t="s">
        <v>7765</v>
      </c>
      <c r="H34" s="109" t="s">
        <v>7767</v>
      </c>
      <c r="I34" s="109" t="s">
        <v>7768</v>
      </c>
      <c r="J34" s="109" t="s">
        <v>7769</v>
      </c>
      <c r="K34" s="109" t="s">
        <v>7770</v>
      </c>
      <c r="L34" s="109" t="s">
        <v>7771</v>
      </c>
      <c r="M34" s="109" t="s">
        <v>7772</v>
      </c>
      <c r="N34" s="109" t="s">
        <v>7773</v>
      </c>
      <c r="O34" s="109"/>
      <c r="P34" s="109"/>
      <c r="Q34" s="131" t="str">
        <f>HYPERLINK("https://twitter.com/Todd_Rogers_","@Todd_Rogers_")</f>
        <v>@Todd_Rogers_</v>
      </c>
      <c r="R34" s="109"/>
      <c r="S34" s="109"/>
      <c r="T34" s="109"/>
      <c r="U34" s="109"/>
      <c r="V34" s="109"/>
      <c r="W34" s="109"/>
      <c r="X34" s="109"/>
      <c r="Y34" s="109"/>
      <c r="Z34" s="109"/>
    </row>
    <row r="35" ht="39.75" customHeight="1">
      <c r="A35" s="109" t="s">
        <v>7138</v>
      </c>
      <c r="B35" s="124" t="s">
        <v>7121</v>
      </c>
      <c r="C35" s="109" t="s">
        <v>7782</v>
      </c>
      <c r="D35" s="109" t="s">
        <v>7345</v>
      </c>
      <c r="E35" s="109" t="s">
        <v>7392</v>
      </c>
      <c r="F35" s="109" t="s">
        <v>7783</v>
      </c>
      <c r="G35" s="109" t="s">
        <v>7785</v>
      </c>
      <c r="H35" s="109" t="s">
        <v>7786</v>
      </c>
      <c r="I35" s="109" t="s">
        <v>7787</v>
      </c>
      <c r="J35" s="109" t="s">
        <v>7788</v>
      </c>
      <c r="K35" s="317" t="s">
        <v>7791</v>
      </c>
      <c r="L35" s="109" t="s">
        <v>7792</v>
      </c>
      <c r="M35" s="109"/>
      <c r="N35" s="109" t="s">
        <v>7794</v>
      </c>
      <c r="O35" s="109"/>
      <c r="P35" s="109"/>
      <c r="Q35" s="109"/>
      <c r="R35" s="109"/>
      <c r="S35" s="109"/>
      <c r="T35" s="109"/>
      <c r="U35" s="109"/>
      <c r="V35" s="109"/>
      <c r="W35" s="109"/>
      <c r="X35" s="109"/>
      <c r="Y35" s="109"/>
      <c r="Z35" s="109"/>
    </row>
    <row r="36" ht="39.75" customHeight="1">
      <c r="A36" s="109" t="s">
        <v>7797</v>
      </c>
      <c r="B36" s="109" t="s">
        <v>7799</v>
      </c>
      <c r="C36" s="109" t="s">
        <v>7800</v>
      </c>
      <c r="D36" s="109" t="s">
        <v>7404</v>
      </c>
      <c r="E36" s="109" t="s">
        <v>7189</v>
      </c>
      <c r="F36" s="109" t="s">
        <v>7474</v>
      </c>
      <c r="G36" s="109" t="s">
        <v>7802</v>
      </c>
      <c r="H36" s="109"/>
      <c r="I36" s="109" t="s">
        <v>7803</v>
      </c>
      <c r="J36" s="109" t="s">
        <v>7804</v>
      </c>
      <c r="K36" s="317" t="s">
        <v>7805</v>
      </c>
      <c r="L36" s="109" t="s">
        <v>7806</v>
      </c>
      <c r="M36" s="109"/>
      <c r="N36" s="109" t="s">
        <v>7808</v>
      </c>
      <c r="O36" s="109"/>
      <c r="P36" s="109"/>
      <c r="Q36" s="109"/>
      <c r="R36" s="109"/>
      <c r="S36" s="109"/>
      <c r="T36" s="109"/>
      <c r="U36" s="109"/>
      <c r="V36" s="109"/>
      <c r="W36" s="109"/>
      <c r="X36" s="109"/>
      <c r="Y36" s="109"/>
      <c r="Z36" s="109"/>
    </row>
    <row r="37" ht="39.75" customHeight="1">
      <c r="A37" s="109" t="s">
        <v>7811</v>
      </c>
      <c r="B37" s="124" t="s">
        <v>7096</v>
      </c>
      <c r="C37" s="109" t="s">
        <v>1336</v>
      </c>
      <c r="D37" s="109" t="s">
        <v>7814</v>
      </c>
      <c r="E37" s="109" t="s">
        <v>7189</v>
      </c>
      <c r="F37" s="109" t="s">
        <v>7190</v>
      </c>
      <c r="G37" s="109" t="s">
        <v>7816</v>
      </c>
      <c r="H37" s="109" t="s">
        <v>7817</v>
      </c>
      <c r="I37" s="109" t="s">
        <v>7818</v>
      </c>
      <c r="J37" s="109" t="s">
        <v>7820</v>
      </c>
      <c r="K37" s="109" t="s">
        <v>7823</v>
      </c>
      <c r="L37" s="109" t="s">
        <v>7826</v>
      </c>
      <c r="M37" s="109"/>
      <c r="N37" s="109" t="s">
        <v>7828</v>
      </c>
      <c r="O37" s="109" t="s">
        <v>7829</v>
      </c>
      <c r="P37" s="109"/>
      <c r="Q37" s="131" t="str">
        <f>HYPERLINK("https://twitter.com/ecotone2","https://twitter.com/ecotone2")</f>
        <v>https://twitter.com/ecotone2</v>
      </c>
      <c r="R37" s="109"/>
      <c r="S37" s="109"/>
      <c r="T37" s="109"/>
      <c r="U37" s="109"/>
      <c r="V37" s="109"/>
      <c r="W37" s="109"/>
      <c r="X37" s="109"/>
      <c r="Y37" s="109"/>
      <c r="Z37" s="109"/>
    </row>
    <row r="38" ht="39.75" customHeight="1">
      <c r="A38" s="109" t="s">
        <v>7811</v>
      </c>
      <c r="B38" s="124" t="s">
        <v>7834</v>
      </c>
      <c r="C38" s="109" t="s">
        <v>7836</v>
      </c>
      <c r="D38" s="109" t="s">
        <v>7837</v>
      </c>
      <c r="E38" s="109" t="s">
        <v>7392</v>
      </c>
      <c r="F38" s="109" t="s">
        <v>7839</v>
      </c>
      <c r="G38" s="109" t="s">
        <v>7843</v>
      </c>
      <c r="H38" s="109" t="s">
        <v>7845</v>
      </c>
      <c r="I38" s="109"/>
      <c r="J38" s="109"/>
      <c r="K38" s="317" t="s">
        <v>7848</v>
      </c>
      <c r="L38" s="109"/>
      <c r="M38" s="109"/>
      <c r="N38" s="109" t="s">
        <v>7850</v>
      </c>
      <c r="O38" s="109"/>
      <c r="P38" s="109"/>
      <c r="Q38" s="109"/>
      <c r="R38" s="109"/>
      <c r="S38" s="109"/>
      <c r="T38" s="109"/>
      <c r="U38" s="109"/>
      <c r="V38" s="109"/>
      <c r="W38" s="109"/>
      <c r="X38" s="109"/>
      <c r="Y38" s="109"/>
      <c r="Z38" s="109"/>
    </row>
    <row r="39" ht="39.75" customHeight="1">
      <c r="A39" s="109" t="s">
        <v>7853</v>
      </c>
      <c r="B39" s="124" t="s">
        <v>7855</v>
      </c>
      <c r="C39" s="109" t="s">
        <v>7856</v>
      </c>
      <c r="D39" s="109" t="s">
        <v>7858</v>
      </c>
      <c r="E39" s="109" t="s">
        <v>7189</v>
      </c>
      <c r="F39" s="109" t="s">
        <v>7474</v>
      </c>
      <c r="G39" s="109" t="s">
        <v>7860</v>
      </c>
      <c r="H39" s="109" t="s">
        <v>7862</v>
      </c>
      <c r="I39" s="109" t="s">
        <v>7863</v>
      </c>
      <c r="J39" s="109" t="s">
        <v>7865</v>
      </c>
      <c r="K39" s="109" t="s">
        <v>7869</v>
      </c>
      <c r="L39" s="109"/>
      <c r="M39" s="109"/>
      <c r="N39" s="109" t="s">
        <v>7870</v>
      </c>
      <c r="O39" s="109" t="s">
        <v>2252</v>
      </c>
      <c r="P39" s="109" t="s">
        <v>7873</v>
      </c>
      <c r="Q39" s="131" t="str">
        <f>HYPERLINK("https://twitter.com/HuntAllcott","@HuntAllcott")</f>
        <v>@HuntAllcott</v>
      </c>
      <c r="R39" s="109"/>
      <c r="S39" s="109"/>
      <c r="T39" s="109"/>
      <c r="U39" s="109"/>
      <c r="V39" s="109"/>
      <c r="W39" s="109"/>
      <c r="X39" s="109"/>
      <c r="Y39" s="109"/>
      <c r="Z39" s="109"/>
    </row>
    <row r="40" ht="39.75" customHeight="1">
      <c r="A40" s="320" t="s">
        <v>7041</v>
      </c>
      <c r="B40" s="320" t="s">
        <v>7883</v>
      </c>
      <c r="C40" s="320" t="s">
        <v>7884</v>
      </c>
      <c r="D40" s="320" t="s">
        <v>7345</v>
      </c>
      <c r="E40" s="320" t="s">
        <v>7254</v>
      </c>
      <c r="F40" s="320"/>
      <c r="G40" s="320" t="s">
        <v>7887</v>
      </c>
      <c r="H40" s="320" t="s">
        <v>7889</v>
      </c>
      <c r="I40" s="320" t="s">
        <v>7891</v>
      </c>
      <c r="J40" s="320"/>
      <c r="K40" s="320"/>
      <c r="L40" s="320"/>
      <c r="M40" s="320"/>
      <c r="N40" s="320" t="s">
        <v>7893</v>
      </c>
      <c r="O40" s="320"/>
      <c r="P40" s="320"/>
      <c r="Q40" s="322" t="str">
        <f>HYPERLINK("https://twitter.com/deborahasmall","@deborahasmall")</f>
        <v>@deborahasmall</v>
      </c>
      <c r="R40" s="109"/>
      <c r="S40" s="109"/>
      <c r="T40" s="109"/>
      <c r="U40" s="109"/>
      <c r="V40" s="109"/>
      <c r="W40" s="109"/>
      <c r="X40" s="109"/>
      <c r="Y40" s="109"/>
      <c r="Z40" s="109"/>
    </row>
    <row r="41" ht="39.75" customHeight="1">
      <c r="A41" s="320" t="s">
        <v>7041</v>
      </c>
      <c r="B41" s="321" t="s">
        <v>7914</v>
      </c>
      <c r="C41" s="320" t="s">
        <v>7915</v>
      </c>
      <c r="D41" s="320" t="s">
        <v>7464</v>
      </c>
      <c r="E41" s="320" t="s">
        <v>7254</v>
      </c>
      <c r="F41" s="320"/>
      <c r="G41" s="320" t="s">
        <v>7918</v>
      </c>
      <c r="H41" s="320" t="s">
        <v>7921</v>
      </c>
      <c r="I41" s="320" t="s">
        <v>7922</v>
      </c>
      <c r="J41" s="320" t="s">
        <v>7924</v>
      </c>
      <c r="K41" s="320" t="s">
        <v>7927</v>
      </c>
      <c r="L41" s="320" t="s">
        <v>7930</v>
      </c>
      <c r="M41" s="320"/>
      <c r="N41" s="320" t="s">
        <v>7932</v>
      </c>
      <c r="O41" s="320" t="s">
        <v>7933</v>
      </c>
      <c r="P41" s="320" t="s">
        <v>7934</v>
      </c>
      <c r="Q41" s="320"/>
      <c r="R41" s="109"/>
      <c r="S41" s="109"/>
      <c r="T41" s="109"/>
      <c r="U41" s="109"/>
      <c r="V41" s="109"/>
      <c r="W41" s="109"/>
      <c r="X41" s="109"/>
      <c r="Y41" s="109"/>
      <c r="Z41" s="109"/>
    </row>
    <row r="42" ht="39.75" customHeight="1">
      <c r="A42" s="109" t="s">
        <v>7041</v>
      </c>
      <c r="B42" s="124" t="s">
        <v>7937</v>
      </c>
      <c r="C42" s="109" t="s">
        <v>7938</v>
      </c>
      <c r="D42" s="109" t="s">
        <v>7650</v>
      </c>
      <c r="E42" s="109" t="s">
        <v>7189</v>
      </c>
      <c r="F42" s="109" t="s">
        <v>7474</v>
      </c>
      <c r="G42" s="109" t="s">
        <v>7941</v>
      </c>
      <c r="H42" s="109" t="s">
        <v>7942</v>
      </c>
      <c r="I42" s="109" t="s">
        <v>7945</v>
      </c>
      <c r="J42" s="109" t="s">
        <v>7946</v>
      </c>
      <c r="K42" s="317" t="s">
        <v>7948</v>
      </c>
      <c r="L42" s="109" t="s">
        <v>7951</v>
      </c>
      <c r="M42" s="109"/>
      <c r="N42" s="109" t="s">
        <v>7954</v>
      </c>
      <c r="O42" s="109"/>
      <c r="P42" s="109"/>
      <c r="Q42" s="109"/>
      <c r="R42" s="109"/>
      <c r="S42" s="109"/>
      <c r="T42" s="109"/>
      <c r="U42" s="109"/>
      <c r="V42" s="109"/>
      <c r="W42" s="109"/>
      <c r="X42" s="109"/>
      <c r="Y42" s="109"/>
      <c r="Z42" s="109"/>
    </row>
    <row r="43" ht="39.75" customHeight="1">
      <c r="A43" s="109" t="s">
        <v>7041</v>
      </c>
      <c r="B43" s="124" t="s">
        <v>7956</v>
      </c>
      <c r="C43" s="109"/>
      <c r="D43" s="109" t="s">
        <v>7958</v>
      </c>
      <c r="E43" s="109" t="s">
        <v>7254</v>
      </c>
      <c r="F43" s="109" t="s">
        <v>7190</v>
      </c>
      <c r="G43" s="109" t="s">
        <v>7961</v>
      </c>
      <c r="H43" s="109"/>
      <c r="I43" s="109"/>
      <c r="J43" s="109"/>
      <c r="K43" s="109" t="s">
        <v>7963</v>
      </c>
      <c r="L43" s="109" t="s">
        <v>7965</v>
      </c>
      <c r="M43" s="109" t="s">
        <v>7966</v>
      </c>
      <c r="N43" s="109"/>
      <c r="O43" s="109"/>
      <c r="P43" s="109"/>
      <c r="Q43" s="109"/>
      <c r="R43" s="109"/>
      <c r="S43" s="109"/>
      <c r="T43" s="109"/>
      <c r="U43" s="109"/>
      <c r="V43" s="109"/>
      <c r="W43" s="109"/>
      <c r="X43" s="109"/>
      <c r="Y43" s="109"/>
      <c r="Z43" s="109"/>
    </row>
    <row r="44" ht="39.75" customHeight="1">
      <c r="A44" s="109" t="s">
        <v>7968</v>
      </c>
      <c r="B44" s="124" t="s">
        <v>7282</v>
      </c>
      <c r="C44" s="109" t="s">
        <v>7970</v>
      </c>
      <c r="D44" s="109" t="s">
        <v>7974</v>
      </c>
      <c r="E44" s="109" t="s">
        <v>7189</v>
      </c>
      <c r="F44" s="109" t="s">
        <v>7474</v>
      </c>
      <c r="G44" s="109" t="s">
        <v>7975</v>
      </c>
      <c r="H44" s="109" t="s">
        <v>7977</v>
      </c>
      <c r="I44" s="109" t="s">
        <v>7978</v>
      </c>
      <c r="J44" s="109" t="s">
        <v>7979</v>
      </c>
      <c r="K44" s="317" t="s">
        <v>7982</v>
      </c>
      <c r="L44" s="109" t="s">
        <v>7986</v>
      </c>
      <c r="M44" s="109"/>
      <c r="N44" s="109" t="s">
        <v>7990</v>
      </c>
      <c r="O44" s="109"/>
      <c r="P44" s="109"/>
      <c r="Q44" s="109"/>
      <c r="R44" s="109"/>
      <c r="S44" s="109"/>
      <c r="T44" s="109"/>
      <c r="U44" s="109"/>
      <c r="V44" s="109"/>
      <c r="W44" s="109"/>
      <c r="X44" s="109"/>
      <c r="Y44" s="109"/>
      <c r="Z44" s="109"/>
    </row>
    <row r="45" ht="39.75" customHeight="1">
      <c r="A45" s="320" t="s">
        <v>7347</v>
      </c>
      <c r="B45" s="320" t="s">
        <v>7991</v>
      </c>
      <c r="C45" s="320" t="s">
        <v>7856</v>
      </c>
      <c r="D45" s="320"/>
      <c r="E45" s="320"/>
      <c r="F45" s="320"/>
      <c r="G45" s="320"/>
      <c r="H45" s="320"/>
      <c r="I45" s="320"/>
      <c r="J45" s="320"/>
      <c r="K45" s="323"/>
      <c r="L45" s="320"/>
      <c r="M45" s="320"/>
      <c r="N45" s="320"/>
      <c r="O45" s="320"/>
      <c r="P45" s="320"/>
      <c r="Q45" s="320"/>
      <c r="R45" s="109"/>
      <c r="S45" s="109"/>
      <c r="T45" s="109"/>
      <c r="U45" s="109"/>
      <c r="V45" s="109"/>
      <c r="W45" s="109"/>
      <c r="X45" s="109"/>
      <c r="Y45" s="109"/>
      <c r="Z45" s="109"/>
    </row>
    <row r="46" ht="39.75" customHeight="1">
      <c r="A46" s="109" t="s">
        <v>7347</v>
      </c>
      <c r="B46" s="109" t="s">
        <v>8010</v>
      </c>
      <c r="C46" s="109" t="s">
        <v>7434</v>
      </c>
      <c r="D46" s="109" t="s">
        <v>8011</v>
      </c>
      <c r="E46" s="109" t="s">
        <v>7189</v>
      </c>
      <c r="F46" s="109" t="s">
        <v>7190</v>
      </c>
      <c r="G46" s="109" t="s">
        <v>8012</v>
      </c>
      <c r="H46" s="109"/>
      <c r="I46" s="109" t="s">
        <v>8013</v>
      </c>
      <c r="J46" s="109" t="s">
        <v>8014</v>
      </c>
      <c r="K46" s="317" t="s">
        <v>8015</v>
      </c>
      <c r="L46" s="109" t="s">
        <v>8018</v>
      </c>
      <c r="M46" s="109"/>
      <c r="N46" s="109" t="s">
        <v>8020</v>
      </c>
      <c r="O46" s="109"/>
      <c r="P46" s="109" t="s">
        <v>8022</v>
      </c>
      <c r="Q46" s="109"/>
      <c r="R46" s="109"/>
      <c r="S46" s="109"/>
      <c r="T46" s="109"/>
      <c r="U46" s="109"/>
      <c r="V46" s="109"/>
      <c r="W46" s="109"/>
      <c r="X46" s="109"/>
      <c r="Y46" s="109"/>
      <c r="Z46" s="109"/>
    </row>
    <row r="47" ht="39.75" customHeight="1">
      <c r="A47" s="109" t="s">
        <v>8024</v>
      </c>
      <c r="B47" s="124" t="s">
        <v>8026</v>
      </c>
      <c r="C47" s="109" t="s">
        <v>8029</v>
      </c>
      <c r="D47" s="109" t="s">
        <v>8030</v>
      </c>
      <c r="E47" s="109" t="s">
        <v>7392</v>
      </c>
      <c r="F47" s="109" t="s">
        <v>7474</v>
      </c>
      <c r="G47" s="109" t="s">
        <v>8032</v>
      </c>
      <c r="H47" s="109" t="s">
        <v>8034</v>
      </c>
      <c r="I47" s="109" t="s">
        <v>8035</v>
      </c>
      <c r="J47" s="109" t="s">
        <v>8037</v>
      </c>
      <c r="K47" s="317" t="s">
        <v>8046</v>
      </c>
      <c r="L47" s="109"/>
      <c r="M47" s="109"/>
      <c r="N47" s="109" t="s">
        <v>8047</v>
      </c>
      <c r="O47" s="109"/>
      <c r="P47" s="109"/>
      <c r="Q47" s="109"/>
      <c r="R47" s="109"/>
      <c r="S47" s="109"/>
      <c r="T47" s="109"/>
      <c r="U47" s="109"/>
      <c r="V47" s="109"/>
      <c r="W47" s="109"/>
      <c r="X47" s="109"/>
      <c r="Y47" s="109"/>
      <c r="Z47" s="109"/>
    </row>
    <row r="48" ht="39.75" customHeight="1">
      <c r="A48" s="320" t="s">
        <v>6468</v>
      </c>
      <c r="B48" s="320" t="s">
        <v>3850</v>
      </c>
      <c r="C48" s="320"/>
      <c r="D48" s="324" t="s">
        <v>6481</v>
      </c>
      <c r="E48" s="324"/>
      <c r="F48" s="324"/>
      <c r="G48" s="320"/>
      <c r="H48" s="324"/>
      <c r="I48" s="320" t="s">
        <v>8060</v>
      </c>
      <c r="J48" s="320"/>
      <c r="K48" s="320"/>
      <c r="L48" s="320"/>
      <c r="M48" s="320"/>
      <c r="N48" s="320"/>
      <c r="O48" s="320"/>
      <c r="P48" s="320"/>
      <c r="Q48" s="320"/>
      <c r="R48" s="109"/>
      <c r="S48" s="109"/>
      <c r="T48" s="109"/>
      <c r="U48" s="109"/>
      <c r="V48" s="109"/>
      <c r="W48" s="109"/>
      <c r="X48" s="109"/>
      <c r="Y48" s="109"/>
      <c r="Z48" s="109"/>
    </row>
    <row r="49" ht="39.75" customHeight="1">
      <c r="A49" s="320" t="s">
        <v>6468</v>
      </c>
      <c r="B49" s="320" t="s">
        <v>8061</v>
      </c>
      <c r="C49" s="320" t="s">
        <v>8062</v>
      </c>
      <c r="D49" s="320" t="s">
        <v>8064</v>
      </c>
      <c r="E49" s="320"/>
      <c r="F49" s="320"/>
      <c r="G49" s="320" t="s">
        <v>8067</v>
      </c>
      <c r="H49" s="320"/>
      <c r="I49" s="320" t="s">
        <v>8068</v>
      </c>
      <c r="J49" s="320"/>
      <c r="K49" s="320"/>
      <c r="L49" s="320"/>
      <c r="M49" s="320"/>
      <c r="N49" s="320"/>
      <c r="O49" s="320"/>
      <c r="P49" s="320"/>
      <c r="Q49" s="320"/>
      <c r="R49" s="109"/>
      <c r="S49" s="109"/>
      <c r="T49" s="109"/>
      <c r="U49" s="109"/>
      <c r="V49" s="109"/>
      <c r="W49" s="109"/>
      <c r="X49" s="109"/>
      <c r="Y49" s="109"/>
      <c r="Z49" s="109"/>
    </row>
    <row r="50" ht="39.75" customHeight="1">
      <c r="A50" s="320" t="s">
        <v>6468</v>
      </c>
      <c r="B50" s="320" t="s">
        <v>6470</v>
      </c>
      <c r="C50" s="320" t="s">
        <v>6473</v>
      </c>
      <c r="D50" s="324" t="s">
        <v>6478</v>
      </c>
      <c r="E50" s="324"/>
      <c r="F50" s="324"/>
      <c r="G50" s="320" t="s">
        <v>8070</v>
      </c>
      <c r="H50" s="324"/>
      <c r="I50" s="320" t="s">
        <v>8071</v>
      </c>
      <c r="J50" s="320"/>
      <c r="K50" s="320"/>
      <c r="L50" s="320" t="s">
        <v>6479</v>
      </c>
      <c r="M50" s="320"/>
      <c r="N50" s="320"/>
      <c r="O50" s="320"/>
      <c r="P50" s="320"/>
      <c r="Q50" s="320"/>
      <c r="R50" s="109"/>
      <c r="S50" s="109"/>
      <c r="T50" s="109"/>
      <c r="U50" s="109"/>
      <c r="V50" s="109"/>
      <c r="W50" s="109"/>
      <c r="X50" s="109"/>
      <c r="Y50" s="109"/>
      <c r="Z50" s="109"/>
    </row>
    <row r="51" ht="39.75" customHeight="1">
      <c r="A51" s="109" t="s">
        <v>8072</v>
      </c>
      <c r="B51" s="109" t="s">
        <v>7081</v>
      </c>
      <c r="C51" s="109" t="s">
        <v>8073</v>
      </c>
      <c r="D51" s="109" t="s">
        <v>8074</v>
      </c>
      <c r="E51" s="109" t="s">
        <v>7189</v>
      </c>
      <c r="F51" s="109" t="s">
        <v>7190</v>
      </c>
      <c r="G51" s="109" t="s">
        <v>8075</v>
      </c>
      <c r="H51" s="109" t="s">
        <v>8076</v>
      </c>
      <c r="I51" s="109" t="s">
        <v>8077</v>
      </c>
      <c r="J51" s="109"/>
      <c r="K51" s="317"/>
      <c r="L51" s="109"/>
      <c r="M51" s="109"/>
      <c r="N51" s="109"/>
      <c r="O51" s="109"/>
      <c r="P51" s="109"/>
      <c r="Q51" s="131" t="str">
        <f>HYPERLINK("https://twitter.com/cfchabris","@cfchabris")</f>
        <v>@cfchabris</v>
      </c>
      <c r="R51" s="109"/>
      <c r="S51" s="109"/>
      <c r="T51" s="109"/>
      <c r="U51" s="109"/>
      <c r="V51" s="109"/>
      <c r="W51" s="109"/>
      <c r="X51" s="109"/>
      <c r="Y51" s="109"/>
      <c r="Z51" s="109"/>
    </row>
    <row r="52" ht="39.75" customHeight="1">
      <c r="A52" s="109"/>
      <c r="B52" s="109" t="s">
        <v>8086</v>
      </c>
      <c r="C52" s="109" t="s">
        <v>2108</v>
      </c>
      <c r="D52" s="109"/>
      <c r="E52" s="109"/>
      <c r="F52" s="109"/>
      <c r="G52" s="109" t="s">
        <v>8089</v>
      </c>
      <c r="H52" s="109"/>
      <c r="I52" s="109" t="s">
        <v>8090</v>
      </c>
      <c r="J52" s="109"/>
      <c r="K52" s="317"/>
      <c r="L52" s="109"/>
      <c r="M52" s="109"/>
      <c r="N52" s="109"/>
      <c r="O52" s="109"/>
      <c r="P52" s="109"/>
      <c r="Q52" s="109" t="s">
        <v>8092</v>
      </c>
      <c r="R52" s="109"/>
      <c r="S52" s="109"/>
      <c r="T52" s="109"/>
      <c r="U52" s="109"/>
      <c r="V52" s="109"/>
      <c r="W52" s="109"/>
      <c r="X52" s="109"/>
      <c r="Y52" s="109"/>
      <c r="Z52" s="109"/>
    </row>
    <row r="53" ht="39.75" customHeight="1">
      <c r="A53" s="109"/>
      <c r="B53" s="109" t="s">
        <v>8093</v>
      </c>
      <c r="C53" s="109" t="s">
        <v>4993</v>
      </c>
      <c r="D53" s="109"/>
      <c r="E53" s="109"/>
      <c r="F53" s="109"/>
      <c r="G53" s="109" t="s">
        <v>8095</v>
      </c>
      <c r="H53" s="109"/>
      <c r="I53" s="109" t="s">
        <v>8096</v>
      </c>
      <c r="J53" s="109" t="s">
        <v>8098</v>
      </c>
      <c r="K53" s="109"/>
      <c r="L53" s="109"/>
      <c r="M53" s="109"/>
      <c r="N53" s="109"/>
      <c r="O53" s="109"/>
      <c r="P53" s="109"/>
      <c r="Q53" s="109"/>
      <c r="R53" s="109"/>
      <c r="S53" s="109"/>
      <c r="T53" s="109"/>
      <c r="U53" s="109"/>
      <c r="V53" s="109"/>
      <c r="W53" s="109"/>
      <c r="X53" s="109"/>
      <c r="Y53" s="109"/>
      <c r="Z53" s="109"/>
    </row>
    <row r="54" ht="39.75" customHeight="1">
      <c r="A54" s="109"/>
      <c r="B54" s="109" t="s">
        <v>8102</v>
      </c>
      <c r="C54" s="109" t="s">
        <v>8103</v>
      </c>
      <c r="D54" s="109" t="s">
        <v>8104</v>
      </c>
      <c r="E54" s="109" t="s">
        <v>7254</v>
      </c>
      <c r="F54" s="109"/>
      <c r="G54" s="109"/>
      <c r="H54" s="109"/>
      <c r="I54" s="109" t="s">
        <v>8106</v>
      </c>
      <c r="J54" s="109"/>
      <c r="K54" s="109"/>
      <c r="L54" s="109"/>
      <c r="M54" s="109" t="s">
        <v>8107</v>
      </c>
      <c r="N54" s="109"/>
      <c r="O54" s="109"/>
      <c r="P54" s="109"/>
      <c r="Q54" s="109"/>
      <c r="R54" s="320"/>
      <c r="S54" s="320"/>
      <c r="T54" s="320"/>
      <c r="U54" s="320"/>
      <c r="V54" s="320"/>
      <c r="W54" s="320"/>
      <c r="X54" s="320"/>
      <c r="Y54" s="320"/>
      <c r="Z54" s="320"/>
    </row>
    <row r="55" ht="39.75" customHeight="1">
      <c r="A55" s="109"/>
      <c r="B55" s="109" t="s">
        <v>8109</v>
      </c>
      <c r="C55" s="109"/>
      <c r="D55" s="109"/>
      <c r="E55" s="109"/>
      <c r="F55" s="109"/>
      <c r="G55" s="109"/>
      <c r="H55" s="109"/>
      <c r="I55" s="109"/>
      <c r="J55" s="109"/>
      <c r="K55" s="317"/>
      <c r="L55" s="109"/>
      <c r="M55" s="325" t="s">
        <v>8113</v>
      </c>
      <c r="N55" s="109"/>
      <c r="O55" s="109"/>
      <c r="P55" s="109"/>
      <c r="Q55" s="131" t="str">
        <f>HYPERLINK("https://twitter.com/agneezy","@agneezy")</f>
        <v>@agneezy</v>
      </c>
      <c r="R55" s="109"/>
      <c r="S55" s="109"/>
      <c r="T55" s="109"/>
      <c r="U55" s="109"/>
      <c r="V55" s="109"/>
      <c r="W55" s="109"/>
      <c r="X55" s="109"/>
      <c r="Y55" s="109"/>
      <c r="Z55" s="109"/>
    </row>
    <row r="56" ht="39.75" customHeight="1">
      <c r="A56" s="109"/>
      <c r="B56" s="109" t="s">
        <v>7936</v>
      </c>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row>
    <row r="57" ht="39.75" customHeight="1">
      <c r="A57" s="109"/>
      <c r="B57" s="124" t="s">
        <v>8118</v>
      </c>
      <c r="C57" s="109" t="s">
        <v>7915</v>
      </c>
      <c r="D57" s="109" t="s">
        <v>8119</v>
      </c>
      <c r="E57" s="109" t="s">
        <v>7189</v>
      </c>
      <c r="F57" s="109" t="s">
        <v>7190</v>
      </c>
      <c r="G57" s="109" t="s">
        <v>8120</v>
      </c>
      <c r="H57" s="109"/>
      <c r="I57" s="109" t="s">
        <v>8121</v>
      </c>
      <c r="J57" s="109" t="s">
        <v>8122</v>
      </c>
      <c r="K57" s="317" t="s">
        <v>8123</v>
      </c>
      <c r="L57" s="109" t="s">
        <v>8124</v>
      </c>
      <c r="M57" s="109"/>
      <c r="N57" s="109" t="s">
        <v>8126</v>
      </c>
      <c r="O57" s="109"/>
      <c r="P57" s="109" t="s">
        <v>8129</v>
      </c>
      <c r="Q57" s="109"/>
      <c r="R57" s="109"/>
      <c r="S57" s="109"/>
      <c r="T57" s="109"/>
      <c r="U57" s="109"/>
      <c r="V57" s="109"/>
      <c r="W57" s="109"/>
      <c r="X57" s="109"/>
      <c r="Y57" s="109"/>
      <c r="Z57" s="109"/>
    </row>
    <row r="58" ht="39.75" customHeight="1">
      <c r="A58" s="109"/>
      <c r="B58" s="109" t="s">
        <v>8131</v>
      </c>
      <c r="C58" s="109" t="s">
        <v>2108</v>
      </c>
      <c r="D58" s="109"/>
      <c r="E58" s="109"/>
      <c r="F58" s="109"/>
      <c r="G58" s="109" t="s">
        <v>8132</v>
      </c>
      <c r="H58" s="109"/>
      <c r="I58" s="109" t="s">
        <v>8133</v>
      </c>
      <c r="J58" s="109"/>
      <c r="K58" s="317"/>
      <c r="L58" s="109"/>
      <c r="M58" s="109"/>
      <c r="N58" s="109"/>
      <c r="O58" s="109"/>
      <c r="P58" s="109"/>
      <c r="Q58" s="131" t="str">
        <f>HYPERLINK("https://twitter.com/belindagriswold","@belindagriswold")</f>
        <v>@belindagriswold</v>
      </c>
      <c r="R58" s="109"/>
      <c r="S58" s="109"/>
      <c r="T58" s="109"/>
      <c r="U58" s="109"/>
      <c r="V58" s="109"/>
      <c r="W58" s="109"/>
      <c r="X58" s="109"/>
      <c r="Y58" s="109"/>
      <c r="Z58" s="109"/>
    </row>
    <row r="59" ht="39.75" customHeight="1">
      <c r="A59" s="109"/>
      <c r="B59" s="109" t="s">
        <v>8136</v>
      </c>
      <c r="C59" s="109" t="s">
        <v>8138</v>
      </c>
      <c r="D59" s="109"/>
      <c r="E59" s="109"/>
      <c r="F59" s="109"/>
      <c r="G59" s="109"/>
      <c r="H59" s="109"/>
      <c r="I59" s="109"/>
      <c r="J59" s="109"/>
      <c r="K59" s="317"/>
      <c r="L59" s="109"/>
      <c r="M59" s="109"/>
      <c r="N59" s="109"/>
      <c r="O59" s="109"/>
      <c r="P59" s="109"/>
      <c r="Q59" s="131" t="str">
        <f>HYPERLINK("https://twitter.com/bendemartino","@bendemartino")</f>
        <v>@bendemartino</v>
      </c>
      <c r="R59" s="109"/>
      <c r="S59" s="109"/>
      <c r="T59" s="109"/>
      <c r="U59" s="109"/>
      <c r="V59" s="109"/>
      <c r="W59" s="109"/>
      <c r="X59" s="109"/>
      <c r="Y59" s="109"/>
      <c r="Z59" s="109"/>
    </row>
    <row r="60" ht="39.75" customHeight="1">
      <c r="A60" s="109"/>
      <c r="B60" s="109" t="s">
        <v>8140</v>
      </c>
      <c r="C60" s="109" t="s">
        <v>6751</v>
      </c>
      <c r="D60" s="109"/>
      <c r="E60" s="109"/>
      <c r="F60" s="109"/>
      <c r="G60" s="109" t="s">
        <v>8141</v>
      </c>
      <c r="H60" s="109"/>
      <c r="I60" s="109" t="s">
        <v>8143</v>
      </c>
      <c r="J60" s="109"/>
      <c r="K60" s="317"/>
      <c r="L60" s="109"/>
      <c r="M60" s="109"/>
      <c r="N60" s="109"/>
      <c r="O60" s="109"/>
      <c r="P60" s="109"/>
      <c r="Q60" s="109"/>
      <c r="R60" s="109"/>
      <c r="S60" s="109"/>
      <c r="T60" s="109"/>
      <c r="U60" s="109"/>
      <c r="V60" s="109"/>
      <c r="W60" s="109"/>
      <c r="X60" s="109"/>
      <c r="Y60" s="109"/>
      <c r="Z60" s="109"/>
    </row>
    <row r="61" ht="39.75" customHeight="1">
      <c r="A61" s="109"/>
      <c r="B61" s="124" t="s">
        <v>8146</v>
      </c>
      <c r="C61" s="109"/>
      <c r="D61" s="109" t="s">
        <v>8149</v>
      </c>
      <c r="E61" s="109" t="s">
        <v>7254</v>
      </c>
      <c r="F61" s="109" t="s">
        <v>7190</v>
      </c>
      <c r="G61" s="109" t="s">
        <v>8150</v>
      </c>
      <c r="H61" s="109"/>
      <c r="I61" s="109" t="s">
        <v>8152</v>
      </c>
      <c r="J61" s="109" t="s">
        <v>8153</v>
      </c>
      <c r="K61" s="317" t="s">
        <v>8154</v>
      </c>
      <c r="L61" s="109" t="s">
        <v>8158</v>
      </c>
      <c r="M61" s="109"/>
      <c r="N61" s="109" t="s">
        <v>8159</v>
      </c>
      <c r="O61" s="109" t="s">
        <v>8160</v>
      </c>
      <c r="P61" s="109"/>
      <c r="Q61" s="109"/>
      <c r="R61" s="109"/>
      <c r="S61" s="109"/>
      <c r="T61" s="109"/>
      <c r="U61" s="109"/>
      <c r="V61" s="109"/>
      <c r="W61" s="109"/>
      <c r="X61" s="109"/>
      <c r="Y61" s="109"/>
      <c r="Z61" s="109"/>
    </row>
    <row r="62" ht="39.75" customHeight="1">
      <c r="A62" s="109"/>
      <c r="B62" s="109" t="s">
        <v>8161</v>
      </c>
      <c r="C62" s="109"/>
      <c r="D62" s="109"/>
      <c r="E62" s="109"/>
      <c r="F62" s="109"/>
      <c r="G62" s="109"/>
      <c r="H62" s="109"/>
      <c r="I62" s="109" t="s">
        <v>8162</v>
      </c>
      <c r="J62" s="109"/>
      <c r="K62" s="317"/>
      <c r="L62" s="109"/>
      <c r="M62" s="109"/>
      <c r="N62" s="109"/>
      <c r="O62" s="109"/>
      <c r="P62" s="109"/>
      <c r="Q62" s="109"/>
      <c r="R62" s="109"/>
      <c r="S62" s="109"/>
      <c r="T62" s="109"/>
      <c r="U62" s="109"/>
      <c r="V62" s="109"/>
      <c r="W62" s="109"/>
      <c r="X62" s="109"/>
      <c r="Y62" s="109"/>
      <c r="Z62" s="109"/>
    </row>
    <row r="63" ht="39.75" customHeight="1">
      <c r="A63" s="109"/>
      <c r="B63" s="124" t="s">
        <v>8163</v>
      </c>
      <c r="C63" s="109" t="s">
        <v>8164</v>
      </c>
      <c r="D63" s="109" t="s">
        <v>8165</v>
      </c>
      <c r="E63" s="109" t="s">
        <v>7189</v>
      </c>
      <c r="F63" s="109" t="s">
        <v>7190</v>
      </c>
      <c r="G63" s="109" t="s">
        <v>8168</v>
      </c>
      <c r="H63" s="109"/>
      <c r="I63" s="109" t="s">
        <v>8170</v>
      </c>
      <c r="J63" s="109" t="s">
        <v>8172</v>
      </c>
      <c r="K63" s="317" t="s">
        <v>8175</v>
      </c>
      <c r="L63" s="109" t="s">
        <v>8176</v>
      </c>
      <c r="M63" s="109"/>
      <c r="N63" s="109" t="s">
        <v>8177</v>
      </c>
      <c r="O63" s="109"/>
      <c r="P63" s="109"/>
      <c r="Q63" s="131" t="str">
        <f>HYPERLINK("https://twitter.com/CFCamerer","@CFCamerer")</f>
        <v>@CFCamerer</v>
      </c>
      <c r="R63" s="109"/>
      <c r="S63" s="109"/>
      <c r="T63" s="109"/>
      <c r="U63" s="109"/>
      <c r="V63" s="109"/>
      <c r="W63" s="109"/>
      <c r="X63" s="109"/>
      <c r="Y63" s="109"/>
      <c r="Z63" s="109"/>
    </row>
    <row r="64" ht="39.75" customHeight="1">
      <c r="A64" s="109"/>
      <c r="B64" s="109" t="s">
        <v>8179</v>
      </c>
      <c r="C64" s="109" t="s">
        <v>8180</v>
      </c>
      <c r="D64" s="109"/>
      <c r="E64" s="109"/>
      <c r="F64" s="109"/>
      <c r="G64" s="109"/>
      <c r="H64" s="109"/>
      <c r="I64" s="109"/>
      <c r="J64" s="109"/>
      <c r="K64" s="109"/>
      <c r="L64" s="109"/>
      <c r="M64" s="109"/>
      <c r="N64" s="109"/>
      <c r="O64" s="109"/>
      <c r="P64" s="109"/>
      <c r="Q64" s="109"/>
      <c r="R64" s="109"/>
      <c r="S64" s="109"/>
      <c r="T64" s="109"/>
      <c r="U64" s="109"/>
      <c r="V64" s="109"/>
      <c r="W64" s="109"/>
      <c r="X64" s="109"/>
      <c r="Y64" s="109"/>
      <c r="Z64" s="109"/>
    </row>
    <row r="65" ht="39.75" customHeight="1">
      <c r="A65" s="109"/>
      <c r="B65" s="109" t="s">
        <v>8181</v>
      </c>
      <c r="C65" s="109" t="s">
        <v>8182</v>
      </c>
      <c r="D65" s="109" t="s">
        <v>8183</v>
      </c>
      <c r="E65" s="109"/>
      <c r="F65" s="109"/>
      <c r="G65" s="109" t="s">
        <v>8184</v>
      </c>
      <c r="H65" s="109" t="s">
        <v>8185</v>
      </c>
      <c r="I65" s="109" t="s">
        <v>8186</v>
      </c>
      <c r="J65" s="109" t="s">
        <v>8187</v>
      </c>
      <c r="K65" s="317"/>
      <c r="L65" s="109"/>
      <c r="M65" s="109"/>
      <c r="N65" s="109"/>
      <c r="O65" s="109"/>
      <c r="P65" s="109"/>
      <c r="Q65" s="109"/>
      <c r="R65" s="109"/>
      <c r="S65" s="109"/>
      <c r="T65" s="109"/>
      <c r="U65" s="109"/>
      <c r="V65" s="109"/>
      <c r="W65" s="109"/>
      <c r="X65" s="109"/>
      <c r="Y65" s="109"/>
      <c r="Z65" s="109"/>
    </row>
    <row r="66" ht="39.75" customHeight="1">
      <c r="A66" s="109"/>
      <c r="B66" s="124" t="s">
        <v>7089</v>
      </c>
      <c r="C66" s="109" t="s">
        <v>7599</v>
      </c>
      <c r="D66" s="109" t="s">
        <v>8188</v>
      </c>
      <c r="E66" s="109" t="s">
        <v>7189</v>
      </c>
      <c r="F66" s="109" t="s">
        <v>7474</v>
      </c>
      <c r="G66" s="109" t="s">
        <v>8189</v>
      </c>
      <c r="H66" s="109" t="s">
        <v>7602</v>
      </c>
      <c r="I66" s="109" t="s">
        <v>8193</v>
      </c>
      <c r="J66" s="109" t="s">
        <v>8194</v>
      </c>
      <c r="K66" s="109" t="s">
        <v>8197</v>
      </c>
      <c r="L66" s="109" t="s">
        <v>8200</v>
      </c>
      <c r="M66" s="109"/>
      <c r="N66" s="109" t="s">
        <v>8201</v>
      </c>
      <c r="O66" s="109"/>
      <c r="P66" s="109" t="s">
        <v>8202</v>
      </c>
      <c r="Q66" s="109"/>
      <c r="R66" s="109"/>
      <c r="S66" s="109"/>
      <c r="T66" s="109"/>
      <c r="U66" s="109"/>
      <c r="V66" s="109"/>
      <c r="W66" s="109"/>
      <c r="X66" s="109"/>
      <c r="Y66" s="109"/>
      <c r="Z66" s="109"/>
    </row>
    <row r="67" ht="39.75" customHeight="1">
      <c r="A67" s="109"/>
      <c r="B67" s="109" t="s">
        <v>8203</v>
      </c>
      <c r="C67" s="109" t="s">
        <v>8204</v>
      </c>
      <c r="D67" s="109"/>
      <c r="E67" s="109"/>
      <c r="F67" s="109"/>
      <c r="G67" s="109"/>
      <c r="H67" s="109"/>
      <c r="I67" s="109" t="s">
        <v>8205</v>
      </c>
      <c r="J67" s="109"/>
      <c r="K67" s="109"/>
      <c r="L67" s="109"/>
      <c r="M67" s="109"/>
      <c r="N67" s="109"/>
      <c r="O67" s="109"/>
      <c r="P67" s="109"/>
      <c r="Q67" s="109"/>
      <c r="R67" s="109"/>
      <c r="S67" s="109"/>
      <c r="T67" s="109"/>
      <c r="U67" s="109"/>
      <c r="V67" s="109"/>
      <c r="W67" s="109"/>
      <c r="X67" s="109"/>
      <c r="Y67" s="109"/>
      <c r="Z67" s="109"/>
    </row>
    <row r="68" ht="39.75" customHeight="1">
      <c r="A68" s="109"/>
      <c r="B68" s="109" t="s">
        <v>8206</v>
      </c>
      <c r="C68" s="109" t="s">
        <v>8207</v>
      </c>
      <c r="D68" s="109" t="s">
        <v>8208</v>
      </c>
      <c r="E68" s="109"/>
      <c r="F68" s="109"/>
      <c r="G68" s="109"/>
      <c r="H68" s="109"/>
      <c r="I68" s="109"/>
      <c r="J68" s="109"/>
      <c r="K68" s="317" t="s">
        <v>8209</v>
      </c>
      <c r="L68" s="109"/>
      <c r="M68" s="109"/>
      <c r="N68" s="109"/>
      <c r="O68" s="109"/>
      <c r="P68" s="109"/>
      <c r="Q68" s="109"/>
      <c r="R68" s="109"/>
      <c r="S68" s="109"/>
      <c r="T68" s="109"/>
      <c r="U68" s="109"/>
      <c r="V68" s="109"/>
      <c r="W68" s="109"/>
      <c r="X68" s="109"/>
      <c r="Y68" s="109"/>
      <c r="Z68" s="109"/>
    </row>
    <row r="69" ht="39.75" customHeight="1">
      <c r="A69" s="109"/>
      <c r="B69" s="109" t="s">
        <v>8211</v>
      </c>
      <c r="C69" s="109"/>
      <c r="D69" s="109"/>
      <c r="E69" s="109"/>
      <c r="F69" s="109"/>
      <c r="G69" s="109"/>
      <c r="H69" s="109"/>
      <c r="I69" s="109" t="s">
        <v>8213</v>
      </c>
      <c r="J69" s="109"/>
      <c r="K69" s="317"/>
      <c r="L69" s="109"/>
      <c r="M69" s="109"/>
      <c r="N69" s="109"/>
      <c r="O69" s="109"/>
      <c r="P69" s="109"/>
      <c r="Q69" s="131" t="str">
        <f>HYPERLINK("https://twitter.com/dhardisty","@dhardisty")</f>
        <v>@dhardisty</v>
      </c>
      <c r="R69" s="109"/>
      <c r="S69" s="109"/>
      <c r="T69" s="109"/>
      <c r="U69" s="109"/>
      <c r="V69" s="109"/>
      <c r="W69" s="109"/>
      <c r="X69" s="109"/>
      <c r="Y69" s="109"/>
      <c r="Z69" s="109"/>
    </row>
    <row r="70" ht="39.75" customHeight="1">
      <c r="A70" s="109"/>
      <c r="B70" s="109" t="s">
        <v>8219</v>
      </c>
      <c r="C70" s="109" t="s">
        <v>8220</v>
      </c>
      <c r="D70" s="109"/>
      <c r="E70" s="109"/>
      <c r="F70" s="109"/>
      <c r="G70" s="109"/>
      <c r="H70" s="109"/>
      <c r="I70" s="109"/>
      <c r="J70" s="109"/>
      <c r="K70" s="317"/>
      <c r="L70" s="109"/>
      <c r="M70" s="109"/>
      <c r="N70" s="109"/>
      <c r="O70" s="109"/>
      <c r="P70" s="109"/>
      <c r="Q70" s="109"/>
      <c r="R70" s="109"/>
      <c r="S70" s="109"/>
      <c r="T70" s="109"/>
      <c r="U70" s="109"/>
      <c r="V70" s="109"/>
      <c r="W70" s="109"/>
      <c r="X70" s="109"/>
      <c r="Y70" s="109"/>
      <c r="Z70" s="109"/>
    </row>
    <row r="71" ht="39.75" customHeight="1">
      <c r="A71" s="109"/>
      <c r="B71" s="109" t="s">
        <v>8222</v>
      </c>
      <c r="C71" s="109" t="s">
        <v>8223</v>
      </c>
      <c r="D71" s="109" t="s">
        <v>8224</v>
      </c>
      <c r="E71" s="109"/>
      <c r="F71" s="109"/>
      <c r="G71" s="109"/>
      <c r="H71" s="109"/>
      <c r="I71" s="109"/>
      <c r="J71" s="109"/>
      <c r="K71" s="317"/>
      <c r="L71" s="109"/>
      <c r="M71" s="109"/>
      <c r="N71" s="109"/>
      <c r="O71" s="109"/>
      <c r="P71" s="109"/>
      <c r="Q71" s="131" t="str">
        <f>HYPERLINK("http://twitter.com/dwigder","@DWIGDER")</f>
        <v>@DWIGDER</v>
      </c>
      <c r="R71" s="109"/>
      <c r="S71" s="109"/>
      <c r="T71" s="109"/>
      <c r="U71" s="109"/>
      <c r="V71" s="109"/>
      <c r="W71" s="109"/>
      <c r="X71" s="109"/>
      <c r="Y71" s="109"/>
      <c r="Z71" s="109"/>
    </row>
    <row r="72" ht="39.75" customHeight="1">
      <c r="A72" s="109"/>
      <c r="B72" s="109" t="s">
        <v>8226</v>
      </c>
      <c r="C72" s="109" t="s">
        <v>8164</v>
      </c>
      <c r="D72" s="109"/>
      <c r="E72" s="109"/>
      <c r="F72" s="109"/>
      <c r="G72" s="109"/>
      <c r="H72" s="109"/>
      <c r="I72" s="109"/>
      <c r="J72" s="109"/>
      <c r="K72" s="317"/>
      <c r="L72" s="109"/>
      <c r="M72" s="109"/>
      <c r="N72" s="109"/>
      <c r="O72" s="109"/>
      <c r="P72" s="109"/>
      <c r="Q72" s="109"/>
      <c r="R72" s="109"/>
      <c r="S72" s="109"/>
      <c r="T72" s="109"/>
      <c r="U72" s="109"/>
      <c r="V72" s="109"/>
      <c r="W72" s="109"/>
      <c r="X72" s="109"/>
      <c r="Y72" s="109"/>
      <c r="Z72" s="109"/>
    </row>
    <row r="73" ht="39.75" customHeight="1">
      <c r="A73" s="109"/>
      <c r="B73" s="109" t="s">
        <v>8227</v>
      </c>
      <c r="C73" s="109" t="s">
        <v>8180</v>
      </c>
      <c r="D73" s="109"/>
      <c r="E73" s="109"/>
      <c r="F73" s="109"/>
      <c r="G73" s="109"/>
      <c r="H73" s="109"/>
      <c r="I73" s="109" t="s">
        <v>8228</v>
      </c>
      <c r="J73" s="109"/>
      <c r="K73" s="109"/>
      <c r="L73" s="109"/>
      <c r="M73" s="109"/>
      <c r="N73" s="109"/>
      <c r="O73" s="109"/>
      <c r="P73" s="109"/>
      <c r="Q73" s="109"/>
      <c r="R73" s="109"/>
      <c r="S73" s="109"/>
      <c r="T73" s="109"/>
      <c r="U73" s="109"/>
      <c r="V73" s="109"/>
      <c r="W73" s="109"/>
      <c r="X73" s="109"/>
      <c r="Y73" s="109"/>
      <c r="Z73" s="109"/>
    </row>
    <row r="74" ht="39.75" customHeight="1">
      <c r="A74" s="109"/>
      <c r="B74" s="124" t="s">
        <v>8229</v>
      </c>
      <c r="C74" s="109" t="s">
        <v>8230</v>
      </c>
      <c r="D74" s="109" t="s">
        <v>7303</v>
      </c>
      <c r="E74" s="109" t="s">
        <v>7254</v>
      </c>
      <c r="F74" s="109" t="s">
        <v>7474</v>
      </c>
      <c r="G74" s="109" t="s">
        <v>8231</v>
      </c>
      <c r="H74" s="109" t="s">
        <v>8233</v>
      </c>
      <c r="I74" s="109" t="s">
        <v>8234</v>
      </c>
      <c r="J74" s="109" t="s">
        <v>8235</v>
      </c>
      <c r="K74" s="109" t="s">
        <v>8236</v>
      </c>
      <c r="L74" s="109"/>
      <c r="M74" s="109"/>
      <c r="N74" s="109"/>
      <c r="O74" s="109"/>
      <c r="P74" s="109" t="s">
        <v>7641</v>
      </c>
      <c r="Q74" s="131" t="str">
        <f>HYPERLINK("https://twitter.com/donaldbraman","@donaldbraman")</f>
        <v>@donaldbraman</v>
      </c>
      <c r="R74" s="109"/>
      <c r="S74" s="109"/>
      <c r="T74" s="109"/>
      <c r="U74" s="109"/>
      <c r="V74" s="109"/>
      <c r="W74" s="109"/>
      <c r="X74" s="109"/>
      <c r="Y74" s="109"/>
      <c r="Z74" s="109"/>
    </row>
    <row r="75" ht="39.75" customHeight="1">
      <c r="A75" s="109"/>
      <c r="B75" s="109" t="s">
        <v>8240</v>
      </c>
      <c r="C75" s="109" t="s">
        <v>8241</v>
      </c>
      <c r="D75" s="109"/>
      <c r="E75" s="109"/>
      <c r="F75" s="109"/>
      <c r="G75" s="109"/>
      <c r="H75" s="109"/>
      <c r="I75" s="109"/>
      <c r="J75" s="109"/>
      <c r="K75" s="317"/>
      <c r="L75" s="109"/>
      <c r="M75" s="109"/>
      <c r="N75" s="109"/>
      <c r="O75" s="109"/>
      <c r="P75" s="109"/>
      <c r="Q75" s="109"/>
      <c r="R75" s="109"/>
      <c r="S75" s="109"/>
      <c r="T75" s="109"/>
      <c r="U75" s="109"/>
      <c r="V75" s="109"/>
      <c r="W75" s="109"/>
      <c r="X75" s="109"/>
      <c r="Y75" s="109"/>
      <c r="Z75" s="109"/>
    </row>
    <row r="76" ht="39.75" customHeight="1">
      <c r="A76" s="109"/>
      <c r="B76" s="124" t="s">
        <v>7222</v>
      </c>
      <c r="C76" s="109" t="s">
        <v>8242</v>
      </c>
      <c r="D76" s="109" t="s">
        <v>8243</v>
      </c>
      <c r="E76" s="109" t="s">
        <v>7189</v>
      </c>
      <c r="F76" s="109" t="s">
        <v>7190</v>
      </c>
      <c r="G76" s="109" t="s">
        <v>8244</v>
      </c>
      <c r="H76" s="109" t="s">
        <v>8245</v>
      </c>
      <c r="I76" s="109" t="s">
        <v>8246</v>
      </c>
      <c r="J76" s="109" t="s">
        <v>8247</v>
      </c>
      <c r="K76" s="317" t="s">
        <v>8248</v>
      </c>
      <c r="L76" s="109" t="s">
        <v>8249</v>
      </c>
      <c r="M76" s="109"/>
      <c r="N76" s="109" t="s">
        <v>8250</v>
      </c>
      <c r="O76" s="109"/>
      <c r="P76" s="109"/>
      <c r="Q76" s="109"/>
      <c r="R76" s="109"/>
      <c r="S76" s="109"/>
      <c r="T76" s="109"/>
      <c r="U76" s="109"/>
      <c r="V76" s="109"/>
      <c r="W76" s="109"/>
      <c r="X76" s="109"/>
      <c r="Y76" s="109"/>
      <c r="Z76" s="109"/>
    </row>
    <row r="77" ht="39.75" customHeight="1">
      <c r="A77" s="109"/>
      <c r="B77" s="109" t="s">
        <v>8252</v>
      </c>
      <c r="C77" s="109" t="s">
        <v>8253</v>
      </c>
      <c r="D77" s="109" t="s">
        <v>8254</v>
      </c>
      <c r="E77" s="109"/>
      <c r="F77" s="109"/>
      <c r="G77" s="109"/>
      <c r="H77" s="109"/>
      <c r="I77" s="109" t="s">
        <v>8256</v>
      </c>
      <c r="J77" s="109"/>
      <c r="K77" s="317"/>
      <c r="L77" s="109"/>
      <c r="M77" s="109"/>
      <c r="N77" s="109"/>
      <c r="O77" s="109"/>
      <c r="P77" s="109"/>
      <c r="Q77" s="109"/>
      <c r="R77" s="109"/>
      <c r="S77" s="109"/>
      <c r="T77" s="109"/>
      <c r="U77" s="109"/>
      <c r="V77" s="109"/>
      <c r="W77" s="109"/>
      <c r="X77" s="109"/>
      <c r="Y77" s="109"/>
      <c r="Z77" s="109"/>
    </row>
    <row r="78" ht="39.75" customHeight="1">
      <c r="A78" s="109"/>
      <c r="B78" s="109" t="s">
        <v>8259</v>
      </c>
      <c r="C78" s="109" t="s">
        <v>8260</v>
      </c>
      <c r="D78" s="109"/>
      <c r="E78" s="109"/>
      <c r="F78" s="109"/>
      <c r="G78" s="109"/>
      <c r="H78" s="109"/>
      <c r="I78" s="109" t="s">
        <v>8263</v>
      </c>
      <c r="J78" s="109"/>
      <c r="K78" s="317"/>
      <c r="L78" s="109"/>
      <c r="M78" s="109"/>
      <c r="N78" s="109"/>
      <c r="O78" s="109"/>
      <c r="P78" s="109"/>
      <c r="Q78" s="131" t="str">
        <f>HYPERLINK("https://twitter.com/ezramarkowitz","@ezramarkowitz")</f>
        <v>@ezramarkowitz</v>
      </c>
      <c r="R78" s="109"/>
      <c r="S78" s="109"/>
      <c r="T78" s="109"/>
      <c r="U78" s="109"/>
      <c r="V78" s="109"/>
      <c r="W78" s="109"/>
      <c r="X78" s="109"/>
      <c r="Y78" s="109"/>
      <c r="Z78" s="109"/>
    </row>
    <row r="79" ht="39.75" customHeight="1">
      <c r="A79" s="109"/>
      <c r="B79" s="109" t="s">
        <v>8271</v>
      </c>
      <c r="C79" s="109" t="s">
        <v>8272</v>
      </c>
      <c r="D79" s="109" t="s">
        <v>8274</v>
      </c>
      <c r="E79" s="109"/>
      <c r="F79" s="109"/>
      <c r="G79" s="109"/>
      <c r="H79" s="109"/>
      <c r="I79" s="109" t="s">
        <v>8277</v>
      </c>
      <c r="J79" s="109"/>
      <c r="K79" s="317"/>
      <c r="L79" s="109"/>
      <c r="M79" s="109"/>
      <c r="N79" s="109"/>
      <c r="O79" s="109"/>
      <c r="P79" s="109"/>
      <c r="Q79" s="131" t="str">
        <f>HYPERLINK("https://twitter.com/GernotWagner","@GernotWagner")</f>
        <v>@GernotWagner</v>
      </c>
      <c r="R79" s="109"/>
      <c r="S79" s="109"/>
      <c r="T79" s="109"/>
      <c r="U79" s="109"/>
      <c r="V79" s="109"/>
      <c r="W79" s="109"/>
      <c r="X79" s="109"/>
      <c r="Y79" s="109"/>
      <c r="Z79" s="109"/>
    </row>
    <row r="80" ht="39.75" customHeight="1">
      <c r="A80" s="109"/>
      <c r="B80" s="124" t="s">
        <v>8278</v>
      </c>
      <c r="C80" s="109"/>
      <c r="D80" s="109"/>
      <c r="E80" s="109"/>
      <c r="F80" s="109"/>
      <c r="G80" s="109"/>
      <c r="H80" s="109"/>
      <c r="I80" s="109"/>
      <c r="J80" s="109"/>
      <c r="K80" s="317"/>
      <c r="L80" s="109"/>
      <c r="M80" s="109"/>
      <c r="N80" s="109"/>
      <c r="O80" s="109"/>
      <c r="P80" s="109"/>
      <c r="Q80" s="109"/>
      <c r="R80" s="109"/>
      <c r="S80" s="109"/>
      <c r="T80" s="109"/>
      <c r="U80" s="109"/>
      <c r="V80" s="109"/>
      <c r="W80" s="109"/>
      <c r="X80" s="109"/>
      <c r="Y80" s="109"/>
      <c r="Z80" s="109"/>
    </row>
    <row r="81" ht="39.75" customHeight="1">
      <c r="A81" s="109"/>
      <c r="B81" s="109" t="s">
        <v>8279</v>
      </c>
      <c r="C81" s="109" t="s">
        <v>8280</v>
      </c>
      <c r="D81" s="109" t="s">
        <v>8281</v>
      </c>
      <c r="E81" s="109"/>
      <c r="F81" s="109"/>
      <c r="G81" s="109" t="s">
        <v>8282</v>
      </c>
      <c r="H81" s="109"/>
      <c r="I81" s="109"/>
      <c r="J81" s="109"/>
      <c r="K81" s="317"/>
      <c r="L81" s="109"/>
      <c r="M81" s="109"/>
      <c r="N81" s="109"/>
      <c r="O81" s="109"/>
      <c r="P81" s="109"/>
      <c r="Q81" s="109"/>
      <c r="R81" s="109"/>
      <c r="S81" s="109"/>
      <c r="T81" s="109"/>
      <c r="U81" s="109"/>
      <c r="V81" s="109"/>
      <c r="W81" s="109"/>
      <c r="X81" s="109"/>
      <c r="Y81" s="109"/>
      <c r="Z81" s="109"/>
    </row>
    <row r="82" ht="39.75" customHeight="1">
      <c r="A82" s="109"/>
      <c r="B82" s="109" t="s">
        <v>8283</v>
      </c>
      <c r="C82" s="109" t="s">
        <v>8284</v>
      </c>
      <c r="D82" s="109" t="s">
        <v>8285</v>
      </c>
      <c r="E82" s="109" t="s">
        <v>7392</v>
      </c>
      <c r="F82" s="109" t="s">
        <v>7190</v>
      </c>
      <c r="G82" s="109" t="s">
        <v>8286</v>
      </c>
      <c r="H82" s="109"/>
      <c r="I82" s="109" t="s">
        <v>8228</v>
      </c>
      <c r="J82" s="109" t="s">
        <v>8287</v>
      </c>
      <c r="K82" s="317" t="s">
        <v>8288</v>
      </c>
      <c r="L82" s="109" t="s">
        <v>8289</v>
      </c>
      <c r="M82" s="109"/>
      <c r="N82" s="109" t="s">
        <v>8290</v>
      </c>
      <c r="O82" s="109"/>
      <c r="P82" s="109" t="s">
        <v>8291</v>
      </c>
      <c r="Q82" s="109"/>
      <c r="R82" s="109"/>
      <c r="S82" s="109"/>
      <c r="T82" s="109"/>
      <c r="U82" s="109"/>
      <c r="V82" s="109"/>
      <c r="W82" s="109"/>
      <c r="X82" s="109"/>
      <c r="Y82" s="109"/>
      <c r="Z82" s="109"/>
    </row>
    <row r="83" ht="39.75" customHeight="1">
      <c r="A83" s="109"/>
      <c r="B83" s="109" t="s">
        <v>8292</v>
      </c>
      <c r="C83" s="109" t="s">
        <v>6801</v>
      </c>
      <c r="D83" s="109"/>
      <c r="E83" s="109"/>
      <c r="F83" s="109"/>
      <c r="G83" s="109"/>
      <c r="H83" s="109"/>
      <c r="I83" s="109"/>
      <c r="J83" s="109"/>
      <c r="K83" s="109"/>
      <c r="L83" s="109"/>
      <c r="M83" s="109" t="s">
        <v>8293</v>
      </c>
      <c r="N83" s="109"/>
      <c r="O83" s="109"/>
      <c r="P83" s="109"/>
      <c r="Q83" s="109"/>
      <c r="R83" s="109"/>
      <c r="S83" s="109"/>
      <c r="T83" s="109"/>
      <c r="U83" s="109"/>
      <c r="V83" s="109"/>
      <c r="W83" s="109"/>
      <c r="X83" s="109"/>
      <c r="Y83" s="109"/>
      <c r="Z83" s="109"/>
    </row>
    <row r="84" ht="39.75" customHeight="1">
      <c r="A84" s="109"/>
      <c r="B84" s="109" t="s">
        <v>1378</v>
      </c>
      <c r="C84" s="109" t="s">
        <v>7856</v>
      </c>
      <c r="D84" s="109"/>
      <c r="E84" s="109"/>
      <c r="F84" s="109"/>
      <c r="G84" s="109" t="s">
        <v>8295</v>
      </c>
      <c r="H84" s="109"/>
      <c r="I84" s="109" t="s">
        <v>8296</v>
      </c>
      <c r="J84" s="109"/>
      <c r="K84" s="109"/>
      <c r="L84" s="109"/>
      <c r="M84" s="109"/>
      <c r="N84" s="109"/>
      <c r="O84" s="109"/>
      <c r="P84" s="109"/>
      <c r="Q84" s="131" t="str">
        <f>HYPERLINK("https://twitter.com/jenniferjacquet","@jenniferjacquet")</f>
        <v>@jenniferjacquet</v>
      </c>
      <c r="R84" s="109"/>
      <c r="S84" s="109"/>
      <c r="T84" s="109"/>
      <c r="U84" s="109"/>
      <c r="V84" s="109"/>
      <c r="W84" s="109"/>
      <c r="X84" s="109"/>
      <c r="Y84" s="109"/>
      <c r="Z84" s="109"/>
    </row>
    <row r="85" ht="39.75" customHeight="1">
      <c r="A85" s="109"/>
      <c r="B85" s="109" t="s">
        <v>8300</v>
      </c>
      <c r="C85" s="109" t="s">
        <v>8220</v>
      </c>
      <c r="D85" s="109"/>
      <c r="E85" s="109"/>
      <c r="F85" s="109"/>
      <c r="G85" s="109"/>
      <c r="H85" s="109"/>
      <c r="I85" s="109"/>
      <c r="J85" s="109"/>
      <c r="K85" s="317"/>
      <c r="L85" s="109"/>
      <c r="M85" s="109"/>
      <c r="N85" s="109"/>
      <c r="O85" s="109"/>
      <c r="P85" s="109"/>
      <c r="Q85" s="109"/>
      <c r="R85" s="109"/>
      <c r="S85" s="109"/>
      <c r="T85" s="109"/>
      <c r="U85" s="109"/>
      <c r="V85" s="109"/>
      <c r="W85" s="109"/>
      <c r="X85" s="109"/>
      <c r="Y85" s="109"/>
      <c r="Z85" s="109"/>
    </row>
    <row r="86" ht="39.75" customHeight="1">
      <c r="A86" s="109"/>
      <c r="B86" s="109" t="s">
        <v>8303</v>
      </c>
      <c r="C86" s="109" t="s">
        <v>8304</v>
      </c>
      <c r="D86" s="109"/>
      <c r="E86" s="109"/>
      <c r="F86" s="109"/>
      <c r="G86" s="109" t="s">
        <v>8305</v>
      </c>
      <c r="H86" s="109"/>
      <c r="I86" s="109"/>
      <c r="J86" s="109"/>
      <c r="K86" s="109"/>
      <c r="L86" s="109"/>
      <c r="M86" s="109"/>
      <c r="N86" s="109"/>
      <c r="O86" s="109"/>
      <c r="P86" s="109"/>
      <c r="Q86" s="109"/>
      <c r="R86" s="109"/>
      <c r="S86" s="109"/>
      <c r="T86" s="109"/>
      <c r="U86" s="109"/>
      <c r="V86" s="109"/>
      <c r="W86" s="109"/>
      <c r="X86" s="109"/>
      <c r="Y86" s="109"/>
      <c r="Z86" s="109"/>
    </row>
    <row r="87" ht="39.75" customHeight="1">
      <c r="A87" s="109"/>
      <c r="B87" s="124" t="s">
        <v>8307</v>
      </c>
      <c r="C87" s="109" t="s">
        <v>8308</v>
      </c>
      <c r="D87" s="109" t="s">
        <v>8309</v>
      </c>
      <c r="E87" s="109" t="s">
        <v>7254</v>
      </c>
      <c r="F87" s="109"/>
      <c r="G87" s="109" t="s">
        <v>8310</v>
      </c>
      <c r="H87" s="109"/>
      <c r="I87" s="109"/>
      <c r="J87" s="109"/>
      <c r="K87" s="109" t="s">
        <v>8311</v>
      </c>
      <c r="L87" s="109"/>
      <c r="M87" s="109"/>
      <c r="N87" s="109"/>
      <c r="O87" s="109" t="s">
        <v>8313</v>
      </c>
      <c r="P87" s="109" t="s">
        <v>8314</v>
      </c>
      <c r="Q87" s="109"/>
      <c r="R87" s="109"/>
      <c r="S87" s="109"/>
      <c r="T87" s="109"/>
      <c r="U87" s="109"/>
      <c r="V87" s="109"/>
      <c r="W87" s="109"/>
      <c r="X87" s="109"/>
      <c r="Y87" s="109"/>
      <c r="Z87" s="109"/>
    </row>
    <row r="88" ht="39.75" customHeight="1">
      <c r="A88" s="109"/>
      <c r="B88" s="109" t="s">
        <v>8315</v>
      </c>
      <c r="C88" s="109" t="s">
        <v>7302</v>
      </c>
      <c r="D88" s="109"/>
      <c r="E88" s="109"/>
      <c r="F88" s="109"/>
      <c r="G88" s="109"/>
      <c r="H88" s="109"/>
      <c r="I88" s="109"/>
      <c r="J88" s="109"/>
      <c r="K88" s="317"/>
      <c r="L88" s="109"/>
      <c r="M88" s="109"/>
      <c r="N88" s="109"/>
      <c r="O88" s="109"/>
      <c r="P88" s="109"/>
      <c r="Q88" s="109"/>
      <c r="R88" s="109"/>
      <c r="S88" s="109"/>
      <c r="T88" s="109"/>
      <c r="U88" s="109"/>
      <c r="V88" s="109"/>
      <c r="W88" s="109"/>
      <c r="X88" s="109"/>
      <c r="Y88" s="109"/>
      <c r="Z88" s="109"/>
    </row>
    <row r="89" ht="39.75" customHeight="1">
      <c r="A89" s="109"/>
      <c r="B89" s="109" t="s">
        <v>8316</v>
      </c>
      <c r="C89" s="109"/>
      <c r="D89" s="109"/>
      <c r="E89" s="109"/>
      <c r="F89" s="109"/>
      <c r="G89" s="109"/>
      <c r="H89" s="109"/>
      <c r="I89" s="109"/>
      <c r="J89" s="109"/>
      <c r="K89" s="317"/>
      <c r="L89" s="109"/>
      <c r="M89" s="109"/>
      <c r="N89" s="109"/>
      <c r="O89" s="109"/>
      <c r="P89" s="109"/>
      <c r="Q89" s="109"/>
      <c r="R89" s="109"/>
      <c r="S89" s="109"/>
      <c r="T89" s="109"/>
      <c r="U89" s="109"/>
      <c r="V89" s="109"/>
      <c r="W89" s="109"/>
      <c r="X89" s="109"/>
      <c r="Y89" s="109"/>
      <c r="Z89" s="109"/>
    </row>
    <row r="90" ht="39.75" customHeight="1">
      <c r="A90" s="109"/>
      <c r="B90" s="109" t="s">
        <v>8317</v>
      </c>
      <c r="C90" s="109" t="s">
        <v>8318</v>
      </c>
      <c r="D90" s="109"/>
      <c r="E90" s="109"/>
      <c r="F90" s="109"/>
      <c r="G90" s="109"/>
      <c r="H90" s="109"/>
      <c r="I90" s="109"/>
      <c r="J90" s="109"/>
      <c r="K90" s="317" t="s">
        <v>8319</v>
      </c>
      <c r="L90" s="109"/>
      <c r="M90" s="109"/>
      <c r="N90" s="109"/>
      <c r="O90" s="109"/>
      <c r="P90" s="109" t="s">
        <v>8320</v>
      </c>
      <c r="Q90" s="131" t="str">
        <f>HYPERLINK("https://twitter.com/bermster","@bermster")</f>
        <v>@bermster</v>
      </c>
      <c r="R90" s="109"/>
      <c r="S90" s="109"/>
      <c r="T90" s="109"/>
      <c r="U90" s="109"/>
      <c r="V90" s="109"/>
      <c r="W90" s="109"/>
      <c r="X90" s="109"/>
      <c r="Y90" s="109"/>
      <c r="Z90" s="109"/>
    </row>
    <row r="91" ht="39.75" customHeight="1">
      <c r="A91" s="109"/>
      <c r="B91" s="109" t="s">
        <v>8322</v>
      </c>
      <c r="C91" s="109"/>
      <c r="D91" s="109"/>
      <c r="E91" s="109"/>
      <c r="F91" s="109"/>
      <c r="G91" s="109"/>
      <c r="H91" s="109"/>
      <c r="I91" s="109"/>
      <c r="J91" s="109"/>
      <c r="K91" s="317"/>
      <c r="L91" s="109"/>
      <c r="M91" s="109"/>
      <c r="N91" s="109"/>
      <c r="O91" s="109"/>
      <c r="P91" s="109"/>
      <c r="Q91" s="131" t="str">
        <f>HYPERLINK("https://twitter.com/GEOlaugic","@GEOlaugic")</f>
        <v>@GEOlaugic</v>
      </c>
      <c r="R91" s="109"/>
      <c r="S91" s="109"/>
      <c r="T91" s="109"/>
      <c r="U91" s="109"/>
      <c r="V91" s="109"/>
      <c r="W91" s="109"/>
      <c r="X91" s="109"/>
      <c r="Y91" s="109"/>
      <c r="Z91" s="109"/>
    </row>
    <row r="92" ht="39.75" customHeight="1">
      <c r="A92" s="109"/>
      <c r="B92" s="109" t="s">
        <v>8325</v>
      </c>
      <c r="C92" s="109" t="s">
        <v>7970</v>
      </c>
      <c r="D92" s="109"/>
      <c r="E92" s="109"/>
      <c r="F92" s="109"/>
      <c r="G92" s="109"/>
      <c r="H92" s="109"/>
      <c r="I92" s="109"/>
      <c r="J92" s="109"/>
      <c r="K92" s="317"/>
      <c r="L92" s="109"/>
      <c r="M92" s="109"/>
      <c r="N92" s="109"/>
      <c r="O92" s="109"/>
      <c r="P92" s="109"/>
      <c r="Q92" s="131" t="str">
        <f>HYPERLINK("https://twitter.com/lauriesantos","@lauriesantos")</f>
        <v>@lauriesantos</v>
      </c>
      <c r="R92" s="109"/>
      <c r="S92" s="109"/>
      <c r="T92" s="109"/>
      <c r="U92" s="109"/>
      <c r="V92" s="109"/>
      <c r="W92" s="109"/>
      <c r="X92" s="109"/>
      <c r="Y92" s="109"/>
      <c r="Z92" s="109"/>
    </row>
    <row r="93" ht="39.75" customHeight="1">
      <c r="A93" s="109"/>
      <c r="B93" s="109" t="s">
        <v>8329</v>
      </c>
      <c r="C93" s="109" t="s">
        <v>8330</v>
      </c>
      <c r="D93" s="109" t="s">
        <v>8331</v>
      </c>
      <c r="E93" s="109" t="s">
        <v>7254</v>
      </c>
      <c r="F93" s="109" t="s">
        <v>7190</v>
      </c>
      <c r="G93" s="109" t="s">
        <v>8332</v>
      </c>
      <c r="H93" s="109"/>
      <c r="I93" s="109" t="s">
        <v>8333</v>
      </c>
      <c r="J93" s="109" t="s">
        <v>8334</v>
      </c>
      <c r="K93" s="317"/>
      <c r="L93" s="109"/>
      <c r="M93" s="109" t="s">
        <v>6797</v>
      </c>
      <c r="N93" s="109"/>
      <c r="O93" s="109"/>
      <c r="P93" s="109" t="s">
        <v>8335</v>
      </c>
      <c r="Q93" s="109"/>
      <c r="R93" s="109"/>
      <c r="S93" s="109"/>
      <c r="T93" s="109"/>
      <c r="U93" s="109"/>
      <c r="V93" s="109"/>
      <c r="W93" s="109"/>
      <c r="X93" s="109"/>
      <c r="Y93" s="109"/>
      <c r="Z93" s="109"/>
    </row>
    <row r="94" ht="39.75" customHeight="1">
      <c r="A94" s="109"/>
      <c r="B94" s="124" t="s">
        <v>8336</v>
      </c>
      <c r="C94" s="109"/>
      <c r="D94" s="109"/>
      <c r="E94" s="109" t="s">
        <v>7392</v>
      </c>
      <c r="F94" s="109" t="s">
        <v>7190</v>
      </c>
      <c r="G94" s="109" t="s">
        <v>8337</v>
      </c>
      <c r="H94" s="109"/>
      <c r="I94" s="109"/>
      <c r="J94" s="109"/>
      <c r="K94" s="317" t="s">
        <v>8338</v>
      </c>
      <c r="L94" s="109"/>
      <c r="M94" s="109"/>
      <c r="N94" s="109" t="s">
        <v>8339</v>
      </c>
      <c r="O94" s="109" t="s">
        <v>8341</v>
      </c>
      <c r="P94" s="109" t="s">
        <v>8342</v>
      </c>
      <c r="Q94" s="131" t="str">
        <f>HYPERLINK("https://twitter.com/lisachacon","@lisachacon")</f>
        <v>@lisachacon</v>
      </c>
      <c r="R94" s="109"/>
      <c r="S94" s="109"/>
      <c r="T94" s="109"/>
      <c r="U94" s="109"/>
      <c r="V94" s="109"/>
      <c r="W94" s="109"/>
      <c r="X94" s="109"/>
      <c r="Y94" s="109"/>
      <c r="Z94" s="109"/>
    </row>
    <row r="95" ht="39.75" customHeight="1">
      <c r="A95" s="109"/>
      <c r="B95" s="109" t="s">
        <v>8344</v>
      </c>
      <c r="C95" s="109" t="s">
        <v>5152</v>
      </c>
      <c r="D95" s="109" t="s">
        <v>8345</v>
      </c>
      <c r="E95" s="109" t="s">
        <v>7254</v>
      </c>
      <c r="F95" s="109" t="s">
        <v>7190</v>
      </c>
      <c r="G95" s="109" t="s">
        <v>8349</v>
      </c>
      <c r="H95" s="109" t="s">
        <v>8350</v>
      </c>
      <c r="I95" s="109" t="s">
        <v>8351</v>
      </c>
      <c r="J95" s="109" t="s">
        <v>8352</v>
      </c>
      <c r="K95" s="109" t="s">
        <v>8354</v>
      </c>
      <c r="L95" s="109"/>
      <c r="M95" s="109"/>
      <c r="N95" s="109" t="s">
        <v>8355</v>
      </c>
      <c r="O95" s="109"/>
      <c r="P95" s="109" t="s">
        <v>8356</v>
      </c>
      <c r="Q95" s="131" t="str">
        <f>HYPERLINK("https://twitter.com/EnvPolicyCenter","@EnvPolicyCenter")</f>
        <v>@EnvPolicyCenter</v>
      </c>
      <c r="R95" s="109"/>
      <c r="S95" s="109"/>
      <c r="T95" s="109"/>
      <c r="U95" s="109"/>
      <c r="V95" s="109"/>
      <c r="W95" s="109"/>
      <c r="X95" s="109"/>
      <c r="Y95" s="109"/>
      <c r="Z95" s="109"/>
    </row>
    <row r="96" ht="39.75" customHeight="1">
      <c r="A96" s="109"/>
      <c r="B96" s="109" t="s">
        <v>8357</v>
      </c>
      <c r="C96" s="109"/>
      <c r="D96" s="109"/>
      <c r="E96" s="109"/>
      <c r="F96" s="109"/>
      <c r="G96" s="109"/>
      <c r="H96" s="109"/>
      <c r="I96" s="109"/>
      <c r="J96" s="109"/>
      <c r="K96" s="317"/>
      <c r="L96" s="109"/>
      <c r="M96" s="109"/>
      <c r="N96" s="109"/>
      <c r="O96" s="109"/>
      <c r="P96" s="109"/>
      <c r="Q96" s="131" t="str">
        <f>HYPERLINK("https://twitter.com/MaxBazerman","@MaxBazerman")</f>
        <v>@MaxBazerman</v>
      </c>
      <c r="R96" s="109"/>
      <c r="S96" s="109"/>
      <c r="T96" s="109"/>
      <c r="U96" s="109"/>
      <c r="V96" s="109"/>
      <c r="W96" s="109"/>
      <c r="X96" s="109"/>
      <c r="Y96" s="109"/>
      <c r="Z96" s="109"/>
    </row>
    <row r="97" ht="39.75" customHeight="1">
      <c r="A97" s="109"/>
      <c r="B97" s="109" t="s">
        <v>8358</v>
      </c>
      <c r="C97" s="109"/>
      <c r="D97" s="109"/>
      <c r="E97" s="109"/>
      <c r="F97" s="109"/>
      <c r="G97" s="109"/>
      <c r="H97" s="109"/>
      <c r="I97" s="109"/>
      <c r="J97" s="109"/>
      <c r="K97" s="317"/>
      <c r="L97" s="109"/>
      <c r="M97" s="109"/>
      <c r="N97" s="109"/>
      <c r="O97" s="109"/>
      <c r="P97" s="109"/>
      <c r="Q97" s="109"/>
      <c r="R97" s="109"/>
      <c r="S97" s="109"/>
      <c r="T97" s="109"/>
      <c r="U97" s="109"/>
      <c r="V97" s="109"/>
      <c r="W97" s="109"/>
      <c r="X97" s="109"/>
      <c r="Y97" s="109"/>
      <c r="Z97" s="109"/>
    </row>
    <row r="98" ht="39.75" customHeight="1">
      <c r="A98" s="109"/>
      <c r="B98" s="109" t="s">
        <v>8359</v>
      </c>
      <c r="C98" s="109" t="s">
        <v>8360</v>
      </c>
      <c r="D98" s="109"/>
      <c r="E98" s="109"/>
      <c r="F98" s="109"/>
      <c r="G98" s="109"/>
      <c r="H98" s="109"/>
      <c r="I98" s="109"/>
      <c r="J98" s="109"/>
      <c r="K98" s="317"/>
      <c r="L98" s="109"/>
      <c r="M98" s="109"/>
      <c r="N98" s="109"/>
      <c r="O98" s="109"/>
      <c r="P98" s="109"/>
      <c r="Q98" s="109"/>
      <c r="R98" s="109"/>
      <c r="S98" s="109"/>
      <c r="T98" s="109"/>
      <c r="U98" s="109"/>
      <c r="V98" s="109"/>
      <c r="W98" s="109"/>
      <c r="X98" s="109"/>
      <c r="Y98" s="109"/>
      <c r="Z98" s="109"/>
    </row>
    <row r="99" ht="39.75" customHeight="1">
      <c r="A99" s="109"/>
      <c r="B99" s="109" t="s">
        <v>8362</v>
      </c>
      <c r="C99" s="109"/>
      <c r="D99" s="109"/>
      <c r="E99" s="109"/>
      <c r="F99" s="109"/>
      <c r="G99" s="109"/>
      <c r="H99" s="109"/>
      <c r="I99" s="109" t="s">
        <v>8363</v>
      </c>
      <c r="J99" s="109"/>
      <c r="K99" s="317"/>
      <c r="L99" s="109"/>
      <c r="M99" s="109"/>
      <c r="N99" s="109"/>
      <c r="O99" s="131"/>
      <c r="P99" s="109"/>
      <c r="Q99" s="109"/>
      <c r="R99" s="109"/>
      <c r="S99" s="109"/>
      <c r="T99" s="109"/>
      <c r="U99" s="109"/>
      <c r="V99" s="109"/>
      <c r="W99" s="109"/>
      <c r="X99" s="109"/>
      <c r="Y99" s="109"/>
      <c r="Z99" s="109"/>
    </row>
    <row r="100" ht="39.75" customHeight="1">
      <c r="A100" s="109"/>
      <c r="B100" s="109" t="s">
        <v>8364</v>
      </c>
      <c r="C100" s="109"/>
      <c r="D100" s="109"/>
      <c r="E100" s="109"/>
      <c r="F100" s="109"/>
      <c r="G100" s="109"/>
      <c r="H100" s="109"/>
      <c r="I100" s="109" t="s">
        <v>8365</v>
      </c>
      <c r="J100" s="109"/>
      <c r="K100" s="317"/>
      <c r="L100" s="109"/>
      <c r="M100" s="109"/>
      <c r="N100" s="109"/>
      <c r="O100" s="109"/>
      <c r="P100" s="109"/>
      <c r="Q100" s="109"/>
      <c r="R100" s="109"/>
      <c r="S100" s="109"/>
      <c r="T100" s="109"/>
      <c r="U100" s="109"/>
      <c r="V100" s="109"/>
      <c r="W100" s="109"/>
      <c r="X100" s="109"/>
      <c r="Y100" s="109"/>
      <c r="Z100" s="109"/>
    </row>
    <row r="101" ht="39.75" customHeight="1">
      <c r="A101" s="109"/>
      <c r="B101" s="109" t="s">
        <v>8367</v>
      </c>
      <c r="C101" s="109" t="s">
        <v>6801</v>
      </c>
      <c r="D101" s="109" t="s">
        <v>7404</v>
      </c>
      <c r="E101" s="109"/>
      <c r="F101" s="109"/>
      <c r="G101" s="109"/>
      <c r="H101" s="109"/>
      <c r="I101" s="109"/>
      <c r="J101" s="109"/>
      <c r="K101" s="317"/>
      <c r="L101" s="109"/>
      <c r="M101" s="109"/>
      <c r="N101" s="109"/>
      <c r="O101" s="109"/>
      <c r="P101" s="109"/>
      <c r="Q101" s="131" t="str">
        <f>HYPERLINK("https://twitter.com/NaomiOreskes","@NaomiOreskes")</f>
        <v>@NaomiOreskes</v>
      </c>
      <c r="R101" s="109"/>
      <c r="S101" s="109"/>
      <c r="T101" s="109"/>
      <c r="U101" s="109"/>
      <c r="V101" s="109"/>
      <c r="W101" s="109"/>
      <c r="X101" s="109"/>
      <c r="Y101" s="109"/>
      <c r="Z101" s="109"/>
    </row>
    <row r="102" ht="39.75" customHeight="1">
      <c r="A102" s="109"/>
      <c r="B102" s="124" t="s">
        <v>8369</v>
      </c>
      <c r="C102" s="109"/>
      <c r="D102" s="109" t="s">
        <v>8370</v>
      </c>
      <c r="E102" s="109" t="s">
        <v>7189</v>
      </c>
      <c r="F102" s="109" t="s">
        <v>7474</v>
      </c>
      <c r="G102" s="109" t="s">
        <v>8371</v>
      </c>
      <c r="H102" s="109"/>
      <c r="I102" s="109"/>
      <c r="J102" s="109" t="s">
        <v>8372</v>
      </c>
      <c r="K102" s="317" t="s">
        <v>8373</v>
      </c>
      <c r="L102" s="109" t="s">
        <v>8374</v>
      </c>
      <c r="M102" s="109"/>
      <c r="N102" s="109" t="s">
        <v>8375</v>
      </c>
      <c r="O102" s="109" t="s">
        <v>8376</v>
      </c>
      <c r="P102" s="109"/>
      <c r="Q102" s="131" t="str">
        <f>HYPERLINK("https://twitter.com/NateSilver538","@NateSilver538")</f>
        <v>@NateSilver538</v>
      </c>
      <c r="R102" s="109"/>
      <c r="S102" s="109"/>
      <c r="T102" s="109"/>
      <c r="U102" s="109"/>
      <c r="V102" s="109"/>
      <c r="W102" s="109"/>
      <c r="X102" s="109"/>
      <c r="Y102" s="109"/>
      <c r="Z102" s="109"/>
    </row>
    <row r="103" ht="39.75" customHeight="1">
      <c r="A103" s="109"/>
      <c r="B103" s="109" t="s">
        <v>8379</v>
      </c>
      <c r="C103" s="109" t="s">
        <v>8380</v>
      </c>
      <c r="D103" s="109"/>
      <c r="E103" s="109"/>
      <c r="F103" s="109"/>
      <c r="G103" s="109" t="s">
        <v>8381</v>
      </c>
      <c r="H103" s="109"/>
      <c r="I103" s="109" t="s">
        <v>8382</v>
      </c>
      <c r="J103" s="109"/>
      <c r="K103" s="317"/>
      <c r="L103" s="109"/>
      <c r="M103" s="109"/>
      <c r="N103" s="109"/>
      <c r="O103" s="109"/>
      <c r="P103" s="109"/>
      <c r="Q103" s="109"/>
      <c r="R103" s="109"/>
      <c r="S103" s="109"/>
      <c r="T103" s="109"/>
      <c r="U103" s="109"/>
      <c r="V103" s="109"/>
      <c r="W103" s="109"/>
      <c r="X103" s="109"/>
      <c r="Y103" s="109"/>
      <c r="Z103" s="109"/>
    </row>
    <row r="104" ht="39.75" customHeight="1">
      <c r="A104" s="109"/>
      <c r="B104" s="109" t="s">
        <v>8383</v>
      </c>
      <c r="C104" s="109" t="s">
        <v>8384</v>
      </c>
      <c r="D104" s="109"/>
      <c r="E104" s="109"/>
      <c r="F104" s="109"/>
      <c r="G104" s="109"/>
      <c r="H104" s="109"/>
      <c r="I104" s="109"/>
      <c r="J104" s="109"/>
      <c r="K104" s="317"/>
      <c r="L104" s="109"/>
      <c r="M104" s="109"/>
      <c r="N104" s="109"/>
      <c r="O104" s="109"/>
      <c r="P104" s="109"/>
      <c r="Q104" s="131" t="str">
        <f>HYPERLINK("https://twitter.com/nicholasdwright","@nicholasdwright")</f>
        <v>@nicholasdwright</v>
      </c>
      <c r="R104" s="109"/>
      <c r="S104" s="109"/>
      <c r="T104" s="109"/>
      <c r="U104" s="109"/>
      <c r="V104" s="109"/>
      <c r="W104" s="109"/>
      <c r="X104" s="109"/>
      <c r="Y104" s="109"/>
      <c r="Z104" s="109"/>
    </row>
    <row r="105" ht="39.75" customHeight="1">
      <c r="A105" s="109"/>
      <c r="B105" s="109" t="s">
        <v>8385</v>
      </c>
      <c r="C105" s="109" t="s">
        <v>7856</v>
      </c>
      <c r="D105" s="109"/>
      <c r="E105" s="109"/>
      <c r="F105" s="109"/>
      <c r="G105" s="109"/>
      <c r="H105" s="109"/>
      <c r="I105" s="109"/>
      <c r="J105" s="109"/>
      <c r="K105" s="317"/>
      <c r="L105" s="109"/>
      <c r="M105" s="109"/>
      <c r="N105" s="109"/>
      <c r="O105" s="109"/>
      <c r="P105" s="109"/>
      <c r="Q105" s="109"/>
      <c r="R105" s="109"/>
      <c r="S105" s="109"/>
      <c r="T105" s="109"/>
      <c r="U105" s="109"/>
      <c r="V105" s="109"/>
      <c r="W105" s="109"/>
      <c r="X105" s="109"/>
      <c r="Y105" s="109"/>
      <c r="Z105" s="109"/>
    </row>
    <row r="106" ht="39.75" customHeight="1">
      <c r="A106" s="109"/>
      <c r="B106" s="124" t="s">
        <v>8387</v>
      </c>
      <c r="C106" s="109" t="s">
        <v>8388</v>
      </c>
      <c r="D106" s="109" t="s">
        <v>8389</v>
      </c>
      <c r="E106" s="109" t="s">
        <v>7189</v>
      </c>
      <c r="F106" s="109" t="s">
        <v>7190</v>
      </c>
      <c r="G106" s="109" t="s">
        <v>8391</v>
      </c>
      <c r="H106" s="109" t="s">
        <v>8392</v>
      </c>
      <c r="I106" s="109" t="s">
        <v>8393</v>
      </c>
      <c r="J106" s="109"/>
      <c r="K106" s="317" t="s">
        <v>8394</v>
      </c>
      <c r="L106" s="109" t="s">
        <v>8395</v>
      </c>
      <c r="M106" s="109"/>
      <c r="N106" s="109" t="s">
        <v>8396</v>
      </c>
      <c r="O106" s="109"/>
      <c r="P106" s="109" t="s">
        <v>8397</v>
      </c>
      <c r="Q106" s="109"/>
      <c r="R106" s="109"/>
      <c r="S106" s="109"/>
      <c r="T106" s="109"/>
      <c r="U106" s="109"/>
      <c r="V106" s="109"/>
      <c r="W106" s="109"/>
      <c r="X106" s="109"/>
      <c r="Y106" s="109"/>
      <c r="Z106" s="109"/>
    </row>
    <row r="107" ht="39.75" customHeight="1">
      <c r="A107" s="109"/>
      <c r="B107" s="109" t="s">
        <v>7493</v>
      </c>
      <c r="C107" s="109" t="s">
        <v>8398</v>
      </c>
      <c r="D107" s="109" t="s">
        <v>8399</v>
      </c>
      <c r="E107" s="109" t="s">
        <v>7189</v>
      </c>
      <c r="F107" s="109" t="s">
        <v>7190</v>
      </c>
      <c r="G107" s="109" t="s">
        <v>8400</v>
      </c>
      <c r="H107" s="109"/>
      <c r="I107" s="109" t="s">
        <v>8401</v>
      </c>
      <c r="J107" s="109" t="s">
        <v>8402</v>
      </c>
      <c r="K107" s="317" t="s">
        <v>8403</v>
      </c>
      <c r="L107" s="109" t="s">
        <v>8404</v>
      </c>
      <c r="M107" s="109" t="s">
        <v>8405</v>
      </c>
      <c r="N107" s="109" t="s">
        <v>8406</v>
      </c>
      <c r="O107" s="109" t="s">
        <v>8407</v>
      </c>
      <c r="P107" s="109"/>
      <c r="Q107" s="131" t="str">
        <f>HYPERLINK("https://twitter.com/estoknes","@estoknes")</f>
        <v>@estoknes</v>
      </c>
      <c r="R107" s="109"/>
      <c r="S107" s="109"/>
      <c r="T107" s="109"/>
      <c r="U107" s="109"/>
      <c r="V107" s="109"/>
      <c r="W107" s="109"/>
      <c r="X107" s="109"/>
      <c r="Y107" s="109"/>
      <c r="Z107" s="109"/>
    </row>
    <row r="108" ht="39.75" customHeight="1">
      <c r="A108" s="109"/>
      <c r="B108" s="124" t="s">
        <v>8408</v>
      </c>
      <c r="C108" s="109" t="s">
        <v>8409</v>
      </c>
      <c r="D108" s="109" t="s">
        <v>8410</v>
      </c>
      <c r="E108" s="109" t="s">
        <v>7189</v>
      </c>
      <c r="F108" s="109" t="s">
        <v>7190</v>
      </c>
      <c r="G108" s="109" t="s">
        <v>8412</v>
      </c>
      <c r="H108" s="109"/>
      <c r="I108" s="109" t="s">
        <v>8413</v>
      </c>
      <c r="J108" s="109" t="s">
        <v>8414</v>
      </c>
      <c r="K108" s="317" t="s">
        <v>8415</v>
      </c>
      <c r="L108" s="109" t="s">
        <v>8416</v>
      </c>
      <c r="M108" s="109"/>
      <c r="N108" s="109" t="s">
        <v>8417</v>
      </c>
      <c r="O108" s="109" t="s">
        <v>8418</v>
      </c>
      <c r="P108" s="109"/>
      <c r="Q108" s="109"/>
      <c r="R108" s="109"/>
      <c r="S108" s="109"/>
      <c r="T108" s="109"/>
      <c r="U108" s="109"/>
      <c r="V108" s="109"/>
      <c r="W108" s="109"/>
      <c r="X108" s="109"/>
      <c r="Y108" s="109"/>
      <c r="Z108" s="109"/>
    </row>
    <row r="109" ht="39.75" customHeight="1">
      <c r="A109" s="109"/>
      <c r="B109" s="109" t="s">
        <v>8420</v>
      </c>
      <c r="C109" s="109"/>
      <c r="D109" s="109"/>
      <c r="E109" s="109"/>
      <c r="F109" s="109"/>
      <c r="G109" s="109"/>
      <c r="H109" s="109"/>
      <c r="I109" s="109" t="s">
        <v>8421</v>
      </c>
      <c r="J109" s="109"/>
      <c r="K109" s="317"/>
      <c r="L109" s="109"/>
      <c r="M109" s="109"/>
      <c r="N109" s="109"/>
      <c r="O109" s="109"/>
      <c r="P109" s="109"/>
      <c r="Q109" s="109"/>
      <c r="R109" s="109"/>
      <c r="S109" s="109"/>
      <c r="T109" s="109"/>
      <c r="U109" s="109"/>
      <c r="V109" s="109"/>
      <c r="W109" s="109"/>
      <c r="X109" s="109"/>
      <c r="Y109" s="109"/>
      <c r="Z109" s="109"/>
    </row>
    <row r="110" ht="39.75" customHeight="1">
      <c r="A110" s="109"/>
      <c r="B110" s="109" t="s">
        <v>8422</v>
      </c>
      <c r="C110" s="109" t="s">
        <v>7302</v>
      </c>
      <c r="D110" s="109"/>
      <c r="E110" s="109"/>
      <c r="F110" s="109"/>
      <c r="G110" s="109"/>
      <c r="H110" s="109"/>
      <c r="I110" s="109"/>
      <c r="J110" s="109"/>
      <c r="K110" s="317"/>
      <c r="L110" s="109"/>
      <c r="M110" s="109"/>
      <c r="N110" s="109"/>
      <c r="O110" s="109"/>
      <c r="P110" s="109"/>
      <c r="Q110" s="109"/>
      <c r="R110" s="109"/>
      <c r="S110" s="109"/>
      <c r="T110" s="109"/>
      <c r="U110" s="109"/>
      <c r="V110" s="109"/>
      <c r="W110" s="109"/>
      <c r="X110" s="109"/>
      <c r="Y110" s="109"/>
      <c r="Z110" s="109"/>
    </row>
    <row r="111" ht="39.75" customHeight="1">
      <c r="A111" s="109"/>
      <c r="B111" s="109" t="s">
        <v>8424</v>
      </c>
      <c r="C111" s="109" t="s">
        <v>8425</v>
      </c>
      <c r="D111" s="109"/>
      <c r="E111" s="109"/>
      <c r="F111" s="109"/>
      <c r="G111" s="109" t="s">
        <v>8426</v>
      </c>
      <c r="H111" s="109"/>
      <c r="I111" s="109" t="s">
        <v>8427</v>
      </c>
      <c r="J111" s="109"/>
      <c r="K111" s="317"/>
      <c r="L111" s="109"/>
      <c r="M111" s="109"/>
      <c r="N111" s="109"/>
      <c r="O111" s="109"/>
      <c r="P111" s="109"/>
      <c r="Q111" s="109"/>
      <c r="R111" s="109"/>
      <c r="S111" s="109"/>
      <c r="T111" s="109"/>
      <c r="U111" s="109"/>
      <c r="V111" s="109"/>
      <c r="W111" s="109"/>
      <c r="X111" s="109"/>
      <c r="Y111" s="109"/>
      <c r="Z111" s="109"/>
    </row>
    <row r="112" ht="39.75" customHeight="1">
      <c r="A112" s="109"/>
      <c r="B112" s="109" t="s">
        <v>8428</v>
      </c>
      <c r="C112" s="109"/>
      <c r="D112" s="109"/>
      <c r="E112" s="109"/>
      <c r="F112" s="109"/>
      <c r="G112" s="109"/>
      <c r="H112" s="109"/>
      <c r="I112" s="109"/>
      <c r="J112" s="109"/>
      <c r="K112" s="109"/>
      <c r="L112" s="109"/>
      <c r="M112" s="109" t="s">
        <v>8429</v>
      </c>
      <c r="N112" s="109"/>
      <c r="O112" s="109"/>
      <c r="P112" s="109"/>
      <c r="Q112" s="109"/>
      <c r="R112" s="109"/>
      <c r="S112" s="109"/>
      <c r="T112" s="109"/>
      <c r="U112" s="109"/>
      <c r="V112" s="109"/>
      <c r="W112" s="109"/>
      <c r="X112" s="109"/>
      <c r="Y112" s="109"/>
      <c r="Z112" s="109"/>
    </row>
    <row r="113" ht="39.75" customHeight="1">
      <c r="A113" s="109"/>
      <c r="B113" s="124" t="s">
        <v>8430</v>
      </c>
      <c r="C113" s="109" t="s">
        <v>8431</v>
      </c>
      <c r="D113" s="109" t="s">
        <v>7404</v>
      </c>
      <c r="E113" s="109" t="s">
        <v>7254</v>
      </c>
      <c r="F113" s="109" t="s">
        <v>7190</v>
      </c>
      <c r="G113" s="109" t="s">
        <v>8432</v>
      </c>
      <c r="H113" s="109"/>
      <c r="I113" s="109" t="s">
        <v>8433</v>
      </c>
      <c r="J113" s="109" t="s">
        <v>8434</v>
      </c>
      <c r="K113" s="109" t="s">
        <v>8435</v>
      </c>
      <c r="L113" s="109" t="s">
        <v>8436</v>
      </c>
      <c r="M113" s="109"/>
      <c r="N113" s="109"/>
      <c r="O113" s="109" t="s">
        <v>7721</v>
      </c>
      <c r="P113" s="109"/>
      <c r="Q113" s="109"/>
      <c r="R113" s="109"/>
      <c r="S113" s="109"/>
      <c r="T113" s="109"/>
      <c r="U113" s="109"/>
      <c r="V113" s="109"/>
      <c r="W113" s="109"/>
      <c r="X113" s="109"/>
      <c r="Y113" s="109"/>
      <c r="Z113" s="109"/>
    </row>
    <row r="114" ht="39.75" customHeight="1">
      <c r="A114" s="109"/>
      <c r="B114" s="109" t="s">
        <v>8438</v>
      </c>
      <c r="C114" s="109" t="s">
        <v>8439</v>
      </c>
      <c r="D114" s="109"/>
      <c r="E114" s="109"/>
      <c r="F114" s="109"/>
      <c r="G114" s="109"/>
      <c r="H114" s="109"/>
      <c r="I114" s="109" t="s">
        <v>8440</v>
      </c>
      <c r="J114" s="109"/>
      <c r="K114" s="317"/>
      <c r="L114" s="109"/>
      <c r="M114" s="109"/>
      <c r="N114" s="109"/>
      <c r="O114" s="109"/>
      <c r="P114" s="109"/>
      <c r="Q114" s="131" t="str">
        <f>HYPERLINK("https://twitter.com/Shahzeen","@Shahzeen")</f>
        <v>@Shahzeen</v>
      </c>
      <c r="R114" s="109"/>
      <c r="S114" s="109"/>
      <c r="T114" s="109"/>
      <c r="U114" s="109"/>
      <c r="V114" s="109"/>
      <c r="W114" s="109"/>
      <c r="X114" s="109"/>
      <c r="Y114" s="109"/>
      <c r="Z114" s="109"/>
    </row>
    <row r="115" ht="39.75" customHeight="1">
      <c r="A115" s="109"/>
      <c r="B115" s="109" t="s">
        <v>8441</v>
      </c>
      <c r="C115" s="109" t="s">
        <v>8442</v>
      </c>
      <c r="D115" s="109" t="s">
        <v>8443</v>
      </c>
      <c r="E115" s="109" t="s">
        <v>7392</v>
      </c>
      <c r="F115" s="109"/>
      <c r="G115" s="109" t="s">
        <v>8444</v>
      </c>
      <c r="H115" s="109"/>
      <c r="I115" s="109" t="s">
        <v>8445</v>
      </c>
      <c r="J115" s="109"/>
      <c r="K115" s="109"/>
      <c r="L115" s="109"/>
      <c r="M115" s="109"/>
      <c r="N115" s="109"/>
      <c r="O115" s="109"/>
      <c r="P115" s="109"/>
      <c r="Q115" s="131" t="str">
        <f>HYPERLINK("https://twitter.com/PeoplesGrid","@PeoplesGrid")</f>
        <v>@PeoplesGrid</v>
      </c>
      <c r="R115" s="109"/>
      <c r="S115" s="109"/>
      <c r="T115" s="109"/>
      <c r="U115" s="109"/>
      <c r="V115" s="109"/>
      <c r="W115" s="109"/>
      <c r="X115" s="109"/>
      <c r="Y115" s="109"/>
      <c r="Z115" s="109"/>
    </row>
    <row r="116" ht="39.75" customHeight="1">
      <c r="A116" s="109"/>
      <c r="B116" s="109" t="s">
        <v>8446</v>
      </c>
      <c r="C116" s="109" t="s">
        <v>8180</v>
      </c>
      <c r="D116" s="109"/>
      <c r="E116" s="109"/>
      <c r="F116" s="109"/>
      <c r="G116" s="109"/>
      <c r="H116" s="109"/>
      <c r="I116" s="109"/>
      <c r="J116" s="109"/>
      <c r="K116" s="109"/>
      <c r="L116" s="109"/>
      <c r="M116" s="109"/>
      <c r="N116" s="109"/>
      <c r="O116" s="109"/>
      <c r="P116" s="109"/>
      <c r="Q116" s="131" t="str">
        <f>HYPERLINK("https://twitter.com/shlomobenartzi","@shlomobenartzi")</f>
        <v>@shlomobenartzi</v>
      </c>
      <c r="R116" s="109"/>
      <c r="S116" s="109"/>
      <c r="T116" s="109"/>
      <c r="U116" s="109"/>
      <c r="V116" s="109"/>
      <c r="W116" s="109"/>
      <c r="X116" s="109"/>
      <c r="Y116" s="109"/>
      <c r="Z116" s="109"/>
    </row>
    <row r="117" ht="39.75" customHeight="1">
      <c r="A117" s="109"/>
      <c r="B117" s="109" t="s">
        <v>8447</v>
      </c>
      <c r="C117" s="109" t="s">
        <v>6628</v>
      </c>
      <c r="D117" s="109"/>
      <c r="E117" s="109"/>
      <c r="F117" s="109"/>
      <c r="G117" s="109"/>
      <c r="H117" s="109"/>
      <c r="I117" s="109"/>
      <c r="J117" s="109"/>
      <c r="K117" s="317"/>
      <c r="L117" s="109"/>
      <c r="M117" s="109"/>
      <c r="N117" s="109"/>
      <c r="O117" s="109"/>
      <c r="P117" s="109"/>
      <c r="Q117" s="131" t="str">
        <f>HYPERLINK("https://twitter.com/sianbeilock","@sianbeilock")</f>
        <v>@sianbeilock</v>
      </c>
      <c r="R117" s="109"/>
      <c r="S117" s="109"/>
      <c r="T117" s="109"/>
      <c r="U117" s="109"/>
      <c r="V117" s="109"/>
      <c r="W117" s="109"/>
      <c r="X117" s="109"/>
      <c r="Y117" s="109"/>
      <c r="Z117" s="109"/>
    </row>
    <row r="118" ht="39.75" customHeight="1">
      <c r="A118" s="109"/>
      <c r="B118" s="109" t="s">
        <v>8448</v>
      </c>
      <c r="C118" s="109" t="s">
        <v>8449</v>
      </c>
      <c r="D118" s="109"/>
      <c r="E118" s="109"/>
      <c r="F118" s="109"/>
      <c r="G118" s="109"/>
      <c r="H118" s="109"/>
      <c r="I118" s="109"/>
      <c r="J118" s="109"/>
      <c r="K118" s="317"/>
      <c r="L118" s="109"/>
      <c r="M118" s="109"/>
      <c r="N118" s="109"/>
      <c r="O118" s="109"/>
      <c r="P118" s="109"/>
      <c r="Q118" s="109"/>
      <c r="R118" s="109"/>
      <c r="S118" s="109"/>
      <c r="T118" s="109"/>
      <c r="U118" s="109"/>
      <c r="V118" s="109"/>
      <c r="W118" s="109"/>
      <c r="X118" s="109"/>
      <c r="Y118" s="109"/>
      <c r="Z118" s="109"/>
    </row>
    <row r="119" ht="39.75" customHeight="1">
      <c r="A119" s="109"/>
      <c r="B119" s="109" t="s">
        <v>8450</v>
      </c>
      <c r="C119" s="109"/>
      <c r="D119" s="109"/>
      <c r="E119" s="109"/>
      <c r="F119" s="109"/>
      <c r="G119" s="109"/>
      <c r="H119" s="109"/>
      <c r="I119" s="109"/>
      <c r="J119" s="109"/>
      <c r="K119" s="317"/>
      <c r="L119" s="109"/>
      <c r="M119" s="109"/>
      <c r="N119" s="109"/>
      <c r="O119" s="109"/>
      <c r="P119" s="109"/>
      <c r="Q119" s="131" t="str">
        <f>HYPERLINK("https://twitter.com/sapinker","@sapinker")</f>
        <v>@sapinker</v>
      </c>
      <c r="R119" s="109"/>
      <c r="S119" s="109"/>
      <c r="T119" s="109"/>
      <c r="U119" s="109"/>
      <c r="V119" s="109"/>
      <c r="W119" s="109"/>
      <c r="X119" s="109"/>
      <c r="Y119" s="109"/>
      <c r="Z119" s="109"/>
    </row>
    <row r="120" ht="39.75" customHeight="1">
      <c r="A120" s="109"/>
      <c r="B120" s="109" t="s">
        <v>8451</v>
      </c>
      <c r="C120" s="109"/>
      <c r="D120" s="109"/>
      <c r="E120" s="109"/>
      <c r="F120" s="109"/>
      <c r="G120" s="109"/>
      <c r="H120" s="109"/>
      <c r="I120" s="109"/>
      <c r="J120" s="109"/>
      <c r="K120" s="317"/>
      <c r="L120" s="109"/>
      <c r="M120" s="325" t="s">
        <v>8113</v>
      </c>
      <c r="N120" s="109"/>
      <c r="O120" s="109"/>
      <c r="P120" s="109"/>
      <c r="Q120" s="109"/>
      <c r="R120" s="320"/>
      <c r="S120" s="320"/>
      <c r="T120" s="320"/>
      <c r="U120" s="320"/>
      <c r="V120" s="320"/>
      <c r="W120" s="320"/>
      <c r="X120" s="320"/>
      <c r="Y120" s="320"/>
      <c r="Z120" s="320"/>
    </row>
    <row r="121" ht="39.75" customHeight="1">
      <c r="A121" s="109"/>
      <c r="B121" s="109" t="s">
        <v>8452</v>
      </c>
      <c r="C121" s="109" t="s">
        <v>7970</v>
      </c>
      <c r="D121" s="109"/>
      <c r="E121" s="109"/>
      <c r="F121" s="109"/>
      <c r="G121" s="109"/>
      <c r="H121" s="109"/>
      <c r="I121" s="109"/>
      <c r="J121" s="109"/>
      <c r="K121" s="317"/>
      <c r="L121" s="109"/>
      <c r="M121" s="109"/>
      <c r="N121" s="109"/>
      <c r="O121" s="109"/>
      <c r="P121" s="109"/>
      <c r="Q121" s="109"/>
      <c r="R121" s="335"/>
      <c r="S121" s="335"/>
      <c r="T121" s="335"/>
      <c r="U121" s="335"/>
      <c r="V121" s="335"/>
      <c r="W121" s="335"/>
      <c r="X121" s="335"/>
      <c r="Y121" s="335"/>
      <c r="Z121" s="335"/>
    </row>
    <row r="122" ht="39.75" customHeight="1">
      <c r="A122" s="109"/>
      <c r="B122" s="109" t="s">
        <v>8453</v>
      </c>
      <c r="C122" s="109" t="s">
        <v>8454</v>
      </c>
      <c r="D122" s="109" t="s">
        <v>8455</v>
      </c>
      <c r="E122" s="109" t="s">
        <v>7254</v>
      </c>
      <c r="F122" s="109" t="s">
        <v>7190</v>
      </c>
      <c r="G122" s="109" t="s">
        <v>8456</v>
      </c>
      <c r="H122" s="109"/>
      <c r="I122" s="109" t="s">
        <v>8457</v>
      </c>
      <c r="J122" s="109" t="s">
        <v>8458</v>
      </c>
      <c r="K122" s="109" t="s">
        <v>8459</v>
      </c>
      <c r="L122" s="109" t="s">
        <v>8460</v>
      </c>
      <c r="M122" s="109"/>
      <c r="N122" s="109"/>
      <c r="O122" s="109"/>
      <c r="P122" s="109" t="s">
        <v>8461</v>
      </c>
      <c r="Q122" s="109"/>
      <c r="R122" s="109"/>
      <c r="S122" s="109"/>
      <c r="T122" s="109"/>
      <c r="U122" s="109"/>
      <c r="V122" s="109"/>
      <c r="W122" s="109"/>
      <c r="X122" s="109"/>
      <c r="Y122" s="109"/>
      <c r="Z122" s="109"/>
    </row>
    <row r="123" ht="39.75" customHeight="1">
      <c r="A123" s="335"/>
      <c r="B123" s="335" t="s">
        <v>8462</v>
      </c>
      <c r="C123" s="335"/>
      <c r="D123" s="335"/>
      <c r="E123" s="335"/>
      <c r="F123" s="335"/>
      <c r="G123" s="335"/>
      <c r="H123" s="335"/>
      <c r="I123" s="335"/>
      <c r="J123" s="335"/>
      <c r="K123" s="336"/>
      <c r="L123" s="335"/>
      <c r="M123" s="337"/>
      <c r="N123" s="335"/>
      <c r="O123" s="335"/>
      <c r="P123" s="335"/>
      <c r="Q123" s="338" t="str">
        <f>HYPERLINK("https://twitter.com/UriGneezy","@UriGneezy")</f>
        <v>@UriGneezy</v>
      </c>
      <c r="R123" s="109"/>
      <c r="S123" s="109"/>
      <c r="T123" s="109"/>
      <c r="U123" s="109"/>
      <c r="V123" s="109"/>
      <c r="W123" s="109"/>
      <c r="X123" s="109"/>
      <c r="Y123" s="109"/>
      <c r="Z123" s="109"/>
    </row>
    <row r="124" ht="39.75" customHeight="1">
      <c r="A124" s="109"/>
      <c r="B124" s="109" t="s">
        <v>8463</v>
      </c>
      <c r="C124" s="109"/>
      <c r="D124" s="109"/>
      <c r="E124" s="109"/>
      <c r="F124" s="109"/>
      <c r="G124" s="109"/>
      <c r="H124" s="109"/>
      <c r="I124" s="109" t="s">
        <v>8464</v>
      </c>
      <c r="J124" s="109"/>
      <c r="K124" s="317"/>
      <c r="L124" s="109"/>
      <c r="M124" s="109"/>
      <c r="N124" s="109"/>
      <c r="O124" s="109"/>
      <c r="P124" s="109"/>
      <c r="Q124" s="109"/>
      <c r="R124" s="109"/>
      <c r="S124" s="109"/>
      <c r="T124" s="109"/>
      <c r="U124" s="109"/>
      <c r="V124" s="109"/>
      <c r="W124" s="109"/>
      <c r="X124" s="109"/>
      <c r="Y124" s="109"/>
      <c r="Z124" s="109"/>
    </row>
    <row r="125" ht="39.75" customHeight="1">
      <c r="A125" s="109"/>
      <c r="B125" s="124" t="s">
        <v>8465</v>
      </c>
      <c r="C125" s="109" t="s">
        <v>8466</v>
      </c>
      <c r="D125" s="109" t="s">
        <v>8467</v>
      </c>
      <c r="E125" s="109" t="s">
        <v>7392</v>
      </c>
      <c r="F125" s="109" t="s">
        <v>7190</v>
      </c>
      <c r="G125" s="109" t="s">
        <v>8468</v>
      </c>
      <c r="H125" s="109"/>
      <c r="I125" s="109" t="s">
        <v>8469</v>
      </c>
      <c r="J125" s="109" t="s">
        <v>8470</v>
      </c>
      <c r="K125" s="317" t="s">
        <v>8471</v>
      </c>
      <c r="L125" s="109"/>
      <c r="M125" s="109"/>
      <c r="N125" s="109"/>
      <c r="O125" s="109"/>
      <c r="P125" s="109" t="s">
        <v>8472</v>
      </c>
      <c r="Q125" s="109"/>
      <c r="R125" s="109"/>
      <c r="S125" s="109"/>
      <c r="T125" s="109"/>
      <c r="U125" s="109"/>
      <c r="V125" s="109"/>
      <c r="W125" s="109"/>
      <c r="X125" s="109"/>
      <c r="Y125" s="109"/>
      <c r="Z125" s="109"/>
    </row>
    <row r="126" ht="39.75" customHeight="1">
      <c r="A126" s="109"/>
      <c r="B126" s="109" t="s">
        <v>8473</v>
      </c>
      <c r="C126" s="109" t="s">
        <v>8474</v>
      </c>
      <c r="D126" s="109"/>
      <c r="E126" s="109"/>
      <c r="F126" s="109"/>
      <c r="G126" s="109"/>
      <c r="H126" s="109"/>
      <c r="I126" s="109"/>
      <c r="J126" s="109"/>
      <c r="K126" s="317"/>
      <c r="L126" s="109"/>
      <c r="M126" s="109"/>
      <c r="N126" s="109"/>
      <c r="O126" s="109"/>
      <c r="P126" s="109"/>
      <c r="Q126" s="109"/>
      <c r="R126" s="109"/>
      <c r="S126" s="109"/>
      <c r="T126" s="109"/>
      <c r="U126" s="109"/>
      <c r="V126" s="109"/>
      <c r="W126" s="109"/>
      <c r="X126" s="109"/>
      <c r="Y126" s="109"/>
      <c r="Z126" s="109"/>
    </row>
    <row r="127" ht="39.75" customHeight="1">
      <c r="A127" s="109"/>
      <c r="B127" s="109" t="s">
        <v>8475</v>
      </c>
      <c r="C127" s="109"/>
      <c r="D127" s="109"/>
      <c r="E127" s="109"/>
      <c r="F127" s="109"/>
      <c r="G127" s="109"/>
      <c r="H127" s="109"/>
      <c r="I127" s="109" t="s">
        <v>8476</v>
      </c>
      <c r="J127" s="109"/>
      <c r="K127" s="109"/>
      <c r="L127" s="109"/>
      <c r="M127" s="109"/>
      <c r="N127" s="109"/>
      <c r="O127" s="109"/>
      <c r="P127" s="109"/>
      <c r="Q127" s="109"/>
      <c r="R127" s="109"/>
      <c r="S127" s="109"/>
      <c r="T127" s="109"/>
      <c r="U127" s="109"/>
      <c r="V127" s="109"/>
      <c r="W127" s="109"/>
      <c r="X127" s="109"/>
      <c r="Y127" s="109"/>
      <c r="Z127" s="109"/>
    </row>
    <row r="128" ht="39.75" customHeight="1">
      <c r="A128" s="109"/>
      <c r="B128" s="294" t="s">
        <v>8477</v>
      </c>
      <c r="C128" s="294" t="s">
        <v>8478</v>
      </c>
      <c r="D128" s="294" t="s">
        <v>8479</v>
      </c>
      <c r="E128" s="294" t="s">
        <v>8480</v>
      </c>
      <c r="F128" s="294" t="s">
        <v>8481</v>
      </c>
      <c r="G128" s="294" t="s">
        <v>8482</v>
      </c>
      <c r="H128" s="294"/>
      <c r="I128" s="294" t="s">
        <v>8483</v>
      </c>
      <c r="J128" s="109"/>
      <c r="K128" s="317"/>
      <c r="L128" s="109"/>
      <c r="M128" s="109"/>
      <c r="N128" s="109"/>
      <c r="O128" s="109"/>
      <c r="P128" s="109"/>
      <c r="Q128" s="109"/>
      <c r="R128" s="109"/>
      <c r="S128" s="109"/>
      <c r="T128" s="109"/>
      <c r="U128" s="109"/>
      <c r="V128" s="109"/>
      <c r="W128" s="109"/>
      <c r="X128" s="109"/>
      <c r="Y128" s="109"/>
      <c r="Z128" s="109"/>
    </row>
    <row r="129" ht="39.75" customHeight="1">
      <c r="A129" s="109"/>
      <c r="B129" s="294" t="s">
        <v>8484</v>
      </c>
      <c r="C129" s="294"/>
      <c r="D129" s="294" t="s">
        <v>8485</v>
      </c>
      <c r="E129" s="294" t="s">
        <v>8486</v>
      </c>
      <c r="F129" s="294" t="s">
        <v>8487</v>
      </c>
      <c r="G129" s="294" t="s">
        <v>8488</v>
      </c>
      <c r="H129" s="296" t="str">
        <f>HYPERLINK("https://www.youtube.com/watch?v=jGIxYjfMedg","https://www.youtube.com/watch?v=jGIxYjfMedg")</f>
        <v>https://www.youtube.com/watch?v=jGIxYjfMedg</v>
      </c>
      <c r="I129" s="294"/>
      <c r="J129" s="109"/>
      <c r="K129" s="317"/>
      <c r="L129" s="109"/>
      <c r="M129" s="109"/>
      <c r="N129" s="109"/>
      <c r="O129" s="109"/>
      <c r="P129" s="109"/>
      <c r="Q129" s="109"/>
      <c r="R129" s="109"/>
      <c r="S129" s="109"/>
      <c r="T129" s="109"/>
      <c r="U129" s="109"/>
      <c r="V129" s="109"/>
      <c r="W129" s="109"/>
      <c r="X129" s="109"/>
      <c r="Y129" s="109"/>
      <c r="Z129" s="109"/>
    </row>
    <row r="130" ht="39.75" customHeight="1">
      <c r="A130" s="109"/>
      <c r="B130" s="109"/>
      <c r="C130" s="109"/>
      <c r="D130" s="109"/>
      <c r="E130" s="109"/>
      <c r="F130" s="109"/>
      <c r="G130" s="109"/>
      <c r="H130" s="109"/>
      <c r="I130" s="109"/>
      <c r="J130" s="109"/>
      <c r="K130" s="317"/>
      <c r="L130" s="109"/>
      <c r="M130" s="109"/>
      <c r="N130" s="109"/>
      <c r="O130" s="109"/>
      <c r="P130" s="109"/>
      <c r="Q130" s="109"/>
      <c r="R130" s="109"/>
      <c r="S130" s="109"/>
      <c r="T130" s="109"/>
      <c r="U130" s="109"/>
      <c r="V130" s="109"/>
      <c r="W130" s="109"/>
      <c r="X130" s="109"/>
      <c r="Y130" s="109"/>
      <c r="Z130" s="109"/>
    </row>
    <row r="131" ht="39.75" customHeight="1">
      <c r="A131" s="109"/>
      <c r="B131" s="109"/>
      <c r="C131" s="109"/>
      <c r="D131" s="109"/>
      <c r="E131" s="109"/>
      <c r="F131" s="109"/>
      <c r="G131" s="109"/>
      <c r="H131" s="109"/>
      <c r="I131" s="109"/>
      <c r="J131" s="109"/>
      <c r="K131" s="317"/>
      <c r="L131" s="109"/>
      <c r="M131" s="109"/>
      <c r="N131" s="109"/>
      <c r="O131" s="109"/>
      <c r="P131" s="109"/>
      <c r="Q131" s="109"/>
      <c r="R131" s="109"/>
      <c r="S131" s="109"/>
      <c r="T131" s="109"/>
      <c r="U131" s="109"/>
      <c r="V131" s="109"/>
      <c r="W131" s="109"/>
      <c r="X131" s="109"/>
      <c r="Y131" s="109"/>
      <c r="Z131" s="109"/>
    </row>
    <row r="132" ht="39.75" customHeight="1">
      <c r="A132" s="109"/>
      <c r="B132" s="109"/>
      <c r="C132" s="109"/>
      <c r="D132" s="109"/>
      <c r="E132" s="109"/>
      <c r="F132" s="109"/>
      <c r="G132" s="109"/>
      <c r="H132" s="109"/>
      <c r="I132" s="109"/>
      <c r="J132" s="109"/>
      <c r="K132" s="317"/>
      <c r="L132" s="109"/>
      <c r="M132" s="109"/>
      <c r="N132" s="109"/>
      <c r="O132" s="109"/>
      <c r="P132" s="109"/>
      <c r="Q132" s="109"/>
      <c r="R132" s="109"/>
      <c r="S132" s="109"/>
      <c r="T132" s="109"/>
      <c r="U132" s="109"/>
      <c r="V132" s="109"/>
      <c r="W132" s="109"/>
      <c r="X132" s="109"/>
      <c r="Y132" s="109"/>
      <c r="Z132" s="109"/>
    </row>
    <row r="133" ht="39.75" customHeight="1">
      <c r="A133" s="109"/>
      <c r="B133" s="109"/>
      <c r="C133" s="109"/>
      <c r="D133" s="109"/>
      <c r="E133" s="109"/>
      <c r="F133" s="109"/>
      <c r="G133" s="109"/>
      <c r="H133" s="109"/>
      <c r="I133" s="109"/>
      <c r="J133" s="109"/>
      <c r="K133" s="317"/>
      <c r="L133" s="109"/>
      <c r="M133" s="109"/>
      <c r="N133" s="109"/>
      <c r="O133" s="109"/>
      <c r="P133" s="109"/>
      <c r="Q133" s="109"/>
      <c r="R133" s="109"/>
      <c r="S133" s="109"/>
      <c r="T133" s="109"/>
      <c r="U133" s="109"/>
      <c r="V133" s="109"/>
      <c r="W133" s="109"/>
      <c r="X133" s="109"/>
      <c r="Y133" s="109"/>
      <c r="Z133" s="109"/>
    </row>
    <row r="134" ht="39.75" customHeight="1">
      <c r="A134" s="109"/>
      <c r="B134" s="109"/>
      <c r="C134" s="109"/>
      <c r="D134" s="109"/>
      <c r="E134" s="109"/>
      <c r="F134" s="109"/>
      <c r="G134" s="109"/>
      <c r="H134" s="109"/>
      <c r="I134" s="109"/>
      <c r="J134" s="109"/>
      <c r="K134" s="317"/>
      <c r="L134" s="109"/>
      <c r="M134" s="109"/>
      <c r="N134" s="109"/>
      <c r="O134" s="109"/>
      <c r="P134" s="109"/>
      <c r="Q134" s="109"/>
      <c r="R134" s="109"/>
      <c r="S134" s="109"/>
      <c r="T134" s="109"/>
      <c r="U134" s="109"/>
      <c r="V134" s="109"/>
      <c r="W134" s="109"/>
      <c r="X134" s="109"/>
      <c r="Y134" s="109"/>
      <c r="Z134" s="109"/>
    </row>
    <row r="135" ht="39.75" customHeight="1">
      <c r="A135" s="109"/>
      <c r="B135" s="109"/>
      <c r="C135" s="109"/>
      <c r="D135" s="109"/>
      <c r="E135" s="109"/>
      <c r="F135" s="109"/>
      <c r="G135" s="109"/>
      <c r="H135" s="109"/>
      <c r="I135" s="109"/>
      <c r="J135" s="109"/>
      <c r="K135" s="317"/>
      <c r="L135" s="109"/>
      <c r="M135" s="109"/>
      <c r="N135" s="109"/>
      <c r="O135" s="109"/>
      <c r="P135" s="109"/>
      <c r="Q135" s="109"/>
      <c r="R135" s="109"/>
      <c r="S135" s="109"/>
      <c r="T135" s="109"/>
      <c r="U135" s="109"/>
      <c r="V135" s="109"/>
      <c r="W135" s="109"/>
      <c r="X135" s="109"/>
      <c r="Y135" s="109"/>
      <c r="Z135" s="109"/>
    </row>
    <row r="136" ht="39.75" customHeight="1">
      <c r="A136" s="109"/>
      <c r="B136" s="109"/>
      <c r="C136" s="109"/>
      <c r="D136" s="109"/>
      <c r="E136" s="109"/>
      <c r="F136" s="109"/>
      <c r="G136" s="109"/>
      <c r="H136" s="109"/>
      <c r="I136" s="109"/>
      <c r="J136" s="109"/>
      <c r="K136" s="317"/>
      <c r="L136" s="109"/>
      <c r="M136" s="109"/>
      <c r="N136" s="109"/>
      <c r="O136" s="109"/>
      <c r="P136" s="109"/>
      <c r="Q136" s="109"/>
      <c r="R136" s="109"/>
      <c r="S136" s="109"/>
      <c r="T136" s="109"/>
      <c r="U136" s="109"/>
      <c r="V136" s="109"/>
      <c r="W136" s="109"/>
      <c r="X136" s="109"/>
      <c r="Y136" s="109"/>
      <c r="Z136" s="109"/>
    </row>
    <row r="137" ht="39.75" customHeight="1">
      <c r="A137" s="109"/>
      <c r="B137" s="109"/>
      <c r="C137" s="109"/>
      <c r="D137" s="109"/>
      <c r="E137" s="109"/>
      <c r="F137" s="109"/>
      <c r="G137" s="109"/>
      <c r="H137" s="109"/>
      <c r="I137" s="109"/>
      <c r="J137" s="109"/>
      <c r="K137" s="317"/>
      <c r="L137" s="109"/>
      <c r="M137" s="109"/>
      <c r="N137" s="109"/>
      <c r="O137" s="109"/>
      <c r="P137" s="109"/>
      <c r="Q137" s="109"/>
      <c r="R137" s="109"/>
      <c r="S137" s="109"/>
      <c r="T137" s="109"/>
      <c r="U137" s="109"/>
      <c r="V137" s="109"/>
      <c r="W137" s="109"/>
      <c r="X137" s="109"/>
      <c r="Y137" s="109"/>
      <c r="Z137" s="109"/>
    </row>
    <row r="138" ht="39.75" customHeight="1">
      <c r="A138" s="109"/>
      <c r="B138" s="109"/>
      <c r="C138" s="109"/>
      <c r="D138" s="109"/>
      <c r="E138" s="109"/>
      <c r="F138" s="109"/>
      <c r="G138" s="109"/>
      <c r="H138" s="109"/>
      <c r="I138" s="109"/>
      <c r="J138" s="109"/>
      <c r="K138" s="317"/>
      <c r="L138" s="109"/>
      <c r="M138" s="109"/>
      <c r="N138" s="109"/>
      <c r="O138" s="109"/>
      <c r="P138" s="109"/>
      <c r="Q138" s="109"/>
      <c r="R138" s="109"/>
      <c r="S138" s="109"/>
      <c r="T138" s="109"/>
      <c r="U138" s="109"/>
      <c r="V138" s="109"/>
      <c r="W138" s="109"/>
      <c r="X138" s="109"/>
      <c r="Y138" s="109"/>
      <c r="Z138" s="109"/>
    </row>
    <row r="139" ht="39.75" customHeight="1">
      <c r="A139" s="109"/>
      <c r="B139" s="109"/>
      <c r="C139" s="109"/>
      <c r="D139" s="109"/>
      <c r="E139" s="109"/>
      <c r="F139" s="109"/>
      <c r="G139" s="109"/>
      <c r="H139" s="109"/>
      <c r="I139" s="109"/>
      <c r="J139" s="109"/>
      <c r="K139" s="317"/>
      <c r="L139" s="109"/>
      <c r="M139" s="109"/>
      <c r="N139" s="109"/>
      <c r="O139" s="109"/>
      <c r="P139" s="109"/>
      <c r="Q139" s="109"/>
      <c r="R139" s="109"/>
      <c r="S139" s="109"/>
      <c r="T139" s="109"/>
      <c r="U139" s="109"/>
      <c r="V139" s="109"/>
      <c r="W139" s="109"/>
      <c r="X139" s="109"/>
      <c r="Y139" s="109"/>
      <c r="Z139" s="109"/>
    </row>
    <row r="140" ht="39.75" customHeight="1">
      <c r="A140" s="109"/>
      <c r="B140" s="109"/>
      <c r="C140" s="109"/>
      <c r="D140" s="109"/>
      <c r="E140" s="109"/>
      <c r="F140" s="109"/>
      <c r="G140" s="109"/>
      <c r="H140" s="109"/>
      <c r="I140" s="109"/>
      <c r="J140" s="109"/>
      <c r="K140" s="317"/>
      <c r="L140" s="109"/>
      <c r="M140" s="109"/>
      <c r="N140" s="109"/>
      <c r="O140" s="109"/>
      <c r="P140" s="109"/>
      <c r="Q140" s="109"/>
      <c r="R140" s="109"/>
      <c r="S140" s="109"/>
      <c r="T140" s="109"/>
      <c r="U140" s="109"/>
      <c r="V140" s="109"/>
      <c r="W140" s="109"/>
      <c r="X140" s="109"/>
      <c r="Y140" s="109"/>
      <c r="Z140" s="109"/>
    </row>
    <row r="141" ht="39.75" customHeight="1">
      <c r="A141" s="109"/>
      <c r="B141" s="109"/>
      <c r="C141" s="109"/>
      <c r="D141" s="109"/>
      <c r="E141" s="109"/>
      <c r="F141" s="109"/>
      <c r="G141" s="109"/>
      <c r="H141" s="109"/>
      <c r="I141" s="109"/>
      <c r="J141" s="109"/>
      <c r="K141" s="317"/>
      <c r="L141" s="109"/>
      <c r="M141" s="109"/>
      <c r="N141" s="109"/>
      <c r="O141" s="109"/>
      <c r="P141" s="109"/>
      <c r="Q141" s="109"/>
      <c r="R141" s="109"/>
      <c r="S141" s="109"/>
      <c r="T141" s="109"/>
      <c r="U141" s="109"/>
      <c r="V141" s="109"/>
      <c r="W141" s="109"/>
      <c r="X141" s="109"/>
      <c r="Y141" s="109"/>
      <c r="Z141" s="109"/>
    </row>
    <row r="142" ht="39.75" customHeight="1">
      <c r="A142" s="109"/>
      <c r="B142" s="109"/>
      <c r="C142" s="109"/>
      <c r="D142" s="109"/>
      <c r="E142" s="109"/>
      <c r="F142" s="109"/>
      <c r="G142" s="109"/>
      <c r="H142" s="109"/>
      <c r="I142" s="109"/>
      <c r="J142" s="109"/>
      <c r="K142" s="317"/>
      <c r="L142" s="109"/>
      <c r="M142" s="109"/>
      <c r="N142" s="109"/>
      <c r="O142" s="109"/>
      <c r="P142" s="109"/>
      <c r="Q142" s="109"/>
      <c r="R142" s="109"/>
      <c r="S142" s="109"/>
      <c r="T142" s="109"/>
      <c r="U142" s="109"/>
      <c r="V142" s="109"/>
      <c r="W142" s="109"/>
      <c r="X142" s="109"/>
      <c r="Y142" s="109"/>
      <c r="Z142" s="109"/>
    </row>
    <row r="143" ht="39.75" customHeight="1">
      <c r="A143" s="109"/>
      <c r="B143" s="109"/>
      <c r="C143" s="109"/>
      <c r="D143" s="109"/>
      <c r="E143" s="109"/>
      <c r="F143" s="109"/>
      <c r="G143" s="109"/>
      <c r="H143" s="109"/>
      <c r="I143" s="109"/>
      <c r="J143" s="109"/>
      <c r="K143" s="317"/>
      <c r="L143" s="109"/>
      <c r="M143" s="109"/>
      <c r="N143" s="109"/>
      <c r="O143" s="109"/>
      <c r="P143" s="109"/>
      <c r="Q143" s="109"/>
      <c r="R143" s="109"/>
      <c r="S143" s="109"/>
      <c r="T143" s="109"/>
      <c r="U143" s="109"/>
      <c r="V143" s="109"/>
      <c r="W143" s="109"/>
      <c r="X143" s="109"/>
      <c r="Y143" s="109"/>
      <c r="Z143" s="109"/>
    </row>
    <row r="144" ht="39.75" customHeight="1">
      <c r="A144" s="109"/>
      <c r="B144" s="109"/>
      <c r="C144" s="109"/>
      <c r="D144" s="109"/>
      <c r="E144" s="109"/>
      <c r="F144" s="109"/>
      <c r="G144" s="109"/>
      <c r="H144" s="109"/>
      <c r="I144" s="109"/>
      <c r="J144" s="109"/>
      <c r="K144" s="317"/>
      <c r="L144" s="109"/>
      <c r="M144" s="109"/>
      <c r="N144" s="109"/>
      <c r="O144" s="109"/>
      <c r="P144" s="109"/>
      <c r="Q144" s="109"/>
      <c r="R144" s="109"/>
      <c r="S144" s="109"/>
      <c r="T144" s="109"/>
      <c r="U144" s="109"/>
      <c r="V144" s="109"/>
      <c r="W144" s="109"/>
      <c r="X144" s="109"/>
      <c r="Y144" s="109"/>
      <c r="Z144" s="109"/>
    </row>
    <row r="145" ht="39.75" customHeight="1">
      <c r="A145" s="109"/>
      <c r="B145" s="109"/>
      <c r="C145" s="109"/>
      <c r="D145" s="109"/>
      <c r="E145" s="109"/>
      <c r="F145" s="109"/>
      <c r="G145" s="109"/>
      <c r="H145" s="109"/>
      <c r="I145" s="109"/>
      <c r="J145" s="109"/>
      <c r="K145" s="317"/>
      <c r="L145" s="109"/>
      <c r="M145" s="109"/>
      <c r="N145" s="109"/>
      <c r="O145" s="109"/>
      <c r="P145" s="109"/>
      <c r="Q145" s="109"/>
      <c r="R145" s="109"/>
      <c r="S145" s="109"/>
      <c r="T145" s="109"/>
      <c r="U145" s="109"/>
      <c r="V145" s="109"/>
      <c r="W145" s="109"/>
      <c r="X145" s="109"/>
      <c r="Y145" s="109"/>
      <c r="Z145" s="109"/>
    </row>
    <row r="146" ht="39.75" customHeight="1">
      <c r="A146" s="109"/>
      <c r="B146" s="109"/>
      <c r="C146" s="109"/>
      <c r="D146" s="109"/>
      <c r="E146" s="109"/>
      <c r="F146" s="109"/>
      <c r="G146" s="109"/>
      <c r="H146" s="109"/>
      <c r="I146" s="109"/>
      <c r="J146" s="109"/>
      <c r="K146" s="317"/>
      <c r="L146" s="109"/>
      <c r="M146" s="109"/>
      <c r="N146" s="109"/>
      <c r="O146" s="109"/>
      <c r="P146" s="109"/>
      <c r="Q146" s="109"/>
      <c r="R146" s="109"/>
      <c r="S146" s="109"/>
      <c r="T146" s="109"/>
      <c r="U146" s="109"/>
      <c r="V146" s="109"/>
      <c r="W146" s="109"/>
      <c r="X146" s="109"/>
      <c r="Y146" s="109"/>
      <c r="Z146" s="109"/>
    </row>
    <row r="147" ht="39.75" customHeight="1">
      <c r="A147" s="109"/>
      <c r="B147" s="109"/>
      <c r="C147" s="109"/>
      <c r="D147" s="109"/>
      <c r="E147" s="109"/>
      <c r="F147" s="109"/>
      <c r="G147" s="109"/>
      <c r="H147" s="109"/>
      <c r="I147" s="109"/>
      <c r="J147" s="109"/>
      <c r="K147" s="317"/>
      <c r="L147" s="109"/>
      <c r="M147" s="109"/>
      <c r="N147" s="109"/>
      <c r="O147" s="109"/>
      <c r="P147" s="109"/>
      <c r="Q147" s="109"/>
      <c r="R147" s="109"/>
      <c r="S147" s="109"/>
      <c r="T147" s="109"/>
      <c r="U147" s="109"/>
      <c r="V147" s="109"/>
      <c r="W147" s="109"/>
      <c r="X147" s="109"/>
      <c r="Y147" s="109"/>
      <c r="Z147" s="109"/>
    </row>
    <row r="148" ht="39.75" customHeight="1">
      <c r="A148" s="109"/>
      <c r="B148" s="109"/>
      <c r="C148" s="109"/>
      <c r="D148" s="109"/>
      <c r="E148" s="109"/>
      <c r="F148" s="109"/>
      <c r="G148" s="109"/>
      <c r="H148" s="109"/>
      <c r="I148" s="109"/>
      <c r="J148" s="109"/>
      <c r="K148" s="317"/>
      <c r="L148" s="109"/>
      <c r="M148" s="109"/>
      <c r="N148" s="109"/>
      <c r="O148" s="109"/>
      <c r="P148" s="109"/>
      <c r="Q148" s="109"/>
      <c r="R148" s="109"/>
      <c r="S148" s="109"/>
      <c r="T148" s="109"/>
      <c r="U148" s="109"/>
      <c r="V148" s="109"/>
      <c r="W148" s="109"/>
      <c r="X148" s="109"/>
      <c r="Y148" s="109"/>
      <c r="Z148" s="109"/>
    </row>
    <row r="149" ht="39.75" customHeight="1">
      <c r="A149" s="109"/>
      <c r="B149" s="109"/>
      <c r="C149" s="109"/>
      <c r="D149" s="109"/>
      <c r="E149" s="109"/>
      <c r="F149" s="109"/>
      <c r="G149" s="109"/>
      <c r="H149" s="109"/>
      <c r="I149" s="109"/>
      <c r="J149" s="109"/>
      <c r="K149" s="317"/>
      <c r="L149" s="109"/>
      <c r="M149" s="109"/>
      <c r="N149" s="109"/>
      <c r="O149" s="109"/>
      <c r="P149" s="109"/>
      <c r="Q149" s="109"/>
      <c r="R149" s="109"/>
      <c r="S149" s="109"/>
      <c r="T149" s="109"/>
      <c r="U149" s="109"/>
      <c r="V149" s="109"/>
      <c r="W149" s="109"/>
      <c r="X149" s="109"/>
      <c r="Y149" s="109"/>
      <c r="Z149" s="109"/>
    </row>
    <row r="150" ht="39.75" customHeight="1">
      <c r="A150" s="109"/>
      <c r="B150" s="109"/>
      <c r="C150" s="109"/>
      <c r="D150" s="109"/>
      <c r="E150" s="109"/>
      <c r="F150" s="109"/>
      <c r="G150" s="109"/>
      <c r="H150" s="109"/>
      <c r="I150" s="109"/>
      <c r="J150" s="109"/>
      <c r="K150" s="317"/>
      <c r="L150" s="109"/>
      <c r="M150" s="109"/>
      <c r="N150" s="109"/>
      <c r="O150" s="109"/>
      <c r="P150" s="109"/>
      <c r="Q150" s="109"/>
      <c r="R150" s="109"/>
      <c r="S150" s="109"/>
      <c r="T150" s="109"/>
      <c r="U150" s="109"/>
      <c r="V150" s="109"/>
      <c r="W150" s="109"/>
      <c r="X150" s="109"/>
      <c r="Y150" s="109"/>
      <c r="Z150" s="109"/>
    </row>
    <row r="151" ht="39.75" customHeight="1">
      <c r="A151" s="109"/>
      <c r="B151" s="109"/>
      <c r="C151" s="109"/>
      <c r="D151" s="109"/>
      <c r="E151" s="109"/>
      <c r="F151" s="109"/>
      <c r="G151" s="109"/>
      <c r="H151" s="109"/>
      <c r="I151" s="109"/>
      <c r="J151" s="109"/>
      <c r="K151" s="317"/>
      <c r="L151" s="109"/>
      <c r="M151" s="109"/>
      <c r="N151" s="109"/>
      <c r="O151" s="109"/>
      <c r="P151" s="109"/>
      <c r="Q151" s="109"/>
      <c r="R151" s="109"/>
      <c r="S151" s="109"/>
      <c r="T151" s="109"/>
      <c r="U151" s="109"/>
      <c r="V151" s="109"/>
      <c r="W151" s="109"/>
      <c r="X151" s="109"/>
      <c r="Y151" s="109"/>
      <c r="Z151" s="109"/>
    </row>
    <row r="152" ht="39.75" customHeight="1">
      <c r="A152" s="109"/>
      <c r="B152" s="109"/>
      <c r="C152" s="109"/>
      <c r="D152" s="109"/>
      <c r="E152" s="109"/>
      <c r="F152" s="109"/>
      <c r="G152" s="109"/>
      <c r="H152" s="109"/>
      <c r="I152" s="109"/>
      <c r="J152" s="109"/>
      <c r="K152" s="317"/>
      <c r="L152" s="109"/>
      <c r="M152" s="109"/>
      <c r="N152" s="109"/>
      <c r="O152" s="109"/>
      <c r="P152" s="109"/>
      <c r="Q152" s="109"/>
      <c r="R152" s="109"/>
      <c r="S152" s="109"/>
      <c r="T152" s="109"/>
      <c r="U152" s="109"/>
      <c r="V152" s="109"/>
      <c r="W152" s="109"/>
      <c r="X152" s="109"/>
      <c r="Y152" s="109"/>
      <c r="Z152" s="109"/>
    </row>
    <row r="153" ht="39.75" customHeight="1">
      <c r="A153" s="109"/>
      <c r="B153" s="109"/>
      <c r="C153" s="109"/>
      <c r="D153" s="109"/>
      <c r="E153" s="109"/>
      <c r="F153" s="109"/>
      <c r="G153" s="109"/>
      <c r="H153" s="109"/>
      <c r="I153" s="109"/>
      <c r="J153" s="109"/>
      <c r="K153" s="317"/>
      <c r="L153" s="109"/>
      <c r="M153" s="109"/>
      <c r="N153" s="109"/>
      <c r="O153" s="109"/>
      <c r="P153" s="109"/>
      <c r="Q153" s="109"/>
      <c r="R153" s="109"/>
      <c r="S153" s="109"/>
      <c r="T153" s="109"/>
      <c r="U153" s="109"/>
      <c r="V153" s="109"/>
      <c r="W153" s="109"/>
      <c r="X153" s="109"/>
      <c r="Y153" s="109"/>
      <c r="Z153" s="109"/>
    </row>
    <row r="154" ht="39.75" customHeight="1">
      <c r="A154" s="109"/>
      <c r="B154" s="109"/>
      <c r="C154" s="109"/>
      <c r="D154" s="109"/>
      <c r="E154" s="109"/>
      <c r="F154" s="109"/>
      <c r="G154" s="109"/>
      <c r="H154" s="109"/>
      <c r="I154" s="109"/>
      <c r="J154" s="109"/>
      <c r="K154" s="317"/>
      <c r="L154" s="109"/>
      <c r="M154" s="109"/>
      <c r="N154" s="109"/>
      <c r="O154" s="109"/>
      <c r="P154" s="109"/>
      <c r="Q154" s="109"/>
      <c r="R154" s="109"/>
      <c r="S154" s="109"/>
      <c r="T154" s="109"/>
      <c r="U154" s="109"/>
      <c r="V154" s="109"/>
      <c r="W154" s="109"/>
      <c r="X154" s="109"/>
      <c r="Y154" s="109"/>
      <c r="Z154" s="109"/>
    </row>
    <row r="155" ht="39.75" customHeight="1">
      <c r="A155" s="109"/>
      <c r="B155" s="109"/>
      <c r="C155" s="109"/>
      <c r="D155" s="109"/>
      <c r="E155" s="109"/>
      <c r="F155" s="109"/>
      <c r="G155" s="109"/>
      <c r="H155" s="109"/>
      <c r="I155" s="109"/>
      <c r="J155" s="109"/>
      <c r="K155" s="317"/>
      <c r="L155" s="109"/>
      <c r="M155" s="109"/>
      <c r="N155" s="109"/>
      <c r="O155" s="109"/>
      <c r="P155" s="109"/>
      <c r="Q155" s="109"/>
      <c r="R155" s="109"/>
      <c r="S155" s="109"/>
      <c r="T155" s="109"/>
      <c r="U155" s="109"/>
      <c r="V155" s="109"/>
      <c r="W155" s="109"/>
      <c r="X155" s="109"/>
      <c r="Y155" s="109"/>
      <c r="Z155" s="109"/>
    </row>
    <row r="156" ht="39.75" customHeight="1">
      <c r="A156" s="109"/>
      <c r="B156" s="109"/>
      <c r="C156" s="109"/>
      <c r="D156" s="109"/>
      <c r="E156" s="109"/>
      <c r="F156" s="109"/>
      <c r="G156" s="109"/>
      <c r="H156" s="109"/>
      <c r="I156" s="109"/>
      <c r="J156" s="109"/>
      <c r="K156" s="317"/>
      <c r="L156" s="109"/>
      <c r="M156" s="109"/>
      <c r="N156" s="109"/>
      <c r="O156" s="109"/>
      <c r="P156" s="109"/>
      <c r="Q156" s="109"/>
      <c r="R156" s="109"/>
      <c r="S156" s="109"/>
      <c r="T156" s="109"/>
      <c r="U156" s="109"/>
      <c r="V156" s="109"/>
      <c r="W156" s="109"/>
      <c r="X156" s="109"/>
      <c r="Y156" s="109"/>
      <c r="Z156" s="109"/>
    </row>
    <row r="157" ht="39.75" customHeight="1">
      <c r="A157" s="109"/>
      <c r="B157" s="109"/>
      <c r="C157" s="109"/>
      <c r="D157" s="109"/>
      <c r="E157" s="109"/>
      <c r="F157" s="109"/>
      <c r="G157" s="109"/>
      <c r="H157" s="109"/>
      <c r="I157" s="109"/>
      <c r="J157" s="109"/>
      <c r="K157" s="317"/>
      <c r="L157" s="109"/>
      <c r="M157" s="109"/>
      <c r="N157" s="109"/>
      <c r="O157" s="109"/>
      <c r="P157" s="109"/>
      <c r="Q157" s="109"/>
      <c r="R157" s="109"/>
      <c r="S157" s="109"/>
      <c r="T157" s="109"/>
      <c r="U157" s="109"/>
      <c r="V157" s="109"/>
      <c r="W157" s="109"/>
      <c r="X157" s="109"/>
      <c r="Y157" s="109"/>
      <c r="Z157" s="109"/>
    </row>
    <row r="158" ht="39.75" customHeight="1">
      <c r="A158" s="109"/>
      <c r="B158" s="109"/>
      <c r="C158" s="109"/>
      <c r="D158" s="109"/>
      <c r="E158" s="109"/>
      <c r="F158" s="109"/>
      <c r="G158" s="109"/>
      <c r="H158" s="109"/>
      <c r="I158" s="109"/>
      <c r="J158" s="109"/>
      <c r="K158" s="317"/>
      <c r="L158" s="109"/>
      <c r="M158" s="109"/>
      <c r="N158" s="109"/>
      <c r="O158" s="109"/>
      <c r="P158" s="109"/>
      <c r="Q158" s="109"/>
      <c r="R158" s="109"/>
      <c r="S158" s="109"/>
      <c r="T158" s="109"/>
      <c r="U158" s="109"/>
      <c r="V158" s="109"/>
      <c r="W158" s="109"/>
      <c r="X158" s="109"/>
      <c r="Y158" s="109"/>
      <c r="Z158" s="109"/>
    </row>
    <row r="159" ht="39.75" customHeight="1">
      <c r="A159" s="109"/>
      <c r="B159" s="109"/>
      <c r="C159" s="109"/>
      <c r="D159" s="109"/>
      <c r="E159" s="109"/>
      <c r="F159" s="109"/>
      <c r="G159" s="109"/>
      <c r="H159" s="109"/>
      <c r="I159" s="109"/>
      <c r="J159" s="109"/>
      <c r="K159" s="317"/>
      <c r="L159" s="109"/>
      <c r="M159" s="109"/>
      <c r="N159" s="109"/>
      <c r="O159" s="109"/>
      <c r="P159" s="109"/>
      <c r="Q159" s="109"/>
      <c r="R159" s="109"/>
      <c r="S159" s="109"/>
      <c r="T159" s="109"/>
      <c r="U159" s="109"/>
      <c r="V159" s="109"/>
      <c r="W159" s="109"/>
      <c r="X159" s="109"/>
      <c r="Y159" s="109"/>
      <c r="Z159" s="109"/>
    </row>
    <row r="160" ht="39.75" customHeight="1">
      <c r="A160" s="109"/>
      <c r="B160" s="109"/>
      <c r="C160" s="109"/>
      <c r="D160" s="109"/>
      <c r="E160" s="109"/>
      <c r="F160" s="109"/>
      <c r="G160" s="109"/>
      <c r="H160" s="109"/>
      <c r="I160" s="109"/>
      <c r="J160" s="109"/>
      <c r="K160" s="317"/>
      <c r="L160" s="109"/>
      <c r="M160" s="109"/>
      <c r="N160" s="109"/>
      <c r="O160" s="109"/>
      <c r="P160" s="109"/>
      <c r="Q160" s="109"/>
      <c r="R160" s="109"/>
      <c r="S160" s="109"/>
      <c r="T160" s="109"/>
      <c r="U160" s="109"/>
      <c r="V160" s="109"/>
      <c r="W160" s="109"/>
      <c r="X160" s="109"/>
      <c r="Y160" s="109"/>
      <c r="Z160" s="109"/>
    </row>
    <row r="161" ht="39.75" customHeight="1">
      <c r="A161" s="109"/>
      <c r="B161" s="109"/>
      <c r="C161" s="109"/>
      <c r="D161" s="109"/>
      <c r="E161" s="109"/>
      <c r="F161" s="109"/>
      <c r="G161" s="109"/>
      <c r="H161" s="109"/>
      <c r="I161" s="109"/>
      <c r="J161" s="109"/>
      <c r="K161" s="317"/>
      <c r="L161" s="109"/>
      <c r="M161" s="109"/>
      <c r="N161" s="109"/>
      <c r="O161" s="109"/>
      <c r="P161" s="109"/>
      <c r="Q161" s="109"/>
      <c r="R161" s="109"/>
      <c r="S161" s="109"/>
      <c r="T161" s="109"/>
      <c r="U161" s="109"/>
      <c r="V161" s="109"/>
      <c r="W161" s="109"/>
      <c r="X161" s="109"/>
      <c r="Y161" s="109"/>
      <c r="Z161" s="109"/>
    </row>
    <row r="162" ht="39.75" customHeight="1">
      <c r="A162" s="109"/>
      <c r="B162" s="109"/>
      <c r="C162" s="109"/>
      <c r="D162" s="109"/>
      <c r="E162" s="109"/>
      <c r="F162" s="109"/>
      <c r="G162" s="109"/>
      <c r="H162" s="109"/>
      <c r="I162" s="109"/>
      <c r="J162" s="109"/>
      <c r="K162" s="317"/>
      <c r="L162" s="109"/>
      <c r="M162" s="109"/>
      <c r="N162" s="109"/>
      <c r="O162" s="109"/>
      <c r="P162" s="109"/>
      <c r="Q162" s="109"/>
      <c r="R162" s="109"/>
      <c r="S162" s="109"/>
      <c r="T162" s="109"/>
      <c r="U162" s="109"/>
      <c r="V162" s="109"/>
      <c r="W162" s="109"/>
      <c r="X162" s="109"/>
      <c r="Y162" s="109"/>
      <c r="Z162" s="109"/>
    </row>
    <row r="163" ht="39.75" customHeight="1">
      <c r="A163" s="109"/>
      <c r="B163" s="109"/>
      <c r="C163" s="109"/>
      <c r="D163" s="109"/>
      <c r="E163" s="109"/>
      <c r="F163" s="109"/>
      <c r="G163" s="109"/>
      <c r="H163" s="109"/>
      <c r="I163" s="109"/>
      <c r="J163" s="109"/>
      <c r="K163" s="317"/>
      <c r="L163" s="109"/>
      <c r="M163" s="109"/>
      <c r="N163" s="109"/>
      <c r="O163" s="109"/>
      <c r="P163" s="109"/>
      <c r="Q163" s="109"/>
      <c r="R163" s="109"/>
      <c r="S163" s="109"/>
      <c r="T163" s="109"/>
      <c r="U163" s="109"/>
      <c r="V163" s="109"/>
      <c r="W163" s="109"/>
      <c r="X163" s="109"/>
      <c r="Y163" s="109"/>
      <c r="Z163" s="109"/>
    </row>
    <row r="164" ht="39.75" customHeight="1">
      <c r="A164" s="109"/>
      <c r="B164" s="109"/>
      <c r="C164" s="109"/>
      <c r="D164" s="109"/>
      <c r="E164" s="109"/>
      <c r="F164" s="109"/>
      <c r="G164" s="109"/>
      <c r="H164" s="109"/>
      <c r="I164" s="109"/>
      <c r="J164" s="109"/>
      <c r="K164" s="317"/>
      <c r="L164" s="109"/>
      <c r="M164" s="109"/>
      <c r="N164" s="109"/>
      <c r="O164" s="109"/>
      <c r="P164" s="109"/>
      <c r="Q164" s="109"/>
      <c r="R164" s="109"/>
      <c r="S164" s="109"/>
      <c r="T164" s="109"/>
      <c r="U164" s="109"/>
      <c r="V164" s="109"/>
      <c r="W164" s="109"/>
      <c r="X164" s="109"/>
      <c r="Y164" s="109"/>
      <c r="Z164" s="109"/>
    </row>
    <row r="165" ht="39.75" customHeight="1">
      <c r="A165" s="109"/>
      <c r="B165" s="109"/>
      <c r="C165" s="109"/>
      <c r="D165" s="109"/>
      <c r="E165" s="109"/>
      <c r="F165" s="109"/>
      <c r="G165" s="109"/>
      <c r="H165" s="109"/>
      <c r="I165" s="109"/>
      <c r="J165" s="109"/>
      <c r="K165" s="317"/>
      <c r="L165" s="109"/>
      <c r="M165" s="109"/>
      <c r="N165" s="109"/>
      <c r="O165" s="109"/>
      <c r="P165" s="109"/>
      <c r="Q165" s="109"/>
      <c r="R165" s="109"/>
      <c r="S165" s="109"/>
      <c r="T165" s="109"/>
      <c r="U165" s="109"/>
      <c r="V165" s="109"/>
      <c r="W165" s="109"/>
      <c r="X165" s="109"/>
      <c r="Y165" s="109"/>
      <c r="Z165" s="109"/>
    </row>
    <row r="166" ht="39.75" customHeight="1">
      <c r="A166" s="109"/>
      <c r="B166" s="109"/>
      <c r="C166" s="109"/>
      <c r="D166" s="109"/>
      <c r="E166" s="109"/>
      <c r="F166" s="109"/>
      <c r="G166" s="109"/>
      <c r="H166" s="109"/>
      <c r="I166" s="109"/>
      <c r="J166" s="109"/>
      <c r="K166" s="317"/>
      <c r="L166" s="109"/>
      <c r="M166" s="109"/>
      <c r="N166" s="109"/>
      <c r="O166" s="109"/>
      <c r="P166" s="109"/>
      <c r="Q166" s="109"/>
      <c r="R166" s="109"/>
      <c r="S166" s="109"/>
      <c r="T166" s="109"/>
      <c r="U166" s="109"/>
      <c r="V166" s="109"/>
      <c r="W166" s="109"/>
      <c r="X166" s="109"/>
      <c r="Y166" s="109"/>
      <c r="Z166" s="109"/>
    </row>
    <row r="167" ht="39.75" customHeight="1">
      <c r="A167" s="109"/>
      <c r="B167" s="109"/>
      <c r="C167" s="109"/>
      <c r="D167" s="109"/>
      <c r="E167" s="109"/>
      <c r="F167" s="109"/>
      <c r="G167" s="109"/>
      <c r="H167" s="109"/>
      <c r="I167" s="109"/>
      <c r="J167" s="109"/>
      <c r="K167" s="317"/>
      <c r="L167" s="109"/>
      <c r="M167" s="109"/>
      <c r="N167" s="109"/>
      <c r="O167" s="109"/>
      <c r="P167" s="109"/>
      <c r="Q167" s="109"/>
      <c r="R167" s="109"/>
      <c r="S167" s="109"/>
      <c r="T167" s="109"/>
      <c r="U167" s="109"/>
      <c r="V167" s="109"/>
      <c r="W167" s="109"/>
      <c r="X167" s="109"/>
      <c r="Y167" s="109"/>
      <c r="Z167" s="109"/>
    </row>
    <row r="168" ht="39.75" customHeight="1">
      <c r="A168" s="109"/>
      <c r="B168" s="109"/>
      <c r="C168" s="109"/>
      <c r="D168" s="109"/>
      <c r="E168" s="109"/>
      <c r="F168" s="109"/>
      <c r="G168" s="109"/>
      <c r="H168" s="109"/>
      <c r="I168" s="109"/>
      <c r="J168" s="109"/>
      <c r="K168" s="317"/>
      <c r="L168" s="109"/>
      <c r="M168" s="109"/>
      <c r="N168" s="109"/>
      <c r="O168" s="109"/>
      <c r="P168" s="109"/>
      <c r="Q168" s="109"/>
      <c r="R168" s="109"/>
      <c r="S168" s="109"/>
      <c r="T168" s="109"/>
      <c r="U168" s="109"/>
      <c r="V168" s="109"/>
      <c r="W168" s="109"/>
      <c r="X168" s="109"/>
      <c r="Y168" s="109"/>
      <c r="Z168" s="109"/>
    </row>
    <row r="169" ht="39.75" customHeight="1">
      <c r="A169" s="109"/>
      <c r="B169" s="109"/>
      <c r="C169" s="109"/>
      <c r="D169" s="109"/>
      <c r="E169" s="109"/>
      <c r="F169" s="109"/>
      <c r="G169" s="109"/>
      <c r="H169" s="109"/>
      <c r="I169" s="109"/>
      <c r="J169" s="109"/>
      <c r="K169" s="317"/>
      <c r="L169" s="109"/>
      <c r="M169" s="109"/>
      <c r="N169" s="109"/>
      <c r="O169" s="109"/>
      <c r="P169" s="109"/>
      <c r="Q169" s="109"/>
      <c r="R169" s="109"/>
      <c r="S169" s="109"/>
      <c r="T169" s="109"/>
      <c r="U169" s="109"/>
      <c r="V169" s="109"/>
      <c r="W169" s="109"/>
      <c r="X169" s="109"/>
      <c r="Y169" s="109"/>
      <c r="Z169" s="109"/>
    </row>
    <row r="170" ht="39.75" customHeight="1">
      <c r="A170" s="109"/>
      <c r="B170" s="109"/>
      <c r="C170" s="109"/>
      <c r="D170" s="109"/>
      <c r="E170" s="109"/>
      <c r="F170" s="109"/>
      <c r="G170" s="109"/>
      <c r="H170" s="109"/>
      <c r="I170" s="109"/>
      <c r="J170" s="109"/>
      <c r="K170" s="317"/>
      <c r="L170" s="109"/>
      <c r="M170" s="109"/>
      <c r="N170" s="109"/>
      <c r="O170" s="109"/>
      <c r="P170" s="109"/>
      <c r="Q170" s="109"/>
      <c r="R170" s="109"/>
      <c r="S170" s="109"/>
      <c r="T170" s="109"/>
      <c r="U170" s="109"/>
      <c r="V170" s="109"/>
      <c r="W170" s="109"/>
      <c r="X170" s="109"/>
      <c r="Y170" s="109"/>
      <c r="Z170" s="109"/>
    </row>
    <row r="171" ht="39.75" customHeight="1">
      <c r="A171" s="109"/>
      <c r="B171" s="109"/>
      <c r="C171" s="109"/>
      <c r="D171" s="109"/>
      <c r="E171" s="109"/>
      <c r="F171" s="109"/>
      <c r="G171" s="109"/>
      <c r="H171" s="109"/>
      <c r="I171" s="109"/>
      <c r="J171" s="109"/>
      <c r="K171" s="317"/>
      <c r="L171" s="109"/>
      <c r="M171" s="109"/>
      <c r="N171" s="109"/>
      <c r="O171" s="109"/>
      <c r="P171" s="109"/>
      <c r="Q171" s="109"/>
      <c r="R171" s="109"/>
      <c r="S171" s="109"/>
      <c r="T171" s="109"/>
      <c r="U171" s="109"/>
      <c r="V171" s="109"/>
      <c r="W171" s="109"/>
      <c r="X171" s="109"/>
      <c r="Y171" s="109"/>
      <c r="Z171" s="109"/>
    </row>
    <row r="172" ht="39.75" customHeight="1">
      <c r="A172" s="109"/>
      <c r="B172" s="109"/>
      <c r="C172" s="109"/>
      <c r="D172" s="109"/>
      <c r="E172" s="109"/>
      <c r="F172" s="109"/>
      <c r="G172" s="109"/>
      <c r="H172" s="109"/>
      <c r="I172" s="109"/>
      <c r="J172" s="109"/>
      <c r="K172" s="317"/>
      <c r="L172" s="109"/>
      <c r="M172" s="109"/>
      <c r="N172" s="109"/>
      <c r="O172" s="109"/>
      <c r="P172" s="109"/>
      <c r="Q172" s="109"/>
      <c r="R172" s="109"/>
      <c r="S172" s="109"/>
      <c r="T172" s="109"/>
      <c r="U172" s="109"/>
      <c r="V172" s="109"/>
      <c r="W172" s="109"/>
      <c r="X172" s="109"/>
      <c r="Y172" s="109"/>
      <c r="Z172" s="109"/>
    </row>
    <row r="173" ht="39.75" customHeight="1">
      <c r="A173" s="109"/>
      <c r="B173" s="109"/>
      <c r="C173" s="109"/>
      <c r="D173" s="109"/>
      <c r="E173" s="109"/>
      <c r="F173" s="109"/>
      <c r="G173" s="109"/>
      <c r="H173" s="109"/>
      <c r="I173" s="109"/>
      <c r="J173" s="109"/>
      <c r="K173" s="317"/>
      <c r="L173" s="109"/>
      <c r="M173" s="109"/>
      <c r="N173" s="109"/>
      <c r="O173" s="109"/>
      <c r="P173" s="109"/>
      <c r="Q173" s="109"/>
      <c r="R173" s="109"/>
      <c r="S173" s="109"/>
      <c r="T173" s="109"/>
      <c r="U173" s="109"/>
      <c r="V173" s="109"/>
      <c r="W173" s="109"/>
      <c r="X173" s="109"/>
      <c r="Y173" s="109"/>
      <c r="Z173" s="109"/>
    </row>
    <row r="174" ht="39.75" customHeight="1">
      <c r="A174" s="109"/>
      <c r="B174" s="109"/>
      <c r="C174" s="109"/>
      <c r="D174" s="109"/>
      <c r="E174" s="109"/>
      <c r="F174" s="109"/>
      <c r="G174" s="109"/>
      <c r="H174" s="109"/>
      <c r="I174" s="109"/>
      <c r="J174" s="109"/>
      <c r="K174" s="317"/>
      <c r="L174" s="109"/>
      <c r="M174" s="109"/>
      <c r="N174" s="109"/>
      <c r="O174" s="109"/>
      <c r="P174" s="109"/>
      <c r="Q174" s="109"/>
      <c r="R174" s="109"/>
      <c r="S174" s="109"/>
      <c r="T174" s="109"/>
      <c r="U174" s="109"/>
      <c r="V174" s="109"/>
      <c r="W174" s="109"/>
      <c r="X174" s="109"/>
      <c r="Y174" s="109"/>
      <c r="Z174" s="109"/>
    </row>
    <row r="175" ht="39.75" customHeight="1">
      <c r="A175" s="109"/>
      <c r="B175" s="109"/>
      <c r="C175" s="109"/>
      <c r="D175" s="109"/>
      <c r="E175" s="109"/>
      <c r="F175" s="109"/>
      <c r="G175" s="109"/>
      <c r="H175" s="109"/>
      <c r="I175" s="109"/>
      <c r="J175" s="109"/>
      <c r="K175" s="317"/>
      <c r="L175" s="109"/>
      <c r="M175" s="109"/>
      <c r="N175" s="109"/>
      <c r="O175" s="109"/>
      <c r="P175" s="109"/>
      <c r="Q175" s="109"/>
      <c r="R175" s="109"/>
      <c r="S175" s="109"/>
      <c r="T175" s="109"/>
      <c r="U175" s="109"/>
      <c r="V175" s="109"/>
      <c r="W175" s="109"/>
      <c r="X175" s="109"/>
      <c r="Y175" s="109"/>
      <c r="Z175" s="109"/>
    </row>
    <row r="176" ht="39.75" customHeight="1">
      <c r="A176" s="109"/>
      <c r="B176" s="109"/>
      <c r="C176" s="109"/>
      <c r="D176" s="109"/>
      <c r="E176" s="109"/>
      <c r="F176" s="109"/>
      <c r="G176" s="109"/>
      <c r="H176" s="109"/>
      <c r="I176" s="109"/>
      <c r="J176" s="109"/>
      <c r="K176" s="317"/>
      <c r="L176" s="109"/>
      <c r="M176" s="109"/>
      <c r="N176" s="109"/>
      <c r="O176" s="109"/>
      <c r="P176" s="109"/>
      <c r="Q176" s="109"/>
      <c r="R176" s="109"/>
      <c r="S176" s="109"/>
      <c r="T176" s="109"/>
      <c r="U176" s="109"/>
      <c r="V176" s="109"/>
      <c r="W176" s="109"/>
      <c r="X176" s="109"/>
      <c r="Y176" s="109"/>
      <c r="Z176" s="109"/>
    </row>
    <row r="177" ht="39.75" customHeight="1">
      <c r="A177" s="109"/>
      <c r="B177" s="109"/>
      <c r="C177" s="109"/>
      <c r="D177" s="109"/>
      <c r="E177" s="109"/>
      <c r="F177" s="109"/>
      <c r="G177" s="109"/>
      <c r="H177" s="109"/>
      <c r="I177" s="109"/>
      <c r="J177" s="109"/>
      <c r="K177" s="317"/>
      <c r="L177" s="109"/>
      <c r="M177" s="109"/>
      <c r="N177" s="109"/>
      <c r="O177" s="109"/>
      <c r="P177" s="109"/>
      <c r="Q177" s="109"/>
      <c r="R177" s="109"/>
      <c r="S177" s="109"/>
      <c r="T177" s="109"/>
      <c r="U177" s="109"/>
      <c r="V177" s="109"/>
      <c r="W177" s="109"/>
      <c r="X177" s="109"/>
      <c r="Y177" s="109"/>
      <c r="Z177" s="109"/>
    </row>
    <row r="178" ht="39.75" customHeight="1">
      <c r="A178" s="109"/>
      <c r="B178" s="109"/>
      <c r="C178" s="109"/>
      <c r="D178" s="109"/>
      <c r="E178" s="109"/>
      <c r="F178" s="109"/>
      <c r="G178" s="109"/>
      <c r="H178" s="109"/>
      <c r="I178" s="109"/>
      <c r="J178" s="109"/>
      <c r="K178" s="317"/>
      <c r="L178" s="109"/>
      <c r="M178" s="109"/>
      <c r="N178" s="109"/>
      <c r="O178" s="109"/>
      <c r="P178" s="109"/>
      <c r="Q178" s="109"/>
      <c r="R178" s="109"/>
      <c r="S178" s="109"/>
      <c r="T178" s="109"/>
      <c r="U178" s="109"/>
      <c r="V178" s="109"/>
      <c r="W178" s="109"/>
      <c r="X178" s="109"/>
      <c r="Y178" s="109"/>
      <c r="Z178" s="109"/>
    </row>
    <row r="179" ht="39.75" customHeight="1">
      <c r="A179" s="109"/>
      <c r="B179" s="109"/>
      <c r="C179" s="109"/>
      <c r="D179" s="109"/>
      <c r="E179" s="109"/>
      <c r="F179" s="109"/>
      <c r="G179" s="109"/>
      <c r="H179" s="109"/>
      <c r="I179" s="109"/>
      <c r="J179" s="109"/>
      <c r="K179" s="317"/>
      <c r="L179" s="109"/>
      <c r="M179" s="109"/>
      <c r="N179" s="109"/>
      <c r="O179" s="109"/>
      <c r="P179" s="109"/>
      <c r="Q179" s="109"/>
      <c r="R179" s="109"/>
      <c r="S179" s="109"/>
      <c r="T179" s="109"/>
      <c r="U179" s="109"/>
      <c r="V179" s="109"/>
      <c r="W179" s="109"/>
      <c r="X179" s="109"/>
      <c r="Y179" s="109"/>
      <c r="Z179" s="109"/>
    </row>
    <row r="180" ht="39.75" customHeight="1">
      <c r="A180" s="109"/>
      <c r="B180" s="109"/>
      <c r="C180" s="109"/>
      <c r="D180" s="109"/>
      <c r="E180" s="109"/>
      <c r="F180" s="109"/>
      <c r="G180" s="109"/>
      <c r="H180" s="109"/>
      <c r="I180" s="109"/>
      <c r="J180" s="109"/>
      <c r="K180" s="317"/>
      <c r="L180" s="109"/>
      <c r="M180" s="109"/>
      <c r="N180" s="109"/>
      <c r="O180" s="109"/>
      <c r="P180" s="109"/>
      <c r="Q180" s="109"/>
      <c r="R180" s="109"/>
      <c r="S180" s="109"/>
      <c r="T180" s="109"/>
      <c r="U180" s="109"/>
      <c r="V180" s="109"/>
      <c r="W180" s="109"/>
      <c r="X180" s="109"/>
      <c r="Y180" s="109"/>
      <c r="Z180" s="109"/>
    </row>
    <row r="181" ht="39.75" customHeight="1">
      <c r="A181" s="109"/>
      <c r="B181" s="109"/>
      <c r="C181" s="109"/>
      <c r="D181" s="109"/>
      <c r="E181" s="109"/>
      <c r="F181" s="109"/>
      <c r="G181" s="109"/>
      <c r="H181" s="109"/>
      <c r="I181" s="109"/>
      <c r="J181" s="109"/>
      <c r="K181" s="317"/>
      <c r="L181" s="109"/>
      <c r="M181" s="109"/>
      <c r="N181" s="109"/>
      <c r="O181" s="109"/>
      <c r="P181" s="109"/>
      <c r="Q181" s="109"/>
      <c r="R181" s="109"/>
      <c r="S181" s="109"/>
      <c r="T181" s="109"/>
      <c r="U181" s="109"/>
      <c r="V181" s="109"/>
      <c r="W181" s="109"/>
      <c r="X181" s="109"/>
      <c r="Y181" s="109"/>
      <c r="Z181" s="109"/>
    </row>
    <row r="182" ht="39.75" customHeight="1">
      <c r="A182" s="109"/>
      <c r="B182" s="109"/>
      <c r="C182" s="109"/>
      <c r="D182" s="109"/>
      <c r="E182" s="109"/>
      <c r="F182" s="109"/>
      <c r="G182" s="109"/>
      <c r="H182" s="109"/>
      <c r="I182" s="109"/>
      <c r="J182" s="109"/>
      <c r="K182" s="317"/>
      <c r="L182" s="109"/>
      <c r="M182" s="109"/>
      <c r="N182" s="109"/>
      <c r="O182" s="109"/>
      <c r="P182" s="109"/>
      <c r="Q182" s="109"/>
      <c r="R182" s="109"/>
      <c r="S182" s="109"/>
      <c r="T182" s="109"/>
      <c r="U182" s="109"/>
      <c r="V182" s="109"/>
      <c r="W182" s="109"/>
      <c r="X182" s="109"/>
      <c r="Y182" s="109"/>
      <c r="Z182" s="109"/>
    </row>
    <row r="183" ht="39.75" customHeight="1">
      <c r="A183" s="109"/>
      <c r="B183" s="109"/>
      <c r="C183" s="109"/>
      <c r="D183" s="109"/>
      <c r="E183" s="109"/>
      <c r="F183" s="109"/>
      <c r="G183" s="109"/>
      <c r="H183" s="109"/>
      <c r="I183" s="109"/>
      <c r="J183" s="109"/>
      <c r="K183" s="317"/>
      <c r="L183" s="109"/>
      <c r="M183" s="109"/>
      <c r="N183" s="109"/>
      <c r="O183" s="109"/>
      <c r="P183" s="109"/>
      <c r="Q183" s="109"/>
      <c r="R183" s="109"/>
      <c r="S183" s="109"/>
      <c r="T183" s="109"/>
      <c r="U183" s="109"/>
      <c r="V183" s="109"/>
      <c r="W183" s="109"/>
      <c r="X183" s="109"/>
      <c r="Y183" s="109"/>
      <c r="Z183" s="109"/>
    </row>
    <row r="184" ht="39.75" customHeight="1">
      <c r="A184" s="109"/>
      <c r="B184" s="109"/>
      <c r="C184" s="109"/>
      <c r="D184" s="109"/>
      <c r="E184" s="109"/>
      <c r="F184" s="109"/>
      <c r="G184" s="109"/>
      <c r="H184" s="109"/>
      <c r="I184" s="109"/>
      <c r="J184" s="109"/>
      <c r="K184" s="317"/>
      <c r="L184" s="109"/>
      <c r="M184" s="109"/>
      <c r="N184" s="109"/>
      <c r="O184" s="109"/>
      <c r="P184" s="109"/>
      <c r="Q184" s="109"/>
      <c r="R184" s="109"/>
      <c r="S184" s="109"/>
      <c r="T184" s="109"/>
      <c r="U184" s="109"/>
      <c r="V184" s="109"/>
      <c r="W184" s="109"/>
      <c r="X184" s="109"/>
      <c r="Y184" s="109"/>
      <c r="Z184" s="109"/>
    </row>
    <row r="185" ht="39.75" customHeight="1">
      <c r="A185" s="109"/>
      <c r="B185" s="109"/>
      <c r="C185" s="109"/>
      <c r="D185" s="109"/>
      <c r="E185" s="109"/>
      <c r="F185" s="109"/>
      <c r="G185" s="109"/>
      <c r="H185" s="109"/>
      <c r="I185" s="109"/>
      <c r="J185" s="109"/>
      <c r="K185" s="317"/>
      <c r="L185" s="109"/>
      <c r="M185" s="109"/>
      <c r="N185" s="109"/>
      <c r="O185" s="109"/>
      <c r="P185" s="109"/>
      <c r="Q185" s="109"/>
      <c r="R185" s="109"/>
      <c r="S185" s="109"/>
      <c r="T185" s="109"/>
      <c r="U185" s="109"/>
      <c r="V185" s="109"/>
      <c r="W185" s="109"/>
      <c r="X185" s="109"/>
      <c r="Y185" s="109"/>
      <c r="Z185" s="109"/>
    </row>
    <row r="186" ht="39.75" customHeight="1">
      <c r="A186" s="109"/>
      <c r="B186" s="109"/>
      <c r="C186" s="109"/>
      <c r="D186" s="109"/>
      <c r="E186" s="109"/>
      <c r="F186" s="109"/>
      <c r="G186" s="109"/>
      <c r="H186" s="109"/>
      <c r="I186" s="109"/>
      <c r="J186" s="109"/>
      <c r="K186" s="317"/>
      <c r="L186" s="109"/>
      <c r="M186" s="109"/>
      <c r="N186" s="109"/>
      <c r="O186" s="109"/>
      <c r="P186" s="109"/>
      <c r="Q186" s="109"/>
      <c r="R186" s="109"/>
      <c r="S186" s="109"/>
      <c r="T186" s="109"/>
      <c r="U186" s="109"/>
      <c r="V186" s="109"/>
      <c r="W186" s="109"/>
      <c r="X186" s="109"/>
      <c r="Y186" s="109"/>
      <c r="Z186" s="109"/>
    </row>
    <row r="187" ht="39.75" customHeight="1">
      <c r="A187" s="109"/>
      <c r="B187" s="109"/>
      <c r="C187" s="109"/>
      <c r="D187" s="109"/>
      <c r="E187" s="109"/>
      <c r="F187" s="109"/>
      <c r="G187" s="109"/>
      <c r="H187" s="109"/>
      <c r="I187" s="109"/>
      <c r="J187" s="109"/>
      <c r="K187" s="317"/>
      <c r="L187" s="109"/>
      <c r="M187" s="109"/>
      <c r="N187" s="109"/>
      <c r="O187" s="109"/>
      <c r="P187" s="109"/>
      <c r="Q187" s="109"/>
      <c r="R187" s="109"/>
      <c r="S187" s="109"/>
      <c r="T187" s="109"/>
      <c r="U187" s="109"/>
      <c r="V187" s="109"/>
      <c r="W187" s="109"/>
      <c r="X187" s="109"/>
      <c r="Y187" s="109"/>
      <c r="Z187" s="109"/>
    </row>
    <row r="188" ht="39.75" customHeight="1">
      <c r="A188" s="109"/>
      <c r="B188" s="109"/>
      <c r="C188" s="109"/>
      <c r="D188" s="109"/>
      <c r="E188" s="109"/>
      <c r="F188" s="109"/>
      <c r="G188" s="109"/>
      <c r="H188" s="109"/>
      <c r="I188" s="109"/>
      <c r="J188" s="109"/>
      <c r="K188" s="317"/>
      <c r="L188" s="109"/>
      <c r="M188" s="109"/>
      <c r="N188" s="109"/>
      <c r="O188" s="109"/>
      <c r="P188" s="109"/>
      <c r="Q188" s="109"/>
      <c r="R188" s="109"/>
      <c r="S188" s="109"/>
      <c r="T188" s="109"/>
      <c r="U188" s="109"/>
      <c r="V188" s="109"/>
      <c r="W188" s="109"/>
      <c r="X188" s="109"/>
      <c r="Y188" s="109"/>
      <c r="Z188" s="109"/>
    </row>
    <row r="189" ht="39.75" customHeight="1">
      <c r="A189" s="109"/>
      <c r="B189" s="109"/>
      <c r="C189" s="109"/>
      <c r="D189" s="109"/>
      <c r="E189" s="109"/>
      <c r="F189" s="109"/>
      <c r="G189" s="109"/>
      <c r="H189" s="109"/>
      <c r="I189" s="109"/>
      <c r="J189" s="109"/>
      <c r="K189" s="317"/>
      <c r="L189" s="109"/>
      <c r="M189" s="109"/>
      <c r="N189" s="109"/>
      <c r="O189" s="109"/>
      <c r="P189" s="109"/>
      <c r="Q189" s="109"/>
      <c r="R189" s="109"/>
      <c r="S189" s="109"/>
      <c r="T189" s="109"/>
      <c r="U189" s="109"/>
      <c r="V189" s="109"/>
      <c r="W189" s="109"/>
      <c r="X189" s="109"/>
      <c r="Y189" s="109"/>
      <c r="Z189" s="109"/>
    </row>
    <row r="190" ht="39.75" customHeight="1">
      <c r="A190" s="109"/>
      <c r="B190" s="109"/>
      <c r="C190" s="109"/>
      <c r="D190" s="109"/>
      <c r="E190" s="109"/>
      <c r="F190" s="109"/>
      <c r="G190" s="109"/>
      <c r="H190" s="109"/>
      <c r="I190" s="109"/>
      <c r="J190" s="109"/>
      <c r="K190" s="317"/>
      <c r="L190" s="109"/>
      <c r="M190" s="109"/>
      <c r="N190" s="109"/>
      <c r="O190" s="109"/>
      <c r="P190" s="109"/>
      <c r="Q190" s="109"/>
      <c r="R190" s="109"/>
      <c r="S190" s="109"/>
      <c r="T190" s="109"/>
      <c r="U190" s="109"/>
      <c r="V190" s="109"/>
      <c r="W190" s="109"/>
      <c r="X190" s="109"/>
      <c r="Y190" s="109"/>
      <c r="Z190" s="109"/>
    </row>
    <row r="191" ht="39.75" customHeight="1">
      <c r="A191" s="109"/>
      <c r="B191" s="109"/>
      <c r="C191" s="109"/>
      <c r="D191" s="109"/>
      <c r="E191" s="109"/>
      <c r="F191" s="109"/>
      <c r="G191" s="109"/>
      <c r="H191" s="109"/>
      <c r="I191" s="109"/>
      <c r="J191" s="109"/>
      <c r="K191" s="317"/>
      <c r="L191" s="109"/>
      <c r="M191" s="109"/>
      <c r="N191" s="109"/>
      <c r="O191" s="109"/>
      <c r="P191" s="109"/>
      <c r="Q191" s="109"/>
      <c r="R191" s="109"/>
      <c r="S191" s="109"/>
      <c r="T191" s="109"/>
      <c r="U191" s="109"/>
      <c r="V191" s="109"/>
      <c r="W191" s="109"/>
      <c r="X191" s="109"/>
      <c r="Y191" s="109"/>
      <c r="Z191" s="109"/>
    </row>
    <row r="192" ht="39.75" customHeight="1">
      <c r="A192" s="109"/>
      <c r="B192" s="109"/>
      <c r="C192" s="109"/>
      <c r="D192" s="109"/>
      <c r="E192" s="109"/>
      <c r="F192" s="109"/>
      <c r="G192" s="109"/>
      <c r="H192" s="109"/>
      <c r="I192" s="109"/>
      <c r="J192" s="109"/>
      <c r="K192" s="317"/>
      <c r="L192" s="109"/>
      <c r="M192" s="109"/>
      <c r="N192" s="109"/>
      <c r="O192" s="109"/>
      <c r="P192" s="109"/>
      <c r="Q192" s="109"/>
      <c r="R192" s="109"/>
      <c r="S192" s="109"/>
      <c r="T192" s="109"/>
      <c r="U192" s="109"/>
      <c r="V192" s="109"/>
      <c r="W192" s="109"/>
      <c r="X192" s="109"/>
      <c r="Y192" s="109"/>
      <c r="Z192" s="109"/>
    </row>
    <row r="193" ht="39.75" customHeight="1">
      <c r="A193" s="109"/>
      <c r="B193" s="109"/>
      <c r="C193" s="109"/>
      <c r="D193" s="109"/>
      <c r="E193" s="109"/>
      <c r="F193" s="109"/>
      <c r="G193" s="109"/>
      <c r="H193" s="109"/>
      <c r="I193" s="109"/>
      <c r="J193" s="109"/>
      <c r="K193" s="317"/>
      <c r="L193" s="109"/>
      <c r="M193" s="109"/>
      <c r="N193" s="109"/>
      <c r="O193" s="109"/>
      <c r="P193" s="109"/>
      <c r="Q193" s="109"/>
      <c r="R193" s="109"/>
      <c r="S193" s="109"/>
      <c r="T193" s="109"/>
      <c r="U193" s="109"/>
      <c r="V193" s="109"/>
      <c r="W193" s="109"/>
      <c r="X193" s="109"/>
      <c r="Y193" s="109"/>
      <c r="Z193" s="109"/>
    </row>
    <row r="194" ht="39.75" customHeight="1">
      <c r="A194" s="109"/>
      <c r="B194" s="109"/>
      <c r="C194" s="109"/>
      <c r="D194" s="109"/>
      <c r="E194" s="109"/>
      <c r="F194" s="109"/>
      <c r="G194" s="109"/>
      <c r="H194" s="109"/>
      <c r="I194" s="109"/>
      <c r="J194" s="109"/>
      <c r="K194" s="317"/>
      <c r="L194" s="109"/>
      <c r="M194" s="109"/>
      <c r="N194" s="109"/>
      <c r="O194" s="109"/>
      <c r="P194" s="109"/>
      <c r="Q194" s="109"/>
      <c r="R194" s="109"/>
      <c r="S194" s="109"/>
      <c r="T194" s="109"/>
      <c r="U194" s="109"/>
      <c r="V194" s="109"/>
      <c r="W194" s="109"/>
      <c r="X194" s="109"/>
      <c r="Y194" s="109"/>
      <c r="Z194" s="109"/>
    </row>
    <row r="195" ht="39.75" customHeight="1">
      <c r="A195" s="109"/>
      <c r="B195" s="109"/>
      <c r="C195" s="109"/>
      <c r="D195" s="109"/>
      <c r="E195" s="109"/>
      <c r="F195" s="109"/>
      <c r="G195" s="109"/>
      <c r="H195" s="109"/>
      <c r="I195" s="109"/>
      <c r="J195" s="109"/>
      <c r="K195" s="317"/>
      <c r="L195" s="109"/>
      <c r="M195" s="109"/>
      <c r="N195" s="109"/>
      <c r="O195" s="109"/>
      <c r="P195" s="109"/>
      <c r="Q195" s="109"/>
      <c r="R195" s="109"/>
      <c r="S195" s="109"/>
      <c r="T195" s="109"/>
      <c r="U195" s="109"/>
      <c r="V195" s="109"/>
      <c r="W195" s="109"/>
      <c r="X195" s="109"/>
      <c r="Y195" s="109"/>
      <c r="Z195" s="109"/>
    </row>
    <row r="196" ht="39.75" customHeight="1">
      <c r="A196" s="109"/>
      <c r="B196" s="109"/>
      <c r="C196" s="109"/>
      <c r="D196" s="109"/>
      <c r="E196" s="109"/>
      <c r="F196" s="109"/>
      <c r="G196" s="109"/>
      <c r="H196" s="109"/>
      <c r="I196" s="109"/>
      <c r="J196" s="109"/>
      <c r="K196" s="317"/>
      <c r="L196" s="109"/>
      <c r="M196" s="109"/>
      <c r="N196" s="109"/>
      <c r="O196" s="109"/>
      <c r="P196" s="109"/>
      <c r="Q196" s="109"/>
      <c r="R196" s="109"/>
      <c r="S196" s="109"/>
      <c r="T196" s="109"/>
      <c r="U196" s="109"/>
      <c r="V196" s="109"/>
      <c r="W196" s="109"/>
      <c r="X196" s="109"/>
      <c r="Y196" s="109"/>
      <c r="Z196" s="109"/>
    </row>
    <row r="197" ht="39.75" customHeight="1">
      <c r="A197" s="109"/>
      <c r="B197" s="109"/>
      <c r="C197" s="109"/>
      <c r="D197" s="109"/>
      <c r="E197" s="109"/>
      <c r="F197" s="109"/>
      <c r="G197" s="109"/>
      <c r="H197" s="109"/>
      <c r="I197" s="109"/>
      <c r="J197" s="109"/>
      <c r="K197" s="317"/>
      <c r="L197" s="109"/>
      <c r="M197" s="109"/>
      <c r="N197" s="109"/>
      <c r="O197" s="109"/>
      <c r="P197" s="109"/>
      <c r="Q197" s="109"/>
      <c r="R197" s="109"/>
      <c r="S197" s="109"/>
      <c r="T197" s="109"/>
      <c r="U197" s="109"/>
      <c r="V197" s="109"/>
      <c r="W197" s="109"/>
      <c r="X197" s="109"/>
      <c r="Y197" s="109"/>
      <c r="Z197" s="109"/>
    </row>
    <row r="198" ht="39.75" customHeight="1">
      <c r="A198" s="109"/>
      <c r="B198" s="109"/>
      <c r="C198" s="109"/>
      <c r="D198" s="109"/>
      <c r="E198" s="109"/>
      <c r="F198" s="109"/>
      <c r="G198" s="109"/>
      <c r="H198" s="109"/>
      <c r="I198" s="109"/>
      <c r="J198" s="109"/>
      <c r="K198" s="317"/>
      <c r="L198" s="109"/>
      <c r="M198" s="109"/>
      <c r="N198" s="109"/>
      <c r="O198" s="109"/>
      <c r="P198" s="109"/>
      <c r="Q198" s="109"/>
      <c r="R198" s="109"/>
      <c r="S198" s="109"/>
      <c r="T198" s="109"/>
      <c r="U198" s="109"/>
      <c r="V198" s="109"/>
      <c r="W198" s="109"/>
      <c r="X198" s="109"/>
      <c r="Y198" s="109"/>
      <c r="Z198" s="109"/>
    </row>
    <row r="199" ht="39.75" customHeight="1">
      <c r="A199" s="109"/>
      <c r="B199" s="109"/>
      <c r="C199" s="109"/>
      <c r="D199" s="109"/>
      <c r="E199" s="109"/>
      <c r="F199" s="109"/>
      <c r="G199" s="109"/>
      <c r="H199" s="109"/>
      <c r="I199" s="109"/>
      <c r="J199" s="109"/>
      <c r="K199" s="317"/>
      <c r="L199" s="109"/>
      <c r="M199" s="109"/>
      <c r="N199" s="109"/>
      <c r="O199" s="109"/>
      <c r="P199" s="109"/>
      <c r="Q199" s="109"/>
      <c r="R199" s="109"/>
      <c r="S199" s="109"/>
      <c r="T199" s="109"/>
      <c r="U199" s="109"/>
      <c r="V199" s="109"/>
      <c r="W199" s="109"/>
      <c r="X199" s="109"/>
      <c r="Y199" s="109"/>
      <c r="Z199" s="109"/>
    </row>
    <row r="200" ht="39.75" customHeight="1">
      <c r="A200" s="109"/>
      <c r="B200" s="109"/>
      <c r="C200" s="109"/>
      <c r="D200" s="109"/>
      <c r="E200" s="109"/>
      <c r="F200" s="109"/>
      <c r="G200" s="109"/>
      <c r="H200" s="109"/>
      <c r="I200" s="109"/>
      <c r="J200" s="109"/>
      <c r="K200" s="317"/>
      <c r="L200" s="109"/>
      <c r="M200" s="109"/>
      <c r="N200" s="109"/>
      <c r="O200" s="109"/>
      <c r="P200" s="109"/>
      <c r="Q200" s="109"/>
      <c r="R200" s="109"/>
      <c r="S200" s="109"/>
      <c r="T200" s="109"/>
      <c r="U200" s="109"/>
      <c r="V200" s="109"/>
      <c r="W200" s="109"/>
      <c r="X200" s="109"/>
      <c r="Y200" s="109"/>
      <c r="Z200" s="109"/>
    </row>
    <row r="201" ht="39.75" customHeight="1">
      <c r="A201" s="109"/>
      <c r="B201" s="109"/>
      <c r="C201" s="109"/>
      <c r="D201" s="109"/>
      <c r="E201" s="109"/>
      <c r="F201" s="109"/>
      <c r="G201" s="109"/>
      <c r="H201" s="109"/>
      <c r="I201" s="109"/>
      <c r="J201" s="109"/>
      <c r="K201" s="317"/>
      <c r="L201" s="109"/>
      <c r="M201" s="109"/>
      <c r="N201" s="109"/>
      <c r="O201" s="109"/>
      <c r="P201" s="109"/>
      <c r="Q201" s="109"/>
      <c r="R201" s="109"/>
      <c r="S201" s="109"/>
      <c r="T201" s="109"/>
      <c r="U201" s="109"/>
      <c r="V201" s="109"/>
      <c r="W201" s="109"/>
      <c r="X201" s="109"/>
      <c r="Y201" s="109"/>
      <c r="Z201" s="109"/>
    </row>
    <row r="202" ht="39.75" customHeight="1">
      <c r="A202" s="109"/>
      <c r="B202" s="109"/>
      <c r="C202" s="109"/>
      <c r="D202" s="109"/>
      <c r="E202" s="109"/>
      <c r="F202" s="109"/>
      <c r="G202" s="109"/>
      <c r="H202" s="109"/>
      <c r="I202" s="109"/>
      <c r="J202" s="109"/>
      <c r="K202" s="317"/>
      <c r="L202" s="109"/>
      <c r="M202" s="109"/>
      <c r="N202" s="109"/>
      <c r="O202" s="109"/>
      <c r="P202" s="109"/>
      <c r="Q202" s="109"/>
      <c r="R202" s="109"/>
      <c r="S202" s="109"/>
      <c r="T202" s="109"/>
      <c r="U202" s="109"/>
      <c r="V202" s="109"/>
      <c r="W202" s="109"/>
      <c r="X202" s="109"/>
      <c r="Y202" s="109"/>
      <c r="Z202" s="109"/>
    </row>
    <row r="203" ht="39.75" customHeight="1">
      <c r="A203" s="109"/>
      <c r="B203" s="109"/>
      <c r="C203" s="109"/>
      <c r="D203" s="109"/>
      <c r="E203" s="109"/>
      <c r="F203" s="109"/>
      <c r="G203" s="109"/>
      <c r="H203" s="109"/>
      <c r="I203" s="109"/>
      <c r="J203" s="109"/>
      <c r="K203" s="317"/>
      <c r="L203" s="109"/>
      <c r="M203" s="109"/>
      <c r="N203" s="109"/>
      <c r="O203" s="109"/>
      <c r="P203" s="109"/>
      <c r="Q203" s="109"/>
      <c r="R203" s="109"/>
      <c r="S203" s="109"/>
      <c r="T203" s="109"/>
      <c r="U203" s="109"/>
      <c r="V203" s="109"/>
      <c r="W203" s="109"/>
      <c r="X203" s="109"/>
      <c r="Y203" s="109"/>
      <c r="Z203" s="109"/>
    </row>
    <row r="204" ht="39.75" customHeight="1">
      <c r="A204" s="109"/>
      <c r="B204" s="109"/>
      <c r="C204" s="109"/>
      <c r="D204" s="109"/>
      <c r="E204" s="109"/>
      <c r="F204" s="109"/>
      <c r="G204" s="109"/>
      <c r="H204" s="109"/>
      <c r="I204" s="109"/>
      <c r="J204" s="109"/>
      <c r="K204" s="317"/>
      <c r="L204" s="109"/>
      <c r="M204" s="109"/>
      <c r="N204" s="109"/>
      <c r="O204" s="109"/>
      <c r="P204" s="109"/>
      <c r="Q204" s="109"/>
      <c r="R204" s="109"/>
      <c r="S204" s="109"/>
      <c r="T204" s="109"/>
      <c r="U204" s="109"/>
      <c r="V204" s="109"/>
      <c r="W204" s="109"/>
      <c r="X204" s="109"/>
      <c r="Y204" s="109"/>
      <c r="Z204" s="109"/>
    </row>
    <row r="205" ht="39.75" customHeight="1">
      <c r="A205" s="109"/>
      <c r="B205" s="109"/>
      <c r="C205" s="109"/>
      <c r="D205" s="109"/>
      <c r="E205" s="109"/>
      <c r="F205" s="109"/>
      <c r="G205" s="109"/>
      <c r="H205" s="109"/>
      <c r="I205" s="109"/>
      <c r="J205" s="109"/>
      <c r="K205" s="317"/>
      <c r="L205" s="109"/>
      <c r="M205" s="109"/>
      <c r="N205" s="109"/>
      <c r="O205" s="109"/>
      <c r="P205" s="109"/>
      <c r="Q205" s="109"/>
      <c r="R205" s="109"/>
      <c r="S205" s="109"/>
      <c r="T205" s="109"/>
      <c r="U205" s="109"/>
      <c r="V205" s="109"/>
      <c r="W205" s="109"/>
      <c r="X205" s="109"/>
      <c r="Y205" s="109"/>
      <c r="Z205" s="109"/>
    </row>
    <row r="206" ht="39.75" customHeight="1">
      <c r="A206" s="109"/>
      <c r="B206" s="109"/>
      <c r="C206" s="109"/>
      <c r="D206" s="109"/>
      <c r="E206" s="109"/>
      <c r="F206" s="109"/>
      <c r="G206" s="109"/>
      <c r="H206" s="109"/>
      <c r="I206" s="109"/>
      <c r="J206" s="109"/>
      <c r="K206" s="317"/>
      <c r="L206" s="109"/>
      <c r="M206" s="109"/>
      <c r="N206" s="109"/>
      <c r="O206" s="109"/>
      <c r="P206" s="109"/>
      <c r="Q206" s="109"/>
      <c r="R206" s="109"/>
      <c r="S206" s="109"/>
      <c r="T206" s="109"/>
      <c r="U206" s="109"/>
      <c r="V206" s="109"/>
      <c r="W206" s="109"/>
      <c r="X206" s="109"/>
      <c r="Y206" s="109"/>
      <c r="Z206" s="109"/>
    </row>
    <row r="207" ht="39.75" customHeight="1">
      <c r="A207" s="109"/>
      <c r="B207" s="109"/>
      <c r="C207" s="109"/>
      <c r="D207" s="109"/>
      <c r="E207" s="109"/>
      <c r="F207" s="109"/>
      <c r="G207" s="109"/>
      <c r="H207" s="109"/>
      <c r="I207" s="109"/>
      <c r="J207" s="109"/>
      <c r="K207" s="317"/>
      <c r="L207" s="109"/>
      <c r="M207" s="109"/>
      <c r="N207" s="109"/>
      <c r="O207" s="109"/>
      <c r="P207" s="109"/>
      <c r="Q207" s="109"/>
      <c r="R207" s="109"/>
      <c r="S207" s="109"/>
      <c r="T207" s="109"/>
      <c r="U207" s="109"/>
      <c r="V207" s="109"/>
      <c r="W207" s="109"/>
      <c r="X207" s="109"/>
      <c r="Y207" s="109"/>
      <c r="Z207" s="109"/>
    </row>
    <row r="208" ht="39.75" customHeight="1">
      <c r="A208" s="109"/>
      <c r="B208" s="109"/>
      <c r="C208" s="109"/>
      <c r="D208" s="109"/>
      <c r="E208" s="109"/>
      <c r="F208" s="109"/>
      <c r="G208" s="109"/>
      <c r="H208" s="109"/>
      <c r="I208" s="109"/>
      <c r="J208" s="109"/>
      <c r="K208" s="317"/>
      <c r="L208" s="109"/>
      <c r="M208" s="109"/>
      <c r="N208" s="109"/>
      <c r="O208" s="109"/>
      <c r="P208" s="109"/>
      <c r="Q208" s="109"/>
      <c r="R208" s="109"/>
      <c r="S208" s="109"/>
      <c r="T208" s="109"/>
      <c r="U208" s="109"/>
      <c r="V208" s="109"/>
      <c r="W208" s="109"/>
      <c r="X208" s="109"/>
      <c r="Y208" s="109"/>
      <c r="Z208" s="109"/>
    </row>
    <row r="209" ht="39.75" customHeight="1">
      <c r="A209" s="109"/>
      <c r="B209" s="109"/>
      <c r="C209" s="109"/>
      <c r="D209" s="109"/>
      <c r="E209" s="109"/>
      <c r="F209" s="109"/>
      <c r="G209" s="109"/>
      <c r="H209" s="109"/>
      <c r="I209" s="109"/>
      <c r="J209" s="109"/>
      <c r="K209" s="317"/>
      <c r="L209" s="109"/>
      <c r="M209" s="109"/>
      <c r="N209" s="109"/>
      <c r="O209" s="109"/>
      <c r="P209" s="109"/>
      <c r="Q209" s="109"/>
      <c r="R209" s="109"/>
      <c r="S209" s="109"/>
      <c r="T209" s="109"/>
      <c r="U209" s="109"/>
      <c r="V209" s="109"/>
      <c r="W209" s="109"/>
      <c r="X209" s="109"/>
      <c r="Y209" s="109"/>
      <c r="Z209" s="109"/>
    </row>
    <row r="210" ht="39.75" customHeight="1">
      <c r="A210" s="109"/>
      <c r="B210" s="109"/>
      <c r="C210" s="109"/>
      <c r="D210" s="109"/>
      <c r="E210" s="109"/>
      <c r="F210" s="109"/>
      <c r="G210" s="109"/>
      <c r="H210" s="109"/>
      <c r="I210" s="109"/>
      <c r="J210" s="109"/>
      <c r="K210" s="317"/>
      <c r="L210" s="109"/>
      <c r="M210" s="109"/>
      <c r="N210" s="109"/>
      <c r="O210" s="109"/>
      <c r="P210" s="109"/>
      <c r="Q210" s="109"/>
      <c r="R210" s="109"/>
      <c r="S210" s="109"/>
      <c r="T210" s="109"/>
      <c r="U210" s="109"/>
      <c r="V210" s="109"/>
      <c r="W210" s="109"/>
      <c r="X210" s="109"/>
      <c r="Y210" s="109"/>
      <c r="Z210" s="109"/>
    </row>
    <row r="211" ht="39.75" customHeight="1">
      <c r="A211" s="109"/>
      <c r="B211" s="109"/>
      <c r="C211" s="109"/>
      <c r="D211" s="109"/>
      <c r="E211" s="109"/>
      <c r="F211" s="109"/>
      <c r="G211" s="109"/>
      <c r="H211" s="109"/>
      <c r="I211" s="109"/>
      <c r="J211" s="109"/>
      <c r="K211" s="317"/>
      <c r="L211" s="109"/>
      <c r="M211" s="109"/>
      <c r="N211" s="109"/>
      <c r="O211" s="109"/>
      <c r="P211" s="109"/>
      <c r="Q211" s="109"/>
      <c r="R211" s="109"/>
      <c r="S211" s="109"/>
      <c r="T211" s="109"/>
      <c r="U211" s="109"/>
      <c r="V211" s="109"/>
      <c r="W211" s="109"/>
      <c r="X211" s="109"/>
      <c r="Y211" s="109"/>
      <c r="Z211" s="109"/>
    </row>
    <row r="212" ht="39.75" customHeight="1">
      <c r="A212" s="109"/>
      <c r="B212" s="109"/>
      <c r="C212" s="109"/>
      <c r="D212" s="109"/>
      <c r="E212" s="109"/>
      <c r="F212" s="109"/>
      <c r="G212" s="109"/>
      <c r="H212" s="109"/>
      <c r="I212" s="109"/>
      <c r="J212" s="109"/>
      <c r="K212" s="317"/>
      <c r="L212" s="109"/>
      <c r="M212" s="109"/>
      <c r="N212" s="109"/>
      <c r="O212" s="109"/>
      <c r="P212" s="109"/>
      <c r="Q212" s="109"/>
      <c r="R212" s="109"/>
      <c r="S212" s="109"/>
      <c r="T212" s="109"/>
      <c r="U212" s="109"/>
      <c r="V212" s="109"/>
      <c r="W212" s="109"/>
      <c r="X212" s="109"/>
      <c r="Y212" s="109"/>
      <c r="Z212" s="109"/>
    </row>
    <row r="213" ht="39.75" customHeight="1">
      <c r="A213" s="109"/>
      <c r="B213" s="109"/>
      <c r="C213" s="109"/>
      <c r="D213" s="109"/>
      <c r="E213" s="109"/>
      <c r="F213" s="109"/>
      <c r="G213" s="109"/>
      <c r="H213" s="109"/>
      <c r="I213" s="109"/>
      <c r="J213" s="109"/>
      <c r="K213" s="317"/>
      <c r="L213" s="109"/>
      <c r="M213" s="109"/>
      <c r="N213" s="109"/>
      <c r="O213" s="109"/>
      <c r="P213" s="109"/>
      <c r="Q213" s="109"/>
      <c r="R213" s="109"/>
      <c r="S213" s="109"/>
      <c r="T213" s="109"/>
      <c r="U213" s="109"/>
      <c r="V213" s="109"/>
      <c r="W213" s="109"/>
      <c r="X213" s="109"/>
      <c r="Y213" s="109"/>
      <c r="Z213" s="109"/>
    </row>
    <row r="214" ht="39.75" customHeight="1">
      <c r="A214" s="109"/>
      <c r="B214" s="109"/>
      <c r="C214" s="109"/>
      <c r="D214" s="109"/>
      <c r="E214" s="109"/>
      <c r="F214" s="109"/>
      <c r="G214" s="109"/>
      <c r="H214" s="109"/>
      <c r="I214" s="109"/>
      <c r="J214" s="109"/>
      <c r="K214" s="317"/>
      <c r="L214" s="109"/>
      <c r="M214" s="109"/>
      <c r="N214" s="109"/>
      <c r="O214" s="109"/>
      <c r="P214" s="109"/>
      <c r="Q214" s="109"/>
      <c r="R214" s="109"/>
      <c r="S214" s="109"/>
      <c r="T214" s="109"/>
      <c r="U214" s="109"/>
      <c r="V214" s="109"/>
      <c r="W214" s="109"/>
      <c r="X214" s="109"/>
      <c r="Y214" s="109"/>
      <c r="Z214" s="109"/>
    </row>
    <row r="215" ht="39.75" customHeight="1">
      <c r="A215" s="109"/>
      <c r="B215" s="109"/>
      <c r="C215" s="109"/>
      <c r="D215" s="109"/>
      <c r="E215" s="109"/>
      <c r="F215" s="109"/>
      <c r="G215" s="109"/>
      <c r="H215" s="109"/>
      <c r="I215" s="109"/>
      <c r="J215" s="109"/>
      <c r="K215" s="317"/>
      <c r="L215" s="109"/>
      <c r="M215" s="109"/>
      <c r="N215" s="109"/>
      <c r="O215" s="109"/>
      <c r="P215" s="109"/>
      <c r="Q215" s="109"/>
      <c r="R215" s="109"/>
      <c r="S215" s="109"/>
      <c r="T215" s="109"/>
      <c r="U215" s="109"/>
      <c r="V215" s="109"/>
      <c r="W215" s="109"/>
      <c r="X215" s="109"/>
      <c r="Y215" s="109"/>
      <c r="Z215" s="109"/>
    </row>
    <row r="216" ht="39.75" customHeight="1">
      <c r="A216" s="109"/>
      <c r="B216" s="109"/>
      <c r="C216" s="109"/>
      <c r="D216" s="109"/>
      <c r="E216" s="109"/>
      <c r="F216" s="109"/>
      <c r="G216" s="109"/>
      <c r="H216" s="109"/>
      <c r="I216" s="109"/>
      <c r="J216" s="109"/>
      <c r="K216" s="317"/>
      <c r="L216" s="109"/>
      <c r="M216" s="109"/>
      <c r="N216" s="109"/>
      <c r="O216" s="109"/>
      <c r="P216" s="109"/>
      <c r="Q216" s="109"/>
      <c r="R216" s="109"/>
      <c r="S216" s="109"/>
      <c r="T216" s="109"/>
      <c r="U216" s="109"/>
      <c r="V216" s="109"/>
      <c r="W216" s="109"/>
      <c r="X216" s="109"/>
      <c r="Y216" s="109"/>
      <c r="Z216" s="109"/>
    </row>
    <row r="217" ht="39.75" customHeight="1">
      <c r="A217" s="109"/>
      <c r="B217" s="109"/>
      <c r="C217" s="109"/>
      <c r="D217" s="109"/>
      <c r="E217" s="109"/>
      <c r="F217" s="109"/>
      <c r="G217" s="109"/>
      <c r="H217" s="109"/>
      <c r="I217" s="109"/>
      <c r="J217" s="109"/>
      <c r="K217" s="317"/>
      <c r="L217" s="109"/>
      <c r="M217" s="109"/>
      <c r="N217" s="109"/>
      <c r="O217" s="109"/>
      <c r="P217" s="109"/>
      <c r="Q217" s="109"/>
      <c r="R217" s="109"/>
      <c r="S217" s="109"/>
      <c r="T217" s="109"/>
      <c r="U217" s="109"/>
      <c r="V217" s="109"/>
      <c r="W217" s="109"/>
      <c r="X217" s="109"/>
      <c r="Y217" s="109"/>
      <c r="Z217" s="109"/>
    </row>
    <row r="218" ht="39.75" customHeight="1">
      <c r="A218" s="109"/>
      <c r="B218" s="109"/>
      <c r="C218" s="109"/>
      <c r="D218" s="109"/>
      <c r="E218" s="109"/>
      <c r="F218" s="109"/>
      <c r="G218" s="109"/>
      <c r="H218" s="109"/>
      <c r="I218" s="109"/>
      <c r="J218" s="109"/>
      <c r="K218" s="317"/>
      <c r="L218" s="109"/>
      <c r="M218" s="109"/>
      <c r="N218" s="109"/>
      <c r="O218" s="109"/>
      <c r="P218" s="109"/>
      <c r="Q218" s="109"/>
      <c r="R218" s="109"/>
      <c r="S218" s="109"/>
      <c r="T218" s="109"/>
      <c r="U218" s="109"/>
      <c r="V218" s="109"/>
      <c r="W218" s="109"/>
      <c r="X218" s="109"/>
      <c r="Y218" s="109"/>
      <c r="Z218" s="109"/>
    </row>
    <row r="219" ht="39.75" customHeight="1">
      <c r="A219" s="109"/>
      <c r="B219" s="109"/>
      <c r="C219" s="109"/>
      <c r="D219" s="109"/>
      <c r="E219" s="109"/>
      <c r="F219" s="109"/>
      <c r="G219" s="109"/>
      <c r="H219" s="109"/>
      <c r="I219" s="109"/>
      <c r="J219" s="109"/>
      <c r="K219" s="317"/>
      <c r="L219" s="109"/>
      <c r="M219" s="109"/>
      <c r="N219" s="109"/>
      <c r="O219" s="109"/>
      <c r="P219" s="109"/>
      <c r="Q219" s="109"/>
      <c r="R219" s="109"/>
      <c r="S219" s="109"/>
      <c r="T219" s="109"/>
      <c r="U219" s="109"/>
      <c r="V219" s="109"/>
      <c r="W219" s="109"/>
      <c r="X219" s="109"/>
      <c r="Y219" s="109"/>
      <c r="Z219" s="109"/>
    </row>
    <row r="220" ht="39.75" customHeight="1">
      <c r="A220" s="109"/>
      <c r="B220" s="109"/>
      <c r="C220" s="109"/>
      <c r="D220" s="109"/>
      <c r="E220" s="109"/>
      <c r="F220" s="109"/>
      <c r="G220" s="109"/>
      <c r="H220" s="109"/>
      <c r="I220" s="109"/>
      <c r="J220" s="109"/>
      <c r="K220" s="317"/>
      <c r="L220" s="109"/>
      <c r="M220" s="109"/>
      <c r="N220" s="109"/>
      <c r="O220" s="109"/>
      <c r="P220" s="109"/>
      <c r="Q220" s="109"/>
      <c r="R220" s="109"/>
      <c r="S220" s="109"/>
      <c r="T220" s="109"/>
      <c r="U220" s="109"/>
      <c r="V220" s="109"/>
      <c r="W220" s="109"/>
      <c r="X220" s="109"/>
      <c r="Y220" s="109"/>
      <c r="Z220" s="109"/>
    </row>
    <row r="221" ht="39.75" customHeight="1">
      <c r="A221" s="109"/>
      <c r="B221" s="109"/>
      <c r="C221" s="109"/>
      <c r="D221" s="109"/>
      <c r="E221" s="109"/>
      <c r="F221" s="109"/>
      <c r="G221" s="109"/>
      <c r="H221" s="109"/>
      <c r="I221" s="109"/>
      <c r="J221" s="109"/>
      <c r="K221" s="317"/>
      <c r="L221" s="109"/>
      <c r="M221" s="109"/>
      <c r="N221" s="109"/>
      <c r="O221" s="109"/>
      <c r="P221" s="109"/>
      <c r="Q221" s="109"/>
      <c r="R221" s="109"/>
      <c r="S221" s="109"/>
      <c r="T221" s="109"/>
      <c r="U221" s="109"/>
      <c r="V221" s="109"/>
      <c r="W221" s="109"/>
      <c r="X221" s="109"/>
      <c r="Y221" s="109"/>
      <c r="Z221" s="109"/>
    </row>
    <row r="222" ht="39.75" customHeight="1">
      <c r="A222" s="109"/>
      <c r="B222" s="109"/>
      <c r="C222" s="109"/>
      <c r="D222" s="109"/>
      <c r="E222" s="109"/>
      <c r="F222" s="109"/>
      <c r="G222" s="109"/>
      <c r="H222" s="109"/>
      <c r="I222" s="109"/>
      <c r="J222" s="109"/>
      <c r="K222" s="317"/>
      <c r="L222" s="109"/>
      <c r="M222" s="109"/>
      <c r="N222" s="109"/>
      <c r="O222" s="109"/>
      <c r="P222" s="109"/>
      <c r="Q222" s="109"/>
      <c r="R222" s="109"/>
      <c r="S222" s="109"/>
      <c r="T222" s="109"/>
      <c r="U222" s="109"/>
      <c r="V222" s="109"/>
      <c r="W222" s="109"/>
      <c r="X222" s="109"/>
      <c r="Y222" s="109"/>
      <c r="Z222" s="109"/>
    </row>
    <row r="223" ht="39.75" customHeight="1">
      <c r="A223" s="109"/>
      <c r="B223" s="109"/>
      <c r="C223" s="109"/>
      <c r="D223" s="109"/>
      <c r="E223" s="109"/>
      <c r="F223" s="109"/>
      <c r="G223" s="109"/>
      <c r="H223" s="109"/>
      <c r="I223" s="109"/>
      <c r="J223" s="109"/>
      <c r="K223" s="317"/>
      <c r="L223" s="109"/>
      <c r="M223" s="109"/>
      <c r="N223" s="109"/>
      <c r="O223" s="109"/>
      <c r="P223" s="109"/>
      <c r="Q223" s="109"/>
      <c r="R223" s="109"/>
      <c r="S223" s="109"/>
      <c r="T223" s="109"/>
      <c r="U223" s="109"/>
      <c r="V223" s="109"/>
      <c r="W223" s="109"/>
      <c r="X223" s="109"/>
      <c r="Y223" s="109"/>
      <c r="Z223" s="109"/>
    </row>
    <row r="224" ht="39.75" customHeight="1">
      <c r="A224" s="109"/>
      <c r="B224" s="109"/>
      <c r="C224" s="109"/>
      <c r="D224" s="109"/>
      <c r="E224" s="109"/>
      <c r="F224" s="109"/>
      <c r="G224" s="109"/>
      <c r="H224" s="109"/>
      <c r="I224" s="109"/>
      <c r="J224" s="109"/>
      <c r="K224" s="317"/>
      <c r="L224" s="109"/>
      <c r="M224" s="109"/>
      <c r="N224" s="109"/>
      <c r="O224" s="109"/>
      <c r="P224" s="109"/>
      <c r="Q224" s="109"/>
      <c r="R224" s="109"/>
      <c r="S224" s="109"/>
      <c r="T224" s="109"/>
      <c r="U224" s="109"/>
      <c r="V224" s="109"/>
      <c r="W224" s="109"/>
      <c r="X224" s="109"/>
      <c r="Y224" s="109"/>
      <c r="Z224" s="109"/>
    </row>
    <row r="225" ht="39.75" customHeight="1">
      <c r="A225" s="109"/>
      <c r="B225" s="109"/>
      <c r="C225" s="109"/>
      <c r="D225" s="109"/>
      <c r="E225" s="109"/>
      <c r="F225" s="109"/>
      <c r="G225" s="109"/>
      <c r="H225" s="109"/>
      <c r="I225" s="109"/>
      <c r="J225" s="109"/>
      <c r="K225" s="317"/>
      <c r="L225" s="109"/>
      <c r="M225" s="109"/>
      <c r="N225" s="109"/>
      <c r="O225" s="109"/>
      <c r="P225" s="109"/>
      <c r="Q225" s="109"/>
      <c r="R225" s="109"/>
      <c r="S225" s="109"/>
      <c r="T225" s="109"/>
      <c r="U225" s="109"/>
      <c r="V225" s="109"/>
      <c r="W225" s="109"/>
      <c r="X225" s="109"/>
      <c r="Y225" s="109"/>
      <c r="Z225" s="109"/>
    </row>
    <row r="226" ht="39.75" customHeight="1">
      <c r="A226" s="109"/>
      <c r="B226" s="109"/>
      <c r="C226" s="109"/>
      <c r="D226" s="109"/>
      <c r="E226" s="109"/>
      <c r="F226" s="109"/>
      <c r="G226" s="109"/>
      <c r="H226" s="109"/>
      <c r="I226" s="109"/>
      <c r="J226" s="109"/>
      <c r="K226" s="317"/>
      <c r="L226" s="109"/>
      <c r="M226" s="109"/>
      <c r="N226" s="109"/>
      <c r="O226" s="109"/>
      <c r="P226" s="109"/>
      <c r="Q226" s="109"/>
      <c r="R226" s="109"/>
      <c r="S226" s="109"/>
      <c r="T226" s="109"/>
      <c r="U226" s="109"/>
      <c r="V226" s="109"/>
      <c r="W226" s="109"/>
      <c r="X226" s="109"/>
      <c r="Y226" s="109"/>
      <c r="Z226" s="109"/>
    </row>
    <row r="227" ht="39.75" customHeight="1">
      <c r="A227" s="109"/>
      <c r="B227" s="109"/>
      <c r="C227" s="109"/>
      <c r="D227" s="109"/>
      <c r="E227" s="109"/>
      <c r="F227" s="109"/>
      <c r="G227" s="109"/>
      <c r="H227" s="109"/>
      <c r="I227" s="109"/>
      <c r="J227" s="109"/>
      <c r="K227" s="317"/>
      <c r="L227" s="109"/>
      <c r="M227" s="109"/>
      <c r="N227" s="109"/>
      <c r="O227" s="109"/>
      <c r="P227" s="109"/>
      <c r="Q227" s="109"/>
      <c r="R227" s="109"/>
      <c r="S227" s="109"/>
      <c r="T227" s="109"/>
      <c r="U227" s="109"/>
      <c r="V227" s="109"/>
      <c r="W227" s="109"/>
      <c r="X227" s="109"/>
      <c r="Y227" s="109"/>
      <c r="Z227" s="109"/>
    </row>
    <row r="228" ht="39.75" customHeight="1">
      <c r="A228" s="109"/>
      <c r="B228" s="109"/>
      <c r="C228" s="109"/>
      <c r="D228" s="109"/>
      <c r="E228" s="109"/>
      <c r="F228" s="109"/>
      <c r="G228" s="109"/>
      <c r="H228" s="109"/>
      <c r="I228" s="109"/>
      <c r="J228" s="109"/>
      <c r="K228" s="317"/>
      <c r="L228" s="109"/>
      <c r="M228" s="109"/>
      <c r="N228" s="109"/>
      <c r="O228" s="109"/>
      <c r="P228" s="109"/>
      <c r="Q228" s="109"/>
      <c r="R228" s="109"/>
      <c r="S228" s="109"/>
      <c r="T228" s="109"/>
      <c r="U228" s="109"/>
      <c r="V228" s="109"/>
      <c r="W228" s="109"/>
      <c r="X228" s="109"/>
      <c r="Y228" s="109"/>
      <c r="Z228" s="109"/>
    </row>
    <row r="229" ht="39.75" customHeight="1">
      <c r="A229" s="109"/>
      <c r="B229" s="109"/>
      <c r="C229" s="109"/>
      <c r="D229" s="109"/>
      <c r="E229" s="109"/>
      <c r="F229" s="109"/>
      <c r="G229" s="109"/>
      <c r="H229" s="109"/>
      <c r="I229" s="109"/>
      <c r="J229" s="109"/>
      <c r="K229" s="317"/>
      <c r="L229" s="109"/>
      <c r="M229" s="109"/>
      <c r="N229" s="109"/>
      <c r="O229" s="109"/>
      <c r="P229" s="109"/>
      <c r="Q229" s="109"/>
      <c r="R229" s="109"/>
      <c r="S229" s="109"/>
      <c r="T229" s="109"/>
      <c r="U229" s="109"/>
      <c r="V229" s="109"/>
      <c r="W229" s="109"/>
      <c r="X229" s="109"/>
      <c r="Y229" s="109"/>
      <c r="Z229" s="109"/>
    </row>
    <row r="230" ht="39.75" customHeight="1">
      <c r="A230" s="109"/>
      <c r="B230" s="109"/>
      <c r="C230" s="109"/>
      <c r="D230" s="109"/>
      <c r="E230" s="109"/>
      <c r="F230" s="109"/>
      <c r="G230" s="109"/>
      <c r="H230" s="109"/>
      <c r="I230" s="109"/>
      <c r="J230" s="109"/>
      <c r="K230" s="317"/>
      <c r="L230" s="109"/>
      <c r="M230" s="109"/>
      <c r="N230" s="109"/>
      <c r="O230" s="109"/>
      <c r="P230" s="109"/>
      <c r="Q230" s="109"/>
      <c r="R230" s="109"/>
      <c r="S230" s="109"/>
      <c r="T230" s="109"/>
      <c r="U230" s="109"/>
      <c r="V230" s="109"/>
      <c r="W230" s="109"/>
      <c r="X230" s="109"/>
      <c r="Y230" s="109"/>
      <c r="Z230" s="109"/>
    </row>
    <row r="231" ht="39.75" customHeight="1">
      <c r="A231" s="109"/>
      <c r="B231" s="109"/>
      <c r="C231" s="109"/>
      <c r="D231" s="109"/>
      <c r="E231" s="109"/>
      <c r="F231" s="109"/>
      <c r="G231" s="109"/>
      <c r="H231" s="109"/>
      <c r="I231" s="109"/>
      <c r="J231" s="109"/>
      <c r="K231" s="317"/>
      <c r="L231" s="109"/>
      <c r="M231" s="109"/>
      <c r="N231" s="109"/>
      <c r="O231" s="109"/>
      <c r="P231" s="109"/>
      <c r="Q231" s="109"/>
      <c r="R231" s="109"/>
      <c r="S231" s="109"/>
      <c r="T231" s="109"/>
      <c r="U231" s="109"/>
      <c r="V231" s="109"/>
      <c r="W231" s="109"/>
      <c r="X231" s="109"/>
      <c r="Y231" s="109"/>
      <c r="Z231" s="109"/>
    </row>
    <row r="232" ht="39.75" customHeight="1">
      <c r="A232" s="109"/>
      <c r="B232" s="109"/>
      <c r="C232" s="109"/>
      <c r="D232" s="109"/>
      <c r="E232" s="109"/>
      <c r="F232" s="109"/>
      <c r="G232" s="109"/>
      <c r="H232" s="109"/>
      <c r="I232" s="109"/>
      <c r="J232" s="109"/>
      <c r="K232" s="317"/>
      <c r="L232" s="109"/>
      <c r="M232" s="109"/>
      <c r="N232" s="109"/>
      <c r="O232" s="109"/>
      <c r="P232" s="109"/>
      <c r="Q232" s="109"/>
      <c r="R232" s="109"/>
      <c r="S232" s="109"/>
      <c r="T232" s="109"/>
      <c r="U232" s="109"/>
      <c r="V232" s="109"/>
      <c r="W232" s="109"/>
      <c r="X232" s="109"/>
      <c r="Y232" s="109"/>
      <c r="Z232" s="109"/>
    </row>
    <row r="233" ht="39.75" customHeight="1">
      <c r="A233" s="109"/>
      <c r="B233" s="109"/>
      <c r="C233" s="109"/>
      <c r="D233" s="109"/>
      <c r="E233" s="109"/>
      <c r="F233" s="109"/>
      <c r="G233" s="109"/>
      <c r="H233" s="109"/>
      <c r="I233" s="109"/>
      <c r="J233" s="109"/>
      <c r="K233" s="317"/>
      <c r="L233" s="109"/>
      <c r="M233" s="109"/>
      <c r="N233" s="109"/>
      <c r="O233" s="109"/>
      <c r="P233" s="109"/>
      <c r="Q233" s="109"/>
      <c r="R233" s="109"/>
      <c r="S233" s="109"/>
      <c r="T233" s="109"/>
      <c r="U233" s="109"/>
      <c r="V233" s="109"/>
      <c r="W233" s="109"/>
      <c r="X233" s="109"/>
      <c r="Y233" s="109"/>
      <c r="Z233" s="109"/>
    </row>
    <row r="234" ht="39.75" customHeight="1">
      <c r="A234" s="109"/>
      <c r="B234" s="109"/>
      <c r="C234" s="109"/>
      <c r="D234" s="109"/>
      <c r="E234" s="109"/>
      <c r="F234" s="109"/>
      <c r="G234" s="109"/>
      <c r="H234" s="109"/>
      <c r="I234" s="109"/>
      <c r="J234" s="109"/>
      <c r="K234" s="317"/>
      <c r="L234" s="109"/>
      <c r="M234" s="109"/>
      <c r="N234" s="109"/>
      <c r="O234" s="109"/>
      <c r="P234" s="109"/>
      <c r="Q234" s="109"/>
      <c r="R234" s="109"/>
      <c r="S234" s="109"/>
      <c r="T234" s="109"/>
      <c r="U234" s="109"/>
      <c r="V234" s="109"/>
      <c r="W234" s="109"/>
      <c r="X234" s="109"/>
      <c r="Y234" s="109"/>
      <c r="Z234" s="109"/>
    </row>
    <row r="235" ht="39.75" customHeight="1">
      <c r="A235" s="109"/>
      <c r="B235" s="109"/>
      <c r="C235" s="109"/>
      <c r="D235" s="109"/>
      <c r="E235" s="109"/>
      <c r="F235" s="109"/>
      <c r="G235" s="109"/>
      <c r="H235" s="109"/>
      <c r="I235" s="109"/>
      <c r="J235" s="109"/>
      <c r="K235" s="317"/>
      <c r="L235" s="109"/>
      <c r="M235" s="109"/>
      <c r="N235" s="109"/>
      <c r="O235" s="109"/>
      <c r="P235" s="109"/>
      <c r="Q235" s="109"/>
      <c r="R235" s="109"/>
      <c r="S235" s="109"/>
      <c r="T235" s="109"/>
      <c r="U235" s="109"/>
      <c r="V235" s="109"/>
      <c r="W235" s="109"/>
      <c r="X235" s="109"/>
      <c r="Y235" s="109"/>
      <c r="Z235" s="109"/>
    </row>
    <row r="236" ht="39.75" customHeight="1">
      <c r="A236" s="109"/>
      <c r="B236" s="109"/>
      <c r="C236" s="109"/>
      <c r="D236" s="109"/>
      <c r="E236" s="109"/>
      <c r="F236" s="109"/>
      <c r="G236" s="109"/>
      <c r="H236" s="109"/>
      <c r="I236" s="109"/>
      <c r="J236" s="109"/>
      <c r="K236" s="317"/>
      <c r="L236" s="109"/>
      <c r="M236" s="109"/>
      <c r="N236" s="109"/>
      <c r="O236" s="109"/>
      <c r="P236" s="109"/>
      <c r="Q236" s="109"/>
      <c r="R236" s="109"/>
      <c r="S236" s="109"/>
      <c r="T236" s="109"/>
      <c r="U236" s="109"/>
      <c r="V236" s="109"/>
      <c r="W236" s="109"/>
      <c r="X236" s="109"/>
      <c r="Y236" s="109"/>
      <c r="Z236" s="109"/>
    </row>
    <row r="237" ht="39.75" customHeight="1">
      <c r="A237" s="109"/>
      <c r="B237" s="109"/>
      <c r="C237" s="109"/>
      <c r="D237" s="109"/>
      <c r="E237" s="109"/>
      <c r="F237" s="109"/>
      <c r="G237" s="109"/>
      <c r="H237" s="109"/>
      <c r="I237" s="109"/>
      <c r="J237" s="109"/>
      <c r="K237" s="317"/>
      <c r="L237" s="109"/>
      <c r="M237" s="109"/>
      <c r="N237" s="109"/>
      <c r="O237" s="109"/>
      <c r="P237" s="109"/>
      <c r="Q237" s="109"/>
      <c r="R237" s="109"/>
      <c r="S237" s="109"/>
      <c r="T237" s="109"/>
      <c r="U237" s="109"/>
      <c r="V237" s="109"/>
      <c r="W237" s="109"/>
      <c r="X237" s="109"/>
      <c r="Y237" s="109"/>
      <c r="Z237" s="109"/>
    </row>
    <row r="238" ht="39.75" customHeight="1">
      <c r="A238" s="109"/>
      <c r="B238" s="109"/>
      <c r="C238" s="109"/>
      <c r="D238" s="109"/>
      <c r="E238" s="109"/>
      <c r="F238" s="109"/>
      <c r="G238" s="109"/>
      <c r="H238" s="109"/>
      <c r="I238" s="109"/>
      <c r="J238" s="109"/>
      <c r="K238" s="317"/>
      <c r="L238" s="109"/>
      <c r="M238" s="109"/>
      <c r="N238" s="109"/>
      <c r="O238" s="109"/>
      <c r="P238" s="109"/>
      <c r="Q238" s="109"/>
      <c r="R238" s="109"/>
      <c r="S238" s="109"/>
      <c r="T238" s="109"/>
      <c r="U238" s="109"/>
      <c r="V238" s="109"/>
      <c r="W238" s="109"/>
      <c r="X238" s="109"/>
      <c r="Y238" s="109"/>
      <c r="Z238" s="109"/>
    </row>
    <row r="239" ht="39.75" customHeight="1">
      <c r="A239" s="109"/>
      <c r="B239" s="109"/>
      <c r="C239" s="109"/>
      <c r="D239" s="109"/>
      <c r="E239" s="109"/>
      <c r="F239" s="109"/>
      <c r="G239" s="109"/>
      <c r="H239" s="109"/>
      <c r="I239" s="109"/>
      <c r="J239" s="109"/>
      <c r="K239" s="317"/>
      <c r="L239" s="109"/>
      <c r="M239" s="109"/>
      <c r="N239" s="109"/>
      <c r="O239" s="109"/>
      <c r="P239" s="109"/>
      <c r="Q239" s="109"/>
      <c r="R239" s="109"/>
      <c r="S239" s="109"/>
      <c r="T239" s="109"/>
      <c r="U239" s="109"/>
      <c r="V239" s="109"/>
      <c r="W239" s="109"/>
      <c r="X239" s="109"/>
      <c r="Y239" s="109"/>
      <c r="Z239" s="109"/>
    </row>
    <row r="240" ht="39.75" customHeight="1">
      <c r="A240" s="109"/>
      <c r="B240" s="109"/>
      <c r="C240" s="109"/>
      <c r="D240" s="109"/>
      <c r="E240" s="109"/>
      <c r="F240" s="109"/>
      <c r="G240" s="109"/>
      <c r="H240" s="109"/>
      <c r="I240" s="109"/>
      <c r="J240" s="109"/>
      <c r="K240" s="317"/>
      <c r="L240" s="109"/>
      <c r="M240" s="109"/>
      <c r="N240" s="109"/>
      <c r="O240" s="109"/>
      <c r="P240" s="109"/>
      <c r="Q240" s="109"/>
      <c r="R240" s="109"/>
      <c r="S240" s="109"/>
      <c r="T240" s="109"/>
      <c r="U240" s="109"/>
      <c r="V240" s="109"/>
      <c r="W240" s="109"/>
      <c r="X240" s="109"/>
      <c r="Y240" s="109"/>
      <c r="Z240" s="109"/>
    </row>
    <row r="241" ht="39.75" customHeight="1">
      <c r="A241" s="109"/>
      <c r="B241" s="109"/>
      <c r="C241" s="109"/>
      <c r="D241" s="109"/>
      <c r="E241" s="109"/>
      <c r="F241" s="109"/>
      <c r="G241" s="109"/>
      <c r="H241" s="109"/>
      <c r="I241" s="109"/>
      <c r="J241" s="109"/>
      <c r="K241" s="317"/>
      <c r="L241" s="109"/>
      <c r="M241" s="109"/>
      <c r="N241" s="109"/>
      <c r="O241" s="109"/>
      <c r="P241" s="109"/>
      <c r="Q241" s="109"/>
      <c r="R241" s="109"/>
      <c r="S241" s="109"/>
      <c r="T241" s="109"/>
      <c r="U241" s="109"/>
      <c r="V241" s="109"/>
      <c r="W241" s="109"/>
      <c r="X241" s="109"/>
      <c r="Y241" s="109"/>
      <c r="Z241" s="109"/>
    </row>
    <row r="242" ht="39.75" customHeight="1">
      <c r="A242" s="109"/>
      <c r="B242" s="109"/>
      <c r="C242" s="109"/>
      <c r="D242" s="109"/>
      <c r="E242" s="109"/>
      <c r="F242" s="109"/>
      <c r="G242" s="109"/>
      <c r="H242" s="109"/>
      <c r="I242" s="109"/>
      <c r="J242" s="109"/>
      <c r="K242" s="317"/>
      <c r="L242" s="109"/>
      <c r="M242" s="109"/>
      <c r="N242" s="109"/>
      <c r="O242" s="109"/>
      <c r="P242" s="109"/>
      <c r="Q242" s="109"/>
      <c r="R242" s="109"/>
      <c r="S242" s="109"/>
      <c r="T242" s="109"/>
      <c r="U242" s="109"/>
      <c r="V242" s="109"/>
      <c r="W242" s="109"/>
      <c r="X242" s="109"/>
      <c r="Y242" s="109"/>
      <c r="Z242" s="109"/>
    </row>
    <row r="243" ht="39.75" customHeight="1">
      <c r="A243" s="109"/>
      <c r="B243" s="109"/>
      <c r="C243" s="109"/>
      <c r="D243" s="109"/>
      <c r="E243" s="109"/>
      <c r="F243" s="109"/>
      <c r="G243" s="109"/>
      <c r="H243" s="109"/>
      <c r="I243" s="109"/>
      <c r="J243" s="109"/>
      <c r="K243" s="317"/>
      <c r="L243" s="109"/>
      <c r="M243" s="109"/>
      <c r="N243" s="109"/>
      <c r="O243" s="109"/>
      <c r="P243" s="109"/>
      <c r="Q243" s="109"/>
      <c r="R243" s="109"/>
      <c r="S243" s="109"/>
      <c r="T243" s="109"/>
      <c r="U243" s="109"/>
      <c r="V243" s="109"/>
      <c r="W243" s="109"/>
      <c r="X243" s="109"/>
      <c r="Y243" s="109"/>
      <c r="Z243" s="109"/>
    </row>
    <row r="244" ht="39.75" customHeight="1">
      <c r="A244" s="109"/>
      <c r="B244" s="109"/>
      <c r="C244" s="109"/>
      <c r="D244" s="109"/>
      <c r="E244" s="109"/>
      <c r="F244" s="109"/>
      <c r="G244" s="109"/>
      <c r="H244" s="109"/>
      <c r="I244" s="109"/>
      <c r="J244" s="109"/>
      <c r="K244" s="317"/>
      <c r="L244" s="109"/>
      <c r="M244" s="109"/>
      <c r="N244" s="109"/>
      <c r="O244" s="109"/>
      <c r="P244" s="109"/>
      <c r="Q244" s="109"/>
      <c r="R244" s="109"/>
      <c r="S244" s="109"/>
      <c r="T244" s="109"/>
      <c r="U244" s="109"/>
      <c r="V244" s="109"/>
      <c r="W244" s="109"/>
      <c r="X244" s="109"/>
      <c r="Y244" s="109"/>
      <c r="Z244" s="109"/>
    </row>
    <row r="245" ht="39.75" customHeight="1">
      <c r="A245" s="109"/>
      <c r="B245" s="109"/>
      <c r="C245" s="109"/>
      <c r="D245" s="109"/>
      <c r="E245" s="109"/>
      <c r="F245" s="109"/>
      <c r="G245" s="109"/>
      <c r="H245" s="109"/>
      <c r="I245" s="109"/>
      <c r="J245" s="109"/>
      <c r="K245" s="317"/>
      <c r="L245" s="109"/>
      <c r="M245" s="109"/>
      <c r="N245" s="109"/>
      <c r="O245" s="109"/>
      <c r="P245" s="109"/>
      <c r="Q245" s="109"/>
      <c r="R245" s="109"/>
      <c r="S245" s="109"/>
      <c r="T245" s="109"/>
      <c r="U245" s="109"/>
      <c r="V245" s="109"/>
      <c r="W245" s="109"/>
      <c r="X245" s="109"/>
      <c r="Y245" s="109"/>
      <c r="Z245" s="109"/>
    </row>
    <row r="246" ht="39.75" customHeight="1">
      <c r="A246" s="109"/>
      <c r="B246" s="109"/>
      <c r="C246" s="109"/>
      <c r="D246" s="109"/>
      <c r="E246" s="109"/>
      <c r="F246" s="109"/>
      <c r="G246" s="109"/>
      <c r="H246" s="109"/>
      <c r="I246" s="109"/>
      <c r="J246" s="109"/>
      <c r="K246" s="317"/>
      <c r="L246" s="109"/>
      <c r="M246" s="109"/>
      <c r="N246" s="109"/>
      <c r="O246" s="109"/>
      <c r="P246" s="109"/>
      <c r="Q246" s="109"/>
      <c r="R246" s="109"/>
      <c r="S246" s="109"/>
      <c r="T246" s="109"/>
      <c r="U246" s="109"/>
      <c r="V246" s="109"/>
      <c r="W246" s="109"/>
      <c r="X246" s="109"/>
      <c r="Y246" s="109"/>
      <c r="Z246" s="109"/>
    </row>
    <row r="247" ht="39.75" customHeight="1">
      <c r="A247" s="109"/>
      <c r="B247" s="109"/>
      <c r="C247" s="109"/>
      <c r="D247" s="109"/>
      <c r="E247" s="109"/>
      <c r="F247" s="109"/>
      <c r="G247" s="109"/>
      <c r="H247" s="109"/>
      <c r="I247" s="109"/>
      <c r="J247" s="109"/>
      <c r="K247" s="317"/>
      <c r="L247" s="109"/>
      <c r="M247" s="109"/>
      <c r="N247" s="109"/>
      <c r="O247" s="109"/>
      <c r="P247" s="109"/>
      <c r="Q247" s="109"/>
      <c r="R247" s="109"/>
      <c r="S247" s="109"/>
      <c r="T247" s="109"/>
      <c r="U247" s="109"/>
      <c r="V247" s="109"/>
      <c r="W247" s="109"/>
      <c r="X247" s="109"/>
      <c r="Y247" s="109"/>
      <c r="Z247" s="109"/>
    </row>
    <row r="248" ht="39.75" customHeight="1">
      <c r="A248" s="109"/>
      <c r="B248" s="109"/>
      <c r="C248" s="109"/>
      <c r="D248" s="109"/>
      <c r="E248" s="109"/>
      <c r="F248" s="109"/>
      <c r="G248" s="109"/>
      <c r="H248" s="109"/>
      <c r="I248" s="109"/>
      <c r="J248" s="109"/>
      <c r="K248" s="317"/>
      <c r="L248" s="109"/>
      <c r="M248" s="109"/>
      <c r="N248" s="109"/>
      <c r="O248" s="109"/>
      <c r="P248" s="109"/>
      <c r="Q248" s="109"/>
      <c r="R248" s="109"/>
      <c r="S248" s="109"/>
      <c r="T248" s="109"/>
      <c r="U248" s="109"/>
      <c r="V248" s="109"/>
      <c r="W248" s="109"/>
      <c r="X248" s="109"/>
      <c r="Y248" s="109"/>
      <c r="Z248" s="109"/>
    </row>
    <row r="249" ht="39.75" customHeight="1">
      <c r="A249" s="109"/>
      <c r="B249" s="109"/>
      <c r="C249" s="109"/>
      <c r="D249" s="109"/>
      <c r="E249" s="109"/>
      <c r="F249" s="109"/>
      <c r="G249" s="109"/>
      <c r="H249" s="109"/>
      <c r="I249" s="109"/>
      <c r="J249" s="109"/>
      <c r="K249" s="317"/>
      <c r="L249" s="109"/>
      <c r="M249" s="109"/>
      <c r="N249" s="109"/>
      <c r="O249" s="109"/>
      <c r="P249" s="109"/>
      <c r="Q249" s="109"/>
      <c r="R249" s="109"/>
      <c r="S249" s="109"/>
      <c r="T249" s="109"/>
      <c r="U249" s="109"/>
      <c r="V249" s="109"/>
      <c r="W249" s="109"/>
      <c r="X249" s="109"/>
      <c r="Y249" s="109"/>
      <c r="Z249" s="109"/>
    </row>
    <row r="250" ht="39.75" customHeight="1">
      <c r="A250" s="109"/>
      <c r="B250" s="109"/>
      <c r="C250" s="109"/>
      <c r="D250" s="109"/>
      <c r="E250" s="109"/>
      <c r="F250" s="109"/>
      <c r="G250" s="109"/>
      <c r="H250" s="109"/>
      <c r="I250" s="109"/>
      <c r="J250" s="109"/>
      <c r="K250" s="317"/>
      <c r="L250" s="109"/>
      <c r="M250" s="109"/>
      <c r="N250" s="109"/>
      <c r="O250" s="109"/>
      <c r="P250" s="109"/>
      <c r="Q250" s="109"/>
      <c r="R250" s="109"/>
      <c r="S250" s="109"/>
      <c r="T250" s="109"/>
      <c r="U250" s="109"/>
      <c r="V250" s="109"/>
      <c r="W250" s="109"/>
      <c r="X250" s="109"/>
      <c r="Y250" s="109"/>
      <c r="Z250" s="109"/>
    </row>
    <row r="251" ht="39.75" customHeight="1">
      <c r="A251" s="109"/>
      <c r="B251" s="109"/>
      <c r="C251" s="109"/>
      <c r="D251" s="109"/>
      <c r="E251" s="109"/>
      <c r="F251" s="109"/>
      <c r="G251" s="109"/>
      <c r="H251" s="109"/>
      <c r="I251" s="109"/>
      <c r="J251" s="109"/>
      <c r="K251" s="317"/>
      <c r="L251" s="109"/>
      <c r="M251" s="109"/>
      <c r="N251" s="109"/>
      <c r="O251" s="109"/>
      <c r="P251" s="109"/>
      <c r="Q251" s="109"/>
      <c r="R251" s="109"/>
      <c r="S251" s="109"/>
      <c r="T251" s="109"/>
      <c r="U251" s="109"/>
      <c r="V251" s="109"/>
      <c r="W251" s="109"/>
      <c r="X251" s="109"/>
      <c r="Y251" s="109"/>
      <c r="Z251" s="109"/>
    </row>
    <row r="252" ht="39.75" customHeight="1">
      <c r="A252" s="109"/>
      <c r="B252" s="109"/>
      <c r="C252" s="109"/>
      <c r="D252" s="109"/>
      <c r="E252" s="109"/>
      <c r="F252" s="109"/>
      <c r="G252" s="109"/>
      <c r="H252" s="109"/>
      <c r="I252" s="109"/>
      <c r="J252" s="109"/>
      <c r="K252" s="317"/>
      <c r="L252" s="109"/>
      <c r="M252" s="109"/>
      <c r="N252" s="109"/>
      <c r="O252" s="109"/>
      <c r="P252" s="109"/>
      <c r="Q252" s="109"/>
      <c r="R252" s="109"/>
      <c r="S252" s="109"/>
      <c r="T252" s="109"/>
      <c r="U252" s="109"/>
      <c r="V252" s="109"/>
      <c r="W252" s="109"/>
      <c r="X252" s="109"/>
      <c r="Y252" s="109"/>
      <c r="Z252" s="109"/>
    </row>
    <row r="253" ht="39.75" customHeight="1">
      <c r="A253" s="109"/>
      <c r="B253" s="109"/>
      <c r="C253" s="109"/>
      <c r="D253" s="109"/>
      <c r="E253" s="109"/>
      <c r="F253" s="109"/>
      <c r="G253" s="109"/>
      <c r="H253" s="109"/>
      <c r="I253" s="109"/>
      <c r="J253" s="109"/>
      <c r="K253" s="317"/>
      <c r="L253" s="109"/>
      <c r="M253" s="109"/>
      <c r="N253" s="109"/>
      <c r="O253" s="109"/>
      <c r="P253" s="109"/>
      <c r="Q253" s="109"/>
      <c r="R253" s="109"/>
      <c r="S253" s="109"/>
      <c r="T253" s="109"/>
      <c r="U253" s="109"/>
      <c r="V253" s="109"/>
      <c r="W253" s="109"/>
      <c r="X253" s="109"/>
      <c r="Y253" s="109"/>
      <c r="Z253" s="109"/>
    </row>
    <row r="254" ht="39.75" customHeight="1">
      <c r="A254" s="109"/>
      <c r="B254" s="109"/>
      <c r="C254" s="109"/>
      <c r="D254" s="109"/>
      <c r="E254" s="109"/>
      <c r="F254" s="109"/>
      <c r="G254" s="109"/>
      <c r="H254" s="109"/>
      <c r="I254" s="109"/>
      <c r="J254" s="109"/>
      <c r="K254" s="317"/>
      <c r="L254" s="109"/>
      <c r="M254" s="109"/>
      <c r="N254" s="109"/>
      <c r="O254" s="109"/>
      <c r="P254" s="109"/>
      <c r="Q254" s="109"/>
      <c r="R254" s="109"/>
      <c r="S254" s="109"/>
      <c r="T254" s="109"/>
      <c r="U254" s="109"/>
      <c r="V254" s="109"/>
      <c r="W254" s="109"/>
      <c r="X254" s="109"/>
      <c r="Y254" s="109"/>
      <c r="Z254" s="109"/>
    </row>
    <row r="255" ht="39.75" customHeight="1">
      <c r="A255" s="109"/>
      <c r="B255" s="109"/>
      <c r="C255" s="109"/>
      <c r="D255" s="109"/>
      <c r="E255" s="109"/>
      <c r="F255" s="109"/>
      <c r="G255" s="109"/>
      <c r="H255" s="109"/>
      <c r="I255" s="109"/>
      <c r="J255" s="109"/>
      <c r="K255" s="317"/>
      <c r="L255" s="109"/>
      <c r="M255" s="109"/>
      <c r="N255" s="109"/>
      <c r="O255" s="109"/>
      <c r="P255" s="109"/>
      <c r="Q255" s="109"/>
      <c r="R255" s="109"/>
      <c r="S255" s="109"/>
      <c r="T255" s="109"/>
      <c r="U255" s="109"/>
      <c r="V255" s="109"/>
      <c r="W255" s="109"/>
      <c r="X255" s="109"/>
      <c r="Y255" s="109"/>
      <c r="Z255" s="109"/>
    </row>
    <row r="256" ht="39.75" customHeight="1">
      <c r="A256" s="109"/>
      <c r="B256" s="109"/>
      <c r="C256" s="109"/>
      <c r="D256" s="109"/>
      <c r="E256" s="109"/>
      <c r="F256" s="109"/>
      <c r="G256" s="109"/>
      <c r="H256" s="109"/>
      <c r="I256" s="109"/>
      <c r="J256" s="109"/>
      <c r="K256" s="317"/>
      <c r="L256" s="109"/>
      <c r="M256" s="109"/>
      <c r="N256" s="109"/>
      <c r="O256" s="109"/>
      <c r="P256" s="109"/>
      <c r="Q256" s="109"/>
      <c r="R256" s="109"/>
      <c r="S256" s="109"/>
      <c r="T256" s="109"/>
      <c r="U256" s="109"/>
      <c r="V256" s="109"/>
      <c r="W256" s="109"/>
      <c r="X256" s="109"/>
      <c r="Y256" s="109"/>
      <c r="Z256" s="109"/>
    </row>
    <row r="257" ht="39.75" customHeight="1">
      <c r="A257" s="109"/>
      <c r="B257" s="109"/>
      <c r="C257" s="109"/>
      <c r="D257" s="109"/>
      <c r="E257" s="109"/>
      <c r="F257" s="109"/>
      <c r="G257" s="109"/>
      <c r="H257" s="109"/>
      <c r="I257" s="109"/>
      <c r="J257" s="109"/>
      <c r="K257" s="317"/>
      <c r="L257" s="109"/>
      <c r="M257" s="109"/>
      <c r="N257" s="109"/>
      <c r="O257" s="109"/>
      <c r="P257" s="109"/>
      <c r="Q257" s="109"/>
      <c r="R257" s="109"/>
      <c r="S257" s="109"/>
      <c r="T257" s="109"/>
      <c r="U257" s="109"/>
      <c r="V257" s="109"/>
      <c r="W257" s="109"/>
      <c r="X257" s="109"/>
      <c r="Y257" s="109"/>
      <c r="Z257" s="109"/>
    </row>
    <row r="258" ht="39.75" customHeight="1">
      <c r="A258" s="109"/>
      <c r="B258" s="109"/>
      <c r="C258" s="109"/>
      <c r="D258" s="109"/>
      <c r="E258" s="109"/>
      <c r="F258" s="109"/>
      <c r="G258" s="109"/>
      <c r="H258" s="109"/>
      <c r="I258" s="109"/>
      <c r="J258" s="109"/>
      <c r="K258" s="317"/>
      <c r="L258" s="109"/>
      <c r="M258" s="109"/>
      <c r="N258" s="109"/>
      <c r="O258" s="109"/>
      <c r="P258" s="109"/>
      <c r="Q258" s="109"/>
      <c r="R258" s="109"/>
      <c r="S258" s="109"/>
      <c r="T258" s="109"/>
      <c r="U258" s="109"/>
      <c r="V258" s="109"/>
      <c r="W258" s="109"/>
      <c r="X258" s="109"/>
      <c r="Y258" s="109"/>
      <c r="Z258" s="109"/>
    </row>
    <row r="259" ht="39.75" customHeight="1">
      <c r="A259" s="109"/>
      <c r="B259" s="109"/>
      <c r="C259" s="109"/>
      <c r="D259" s="109"/>
      <c r="E259" s="109"/>
      <c r="F259" s="109"/>
      <c r="G259" s="109"/>
      <c r="H259" s="109"/>
      <c r="I259" s="109"/>
      <c r="J259" s="109"/>
      <c r="K259" s="317"/>
      <c r="L259" s="109"/>
      <c r="M259" s="109"/>
      <c r="N259" s="109"/>
      <c r="O259" s="109"/>
      <c r="P259" s="109"/>
      <c r="Q259" s="109"/>
      <c r="R259" s="109"/>
      <c r="S259" s="109"/>
      <c r="T259" s="109"/>
      <c r="U259" s="109"/>
      <c r="V259" s="109"/>
      <c r="W259" s="109"/>
      <c r="X259" s="109"/>
      <c r="Y259" s="109"/>
      <c r="Z259" s="109"/>
    </row>
    <row r="260" ht="39.75" customHeight="1">
      <c r="A260" s="109"/>
      <c r="B260" s="109"/>
      <c r="C260" s="109"/>
      <c r="D260" s="109"/>
      <c r="E260" s="109"/>
      <c r="F260" s="109"/>
      <c r="G260" s="109"/>
      <c r="H260" s="109"/>
      <c r="I260" s="109"/>
      <c r="J260" s="109"/>
      <c r="K260" s="317"/>
      <c r="L260" s="109"/>
      <c r="M260" s="109"/>
      <c r="N260" s="109"/>
      <c r="O260" s="109"/>
      <c r="P260" s="109"/>
      <c r="Q260" s="109"/>
      <c r="R260" s="109"/>
      <c r="S260" s="109"/>
      <c r="T260" s="109"/>
      <c r="U260" s="109"/>
      <c r="V260" s="109"/>
      <c r="W260" s="109"/>
      <c r="X260" s="109"/>
      <c r="Y260" s="109"/>
      <c r="Z260" s="109"/>
    </row>
    <row r="261" ht="39.75" customHeight="1">
      <c r="A261" s="109"/>
      <c r="B261" s="109"/>
      <c r="C261" s="109"/>
      <c r="D261" s="109"/>
      <c r="E261" s="109"/>
      <c r="F261" s="109"/>
      <c r="G261" s="109"/>
      <c r="H261" s="109"/>
      <c r="I261" s="109"/>
      <c r="J261" s="109"/>
      <c r="K261" s="317"/>
      <c r="L261" s="109"/>
      <c r="M261" s="109"/>
      <c r="N261" s="109"/>
      <c r="O261" s="109"/>
      <c r="P261" s="109"/>
      <c r="Q261" s="109"/>
      <c r="R261" s="109"/>
      <c r="S261" s="109"/>
      <c r="T261" s="109"/>
      <c r="U261" s="109"/>
      <c r="V261" s="109"/>
      <c r="W261" s="109"/>
      <c r="X261" s="109"/>
      <c r="Y261" s="109"/>
      <c r="Z261" s="109"/>
    </row>
    <row r="262" ht="39.75" customHeight="1">
      <c r="A262" s="109"/>
      <c r="B262" s="109"/>
      <c r="C262" s="109"/>
      <c r="D262" s="109"/>
      <c r="E262" s="109"/>
      <c r="F262" s="109"/>
      <c r="G262" s="109"/>
      <c r="H262" s="109"/>
      <c r="I262" s="109"/>
      <c r="J262" s="109"/>
      <c r="K262" s="317"/>
      <c r="L262" s="109"/>
      <c r="M262" s="109"/>
      <c r="N262" s="109"/>
      <c r="O262" s="109"/>
      <c r="P262" s="109"/>
      <c r="Q262" s="109"/>
      <c r="R262" s="109"/>
      <c r="S262" s="109"/>
      <c r="T262" s="109"/>
      <c r="U262" s="109"/>
      <c r="V262" s="109"/>
      <c r="W262" s="109"/>
      <c r="X262" s="109"/>
      <c r="Y262" s="109"/>
      <c r="Z262" s="109"/>
    </row>
    <row r="263" ht="39.75" customHeight="1">
      <c r="A263" s="109"/>
      <c r="B263" s="109"/>
      <c r="C263" s="109"/>
      <c r="D263" s="109"/>
      <c r="E263" s="109"/>
      <c r="F263" s="109"/>
      <c r="G263" s="109"/>
      <c r="H263" s="109"/>
      <c r="I263" s="109"/>
      <c r="J263" s="109"/>
      <c r="K263" s="317"/>
      <c r="L263" s="109"/>
      <c r="M263" s="109"/>
      <c r="N263" s="109"/>
      <c r="O263" s="109"/>
      <c r="P263" s="109"/>
      <c r="Q263" s="109"/>
      <c r="R263" s="109"/>
      <c r="S263" s="109"/>
      <c r="T263" s="109"/>
      <c r="U263" s="109"/>
      <c r="V263" s="109"/>
      <c r="W263" s="109"/>
      <c r="X263" s="109"/>
      <c r="Y263" s="109"/>
      <c r="Z263" s="109"/>
    </row>
    <row r="264" ht="39.75" customHeight="1">
      <c r="A264" s="109"/>
      <c r="B264" s="109"/>
      <c r="C264" s="109"/>
      <c r="D264" s="109"/>
      <c r="E264" s="109"/>
      <c r="F264" s="109"/>
      <c r="G264" s="109"/>
      <c r="H264" s="109"/>
      <c r="I264" s="109"/>
      <c r="J264" s="109"/>
      <c r="K264" s="317"/>
      <c r="L264" s="109"/>
      <c r="M264" s="109"/>
      <c r="N264" s="109"/>
      <c r="O264" s="109"/>
      <c r="P264" s="109"/>
      <c r="Q264" s="109"/>
      <c r="R264" s="109"/>
      <c r="S264" s="109"/>
      <c r="T264" s="109"/>
      <c r="U264" s="109"/>
      <c r="V264" s="109"/>
      <c r="W264" s="109"/>
      <c r="X264" s="109"/>
      <c r="Y264" s="109"/>
      <c r="Z264" s="109"/>
    </row>
    <row r="265" ht="39.75" customHeight="1">
      <c r="A265" s="109"/>
      <c r="B265" s="109"/>
      <c r="C265" s="109"/>
      <c r="D265" s="109"/>
      <c r="E265" s="109"/>
      <c r="F265" s="109"/>
      <c r="G265" s="109"/>
      <c r="H265" s="109"/>
      <c r="I265" s="109"/>
      <c r="J265" s="109"/>
      <c r="K265" s="317"/>
      <c r="L265" s="109"/>
      <c r="M265" s="109"/>
      <c r="N265" s="109"/>
      <c r="O265" s="109"/>
      <c r="P265" s="109"/>
      <c r="Q265" s="109"/>
      <c r="R265" s="109"/>
      <c r="S265" s="109"/>
      <c r="T265" s="109"/>
      <c r="U265" s="109"/>
      <c r="V265" s="109"/>
      <c r="W265" s="109"/>
      <c r="X265" s="109"/>
      <c r="Y265" s="109"/>
      <c r="Z265" s="109"/>
    </row>
    <row r="266" ht="39.75" customHeight="1">
      <c r="A266" s="109"/>
      <c r="B266" s="109"/>
      <c r="C266" s="109"/>
      <c r="D266" s="109"/>
      <c r="E266" s="109"/>
      <c r="F266" s="109"/>
      <c r="G266" s="109"/>
      <c r="H266" s="109"/>
      <c r="I266" s="109"/>
      <c r="J266" s="109"/>
      <c r="K266" s="317"/>
      <c r="L266" s="109"/>
      <c r="M266" s="109"/>
      <c r="N266" s="109"/>
      <c r="O266" s="109"/>
      <c r="P266" s="109"/>
      <c r="Q266" s="109"/>
      <c r="R266" s="109"/>
      <c r="S266" s="109"/>
      <c r="T266" s="109"/>
      <c r="U266" s="109"/>
      <c r="V266" s="109"/>
      <c r="W266" s="109"/>
      <c r="X266" s="109"/>
      <c r="Y266" s="109"/>
      <c r="Z266" s="109"/>
    </row>
    <row r="267" ht="39.75" customHeight="1">
      <c r="A267" s="109"/>
      <c r="B267" s="109"/>
      <c r="C267" s="109"/>
      <c r="D267" s="109"/>
      <c r="E267" s="109"/>
      <c r="F267" s="109"/>
      <c r="G267" s="109"/>
      <c r="H267" s="109"/>
      <c r="I267" s="109"/>
      <c r="J267" s="109"/>
      <c r="K267" s="317"/>
      <c r="L267" s="109"/>
      <c r="M267" s="109"/>
      <c r="N267" s="109"/>
      <c r="O267" s="109"/>
      <c r="P267" s="109"/>
      <c r="Q267" s="109"/>
      <c r="R267" s="109"/>
      <c r="S267" s="109"/>
      <c r="T267" s="109"/>
      <c r="U267" s="109"/>
      <c r="V267" s="109"/>
      <c r="W267" s="109"/>
      <c r="X267" s="109"/>
      <c r="Y267" s="109"/>
      <c r="Z267" s="109"/>
    </row>
    <row r="268" ht="39.75" customHeight="1">
      <c r="A268" s="109"/>
      <c r="B268" s="109"/>
      <c r="C268" s="109"/>
      <c r="D268" s="109"/>
      <c r="E268" s="109"/>
      <c r="F268" s="109"/>
      <c r="G268" s="109"/>
      <c r="H268" s="109"/>
      <c r="I268" s="109"/>
      <c r="J268" s="109"/>
      <c r="K268" s="317"/>
      <c r="L268" s="109"/>
      <c r="M268" s="109"/>
      <c r="N268" s="109"/>
      <c r="O268" s="109"/>
      <c r="P268" s="109"/>
      <c r="Q268" s="109"/>
      <c r="R268" s="109"/>
      <c r="S268" s="109"/>
      <c r="T268" s="109"/>
      <c r="U268" s="109"/>
      <c r="V268" s="109"/>
      <c r="W268" s="109"/>
      <c r="X268" s="109"/>
      <c r="Y268" s="109"/>
      <c r="Z268" s="109"/>
    </row>
    <row r="269" ht="39.75" customHeight="1">
      <c r="A269" s="109"/>
      <c r="B269" s="109"/>
      <c r="C269" s="109"/>
      <c r="D269" s="109"/>
      <c r="E269" s="109"/>
      <c r="F269" s="109"/>
      <c r="G269" s="109"/>
      <c r="H269" s="109"/>
      <c r="I269" s="109"/>
      <c r="J269" s="109"/>
      <c r="K269" s="317"/>
      <c r="L269" s="109"/>
      <c r="M269" s="109"/>
      <c r="N269" s="109"/>
      <c r="O269" s="109"/>
      <c r="P269" s="109"/>
      <c r="Q269" s="109"/>
      <c r="R269" s="109"/>
      <c r="S269" s="109"/>
      <c r="T269" s="109"/>
      <c r="U269" s="109"/>
      <c r="V269" s="109"/>
      <c r="W269" s="109"/>
      <c r="X269" s="109"/>
      <c r="Y269" s="109"/>
      <c r="Z269" s="109"/>
    </row>
    <row r="270" ht="39.75" customHeight="1">
      <c r="A270" s="109"/>
      <c r="B270" s="109"/>
      <c r="C270" s="109"/>
      <c r="D270" s="109"/>
      <c r="E270" s="109"/>
      <c r="F270" s="109"/>
      <c r="G270" s="109"/>
      <c r="H270" s="109"/>
      <c r="I270" s="109"/>
      <c r="J270" s="109"/>
      <c r="K270" s="317"/>
      <c r="L270" s="109"/>
      <c r="M270" s="109"/>
      <c r="N270" s="109"/>
      <c r="O270" s="109"/>
      <c r="P270" s="109"/>
      <c r="Q270" s="109"/>
      <c r="R270" s="109"/>
      <c r="S270" s="109"/>
      <c r="T270" s="109"/>
      <c r="U270" s="109"/>
      <c r="V270" s="109"/>
      <c r="W270" s="109"/>
      <c r="X270" s="109"/>
      <c r="Y270" s="109"/>
      <c r="Z270" s="109"/>
    </row>
    <row r="271" ht="39.75" customHeight="1">
      <c r="A271" s="109"/>
      <c r="B271" s="109"/>
      <c r="C271" s="109"/>
      <c r="D271" s="109"/>
      <c r="E271" s="109"/>
      <c r="F271" s="109"/>
      <c r="G271" s="109"/>
      <c r="H271" s="109"/>
      <c r="I271" s="109"/>
      <c r="J271" s="109"/>
      <c r="K271" s="317"/>
      <c r="L271" s="109"/>
      <c r="M271" s="109"/>
      <c r="N271" s="109"/>
      <c r="O271" s="109"/>
      <c r="P271" s="109"/>
      <c r="Q271" s="109"/>
      <c r="R271" s="109"/>
      <c r="S271" s="109"/>
      <c r="T271" s="109"/>
      <c r="U271" s="109"/>
      <c r="V271" s="109"/>
      <c r="W271" s="109"/>
      <c r="X271" s="109"/>
      <c r="Y271" s="109"/>
      <c r="Z271" s="109"/>
    </row>
    <row r="272" ht="39.75" customHeight="1">
      <c r="A272" s="109"/>
      <c r="B272" s="109"/>
      <c r="C272" s="109"/>
      <c r="D272" s="109"/>
      <c r="E272" s="109"/>
      <c r="F272" s="109"/>
      <c r="G272" s="109"/>
      <c r="H272" s="109"/>
      <c r="I272" s="109"/>
      <c r="J272" s="109"/>
      <c r="K272" s="317"/>
      <c r="L272" s="109"/>
      <c r="M272" s="109"/>
      <c r="N272" s="109"/>
      <c r="O272" s="109"/>
      <c r="P272" s="109"/>
      <c r="Q272" s="109"/>
      <c r="R272" s="109"/>
      <c r="S272" s="109"/>
      <c r="T272" s="109"/>
      <c r="U272" s="109"/>
      <c r="V272" s="109"/>
      <c r="W272" s="109"/>
      <c r="X272" s="109"/>
      <c r="Y272" s="109"/>
      <c r="Z272" s="109"/>
    </row>
    <row r="273" ht="39.75" customHeight="1">
      <c r="A273" s="109"/>
      <c r="B273" s="109"/>
      <c r="C273" s="109"/>
      <c r="D273" s="109"/>
      <c r="E273" s="109"/>
      <c r="F273" s="109"/>
      <c r="G273" s="109"/>
      <c r="H273" s="109"/>
      <c r="I273" s="109"/>
      <c r="J273" s="109"/>
      <c r="K273" s="317"/>
      <c r="L273" s="109"/>
      <c r="M273" s="109"/>
      <c r="N273" s="109"/>
      <c r="O273" s="109"/>
      <c r="P273" s="109"/>
      <c r="Q273" s="109"/>
      <c r="R273" s="109"/>
      <c r="S273" s="109"/>
      <c r="T273" s="109"/>
      <c r="U273" s="109"/>
      <c r="V273" s="109"/>
      <c r="W273" s="109"/>
      <c r="X273" s="109"/>
      <c r="Y273" s="109"/>
      <c r="Z273" s="109"/>
    </row>
    <row r="274" ht="39.75" customHeight="1">
      <c r="A274" s="109"/>
      <c r="B274" s="109"/>
      <c r="C274" s="109"/>
      <c r="D274" s="109"/>
      <c r="E274" s="109"/>
      <c r="F274" s="109"/>
      <c r="G274" s="109"/>
      <c r="H274" s="109"/>
      <c r="I274" s="109"/>
      <c r="J274" s="109"/>
      <c r="K274" s="317"/>
      <c r="L274" s="109"/>
      <c r="M274" s="109"/>
      <c r="N274" s="109"/>
      <c r="O274" s="109"/>
      <c r="P274" s="109"/>
      <c r="Q274" s="109"/>
      <c r="R274" s="109"/>
      <c r="S274" s="109"/>
      <c r="T274" s="109"/>
      <c r="U274" s="109"/>
      <c r="V274" s="109"/>
      <c r="W274" s="109"/>
      <c r="X274" s="109"/>
      <c r="Y274" s="109"/>
      <c r="Z274" s="109"/>
    </row>
    <row r="275" ht="39.75" customHeight="1">
      <c r="A275" s="109"/>
      <c r="B275" s="109"/>
      <c r="C275" s="109"/>
      <c r="D275" s="109"/>
      <c r="E275" s="109"/>
      <c r="F275" s="109"/>
      <c r="G275" s="109"/>
      <c r="H275" s="109"/>
      <c r="I275" s="109"/>
      <c r="J275" s="109"/>
      <c r="K275" s="317"/>
      <c r="L275" s="109"/>
      <c r="M275" s="109"/>
      <c r="N275" s="109"/>
      <c r="O275" s="109"/>
      <c r="P275" s="109"/>
      <c r="Q275" s="109"/>
      <c r="R275" s="109"/>
      <c r="S275" s="109"/>
      <c r="T275" s="109"/>
      <c r="U275" s="109"/>
      <c r="V275" s="109"/>
      <c r="W275" s="109"/>
      <c r="X275" s="109"/>
      <c r="Y275" s="109"/>
      <c r="Z275" s="109"/>
    </row>
    <row r="276" ht="39.75" customHeight="1">
      <c r="A276" s="109"/>
      <c r="B276" s="109"/>
      <c r="C276" s="109"/>
      <c r="D276" s="109"/>
      <c r="E276" s="109"/>
      <c r="F276" s="109"/>
      <c r="G276" s="109"/>
      <c r="H276" s="109"/>
      <c r="I276" s="109"/>
      <c r="J276" s="109"/>
      <c r="K276" s="317"/>
      <c r="L276" s="109"/>
      <c r="M276" s="109"/>
      <c r="N276" s="109"/>
      <c r="O276" s="109"/>
      <c r="P276" s="109"/>
      <c r="Q276" s="109"/>
      <c r="R276" s="109"/>
      <c r="S276" s="109"/>
      <c r="T276" s="109"/>
      <c r="U276" s="109"/>
      <c r="V276" s="109"/>
      <c r="W276" s="109"/>
      <c r="X276" s="109"/>
      <c r="Y276" s="109"/>
      <c r="Z276" s="109"/>
    </row>
    <row r="277" ht="39.75" customHeight="1">
      <c r="A277" s="109"/>
      <c r="B277" s="109"/>
      <c r="C277" s="109"/>
      <c r="D277" s="109"/>
      <c r="E277" s="109"/>
      <c r="F277" s="109"/>
      <c r="G277" s="109"/>
      <c r="H277" s="109"/>
      <c r="I277" s="109"/>
      <c r="J277" s="109"/>
      <c r="K277" s="317"/>
      <c r="L277" s="109"/>
      <c r="M277" s="109"/>
      <c r="N277" s="109"/>
      <c r="O277" s="109"/>
      <c r="P277" s="109"/>
      <c r="Q277" s="109"/>
      <c r="R277" s="109"/>
      <c r="S277" s="109"/>
      <c r="T277" s="109"/>
      <c r="U277" s="109"/>
      <c r="V277" s="109"/>
      <c r="W277" s="109"/>
      <c r="X277" s="109"/>
      <c r="Y277" s="109"/>
      <c r="Z277" s="109"/>
    </row>
    <row r="278" ht="39.75" customHeight="1">
      <c r="A278" s="109"/>
      <c r="B278" s="109"/>
      <c r="C278" s="109"/>
      <c r="D278" s="109"/>
      <c r="E278" s="109"/>
      <c r="F278" s="109"/>
      <c r="G278" s="109"/>
      <c r="H278" s="109"/>
      <c r="I278" s="109"/>
      <c r="J278" s="109"/>
      <c r="K278" s="317"/>
      <c r="L278" s="109"/>
      <c r="M278" s="109"/>
      <c r="N278" s="109"/>
      <c r="O278" s="109"/>
      <c r="P278" s="109"/>
      <c r="Q278" s="109"/>
      <c r="R278" s="109"/>
      <c r="S278" s="109"/>
      <c r="T278" s="109"/>
      <c r="U278" s="109"/>
      <c r="V278" s="109"/>
      <c r="W278" s="109"/>
      <c r="X278" s="109"/>
      <c r="Y278" s="109"/>
      <c r="Z278" s="109"/>
    </row>
    <row r="279" ht="39.75" customHeight="1">
      <c r="A279" s="109"/>
      <c r="B279" s="109"/>
      <c r="C279" s="109"/>
      <c r="D279" s="109"/>
      <c r="E279" s="109"/>
      <c r="F279" s="109"/>
      <c r="G279" s="109"/>
      <c r="H279" s="109"/>
      <c r="I279" s="109"/>
      <c r="J279" s="109"/>
      <c r="K279" s="317"/>
      <c r="L279" s="109"/>
      <c r="M279" s="109"/>
      <c r="N279" s="109"/>
      <c r="O279" s="109"/>
      <c r="P279" s="109"/>
      <c r="Q279" s="109"/>
      <c r="R279" s="109"/>
      <c r="S279" s="109"/>
      <c r="T279" s="109"/>
      <c r="U279" s="109"/>
      <c r="V279" s="109"/>
      <c r="W279" s="109"/>
      <c r="X279" s="109"/>
      <c r="Y279" s="109"/>
      <c r="Z279" s="109"/>
    </row>
    <row r="280" ht="39.75" customHeight="1">
      <c r="A280" s="109"/>
      <c r="B280" s="109"/>
      <c r="C280" s="109"/>
      <c r="D280" s="109"/>
      <c r="E280" s="109"/>
      <c r="F280" s="109"/>
      <c r="G280" s="109"/>
      <c r="H280" s="109"/>
      <c r="I280" s="109"/>
      <c r="J280" s="109"/>
      <c r="K280" s="317"/>
      <c r="L280" s="109"/>
      <c r="M280" s="109"/>
      <c r="N280" s="109"/>
      <c r="O280" s="109"/>
      <c r="P280" s="109"/>
      <c r="Q280" s="109"/>
      <c r="R280" s="109"/>
      <c r="S280" s="109"/>
      <c r="T280" s="109"/>
      <c r="U280" s="109"/>
      <c r="V280" s="109"/>
      <c r="W280" s="109"/>
      <c r="X280" s="109"/>
      <c r="Y280" s="109"/>
      <c r="Z280" s="109"/>
    </row>
    <row r="281" ht="39.75" customHeight="1">
      <c r="A281" s="109"/>
      <c r="B281" s="109"/>
      <c r="C281" s="109"/>
      <c r="D281" s="109"/>
      <c r="E281" s="109"/>
      <c r="F281" s="109"/>
      <c r="G281" s="109"/>
      <c r="H281" s="109"/>
      <c r="I281" s="109"/>
      <c r="J281" s="109"/>
      <c r="K281" s="317"/>
      <c r="L281" s="109"/>
      <c r="M281" s="109"/>
      <c r="N281" s="109"/>
      <c r="O281" s="109"/>
      <c r="P281" s="109"/>
      <c r="Q281" s="109"/>
      <c r="R281" s="109"/>
      <c r="S281" s="109"/>
      <c r="T281" s="109"/>
      <c r="U281" s="109"/>
      <c r="V281" s="109"/>
      <c r="W281" s="109"/>
      <c r="X281" s="109"/>
      <c r="Y281" s="109"/>
      <c r="Z281" s="109"/>
    </row>
    <row r="282" ht="39.75" customHeight="1">
      <c r="A282" s="109"/>
      <c r="B282" s="109"/>
      <c r="C282" s="109"/>
      <c r="D282" s="109"/>
      <c r="E282" s="109"/>
      <c r="F282" s="109"/>
      <c r="G282" s="109"/>
      <c r="H282" s="109"/>
      <c r="I282" s="109"/>
      <c r="J282" s="109"/>
      <c r="K282" s="317"/>
      <c r="L282" s="109"/>
      <c r="M282" s="109"/>
      <c r="N282" s="109"/>
      <c r="O282" s="109"/>
      <c r="P282" s="109"/>
      <c r="Q282" s="109"/>
      <c r="R282" s="109"/>
      <c r="S282" s="109"/>
      <c r="T282" s="109"/>
      <c r="U282" s="109"/>
      <c r="V282" s="109"/>
      <c r="W282" s="109"/>
      <c r="X282" s="109"/>
      <c r="Y282" s="109"/>
      <c r="Z282" s="109"/>
    </row>
    <row r="283" ht="39.75" customHeight="1">
      <c r="A283" s="109"/>
      <c r="B283" s="109"/>
      <c r="C283" s="109"/>
      <c r="D283" s="109"/>
      <c r="E283" s="109"/>
      <c r="F283" s="109"/>
      <c r="G283" s="109"/>
      <c r="H283" s="109"/>
      <c r="I283" s="109"/>
      <c r="J283" s="109"/>
      <c r="K283" s="317"/>
      <c r="L283" s="109"/>
      <c r="M283" s="109"/>
      <c r="N283" s="109"/>
      <c r="O283" s="109"/>
      <c r="P283" s="109"/>
      <c r="Q283" s="109"/>
      <c r="R283" s="109"/>
      <c r="S283" s="109"/>
      <c r="T283" s="109"/>
      <c r="U283" s="109"/>
      <c r="V283" s="109"/>
      <c r="W283" s="109"/>
      <c r="X283" s="109"/>
      <c r="Y283" s="109"/>
      <c r="Z283" s="109"/>
    </row>
    <row r="284" ht="39.75" customHeight="1">
      <c r="A284" s="109"/>
      <c r="B284" s="109"/>
      <c r="C284" s="109"/>
      <c r="D284" s="109"/>
      <c r="E284" s="109"/>
      <c r="F284" s="109"/>
      <c r="G284" s="109"/>
      <c r="H284" s="109"/>
      <c r="I284" s="109"/>
      <c r="J284" s="109"/>
      <c r="K284" s="317"/>
      <c r="L284" s="109"/>
      <c r="M284" s="109"/>
      <c r="N284" s="109"/>
      <c r="O284" s="109"/>
      <c r="P284" s="109"/>
      <c r="Q284" s="109"/>
      <c r="R284" s="109"/>
      <c r="S284" s="109"/>
      <c r="T284" s="109"/>
      <c r="U284" s="109"/>
      <c r="V284" s="109"/>
      <c r="W284" s="109"/>
      <c r="X284" s="109"/>
      <c r="Y284" s="109"/>
      <c r="Z284" s="109"/>
    </row>
    <row r="285" ht="39.75" customHeight="1">
      <c r="A285" s="109"/>
      <c r="B285" s="109"/>
      <c r="C285" s="109"/>
      <c r="D285" s="109"/>
      <c r="E285" s="109"/>
      <c r="F285" s="109"/>
      <c r="G285" s="109"/>
      <c r="H285" s="109"/>
      <c r="I285" s="109"/>
      <c r="J285" s="109"/>
      <c r="K285" s="317"/>
      <c r="L285" s="109"/>
      <c r="M285" s="109"/>
      <c r="N285" s="109"/>
      <c r="O285" s="109"/>
      <c r="P285" s="109"/>
      <c r="Q285" s="109"/>
      <c r="R285" s="109"/>
      <c r="S285" s="109"/>
      <c r="T285" s="109"/>
      <c r="U285" s="109"/>
      <c r="V285" s="109"/>
      <c r="W285" s="109"/>
      <c r="X285" s="109"/>
      <c r="Y285" s="109"/>
      <c r="Z285" s="109"/>
    </row>
    <row r="286" ht="39.75" customHeight="1">
      <c r="A286" s="109"/>
      <c r="B286" s="109"/>
      <c r="C286" s="109"/>
      <c r="D286" s="109"/>
      <c r="E286" s="109"/>
      <c r="F286" s="109"/>
      <c r="G286" s="109"/>
      <c r="H286" s="109"/>
      <c r="I286" s="109"/>
      <c r="J286" s="109"/>
      <c r="K286" s="317"/>
      <c r="L286" s="109"/>
      <c r="M286" s="109"/>
      <c r="N286" s="109"/>
      <c r="O286" s="109"/>
      <c r="P286" s="109"/>
      <c r="Q286" s="109"/>
      <c r="R286" s="109"/>
      <c r="S286" s="109"/>
      <c r="T286" s="109"/>
      <c r="U286" s="109"/>
      <c r="V286" s="109"/>
      <c r="W286" s="109"/>
      <c r="X286" s="109"/>
      <c r="Y286" s="109"/>
      <c r="Z286" s="109"/>
    </row>
    <row r="287" ht="39.75" customHeight="1">
      <c r="A287" s="109"/>
      <c r="B287" s="109"/>
      <c r="C287" s="109"/>
      <c r="D287" s="109"/>
      <c r="E287" s="109"/>
      <c r="F287" s="109"/>
      <c r="G287" s="109"/>
      <c r="H287" s="109"/>
      <c r="I287" s="109"/>
      <c r="J287" s="109"/>
      <c r="K287" s="317"/>
      <c r="L287" s="109"/>
      <c r="M287" s="109"/>
      <c r="N287" s="109"/>
      <c r="O287" s="109"/>
      <c r="P287" s="109"/>
      <c r="Q287" s="109"/>
      <c r="R287" s="109"/>
      <c r="S287" s="109"/>
      <c r="T287" s="109"/>
      <c r="U287" s="109"/>
      <c r="V287" s="109"/>
      <c r="W287" s="109"/>
      <c r="X287" s="109"/>
      <c r="Y287" s="109"/>
      <c r="Z287" s="109"/>
    </row>
    <row r="288" ht="39.75" customHeight="1">
      <c r="A288" s="109"/>
      <c r="B288" s="109"/>
      <c r="C288" s="109"/>
      <c r="D288" s="109"/>
      <c r="E288" s="109"/>
      <c r="F288" s="109"/>
      <c r="G288" s="109"/>
      <c r="H288" s="109"/>
      <c r="I288" s="109"/>
      <c r="J288" s="109"/>
      <c r="K288" s="317"/>
      <c r="L288" s="109"/>
      <c r="M288" s="109"/>
      <c r="N288" s="109"/>
      <c r="O288" s="109"/>
      <c r="P288" s="109"/>
      <c r="Q288" s="109"/>
      <c r="R288" s="109"/>
      <c r="S288" s="109"/>
      <c r="T288" s="109"/>
      <c r="U288" s="109"/>
      <c r="V288" s="109"/>
      <c r="W288" s="109"/>
      <c r="X288" s="109"/>
      <c r="Y288" s="109"/>
      <c r="Z288" s="109"/>
    </row>
    <row r="289" ht="39.75" customHeight="1">
      <c r="A289" s="109"/>
      <c r="B289" s="109"/>
      <c r="C289" s="109"/>
      <c r="D289" s="109"/>
      <c r="E289" s="109"/>
      <c r="F289" s="109"/>
      <c r="G289" s="109"/>
      <c r="H289" s="109"/>
      <c r="I289" s="109"/>
      <c r="J289" s="109"/>
      <c r="K289" s="317"/>
      <c r="L289" s="109"/>
      <c r="M289" s="109"/>
      <c r="N289" s="109"/>
      <c r="O289" s="109"/>
      <c r="P289" s="109"/>
      <c r="Q289" s="109"/>
      <c r="R289" s="109"/>
      <c r="S289" s="109"/>
      <c r="T289" s="109"/>
      <c r="U289" s="109"/>
      <c r="V289" s="109"/>
      <c r="W289" s="109"/>
      <c r="X289" s="109"/>
      <c r="Y289" s="109"/>
      <c r="Z289" s="109"/>
    </row>
    <row r="290" ht="39.75" customHeight="1">
      <c r="A290" s="109"/>
      <c r="B290" s="109"/>
      <c r="C290" s="109"/>
      <c r="D290" s="109"/>
      <c r="E290" s="109"/>
      <c r="F290" s="109"/>
      <c r="G290" s="109"/>
      <c r="H290" s="109"/>
      <c r="I290" s="109"/>
      <c r="J290" s="109"/>
      <c r="K290" s="317"/>
      <c r="L290" s="109"/>
      <c r="M290" s="109"/>
      <c r="N290" s="109"/>
      <c r="O290" s="109"/>
      <c r="P290" s="109"/>
      <c r="Q290" s="109"/>
      <c r="R290" s="109"/>
      <c r="S290" s="109"/>
      <c r="T290" s="109"/>
      <c r="U290" s="109"/>
      <c r="V290" s="109"/>
      <c r="W290" s="109"/>
      <c r="X290" s="109"/>
      <c r="Y290" s="109"/>
      <c r="Z290" s="109"/>
    </row>
    <row r="291" ht="39.75" customHeight="1">
      <c r="A291" s="109"/>
      <c r="B291" s="109"/>
      <c r="C291" s="109"/>
      <c r="D291" s="109"/>
      <c r="E291" s="109"/>
      <c r="F291" s="109"/>
      <c r="G291" s="109"/>
      <c r="H291" s="109"/>
      <c r="I291" s="109"/>
      <c r="J291" s="109"/>
      <c r="K291" s="317"/>
      <c r="L291" s="109"/>
      <c r="M291" s="109"/>
      <c r="N291" s="109"/>
      <c r="O291" s="109"/>
      <c r="P291" s="109"/>
      <c r="Q291" s="109"/>
      <c r="R291" s="109"/>
      <c r="S291" s="109"/>
      <c r="T291" s="109"/>
      <c r="U291" s="109"/>
      <c r="V291" s="109"/>
      <c r="W291" s="109"/>
      <c r="X291" s="109"/>
      <c r="Y291" s="109"/>
      <c r="Z291" s="109"/>
    </row>
    <row r="292" ht="39.75" customHeight="1">
      <c r="A292" s="109"/>
      <c r="B292" s="109"/>
      <c r="C292" s="109"/>
      <c r="D292" s="109"/>
      <c r="E292" s="109"/>
      <c r="F292" s="109"/>
      <c r="G292" s="109"/>
      <c r="H292" s="109"/>
      <c r="I292" s="109"/>
      <c r="J292" s="109"/>
      <c r="K292" s="317"/>
      <c r="L292" s="109"/>
      <c r="M292" s="109"/>
      <c r="N292" s="109"/>
      <c r="O292" s="109"/>
      <c r="P292" s="109"/>
      <c r="Q292" s="109"/>
      <c r="R292" s="109"/>
      <c r="S292" s="109"/>
      <c r="T292" s="109"/>
      <c r="U292" s="109"/>
      <c r="V292" s="109"/>
      <c r="W292" s="109"/>
      <c r="X292" s="109"/>
      <c r="Y292" s="109"/>
      <c r="Z292" s="109"/>
    </row>
    <row r="293" ht="39.75" customHeight="1">
      <c r="A293" s="109"/>
      <c r="B293" s="109"/>
      <c r="C293" s="109"/>
      <c r="D293" s="109"/>
      <c r="E293" s="109"/>
      <c r="F293" s="109"/>
      <c r="G293" s="109"/>
      <c r="H293" s="109"/>
      <c r="I293" s="109"/>
      <c r="J293" s="109"/>
      <c r="K293" s="317"/>
      <c r="L293" s="109"/>
      <c r="M293" s="109"/>
      <c r="N293" s="109"/>
      <c r="O293" s="109"/>
      <c r="P293" s="109"/>
      <c r="Q293" s="109"/>
      <c r="R293" s="109"/>
      <c r="S293" s="109"/>
      <c r="T293" s="109"/>
      <c r="U293" s="109"/>
      <c r="V293" s="109"/>
      <c r="W293" s="109"/>
      <c r="X293" s="109"/>
      <c r="Y293" s="109"/>
      <c r="Z293" s="109"/>
    </row>
    <row r="294" ht="39.75" customHeight="1">
      <c r="A294" s="109"/>
      <c r="B294" s="109"/>
      <c r="C294" s="109"/>
      <c r="D294" s="109"/>
      <c r="E294" s="109"/>
      <c r="F294" s="109"/>
      <c r="G294" s="109"/>
      <c r="H294" s="109"/>
      <c r="I294" s="109"/>
      <c r="J294" s="109"/>
      <c r="K294" s="317"/>
      <c r="L294" s="109"/>
      <c r="M294" s="109"/>
      <c r="N294" s="109"/>
      <c r="O294" s="109"/>
      <c r="P294" s="109"/>
      <c r="Q294" s="109"/>
      <c r="R294" s="109"/>
      <c r="S294" s="109"/>
      <c r="T294" s="109"/>
      <c r="U294" s="109"/>
      <c r="V294" s="109"/>
      <c r="W294" s="109"/>
      <c r="X294" s="109"/>
      <c r="Y294" s="109"/>
      <c r="Z294" s="109"/>
    </row>
    <row r="295" ht="39.75" customHeight="1">
      <c r="A295" s="109"/>
      <c r="B295" s="109"/>
      <c r="C295" s="109"/>
      <c r="D295" s="109"/>
      <c r="E295" s="109"/>
      <c r="F295" s="109"/>
      <c r="G295" s="109"/>
      <c r="H295" s="109"/>
      <c r="I295" s="109"/>
      <c r="J295" s="109"/>
      <c r="K295" s="317"/>
      <c r="L295" s="109"/>
      <c r="M295" s="109"/>
      <c r="N295" s="109"/>
      <c r="O295" s="109"/>
      <c r="P295" s="109"/>
      <c r="Q295" s="109"/>
      <c r="R295" s="109"/>
      <c r="S295" s="109"/>
      <c r="T295" s="109"/>
      <c r="U295" s="109"/>
      <c r="V295" s="109"/>
      <c r="W295" s="109"/>
      <c r="X295" s="109"/>
      <c r="Y295" s="109"/>
      <c r="Z295" s="109"/>
    </row>
    <row r="296" ht="39.75" customHeight="1">
      <c r="A296" s="109"/>
      <c r="B296" s="109"/>
      <c r="C296" s="109"/>
      <c r="D296" s="109"/>
      <c r="E296" s="109"/>
      <c r="F296" s="109"/>
      <c r="G296" s="109"/>
      <c r="H296" s="109"/>
      <c r="I296" s="109"/>
      <c r="J296" s="109"/>
      <c r="K296" s="317"/>
      <c r="L296" s="109"/>
      <c r="M296" s="109"/>
      <c r="N296" s="109"/>
      <c r="O296" s="109"/>
      <c r="P296" s="109"/>
      <c r="Q296" s="109"/>
      <c r="R296" s="109"/>
      <c r="S296" s="109"/>
      <c r="T296" s="109"/>
      <c r="U296" s="109"/>
      <c r="V296" s="109"/>
      <c r="W296" s="109"/>
      <c r="X296" s="109"/>
      <c r="Y296" s="109"/>
      <c r="Z296" s="109"/>
    </row>
    <row r="297" ht="39.75" customHeight="1">
      <c r="A297" s="109"/>
      <c r="B297" s="109"/>
      <c r="C297" s="109"/>
      <c r="D297" s="109"/>
      <c r="E297" s="109"/>
      <c r="F297" s="109"/>
      <c r="G297" s="109"/>
      <c r="H297" s="109"/>
      <c r="I297" s="109"/>
      <c r="J297" s="109"/>
      <c r="K297" s="317"/>
      <c r="L297" s="109"/>
      <c r="M297" s="109"/>
      <c r="N297" s="109"/>
      <c r="O297" s="109"/>
      <c r="P297" s="109"/>
      <c r="Q297" s="109"/>
      <c r="R297" s="109"/>
      <c r="S297" s="109"/>
      <c r="T297" s="109"/>
      <c r="U297" s="109"/>
      <c r="V297" s="109"/>
      <c r="W297" s="109"/>
      <c r="X297" s="109"/>
      <c r="Y297" s="109"/>
      <c r="Z297" s="109"/>
    </row>
    <row r="298" ht="39.75" customHeight="1">
      <c r="A298" s="109"/>
      <c r="B298" s="109"/>
      <c r="C298" s="109"/>
      <c r="D298" s="109"/>
      <c r="E298" s="109"/>
      <c r="F298" s="109"/>
      <c r="G298" s="109"/>
      <c r="H298" s="109"/>
      <c r="I298" s="109"/>
      <c r="J298" s="109"/>
      <c r="K298" s="317"/>
      <c r="L298" s="109"/>
      <c r="M298" s="109"/>
      <c r="N298" s="109"/>
      <c r="O298" s="109"/>
      <c r="P298" s="109"/>
      <c r="Q298" s="109"/>
      <c r="R298" s="109"/>
      <c r="S298" s="109"/>
      <c r="T298" s="109"/>
      <c r="U298" s="109"/>
      <c r="V298" s="109"/>
      <c r="W298" s="109"/>
      <c r="X298" s="109"/>
      <c r="Y298" s="109"/>
      <c r="Z298" s="109"/>
    </row>
    <row r="299" ht="39.75" customHeight="1">
      <c r="A299" s="109"/>
      <c r="B299" s="109"/>
      <c r="C299" s="109"/>
      <c r="D299" s="109"/>
      <c r="E299" s="109"/>
      <c r="F299" s="109"/>
      <c r="G299" s="109"/>
      <c r="H299" s="109"/>
      <c r="I299" s="109"/>
      <c r="J299" s="109"/>
      <c r="K299" s="317"/>
      <c r="L299" s="109"/>
      <c r="M299" s="109"/>
      <c r="N299" s="109"/>
      <c r="O299" s="109"/>
      <c r="P299" s="109"/>
      <c r="Q299" s="109"/>
      <c r="R299" s="109"/>
      <c r="S299" s="109"/>
      <c r="T299" s="109"/>
      <c r="U299" s="109"/>
      <c r="V299" s="109"/>
      <c r="W299" s="109"/>
      <c r="X299" s="109"/>
      <c r="Y299" s="109"/>
      <c r="Z299" s="109"/>
    </row>
    <row r="300" ht="39.75" customHeight="1">
      <c r="A300" s="109"/>
      <c r="B300" s="109"/>
      <c r="C300" s="109"/>
      <c r="D300" s="109"/>
      <c r="E300" s="109"/>
      <c r="F300" s="109"/>
      <c r="G300" s="109"/>
      <c r="H300" s="109"/>
      <c r="I300" s="109"/>
      <c r="J300" s="109"/>
      <c r="K300" s="317"/>
      <c r="L300" s="109"/>
      <c r="M300" s="109"/>
      <c r="N300" s="109"/>
      <c r="O300" s="109"/>
      <c r="P300" s="109"/>
      <c r="Q300" s="109"/>
      <c r="R300" s="109"/>
      <c r="S300" s="109"/>
      <c r="T300" s="109"/>
      <c r="U300" s="109"/>
      <c r="V300" s="109"/>
      <c r="W300" s="109"/>
      <c r="X300" s="109"/>
      <c r="Y300" s="109"/>
      <c r="Z300" s="109"/>
    </row>
    <row r="301" ht="39.75" customHeight="1">
      <c r="A301" s="109"/>
      <c r="B301" s="109"/>
      <c r="C301" s="109"/>
      <c r="D301" s="109"/>
      <c r="E301" s="109"/>
      <c r="F301" s="109"/>
      <c r="G301" s="109"/>
      <c r="H301" s="109"/>
      <c r="I301" s="109"/>
      <c r="J301" s="109"/>
      <c r="K301" s="317"/>
      <c r="L301" s="109"/>
      <c r="M301" s="109"/>
      <c r="N301" s="109"/>
      <c r="O301" s="109"/>
      <c r="P301" s="109"/>
      <c r="Q301" s="109"/>
      <c r="R301" s="109"/>
      <c r="S301" s="109"/>
      <c r="T301" s="109"/>
      <c r="U301" s="109"/>
      <c r="V301" s="109"/>
      <c r="W301" s="109"/>
      <c r="X301" s="109"/>
      <c r="Y301" s="109"/>
      <c r="Z301" s="109"/>
    </row>
    <row r="302" ht="39.75" customHeight="1">
      <c r="A302" s="109"/>
      <c r="B302" s="109"/>
      <c r="C302" s="109"/>
      <c r="D302" s="109"/>
      <c r="E302" s="109"/>
      <c r="F302" s="109"/>
      <c r="G302" s="109"/>
      <c r="H302" s="109"/>
      <c r="I302" s="109"/>
      <c r="J302" s="109"/>
      <c r="K302" s="317"/>
      <c r="L302" s="109"/>
      <c r="M302" s="109"/>
      <c r="N302" s="109"/>
      <c r="O302" s="109"/>
      <c r="P302" s="109"/>
      <c r="Q302" s="109"/>
      <c r="R302" s="109"/>
      <c r="S302" s="109"/>
      <c r="T302" s="109"/>
      <c r="U302" s="109"/>
      <c r="V302" s="109"/>
      <c r="W302" s="109"/>
      <c r="X302" s="109"/>
      <c r="Y302" s="109"/>
      <c r="Z302" s="109"/>
    </row>
    <row r="303" ht="39.75" customHeight="1">
      <c r="A303" s="109"/>
      <c r="B303" s="109"/>
      <c r="C303" s="109"/>
      <c r="D303" s="109"/>
      <c r="E303" s="109"/>
      <c r="F303" s="109"/>
      <c r="G303" s="109"/>
      <c r="H303" s="109"/>
      <c r="I303" s="109"/>
      <c r="J303" s="109"/>
      <c r="K303" s="317"/>
      <c r="L303" s="109"/>
      <c r="M303" s="109"/>
      <c r="N303" s="109"/>
      <c r="O303" s="109"/>
      <c r="P303" s="109"/>
      <c r="Q303" s="109"/>
      <c r="R303" s="109"/>
      <c r="S303" s="109"/>
      <c r="T303" s="109"/>
      <c r="U303" s="109"/>
      <c r="V303" s="109"/>
      <c r="W303" s="109"/>
      <c r="X303" s="109"/>
      <c r="Y303" s="109"/>
      <c r="Z303" s="109"/>
    </row>
    <row r="304" ht="39.75" customHeight="1">
      <c r="A304" s="109"/>
      <c r="B304" s="109"/>
      <c r="C304" s="109"/>
      <c r="D304" s="109"/>
      <c r="E304" s="109"/>
      <c r="F304" s="109"/>
      <c r="G304" s="109"/>
      <c r="H304" s="109"/>
      <c r="I304" s="109"/>
      <c r="J304" s="109"/>
      <c r="K304" s="317"/>
      <c r="L304" s="109"/>
      <c r="M304" s="109"/>
      <c r="N304" s="109"/>
      <c r="O304" s="109"/>
      <c r="P304" s="109"/>
      <c r="Q304" s="109"/>
      <c r="R304" s="109"/>
      <c r="S304" s="109"/>
      <c r="T304" s="109"/>
      <c r="U304" s="109"/>
      <c r="V304" s="109"/>
      <c r="W304" s="109"/>
      <c r="X304" s="109"/>
      <c r="Y304" s="109"/>
      <c r="Z304" s="109"/>
    </row>
    <row r="305" ht="39.75" customHeight="1">
      <c r="A305" s="109"/>
      <c r="B305" s="109"/>
      <c r="C305" s="109"/>
      <c r="D305" s="109"/>
      <c r="E305" s="109"/>
      <c r="F305" s="109"/>
      <c r="G305" s="109"/>
      <c r="H305" s="109"/>
      <c r="I305" s="109"/>
      <c r="J305" s="109"/>
      <c r="K305" s="317"/>
      <c r="L305" s="109"/>
      <c r="M305" s="109"/>
      <c r="N305" s="109"/>
      <c r="O305" s="109"/>
      <c r="P305" s="109"/>
      <c r="Q305" s="109"/>
      <c r="R305" s="109"/>
      <c r="S305" s="109"/>
      <c r="T305" s="109"/>
      <c r="U305" s="109"/>
      <c r="V305" s="109"/>
      <c r="W305" s="109"/>
      <c r="X305" s="109"/>
      <c r="Y305" s="109"/>
      <c r="Z305" s="109"/>
    </row>
    <row r="306" ht="39.75" customHeight="1">
      <c r="A306" s="109"/>
      <c r="B306" s="109"/>
      <c r="C306" s="109"/>
      <c r="D306" s="109"/>
      <c r="E306" s="109"/>
      <c r="F306" s="109"/>
      <c r="G306" s="109"/>
      <c r="H306" s="109"/>
      <c r="I306" s="109"/>
      <c r="J306" s="109"/>
      <c r="K306" s="317"/>
      <c r="L306" s="109"/>
      <c r="M306" s="109"/>
      <c r="N306" s="109"/>
      <c r="O306" s="109"/>
      <c r="P306" s="109"/>
      <c r="Q306" s="109"/>
      <c r="R306" s="109"/>
      <c r="S306" s="109"/>
      <c r="T306" s="109"/>
      <c r="U306" s="109"/>
      <c r="V306" s="109"/>
      <c r="W306" s="109"/>
      <c r="X306" s="109"/>
      <c r="Y306" s="109"/>
      <c r="Z306" s="109"/>
    </row>
    <row r="307" ht="39.75" customHeight="1">
      <c r="A307" s="109"/>
      <c r="B307" s="109"/>
      <c r="C307" s="109"/>
      <c r="D307" s="109"/>
      <c r="E307" s="109"/>
      <c r="F307" s="109"/>
      <c r="G307" s="109"/>
      <c r="H307" s="109"/>
      <c r="I307" s="109"/>
      <c r="J307" s="109"/>
      <c r="K307" s="317"/>
      <c r="L307" s="109"/>
      <c r="M307" s="109"/>
      <c r="N307" s="109"/>
      <c r="O307" s="109"/>
      <c r="P307" s="109"/>
      <c r="Q307" s="109"/>
      <c r="R307" s="109"/>
      <c r="S307" s="109"/>
      <c r="T307" s="109"/>
      <c r="U307" s="109"/>
      <c r="V307" s="109"/>
      <c r="W307" s="109"/>
      <c r="X307" s="109"/>
      <c r="Y307" s="109"/>
      <c r="Z307" s="109"/>
    </row>
    <row r="308" ht="39.75" customHeight="1">
      <c r="A308" s="109"/>
      <c r="B308" s="109"/>
      <c r="C308" s="109"/>
      <c r="D308" s="109"/>
      <c r="E308" s="109"/>
      <c r="F308" s="109"/>
      <c r="G308" s="109"/>
      <c r="H308" s="109"/>
      <c r="I308" s="109"/>
      <c r="J308" s="109"/>
      <c r="K308" s="317"/>
      <c r="L308" s="109"/>
      <c r="M308" s="109"/>
      <c r="N308" s="109"/>
      <c r="O308" s="109"/>
      <c r="P308" s="109"/>
      <c r="Q308" s="109"/>
      <c r="R308" s="109"/>
      <c r="S308" s="109"/>
      <c r="T308" s="109"/>
      <c r="U308" s="109"/>
      <c r="V308" s="109"/>
      <c r="W308" s="109"/>
      <c r="X308" s="109"/>
      <c r="Y308" s="109"/>
      <c r="Z308" s="109"/>
    </row>
    <row r="309" ht="39.75" customHeight="1">
      <c r="A309" s="109"/>
      <c r="B309" s="109"/>
      <c r="C309" s="109"/>
      <c r="D309" s="109"/>
      <c r="E309" s="109"/>
      <c r="F309" s="109"/>
      <c r="G309" s="109"/>
      <c r="H309" s="109"/>
      <c r="I309" s="109"/>
      <c r="J309" s="109"/>
      <c r="K309" s="317"/>
      <c r="L309" s="109"/>
      <c r="M309" s="109"/>
      <c r="N309" s="109"/>
      <c r="O309" s="109"/>
      <c r="P309" s="109"/>
      <c r="Q309" s="109"/>
      <c r="R309" s="109"/>
      <c r="S309" s="109"/>
      <c r="T309" s="109"/>
      <c r="U309" s="109"/>
      <c r="V309" s="109"/>
      <c r="W309" s="109"/>
      <c r="X309" s="109"/>
      <c r="Y309" s="109"/>
      <c r="Z309" s="109"/>
    </row>
    <row r="310" ht="39.75" customHeight="1">
      <c r="A310" s="109"/>
      <c r="B310" s="109"/>
      <c r="C310" s="109"/>
      <c r="D310" s="109"/>
      <c r="E310" s="109"/>
      <c r="F310" s="109"/>
      <c r="G310" s="109"/>
      <c r="H310" s="109"/>
      <c r="I310" s="109"/>
      <c r="J310" s="109"/>
      <c r="K310" s="317"/>
      <c r="L310" s="109"/>
      <c r="M310" s="109"/>
      <c r="N310" s="109"/>
      <c r="O310" s="109"/>
      <c r="P310" s="109"/>
      <c r="Q310" s="109"/>
      <c r="R310" s="109"/>
      <c r="S310" s="109"/>
      <c r="T310" s="109"/>
      <c r="U310" s="109"/>
      <c r="V310" s="109"/>
      <c r="W310" s="109"/>
      <c r="X310" s="109"/>
      <c r="Y310" s="109"/>
      <c r="Z310" s="109"/>
    </row>
    <row r="311" ht="39.75" customHeight="1">
      <c r="A311" s="109"/>
      <c r="B311" s="109"/>
      <c r="C311" s="109"/>
      <c r="D311" s="109"/>
      <c r="E311" s="109"/>
      <c r="F311" s="109"/>
      <c r="G311" s="109"/>
      <c r="H311" s="109"/>
      <c r="I311" s="109"/>
      <c r="J311" s="109"/>
      <c r="K311" s="317"/>
      <c r="L311" s="109"/>
      <c r="M311" s="109"/>
      <c r="N311" s="109"/>
      <c r="O311" s="109"/>
      <c r="P311" s="109"/>
      <c r="Q311" s="109"/>
      <c r="R311" s="109"/>
      <c r="S311" s="109"/>
      <c r="T311" s="109"/>
      <c r="U311" s="109"/>
      <c r="V311" s="109"/>
      <c r="W311" s="109"/>
      <c r="X311" s="109"/>
      <c r="Y311" s="109"/>
      <c r="Z311" s="109"/>
    </row>
    <row r="312" ht="39.75" customHeight="1">
      <c r="A312" s="109"/>
      <c r="B312" s="109"/>
      <c r="C312" s="109"/>
      <c r="D312" s="109"/>
      <c r="E312" s="109"/>
      <c r="F312" s="109"/>
      <c r="G312" s="109"/>
      <c r="H312" s="109"/>
      <c r="I312" s="109"/>
      <c r="J312" s="109"/>
      <c r="K312" s="317"/>
      <c r="L312" s="109"/>
      <c r="M312" s="109"/>
      <c r="N312" s="109"/>
      <c r="O312" s="109"/>
      <c r="P312" s="109"/>
      <c r="Q312" s="109"/>
      <c r="R312" s="109"/>
      <c r="S312" s="109"/>
      <c r="T312" s="109"/>
      <c r="U312" s="109"/>
      <c r="V312" s="109"/>
      <c r="W312" s="109"/>
      <c r="X312" s="109"/>
      <c r="Y312" s="109"/>
      <c r="Z312" s="109"/>
    </row>
    <row r="313" ht="39.75" customHeight="1">
      <c r="A313" s="109"/>
      <c r="B313" s="109"/>
      <c r="C313" s="109"/>
      <c r="D313" s="109"/>
      <c r="E313" s="109"/>
      <c r="F313" s="109"/>
      <c r="G313" s="109"/>
      <c r="H313" s="109"/>
      <c r="I313" s="109"/>
      <c r="J313" s="109"/>
      <c r="K313" s="317"/>
      <c r="L313" s="109"/>
      <c r="M313" s="109"/>
      <c r="N313" s="109"/>
      <c r="O313" s="109"/>
      <c r="P313" s="109"/>
      <c r="Q313" s="109"/>
      <c r="R313" s="109"/>
      <c r="S313" s="109"/>
      <c r="T313" s="109"/>
      <c r="U313" s="109"/>
      <c r="V313" s="109"/>
      <c r="W313" s="109"/>
      <c r="X313" s="109"/>
      <c r="Y313" s="109"/>
      <c r="Z313" s="109"/>
    </row>
    <row r="314" ht="39.75" customHeight="1">
      <c r="A314" s="109"/>
      <c r="B314" s="109"/>
      <c r="C314" s="109"/>
      <c r="D314" s="109"/>
      <c r="E314" s="109"/>
      <c r="F314" s="109"/>
      <c r="G314" s="109"/>
      <c r="H314" s="109"/>
      <c r="I314" s="109"/>
      <c r="J314" s="109"/>
      <c r="K314" s="317"/>
      <c r="L314" s="109"/>
      <c r="M314" s="109"/>
      <c r="N314" s="109"/>
      <c r="O314" s="109"/>
      <c r="P314" s="109"/>
      <c r="Q314" s="109"/>
      <c r="R314" s="109"/>
      <c r="S314" s="109"/>
      <c r="T314" s="109"/>
      <c r="U314" s="109"/>
      <c r="V314" s="109"/>
      <c r="W314" s="109"/>
      <c r="X314" s="109"/>
      <c r="Y314" s="109"/>
      <c r="Z314" s="109"/>
    </row>
    <row r="315" ht="39.75" customHeight="1">
      <c r="A315" s="109"/>
      <c r="B315" s="109"/>
      <c r="C315" s="109"/>
      <c r="D315" s="109"/>
      <c r="E315" s="109"/>
      <c r="F315" s="109"/>
      <c r="G315" s="109"/>
      <c r="H315" s="109"/>
      <c r="I315" s="109"/>
      <c r="J315" s="109"/>
      <c r="K315" s="317"/>
      <c r="L315" s="109"/>
      <c r="M315" s="109"/>
      <c r="N315" s="109"/>
      <c r="O315" s="109"/>
      <c r="P315" s="109"/>
      <c r="Q315" s="109"/>
      <c r="R315" s="109"/>
      <c r="S315" s="109"/>
      <c r="T315" s="109"/>
      <c r="U315" s="109"/>
      <c r="V315" s="109"/>
      <c r="W315" s="109"/>
      <c r="X315" s="109"/>
      <c r="Y315" s="109"/>
      <c r="Z315" s="109"/>
    </row>
    <row r="316" ht="39.75" customHeight="1">
      <c r="A316" s="109"/>
      <c r="B316" s="109"/>
      <c r="C316" s="109"/>
      <c r="D316" s="109"/>
      <c r="E316" s="109"/>
      <c r="F316" s="109"/>
      <c r="G316" s="109"/>
      <c r="H316" s="109"/>
      <c r="I316" s="109"/>
      <c r="J316" s="109"/>
      <c r="K316" s="317"/>
      <c r="L316" s="109"/>
      <c r="M316" s="109"/>
      <c r="N316" s="109"/>
      <c r="O316" s="109"/>
      <c r="P316" s="109"/>
      <c r="Q316" s="109"/>
      <c r="R316" s="109"/>
      <c r="S316" s="109"/>
      <c r="T316" s="109"/>
      <c r="U316" s="109"/>
      <c r="V316" s="109"/>
      <c r="W316" s="109"/>
      <c r="X316" s="109"/>
      <c r="Y316" s="109"/>
      <c r="Z316" s="109"/>
    </row>
    <row r="317" ht="39.75" customHeight="1">
      <c r="A317" s="109"/>
      <c r="B317" s="109"/>
      <c r="C317" s="109"/>
      <c r="D317" s="109"/>
      <c r="E317" s="109"/>
      <c r="F317" s="109"/>
      <c r="G317" s="109"/>
      <c r="H317" s="109"/>
      <c r="I317" s="109"/>
      <c r="J317" s="109"/>
      <c r="K317" s="317"/>
      <c r="L317" s="109"/>
      <c r="M317" s="109"/>
      <c r="N317" s="109"/>
      <c r="O317" s="109"/>
      <c r="P317" s="109"/>
      <c r="Q317" s="109"/>
      <c r="R317" s="109"/>
      <c r="S317" s="109"/>
      <c r="T317" s="109"/>
      <c r="U317" s="109"/>
      <c r="V317" s="109"/>
      <c r="W317" s="109"/>
      <c r="X317" s="109"/>
      <c r="Y317" s="109"/>
      <c r="Z317" s="109"/>
    </row>
    <row r="318" ht="39.75" customHeight="1">
      <c r="A318" s="109"/>
      <c r="B318" s="109"/>
      <c r="C318" s="109"/>
      <c r="D318" s="109"/>
      <c r="E318" s="109"/>
      <c r="F318" s="109"/>
      <c r="G318" s="109"/>
      <c r="H318" s="109"/>
      <c r="I318" s="109"/>
      <c r="J318" s="109"/>
      <c r="K318" s="317"/>
      <c r="L318" s="109"/>
      <c r="M318" s="109"/>
      <c r="N318" s="109"/>
      <c r="O318" s="109"/>
      <c r="P318" s="109"/>
      <c r="Q318" s="109"/>
      <c r="R318" s="109"/>
      <c r="S318" s="109"/>
      <c r="T318" s="109"/>
      <c r="U318" s="109"/>
      <c r="V318" s="109"/>
      <c r="W318" s="109"/>
      <c r="X318" s="109"/>
      <c r="Y318" s="109"/>
      <c r="Z318" s="109"/>
    </row>
    <row r="319" ht="39.75" customHeight="1">
      <c r="A319" s="109"/>
      <c r="B319" s="109"/>
      <c r="C319" s="109"/>
      <c r="D319" s="109"/>
      <c r="E319" s="109"/>
      <c r="F319" s="109"/>
      <c r="G319" s="109"/>
      <c r="H319" s="109"/>
      <c r="I319" s="109"/>
      <c r="J319" s="109"/>
      <c r="K319" s="317"/>
      <c r="L319" s="109"/>
      <c r="M319" s="109"/>
      <c r="N319" s="109"/>
      <c r="O319" s="109"/>
      <c r="P319" s="109"/>
      <c r="Q319" s="109"/>
      <c r="R319" s="109"/>
      <c r="S319" s="109"/>
      <c r="T319" s="109"/>
      <c r="U319" s="109"/>
      <c r="V319" s="109"/>
      <c r="W319" s="109"/>
      <c r="X319" s="109"/>
      <c r="Y319" s="109"/>
      <c r="Z319" s="109"/>
    </row>
    <row r="320" ht="39.75" customHeight="1">
      <c r="A320" s="109"/>
      <c r="B320" s="109"/>
      <c r="C320" s="109"/>
      <c r="D320" s="109"/>
      <c r="E320" s="109"/>
      <c r="F320" s="109"/>
      <c r="G320" s="109"/>
      <c r="H320" s="109"/>
      <c r="I320" s="109"/>
      <c r="J320" s="109"/>
      <c r="K320" s="317"/>
      <c r="L320" s="109"/>
      <c r="M320" s="109"/>
      <c r="N320" s="109"/>
      <c r="O320" s="109"/>
      <c r="P320" s="109"/>
      <c r="Q320" s="109"/>
      <c r="R320" s="109"/>
      <c r="S320" s="109"/>
      <c r="T320" s="109"/>
      <c r="U320" s="109"/>
      <c r="V320" s="109"/>
      <c r="W320" s="109"/>
      <c r="X320" s="109"/>
      <c r="Y320" s="109"/>
      <c r="Z320" s="109"/>
    </row>
    <row r="321" ht="39.75" customHeight="1">
      <c r="A321" s="109"/>
      <c r="B321" s="109"/>
      <c r="C321" s="109"/>
      <c r="D321" s="109"/>
      <c r="E321" s="109"/>
      <c r="F321" s="109"/>
      <c r="G321" s="109"/>
      <c r="H321" s="109"/>
      <c r="I321" s="109"/>
      <c r="J321" s="109"/>
      <c r="K321" s="317"/>
      <c r="L321" s="109"/>
      <c r="M321" s="109"/>
      <c r="N321" s="109"/>
      <c r="O321" s="109"/>
      <c r="P321" s="109"/>
      <c r="Q321" s="109"/>
      <c r="R321" s="109"/>
      <c r="S321" s="109"/>
      <c r="T321" s="109"/>
      <c r="U321" s="109"/>
      <c r="V321" s="109"/>
      <c r="W321" s="109"/>
      <c r="X321" s="109"/>
      <c r="Y321" s="109"/>
      <c r="Z321" s="109"/>
    </row>
    <row r="322" ht="39.75" customHeight="1">
      <c r="A322" s="109"/>
      <c r="B322" s="109"/>
      <c r="C322" s="109"/>
      <c r="D322" s="109"/>
      <c r="E322" s="109"/>
      <c r="F322" s="109"/>
      <c r="G322" s="109"/>
      <c r="H322" s="109"/>
      <c r="I322" s="109"/>
      <c r="J322" s="109"/>
      <c r="K322" s="317"/>
      <c r="L322" s="109"/>
      <c r="M322" s="109"/>
      <c r="N322" s="109"/>
      <c r="O322" s="109"/>
      <c r="P322" s="109"/>
      <c r="Q322" s="109"/>
      <c r="R322" s="109"/>
      <c r="S322" s="109"/>
      <c r="T322" s="109"/>
      <c r="U322" s="109"/>
      <c r="V322" s="109"/>
      <c r="W322" s="109"/>
      <c r="X322" s="109"/>
      <c r="Y322" s="109"/>
      <c r="Z322" s="109"/>
    </row>
    <row r="323" ht="39.75" customHeight="1">
      <c r="A323" s="109"/>
      <c r="B323" s="109"/>
      <c r="C323" s="109"/>
      <c r="D323" s="109"/>
      <c r="E323" s="109"/>
      <c r="F323" s="109"/>
      <c r="G323" s="109"/>
      <c r="H323" s="109"/>
      <c r="I323" s="109"/>
      <c r="J323" s="109"/>
      <c r="K323" s="317"/>
      <c r="L323" s="109"/>
      <c r="M323" s="109"/>
      <c r="N323" s="109"/>
      <c r="O323" s="109"/>
      <c r="P323" s="109"/>
      <c r="Q323" s="109"/>
      <c r="R323" s="109"/>
      <c r="S323" s="109"/>
      <c r="T323" s="109"/>
      <c r="U323" s="109"/>
      <c r="V323" s="109"/>
      <c r="W323" s="109"/>
      <c r="X323" s="109"/>
      <c r="Y323" s="109"/>
      <c r="Z323" s="109"/>
    </row>
    <row r="324" ht="39.75" customHeight="1">
      <c r="A324" s="109"/>
      <c r="B324" s="109"/>
      <c r="C324" s="109"/>
      <c r="D324" s="109"/>
      <c r="E324" s="109"/>
      <c r="F324" s="109"/>
      <c r="G324" s="109"/>
      <c r="H324" s="109"/>
      <c r="I324" s="109"/>
      <c r="J324" s="109"/>
      <c r="K324" s="317"/>
      <c r="L324" s="109"/>
      <c r="M324" s="109"/>
      <c r="N324" s="109"/>
      <c r="O324" s="109"/>
      <c r="P324" s="109"/>
      <c r="Q324" s="109"/>
      <c r="R324" s="109"/>
      <c r="S324" s="109"/>
      <c r="T324" s="109"/>
      <c r="U324" s="109"/>
      <c r="V324" s="109"/>
      <c r="W324" s="109"/>
      <c r="X324" s="109"/>
      <c r="Y324" s="109"/>
      <c r="Z324" s="109"/>
    </row>
    <row r="325" ht="39.75" customHeight="1">
      <c r="A325" s="109"/>
      <c r="B325" s="109"/>
      <c r="C325" s="109"/>
      <c r="D325" s="109"/>
      <c r="E325" s="109"/>
      <c r="F325" s="109"/>
      <c r="G325" s="109"/>
      <c r="H325" s="109"/>
      <c r="I325" s="109"/>
      <c r="J325" s="109"/>
      <c r="K325" s="317"/>
      <c r="L325" s="109"/>
      <c r="M325" s="109"/>
      <c r="N325" s="109"/>
      <c r="O325" s="109"/>
      <c r="P325" s="109"/>
      <c r="Q325" s="109"/>
      <c r="R325" s="109"/>
      <c r="S325" s="109"/>
      <c r="T325" s="109"/>
      <c r="U325" s="109"/>
      <c r="V325" s="109"/>
      <c r="W325" s="109"/>
      <c r="X325" s="109"/>
      <c r="Y325" s="109"/>
      <c r="Z325" s="109"/>
    </row>
    <row r="326" ht="39.75" customHeight="1">
      <c r="A326" s="109"/>
      <c r="B326" s="109"/>
      <c r="C326" s="109"/>
      <c r="D326" s="109"/>
      <c r="E326" s="109"/>
      <c r="F326" s="109"/>
      <c r="G326" s="109"/>
      <c r="H326" s="109"/>
      <c r="I326" s="109"/>
      <c r="J326" s="109"/>
      <c r="K326" s="317"/>
      <c r="L326" s="109"/>
      <c r="M326" s="109"/>
      <c r="N326" s="109"/>
      <c r="O326" s="109"/>
      <c r="P326" s="109"/>
      <c r="Q326" s="109"/>
      <c r="R326" s="109"/>
      <c r="S326" s="109"/>
      <c r="T326" s="109"/>
      <c r="U326" s="109"/>
      <c r="V326" s="109"/>
      <c r="W326" s="109"/>
      <c r="X326" s="109"/>
      <c r="Y326" s="109"/>
      <c r="Z326" s="109"/>
    </row>
    <row r="327" ht="39.75" customHeight="1">
      <c r="A327" s="109"/>
      <c r="B327" s="109"/>
      <c r="C327" s="109"/>
      <c r="D327" s="109"/>
      <c r="E327" s="109"/>
      <c r="F327" s="109"/>
      <c r="G327" s="109"/>
      <c r="H327" s="109"/>
      <c r="I327" s="109"/>
      <c r="J327" s="109"/>
      <c r="K327" s="317"/>
      <c r="L327" s="109"/>
      <c r="M327" s="109"/>
      <c r="N327" s="109"/>
      <c r="O327" s="109"/>
      <c r="P327" s="109"/>
      <c r="Q327" s="109"/>
      <c r="R327" s="109"/>
      <c r="S327" s="109"/>
      <c r="T327" s="109"/>
      <c r="U327" s="109"/>
      <c r="V327" s="109"/>
      <c r="W327" s="109"/>
      <c r="X327" s="109"/>
      <c r="Y327" s="109"/>
      <c r="Z327" s="109"/>
    </row>
    <row r="328" ht="39.75" customHeight="1">
      <c r="A328" s="109"/>
      <c r="B328" s="109"/>
      <c r="C328" s="109"/>
      <c r="D328" s="109"/>
      <c r="E328" s="109"/>
      <c r="F328" s="109"/>
      <c r="G328" s="109"/>
      <c r="H328" s="109"/>
      <c r="I328" s="109"/>
      <c r="J328" s="109"/>
      <c r="K328" s="317"/>
      <c r="L328" s="109"/>
      <c r="M328" s="109"/>
      <c r="N328" s="109"/>
      <c r="O328" s="109"/>
      <c r="P328" s="109"/>
      <c r="Q328" s="109"/>
      <c r="R328" s="109"/>
      <c r="S328" s="109"/>
      <c r="T328" s="109"/>
      <c r="U328" s="109"/>
      <c r="V328" s="109"/>
      <c r="W328" s="109"/>
      <c r="X328" s="109"/>
      <c r="Y328" s="109"/>
      <c r="Z328" s="109"/>
    </row>
    <row r="329" ht="39.75" customHeight="1">
      <c r="A329" s="109"/>
      <c r="B329" s="109"/>
      <c r="C329" s="109"/>
      <c r="D329" s="109"/>
      <c r="E329" s="109"/>
      <c r="F329" s="109"/>
      <c r="G329" s="109"/>
      <c r="H329" s="109"/>
      <c r="I329" s="109"/>
      <c r="J329" s="109"/>
      <c r="K329" s="317"/>
      <c r="L329" s="109"/>
      <c r="M329" s="109"/>
      <c r="N329" s="109"/>
      <c r="O329" s="109"/>
      <c r="P329" s="109"/>
      <c r="Q329" s="109"/>
      <c r="R329" s="109"/>
      <c r="S329" s="109"/>
      <c r="T329" s="109"/>
      <c r="U329" s="109"/>
      <c r="V329" s="109"/>
      <c r="W329" s="109"/>
      <c r="X329" s="109"/>
      <c r="Y329" s="109"/>
      <c r="Z329" s="109"/>
    </row>
    <row r="330" ht="39.75" customHeight="1">
      <c r="A330" s="109"/>
      <c r="B330" s="109"/>
      <c r="C330" s="109"/>
      <c r="D330" s="109"/>
      <c r="E330" s="109"/>
      <c r="F330" s="109"/>
      <c r="G330" s="109"/>
      <c r="H330" s="109"/>
      <c r="I330" s="109"/>
      <c r="J330" s="109"/>
      <c r="K330" s="317"/>
      <c r="L330" s="109"/>
      <c r="M330" s="109"/>
      <c r="N330" s="109"/>
      <c r="O330" s="109"/>
      <c r="P330" s="109"/>
      <c r="Q330" s="109"/>
      <c r="R330" s="109"/>
      <c r="S330" s="109"/>
      <c r="T330" s="109"/>
      <c r="U330" s="109"/>
      <c r="V330" s="109"/>
      <c r="W330" s="109"/>
      <c r="X330" s="109"/>
      <c r="Y330" s="109"/>
      <c r="Z330" s="109"/>
    </row>
    <row r="331" ht="39.75" customHeight="1">
      <c r="A331" s="109"/>
      <c r="B331" s="109"/>
      <c r="C331" s="109"/>
      <c r="D331" s="109"/>
      <c r="E331" s="109"/>
      <c r="F331" s="109"/>
      <c r="G331" s="109"/>
      <c r="H331" s="109"/>
      <c r="I331" s="109"/>
      <c r="J331" s="109"/>
      <c r="K331" s="317"/>
      <c r="L331" s="109"/>
      <c r="M331" s="109"/>
      <c r="N331" s="109"/>
      <c r="O331" s="109"/>
      <c r="P331" s="109"/>
      <c r="Q331" s="109"/>
      <c r="R331" s="109"/>
      <c r="S331" s="109"/>
      <c r="T331" s="109"/>
      <c r="U331" s="109"/>
      <c r="V331" s="109"/>
      <c r="W331" s="109"/>
      <c r="X331" s="109"/>
      <c r="Y331" s="109"/>
      <c r="Z331" s="109"/>
    </row>
    <row r="332" ht="39.75" customHeight="1">
      <c r="A332" s="109"/>
      <c r="B332" s="109"/>
      <c r="C332" s="109"/>
      <c r="D332" s="109"/>
      <c r="E332" s="109"/>
      <c r="F332" s="109"/>
      <c r="G332" s="109"/>
      <c r="H332" s="109"/>
      <c r="I332" s="109"/>
      <c r="J332" s="109"/>
      <c r="K332" s="317"/>
      <c r="L332" s="109"/>
      <c r="M332" s="109"/>
      <c r="N332" s="109"/>
      <c r="O332" s="109"/>
      <c r="P332" s="109"/>
      <c r="Q332" s="109"/>
      <c r="R332" s="109"/>
      <c r="S332" s="109"/>
      <c r="T332" s="109"/>
      <c r="U332" s="109"/>
      <c r="V332" s="109"/>
      <c r="W332" s="109"/>
      <c r="X332" s="109"/>
      <c r="Y332" s="109"/>
      <c r="Z332" s="109"/>
    </row>
    <row r="333" ht="39.75" customHeight="1">
      <c r="A333" s="109"/>
      <c r="B333" s="109"/>
      <c r="C333" s="109"/>
      <c r="D333" s="109"/>
      <c r="E333" s="109"/>
      <c r="F333" s="109"/>
      <c r="G333" s="109"/>
      <c r="H333" s="109"/>
      <c r="I333" s="109"/>
      <c r="J333" s="109"/>
      <c r="K333" s="317"/>
      <c r="L333" s="109"/>
      <c r="M333" s="109"/>
      <c r="N333" s="109"/>
      <c r="O333" s="109"/>
      <c r="P333" s="109"/>
      <c r="Q333" s="109"/>
      <c r="R333" s="109"/>
      <c r="S333" s="109"/>
      <c r="T333" s="109"/>
      <c r="U333" s="109"/>
      <c r="V333" s="109"/>
      <c r="W333" s="109"/>
      <c r="X333" s="109"/>
      <c r="Y333" s="109"/>
      <c r="Z333" s="109"/>
    </row>
    <row r="334" ht="39.75" customHeight="1">
      <c r="A334" s="109"/>
      <c r="B334" s="109"/>
      <c r="C334" s="109"/>
      <c r="D334" s="109"/>
      <c r="E334" s="109"/>
      <c r="F334" s="109"/>
      <c r="G334" s="109"/>
      <c r="H334" s="109"/>
      <c r="I334" s="109"/>
      <c r="J334" s="109"/>
      <c r="K334" s="317"/>
      <c r="L334" s="109"/>
      <c r="M334" s="109"/>
      <c r="N334" s="109"/>
      <c r="O334" s="109"/>
      <c r="P334" s="109"/>
      <c r="Q334" s="109"/>
      <c r="R334" s="109"/>
      <c r="S334" s="109"/>
      <c r="T334" s="109"/>
      <c r="U334" s="109"/>
      <c r="V334" s="109"/>
      <c r="W334" s="109"/>
      <c r="X334" s="109"/>
      <c r="Y334" s="109"/>
      <c r="Z334" s="109"/>
    </row>
    <row r="335" ht="39.75" customHeight="1">
      <c r="A335" s="109"/>
      <c r="B335" s="109"/>
      <c r="C335" s="109"/>
      <c r="D335" s="109"/>
      <c r="E335" s="109"/>
      <c r="F335" s="109"/>
      <c r="G335" s="109"/>
      <c r="H335" s="109"/>
      <c r="I335" s="109"/>
      <c r="J335" s="109"/>
      <c r="K335" s="317"/>
      <c r="L335" s="109"/>
      <c r="M335" s="109"/>
      <c r="N335" s="109"/>
      <c r="O335" s="109"/>
      <c r="P335" s="109"/>
      <c r="Q335" s="109"/>
      <c r="R335" s="109"/>
      <c r="S335" s="109"/>
      <c r="T335" s="109"/>
      <c r="U335" s="109"/>
      <c r="V335" s="109"/>
      <c r="W335" s="109"/>
      <c r="X335" s="109"/>
      <c r="Y335" s="109"/>
      <c r="Z335" s="109"/>
    </row>
    <row r="336" ht="39.75" customHeight="1">
      <c r="A336" s="109"/>
      <c r="B336" s="109"/>
      <c r="C336" s="109"/>
      <c r="D336" s="109"/>
      <c r="E336" s="109"/>
      <c r="F336" s="109"/>
      <c r="G336" s="109"/>
      <c r="H336" s="109"/>
      <c r="I336" s="109"/>
      <c r="J336" s="109"/>
      <c r="K336" s="317"/>
      <c r="L336" s="109"/>
      <c r="M336" s="109"/>
      <c r="N336" s="109"/>
      <c r="O336" s="109"/>
      <c r="P336" s="109"/>
      <c r="Q336" s="109"/>
      <c r="R336" s="109"/>
      <c r="S336" s="109"/>
      <c r="T336" s="109"/>
      <c r="U336" s="109"/>
      <c r="V336" s="109"/>
      <c r="W336" s="109"/>
      <c r="X336" s="109"/>
      <c r="Y336" s="109"/>
      <c r="Z336" s="109"/>
    </row>
    <row r="337" ht="39.75" customHeight="1">
      <c r="A337" s="109"/>
      <c r="B337" s="109"/>
      <c r="C337" s="109"/>
      <c r="D337" s="109"/>
      <c r="E337" s="109"/>
      <c r="F337" s="109"/>
      <c r="G337" s="109"/>
      <c r="H337" s="109"/>
      <c r="I337" s="109"/>
      <c r="J337" s="109"/>
      <c r="K337" s="317"/>
      <c r="L337" s="109"/>
      <c r="M337" s="109"/>
      <c r="N337" s="109"/>
      <c r="O337" s="109"/>
      <c r="P337" s="109"/>
      <c r="Q337" s="109"/>
      <c r="R337" s="109"/>
      <c r="S337" s="109"/>
      <c r="T337" s="109"/>
      <c r="U337" s="109"/>
      <c r="V337" s="109"/>
      <c r="W337" s="109"/>
      <c r="X337" s="109"/>
      <c r="Y337" s="109"/>
      <c r="Z337" s="109"/>
    </row>
    <row r="338" ht="39.75" customHeight="1">
      <c r="A338" s="109"/>
      <c r="B338" s="109"/>
      <c r="C338" s="109"/>
      <c r="D338" s="109"/>
      <c r="E338" s="109"/>
      <c r="F338" s="109"/>
      <c r="G338" s="109"/>
      <c r="H338" s="109"/>
      <c r="I338" s="109"/>
      <c r="J338" s="109"/>
      <c r="K338" s="317"/>
      <c r="L338" s="109"/>
      <c r="M338" s="109"/>
      <c r="N338" s="109"/>
      <c r="O338" s="109"/>
      <c r="P338" s="109"/>
      <c r="Q338" s="109"/>
      <c r="R338" s="109"/>
      <c r="S338" s="109"/>
      <c r="T338" s="109"/>
      <c r="U338" s="109"/>
      <c r="V338" s="109"/>
      <c r="W338" s="109"/>
      <c r="X338" s="109"/>
      <c r="Y338" s="109"/>
      <c r="Z338" s="109"/>
    </row>
    <row r="339" ht="39.75" customHeight="1">
      <c r="A339" s="109"/>
      <c r="B339" s="109"/>
      <c r="C339" s="109"/>
      <c r="D339" s="109"/>
      <c r="E339" s="109"/>
      <c r="F339" s="109"/>
      <c r="G339" s="109"/>
      <c r="H339" s="109"/>
      <c r="I339" s="109"/>
      <c r="J339" s="109"/>
      <c r="K339" s="317"/>
      <c r="L339" s="109"/>
      <c r="M339" s="109"/>
      <c r="N339" s="109"/>
      <c r="O339" s="109"/>
      <c r="P339" s="109"/>
      <c r="Q339" s="109"/>
      <c r="R339" s="109"/>
      <c r="S339" s="109"/>
      <c r="T339" s="109"/>
      <c r="U339" s="109"/>
      <c r="V339" s="109"/>
      <c r="W339" s="109"/>
      <c r="X339" s="109"/>
      <c r="Y339" s="109"/>
      <c r="Z339" s="109"/>
    </row>
    <row r="340" ht="39.75" customHeight="1">
      <c r="A340" s="109"/>
      <c r="B340" s="109"/>
      <c r="C340" s="109"/>
      <c r="D340" s="109"/>
      <c r="E340" s="109"/>
      <c r="F340" s="109"/>
      <c r="G340" s="109"/>
      <c r="H340" s="109"/>
      <c r="I340" s="109"/>
      <c r="J340" s="109"/>
      <c r="K340" s="317"/>
      <c r="L340" s="109"/>
      <c r="M340" s="109"/>
      <c r="N340" s="109"/>
      <c r="O340" s="109"/>
      <c r="P340" s="109"/>
      <c r="Q340" s="109"/>
      <c r="R340" s="109"/>
      <c r="S340" s="109"/>
      <c r="T340" s="109"/>
      <c r="U340" s="109"/>
      <c r="V340" s="109"/>
      <c r="W340" s="109"/>
      <c r="X340" s="109"/>
      <c r="Y340" s="109"/>
      <c r="Z340" s="109"/>
    </row>
    <row r="341" ht="39.75" customHeight="1">
      <c r="A341" s="109"/>
      <c r="B341" s="109"/>
      <c r="C341" s="109"/>
      <c r="D341" s="109"/>
      <c r="E341" s="109"/>
      <c r="F341" s="109"/>
      <c r="G341" s="109"/>
      <c r="H341" s="109"/>
      <c r="I341" s="109"/>
      <c r="J341" s="109"/>
      <c r="K341" s="317"/>
      <c r="L341" s="109"/>
      <c r="M341" s="109"/>
      <c r="N341" s="109"/>
      <c r="O341" s="109"/>
      <c r="P341" s="109"/>
      <c r="Q341" s="109"/>
      <c r="R341" s="109"/>
      <c r="S341" s="109"/>
      <c r="T341" s="109"/>
      <c r="U341" s="109"/>
      <c r="V341" s="109"/>
      <c r="W341" s="109"/>
      <c r="X341" s="109"/>
      <c r="Y341" s="109"/>
      <c r="Z341" s="109"/>
    </row>
    <row r="342" ht="39.75" customHeight="1">
      <c r="A342" s="109"/>
      <c r="B342" s="109"/>
      <c r="C342" s="109"/>
      <c r="D342" s="109"/>
      <c r="E342" s="109"/>
      <c r="F342" s="109"/>
      <c r="G342" s="109"/>
      <c r="H342" s="109"/>
      <c r="I342" s="109"/>
      <c r="J342" s="109"/>
      <c r="K342" s="317"/>
      <c r="L342" s="109"/>
      <c r="M342" s="109"/>
      <c r="N342" s="109"/>
      <c r="O342" s="109"/>
      <c r="P342" s="109"/>
      <c r="Q342" s="109"/>
      <c r="R342" s="109"/>
      <c r="S342" s="109"/>
      <c r="T342" s="109"/>
      <c r="U342" s="109"/>
      <c r="V342" s="109"/>
      <c r="W342" s="109"/>
      <c r="X342" s="109"/>
      <c r="Y342" s="109"/>
      <c r="Z342" s="109"/>
    </row>
    <row r="343" ht="39.75" customHeight="1">
      <c r="A343" s="109"/>
      <c r="B343" s="109"/>
      <c r="C343" s="109"/>
      <c r="D343" s="109"/>
      <c r="E343" s="109"/>
      <c r="F343" s="109"/>
      <c r="G343" s="109"/>
      <c r="H343" s="109"/>
      <c r="I343" s="109"/>
      <c r="J343" s="109"/>
      <c r="K343" s="317"/>
      <c r="L343" s="109"/>
      <c r="M343" s="109"/>
      <c r="N343" s="109"/>
      <c r="O343" s="109"/>
      <c r="P343" s="109"/>
      <c r="Q343" s="109"/>
      <c r="R343" s="109"/>
      <c r="S343" s="109"/>
      <c r="T343" s="109"/>
      <c r="U343" s="109"/>
      <c r="V343" s="109"/>
      <c r="W343" s="109"/>
      <c r="X343" s="109"/>
      <c r="Y343" s="109"/>
      <c r="Z343" s="109"/>
    </row>
    <row r="344" ht="39.75" customHeight="1">
      <c r="A344" s="109"/>
      <c r="B344" s="109"/>
      <c r="C344" s="109"/>
      <c r="D344" s="109"/>
      <c r="E344" s="109"/>
      <c r="F344" s="109"/>
      <c r="G344" s="109"/>
      <c r="H344" s="109"/>
      <c r="I344" s="109"/>
      <c r="J344" s="109"/>
      <c r="K344" s="317"/>
      <c r="L344" s="109"/>
      <c r="M344" s="109"/>
      <c r="N344" s="109"/>
      <c r="O344" s="109"/>
      <c r="P344" s="109"/>
      <c r="Q344" s="109"/>
      <c r="R344" s="109"/>
      <c r="S344" s="109"/>
      <c r="T344" s="109"/>
      <c r="U344" s="109"/>
      <c r="V344" s="109"/>
      <c r="W344" s="109"/>
      <c r="X344" s="109"/>
      <c r="Y344" s="109"/>
      <c r="Z344" s="109"/>
    </row>
    <row r="345" ht="39.75" customHeight="1">
      <c r="A345" s="109"/>
      <c r="B345" s="109"/>
      <c r="C345" s="109"/>
      <c r="D345" s="109"/>
      <c r="E345" s="109"/>
      <c r="F345" s="109"/>
      <c r="G345" s="109"/>
      <c r="H345" s="109"/>
      <c r="I345" s="109"/>
      <c r="J345" s="109"/>
      <c r="K345" s="317"/>
      <c r="L345" s="109"/>
      <c r="M345" s="109"/>
      <c r="N345" s="109"/>
      <c r="O345" s="109"/>
      <c r="P345" s="109"/>
      <c r="Q345" s="109"/>
      <c r="R345" s="109"/>
      <c r="S345" s="109"/>
      <c r="T345" s="109"/>
      <c r="U345" s="109"/>
      <c r="V345" s="109"/>
      <c r="W345" s="109"/>
      <c r="X345" s="109"/>
      <c r="Y345" s="109"/>
      <c r="Z345" s="109"/>
    </row>
    <row r="346" ht="39.75" customHeight="1">
      <c r="A346" s="109"/>
      <c r="B346" s="109"/>
      <c r="C346" s="109"/>
      <c r="D346" s="109"/>
      <c r="E346" s="109"/>
      <c r="F346" s="109"/>
      <c r="G346" s="109"/>
      <c r="H346" s="109"/>
      <c r="I346" s="109"/>
      <c r="J346" s="109"/>
      <c r="K346" s="317"/>
      <c r="L346" s="109"/>
      <c r="M346" s="109"/>
      <c r="N346" s="109"/>
      <c r="O346" s="109"/>
      <c r="P346" s="109"/>
      <c r="Q346" s="109"/>
      <c r="R346" s="109"/>
      <c r="S346" s="109"/>
      <c r="T346" s="109"/>
      <c r="U346" s="109"/>
      <c r="V346" s="109"/>
      <c r="W346" s="109"/>
      <c r="X346" s="109"/>
      <c r="Y346" s="109"/>
      <c r="Z346" s="109"/>
    </row>
    <row r="347" ht="39.75" customHeight="1">
      <c r="A347" s="109"/>
      <c r="B347" s="109"/>
      <c r="C347" s="109"/>
      <c r="D347" s="109"/>
      <c r="E347" s="109"/>
      <c r="F347" s="109"/>
      <c r="G347" s="109"/>
      <c r="H347" s="109"/>
      <c r="I347" s="109"/>
      <c r="J347" s="109"/>
      <c r="K347" s="317"/>
      <c r="L347" s="109"/>
      <c r="M347" s="109"/>
      <c r="N347" s="109"/>
      <c r="O347" s="109"/>
      <c r="P347" s="109"/>
      <c r="Q347" s="109"/>
      <c r="R347" s="109"/>
      <c r="S347" s="109"/>
      <c r="T347" s="109"/>
      <c r="U347" s="109"/>
      <c r="V347" s="109"/>
      <c r="W347" s="109"/>
      <c r="X347" s="109"/>
      <c r="Y347" s="109"/>
      <c r="Z347" s="109"/>
    </row>
    <row r="348" ht="39.75" customHeight="1">
      <c r="A348" s="109"/>
      <c r="B348" s="109"/>
      <c r="C348" s="109"/>
      <c r="D348" s="109"/>
      <c r="E348" s="109"/>
      <c r="F348" s="109"/>
      <c r="G348" s="109"/>
      <c r="H348" s="109"/>
      <c r="I348" s="109"/>
      <c r="J348" s="109"/>
      <c r="K348" s="317"/>
      <c r="L348" s="109"/>
      <c r="M348" s="109"/>
      <c r="N348" s="109"/>
      <c r="O348" s="109"/>
      <c r="P348" s="109"/>
      <c r="Q348" s="109"/>
      <c r="R348" s="109"/>
      <c r="S348" s="109"/>
      <c r="T348" s="109"/>
      <c r="U348" s="109"/>
      <c r="V348" s="109"/>
      <c r="W348" s="109"/>
      <c r="X348" s="109"/>
      <c r="Y348" s="109"/>
      <c r="Z348" s="109"/>
    </row>
    <row r="349" ht="39.75" customHeight="1">
      <c r="A349" s="109"/>
      <c r="B349" s="109"/>
      <c r="C349" s="109"/>
      <c r="D349" s="109"/>
      <c r="E349" s="109"/>
      <c r="F349" s="109"/>
      <c r="G349" s="109"/>
      <c r="H349" s="109"/>
      <c r="I349" s="109"/>
      <c r="J349" s="109"/>
      <c r="K349" s="317"/>
      <c r="L349" s="109"/>
      <c r="M349" s="109"/>
      <c r="N349" s="109"/>
      <c r="O349" s="109"/>
      <c r="P349" s="109"/>
      <c r="Q349" s="109"/>
      <c r="R349" s="109"/>
      <c r="S349" s="109"/>
      <c r="T349" s="109"/>
      <c r="U349" s="109"/>
      <c r="V349" s="109"/>
      <c r="W349" s="109"/>
      <c r="X349" s="109"/>
      <c r="Y349" s="109"/>
      <c r="Z349" s="109"/>
    </row>
    <row r="350" ht="39.75" customHeight="1">
      <c r="A350" s="109"/>
      <c r="B350" s="109"/>
      <c r="C350" s="109"/>
      <c r="D350" s="109"/>
      <c r="E350" s="109"/>
      <c r="F350" s="109"/>
      <c r="G350" s="109"/>
      <c r="H350" s="109"/>
      <c r="I350" s="109"/>
      <c r="J350" s="109"/>
      <c r="K350" s="317"/>
      <c r="L350" s="109"/>
      <c r="M350" s="109"/>
      <c r="N350" s="109"/>
      <c r="O350" s="109"/>
      <c r="P350" s="109"/>
      <c r="Q350" s="109"/>
      <c r="R350" s="109"/>
      <c r="S350" s="109"/>
      <c r="T350" s="109"/>
      <c r="U350" s="109"/>
      <c r="V350" s="109"/>
      <c r="W350" s="109"/>
      <c r="X350" s="109"/>
      <c r="Y350" s="109"/>
      <c r="Z350" s="109"/>
    </row>
    <row r="351" ht="39.75" customHeight="1">
      <c r="A351" s="109"/>
      <c r="B351" s="109"/>
      <c r="C351" s="109"/>
      <c r="D351" s="109"/>
      <c r="E351" s="109"/>
      <c r="F351" s="109"/>
      <c r="G351" s="109"/>
      <c r="H351" s="109"/>
      <c r="I351" s="109"/>
      <c r="J351" s="109"/>
      <c r="K351" s="317"/>
      <c r="L351" s="109"/>
      <c r="M351" s="109"/>
      <c r="N351" s="109"/>
      <c r="O351" s="109"/>
      <c r="P351" s="109"/>
      <c r="Q351" s="109"/>
      <c r="R351" s="109"/>
      <c r="S351" s="109"/>
      <c r="T351" s="109"/>
      <c r="U351" s="109"/>
      <c r="V351" s="109"/>
      <c r="W351" s="109"/>
      <c r="X351" s="109"/>
      <c r="Y351" s="109"/>
      <c r="Z351" s="109"/>
    </row>
    <row r="352" ht="39.75" customHeight="1">
      <c r="A352" s="109"/>
      <c r="B352" s="109"/>
      <c r="C352" s="109"/>
      <c r="D352" s="109"/>
      <c r="E352" s="109"/>
      <c r="F352" s="109"/>
      <c r="G352" s="109"/>
      <c r="H352" s="109"/>
      <c r="I352" s="109"/>
      <c r="J352" s="109"/>
      <c r="K352" s="317"/>
      <c r="L352" s="109"/>
      <c r="M352" s="109"/>
      <c r="N352" s="109"/>
      <c r="O352" s="109"/>
      <c r="P352" s="109"/>
      <c r="Q352" s="109"/>
      <c r="R352" s="109"/>
      <c r="S352" s="109"/>
      <c r="T352" s="109"/>
      <c r="U352" s="109"/>
      <c r="V352" s="109"/>
      <c r="W352" s="109"/>
      <c r="X352" s="109"/>
      <c r="Y352" s="109"/>
      <c r="Z352" s="109"/>
    </row>
    <row r="353" ht="39.75" customHeight="1">
      <c r="A353" s="109"/>
      <c r="B353" s="109"/>
      <c r="C353" s="109"/>
      <c r="D353" s="109"/>
      <c r="E353" s="109"/>
      <c r="F353" s="109"/>
      <c r="G353" s="109"/>
      <c r="H353" s="109"/>
      <c r="I353" s="109"/>
      <c r="J353" s="109"/>
      <c r="K353" s="317"/>
      <c r="L353" s="109"/>
      <c r="M353" s="109"/>
      <c r="N353" s="109"/>
      <c r="O353" s="109"/>
      <c r="P353" s="109"/>
      <c r="Q353" s="109"/>
      <c r="R353" s="109"/>
      <c r="S353" s="109"/>
      <c r="T353" s="109"/>
      <c r="U353" s="109"/>
      <c r="V353" s="109"/>
      <c r="W353" s="109"/>
      <c r="X353" s="109"/>
      <c r="Y353" s="109"/>
      <c r="Z353" s="109"/>
    </row>
    <row r="354" ht="39.75" customHeight="1">
      <c r="A354" s="109"/>
      <c r="B354" s="109"/>
      <c r="C354" s="109"/>
      <c r="D354" s="109"/>
      <c r="E354" s="109"/>
      <c r="F354" s="109"/>
      <c r="G354" s="109"/>
      <c r="H354" s="109"/>
      <c r="I354" s="109"/>
      <c r="J354" s="109"/>
      <c r="K354" s="317"/>
      <c r="L354" s="109"/>
      <c r="M354" s="109"/>
      <c r="N354" s="109"/>
      <c r="O354" s="109"/>
      <c r="P354" s="109"/>
      <c r="Q354" s="109"/>
      <c r="R354" s="109"/>
      <c r="S354" s="109"/>
      <c r="T354" s="109"/>
      <c r="U354" s="109"/>
      <c r="V354" s="109"/>
      <c r="W354" s="109"/>
      <c r="X354" s="109"/>
      <c r="Y354" s="109"/>
      <c r="Z354" s="109"/>
    </row>
    <row r="355" ht="39.75" customHeight="1">
      <c r="A355" s="109"/>
      <c r="B355" s="109"/>
      <c r="C355" s="109"/>
      <c r="D355" s="109"/>
      <c r="E355" s="109"/>
      <c r="F355" s="109"/>
      <c r="G355" s="109"/>
      <c r="H355" s="109"/>
      <c r="I355" s="109"/>
      <c r="J355" s="109"/>
      <c r="K355" s="317"/>
      <c r="L355" s="109"/>
      <c r="M355" s="109"/>
      <c r="N355" s="109"/>
      <c r="O355" s="109"/>
      <c r="P355" s="109"/>
      <c r="Q355" s="109"/>
      <c r="R355" s="109"/>
      <c r="S355" s="109"/>
      <c r="T355" s="109"/>
      <c r="U355" s="109"/>
      <c r="V355" s="109"/>
      <c r="W355" s="109"/>
      <c r="X355" s="109"/>
      <c r="Y355" s="109"/>
      <c r="Z355" s="109"/>
    </row>
    <row r="356" ht="39.75" customHeight="1">
      <c r="A356" s="109"/>
      <c r="B356" s="109"/>
      <c r="C356" s="109"/>
      <c r="D356" s="109"/>
      <c r="E356" s="109"/>
      <c r="F356" s="109"/>
      <c r="G356" s="109"/>
      <c r="H356" s="109"/>
      <c r="I356" s="109"/>
      <c r="J356" s="109"/>
      <c r="K356" s="317"/>
      <c r="L356" s="109"/>
      <c r="M356" s="109"/>
      <c r="N356" s="109"/>
      <c r="O356" s="109"/>
      <c r="P356" s="109"/>
      <c r="Q356" s="109"/>
      <c r="R356" s="109"/>
      <c r="S356" s="109"/>
      <c r="T356" s="109"/>
      <c r="U356" s="109"/>
      <c r="V356" s="109"/>
      <c r="W356" s="109"/>
      <c r="X356" s="109"/>
      <c r="Y356" s="109"/>
      <c r="Z356" s="109"/>
    </row>
    <row r="357" ht="39.75" customHeight="1">
      <c r="A357" s="109"/>
      <c r="B357" s="109"/>
      <c r="C357" s="109"/>
      <c r="D357" s="109"/>
      <c r="E357" s="109"/>
      <c r="F357" s="109"/>
      <c r="G357" s="109"/>
      <c r="H357" s="109"/>
      <c r="I357" s="109"/>
      <c r="J357" s="109"/>
      <c r="K357" s="317"/>
      <c r="L357" s="109"/>
      <c r="M357" s="109"/>
      <c r="N357" s="109"/>
      <c r="O357" s="109"/>
      <c r="P357" s="109"/>
      <c r="Q357" s="109"/>
      <c r="R357" s="109"/>
      <c r="S357" s="109"/>
      <c r="T357" s="109"/>
      <c r="U357" s="109"/>
      <c r="V357" s="109"/>
      <c r="W357" s="109"/>
      <c r="X357" s="109"/>
      <c r="Y357" s="109"/>
      <c r="Z357" s="109"/>
    </row>
    <row r="358" ht="39.75" customHeight="1">
      <c r="A358" s="109"/>
      <c r="B358" s="109"/>
      <c r="C358" s="109"/>
      <c r="D358" s="109"/>
      <c r="E358" s="109"/>
      <c r="F358" s="109"/>
      <c r="G358" s="109"/>
      <c r="H358" s="109"/>
      <c r="I358" s="109"/>
      <c r="J358" s="109"/>
      <c r="K358" s="317"/>
      <c r="L358" s="109"/>
      <c r="M358" s="109"/>
      <c r="N358" s="109"/>
      <c r="O358" s="109"/>
      <c r="P358" s="109"/>
      <c r="Q358" s="109"/>
      <c r="R358" s="109"/>
      <c r="S358" s="109"/>
      <c r="T358" s="109"/>
      <c r="U358" s="109"/>
      <c r="V358" s="109"/>
      <c r="W358" s="109"/>
      <c r="X358" s="109"/>
      <c r="Y358" s="109"/>
      <c r="Z358" s="109"/>
    </row>
    <row r="359" ht="39.75" customHeight="1">
      <c r="A359" s="109"/>
      <c r="B359" s="109"/>
      <c r="C359" s="109"/>
      <c r="D359" s="109"/>
      <c r="E359" s="109"/>
      <c r="F359" s="109"/>
      <c r="G359" s="109"/>
      <c r="H359" s="109"/>
      <c r="I359" s="109"/>
      <c r="J359" s="109"/>
      <c r="K359" s="317"/>
      <c r="L359" s="109"/>
      <c r="M359" s="109"/>
      <c r="N359" s="109"/>
      <c r="O359" s="109"/>
      <c r="P359" s="109"/>
      <c r="Q359" s="109"/>
      <c r="R359" s="109"/>
      <c r="S359" s="109"/>
      <c r="T359" s="109"/>
      <c r="U359" s="109"/>
      <c r="V359" s="109"/>
      <c r="W359" s="109"/>
      <c r="X359" s="109"/>
      <c r="Y359" s="109"/>
      <c r="Z359" s="109"/>
    </row>
    <row r="360" ht="39.75" customHeight="1">
      <c r="A360" s="109"/>
      <c r="B360" s="109"/>
      <c r="C360" s="109"/>
      <c r="D360" s="109"/>
      <c r="E360" s="109"/>
      <c r="F360" s="109"/>
      <c r="G360" s="109"/>
      <c r="H360" s="109"/>
      <c r="I360" s="109"/>
      <c r="J360" s="109"/>
      <c r="K360" s="317"/>
      <c r="L360" s="109"/>
      <c r="M360" s="109"/>
      <c r="N360" s="109"/>
      <c r="O360" s="109"/>
      <c r="P360" s="109"/>
      <c r="Q360" s="109"/>
      <c r="R360" s="109"/>
      <c r="S360" s="109"/>
      <c r="T360" s="109"/>
      <c r="U360" s="109"/>
      <c r="V360" s="109"/>
      <c r="W360" s="109"/>
      <c r="X360" s="109"/>
      <c r="Y360" s="109"/>
      <c r="Z360" s="109"/>
    </row>
    <row r="361" ht="39.75" customHeight="1">
      <c r="A361" s="109"/>
      <c r="B361" s="109"/>
      <c r="C361" s="109"/>
      <c r="D361" s="109"/>
      <c r="E361" s="109"/>
      <c r="F361" s="109"/>
      <c r="G361" s="109"/>
      <c r="H361" s="109"/>
      <c r="I361" s="109"/>
      <c r="J361" s="109"/>
      <c r="K361" s="317"/>
      <c r="L361" s="109"/>
      <c r="M361" s="109"/>
      <c r="N361" s="109"/>
      <c r="O361" s="109"/>
      <c r="P361" s="109"/>
      <c r="Q361" s="109"/>
      <c r="R361" s="109"/>
      <c r="S361" s="109"/>
      <c r="T361" s="109"/>
      <c r="U361" s="109"/>
      <c r="V361" s="109"/>
      <c r="W361" s="109"/>
      <c r="X361" s="109"/>
      <c r="Y361" s="109"/>
      <c r="Z361" s="109"/>
    </row>
    <row r="362" ht="39.75" customHeight="1">
      <c r="A362" s="109"/>
      <c r="B362" s="109"/>
      <c r="C362" s="109"/>
      <c r="D362" s="109"/>
      <c r="E362" s="109"/>
      <c r="F362" s="109"/>
      <c r="G362" s="109"/>
      <c r="H362" s="109"/>
      <c r="I362" s="109"/>
      <c r="J362" s="109"/>
      <c r="K362" s="317"/>
      <c r="L362" s="109"/>
      <c r="M362" s="109"/>
      <c r="N362" s="109"/>
      <c r="O362" s="109"/>
      <c r="P362" s="109"/>
      <c r="Q362" s="109"/>
      <c r="R362" s="109"/>
      <c r="S362" s="109"/>
      <c r="T362" s="109"/>
      <c r="U362" s="109"/>
      <c r="V362" s="109"/>
      <c r="W362" s="109"/>
      <c r="X362" s="109"/>
      <c r="Y362" s="109"/>
      <c r="Z362" s="109"/>
    </row>
    <row r="363" ht="39.75" customHeight="1">
      <c r="A363" s="109"/>
      <c r="B363" s="109"/>
      <c r="C363" s="109"/>
      <c r="D363" s="109"/>
      <c r="E363" s="109"/>
      <c r="F363" s="109"/>
      <c r="G363" s="109"/>
      <c r="H363" s="109"/>
      <c r="I363" s="109"/>
      <c r="J363" s="109"/>
      <c r="K363" s="317"/>
      <c r="L363" s="109"/>
      <c r="M363" s="109"/>
      <c r="N363" s="109"/>
      <c r="O363" s="109"/>
      <c r="P363" s="109"/>
      <c r="Q363" s="109"/>
      <c r="R363" s="109"/>
      <c r="S363" s="109"/>
      <c r="T363" s="109"/>
      <c r="U363" s="109"/>
      <c r="V363" s="109"/>
      <c r="W363" s="109"/>
      <c r="X363" s="109"/>
      <c r="Y363" s="109"/>
      <c r="Z363" s="109"/>
    </row>
    <row r="364" ht="39.75" customHeight="1">
      <c r="A364" s="109"/>
      <c r="B364" s="109"/>
      <c r="C364" s="109"/>
      <c r="D364" s="109"/>
      <c r="E364" s="109"/>
      <c r="F364" s="109"/>
      <c r="G364" s="109"/>
      <c r="H364" s="109"/>
      <c r="I364" s="109"/>
      <c r="J364" s="109"/>
      <c r="K364" s="317"/>
      <c r="L364" s="109"/>
      <c r="M364" s="109"/>
      <c r="N364" s="109"/>
      <c r="O364" s="109"/>
      <c r="P364" s="109"/>
      <c r="Q364" s="109"/>
      <c r="R364" s="109"/>
      <c r="S364" s="109"/>
      <c r="T364" s="109"/>
      <c r="U364" s="109"/>
      <c r="V364" s="109"/>
      <c r="W364" s="109"/>
      <c r="X364" s="109"/>
      <c r="Y364" s="109"/>
      <c r="Z364" s="109"/>
    </row>
    <row r="365" ht="39.75" customHeight="1">
      <c r="A365" s="109"/>
      <c r="B365" s="109"/>
      <c r="C365" s="109"/>
      <c r="D365" s="109"/>
      <c r="E365" s="109"/>
      <c r="F365" s="109"/>
      <c r="G365" s="109"/>
      <c r="H365" s="109"/>
      <c r="I365" s="109"/>
      <c r="J365" s="109"/>
      <c r="K365" s="317"/>
      <c r="L365" s="109"/>
      <c r="M365" s="109"/>
      <c r="N365" s="109"/>
      <c r="O365" s="109"/>
      <c r="P365" s="109"/>
      <c r="Q365" s="109"/>
      <c r="R365" s="109"/>
      <c r="S365" s="109"/>
      <c r="T365" s="109"/>
      <c r="U365" s="109"/>
      <c r="V365" s="109"/>
      <c r="W365" s="109"/>
      <c r="X365" s="109"/>
      <c r="Y365" s="109"/>
      <c r="Z365" s="109"/>
    </row>
    <row r="366" ht="39.75" customHeight="1">
      <c r="A366" s="109"/>
      <c r="B366" s="109"/>
      <c r="C366" s="109"/>
      <c r="D366" s="109"/>
      <c r="E366" s="109"/>
      <c r="F366" s="109"/>
      <c r="G366" s="109"/>
      <c r="H366" s="109"/>
      <c r="I366" s="109"/>
      <c r="J366" s="109"/>
      <c r="K366" s="317"/>
      <c r="L366" s="109"/>
      <c r="M366" s="109"/>
      <c r="N366" s="109"/>
      <c r="O366" s="109"/>
      <c r="P366" s="109"/>
      <c r="Q366" s="109"/>
      <c r="R366" s="109"/>
      <c r="S366" s="109"/>
      <c r="T366" s="109"/>
      <c r="U366" s="109"/>
      <c r="V366" s="109"/>
      <c r="W366" s="109"/>
      <c r="X366" s="109"/>
      <c r="Y366" s="109"/>
      <c r="Z366" s="109"/>
    </row>
    <row r="367" ht="39.75" customHeight="1">
      <c r="A367" s="109"/>
      <c r="B367" s="109"/>
      <c r="C367" s="109"/>
      <c r="D367" s="109"/>
      <c r="E367" s="109"/>
      <c r="F367" s="109"/>
      <c r="G367" s="109"/>
      <c r="H367" s="109"/>
      <c r="I367" s="109"/>
      <c r="J367" s="109"/>
      <c r="K367" s="317"/>
      <c r="L367" s="109"/>
      <c r="M367" s="109"/>
      <c r="N367" s="109"/>
      <c r="O367" s="109"/>
      <c r="P367" s="109"/>
      <c r="Q367" s="109"/>
      <c r="R367" s="109"/>
      <c r="S367" s="109"/>
      <c r="T367" s="109"/>
      <c r="U367" s="109"/>
      <c r="V367" s="109"/>
      <c r="W367" s="109"/>
      <c r="X367" s="109"/>
      <c r="Y367" s="109"/>
      <c r="Z367" s="109"/>
    </row>
    <row r="368" ht="39.75" customHeight="1">
      <c r="A368" s="109"/>
      <c r="B368" s="109"/>
      <c r="C368" s="109"/>
      <c r="D368" s="109"/>
      <c r="E368" s="109"/>
      <c r="F368" s="109"/>
      <c r="G368" s="109"/>
      <c r="H368" s="109"/>
      <c r="I368" s="109"/>
      <c r="J368" s="109"/>
      <c r="K368" s="317"/>
      <c r="L368" s="109"/>
      <c r="M368" s="109"/>
      <c r="N368" s="109"/>
      <c r="O368" s="109"/>
      <c r="P368" s="109"/>
      <c r="Q368" s="109"/>
      <c r="R368" s="109"/>
      <c r="S368" s="109"/>
      <c r="T368" s="109"/>
      <c r="U368" s="109"/>
      <c r="V368" s="109"/>
      <c r="W368" s="109"/>
      <c r="X368" s="109"/>
      <c r="Y368" s="109"/>
      <c r="Z368" s="109"/>
    </row>
    <row r="369" ht="39.75" customHeight="1">
      <c r="A369" s="109"/>
      <c r="B369" s="109"/>
      <c r="C369" s="109"/>
      <c r="D369" s="109"/>
      <c r="E369" s="109"/>
      <c r="F369" s="109"/>
      <c r="G369" s="109"/>
      <c r="H369" s="109"/>
      <c r="I369" s="109"/>
      <c r="J369" s="109"/>
      <c r="K369" s="317"/>
      <c r="L369" s="109"/>
      <c r="M369" s="109"/>
      <c r="N369" s="109"/>
      <c r="O369" s="109"/>
      <c r="P369" s="109"/>
      <c r="Q369" s="109"/>
      <c r="R369" s="109"/>
      <c r="S369" s="109"/>
      <c r="T369" s="109"/>
      <c r="U369" s="109"/>
      <c r="V369" s="109"/>
      <c r="W369" s="109"/>
      <c r="X369" s="109"/>
      <c r="Y369" s="109"/>
      <c r="Z369" s="109"/>
    </row>
    <row r="370" ht="39.75" customHeight="1">
      <c r="A370" s="109"/>
      <c r="B370" s="109"/>
      <c r="C370" s="109"/>
      <c r="D370" s="109"/>
      <c r="E370" s="109"/>
      <c r="F370" s="109"/>
      <c r="G370" s="109"/>
      <c r="H370" s="109"/>
      <c r="I370" s="109"/>
      <c r="J370" s="109"/>
      <c r="K370" s="317"/>
      <c r="L370" s="109"/>
      <c r="M370" s="109"/>
      <c r="N370" s="109"/>
      <c r="O370" s="109"/>
      <c r="P370" s="109"/>
      <c r="Q370" s="109"/>
      <c r="R370" s="109"/>
      <c r="S370" s="109"/>
      <c r="T370" s="109"/>
      <c r="U370" s="109"/>
      <c r="V370" s="109"/>
      <c r="W370" s="109"/>
      <c r="X370" s="109"/>
      <c r="Y370" s="109"/>
      <c r="Z370" s="109"/>
    </row>
    <row r="371" ht="39.75" customHeight="1">
      <c r="A371" s="109"/>
      <c r="B371" s="109"/>
      <c r="C371" s="109"/>
      <c r="D371" s="109"/>
      <c r="E371" s="109"/>
      <c r="F371" s="109"/>
      <c r="G371" s="109"/>
      <c r="H371" s="109"/>
      <c r="I371" s="109"/>
      <c r="J371" s="109"/>
      <c r="K371" s="317"/>
      <c r="L371" s="109"/>
      <c r="M371" s="109"/>
      <c r="N371" s="109"/>
      <c r="O371" s="109"/>
      <c r="P371" s="109"/>
      <c r="Q371" s="109"/>
      <c r="R371" s="109"/>
      <c r="S371" s="109"/>
      <c r="T371" s="109"/>
      <c r="U371" s="109"/>
      <c r="V371" s="109"/>
      <c r="W371" s="109"/>
      <c r="X371" s="109"/>
      <c r="Y371" s="109"/>
      <c r="Z371" s="109"/>
    </row>
    <row r="372" ht="39.75" customHeight="1">
      <c r="A372" s="109"/>
      <c r="B372" s="109"/>
      <c r="C372" s="109"/>
      <c r="D372" s="109"/>
      <c r="E372" s="109"/>
      <c r="F372" s="109"/>
      <c r="G372" s="109"/>
      <c r="H372" s="109"/>
      <c r="I372" s="109"/>
      <c r="J372" s="109"/>
      <c r="K372" s="317"/>
      <c r="L372" s="109"/>
      <c r="M372" s="109"/>
      <c r="N372" s="109"/>
      <c r="O372" s="109"/>
      <c r="P372" s="109"/>
      <c r="Q372" s="109"/>
      <c r="R372" s="109"/>
      <c r="S372" s="109"/>
      <c r="T372" s="109"/>
      <c r="U372" s="109"/>
      <c r="V372" s="109"/>
      <c r="W372" s="109"/>
      <c r="X372" s="109"/>
      <c r="Y372" s="109"/>
      <c r="Z372" s="109"/>
    </row>
    <row r="373" ht="39.75" customHeight="1">
      <c r="A373" s="109"/>
      <c r="B373" s="109"/>
      <c r="C373" s="109"/>
      <c r="D373" s="109"/>
      <c r="E373" s="109"/>
      <c r="F373" s="109"/>
      <c r="G373" s="109"/>
      <c r="H373" s="109"/>
      <c r="I373" s="109"/>
      <c r="J373" s="109"/>
      <c r="K373" s="317"/>
      <c r="L373" s="109"/>
      <c r="M373" s="109"/>
      <c r="N373" s="109"/>
      <c r="O373" s="109"/>
      <c r="P373" s="109"/>
      <c r="Q373" s="109"/>
      <c r="R373" s="109"/>
      <c r="S373" s="109"/>
      <c r="T373" s="109"/>
      <c r="U373" s="109"/>
      <c r="V373" s="109"/>
      <c r="W373" s="109"/>
      <c r="X373" s="109"/>
      <c r="Y373" s="109"/>
      <c r="Z373" s="109"/>
    </row>
    <row r="374" ht="39.75" customHeight="1">
      <c r="A374" s="109"/>
      <c r="B374" s="109"/>
      <c r="C374" s="109"/>
      <c r="D374" s="109"/>
      <c r="E374" s="109"/>
      <c r="F374" s="109"/>
      <c r="G374" s="109"/>
      <c r="H374" s="109"/>
      <c r="I374" s="109"/>
      <c r="J374" s="109"/>
      <c r="K374" s="317"/>
      <c r="L374" s="109"/>
      <c r="M374" s="109"/>
      <c r="N374" s="109"/>
      <c r="O374" s="109"/>
      <c r="P374" s="109"/>
      <c r="Q374" s="109"/>
      <c r="R374" s="109"/>
      <c r="S374" s="109"/>
      <c r="T374" s="109"/>
      <c r="U374" s="109"/>
      <c r="V374" s="109"/>
      <c r="W374" s="109"/>
      <c r="X374" s="109"/>
      <c r="Y374" s="109"/>
      <c r="Z374" s="109"/>
    </row>
    <row r="375" ht="39.75" customHeight="1">
      <c r="A375" s="109"/>
      <c r="B375" s="109"/>
      <c r="C375" s="109"/>
      <c r="D375" s="109"/>
      <c r="E375" s="109"/>
      <c r="F375" s="109"/>
      <c r="G375" s="109"/>
      <c r="H375" s="109"/>
      <c r="I375" s="109"/>
      <c r="J375" s="109"/>
      <c r="K375" s="317"/>
      <c r="L375" s="109"/>
      <c r="M375" s="109"/>
      <c r="N375" s="109"/>
      <c r="O375" s="109"/>
      <c r="P375" s="109"/>
      <c r="Q375" s="109"/>
      <c r="R375" s="109"/>
      <c r="S375" s="109"/>
      <c r="T375" s="109"/>
      <c r="U375" s="109"/>
      <c r="V375" s="109"/>
      <c r="W375" s="109"/>
      <c r="X375" s="109"/>
      <c r="Y375" s="109"/>
      <c r="Z375" s="109"/>
    </row>
    <row r="376" ht="39.75" customHeight="1">
      <c r="A376" s="109"/>
      <c r="B376" s="109"/>
      <c r="C376" s="109"/>
      <c r="D376" s="109"/>
      <c r="E376" s="109"/>
      <c r="F376" s="109"/>
      <c r="G376" s="109"/>
      <c r="H376" s="109"/>
      <c r="I376" s="109"/>
      <c r="J376" s="109"/>
      <c r="K376" s="317"/>
      <c r="L376" s="109"/>
      <c r="M376" s="109"/>
      <c r="N376" s="109"/>
      <c r="O376" s="109"/>
      <c r="P376" s="109"/>
      <c r="Q376" s="109"/>
      <c r="R376" s="109"/>
      <c r="S376" s="109"/>
      <c r="T376" s="109"/>
      <c r="U376" s="109"/>
      <c r="V376" s="109"/>
      <c r="W376" s="109"/>
      <c r="X376" s="109"/>
      <c r="Y376" s="109"/>
      <c r="Z376" s="109"/>
    </row>
    <row r="377" ht="39.75" customHeight="1">
      <c r="A377" s="109"/>
      <c r="B377" s="109"/>
      <c r="C377" s="109"/>
      <c r="D377" s="109"/>
      <c r="E377" s="109"/>
      <c r="F377" s="109"/>
      <c r="G377" s="109"/>
      <c r="H377" s="109"/>
      <c r="I377" s="109"/>
      <c r="J377" s="109"/>
      <c r="K377" s="317"/>
      <c r="L377" s="109"/>
      <c r="M377" s="109"/>
      <c r="N377" s="109"/>
      <c r="O377" s="109"/>
      <c r="P377" s="109"/>
      <c r="Q377" s="109"/>
      <c r="R377" s="109"/>
      <c r="S377" s="109"/>
      <c r="T377" s="109"/>
      <c r="U377" s="109"/>
      <c r="V377" s="109"/>
      <c r="W377" s="109"/>
      <c r="X377" s="109"/>
      <c r="Y377" s="109"/>
      <c r="Z377" s="109"/>
    </row>
    <row r="378" ht="39.75" customHeight="1">
      <c r="A378" s="109"/>
      <c r="B378" s="109"/>
      <c r="C378" s="109"/>
      <c r="D378" s="109"/>
      <c r="E378" s="109"/>
      <c r="F378" s="109"/>
      <c r="G378" s="109"/>
      <c r="H378" s="109"/>
      <c r="I378" s="109"/>
      <c r="J378" s="109"/>
      <c r="K378" s="317"/>
      <c r="L378" s="109"/>
      <c r="M378" s="109"/>
      <c r="N378" s="109"/>
      <c r="O378" s="109"/>
      <c r="P378" s="109"/>
      <c r="Q378" s="109"/>
      <c r="R378" s="109"/>
      <c r="S378" s="109"/>
      <c r="T378" s="109"/>
      <c r="U378" s="109"/>
      <c r="V378" s="109"/>
      <c r="W378" s="109"/>
      <c r="X378" s="109"/>
      <c r="Y378" s="109"/>
      <c r="Z378" s="109"/>
    </row>
    <row r="379" ht="39.75" customHeight="1">
      <c r="A379" s="109"/>
      <c r="B379" s="109"/>
      <c r="C379" s="109"/>
      <c r="D379" s="109"/>
      <c r="E379" s="109"/>
      <c r="F379" s="109"/>
      <c r="G379" s="109"/>
      <c r="H379" s="109"/>
      <c r="I379" s="109"/>
      <c r="J379" s="109"/>
      <c r="K379" s="317"/>
      <c r="L379" s="109"/>
      <c r="M379" s="109"/>
      <c r="N379" s="109"/>
      <c r="O379" s="109"/>
      <c r="P379" s="109"/>
      <c r="Q379" s="109"/>
      <c r="R379" s="109"/>
      <c r="S379" s="109"/>
      <c r="T379" s="109"/>
      <c r="U379" s="109"/>
      <c r="V379" s="109"/>
      <c r="W379" s="109"/>
      <c r="X379" s="109"/>
      <c r="Y379" s="109"/>
      <c r="Z379" s="109"/>
    </row>
    <row r="380" ht="39.75" customHeight="1">
      <c r="A380" s="109"/>
      <c r="B380" s="109"/>
      <c r="C380" s="109"/>
      <c r="D380" s="109"/>
      <c r="E380" s="109"/>
      <c r="F380" s="109"/>
      <c r="G380" s="109"/>
      <c r="H380" s="109"/>
      <c r="I380" s="109"/>
      <c r="J380" s="109"/>
      <c r="K380" s="317"/>
      <c r="L380" s="109"/>
      <c r="M380" s="109"/>
      <c r="N380" s="109"/>
      <c r="O380" s="109"/>
      <c r="P380" s="109"/>
      <c r="Q380" s="109"/>
      <c r="R380" s="109"/>
      <c r="S380" s="109"/>
      <c r="T380" s="109"/>
      <c r="U380" s="109"/>
      <c r="V380" s="109"/>
      <c r="W380" s="109"/>
      <c r="X380" s="109"/>
      <c r="Y380" s="109"/>
      <c r="Z380" s="109"/>
    </row>
    <row r="381" ht="39.75" customHeight="1">
      <c r="A381" s="109"/>
      <c r="B381" s="109"/>
      <c r="C381" s="109"/>
      <c r="D381" s="109"/>
      <c r="E381" s="109"/>
      <c r="F381" s="109"/>
      <c r="G381" s="109"/>
      <c r="H381" s="109"/>
      <c r="I381" s="109"/>
      <c r="J381" s="109"/>
      <c r="K381" s="317"/>
      <c r="L381" s="109"/>
      <c r="M381" s="109"/>
      <c r="N381" s="109"/>
      <c r="O381" s="109"/>
      <c r="P381" s="109"/>
      <c r="Q381" s="109"/>
      <c r="R381" s="109"/>
      <c r="S381" s="109"/>
      <c r="T381" s="109"/>
      <c r="U381" s="109"/>
      <c r="V381" s="109"/>
      <c r="W381" s="109"/>
      <c r="X381" s="109"/>
      <c r="Y381" s="109"/>
      <c r="Z381" s="109"/>
    </row>
    <row r="382" ht="39.75" customHeight="1">
      <c r="A382" s="109"/>
      <c r="B382" s="109"/>
      <c r="C382" s="109"/>
      <c r="D382" s="109"/>
      <c r="E382" s="109"/>
      <c r="F382" s="109"/>
      <c r="G382" s="109"/>
      <c r="H382" s="109"/>
      <c r="I382" s="109"/>
      <c r="J382" s="109"/>
      <c r="K382" s="317"/>
      <c r="L382" s="109"/>
      <c r="M382" s="109"/>
      <c r="N382" s="109"/>
      <c r="O382" s="109"/>
      <c r="P382" s="109"/>
      <c r="Q382" s="109"/>
      <c r="R382" s="109"/>
      <c r="S382" s="109"/>
      <c r="T382" s="109"/>
      <c r="U382" s="109"/>
      <c r="V382" s="109"/>
      <c r="W382" s="109"/>
      <c r="X382" s="109"/>
      <c r="Y382" s="109"/>
      <c r="Z382" s="109"/>
    </row>
    <row r="383" ht="39.75" customHeight="1">
      <c r="A383" s="109"/>
      <c r="B383" s="109"/>
      <c r="C383" s="109"/>
      <c r="D383" s="109"/>
      <c r="E383" s="109"/>
      <c r="F383" s="109"/>
      <c r="G383" s="109"/>
      <c r="H383" s="109"/>
      <c r="I383" s="109"/>
      <c r="J383" s="109"/>
      <c r="K383" s="317"/>
      <c r="L383" s="109"/>
      <c r="M383" s="109"/>
      <c r="N383" s="109"/>
      <c r="O383" s="109"/>
      <c r="P383" s="109"/>
      <c r="Q383" s="109"/>
      <c r="R383" s="109"/>
      <c r="S383" s="109"/>
      <c r="T383" s="109"/>
      <c r="U383" s="109"/>
      <c r="V383" s="109"/>
      <c r="W383" s="109"/>
      <c r="X383" s="109"/>
      <c r="Y383" s="109"/>
      <c r="Z383" s="109"/>
    </row>
    <row r="384" ht="39.75" customHeight="1">
      <c r="A384" s="109"/>
      <c r="B384" s="109"/>
      <c r="C384" s="109"/>
      <c r="D384" s="109"/>
      <c r="E384" s="109"/>
      <c r="F384" s="109"/>
      <c r="G384" s="109"/>
      <c r="H384" s="109"/>
      <c r="I384" s="109"/>
      <c r="J384" s="109"/>
      <c r="K384" s="317"/>
      <c r="L384" s="109"/>
      <c r="M384" s="109"/>
      <c r="N384" s="109"/>
      <c r="O384" s="109"/>
      <c r="P384" s="109"/>
      <c r="Q384" s="109"/>
      <c r="R384" s="109"/>
      <c r="S384" s="109"/>
      <c r="T384" s="109"/>
      <c r="U384" s="109"/>
      <c r="V384" s="109"/>
      <c r="W384" s="109"/>
      <c r="X384" s="109"/>
      <c r="Y384" s="109"/>
      <c r="Z384" s="109"/>
    </row>
    <row r="385" ht="39.75" customHeight="1">
      <c r="A385" s="109"/>
      <c r="B385" s="109"/>
      <c r="C385" s="109"/>
      <c r="D385" s="109"/>
      <c r="E385" s="109"/>
      <c r="F385" s="109"/>
      <c r="G385" s="109"/>
      <c r="H385" s="109"/>
      <c r="I385" s="109"/>
      <c r="J385" s="109"/>
      <c r="K385" s="317"/>
      <c r="L385" s="109"/>
      <c r="M385" s="109"/>
      <c r="N385" s="109"/>
      <c r="O385" s="109"/>
      <c r="P385" s="109"/>
      <c r="Q385" s="109"/>
      <c r="R385" s="109"/>
      <c r="S385" s="109"/>
      <c r="T385" s="109"/>
      <c r="U385" s="109"/>
      <c r="V385" s="109"/>
      <c r="W385" s="109"/>
      <c r="X385" s="109"/>
      <c r="Y385" s="109"/>
      <c r="Z385" s="109"/>
    </row>
    <row r="386" ht="39.75" customHeight="1">
      <c r="A386" s="109"/>
      <c r="B386" s="109"/>
      <c r="C386" s="109"/>
      <c r="D386" s="109"/>
      <c r="E386" s="109"/>
      <c r="F386" s="109"/>
      <c r="G386" s="109"/>
      <c r="H386" s="109"/>
      <c r="I386" s="109"/>
      <c r="J386" s="109"/>
      <c r="K386" s="317"/>
      <c r="L386" s="109"/>
      <c r="M386" s="109"/>
      <c r="N386" s="109"/>
      <c r="O386" s="109"/>
      <c r="P386" s="109"/>
      <c r="Q386" s="109"/>
      <c r="R386" s="109"/>
      <c r="S386" s="109"/>
      <c r="T386" s="109"/>
      <c r="U386" s="109"/>
      <c r="V386" s="109"/>
      <c r="W386" s="109"/>
      <c r="X386" s="109"/>
      <c r="Y386" s="109"/>
      <c r="Z386" s="109"/>
    </row>
    <row r="387" ht="39.75" customHeight="1">
      <c r="A387" s="109"/>
      <c r="B387" s="109"/>
      <c r="C387" s="109"/>
      <c r="D387" s="109"/>
      <c r="E387" s="109"/>
      <c r="F387" s="109"/>
      <c r="G387" s="109"/>
      <c r="H387" s="109"/>
      <c r="I387" s="109"/>
      <c r="J387" s="109"/>
      <c r="K387" s="317"/>
      <c r="L387" s="109"/>
      <c r="M387" s="109"/>
      <c r="N387" s="109"/>
      <c r="O387" s="109"/>
      <c r="P387" s="109"/>
      <c r="Q387" s="109"/>
      <c r="R387" s="109"/>
      <c r="S387" s="109"/>
      <c r="T387" s="109"/>
      <c r="U387" s="109"/>
      <c r="V387" s="109"/>
      <c r="W387" s="109"/>
      <c r="X387" s="109"/>
      <c r="Y387" s="109"/>
      <c r="Z387" s="109"/>
    </row>
    <row r="388" ht="39.75" customHeight="1">
      <c r="A388" s="109"/>
      <c r="B388" s="109"/>
      <c r="C388" s="109"/>
      <c r="D388" s="109"/>
      <c r="E388" s="109"/>
      <c r="F388" s="109"/>
      <c r="G388" s="109"/>
      <c r="H388" s="109"/>
      <c r="I388" s="109"/>
      <c r="J388" s="109"/>
      <c r="K388" s="317"/>
      <c r="L388" s="109"/>
      <c r="M388" s="109"/>
      <c r="N388" s="109"/>
      <c r="O388" s="109"/>
      <c r="P388" s="109"/>
      <c r="Q388" s="109"/>
      <c r="R388" s="109"/>
      <c r="S388" s="109"/>
      <c r="T388" s="109"/>
      <c r="U388" s="109"/>
      <c r="V388" s="109"/>
      <c r="W388" s="109"/>
      <c r="X388" s="109"/>
      <c r="Y388" s="109"/>
      <c r="Z388" s="109"/>
    </row>
    <row r="389" ht="39.75" customHeight="1">
      <c r="A389" s="109"/>
      <c r="B389" s="109"/>
      <c r="C389" s="109"/>
      <c r="D389" s="109"/>
      <c r="E389" s="109"/>
      <c r="F389" s="109"/>
      <c r="G389" s="109"/>
      <c r="H389" s="109"/>
      <c r="I389" s="109"/>
      <c r="J389" s="109"/>
      <c r="K389" s="317"/>
      <c r="L389" s="109"/>
      <c r="M389" s="109"/>
      <c r="N389" s="109"/>
      <c r="O389" s="109"/>
      <c r="P389" s="109"/>
      <c r="Q389" s="109"/>
      <c r="R389" s="109"/>
      <c r="S389" s="109"/>
      <c r="T389" s="109"/>
      <c r="U389" s="109"/>
      <c r="V389" s="109"/>
      <c r="W389" s="109"/>
      <c r="X389" s="109"/>
      <c r="Y389" s="109"/>
      <c r="Z389" s="109"/>
    </row>
    <row r="390" ht="39.75" customHeight="1">
      <c r="A390" s="109"/>
      <c r="B390" s="109"/>
      <c r="C390" s="109"/>
      <c r="D390" s="109"/>
      <c r="E390" s="109"/>
      <c r="F390" s="109"/>
      <c r="G390" s="109"/>
      <c r="H390" s="109"/>
      <c r="I390" s="109"/>
      <c r="J390" s="109"/>
      <c r="K390" s="317"/>
      <c r="L390" s="109"/>
      <c r="M390" s="109"/>
      <c r="N390" s="109"/>
      <c r="O390" s="109"/>
      <c r="P390" s="109"/>
      <c r="Q390" s="109"/>
      <c r="R390" s="109"/>
      <c r="S390" s="109"/>
      <c r="T390" s="109"/>
      <c r="U390" s="109"/>
      <c r="V390" s="109"/>
      <c r="W390" s="109"/>
      <c r="X390" s="109"/>
      <c r="Y390" s="109"/>
      <c r="Z390" s="109"/>
    </row>
    <row r="391" ht="39.75" customHeight="1">
      <c r="A391" s="109"/>
      <c r="B391" s="109"/>
      <c r="C391" s="109"/>
      <c r="D391" s="109"/>
      <c r="E391" s="109"/>
      <c r="F391" s="109"/>
      <c r="G391" s="109"/>
      <c r="H391" s="109"/>
      <c r="I391" s="109"/>
      <c r="J391" s="109"/>
      <c r="K391" s="317"/>
      <c r="L391" s="109"/>
      <c r="M391" s="109"/>
      <c r="N391" s="109"/>
      <c r="O391" s="109"/>
      <c r="P391" s="109"/>
      <c r="Q391" s="109"/>
      <c r="R391" s="109"/>
      <c r="S391" s="109"/>
      <c r="T391" s="109"/>
      <c r="U391" s="109"/>
      <c r="V391" s="109"/>
      <c r="W391" s="109"/>
      <c r="X391" s="109"/>
      <c r="Y391" s="109"/>
      <c r="Z391" s="109"/>
    </row>
    <row r="392" ht="39.75" customHeight="1">
      <c r="A392" s="109"/>
      <c r="B392" s="109"/>
      <c r="C392" s="109"/>
      <c r="D392" s="109"/>
      <c r="E392" s="109"/>
      <c r="F392" s="109"/>
      <c r="G392" s="109"/>
      <c r="H392" s="109"/>
      <c r="I392" s="109"/>
      <c r="J392" s="109"/>
      <c r="K392" s="317"/>
      <c r="L392" s="109"/>
      <c r="M392" s="109"/>
      <c r="N392" s="109"/>
      <c r="O392" s="109"/>
      <c r="P392" s="109"/>
      <c r="Q392" s="109"/>
      <c r="R392" s="109"/>
      <c r="S392" s="109"/>
      <c r="T392" s="109"/>
      <c r="U392" s="109"/>
      <c r="V392" s="109"/>
      <c r="W392" s="109"/>
      <c r="X392" s="109"/>
      <c r="Y392" s="109"/>
      <c r="Z392" s="109"/>
    </row>
    <row r="393" ht="39.75" customHeight="1">
      <c r="A393" s="109"/>
      <c r="B393" s="109"/>
      <c r="C393" s="109"/>
      <c r="D393" s="109"/>
      <c r="E393" s="109"/>
      <c r="F393" s="109"/>
      <c r="G393" s="109"/>
      <c r="H393" s="109"/>
      <c r="I393" s="109"/>
      <c r="J393" s="109"/>
      <c r="K393" s="317"/>
      <c r="L393" s="109"/>
      <c r="M393" s="109"/>
      <c r="N393" s="109"/>
      <c r="O393" s="109"/>
      <c r="P393" s="109"/>
      <c r="Q393" s="109"/>
      <c r="R393" s="109"/>
      <c r="S393" s="109"/>
      <c r="T393" s="109"/>
      <c r="U393" s="109"/>
      <c r="V393" s="109"/>
      <c r="W393" s="109"/>
      <c r="X393" s="109"/>
      <c r="Y393" s="109"/>
      <c r="Z393" s="109"/>
    </row>
    <row r="394" ht="39.75" customHeight="1">
      <c r="A394" s="109"/>
      <c r="B394" s="109"/>
      <c r="C394" s="109"/>
      <c r="D394" s="109"/>
      <c r="E394" s="109"/>
      <c r="F394" s="109"/>
      <c r="G394" s="109"/>
      <c r="H394" s="109"/>
      <c r="I394" s="109"/>
      <c r="J394" s="109"/>
      <c r="K394" s="317"/>
      <c r="L394" s="109"/>
      <c r="M394" s="109"/>
      <c r="N394" s="109"/>
      <c r="O394" s="109"/>
      <c r="P394" s="109"/>
      <c r="Q394" s="109"/>
      <c r="R394" s="109"/>
      <c r="S394" s="109"/>
      <c r="T394" s="109"/>
      <c r="U394" s="109"/>
      <c r="V394" s="109"/>
      <c r="W394" s="109"/>
      <c r="X394" s="109"/>
      <c r="Y394" s="109"/>
      <c r="Z394" s="109"/>
    </row>
    <row r="395" ht="39.75" customHeight="1">
      <c r="A395" s="109"/>
      <c r="B395" s="109"/>
      <c r="C395" s="109"/>
      <c r="D395" s="109"/>
      <c r="E395" s="109"/>
      <c r="F395" s="109"/>
      <c r="G395" s="109"/>
      <c r="H395" s="109"/>
      <c r="I395" s="109"/>
      <c r="J395" s="109"/>
      <c r="K395" s="317"/>
      <c r="L395" s="109"/>
      <c r="M395" s="109"/>
      <c r="N395" s="109"/>
      <c r="O395" s="109"/>
      <c r="P395" s="109"/>
      <c r="Q395" s="109"/>
      <c r="R395" s="109"/>
      <c r="S395" s="109"/>
      <c r="T395" s="109"/>
      <c r="U395" s="109"/>
      <c r="V395" s="109"/>
      <c r="W395" s="109"/>
      <c r="X395" s="109"/>
      <c r="Y395" s="109"/>
      <c r="Z395" s="109"/>
    </row>
    <row r="396" ht="39.75" customHeight="1">
      <c r="A396" s="109"/>
      <c r="B396" s="109"/>
      <c r="C396" s="109"/>
      <c r="D396" s="109"/>
      <c r="E396" s="109"/>
      <c r="F396" s="109"/>
      <c r="G396" s="109"/>
      <c r="H396" s="109"/>
      <c r="I396" s="109"/>
      <c r="J396" s="109"/>
      <c r="K396" s="317"/>
      <c r="L396" s="109"/>
      <c r="M396" s="109"/>
      <c r="N396" s="109"/>
      <c r="O396" s="109"/>
      <c r="P396" s="109"/>
      <c r="Q396" s="109"/>
      <c r="R396" s="109"/>
      <c r="S396" s="109"/>
      <c r="T396" s="109"/>
      <c r="U396" s="109"/>
      <c r="V396" s="109"/>
      <c r="W396" s="109"/>
      <c r="X396" s="109"/>
      <c r="Y396" s="109"/>
      <c r="Z396" s="109"/>
    </row>
    <row r="397" ht="39.75" customHeight="1">
      <c r="A397" s="109"/>
      <c r="B397" s="109"/>
      <c r="C397" s="109"/>
      <c r="D397" s="109"/>
      <c r="E397" s="109"/>
      <c r="F397" s="109"/>
      <c r="G397" s="109"/>
      <c r="H397" s="109"/>
      <c r="I397" s="109"/>
      <c r="J397" s="109"/>
      <c r="K397" s="317"/>
      <c r="L397" s="109"/>
      <c r="M397" s="109"/>
      <c r="N397" s="109"/>
      <c r="O397" s="109"/>
      <c r="P397" s="109"/>
      <c r="Q397" s="109"/>
      <c r="R397" s="109"/>
      <c r="S397" s="109"/>
      <c r="T397" s="109"/>
      <c r="U397" s="109"/>
      <c r="V397" s="109"/>
      <c r="W397" s="109"/>
      <c r="X397" s="109"/>
      <c r="Y397" s="109"/>
      <c r="Z397" s="109"/>
    </row>
    <row r="398" ht="39.75" customHeight="1">
      <c r="A398" s="109"/>
      <c r="B398" s="109"/>
      <c r="C398" s="109"/>
      <c r="D398" s="109"/>
      <c r="E398" s="109"/>
      <c r="F398" s="109"/>
      <c r="G398" s="109"/>
      <c r="H398" s="109"/>
      <c r="I398" s="109"/>
      <c r="J398" s="109"/>
      <c r="K398" s="317"/>
      <c r="L398" s="109"/>
      <c r="M398" s="109"/>
      <c r="N398" s="109"/>
      <c r="O398" s="109"/>
      <c r="P398" s="109"/>
      <c r="Q398" s="109"/>
      <c r="R398" s="109"/>
      <c r="S398" s="109"/>
      <c r="T398" s="109"/>
      <c r="U398" s="109"/>
      <c r="V398" s="109"/>
      <c r="W398" s="109"/>
      <c r="X398" s="109"/>
      <c r="Y398" s="109"/>
      <c r="Z398" s="109"/>
    </row>
    <row r="399" ht="39.75" customHeight="1">
      <c r="A399" s="109"/>
      <c r="B399" s="109"/>
      <c r="C399" s="109"/>
      <c r="D399" s="109"/>
      <c r="E399" s="109"/>
      <c r="F399" s="109"/>
      <c r="G399" s="109"/>
      <c r="H399" s="109"/>
      <c r="I399" s="109"/>
      <c r="J399" s="109"/>
      <c r="K399" s="317"/>
      <c r="L399" s="109"/>
      <c r="M399" s="109"/>
      <c r="N399" s="109"/>
      <c r="O399" s="109"/>
      <c r="P399" s="109"/>
      <c r="Q399" s="109"/>
      <c r="R399" s="109"/>
      <c r="S399" s="109"/>
      <c r="T399" s="109"/>
      <c r="U399" s="109"/>
      <c r="V399" s="109"/>
      <c r="W399" s="109"/>
      <c r="X399" s="109"/>
      <c r="Y399" s="109"/>
      <c r="Z399" s="109"/>
    </row>
    <row r="400" ht="39.75" customHeight="1">
      <c r="A400" s="109"/>
      <c r="B400" s="109"/>
      <c r="C400" s="109"/>
      <c r="D400" s="109"/>
      <c r="E400" s="109"/>
      <c r="F400" s="109"/>
      <c r="G400" s="109"/>
      <c r="H400" s="109"/>
      <c r="I400" s="109"/>
      <c r="J400" s="109"/>
      <c r="K400" s="317"/>
      <c r="L400" s="109"/>
      <c r="M400" s="109"/>
      <c r="N400" s="109"/>
      <c r="O400" s="109"/>
      <c r="P400" s="109"/>
      <c r="Q400" s="109"/>
      <c r="R400" s="109"/>
      <c r="S400" s="109"/>
      <c r="T400" s="109"/>
      <c r="U400" s="109"/>
      <c r="V400" s="109"/>
      <c r="W400" s="109"/>
      <c r="X400" s="109"/>
      <c r="Y400" s="109"/>
      <c r="Z400" s="109"/>
    </row>
    <row r="401" ht="39.75" customHeight="1">
      <c r="A401" s="109"/>
      <c r="B401" s="109"/>
      <c r="C401" s="109"/>
      <c r="D401" s="109"/>
      <c r="E401" s="109"/>
      <c r="F401" s="109"/>
      <c r="G401" s="109"/>
      <c r="H401" s="109"/>
      <c r="I401" s="109"/>
      <c r="J401" s="109"/>
      <c r="K401" s="317"/>
      <c r="L401" s="109"/>
      <c r="M401" s="109"/>
      <c r="N401" s="109"/>
      <c r="O401" s="109"/>
      <c r="P401" s="109"/>
      <c r="Q401" s="109"/>
      <c r="R401" s="109"/>
      <c r="S401" s="109"/>
      <c r="T401" s="109"/>
      <c r="U401" s="109"/>
      <c r="V401" s="109"/>
      <c r="W401" s="109"/>
      <c r="X401" s="109"/>
      <c r="Y401" s="109"/>
      <c r="Z401" s="109"/>
    </row>
    <row r="402" ht="39.75" customHeight="1">
      <c r="A402" s="109"/>
      <c r="B402" s="109"/>
      <c r="C402" s="109"/>
      <c r="D402" s="109"/>
      <c r="E402" s="109"/>
      <c r="F402" s="109"/>
      <c r="G402" s="109"/>
      <c r="H402" s="109"/>
      <c r="I402" s="109"/>
      <c r="J402" s="109"/>
      <c r="K402" s="317"/>
      <c r="L402" s="109"/>
      <c r="M402" s="109"/>
      <c r="N402" s="109"/>
      <c r="O402" s="109"/>
      <c r="P402" s="109"/>
      <c r="Q402" s="109"/>
      <c r="R402" s="109"/>
      <c r="S402" s="109"/>
      <c r="T402" s="109"/>
      <c r="U402" s="109"/>
      <c r="V402" s="109"/>
      <c r="W402" s="109"/>
      <c r="X402" s="109"/>
      <c r="Y402" s="109"/>
      <c r="Z402" s="109"/>
    </row>
    <row r="403" ht="39.75" customHeight="1">
      <c r="A403" s="109"/>
      <c r="B403" s="109"/>
      <c r="C403" s="109"/>
      <c r="D403" s="109"/>
      <c r="E403" s="109"/>
      <c r="F403" s="109"/>
      <c r="G403" s="109"/>
      <c r="H403" s="109"/>
      <c r="I403" s="109"/>
      <c r="J403" s="109"/>
      <c r="K403" s="317"/>
      <c r="L403" s="109"/>
      <c r="M403" s="109"/>
      <c r="N403" s="109"/>
      <c r="O403" s="109"/>
      <c r="P403" s="109"/>
      <c r="Q403" s="109"/>
      <c r="R403" s="109"/>
      <c r="S403" s="109"/>
      <c r="T403" s="109"/>
      <c r="U403" s="109"/>
      <c r="V403" s="109"/>
      <c r="W403" s="109"/>
      <c r="X403" s="109"/>
      <c r="Y403" s="109"/>
      <c r="Z403" s="109"/>
    </row>
    <row r="404" ht="39.75" customHeight="1">
      <c r="A404" s="109"/>
      <c r="B404" s="109"/>
      <c r="C404" s="109"/>
      <c r="D404" s="109"/>
      <c r="E404" s="109"/>
      <c r="F404" s="109"/>
      <c r="G404" s="109"/>
      <c r="H404" s="109"/>
      <c r="I404" s="109"/>
      <c r="J404" s="109"/>
      <c r="K404" s="317"/>
      <c r="L404" s="109"/>
      <c r="M404" s="109"/>
      <c r="N404" s="109"/>
      <c r="O404" s="109"/>
      <c r="P404" s="109"/>
      <c r="Q404" s="109"/>
      <c r="R404" s="109"/>
      <c r="S404" s="109"/>
      <c r="T404" s="109"/>
      <c r="U404" s="109"/>
      <c r="V404" s="109"/>
      <c r="W404" s="109"/>
      <c r="X404" s="109"/>
      <c r="Y404" s="109"/>
      <c r="Z404" s="109"/>
    </row>
    <row r="405" ht="39.75" customHeight="1">
      <c r="A405" s="109"/>
      <c r="B405" s="109"/>
      <c r="C405" s="109"/>
      <c r="D405" s="109"/>
      <c r="E405" s="109"/>
      <c r="F405" s="109"/>
      <c r="G405" s="109"/>
      <c r="H405" s="109"/>
      <c r="I405" s="109"/>
      <c r="J405" s="109"/>
      <c r="K405" s="317"/>
      <c r="L405" s="109"/>
      <c r="M405" s="109"/>
      <c r="N405" s="109"/>
      <c r="O405" s="109"/>
      <c r="P405" s="109"/>
      <c r="Q405" s="109"/>
      <c r="R405" s="109"/>
      <c r="S405" s="109"/>
      <c r="T405" s="109"/>
      <c r="U405" s="109"/>
      <c r="V405" s="109"/>
      <c r="W405" s="109"/>
      <c r="X405" s="109"/>
      <c r="Y405" s="109"/>
      <c r="Z405" s="109"/>
    </row>
    <row r="406" ht="39.75" customHeight="1">
      <c r="A406" s="109"/>
      <c r="B406" s="109"/>
      <c r="C406" s="109"/>
      <c r="D406" s="109"/>
      <c r="E406" s="109"/>
      <c r="F406" s="109"/>
      <c r="G406" s="109"/>
      <c r="H406" s="109"/>
      <c r="I406" s="109"/>
      <c r="J406" s="109"/>
      <c r="K406" s="317"/>
      <c r="L406" s="109"/>
      <c r="M406" s="109"/>
      <c r="N406" s="109"/>
      <c r="O406" s="109"/>
      <c r="P406" s="109"/>
      <c r="Q406" s="109"/>
      <c r="R406" s="109"/>
      <c r="S406" s="109"/>
      <c r="T406" s="109"/>
      <c r="U406" s="109"/>
      <c r="V406" s="109"/>
      <c r="W406" s="109"/>
      <c r="X406" s="109"/>
      <c r="Y406" s="109"/>
      <c r="Z406" s="109"/>
    </row>
    <row r="407" ht="39.75" customHeight="1">
      <c r="A407" s="109"/>
      <c r="B407" s="109"/>
      <c r="C407" s="109"/>
      <c r="D407" s="109"/>
      <c r="E407" s="109"/>
      <c r="F407" s="109"/>
      <c r="G407" s="109"/>
      <c r="H407" s="109"/>
      <c r="I407" s="109"/>
      <c r="J407" s="109"/>
      <c r="K407" s="317"/>
      <c r="L407" s="109"/>
      <c r="M407" s="109"/>
      <c r="N407" s="109"/>
      <c r="O407" s="109"/>
      <c r="P407" s="109"/>
      <c r="Q407" s="109"/>
      <c r="R407" s="109"/>
      <c r="S407" s="109"/>
      <c r="T407" s="109"/>
      <c r="U407" s="109"/>
      <c r="V407" s="109"/>
      <c r="W407" s="109"/>
      <c r="X407" s="109"/>
      <c r="Y407" s="109"/>
      <c r="Z407" s="109"/>
    </row>
    <row r="408" ht="39.75" customHeight="1">
      <c r="A408" s="109"/>
      <c r="B408" s="109"/>
      <c r="C408" s="109"/>
      <c r="D408" s="109"/>
      <c r="E408" s="109"/>
      <c r="F408" s="109"/>
      <c r="G408" s="109"/>
      <c r="H408" s="109"/>
      <c r="I408" s="109"/>
      <c r="J408" s="109"/>
      <c r="K408" s="317"/>
      <c r="L408" s="109"/>
      <c r="M408" s="109"/>
      <c r="N408" s="109"/>
      <c r="O408" s="109"/>
      <c r="P408" s="109"/>
      <c r="Q408" s="109"/>
      <c r="R408" s="109"/>
      <c r="S408" s="109"/>
      <c r="T408" s="109"/>
      <c r="U408" s="109"/>
      <c r="V408" s="109"/>
      <c r="W408" s="109"/>
      <c r="X408" s="109"/>
      <c r="Y408" s="109"/>
      <c r="Z408" s="109"/>
    </row>
    <row r="409" ht="39.75" customHeight="1">
      <c r="A409" s="109"/>
      <c r="B409" s="109"/>
      <c r="C409" s="109"/>
      <c r="D409" s="109"/>
      <c r="E409" s="109"/>
      <c r="F409" s="109"/>
      <c r="G409" s="109"/>
      <c r="H409" s="109"/>
      <c r="I409" s="109"/>
      <c r="J409" s="109"/>
      <c r="K409" s="317"/>
      <c r="L409" s="109"/>
      <c r="M409" s="109"/>
      <c r="N409" s="109"/>
      <c r="O409" s="109"/>
      <c r="P409" s="109"/>
      <c r="Q409" s="109"/>
      <c r="R409" s="109"/>
      <c r="S409" s="109"/>
      <c r="T409" s="109"/>
      <c r="U409" s="109"/>
      <c r="V409" s="109"/>
      <c r="W409" s="109"/>
      <c r="X409" s="109"/>
      <c r="Y409" s="109"/>
      <c r="Z409" s="109"/>
    </row>
    <row r="410" ht="39.75" customHeight="1">
      <c r="A410" s="109"/>
      <c r="B410" s="109"/>
      <c r="C410" s="109"/>
      <c r="D410" s="109"/>
      <c r="E410" s="109"/>
      <c r="F410" s="109"/>
      <c r="G410" s="109"/>
      <c r="H410" s="109"/>
      <c r="I410" s="109"/>
      <c r="J410" s="109"/>
      <c r="K410" s="317"/>
      <c r="L410" s="109"/>
      <c r="M410" s="109"/>
      <c r="N410" s="109"/>
      <c r="O410" s="109"/>
      <c r="P410" s="109"/>
      <c r="Q410" s="109"/>
      <c r="R410" s="109"/>
      <c r="S410" s="109"/>
      <c r="T410" s="109"/>
      <c r="U410" s="109"/>
      <c r="V410" s="109"/>
      <c r="W410" s="109"/>
      <c r="X410" s="109"/>
      <c r="Y410" s="109"/>
      <c r="Z410" s="109"/>
    </row>
    <row r="411" ht="39.75" customHeight="1">
      <c r="A411" s="109"/>
      <c r="B411" s="109"/>
      <c r="C411" s="109"/>
      <c r="D411" s="109"/>
      <c r="E411" s="109"/>
      <c r="F411" s="109"/>
      <c r="G411" s="109"/>
      <c r="H411" s="109"/>
      <c r="I411" s="109"/>
      <c r="J411" s="109"/>
      <c r="K411" s="317"/>
      <c r="L411" s="109"/>
      <c r="M411" s="109"/>
      <c r="N411" s="109"/>
      <c r="O411" s="109"/>
      <c r="P411" s="109"/>
      <c r="Q411" s="109"/>
      <c r="R411" s="109"/>
      <c r="S411" s="109"/>
      <c r="T411" s="109"/>
      <c r="U411" s="109"/>
      <c r="V411" s="109"/>
      <c r="W411" s="109"/>
      <c r="X411" s="109"/>
      <c r="Y411" s="109"/>
      <c r="Z411" s="109"/>
    </row>
    <row r="412" ht="39.75" customHeight="1">
      <c r="A412" s="109"/>
      <c r="B412" s="109"/>
      <c r="C412" s="109"/>
      <c r="D412" s="109"/>
      <c r="E412" s="109"/>
      <c r="F412" s="109"/>
      <c r="G412" s="109"/>
      <c r="H412" s="109"/>
      <c r="I412" s="109"/>
      <c r="J412" s="109"/>
      <c r="K412" s="317"/>
      <c r="L412" s="109"/>
      <c r="M412" s="109"/>
      <c r="N412" s="109"/>
      <c r="O412" s="109"/>
      <c r="P412" s="109"/>
      <c r="Q412" s="109"/>
      <c r="R412" s="109"/>
      <c r="S412" s="109"/>
      <c r="T412" s="109"/>
      <c r="U412" s="109"/>
      <c r="V412" s="109"/>
      <c r="W412" s="109"/>
      <c r="X412" s="109"/>
      <c r="Y412" s="109"/>
      <c r="Z412" s="109"/>
    </row>
    <row r="413" ht="39.75" customHeight="1">
      <c r="A413" s="109"/>
      <c r="B413" s="109"/>
      <c r="C413" s="109"/>
      <c r="D413" s="109"/>
      <c r="E413" s="109"/>
      <c r="F413" s="109"/>
      <c r="G413" s="109"/>
      <c r="H413" s="109"/>
      <c r="I413" s="109"/>
      <c r="J413" s="109"/>
      <c r="K413" s="317"/>
      <c r="L413" s="109"/>
      <c r="M413" s="109"/>
      <c r="N413" s="109"/>
      <c r="O413" s="109"/>
      <c r="P413" s="109"/>
      <c r="Q413" s="109"/>
      <c r="R413" s="109"/>
      <c r="S413" s="109"/>
      <c r="T413" s="109"/>
      <c r="U413" s="109"/>
      <c r="V413" s="109"/>
      <c r="W413" s="109"/>
      <c r="X413" s="109"/>
      <c r="Y413" s="109"/>
      <c r="Z413" s="109"/>
    </row>
    <row r="414" ht="39.75" customHeight="1">
      <c r="A414" s="109"/>
      <c r="B414" s="109"/>
      <c r="C414" s="109"/>
      <c r="D414" s="109"/>
      <c r="E414" s="109"/>
      <c r="F414" s="109"/>
      <c r="G414" s="109"/>
      <c r="H414" s="109"/>
      <c r="I414" s="109"/>
      <c r="J414" s="109"/>
      <c r="K414" s="317"/>
      <c r="L414" s="109"/>
      <c r="M414" s="109"/>
      <c r="N414" s="109"/>
      <c r="O414" s="109"/>
      <c r="P414" s="109"/>
      <c r="Q414" s="109"/>
      <c r="R414" s="109"/>
      <c r="S414" s="109"/>
      <c r="T414" s="109"/>
      <c r="U414" s="109"/>
      <c r="V414" s="109"/>
      <c r="W414" s="109"/>
      <c r="X414" s="109"/>
      <c r="Y414" s="109"/>
      <c r="Z414" s="109"/>
    </row>
    <row r="415" ht="39.75" customHeight="1">
      <c r="A415" s="109"/>
      <c r="B415" s="109"/>
      <c r="C415" s="109"/>
      <c r="D415" s="109"/>
      <c r="E415" s="109"/>
      <c r="F415" s="109"/>
      <c r="G415" s="109"/>
      <c r="H415" s="109"/>
      <c r="I415" s="109"/>
      <c r="J415" s="109"/>
      <c r="K415" s="317"/>
      <c r="L415" s="109"/>
      <c r="M415" s="109"/>
      <c r="N415" s="109"/>
      <c r="O415" s="109"/>
      <c r="P415" s="109"/>
      <c r="Q415" s="109"/>
      <c r="R415" s="109"/>
      <c r="S415" s="109"/>
      <c r="T415" s="109"/>
      <c r="U415" s="109"/>
      <c r="V415" s="109"/>
      <c r="W415" s="109"/>
      <c r="X415" s="109"/>
      <c r="Y415" s="109"/>
      <c r="Z415" s="109"/>
    </row>
    <row r="416" ht="39.75" customHeight="1">
      <c r="A416" s="109"/>
      <c r="B416" s="109"/>
      <c r="C416" s="109"/>
      <c r="D416" s="109"/>
      <c r="E416" s="109"/>
      <c r="F416" s="109"/>
      <c r="G416" s="109"/>
      <c r="H416" s="109"/>
      <c r="I416" s="109"/>
      <c r="J416" s="109"/>
      <c r="K416" s="317"/>
      <c r="L416" s="109"/>
      <c r="M416" s="109"/>
      <c r="N416" s="109"/>
      <c r="O416" s="109"/>
      <c r="P416" s="109"/>
      <c r="Q416" s="109"/>
      <c r="R416" s="109"/>
      <c r="S416" s="109"/>
      <c r="T416" s="109"/>
      <c r="U416" s="109"/>
      <c r="V416" s="109"/>
      <c r="W416" s="109"/>
      <c r="X416" s="109"/>
      <c r="Y416" s="109"/>
      <c r="Z416" s="109"/>
    </row>
    <row r="417" ht="39.75" customHeight="1">
      <c r="A417" s="109"/>
      <c r="B417" s="109"/>
      <c r="C417" s="109"/>
      <c r="D417" s="109"/>
      <c r="E417" s="109"/>
      <c r="F417" s="109"/>
      <c r="G417" s="109"/>
      <c r="H417" s="109"/>
      <c r="I417" s="109"/>
      <c r="J417" s="109"/>
      <c r="K417" s="317"/>
      <c r="L417" s="109"/>
      <c r="M417" s="109"/>
      <c r="N417" s="109"/>
      <c r="O417" s="109"/>
      <c r="P417" s="109"/>
      <c r="Q417" s="109"/>
      <c r="R417" s="109"/>
      <c r="S417" s="109"/>
      <c r="T417" s="109"/>
      <c r="U417" s="109"/>
      <c r="V417" s="109"/>
      <c r="W417" s="109"/>
      <c r="X417" s="109"/>
      <c r="Y417" s="109"/>
      <c r="Z417" s="109"/>
    </row>
    <row r="418" ht="39.75" customHeight="1">
      <c r="A418" s="109"/>
      <c r="B418" s="109"/>
      <c r="C418" s="109"/>
      <c r="D418" s="109"/>
      <c r="E418" s="109"/>
      <c r="F418" s="109"/>
      <c r="G418" s="109"/>
      <c r="H418" s="109"/>
      <c r="I418" s="109"/>
      <c r="J418" s="109"/>
      <c r="K418" s="317"/>
      <c r="L418" s="109"/>
      <c r="M418" s="109"/>
      <c r="N418" s="109"/>
      <c r="O418" s="109"/>
      <c r="P418" s="109"/>
      <c r="Q418" s="109"/>
      <c r="R418" s="109"/>
      <c r="S418" s="109"/>
      <c r="T418" s="109"/>
      <c r="U418" s="109"/>
      <c r="V418" s="109"/>
      <c r="W418" s="109"/>
      <c r="X418" s="109"/>
      <c r="Y418" s="109"/>
      <c r="Z418" s="109"/>
    </row>
    <row r="419" ht="39.75" customHeight="1">
      <c r="A419" s="109"/>
      <c r="B419" s="109"/>
      <c r="C419" s="109"/>
      <c r="D419" s="109"/>
      <c r="E419" s="109"/>
      <c r="F419" s="109"/>
      <c r="G419" s="109"/>
      <c r="H419" s="109"/>
      <c r="I419" s="109"/>
      <c r="J419" s="109"/>
      <c r="K419" s="317"/>
      <c r="L419" s="109"/>
      <c r="M419" s="109"/>
      <c r="N419" s="109"/>
      <c r="O419" s="109"/>
      <c r="P419" s="109"/>
      <c r="Q419" s="109"/>
      <c r="R419" s="109"/>
      <c r="S419" s="109"/>
      <c r="T419" s="109"/>
      <c r="U419" s="109"/>
      <c r="V419" s="109"/>
      <c r="W419" s="109"/>
      <c r="X419" s="109"/>
      <c r="Y419" s="109"/>
      <c r="Z419" s="109"/>
    </row>
    <row r="420" ht="39.75" customHeight="1">
      <c r="A420" s="109"/>
      <c r="B420" s="109"/>
      <c r="C420" s="109"/>
      <c r="D420" s="109"/>
      <c r="E420" s="109"/>
      <c r="F420" s="109"/>
      <c r="G420" s="109"/>
      <c r="H420" s="109"/>
      <c r="I420" s="109"/>
      <c r="J420" s="109"/>
      <c r="K420" s="317"/>
      <c r="L420" s="109"/>
      <c r="M420" s="109"/>
      <c r="N420" s="109"/>
      <c r="O420" s="109"/>
      <c r="P420" s="109"/>
      <c r="Q420" s="109"/>
      <c r="R420" s="109"/>
      <c r="S420" s="109"/>
      <c r="T420" s="109"/>
      <c r="U420" s="109"/>
      <c r="V420" s="109"/>
      <c r="W420" s="109"/>
      <c r="X420" s="109"/>
      <c r="Y420" s="109"/>
      <c r="Z420" s="109"/>
    </row>
    <row r="421" ht="39.75" customHeight="1">
      <c r="A421" s="109"/>
      <c r="B421" s="109"/>
      <c r="C421" s="109"/>
      <c r="D421" s="109"/>
      <c r="E421" s="109"/>
      <c r="F421" s="109"/>
      <c r="G421" s="109"/>
      <c r="H421" s="109"/>
      <c r="I421" s="109"/>
      <c r="J421" s="109"/>
      <c r="K421" s="317"/>
      <c r="L421" s="109"/>
      <c r="M421" s="109"/>
      <c r="N421" s="109"/>
      <c r="O421" s="109"/>
      <c r="P421" s="109"/>
      <c r="Q421" s="109"/>
      <c r="R421" s="109"/>
      <c r="S421" s="109"/>
      <c r="T421" s="109"/>
      <c r="U421" s="109"/>
      <c r="V421" s="109"/>
      <c r="W421" s="109"/>
      <c r="X421" s="109"/>
      <c r="Y421" s="109"/>
      <c r="Z421" s="109"/>
    </row>
    <row r="422" ht="39.75" customHeight="1">
      <c r="A422" s="109"/>
      <c r="B422" s="109"/>
      <c r="C422" s="109"/>
      <c r="D422" s="109"/>
      <c r="E422" s="109"/>
      <c r="F422" s="109"/>
      <c r="G422" s="109"/>
      <c r="H422" s="109"/>
      <c r="I422" s="109"/>
      <c r="J422" s="109"/>
      <c r="K422" s="317"/>
      <c r="L422" s="109"/>
      <c r="M422" s="109"/>
      <c r="N422" s="109"/>
      <c r="O422" s="109"/>
      <c r="P422" s="109"/>
      <c r="Q422" s="109"/>
      <c r="R422" s="109"/>
      <c r="S422" s="109"/>
      <c r="T422" s="109"/>
      <c r="U422" s="109"/>
      <c r="V422" s="109"/>
      <c r="W422" s="109"/>
      <c r="X422" s="109"/>
      <c r="Y422" s="109"/>
      <c r="Z422" s="109"/>
    </row>
    <row r="423" ht="39.75" customHeight="1">
      <c r="A423" s="109"/>
      <c r="B423" s="109"/>
      <c r="C423" s="109"/>
      <c r="D423" s="109"/>
      <c r="E423" s="109"/>
      <c r="F423" s="109"/>
      <c r="G423" s="109"/>
      <c r="H423" s="109"/>
      <c r="I423" s="109"/>
      <c r="J423" s="109"/>
      <c r="K423" s="317"/>
      <c r="L423" s="109"/>
      <c r="M423" s="109"/>
      <c r="N423" s="109"/>
      <c r="O423" s="109"/>
      <c r="P423" s="109"/>
      <c r="Q423" s="109"/>
      <c r="R423" s="109"/>
      <c r="S423" s="109"/>
      <c r="T423" s="109"/>
      <c r="U423" s="109"/>
      <c r="V423" s="109"/>
      <c r="W423" s="109"/>
      <c r="X423" s="109"/>
      <c r="Y423" s="109"/>
      <c r="Z423" s="109"/>
    </row>
    <row r="424" ht="39.75" customHeight="1">
      <c r="A424" s="109"/>
      <c r="B424" s="109"/>
      <c r="C424" s="109"/>
      <c r="D424" s="109"/>
      <c r="E424" s="109"/>
      <c r="F424" s="109"/>
      <c r="G424" s="109"/>
      <c r="H424" s="109"/>
      <c r="I424" s="109"/>
      <c r="J424" s="109"/>
      <c r="K424" s="317"/>
      <c r="L424" s="109"/>
      <c r="M424" s="109"/>
      <c r="N424" s="109"/>
      <c r="O424" s="109"/>
      <c r="P424" s="109"/>
      <c r="Q424" s="109"/>
      <c r="R424" s="109"/>
      <c r="S424" s="109"/>
      <c r="T424" s="109"/>
      <c r="U424" s="109"/>
      <c r="V424" s="109"/>
      <c r="W424" s="109"/>
      <c r="X424" s="109"/>
      <c r="Y424" s="109"/>
      <c r="Z424" s="109"/>
    </row>
    <row r="425" ht="39.75" customHeight="1">
      <c r="A425" s="109"/>
      <c r="B425" s="109"/>
      <c r="C425" s="109"/>
      <c r="D425" s="109"/>
      <c r="E425" s="109"/>
      <c r="F425" s="109"/>
      <c r="G425" s="109"/>
      <c r="H425" s="109"/>
      <c r="I425" s="109"/>
      <c r="J425" s="109"/>
      <c r="K425" s="317"/>
      <c r="L425" s="109"/>
      <c r="M425" s="109"/>
      <c r="N425" s="109"/>
      <c r="O425" s="109"/>
      <c r="P425" s="109"/>
      <c r="Q425" s="109"/>
      <c r="R425" s="109"/>
      <c r="S425" s="109"/>
      <c r="T425" s="109"/>
      <c r="U425" s="109"/>
      <c r="V425" s="109"/>
      <c r="W425" s="109"/>
      <c r="X425" s="109"/>
      <c r="Y425" s="109"/>
      <c r="Z425" s="109"/>
    </row>
    <row r="426" ht="39.75" customHeight="1">
      <c r="A426" s="109"/>
      <c r="B426" s="109"/>
      <c r="C426" s="109"/>
      <c r="D426" s="109"/>
      <c r="E426" s="109"/>
      <c r="F426" s="109"/>
      <c r="G426" s="109"/>
      <c r="H426" s="109"/>
      <c r="I426" s="109"/>
      <c r="J426" s="109"/>
      <c r="K426" s="317"/>
      <c r="L426" s="109"/>
      <c r="M426" s="109"/>
      <c r="N426" s="109"/>
      <c r="O426" s="109"/>
      <c r="P426" s="109"/>
      <c r="Q426" s="109"/>
      <c r="R426" s="109"/>
      <c r="S426" s="109"/>
      <c r="T426" s="109"/>
      <c r="U426" s="109"/>
      <c r="V426" s="109"/>
      <c r="W426" s="109"/>
      <c r="X426" s="109"/>
      <c r="Y426" s="109"/>
      <c r="Z426" s="109"/>
    </row>
    <row r="427" ht="39.75" customHeight="1">
      <c r="A427" s="109"/>
      <c r="B427" s="109"/>
      <c r="C427" s="109"/>
      <c r="D427" s="109"/>
      <c r="E427" s="109"/>
      <c r="F427" s="109"/>
      <c r="G427" s="109"/>
      <c r="H427" s="109"/>
      <c r="I427" s="109"/>
      <c r="J427" s="109"/>
      <c r="K427" s="317"/>
      <c r="L427" s="109"/>
      <c r="M427" s="109"/>
      <c r="N427" s="109"/>
      <c r="O427" s="109"/>
      <c r="P427" s="109"/>
      <c r="Q427" s="109"/>
      <c r="R427" s="109"/>
      <c r="S427" s="109"/>
      <c r="T427" s="109"/>
      <c r="U427" s="109"/>
      <c r="V427" s="109"/>
      <c r="W427" s="109"/>
      <c r="X427" s="109"/>
      <c r="Y427" s="109"/>
      <c r="Z427" s="109"/>
    </row>
    <row r="428" ht="39.75" customHeight="1">
      <c r="A428" s="109"/>
      <c r="B428" s="109"/>
      <c r="C428" s="109"/>
      <c r="D428" s="109"/>
      <c r="E428" s="109"/>
      <c r="F428" s="109"/>
      <c r="G428" s="109"/>
      <c r="H428" s="109"/>
      <c r="I428" s="109"/>
      <c r="J428" s="109"/>
      <c r="K428" s="317"/>
      <c r="L428" s="109"/>
      <c r="M428" s="109"/>
      <c r="N428" s="109"/>
      <c r="O428" s="109"/>
      <c r="P428" s="109"/>
      <c r="Q428" s="109"/>
      <c r="R428" s="109"/>
      <c r="S428" s="109"/>
      <c r="T428" s="109"/>
      <c r="U428" s="109"/>
      <c r="V428" s="109"/>
      <c r="W428" s="109"/>
      <c r="X428" s="109"/>
      <c r="Y428" s="109"/>
      <c r="Z428" s="109"/>
    </row>
    <row r="429" ht="39.75" customHeight="1">
      <c r="A429" s="109"/>
      <c r="B429" s="109"/>
      <c r="C429" s="109"/>
      <c r="D429" s="109"/>
      <c r="E429" s="109"/>
      <c r="F429" s="109"/>
      <c r="G429" s="109"/>
      <c r="H429" s="109"/>
      <c r="I429" s="109"/>
      <c r="J429" s="109"/>
      <c r="K429" s="317"/>
      <c r="L429" s="109"/>
      <c r="M429" s="109"/>
      <c r="N429" s="109"/>
      <c r="O429" s="109"/>
      <c r="P429" s="109"/>
      <c r="Q429" s="109"/>
      <c r="R429" s="109"/>
      <c r="S429" s="109"/>
      <c r="T429" s="109"/>
      <c r="U429" s="109"/>
      <c r="V429" s="109"/>
      <c r="W429" s="109"/>
      <c r="X429" s="109"/>
      <c r="Y429" s="109"/>
      <c r="Z429" s="109"/>
    </row>
    <row r="430" ht="39.75" customHeight="1">
      <c r="A430" s="109"/>
      <c r="B430" s="109"/>
      <c r="C430" s="109"/>
      <c r="D430" s="109"/>
      <c r="E430" s="109"/>
      <c r="F430" s="109"/>
      <c r="G430" s="109"/>
      <c r="H430" s="109"/>
      <c r="I430" s="109"/>
      <c r="J430" s="109"/>
      <c r="K430" s="317"/>
      <c r="L430" s="109"/>
      <c r="M430" s="109"/>
      <c r="N430" s="109"/>
      <c r="O430" s="109"/>
      <c r="P430" s="109"/>
      <c r="Q430" s="109"/>
      <c r="R430" s="109"/>
      <c r="S430" s="109"/>
      <c r="T430" s="109"/>
      <c r="U430" s="109"/>
      <c r="V430" s="109"/>
      <c r="W430" s="109"/>
      <c r="X430" s="109"/>
      <c r="Y430" s="109"/>
      <c r="Z430" s="109"/>
    </row>
    <row r="431" ht="39.75" customHeight="1">
      <c r="A431" s="109"/>
      <c r="B431" s="109"/>
      <c r="C431" s="109"/>
      <c r="D431" s="109"/>
      <c r="E431" s="109"/>
      <c r="F431" s="109"/>
      <c r="G431" s="109"/>
      <c r="H431" s="109"/>
      <c r="I431" s="109"/>
      <c r="J431" s="109"/>
      <c r="K431" s="317"/>
      <c r="L431" s="109"/>
      <c r="M431" s="109"/>
      <c r="N431" s="109"/>
      <c r="O431" s="109"/>
      <c r="P431" s="109"/>
      <c r="Q431" s="109"/>
      <c r="R431" s="109"/>
      <c r="S431" s="109"/>
      <c r="T431" s="109"/>
      <c r="U431" s="109"/>
      <c r="V431" s="109"/>
      <c r="W431" s="109"/>
      <c r="X431" s="109"/>
      <c r="Y431" s="109"/>
      <c r="Z431" s="109"/>
    </row>
    <row r="432" ht="39.75" customHeight="1">
      <c r="A432" s="109"/>
      <c r="B432" s="109"/>
      <c r="C432" s="109"/>
      <c r="D432" s="109"/>
      <c r="E432" s="109"/>
      <c r="F432" s="109"/>
      <c r="G432" s="109"/>
      <c r="H432" s="109"/>
      <c r="I432" s="109"/>
      <c r="J432" s="109"/>
      <c r="K432" s="317"/>
      <c r="L432" s="109"/>
      <c r="M432" s="109"/>
      <c r="N432" s="109"/>
      <c r="O432" s="109"/>
      <c r="P432" s="109"/>
      <c r="Q432" s="109"/>
      <c r="R432" s="109"/>
      <c r="S432" s="109"/>
      <c r="T432" s="109"/>
      <c r="U432" s="109"/>
      <c r="V432" s="109"/>
      <c r="W432" s="109"/>
      <c r="X432" s="109"/>
      <c r="Y432" s="109"/>
      <c r="Z432" s="109"/>
    </row>
    <row r="433" ht="39.75" customHeight="1">
      <c r="A433" s="109"/>
      <c r="B433" s="109"/>
      <c r="C433" s="109"/>
      <c r="D433" s="109"/>
      <c r="E433" s="109"/>
      <c r="F433" s="109"/>
      <c r="G433" s="109"/>
      <c r="H433" s="109"/>
      <c r="I433" s="109"/>
      <c r="J433" s="109"/>
      <c r="K433" s="317"/>
      <c r="L433" s="109"/>
      <c r="M433" s="109"/>
      <c r="N433" s="109"/>
      <c r="O433" s="109"/>
      <c r="P433" s="109"/>
      <c r="Q433" s="109"/>
      <c r="R433" s="109"/>
      <c r="S433" s="109"/>
      <c r="T433" s="109"/>
      <c r="U433" s="109"/>
      <c r="V433" s="109"/>
      <c r="W433" s="109"/>
      <c r="X433" s="109"/>
      <c r="Y433" s="109"/>
      <c r="Z433" s="109"/>
    </row>
    <row r="434" ht="39.75" customHeight="1">
      <c r="A434" s="109"/>
      <c r="B434" s="109"/>
      <c r="C434" s="109"/>
      <c r="D434" s="109"/>
      <c r="E434" s="109"/>
      <c r="F434" s="109"/>
      <c r="G434" s="109"/>
      <c r="H434" s="109"/>
      <c r="I434" s="109"/>
      <c r="J434" s="109"/>
      <c r="K434" s="317"/>
      <c r="L434" s="109"/>
      <c r="M434" s="109"/>
      <c r="N434" s="109"/>
      <c r="O434" s="109"/>
      <c r="P434" s="109"/>
      <c r="Q434" s="109"/>
      <c r="R434" s="109"/>
      <c r="S434" s="109"/>
      <c r="T434" s="109"/>
      <c r="U434" s="109"/>
      <c r="V434" s="109"/>
      <c r="W434" s="109"/>
      <c r="X434" s="109"/>
      <c r="Y434" s="109"/>
      <c r="Z434" s="109"/>
    </row>
    <row r="435" ht="39.75" customHeight="1">
      <c r="A435" s="109"/>
      <c r="B435" s="109"/>
      <c r="C435" s="109"/>
      <c r="D435" s="109"/>
      <c r="E435" s="109"/>
      <c r="F435" s="109"/>
      <c r="G435" s="109"/>
      <c r="H435" s="109"/>
      <c r="I435" s="109"/>
      <c r="J435" s="109"/>
      <c r="K435" s="317"/>
      <c r="L435" s="109"/>
      <c r="M435" s="109"/>
      <c r="N435" s="109"/>
      <c r="O435" s="109"/>
      <c r="P435" s="109"/>
      <c r="Q435" s="109"/>
      <c r="R435" s="109"/>
      <c r="S435" s="109"/>
      <c r="T435" s="109"/>
      <c r="U435" s="109"/>
      <c r="V435" s="109"/>
      <c r="W435" s="109"/>
      <c r="X435" s="109"/>
      <c r="Y435" s="109"/>
      <c r="Z435" s="109"/>
    </row>
    <row r="436" ht="39.75" customHeight="1">
      <c r="A436" s="109"/>
      <c r="B436" s="109"/>
      <c r="C436" s="109"/>
      <c r="D436" s="109"/>
      <c r="E436" s="109"/>
      <c r="F436" s="109"/>
      <c r="G436" s="109"/>
      <c r="H436" s="109"/>
      <c r="I436" s="109"/>
      <c r="J436" s="109"/>
      <c r="K436" s="317"/>
      <c r="L436" s="109"/>
      <c r="M436" s="109"/>
      <c r="N436" s="109"/>
      <c r="O436" s="109"/>
      <c r="P436" s="109"/>
      <c r="Q436" s="109"/>
      <c r="R436" s="109"/>
      <c r="S436" s="109"/>
      <c r="T436" s="109"/>
      <c r="U436" s="109"/>
      <c r="V436" s="109"/>
      <c r="W436" s="109"/>
      <c r="X436" s="109"/>
      <c r="Y436" s="109"/>
      <c r="Z436" s="109"/>
    </row>
    <row r="437" ht="39.75" customHeight="1">
      <c r="A437" s="109"/>
      <c r="B437" s="109"/>
      <c r="C437" s="109"/>
      <c r="D437" s="109"/>
      <c r="E437" s="109"/>
      <c r="F437" s="109"/>
      <c r="G437" s="109"/>
      <c r="H437" s="109"/>
      <c r="I437" s="109"/>
      <c r="J437" s="109"/>
      <c r="K437" s="317"/>
      <c r="L437" s="109"/>
      <c r="M437" s="109"/>
      <c r="N437" s="109"/>
      <c r="O437" s="109"/>
      <c r="P437" s="109"/>
      <c r="Q437" s="109"/>
      <c r="R437" s="109"/>
      <c r="S437" s="109"/>
      <c r="T437" s="109"/>
      <c r="U437" s="109"/>
      <c r="V437" s="109"/>
      <c r="W437" s="109"/>
      <c r="X437" s="109"/>
      <c r="Y437" s="109"/>
      <c r="Z437" s="109"/>
    </row>
    <row r="438" ht="39.75" customHeight="1">
      <c r="A438" s="109"/>
      <c r="B438" s="109"/>
      <c r="C438" s="109"/>
      <c r="D438" s="109"/>
      <c r="E438" s="109"/>
      <c r="F438" s="109"/>
      <c r="G438" s="109"/>
      <c r="H438" s="109"/>
      <c r="I438" s="109"/>
      <c r="J438" s="109"/>
      <c r="K438" s="317"/>
      <c r="L438" s="109"/>
      <c r="M438" s="109"/>
      <c r="N438" s="109"/>
      <c r="O438" s="109"/>
      <c r="P438" s="109"/>
      <c r="Q438" s="109"/>
      <c r="R438" s="109"/>
      <c r="S438" s="109"/>
      <c r="T438" s="109"/>
      <c r="U438" s="109"/>
      <c r="V438" s="109"/>
      <c r="W438" s="109"/>
      <c r="X438" s="109"/>
      <c r="Y438" s="109"/>
      <c r="Z438" s="109"/>
    </row>
    <row r="439" ht="39.75" customHeight="1">
      <c r="A439" s="109"/>
      <c r="B439" s="109"/>
      <c r="C439" s="109"/>
      <c r="D439" s="109"/>
      <c r="E439" s="109"/>
      <c r="F439" s="109"/>
      <c r="G439" s="109"/>
      <c r="H439" s="109"/>
      <c r="I439" s="109"/>
      <c r="J439" s="109"/>
      <c r="K439" s="317"/>
      <c r="L439" s="109"/>
      <c r="M439" s="109"/>
      <c r="N439" s="109"/>
      <c r="O439" s="109"/>
      <c r="P439" s="109"/>
      <c r="Q439" s="109"/>
      <c r="R439" s="109"/>
      <c r="S439" s="109"/>
      <c r="T439" s="109"/>
      <c r="U439" s="109"/>
      <c r="V439" s="109"/>
      <c r="W439" s="109"/>
      <c r="X439" s="109"/>
      <c r="Y439" s="109"/>
      <c r="Z439" s="109"/>
    </row>
    <row r="440" ht="39.75" customHeight="1">
      <c r="A440" s="109"/>
      <c r="B440" s="109"/>
      <c r="C440" s="109"/>
      <c r="D440" s="109"/>
      <c r="E440" s="109"/>
      <c r="F440" s="109"/>
      <c r="G440" s="109"/>
      <c r="H440" s="109"/>
      <c r="I440" s="109"/>
      <c r="J440" s="109"/>
      <c r="K440" s="317"/>
      <c r="L440" s="109"/>
      <c r="M440" s="109"/>
      <c r="N440" s="109"/>
      <c r="O440" s="109"/>
      <c r="P440" s="109"/>
      <c r="Q440" s="109"/>
      <c r="R440" s="109"/>
      <c r="S440" s="109"/>
      <c r="T440" s="109"/>
      <c r="U440" s="109"/>
      <c r="V440" s="109"/>
      <c r="W440" s="109"/>
      <c r="X440" s="109"/>
      <c r="Y440" s="109"/>
      <c r="Z440" s="109"/>
    </row>
    <row r="441" ht="39.75" customHeight="1">
      <c r="A441" s="109"/>
      <c r="B441" s="109"/>
      <c r="C441" s="109"/>
      <c r="D441" s="109"/>
      <c r="E441" s="109"/>
      <c r="F441" s="109"/>
      <c r="G441" s="109"/>
      <c r="H441" s="109"/>
      <c r="I441" s="109"/>
      <c r="J441" s="109"/>
      <c r="K441" s="317"/>
      <c r="L441" s="109"/>
      <c r="M441" s="109"/>
      <c r="N441" s="109"/>
      <c r="O441" s="109"/>
      <c r="P441" s="109"/>
      <c r="Q441" s="109"/>
      <c r="R441" s="109"/>
      <c r="S441" s="109"/>
      <c r="T441" s="109"/>
      <c r="U441" s="109"/>
      <c r="V441" s="109"/>
      <c r="W441" s="109"/>
      <c r="X441" s="109"/>
      <c r="Y441" s="109"/>
      <c r="Z441" s="109"/>
    </row>
    <row r="442" ht="39.75" customHeight="1">
      <c r="A442" s="109"/>
      <c r="B442" s="109"/>
      <c r="C442" s="109"/>
      <c r="D442" s="109"/>
      <c r="E442" s="109"/>
      <c r="F442" s="109"/>
      <c r="G442" s="109"/>
      <c r="H442" s="109"/>
      <c r="I442" s="109"/>
      <c r="J442" s="109"/>
      <c r="K442" s="317"/>
      <c r="L442" s="109"/>
      <c r="M442" s="109"/>
      <c r="N442" s="109"/>
      <c r="O442" s="109"/>
      <c r="P442" s="109"/>
      <c r="Q442" s="109"/>
      <c r="R442" s="109"/>
      <c r="S442" s="109"/>
      <c r="T442" s="109"/>
      <c r="U442" s="109"/>
      <c r="V442" s="109"/>
      <c r="W442" s="109"/>
      <c r="X442" s="109"/>
      <c r="Y442" s="109"/>
      <c r="Z442" s="109"/>
    </row>
    <row r="443" ht="39.75" customHeight="1">
      <c r="A443" s="109"/>
      <c r="B443" s="109"/>
      <c r="C443" s="109"/>
      <c r="D443" s="109"/>
      <c r="E443" s="109"/>
      <c r="F443" s="109"/>
      <c r="G443" s="109"/>
      <c r="H443" s="109"/>
      <c r="I443" s="109"/>
      <c r="J443" s="109"/>
      <c r="K443" s="317"/>
      <c r="L443" s="109"/>
      <c r="M443" s="109"/>
      <c r="N443" s="109"/>
      <c r="O443" s="109"/>
      <c r="P443" s="109"/>
      <c r="Q443" s="109"/>
      <c r="R443" s="109"/>
      <c r="S443" s="109"/>
      <c r="T443" s="109"/>
      <c r="U443" s="109"/>
      <c r="V443" s="109"/>
      <c r="W443" s="109"/>
      <c r="X443" s="109"/>
      <c r="Y443" s="109"/>
      <c r="Z443" s="109"/>
    </row>
    <row r="444" ht="39.75" customHeight="1">
      <c r="A444" s="109"/>
      <c r="B444" s="109"/>
      <c r="C444" s="109"/>
      <c r="D444" s="109"/>
      <c r="E444" s="109"/>
      <c r="F444" s="109"/>
      <c r="G444" s="109"/>
      <c r="H444" s="109"/>
      <c r="I444" s="109"/>
      <c r="J444" s="109"/>
      <c r="K444" s="317"/>
      <c r="L444" s="109"/>
      <c r="M444" s="109"/>
      <c r="N444" s="109"/>
      <c r="O444" s="109"/>
      <c r="P444" s="109"/>
      <c r="Q444" s="109"/>
      <c r="R444" s="109"/>
      <c r="S444" s="109"/>
      <c r="T444" s="109"/>
      <c r="U444" s="109"/>
      <c r="V444" s="109"/>
      <c r="W444" s="109"/>
      <c r="X444" s="109"/>
      <c r="Y444" s="109"/>
      <c r="Z444" s="109"/>
    </row>
    <row r="445" ht="39.75" customHeight="1">
      <c r="A445" s="109"/>
      <c r="B445" s="109"/>
      <c r="C445" s="109"/>
      <c r="D445" s="109"/>
      <c r="E445" s="109"/>
      <c r="F445" s="109"/>
      <c r="G445" s="109"/>
      <c r="H445" s="109"/>
      <c r="I445" s="109"/>
      <c r="J445" s="109"/>
      <c r="K445" s="317"/>
      <c r="L445" s="109"/>
      <c r="M445" s="109"/>
      <c r="N445" s="109"/>
      <c r="O445" s="109"/>
      <c r="P445" s="109"/>
      <c r="Q445" s="109"/>
      <c r="R445" s="109"/>
      <c r="S445" s="109"/>
      <c r="T445" s="109"/>
      <c r="U445" s="109"/>
      <c r="V445" s="109"/>
      <c r="W445" s="109"/>
      <c r="X445" s="109"/>
      <c r="Y445" s="109"/>
      <c r="Z445" s="109"/>
    </row>
    <row r="446" ht="39.75" customHeight="1">
      <c r="A446" s="109"/>
      <c r="B446" s="109"/>
      <c r="C446" s="109"/>
      <c r="D446" s="109"/>
      <c r="E446" s="109"/>
      <c r="F446" s="109"/>
      <c r="G446" s="109"/>
      <c r="H446" s="109"/>
      <c r="I446" s="109"/>
      <c r="J446" s="109"/>
      <c r="K446" s="317"/>
      <c r="L446" s="109"/>
      <c r="M446" s="109"/>
      <c r="N446" s="109"/>
      <c r="O446" s="109"/>
      <c r="P446" s="109"/>
      <c r="Q446" s="109"/>
      <c r="R446" s="109"/>
      <c r="S446" s="109"/>
      <c r="T446" s="109"/>
      <c r="U446" s="109"/>
      <c r="V446" s="109"/>
      <c r="W446" s="109"/>
      <c r="X446" s="109"/>
      <c r="Y446" s="109"/>
      <c r="Z446" s="109"/>
    </row>
    <row r="447" ht="39.75" customHeight="1">
      <c r="A447" s="109"/>
      <c r="B447" s="109"/>
      <c r="C447" s="109"/>
      <c r="D447" s="109"/>
      <c r="E447" s="109"/>
      <c r="F447" s="109"/>
      <c r="G447" s="109"/>
      <c r="H447" s="109"/>
      <c r="I447" s="109"/>
      <c r="J447" s="109"/>
      <c r="K447" s="317"/>
      <c r="L447" s="109"/>
      <c r="M447" s="109"/>
      <c r="N447" s="109"/>
      <c r="O447" s="109"/>
      <c r="P447" s="109"/>
      <c r="Q447" s="109"/>
      <c r="R447" s="109"/>
      <c r="S447" s="109"/>
      <c r="T447" s="109"/>
      <c r="U447" s="109"/>
      <c r="V447" s="109"/>
      <c r="W447" s="109"/>
      <c r="X447" s="109"/>
      <c r="Y447" s="109"/>
      <c r="Z447" s="109"/>
    </row>
    <row r="448" ht="39.75" customHeight="1">
      <c r="A448" s="109"/>
      <c r="B448" s="109"/>
      <c r="C448" s="109"/>
      <c r="D448" s="109"/>
      <c r="E448" s="109"/>
      <c r="F448" s="109"/>
      <c r="G448" s="109"/>
      <c r="H448" s="109"/>
      <c r="I448" s="109"/>
      <c r="J448" s="109"/>
      <c r="K448" s="317"/>
      <c r="L448" s="109"/>
      <c r="M448" s="109"/>
      <c r="N448" s="109"/>
      <c r="O448" s="109"/>
      <c r="P448" s="109"/>
      <c r="Q448" s="109"/>
      <c r="R448" s="109"/>
      <c r="S448" s="109"/>
      <c r="T448" s="109"/>
      <c r="U448" s="109"/>
      <c r="V448" s="109"/>
      <c r="W448" s="109"/>
      <c r="X448" s="109"/>
      <c r="Y448" s="109"/>
      <c r="Z448" s="109"/>
    </row>
    <row r="449" ht="39.75" customHeight="1">
      <c r="A449" s="109"/>
      <c r="B449" s="109"/>
      <c r="C449" s="109"/>
      <c r="D449" s="109"/>
      <c r="E449" s="109"/>
      <c r="F449" s="109"/>
      <c r="G449" s="109"/>
      <c r="H449" s="109"/>
      <c r="I449" s="109"/>
      <c r="J449" s="109"/>
      <c r="K449" s="317"/>
      <c r="L449" s="109"/>
      <c r="M449" s="109"/>
      <c r="N449" s="109"/>
      <c r="O449" s="109"/>
      <c r="P449" s="109"/>
      <c r="Q449" s="109"/>
      <c r="R449" s="109"/>
      <c r="S449" s="109"/>
      <c r="T449" s="109"/>
      <c r="U449" s="109"/>
      <c r="V449" s="109"/>
      <c r="W449" s="109"/>
      <c r="X449" s="109"/>
      <c r="Y449" s="109"/>
      <c r="Z449" s="109"/>
    </row>
    <row r="450" ht="39.75" customHeight="1">
      <c r="A450" s="109"/>
      <c r="B450" s="109"/>
      <c r="C450" s="109"/>
      <c r="D450" s="109"/>
      <c r="E450" s="109"/>
      <c r="F450" s="109"/>
      <c r="G450" s="109"/>
      <c r="H450" s="109"/>
      <c r="I450" s="109"/>
      <c r="J450" s="109"/>
      <c r="K450" s="317"/>
      <c r="L450" s="109"/>
      <c r="M450" s="109"/>
      <c r="N450" s="109"/>
      <c r="O450" s="109"/>
      <c r="P450" s="109"/>
      <c r="Q450" s="109"/>
      <c r="R450" s="109"/>
      <c r="S450" s="109"/>
      <c r="T450" s="109"/>
      <c r="U450" s="109"/>
      <c r="V450" s="109"/>
      <c r="W450" s="109"/>
      <c r="X450" s="109"/>
      <c r="Y450" s="109"/>
      <c r="Z450" s="109"/>
    </row>
    <row r="451" ht="39.75" customHeight="1">
      <c r="A451" s="109"/>
      <c r="B451" s="109"/>
      <c r="C451" s="109"/>
      <c r="D451" s="109"/>
      <c r="E451" s="109"/>
      <c r="F451" s="109"/>
      <c r="G451" s="109"/>
      <c r="H451" s="109"/>
      <c r="I451" s="109"/>
      <c r="J451" s="109"/>
      <c r="K451" s="317"/>
      <c r="L451" s="109"/>
      <c r="M451" s="109"/>
      <c r="N451" s="109"/>
      <c r="O451" s="109"/>
      <c r="P451" s="109"/>
      <c r="Q451" s="109"/>
      <c r="R451" s="109"/>
      <c r="S451" s="109"/>
      <c r="T451" s="109"/>
      <c r="U451" s="109"/>
      <c r="V451" s="109"/>
      <c r="W451" s="109"/>
      <c r="X451" s="109"/>
      <c r="Y451" s="109"/>
      <c r="Z451" s="109"/>
    </row>
    <row r="452" ht="39.75" customHeight="1">
      <c r="A452" s="109"/>
      <c r="B452" s="109"/>
      <c r="C452" s="109"/>
      <c r="D452" s="109"/>
      <c r="E452" s="109"/>
      <c r="F452" s="109"/>
      <c r="G452" s="109"/>
      <c r="H452" s="109"/>
      <c r="I452" s="109"/>
      <c r="J452" s="109"/>
      <c r="K452" s="317"/>
      <c r="L452" s="109"/>
      <c r="M452" s="109"/>
      <c r="N452" s="109"/>
      <c r="O452" s="109"/>
      <c r="P452" s="109"/>
      <c r="Q452" s="109"/>
      <c r="R452" s="109"/>
      <c r="S452" s="109"/>
      <c r="T452" s="109"/>
      <c r="U452" s="109"/>
      <c r="V452" s="109"/>
      <c r="W452" s="109"/>
      <c r="X452" s="109"/>
      <c r="Y452" s="109"/>
      <c r="Z452" s="109"/>
    </row>
    <row r="453" ht="39.75" customHeight="1">
      <c r="A453" s="109"/>
      <c r="B453" s="109"/>
      <c r="C453" s="109"/>
      <c r="D453" s="109"/>
      <c r="E453" s="109"/>
      <c r="F453" s="109"/>
      <c r="G453" s="109"/>
      <c r="H453" s="109"/>
      <c r="I453" s="109"/>
      <c r="J453" s="109"/>
      <c r="K453" s="317"/>
      <c r="L453" s="109"/>
      <c r="M453" s="109"/>
      <c r="N453" s="109"/>
      <c r="O453" s="109"/>
      <c r="P453" s="109"/>
      <c r="Q453" s="109"/>
      <c r="R453" s="109"/>
      <c r="S453" s="109"/>
      <c r="T453" s="109"/>
      <c r="U453" s="109"/>
      <c r="V453" s="109"/>
      <c r="W453" s="109"/>
      <c r="X453" s="109"/>
      <c r="Y453" s="109"/>
      <c r="Z453" s="109"/>
    </row>
    <row r="454" ht="39.75" customHeight="1">
      <c r="A454" s="109"/>
      <c r="B454" s="109"/>
      <c r="C454" s="109"/>
      <c r="D454" s="109"/>
      <c r="E454" s="109"/>
      <c r="F454" s="109"/>
      <c r="G454" s="109"/>
      <c r="H454" s="109"/>
      <c r="I454" s="109"/>
      <c r="J454" s="109"/>
      <c r="K454" s="317"/>
      <c r="L454" s="109"/>
      <c r="M454" s="109"/>
      <c r="N454" s="109"/>
      <c r="O454" s="109"/>
      <c r="P454" s="109"/>
      <c r="Q454" s="109"/>
      <c r="R454" s="109"/>
      <c r="S454" s="109"/>
      <c r="T454" s="109"/>
      <c r="U454" s="109"/>
      <c r="V454" s="109"/>
      <c r="W454" s="109"/>
      <c r="X454" s="109"/>
      <c r="Y454" s="109"/>
      <c r="Z454" s="109"/>
    </row>
    <row r="455" ht="39.75" customHeight="1">
      <c r="A455" s="109"/>
      <c r="B455" s="109"/>
      <c r="C455" s="109"/>
      <c r="D455" s="109"/>
      <c r="E455" s="109"/>
      <c r="F455" s="109"/>
      <c r="G455" s="109"/>
      <c r="H455" s="109"/>
      <c r="I455" s="109"/>
      <c r="J455" s="109"/>
      <c r="K455" s="317"/>
      <c r="L455" s="109"/>
      <c r="M455" s="109"/>
      <c r="N455" s="109"/>
      <c r="O455" s="109"/>
      <c r="P455" s="109"/>
      <c r="Q455" s="109"/>
      <c r="R455" s="109"/>
      <c r="S455" s="109"/>
      <c r="T455" s="109"/>
      <c r="U455" s="109"/>
      <c r="V455" s="109"/>
      <c r="W455" s="109"/>
      <c r="X455" s="109"/>
      <c r="Y455" s="109"/>
      <c r="Z455" s="109"/>
    </row>
    <row r="456" ht="39.75" customHeight="1">
      <c r="A456" s="109"/>
      <c r="B456" s="109"/>
      <c r="C456" s="109"/>
      <c r="D456" s="109"/>
      <c r="E456" s="109"/>
      <c r="F456" s="109"/>
      <c r="G456" s="109"/>
      <c r="H456" s="109"/>
      <c r="I456" s="109"/>
      <c r="J456" s="109"/>
      <c r="K456" s="317"/>
      <c r="L456" s="109"/>
      <c r="M456" s="109"/>
      <c r="N456" s="109"/>
      <c r="O456" s="109"/>
      <c r="P456" s="109"/>
      <c r="Q456" s="109"/>
      <c r="R456" s="109"/>
      <c r="S456" s="109"/>
      <c r="T456" s="109"/>
      <c r="U456" s="109"/>
      <c r="V456" s="109"/>
      <c r="W456" s="109"/>
      <c r="X456" s="109"/>
      <c r="Y456" s="109"/>
      <c r="Z456" s="109"/>
    </row>
    <row r="457" ht="39.75" customHeight="1">
      <c r="A457" s="109"/>
      <c r="B457" s="109"/>
      <c r="C457" s="109"/>
      <c r="D457" s="109"/>
      <c r="E457" s="109"/>
      <c r="F457" s="109"/>
      <c r="G457" s="109"/>
      <c r="H457" s="109"/>
      <c r="I457" s="109"/>
      <c r="J457" s="109"/>
      <c r="K457" s="317"/>
      <c r="L457" s="109"/>
      <c r="M457" s="109"/>
      <c r="N457" s="109"/>
      <c r="O457" s="109"/>
      <c r="P457" s="109"/>
      <c r="Q457" s="109"/>
      <c r="R457" s="109"/>
      <c r="S457" s="109"/>
      <c r="T457" s="109"/>
      <c r="U457" s="109"/>
      <c r="V457" s="109"/>
      <c r="W457" s="109"/>
      <c r="X457" s="109"/>
      <c r="Y457" s="109"/>
      <c r="Z457" s="109"/>
    </row>
    <row r="458" ht="39.75" customHeight="1">
      <c r="A458" s="109"/>
      <c r="B458" s="109"/>
      <c r="C458" s="109"/>
      <c r="D458" s="109"/>
      <c r="E458" s="109"/>
      <c r="F458" s="109"/>
      <c r="G458" s="109"/>
      <c r="H458" s="109"/>
      <c r="I458" s="109"/>
      <c r="J458" s="109"/>
      <c r="K458" s="317"/>
      <c r="L458" s="109"/>
      <c r="M458" s="109"/>
      <c r="N458" s="109"/>
      <c r="O458" s="109"/>
      <c r="P458" s="109"/>
      <c r="Q458" s="109"/>
      <c r="R458" s="109"/>
      <c r="S458" s="109"/>
      <c r="T458" s="109"/>
      <c r="U458" s="109"/>
      <c r="V458" s="109"/>
      <c r="W458" s="109"/>
      <c r="X458" s="109"/>
      <c r="Y458" s="109"/>
      <c r="Z458" s="109"/>
    </row>
    <row r="459" ht="39.75" customHeight="1">
      <c r="A459" s="109"/>
      <c r="B459" s="109"/>
      <c r="C459" s="109"/>
      <c r="D459" s="109"/>
      <c r="E459" s="109"/>
      <c r="F459" s="109"/>
      <c r="G459" s="109"/>
      <c r="H459" s="109"/>
      <c r="I459" s="109"/>
      <c r="J459" s="109"/>
      <c r="K459" s="317"/>
      <c r="L459" s="109"/>
      <c r="M459" s="109"/>
      <c r="N459" s="109"/>
      <c r="O459" s="109"/>
      <c r="P459" s="109"/>
      <c r="Q459" s="109"/>
      <c r="R459" s="109"/>
      <c r="S459" s="109"/>
      <c r="T459" s="109"/>
      <c r="U459" s="109"/>
      <c r="V459" s="109"/>
      <c r="W459" s="109"/>
      <c r="X459" s="109"/>
      <c r="Y459" s="109"/>
      <c r="Z459" s="109"/>
    </row>
    <row r="460" ht="39.75" customHeight="1">
      <c r="A460" s="109"/>
      <c r="B460" s="109"/>
      <c r="C460" s="109"/>
      <c r="D460" s="109"/>
      <c r="E460" s="109"/>
      <c r="F460" s="109"/>
      <c r="G460" s="109"/>
      <c r="H460" s="109"/>
      <c r="I460" s="109"/>
      <c r="J460" s="109"/>
      <c r="K460" s="317"/>
      <c r="L460" s="109"/>
      <c r="M460" s="109"/>
      <c r="N460" s="109"/>
      <c r="O460" s="109"/>
      <c r="P460" s="109"/>
      <c r="Q460" s="109"/>
      <c r="R460" s="109"/>
      <c r="S460" s="109"/>
      <c r="T460" s="109"/>
      <c r="U460" s="109"/>
      <c r="V460" s="109"/>
      <c r="W460" s="109"/>
      <c r="X460" s="109"/>
      <c r="Y460" s="109"/>
      <c r="Z460" s="109"/>
    </row>
    <row r="461" ht="39.75" customHeight="1">
      <c r="A461" s="109"/>
      <c r="B461" s="109"/>
      <c r="C461" s="109"/>
      <c r="D461" s="109"/>
      <c r="E461" s="109"/>
      <c r="F461" s="109"/>
      <c r="G461" s="109"/>
      <c r="H461" s="109"/>
      <c r="I461" s="109"/>
      <c r="J461" s="109"/>
      <c r="K461" s="317"/>
      <c r="L461" s="109"/>
      <c r="M461" s="109"/>
      <c r="N461" s="109"/>
      <c r="O461" s="109"/>
      <c r="P461" s="109"/>
      <c r="Q461" s="109"/>
      <c r="R461" s="109"/>
      <c r="S461" s="109"/>
      <c r="T461" s="109"/>
      <c r="U461" s="109"/>
      <c r="V461" s="109"/>
      <c r="W461" s="109"/>
      <c r="X461" s="109"/>
      <c r="Y461" s="109"/>
      <c r="Z461" s="109"/>
    </row>
    <row r="462" ht="39.75" customHeight="1">
      <c r="A462" s="109"/>
      <c r="B462" s="109"/>
      <c r="C462" s="109"/>
      <c r="D462" s="109"/>
      <c r="E462" s="109"/>
      <c r="F462" s="109"/>
      <c r="G462" s="109"/>
      <c r="H462" s="109"/>
      <c r="I462" s="109"/>
      <c r="J462" s="109"/>
      <c r="K462" s="317"/>
      <c r="L462" s="109"/>
      <c r="M462" s="109"/>
      <c r="N462" s="109"/>
      <c r="O462" s="109"/>
      <c r="P462" s="109"/>
      <c r="Q462" s="109"/>
      <c r="R462" s="109"/>
      <c r="S462" s="109"/>
      <c r="T462" s="109"/>
      <c r="U462" s="109"/>
      <c r="V462" s="109"/>
      <c r="W462" s="109"/>
      <c r="X462" s="109"/>
      <c r="Y462" s="109"/>
      <c r="Z462" s="109"/>
    </row>
    <row r="463" ht="39.75" customHeight="1">
      <c r="A463" s="109"/>
      <c r="B463" s="109"/>
      <c r="C463" s="109"/>
      <c r="D463" s="109"/>
      <c r="E463" s="109"/>
      <c r="F463" s="109"/>
      <c r="G463" s="109"/>
      <c r="H463" s="109"/>
      <c r="I463" s="109"/>
      <c r="J463" s="109"/>
      <c r="K463" s="317"/>
      <c r="L463" s="109"/>
      <c r="M463" s="109"/>
      <c r="N463" s="109"/>
      <c r="O463" s="109"/>
      <c r="P463" s="109"/>
      <c r="Q463" s="109"/>
      <c r="R463" s="109"/>
      <c r="S463" s="109"/>
      <c r="T463" s="109"/>
      <c r="U463" s="109"/>
      <c r="V463" s="109"/>
      <c r="W463" s="109"/>
      <c r="X463" s="109"/>
      <c r="Y463" s="109"/>
      <c r="Z463" s="109"/>
    </row>
    <row r="464" ht="39.75" customHeight="1">
      <c r="A464" s="109"/>
      <c r="B464" s="109"/>
      <c r="C464" s="109"/>
      <c r="D464" s="109"/>
      <c r="E464" s="109"/>
      <c r="F464" s="109"/>
      <c r="G464" s="109"/>
      <c r="H464" s="109"/>
      <c r="I464" s="109"/>
      <c r="J464" s="109"/>
      <c r="K464" s="317"/>
      <c r="L464" s="109"/>
      <c r="M464" s="109"/>
      <c r="N464" s="109"/>
      <c r="O464" s="109"/>
      <c r="P464" s="109"/>
      <c r="Q464" s="109"/>
      <c r="R464" s="109"/>
      <c r="S464" s="109"/>
      <c r="T464" s="109"/>
      <c r="U464" s="109"/>
      <c r="V464" s="109"/>
      <c r="W464" s="109"/>
      <c r="X464" s="109"/>
      <c r="Y464" s="109"/>
      <c r="Z464" s="109"/>
    </row>
    <row r="465" ht="39.75" customHeight="1">
      <c r="A465" s="109"/>
      <c r="B465" s="109"/>
      <c r="C465" s="109"/>
      <c r="D465" s="109"/>
      <c r="E465" s="109"/>
      <c r="F465" s="109"/>
      <c r="G465" s="109"/>
      <c r="H465" s="109"/>
      <c r="I465" s="109"/>
      <c r="J465" s="109"/>
      <c r="K465" s="317"/>
      <c r="L465" s="109"/>
      <c r="M465" s="109"/>
      <c r="N465" s="109"/>
      <c r="O465" s="109"/>
      <c r="P465" s="109"/>
      <c r="Q465" s="109"/>
      <c r="R465" s="109"/>
      <c r="S465" s="109"/>
      <c r="T465" s="109"/>
      <c r="U465" s="109"/>
      <c r="V465" s="109"/>
      <c r="W465" s="109"/>
      <c r="X465" s="109"/>
      <c r="Y465" s="109"/>
      <c r="Z465" s="109"/>
    </row>
    <row r="466" ht="39.75" customHeight="1">
      <c r="A466" s="109"/>
      <c r="B466" s="109"/>
      <c r="C466" s="109"/>
      <c r="D466" s="109"/>
      <c r="E466" s="109"/>
      <c r="F466" s="109"/>
      <c r="G466" s="109"/>
      <c r="H466" s="109"/>
      <c r="I466" s="109"/>
      <c r="J466" s="109"/>
      <c r="K466" s="317"/>
      <c r="L466" s="109"/>
      <c r="M466" s="109"/>
      <c r="N466" s="109"/>
      <c r="O466" s="109"/>
      <c r="P466" s="109"/>
      <c r="Q466" s="109"/>
      <c r="R466" s="109"/>
      <c r="S466" s="109"/>
      <c r="T466" s="109"/>
      <c r="U466" s="109"/>
      <c r="V466" s="109"/>
      <c r="W466" s="109"/>
      <c r="X466" s="109"/>
      <c r="Y466" s="109"/>
      <c r="Z466" s="109"/>
    </row>
    <row r="467" ht="39.75" customHeight="1">
      <c r="A467" s="109"/>
      <c r="B467" s="109"/>
      <c r="C467" s="109"/>
      <c r="D467" s="109"/>
      <c r="E467" s="109"/>
      <c r="F467" s="109"/>
      <c r="G467" s="109"/>
      <c r="H467" s="109"/>
      <c r="I467" s="109"/>
      <c r="J467" s="109"/>
      <c r="K467" s="317"/>
      <c r="L467" s="109"/>
      <c r="M467" s="109"/>
      <c r="N467" s="109"/>
      <c r="O467" s="109"/>
      <c r="P467" s="109"/>
      <c r="Q467" s="109"/>
      <c r="R467" s="109"/>
      <c r="S467" s="109"/>
      <c r="T467" s="109"/>
      <c r="U467" s="109"/>
      <c r="V467" s="109"/>
      <c r="W467" s="109"/>
      <c r="X467" s="109"/>
      <c r="Y467" s="109"/>
      <c r="Z467" s="109"/>
    </row>
    <row r="468" ht="39.75" customHeight="1">
      <c r="A468" s="109"/>
      <c r="B468" s="109"/>
      <c r="C468" s="109"/>
      <c r="D468" s="109"/>
      <c r="E468" s="109"/>
      <c r="F468" s="109"/>
      <c r="G468" s="109"/>
      <c r="H468" s="109"/>
      <c r="I468" s="109"/>
      <c r="J468" s="109"/>
      <c r="K468" s="317"/>
      <c r="L468" s="109"/>
      <c r="M468" s="109"/>
      <c r="N468" s="109"/>
      <c r="O468" s="109"/>
      <c r="P468" s="109"/>
      <c r="Q468" s="109"/>
      <c r="R468" s="109"/>
      <c r="S468" s="109"/>
      <c r="T468" s="109"/>
      <c r="U468" s="109"/>
      <c r="V468" s="109"/>
      <c r="W468" s="109"/>
      <c r="X468" s="109"/>
      <c r="Y468" s="109"/>
      <c r="Z468" s="109"/>
    </row>
    <row r="469" ht="39.75" customHeight="1">
      <c r="A469" s="109"/>
      <c r="B469" s="109"/>
      <c r="C469" s="109"/>
      <c r="D469" s="109"/>
      <c r="E469" s="109"/>
      <c r="F469" s="109"/>
      <c r="G469" s="109"/>
      <c r="H469" s="109"/>
      <c r="I469" s="109"/>
      <c r="J469" s="109"/>
      <c r="K469" s="317"/>
      <c r="L469" s="109"/>
      <c r="M469" s="109"/>
      <c r="N469" s="109"/>
      <c r="O469" s="109"/>
      <c r="P469" s="109"/>
      <c r="Q469" s="109"/>
      <c r="R469" s="109"/>
      <c r="S469" s="109"/>
      <c r="T469" s="109"/>
      <c r="U469" s="109"/>
      <c r="V469" s="109"/>
      <c r="W469" s="109"/>
      <c r="X469" s="109"/>
      <c r="Y469" s="109"/>
      <c r="Z469" s="109"/>
    </row>
    <row r="470" ht="39.75" customHeight="1">
      <c r="A470" s="109"/>
      <c r="B470" s="109"/>
      <c r="C470" s="109"/>
      <c r="D470" s="109"/>
      <c r="E470" s="109"/>
      <c r="F470" s="109"/>
      <c r="G470" s="109"/>
      <c r="H470" s="109"/>
      <c r="I470" s="109"/>
      <c r="J470" s="109"/>
      <c r="K470" s="317"/>
      <c r="L470" s="109"/>
      <c r="M470" s="109"/>
      <c r="N470" s="109"/>
      <c r="O470" s="109"/>
      <c r="P470" s="109"/>
      <c r="Q470" s="109"/>
      <c r="R470" s="109"/>
      <c r="S470" s="109"/>
      <c r="T470" s="109"/>
      <c r="U470" s="109"/>
      <c r="V470" s="109"/>
      <c r="W470" s="109"/>
      <c r="X470" s="109"/>
      <c r="Y470" s="109"/>
      <c r="Z470" s="109"/>
    </row>
    <row r="471" ht="39.75" customHeight="1">
      <c r="A471" s="109"/>
      <c r="B471" s="109"/>
      <c r="C471" s="109"/>
      <c r="D471" s="109"/>
      <c r="E471" s="109"/>
      <c r="F471" s="109"/>
      <c r="G471" s="109"/>
      <c r="H471" s="109"/>
      <c r="I471" s="109"/>
      <c r="J471" s="109"/>
      <c r="K471" s="317"/>
      <c r="L471" s="109"/>
      <c r="M471" s="109"/>
      <c r="N471" s="109"/>
      <c r="O471" s="109"/>
      <c r="P471" s="109"/>
      <c r="Q471" s="109"/>
      <c r="R471" s="109"/>
      <c r="S471" s="109"/>
      <c r="T471" s="109"/>
      <c r="U471" s="109"/>
      <c r="V471" s="109"/>
      <c r="W471" s="109"/>
      <c r="X471" s="109"/>
      <c r="Y471" s="109"/>
      <c r="Z471" s="109"/>
    </row>
    <row r="472" ht="39.75" customHeight="1">
      <c r="A472" s="109"/>
      <c r="B472" s="109"/>
      <c r="C472" s="109"/>
      <c r="D472" s="109"/>
      <c r="E472" s="109"/>
      <c r="F472" s="109"/>
      <c r="G472" s="109"/>
      <c r="H472" s="109"/>
      <c r="I472" s="109"/>
      <c r="J472" s="109"/>
      <c r="K472" s="317"/>
      <c r="L472" s="109"/>
      <c r="M472" s="109"/>
      <c r="N472" s="109"/>
      <c r="O472" s="109"/>
      <c r="P472" s="109"/>
      <c r="Q472" s="109"/>
      <c r="R472" s="109"/>
      <c r="S472" s="109"/>
      <c r="T472" s="109"/>
      <c r="U472" s="109"/>
      <c r="V472" s="109"/>
      <c r="W472" s="109"/>
      <c r="X472" s="109"/>
      <c r="Y472" s="109"/>
      <c r="Z472" s="109"/>
    </row>
    <row r="473" ht="39.75" customHeight="1">
      <c r="A473" s="109"/>
      <c r="B473" s="109"/>
      <c r="C473" s="109"/>
      <c r="D473" s="109"/>
      <c r="E473" s="109"/>
      <c r="F473" s="109"/>
      <c r="G473" s="109"/>
      <c r="H473" s="109"/>
      <c r="I473" s="109"/>
      <c r="J473" s="109"/>
      <c r="K473" s="317"/>
      <c r="L473" s="109"/>
      <c r="M473" s="109"/>
      <c r="N473" s="109"/>
      <c r="O473" s="109"/>
      <c r="P473" s="109"/>
      <c r="Q473" s="109"/>
      <c r="R473" s="109"/>
      <c r="S473" s="109"/>
      <c r="T473" s="109"/>
      <c r="U473" s="109"/>
      <c r="V473" s="109"/>
      <c r="W473" s="109"/>
      <c r="X473" s="109"/>
      <c r="Y473" s="109"/>
      <c r="Z473" s="109"/>
    </row>
    <row r="474" ht="39.75" customHeight="1">
      <c r="A474" s="109"/>
      <c r="B474" s="109"/>
      <c r="C474" s="109"/>
      <c r="D474" s="109"/>
      <c r="E474" s="109"/>
      <c r="F474" s="109"/>
      <c r="G474" s="109"/>
      <c r="H474" s="109"/>
      <c r="I474" s="109"/>
      <c r="J474" s="109"/>
      <c r="K474" s="317"/>
      <c r="L474" s="109"/>
      <c r="M474" s="109"/>
      <c r="N474" s="109"/>
      <c r="O474" s="109"/>
      <c r="P474" s="109"/>
      <c r="Q474" s="109"/>
      <c r="R474" s="109"/>
      <c r="S474" s="109"/>
      <c r="T474" s="109"/>
      <c r="U474" s="109"/>
      <c r="V474" s="109"/>
      <c r="W474" s="109"/>
      <c r="X474" s="109"/>
      <c r="Y474" s="109"/>
      <c r="Z474" s="109"/>
    </row>
    <row r="475" ht="39.75" customHeight="1">
      <c r="A475" s="109"/>
      <c r="B475" s="109"/>
      <c r="C475" s="109"/>
      <c r="D475" s="109"/>
      <c r="E475" s="109"/>
      <c r="F475" s="109"/>
      <c r="G475" s="109"/>
      <c r="H475" s="109"/>
      <c r="I475" s="109"/>
      <c r="J475" s="109"/>
      <c r="K475" s="317"/>
      <c r="L475" s="109"/>
      <c r="M475" s="109"/>
      <c r="N475" s="109"/>
      <c r="O475" s="109"/>
      <c r="P475" s="109"/>
      <c r="Q475" s="109"/>
      <c r="R475" s="109"/>
      <c r="S475" s="109"/>
      <c r="T475" s="109"/>
      <c r="U475" s="109"/>
      <c r="V475" s="109"/>
      <c r="W475" s="109"/>
      <c r="X475" s="109"/>
      <c r="Y475" s="109"/>
      <c r="Z475" s="109"/>
    </row>
    <row r="476" ht="39.75" customHeight="1">
      <c r="A476" s="109"/>
      <c r="B476" s="109"/>
      <c r="C476" s="109"/>
      <c r="D476" s="109"/>
      <c r="E476" s="109"/>
      <c r="F476" s="109"/>
      <c r="G476" s="109"/>
      <c r="H476" s="109"/>
      <c r="I476" s="109"/>
      <c r="J476" s="109"/>
      <c r="K476" s="317"/>
      <c r="L476" s="109"/>
      <c r="M476" s="109"/>
      <c r="N476" s="109"/>
      <c r="O476" s="109"/>
      <c r="P476" s="109"/>
      <c r="Q476" s="109"/>
      <c r="R476" s="109"/>
      <c r="S476" s="109"/>
      <c r="T476" s="109"/>
      <c r="U476" s="109"/>
      <c r="V476" s="109"/>
      <c r="W476" s="109"/>
      <c r="X476" s="109"/>
      <c r="Y476" s="109"/>
      <c r="Z476" s="109"/>
    </row>
    <row r="477" ht="39.75" customHeight="1">
      <c r="A477" s="109"/>
      <c r="B477" s="109"/>
      <c r="C477" s="109"/>
      <c r="D477" s="109"/>
      <c r="E477" s="109"/>
      <c r="F477" s="109"/>
      <c r="G477" s="109"/>
      <c r="H477" s="109"/>
      <c r="I477" s="109"/>
      <c r="J477" s="109"/>
      <c r="K477" s="317"/>
      <c r="L477" s="109"/>
      <c r="M477" s="109"/>
      <c r="N477" s="109"/>
      <c r="O477" s="109"/>
      <c r="P477" s="109"/>
      <c r="Q477" s="109"/>
      <c r="R477" s="109"/>
      <c r="S477" s="109"/>
      <c r="T477" s="109"/>
      <c r="U477" s="109"/>
      <c r="V477" s="109"/>
      <c r="W477" s="109"/>
      <c r="X477" s="109"/>
      <c r="Y477" s="109"/>
      <c r="Z477" s="109"/>
    </row>
    <row r="478" ht="39.75" customHeight="1">
      <c r="A478" s="109"/>
      <c r="B478" s="109"/>
      <c r="C478" s="109"/>
      <c r="D478" s="109"/>
      <c r="E478" s="109"/>
      <c r="F478" s="109"/>
      <c r="G478" s="109"/>
      <c r="H478" s="109"/>
      <c r="I478" s="109"/>
      <c r="J478" s="109"/>
      <c r="K478" s="317"/>
      <c r="L478" s="109"/>
      <c r="M478" s="109"/>
      <c r="N478" s="109"/>
      <c r="O478" s="109"/>
      <c r="P478" s="109"/>
      <c r="Q478" s="109"/>
      <c r="R478" s="109"/>
      <c r="S478" s="109"/>
      <c r="T478" s="109"/>
      <c r="U478" s="109"/>
      <c r="V478" s="109"/>
      <c r="W478" s="109"/>
      <c r="X478" s="109"/>
      <c r="Y478" s="109"/>
      <c r="Z478" s="109"/>
    </row>
    <row r="479" ht="39.75" customHeight="1">
      <c r="A479" s="109"/>
      <c r="B479" s="109"/>
      <c r="C479" s="109"/>
      <c r="D479" s="109"/>
      <c r="E479" s="109"/>
      <c r="F479" s="109"/>
      <c r="G479" s="109"/>
      <c r="H479" s="109"/>
      <c r="I479" s="109"/>
      <c r="J479" s="109"/>
      <c r="K479" s="317"/>
      <c r="L479" s="109"/>
      <c r="M479" s="109"/>
      <c r="N479" s="109"/>
      <c r="O479" s="109"/>
      <c r="P479" s="109"/>
      <c r="Q479" s="109"/>
      <c r="R479" s="109"/>
      <c r="S479" s="109"/>
      <c r="T479" s="109"/>
      <c r="U479" s="109"/>
      <c r="V479" s="109"/>
      <c r="W479" s="109"/>
      <c r="X479" s="109"/>
      <c r="Y479" s="109"/>
      <c r="Z479" s="109"/>
    </row>
    <row r="480" ht="39.75" customHeight="1">
      <c r="A480" s="109"/>
      <c r="B480" s="109"/>
      <c r="C480" s="109"/>
      <c r="D480" s="109"/>
      <c r="E480" s="109"/>
      <c r="F480" s="109"/>
      <c r="G480" s="109"/>
      <c r="H480" s="109"/>
      <c r="I480" s="109"/>
      <c r="J480" s="109"/>
      <c r="K480" s="317"/>
      <c r="L480" s="109"/>
      <c r="M480" s="109"/>
      <c r="N480" s="109"/>
      <c r="O480" s="109"/>
      <c r="P480" s="109"/>
      <c r="Q480" s="109"/>
      <c r="R480" s="109"/>
      <c r="S480" s="109"/>
      <c r="T480" s="109"/>
      <c r="U480" s="109"/>
      <c r="V480" s="109"/>
      <c r="W480" s="109"/>
      <c r="X480" s="109"/>
      <c r="Y480" s="109"/>
      <c r="Z480" s="109"/>
    </row>
    <row r="481" ht="39.75" customHeight="1">
      <c r="A481" s="109"/>
      <c r="B481" s="109"/>
      <c r="C481" s="109"/>
      <c r="D481" s="109"/>
      <c r="E481" s="109"/>
      <c r="F481" s="109"/>
      <c r="G481" s="109"/>
      <c r="H481" s="109"/>
      <c r="I481" s="109"/>
      <c r="J481" s="109"/>
      <c r="K481" s="317"/>
      <c r="L481" s="109"/>
      <c r="M481" s="109"/>
      <c r="N481" s="109"/>
      <c r="O481" s="109"/>
      <c r="P481" s="109"/>
      <c r="Q481" s="109"/>
      <c r="R481" s="109"/>
      <c r="S481" s="109"/>
      <c r="T481" s="109"/>
      <c r="U481" s="109"/>
      <c r="V481" s="109"/>
      <c r="W481" s="109"/>
      <c r="X481" s="109"/>
      <c r="Y481" s="109"/>
      <c r="Z481" s="109"/>
    </row>
    <row r="482" ht="39.75" customHeight="1">
      <c r="A482" s="109"/>
      <c r="B482" s="109"/>
      <c r="C482" s="109"/>
      <c r="D482" s="109"/>
      <c r="E482" s="109"/>
      <c r="F482" s="109"/>
      <c r="G482" s="109"/>
      <c r="H482" s="109"/>
      <c r="I482" s="109"/>
      <c r="J482" s="109"/>
      <c r="K482" s="317"/>
      <c r="L482" s="109"/>
      <c r="M482" s="109"/>
      <c r="N482" s="109"/>
      <c r="O482" s="109"/>
      <c r="P482" s="109"/>
      <c r="Q482" s="109"/>
      <c r="R482" s="109"/>
      <c r="S482" s="109"/>
      <c r="T482" s="109"/>
      <c r="U482" s="109"/>
      <c r="V482" s="109"/>
      <c r="W482" s="109"/>
      <c r="X482" s="109"/>
      <c r="Y482" s="109"/>
      <c r="Z482" s="109"/>
    </row>
    <row r="483" ht="39.75" customHeight="1">
      <c r="A483" s="109"/>
      <c r="B483" s="109"/>
      <c r="C483" s="109"/>
      <c r="D483" s="109"/>
      <c r="E483" s="109"/>
      <c r="F483" s="109"/>
      <c r="G483" s="109"/>
      <c r="H483" s="109"/>
      <c r="I483" s="109"/>
      <c r="J483" s="109"/>
      <c r="K483" s="317"/>
      <c r="L483" s="109"/>
      <c r="M483" s="109"/>
      <c r="N483" s="109"/>
      <c r="O483" s="109"/>
      <c r="P483" s="109"/>
      <c r="Q483" s="109"/>
      <c r="R483" s="109"/>
      <c r="S483" s="109"/>
      <c r="T483" s="109"/>
      <c r="U483" s="109"/>
      <c r="V483" s="109"/>
      <c r="W483" s="109"/>
      <c r="X483" s="109"/>
      <c r="Y483" s="109"/>
      <c r="Z483" s="109"/>
    </row>
    <row r="484" ht="39.75" customHeight="1">
      <c r="A484" s="109"/>
      <c r="B484" s="109"/>
      <c r="C484" s="109"/>
      <c r="D484" s="109"/>
      <c r="E484" s="109"/>
      <c r="F484" s="109"/>
      <c r="G484" s="109"/>
      <c r="H484" s="109"/>
      <c r="I484" s="109"/>
      <c r="J484" s="109"/>
      <c r="K484" s="317"/>
      <c r="L484" s="109"/>
      <c r="M484" s="109"/>
      <c r="N484" s="109"/>
      <c r="O484" s="109"/>
      <c r="P484" s="109"/>
      <c r="Q484" s="109"/>
      <c r="R484" s="109"/>
      <c r="S484" s="109"/>
      <c r="T484" s="109"/>
      <c r="U484" s="109"/>
      <c r="V484" s="109"/>
      <c r="W484" s="109"/>
      <c r="X484" s="109"/>
      <c r="Y484" s="109"/>
      <c r="Z484" s="109"/>
    </row>
    <row r="485" ht="39.75" customHeight="1">
      <c r="A485" s="109"/>
      <c r="B485" s="109"/>
      <c r="C485" s="109"/>
      <c r="D485" s="109"/>
      <c r="E485" s="109"/>
      <c r="F485" s="109"/>
      <c r="G485" s="109"/>
      <c r="H485" s="109"/>
      <c r="I485" s="109"/>
      <c r="J485" s="109"/>
      <c r="K485" s="317"/>
      <c r="L485" s="109"/>
      <c r="M485" s="109"/>
      <c r="N485" s="109"/>
      <c r="O485" s="109"/>
      <c r="P485" s="109"/>
      <c r="Q485" s="109"/>
      <c r="R485" s="109"/>
      <c r="S485" s="109"/>
      <c r="T485" s="109"/>
      <c r="U485" s="109"/>
      <c r="V485" s="109"/>
      <c r="W485" s="109"/>
      <c r="X485" s="109"/>
      <c r="Y485" s="109"/>
      <c r="Z485" s="109"/>
    </row>
    <row r="486" ht="39.75" customHeight="1">
      <c r="A486" s="109"/>
      <c r="B486" s="109"/>
      <c r="C486" s="109"/>
      <c r="D486" s="109"/>
      <c r="E486" s="109"/>
      <c r="F486" s="109"/>
      <c r="G486" s="109"/>
      <c r="H486" s="109"/>
      <c r="I486" s="109"/>
      <c r="J486" s="109"/>
      <c r="K486" s="317"/>
      <c r="L486" s="109"/>
      <c r="M486" s="109"/>
      <c r="N486" s="109"/>
      <c r="O486" s="109"/>
      <c r="P486" s="109"/>
      <c r="Q486" s="109"/>
      <c r="R486" s="109"/>
      <c r="S486" s="109"/>
      <c r="T486" s="109"/>
      <c r="U486" s="109"/>
      <c r="V486" s="109"/>
      <c r="W486" s="109"/>
      <c r="X486" s="109"/>
      <c r="Y486" s="109"/>
      <c r="Z486" s="109"/>
    </row>
    <row r="487" ht="39.75" customHeight="1">
      <c r="A487" s="109"/>
      <c r="B487" s="109"/>
      <c r="C487" s="109"/>
      <c r="D487" s="109"/>
      <c r="E487" s="109"/>
      <c r="F487" s="109"/>
      <c r="G487" s="109"/>
      <c r="H487" s="109"/>
      <c r="I487" s="109"/>
      <c r="J487" s="109"/>
      <c r="K487" s="317"/>
      <c r="L487" s="109"/>
      <c r="M487" s="109"/>
      <c r="N487" s="109"/>
      <c r="O487" s="109"/>
      <c r="P487" s="109"/>
      <c r="Q487" s="109"/>
      <c r="R487" s="109"/>
      <c r="S487" s="109"/>
      <c r="T487" s="109"/>
      <c r="U487" s="109"/>
      <c r="V487" s="109"/>
      <c r="W487" s="109"/>
      <c r="X487" s="109"/>
      <c r="Y487" s="109"/>
      <c r="Z487" s="109"/>
    </row>
    <row r="488" ht="39.75" customHeight="1">
      <c r="A488" s="109"/>
      <c r="B488" s="109"/>
      <c r="C488" s="109"/>
      <c r="D488" s="109"/>
      <c r="E488" s="109"/>
      <c r="F488" s="109"/>
      <c r="G488" s="109"/>
      <c r="H488" s="109"/>
      <c r="I488" s="109"/>
      <c r="J488" s="109"/>
      <c r="K488" s="317"/>
      <c r="L488" s="109"/>
      <c r="M488" s="109"/>
      <c r="N488" s="109"/>
      <c r="O488" s="109"/>
      <c r="P488" s="109"/>
      <c r="Q488" s="109"/>
      <c r="R488" s="109"/>
      <c r="S488" s="109"/>
      <c r="T488" s="109"/>
      <c r="U488" s="109"/>
      <c r="V488" s="109"/>
      <c r="W488" s="109"/>
      <c r="X488" s="109"/>
      <c r="Y488" s="109"/>
      <c r="Z488" s="109"/>
    </row>
    <row r="489" ht="39.75" customHeight="1">
      <c r="A489" s="109"/>
      <c r="B489" s="109"/>
      <c r="C489" s="109"/>
      <c r="D489" s="109"/>
      <c r="E489" s="109"/>
      <c r="F489" s="109"/>
      <c r="G489" s="109"/>
      <c r="H489" s="109"/>
      <c r="I489" s="109"/>
      <c r="J489" s="109"/>
      <c r="K489" s="317"/>
      <c r="L489" s="109"/>
      <c r="M489" s="109"/>
      <c r="N489" s="109"/>
      <c r="O489" s="109"/>
      <c r="P489" s="109"/>
      <c r="Q489" s="109"/>
      <c r="R489" s="109"/>
      <c r="S489" s="109"/>
      <c r="T489" s="109"/>
      <c r="U489" s="109"/>
      <c r="V489" s="109"/>
      <c r="W489" s="109"/>
      <c r="X489" s="109"/>
      <c r="Y489" s="109"/>
      <c r="Z489" s="109"/>
    </row>
    <row r="490" ht="39.75" customHeight="1">
      <c r="A490" s="109"/>
      <c r="B490" s="109"/>
      <c r="C490" s="109"/>
      <c r="D490" s="109"/>
      <c r="E490" s="109"/>
      <c r="F490" s="109"/>
      <c r="G490" s="109"/>
      <c r="H490" s="109"/>
      <c r="I490" s="109"/>
      <c r="J490" s="109"/>
      <c r="K490" s="317"/>
      <c r="L490" s="109"/>
      <c r="M490" s="109"/>
      <c r="N490" s="109"/>
      <c r="O490" s="109"/>
      <c r="P490" s="109"/>
      <c r="Q490" s="109"/>
      <c r="R490" s="109"/>
      <c r="S490" s="109"/>
      <c r="T490" s="109"/>
      <c r="U490" s="109"/>
      <c r="V490" s="109"/>
      <c r="W490" s="109"/>
      <c r="X490" s="109"/>
      <c r="Y490" s="109"/>
      <c r="Z490" s="109"/>
    </row>
    <row r="491" ht="39.75" customHeight="1">
      <c r="A491" s="109"/>
      <c r="B491" s="109"/>
      <c r="C491" s="109"/>
      <c r="D491" s="109"/>
      <c r="E491" s="109"/>
      <c r="F491" s="109"/>
      <c r="G491" s="109"/>
      <c r="H491" s="109"/>
      <c r="I491" s="109"/>
      <c r="J491" s="109"/>
      <c r="K491" s="317"/>
      <c r="L491" s="109"/>
      <c r="M491" s="109"/>
      <c r="N491" s="109"/>
      <c r="O491" s="109"/>
      <c r="P491" s="109"/>
      <c r="Q491" s="109"/>
      <c r="R491" s="109"/>
      <c r="S491" s="109"/>
      <c r="T491" s="109"/>
      <c r="U491" s="109"/>
      <c r="V491" s="109"/>
      <c r="W491" s="109"/>
      <c r="X491" s="109"/>
      <c r="Y491" s="109"/>
      <c r="Z491" s="109"/>
    </row>
    <row r="492" ht="39.75" customHeight="1">
      <c r="A492" s="109"/>
      <c r="B492" s="109"/>
      <c r="C492" s="109"/>
      <c r="D492" s="109"/>
      <c r="E492" s="109"/>
      <c r="F492" s="109"/>
      <c r="G492" s="109"/>
      <c r="H492" s="109"/>
      <c r="I492" s="109"/>
      <c r="J492" s="109"/>
      <c r="K492" s="317"/>
      <c r="L492" s="109"/>
      <c r="M492" s="109"/>
      <c r="N492" s="109"/>
      <c r="O492" s="109"/>
      <c r="P492" s="109"/>
      <c r="Q492" s="109"/>
      <c r="R492" s="109"/>
      <c r="S492" s="109"/>
      <c r="T492" s="109"/>
      <c r="U492" s="109"/>
      <c r="V492" s="109"/>
      <c r="W492" s="109"/>
      <c r="X492" s="109"/>
      <c r="Y492" s="109"/>
      <c r="Z492" s="109"/>
    </row>
    <row r="493" ht="39.75" customHeight="1">
      <c r="A493" s="109"/>
      <c r="B493" s="109"/>
      <c r="C493" s="109"/>
      <c r="D493" s="109"/>
      <c r="E493" s="109"/>
      <c r="F493" s="109"/>
      <c r="G493" s="109"/>
      <c r="H493" s="109"/>
      <c r="I493" s="109"/>
      <c r="J493" s="109"/>
      <c r="K493" s="317"/>
      <c r="L493" s="109"/>
      <c r="M493" s="109"/>
      <c r="N493" s="109"/>
      <c r="O493" s="109"/>
      <c r="P493" s="109"/>
      <c r="Q493" s="109"/>
      <c r="R493" s="109"/>
      <c r="S493" s="109"/>
      <c r="T493" s="109"/>
      <c r="U493" s="109"/>
      <c r="V493" s="109"/>
      <c r="W493" s="109"/>
      <c r="X493" s="109"/>
      <c r="Y493" s="109"/>
      <c r="Z493" s="109"/>
    </row>
    <row r="494" ht="39.75" customHeight="1">
      <c r="A494" s="109"/>
      <c r="B494" s="109"/>
      <c r="C494" s="109"/>
      <c r="D494" s="109"/>
      <c r="E494" s="109"/>
      <c r="F494" s="109"/>
      <c r="G494" s="109"/>
      <c r="H494" s="109"/>
      <c r="I494" s="109"/>
      <c r="J494" s="109"/>
      <c r="K494" s="317"/>
      <c r="L494" s="109"/>
      <c r="M494" s="109"/>
      <c r="N494" s="109"/>
      <c r="O494" s="109"/>
      <c r="P494" s="109"/>
      <c r="Q494" s="109"/>
      <c r="R494" s="109"/>
      <c r="S494" s="109"/>
      <c r="T494" s="109"/>
      <c r="U494" s="109"/>
      <c r="V494" s="109"/>
      <c r="W494" s="109"/>
      <c r="X494" s="109"/>
      <c r="Y494" s="109"/>
      <c r="Z494" s="109"/>
    </row>
    <row r="495" ht="39.75" customHeight="1">
      <c r="A495" s="109"/>
      <c r="B495" s="109"/>
      <c r="C495" s="109"/>
      <c r="D495" s="109"/>
      <c r="E495" s="109"/>
      <c r="F495" s="109"/>
      <c r="G495" s="109"/>
      <c r="H495" s="109"/>
      <c r="I495" s="109"/>
      <c r="J495" s="109"/>
      <c r="K495" s="317"/>
      <c r="L495" s="109"/>
      <c r="M495" s="109"/>
      <c r="N495" s="109"/>
      <c r="O495" s="109"/>
      <c r="P495" s="109"/>
      <c r="Q495" s="109"/>
      <c r="R495" s="109"/>
      <c r="S495" s="109"/>
      <c r="T495" s="109"/>
      <c r="U495" s="109"/>
      <c r="V495" s="109"/>
      <c r="W495" s="109"/>
      <c r="X495" s="109"/>
      <c r="Y495" s="109"/>
      <c r="Z495" s="109"/>
    </row>
    <row r="496" ht="39.75" customHeight="1">
      <c r="A496" s="109"/>
      <c r="B496" s="109"/>
      <c r="C496" s="109"/>
      <c r="D496" s="109"/>
      <c r="E496" s="109"/>
      <c r="F496" s="109"/>
      <c r="G496" s="109"/>
      <c r="H496" s="109"/>
      <c r="I496" s="109"/>
      <c r="J496" s="109"/>
      <c r="K496" s="317"/>
      <c r="L496" s="109"/>
      <c r="M496" s="109"/>
      <c r="N496" s="109"/>
      <c r="O496" s="109"/>
      <c r="P496" s="109"/>
      <c r="Q496" s="109"/>
      <c r="R496" s="109"/>
      <c r="S496" s="109"/>
      <c r="T496" s="109"/>
      <c r="U496" s="109"/>
      <c r="V496" s="109"/>
      <c r="W496" s="109"/>
      <c r="X496" s="109"/>
      <c r="Y496" s="109"/>
      <c r="Z496" s="109"/>
    </row>
    <row r="497" ht="39.75" customHeight="1">
      <c r="A497" s="109"/>
      <c r="B497" s="109"/>
      <c r="C497" s="109"/>
      <c r="D497" s="109"/>
      <c r="E497" s="109"/>
      <c r="F497" s="109"/>
      <c r="G497" s="109"/>
      <c r="H497" s="109"/>
      <c r="I497" s="109"/>
      <c r="J497" s="109"/>
      <c r="K497" s="317"/>
      <c r="L497" s="109"/>
      <c r="M497" s="109"/>
      <c r="N497" s="109"/>
      <c r="O497" s="109"/>
      <c r="P497" s="109"/>
      <c r="Q497" s="109"/>
      <c r="R497" s="109"/>
      <c r="S497" s="109"/>
      <c r="T497" s="109"/>
      <c r="U497" s="109"/>
      <c r="V497" s="109"/>
      <c r="W497" s="109"/>
      <c r="X497" s="109"/>
      <c r="Y497" s="109"/>
      <c r="Z497" s="109"/>
    </row>
    <row r="498" ht="39.75" customHeight="1">
      <c r="A498" s="109"/>
      <c r="B498" s="109"/>
      <c r="C498" s="109"/>
      <c r="D498" s="109"/>
      <c r="E498" s="109"/>
      <c r="F498" s="109"/>
      <c r="G498" s="109"/>
      <c r="H498" s="109"/>
      <c r="I498" s="109"/>
      <c r="J498" s="109"/>
      <c r="K498" s="317"/>
      <c r="L498" s="109"/>
      <c r="M498" s="109"/>
      <c r="N498" s="109"/>
      <c r="O498" s="109"/>
      <c r="P498" s="109"/>
      <c r="Q498" s="109"/>
      <c r="R498" s="109"/>
      <c r="S498" s="109"/>
      <c r="T498" s="109"/>
      <c r="U498" s="109"/>
      <c r="V498" s="109"/>
      <c r="W498" s="109"/>
      <c r="X498" s="109"/>
      <c r="Y498" s="109"/>
      <c r="Z498" s="109"/>
    </row>
    <row r="499" ht="39.75" customHeight="1">
      <c r="A499" s="109"/>
      <c r="B499" s="109"/>
      <c r="C499" s="109"/>
      <c r="D499" s="109"/>
      <c r="E499" s="109"/>
      <c r="F499" s="109"/>
      <c r="G499" s="109"/>
      <c r="H499" s="109"/>
      <c r="I499" s="109"/>
      <c r="J499" s="109"/>
      <c r="K499" s="317"/>
      <c r="L499" s="109"/>
      <c r="M499" s="109"/>
      <c r="N499" s="109"/>
      <c r="O499" s="109"/>
      <c r="P499" s="109"/>
      <c r="Q499" s="109"/>
      <c r="R499" s="109"/>
      <c r="S499" s="109"/>
      <c r="T499" s="109"/>
      <c r="U499" s="109"/>
      <c r="V499" s="109"/>
      <c r="W499" s="109"/>
      <c r="X499" s="109"/>
      <c r="Y499" s="109"/>
      <c r="Z499" s="109"/>
    </row>
    <row r="500" ht="39.75" customHeight="1">
      <c r="A500" s="109"/>
      <c r="B500" s="109"/>
      <c r="C500" s="109"/>
      <c r="D500" s="109"/>
      <c r="E500" s="109"/>
      <c r="F500" s="109"/>
      <c r="G500" s="109"/>
      <c r="H500" s="109"/>
      <c r="I500" s="109"/>
      <c r="J500" s="109"/>
      <c r="K500" s="317"/>
      <c r="L500" s="109"/>
      <c r="M500" s="109"/>
      <c r="N500" s="109"/>
      <c r="O500" s="109"/>
      <c r="P500" s="109"/>
      <c r="Q500" s="109"/>
      <c r="R500" s="109"/>
      <c r="S500" s="109"/>
      <c r="T500" s="109"/>
      <c r="U500" s="109"/>
      <c r="V500" s="109"/>
      <c r="W500" s="109"/>
      <c r="X500" s="109"/>
      <c r="Y500" s="109"/>
      <c r="Z500" s="109"/>
    </row>
    <row r="501" ht="39.75" customHeight="1">
      <c r="A501" s="109"/>
      <c r="B501" s="109"/>
      <c r="C501" s="109"/>
      <c r="D501" s="109"/>
      <c r="E501" s="109"/>
      <c r="F501" s="109"/>
      <c r="G501" s="109"/>
      <c r="H501" s="109"/>
      <c r="I501" s="109"/>
      <c r="J501" s="109"/>
      <c r="K501" s="317"/>
      <c r="L501" s="109"/>
      <c r="M501" s="109"/>
      <c r="N501" s="109"/>
      <c r="O501" s="109"/>
      <c r="P501" s="109"/>
      <c r="Q501" s="109"/>
      <c r="R501" s="109"/>
      <c r="S501" s="109"/>
      <c r="T501" s="109"/>
      <c r="U501" s="109"/>
      <c r="V501" s="109"/>
      <c r="W501" s="109"/>
      <c r="X501" s="109"/>
      <c r="Y501" s="109"/>
      <c r="Z501" s="109"/>
    </row>
    <row r="502" ht="39.75" customHeight="1">
      <c r="A502" s="109"/>
      <c r="B502" s="109"/>
      <c r="C502" s="109"/>
      <c r="D502" s="109"/>
      <c r="E502" s="109"/>
      <c r="F502" s="109"/>
      <c r="G502" s="109"/>
      <c r="H502" s="109"/>
      <c r="I502" s="109"/>
      <c r="J502" s="109"/>
      <c r="K502" s="317"/>
      <c r="L502" s="109"/>
      <c r="M502" s="109"/>
      <c r="N502" s="109"/>
      <c r="O502" s="109"/>
      <c r="P502" s="109"/>
      <c r="Q502" s="109"/>
      <c r="R502" s="109"/>
      <c r="S502" s="109"/>
      <c r="T502" s="109"/>
      <c r="U502" s="109"/>
      <c r="V502" s="109"/>
      <c r="W502" s="109"/>
      <c r="X502" s="109"/>
      <c r="Y502" s="109"/>
      <c r="Z502" s="109"/>
    </row>
    <row r="503" ht="39.75" customHeight="1">
      <c r="A503" s="109"/>
      <c r="B503" s="109"/>
      <c r="C503" s="109"/>
      <c r="D503" s="109"/>
      <c r="E503" s="109"/>
      <c r="F503" s="109"/>
      <c r="G503" s="109"/>
      <c r="H503" s="109"/>
      <c r="I503" s="109"/>
      <c r="J503" s="109"/>
      <c r="K503" s="317"/>
      <c r="L503" s="109"/>
      <c r="M503" s="109"/>
      <c r="N503" s="109"/>
      <c r="O503" s="109"/>
      <c r="P503" s="109"/>
      <c r="Q503" s="109"/>
      <c r="R503" s="109"/>
      <c r="S503" s="109"/>
      <c r="T503" s="109"/>
      <c r="U503" s="109"/>
      <c r="V503" s="109"/>
      <c r="W503" s="109"/>
      <c r="X503" s="109"/>
      <c r="Y503" s="109"/>
      <c r="Z503" s="109"/>
    </row>
    <row r="504" ht="39.75" customHeight="1">
      <c r="A504" s="109"/>
      <c r="B504" s="109"/>
      <c r="C504" s="109"/>
      <c r="D504" s="109"/>
      <c r="E504" s="109"/>
      <c r="F504" s="109"/>
      <c r="G504" s="109"/>
      <c r="H504" s="109"/>
      <c r="I504" s="109"/>
      <c r="J504" s="109"/>
      <c r="K504" s="317"/>
      <c r="L504" s="109"/>
      <c r="M504" s="109"/>
      <c r="N504" s="109"/>
      <c r="O504" s="109"/>
      <c r="P504" s="109"/>
      <c r="Q504" s="109"/>
      <c r="R504" s="109"/>
      <c r="S504" s="109"/>
      <c r="T504" s="109"/>
      <c r="U504" s="109"/>
      <c r="V504" s="109"/>
      <c r="W504" s="109"/>
      <c r="X504" s="109"/>
      <c r="Y504" s="109"/>
      <c r="Z504" s="109"/>
    </row>
    <row r="505" ht="39.75" customHeight="1">
      <c r="A505" s="109"/>
      <c r="B505" s="109"/>
      <c r="C505" s="109"/>
      <c r="D505" s="109"/>
      <c r="E505" s="109"/>
      <c r="F505" s="109"/>
      <c r="G505" s="109"/>
      <c r="H505" s="109"/>
      <c r="I505" s="109"/>
      <c r="J505" s="109"/>
      <c r="K505" s="317"/>
      <c r="L505" s="109"/>
      <c r="M505" s="109"/>
      <c r="N505" s="109"/>
      <c r="O505" s="109"/>
      <c r="P505" s="109"/>
      <c r="Q505" s="109"/>
      <c r="R505" s="109"/>
      <c r="S505" s="109"/>
      <c r="T505" s="109"/>
      <c r="U505" s="109"/>
      <c r="V505" s="109"/>
      <c r="W505" s="109"/>
      <c r="X505" s="109"/>
      <c r="Y505" s="109"/>
      <c r="Z505" s="109"/>
    </row>
    <row r="506" ht="39.75" customHeight="1">
      <c r="A506" s="109"/>
      <c r="B506" s="109"/>
      <c r="C506" s="109"/>
      <c r="D506" s="109"/>
      <c r="E506" s="109"/>
      <c r="F506" s="109"/>
      <c r="G506" s="109"/>
      <c r="H506" s="109"/>
      <c r="I506" s="109"/>
      <c r="J506" s="109"/>
      <c r="K506" s="317"/>
      <c r="L506" s="109"/>
      <c r="M506" s="109"/>
      <c r="N506" s="109"/>
      <c r="O506" s="109"/>
      <c r="P506" s="109"/>
      <c r="Q506" s="109"/>
      <c r="R506" s="109"/>
      <c r="S506" s="109"/>
      <c r="T506" s="109"/>
      <c r="U506" s="109"/>
      <c r="V506" s="109"/>
      <c r="W506" s="109"/>
      <c r="X506" s="109"/>
      <c r="Y506" s="109"/>
      <c r="Z506" s="109"/>
    </row>
    <row r="507" ht="39.75" customHeight="1">
      <c r="A507" s="109"/>
      <c r="B507" s="109"/>
      <c r="C507" s="109"/>
      <c r="D507" s="109"/>
      <c r="E507" s="109"/>
      <c r="F507" s="109"/>
      <c r="G507" s="109"/>
      <c r="H507" s="109"/>
      <c r="I507" s="109"/>
      <c r="J507" s="109"/>
      <c r="K507" s="317"/>
      <c r="L507" s="109"/>
      <c r="M507" s="109"/>
      <c r="N507" s="109"/>
      <c r="O507" s="109"/>
      <c r="P507" s="109"/>
      <c r="Q507" s="109"/>
      <c r="R507" s="109"/>
      <c r="S507" s="109"/>
      <c r="T507" s="109"/>
      <c r="U507" s="109"/>
      <c r="V507" s="109"/>
      <c r="W507" s="109"/>
      <c r="X507" s="109"/>
      <c r="Y507" s="109"/>
      <c r="Z507" s="109"/>
    </row>
    <row r="508" ht="39.75" customHeight="1">
      <c r="A508" s="109"/>
      <c r="B508" s="109"/>
      <c r="C508" s="109"/>
      <c r="D508" s="109"/>
      <c r="E508" s="109"/>
      <c r="F508" s="109"/>
      <c r="G508" s="109"/>
      <c r="H508" s="109"/>
      <c r="I508" s="109"/>
      <c r="J508" s="109"/>
      <c r="K508" s="317"/>
      <c r="L508" s="109"/>
      <c r="M508" s="109"/>
      <c r="N508" s="109"/>
      <c r="O508" s="109"/>
      <c r="P508" s="109"/>
      <c r="Q508" s="109"/>
      <c r="R508" s="109"/>
      <c r="S508" s="109"/>
      <c r="T508" s="109"/>
      <c r="U508" s="109"/>
      <c r="V508" s="109"/>
      <c r="W508" s="109"/>
      <c r="X508" s="109"/>
      <c r="Y508" s="109"/>
      <c r="Z508" s="109"/>
    </row>
    <row r="509" ht="39.75" customHeight="1">
      <c r="A509" s="109"/>
      <c r="B509" s="109"/>
      <c r="C509" s="109"/>
      <c r="D509" s="109"/>
      <c r="E509" s="109"/>
      <c r="F509" s="109"/>
      <c r="G509" s="109"/>
      <c r="H509" s="109"/>
      <c r="I509" s="109"/>
      <c r="J509" s="109"/>
      <c r="K509" s="317"/>
      <c r="L509" s="109"/>
      <c r="M509" s="109"/>
      <c r="N509" s="109"/>
      <c r="O509" s="109"/>
      <c r="P509" s="109"/>
      <c r="Q509" s="109"/>
      <c r="R509" s="109"/>
      <c r="S509" s="109"/>
      <c r="T509" s="109"/>
      <c r="U509" s="109"/>
      <c r="V509" s="109"/>
      <c r="W509" s="109"/>
      <c r="X509" s="109"/>
      <c r="Y509" s="109"/>
      <c r="Z509" s="109"/>
    </row>
    <row r="510" ht="39.75" customHeight="1">
      <c r="A510" s="109"/>
      <c r="B510" s="109"/>
      <c r="C510" s="109"/>
      <c r="D510" s="109"/>
      <c r="E510" s="109"/>
      <c r="F510" s="109"/>
      <c r="G510" s="109"/>
      <c r="H510" s="109"/>
      <c r="I510" s="109"/>
      <c r="J510" s="109"/>
      <c r="K510" s="317"/>
      <c r="L510" s="109"/>
      <c r="M510" s="109"/>
      <c r="N510" s="109"/>
      <c r="O510" s="109"/>
      <c r="P510" s="109"/>
      <c r="Q510" s="109"/>
      <c r="R510" s="109"/>
      <c r="S510" s="109"/>
      <c r="T510" s="109"/>
      <c r="U510" s="109"/>
      <c r="V510" s="109"/>
      <c r="W510" s="109"/>
      <c r="X510" s="109"/>
      <c r="Y510" s="109"/>
      <c r="Z510" s="109"/>
    </row>
    <row r="511" ht="39.75" customHeight="1">
      <c r="A511" s="109"/>
      <c r="B511" s="109"/>
      <c r="C511" s="109"/>
      <c r="D511" s="109"/>
      <c r="E511" s="109"/>
      <c r="F511" s="109"/>
      <c r="G511" s="109"/>
      <c r="H511" s="109"/>
      <c r="I511" s="109"/>
      <c r="J511" s="109"/>
      <c r="K511" s="317"/>
      <c r="L511" s="109"/>
      <c r="M511" s="109"/>
      <c r="N511" s="109"/>
      <c r="O511" s="109"/>
      <c r="P511" s="109"/>
      <c r="Q511" s="109"/>
      <c r="R511" s="109"/>
      <c r="S511" s="109"/>
      <c r="T511" s="109"/>
      <c r="U511" s="109"/>
      <c r="V511" s="109"/>
      <c r="W511" s="109"/>
      <c r="X511" s="109"/>
      <c r="Y511" s="109"/>
      <c r="Z511" s="109"/>
    </row>
    <row r="512" ht="39.75" customHeight="1">
      <c r="A512" s="109"/>
      <c r="B512" s="109"/>
      <c r="C512" s="109"/>
      <c r="D512" s="109"/>
      <c r="E512" s="109"/>
      <c r="F512" s="109"/>
      <c r="G512" s="109"/>
      <c r="H512" s="109"/>
      <c r="I512" s="109"/>
      <c r="J512" s="109"/>
      <c r="K512" s="317"/>
      <c r="L512" s="109"/>
      <c r="M512" s="109"/>
      <c r="N512" s="109"/>
      <c r="O512" s="109"/>
      <c r="P512" s="109"/>
      <c r="Q512" s="109"/>
      <c r="R512" s="109"/>
      <c r="S512" s="109"/>
      <c r="T512" s="109"/>
      <c r="U512" s="109"/>
      <c r="V512" s="109"/>
      <c r="W512" s="109"/>
      <c r="X512" s="109"/>
      <c r="Y512" s="109"/>
      <c r="Z512" s="109"/>
    </row>
    <row r="513" ht="39.75" customHeight="1">
      <c r="A513" s="109"/>
      <c r="B513" s="109"/>
      <c r="C513" s="109"/>
      <c r="D513" s="109"/>
      <c r="E513" s="109"/>
      <c r="F513" s="109"/>
      <c r="G513" s="109"/>
      <c r="H513" s="109"/>
      <c r="I513" s="109"/>
      <c r="J513" s="109"/>
      <c r="K513" s="317"/>
      <c r="L513" s="109"/>
      <c r="M513" s="109"/>
      <c r="N513" s="109"/>
      <c r="O513" s="109"/>
      <c r="P513" s="109"/>
      <c r="Q513" s="109"/>
      <c r="R513" s="109"/>
      <c r="S513" s="109"/>
      <c r="T513" s="109"/>
      <c r="U513" s="109"/>
      <c r="V513" s="109"/>
      <c r="W513" s="109"/>
      <c r="X513" s="109"/>
      <c r="Y513" s="109"/>
      <c r="Z513" s="109"/>
    </row>
    <row r="514" ht="39.75" customHeight="1">
      <c r="A514" s="109"/>
      <c r="B514" s="109"/>
      <c r="C514" s="109"/>
      <c r="D514" s="109"/>
      <c r="E514" s="109"/>
      <c r="F514" s="109"/>
      <c r="G514" s="109"/>
      <c r="H514" s="109"/>
      <c r="I514" s="109"/>
      <c r="J514" s="109"/>
      <c r="K514" s="317"/>
      <c r="L514" s="109"/>
      <c r="M514" s="109"/>
      <c r="N514" s="109"/>
      <c r="O514" s="109"/>
      <c r="P514" s="109"/>
      <c r="Q514" s="109"/>
      <c r="R514" s="109"/>
      <c r="S514" s="109"/>
      <c r="T514" s="109"/>
      <c r="U514" s="109"/>
      <c r="V514" s="109"/>
      <c r="W514" s="109"/>
      <c r="X514" s="109"/>
      <c r="Y514" s="109"/>
      <c r="Z514" s="109"/>
    </row>
    <row r="515" ht="39.75" customHeight="1">
      <c r="A515" s="109"/>
      <c r="B515" s="109"/>
      <c r="C515" s="109"/>
      <c r="D515" s="109"/>
      <c r="E515" s="109"/>
      <c r="F515" s="109"/>
      <c r="G515" s="109"/>
      <c r="H515" s="109"/>
      <c r="I515" s="109"/>
      <c r="J515" s="109"/>
      <c r="K515" s="317"/>
      <c r="L515" s="109"/>
      <c r="M515" s="109"/>
      <c r="N515" s="109"/>
      <c r="O515" s="109"/>
      <c r="P515" s="109"/>
      <c r="Q515" s="109"/>
      <c r="R515" s="109"/>
      <c r="S515" s="109"/>
      <c r="T515" s="109"/>
      <c r="U515" s="109"/>
      <c r="V515" s="109"/>
      <c r="W515" s="109"/>
      <c r="X515" s="109"/>
      <c r="Y515" s="109"/>
      <c r="Z515" s="109"/>
    </row>
    <row r="516" ht="39.75" customHeight="1">
      <c r="A516" s="109"/>
      <c r="B516" s="109"/>
      <c r="C516" s="109"/>
      <c r="D516" s="109"/>
      <c r="E516" s="109"/>
      <c r="F516" s="109"/>
      <c r="G516" s="109"/>
      <c r="H516" s="109"/>
      <c r="I516" s="109"/>
      <c r="J516" s="109"/>
      <c r="K516" s="317"/>
      <c r="L516" s="109"/>
      <c r="M516" s="109"/>
      <c r="N516" s="109"/>
      <c r="O516" s="109"/>
      <c r="P516" s="109"/>
      <c r="Q516" s="109"/>
      <c r="R516" s="109"/>
      <c r="S516" s="109"/>
      <c r="T516" s="109"/>
      <c r="U516" s="109"/>
      <c r="V516" s="109"/>
      <c r="W516" s="109"/>
      <c r="X516" s="109"/>
      <c r="Y516" s="109"/>
      <c r="Z516" s="109"/>
    </row>
    <row r="517" ht="39.75" customHeight="1">
      <c r="A517" s="109"/>
      <c r="B517" s="109"/>
      <c r="C517" s="109"/>
      <c r="D517" s="109"/>
      <c r="E517" s="109"/>
      <c r="F517" s="109"/>
      <c r="G517" s="109"/>
      <c r="H517" s="109"/>
      <c r="I517" s="109"/>
      <c r="J517" s="109"/>
      <c r="K517" s="317"/>
      <c r="L517" s="109"/>
      <c r="M517" s="109"/>
      <c r="N517" s="109"/>
      <c r="O517" s="109"/>
      <c r="P517" s="109"/>
      <c r="Q517" s="109"/>
      <c r="R517" s="109"/>
      <c r="S517" s="109"/>
      <c r="T517" s="109"/>
      <c r="U517" s="109"/>
      <c r="V517" s="109"/>
      <c r="W517" s="109"/>
      <c r="X517" s="109"/>
      <c r="Y517" s="109"/>
      <c r="Z517" s="109"/>
    </row>
    <row r="518" ht="39.75" customHeight="1">
      <c r="A518" s="109"/>
      <c r="B518" s="109"/>
      <c r="C518" s="109"/>
      <c r="D518" s="109"/>
      <c r="E518" s="109"/>
      <c r="F518" s="109"/>
      <c r="G518" s="109"/>
      <c r="H518" s="109"/>
      <c r="I518" s="109"/>
      <c r="J518" s="109"/>
      <c r="K518" s="317"/>
      <c r="L518" s="109"/>
      <c r="M518" s="109"/>
      <c r="N518" s="109"/>
      <c r="O518" s="109"/>
      <c r="P518" s="109"/>
      <c r="Q518" s="109"/>
      <c r="R518" s="109"/>
      <c r="S518" s="109"/>
      <c r="T518" s="109"/>
      <c r="U518" s="109"/>
      <c r="V518" s="109"/>
      <c r="W518" s="109"/>
      <c r="X518" s="109"/>
      <c r="Y518" s="109"/>
      <c r="Z518" s="109"/>
    </row>
    <row r="519" ht="39.75" customHeight="1">
      <c r="A519" s="109"/>
      <c r="B519" s="109"/>
      <c r="C519" s="109"/>
      <c r="D519" s="109"/>
      <c r="E519" s="109"/>
      <c r="F519" s="109"/>
      <c r="G519" s="109"/>
      <c r="H519" s="109"/>
      <c r="I519" s="109"/>
      <c r="J519" s="109"/>
      <c r="K519" s="317"/>
      <c r="L519" s="109"/>
      <c r="M519" s="109"/>
      <c r="N519" s="109"/>
      <c r="O519" s="109"/>
      <c r="P519" s="109"/>
      <c r="Q519" s="109"/>
      <c r="R519" s="109"/>
      <c r="S519" s="109"/>
      <c r="T519" s="109"/>
      <c r="U519" s="109"/>
      <c r="V519" s="109"/>
      <c r="W519" s="109"/>
      <c r="X519" s="109"/>
      <c r="Y519" s="109"/>
      <c r="Z519" s="109"/>
    </row>
    <row r="520" ht="39.75" customHeight="1">
      <c r="A520" s="109"/>
      <c r="B520" s="109"/>
      <c r="C520" s="109"/>
      <c r="D520" s="109"/>
      <c r="E520" s="109"/>
      <c r="F520" s="109"/>
      <c r="G520" s="109"/>
      <c r="H520" s="109"/>
      <c r="I520" s="109"/>
      <c r="J520" s="109"/>
      <c r="K520" s="317"/>
      <c r="L520" s="109"/>
      <c r="M520" s="109"/>
      <c r="N520" s="109"/>
      <c r="O520" s="109"/>
      <c r="P520" s="109"/>
      <c r="Q520" s="109"/>
      <c r="R520" s="109"/>
      <c r="S520" s="109"/>
      <c r="T520" s="109"/>
      <c r="U520" s="109"/>
      <c r="V520" s="109"/>
      <c r="W520" s="109"/>
      <c r="X520" s="109"/>
      <c r="Y520" s="109"/>
      <c r="Z520" s="109"/>
    </row>
    <row r="521" ht="39.75" customHeight="1">
      <c r="A521" s="109"/>
      <c r="B521" s="109"/>
      <c r="C521" s="109"/>
      <c r="D521" s="109"/>
      <c r="E521" s="109"/>
      <c r="F521" s="109"/>
      <c r="G521" s="109"/>
      <c r="H521" s="109"/>
      <c r="I521" s="109"/>
      <c r="J521" s="109"/>
      <c r="K521" s="317"/>
      <c r="L521" s="109"/>
      <c r="M521" s="109"/>
      <c r="N521" s="109"/>
      <c r="O521" s="109"/>
      <c r="P521" s="109"/>
      <c r="Q521" s="109"/>
      <c r="R521" s="109"/>
      <c r="S521" s="109"/>
      <c r="T521" s="109"/>
      <c r="U521" s="109"/>
      <c r="V521" s="109"/>
      <c r="W521" s="109"/>
      <c r="X521" s="109"/>
      <c r="Y521" s="109"/>
      <c r="Z521" s="109"/>
    </row>
    <row r="522" ht="39.75" customHeight="1">
      <c r="A522" s="109"/>
      <c r="B522" s="109"/>
      <c r="C522" s="109"/>
      <c r="D522" s="109"/>
      <c r="E522" s="109"/>
      <c r="F522" s="109"/>
      <c r="G522" s="109"/>
      <c r="H522" s="109"/>
      <c r="I522" s="109"/>
      <c r="J522" s="109"/>
      <c r="K522" s="317"/>
      <c r="L522" s="109"/>
      <c r="M522" s="109"/>
      <c r="N522" s="109"/>
      <c r="O522" s="109"/>
      <c r="P522" s="109"/>
      <c r="Q522" s="109"/>
      <c r="R522" s="109"/>
      <c r="S522" s="109"/>
      <c r="T522" s="109"/>
      <c r="U522" s="109"/>
      <c r="V522" s="109"/>
      <c r="W522" s="109"/>
      <c r="X522" s="109"/>
      <c r="Y522" s="109"/>
      <c r="Z522" s="109"/>
    </row>
    <row r="523" ht="39.75" customHeight="1">
      <c r="A523" s="109"/>
      <c r="B523" s="109"/>
      <c r="C523" s="109"/>
      <c r="D523" s="109"/>
      <c r="E523" s="109"/>
      <c r="F523" s="109"/>
      <c r="G523" s="109"/>
      <c r="H523" s="109"/>
      <c r="I523" s="109"/>
      <c r="J523" s="109"/>
      <c r="K523" s="317"/>
      <c r="L523" s="109"/>
      <c r="M523" s="109"/>
      <c r="N523" s="109"/>
      <c r="O523" s="109"/>
      <c r="P523" s="109"/>
      <c r="Q523" s="109"/>
      <c r="R523" s="109"/>
      <c r="S523" s="109"/>
      <c r="T523" s="109"/>
      <c r="U523" s="109"/>
      <c r="V523" s="109"/>
      <c r="W523" s="109"/>
      <c r="X523" s="109"/>
      <c r="Y523" s="109"/>
      <c r="Z523" s="109"/>
    </row>
    <row r="524" ht="39.75" customHeight="1">
      <c r="A524" s="109"/>
      <c r="B524" s="109"/>
      <c r="C524" s="109"/>
      <c r="D524" s="109"/>
      <c r="E524" s="109"/>
      <c r="F524" s="109"/>
      <c r="G524" s="109"/>
      <c r="H524" s="109"/>
      <c r="I524" s="109"/>
      <c r="J524" s="109"/>
      <c r="K524" s="317"/>
      <c r="L524" s="109"/>
      <c r="M524" s="109"/>
      <c r="N524" s="109"/>
      <c r="O524" s="109"/>
      <c r="P524" s="109"/>
      <c r="Q524" s="109"/>
      <c r="R524" s="109"/>
      <c r="S524" s="109"/>
      <c r="T524" s="109"/>
      <c r="U524" s="109"/>
      <c r="V524" s="109"/>
      <c r="W524" s="109"/>
      <c r="X524" s="109"/>
      <c r="Y524" s="109"/>
      <c r="Z524" s="109"/>
    </row>
    <row r="525" ht="39.75" customHeight="1">
      <c r="A525" s="109"/>
      <c r="B525" s="109"/>
      <c r="C525" s="109"/>
      <c r="D525" s="109"/>
      <c r="E525" s="109"/>
      <c r="F525" s="109"/>
      <c r="G525" s="109"/>
      <c r="H525" s="109"/>
      <c r="I525" s="109"/>
      <c r="J525" s="109"/>
      <c r="K525" s="317"/>
      <c r="L525" s="109"/>
      <c r="M525" s="109"/>
      <c r="N525" s="109"/>
      <c r="O525" s="109"/>
      <c r="P525" s="109"/>
      <c r="Q525" s="109"/>
      <c r="R525" s="109"/>
      <c r="S525" s="109"/>
      <c r="T525" s="109"/>
      <c r="U525" s="109"/>
      <c r="V525" s="109"/>
      <c r="W525" s="109"/>
      <c r="X525" s="109"/>
      <c r="Y525" s="109"/>
      <c r="Z525" s="109"/>
    </row>
    <row r="526" ht="39.75" customHeight="1">
      <c r="A526" s="109"/>
      <c r="B526" s="109"/>
      <c r="C526" s="109"/>
      <c r="D526" s="109"/>
      <c r="E526" s="109"/>
      <c r="F526" s="109"/>
      <c r="G526" s="109"/>
      <c r="H526" s="109"/>
      <c r="I526" s="109"/>
      <c r="J526" s="109"/>
      <c r="K526" s="317"/>
      <c r="L526" s="109"/>
      <c r="M526" s="109"/>
      <c r="N526" s="109"/>
      <c r="O526" s="109"/>
      <c r="P526" s="109"/>
      <c r="Q526" s="109"/>
      <c r="R526" s="109"/>
      <c r="S526" s="109"/>
      <c r="T526" s="109"/>
      <c r="U526" s="109"/>
      <c r="V526" s="109"/>
      <c r="W526" s="109"/>
      <c r="X526" s="109"/>
      <c r="Y526" s="109"/>
      <c r="Z526" s="109"/>
    </row>
    <row r="527" ht="39.75" customHeight="1">
      <c r="A527" s="109"/>
      <c r="B527" s="109"/>
      <c r="C527" s="109"/>
      <c r="D527" s="109"/>
      <c r="E527" s="109"/>
      <c r="F527" s="109"/>
      <c r="G527" s="109"/>
      <c r="H527" s="109"/>
      <c r="I527" s="109"/>
      <c r="J527" s="109"/>
      <c r="K527" s="317"/>
      <c r="L527" s="109"/>
      <c r="M527" s="109"/>
      <c r="N527" s="109"/>
      <c r="O527" s="109"/>
      <c r="P527" s="109"/>
      <c r="Q527" s="109"/>
      <c r="R527" s="109"/>
      <c r="S527" s="109"/>
      <c r="T527" s="109"/>
      <c r="U527" s="109"/>
      <c r="V527" s="109"/>
      <c r="W527" s="109"/>
      <c r="X527" s="109"/>
      <c r="Y527" s="109"/>
      <c r="Z527" s="109"/>
    </row>
    <row r="528" ht="39.75" customHeight="1">
      <c r="A528" s="109"/>
      <c r="B528" s="109"/>
      <c r="C528" s="109"/>
      <c r="D528" s="109"/>
      <c r="E528" s="109"/>
      <c r="F528" s="109"/>
      <c r="G528" s="109"/>
      <c r="H528" s="109"/>
      <c r="I528" s="109"/>
      <c r="J528" s="109"/>
      <c r="K528" s="317"/>
      <c r="L528" s="109"/>
      <c r="M528" s="109"/>
      <c r="N528" s="109"/>
      <c r="O528" s="109"/>
      <c r="P528" s="109"/>
      <c r="Q528" s="109"/>
      <c r="R528" s="109"/>
      <c r="S528" s="109"/>
      <c r="T528" s="109"/>
      <c r="U528" s="109"/>
      <c r="V528" s="109"/>
      <c r="W528" s="109"/>
      <c r="X528" s="109"/>
      <c r="Y528" s="109"/>
      <c r="Z528" s="109"/>
    </row>
    <row r="529" ht="39.75" customHeight="1">
      <c r="A529" s="109"/>
      <c r="B529" s="109"/>
      <c r="C529" s="109"/>
      <c r="D529" s="109"/>
      <c r="E529" s="109"/>
      <c r="F529" s="109"/>
      <c r="G529" s="109"/>
      <c r="H529" s="109"/>
      <c r="I529" s="109"/>
      <c r="J529" s="109"/>
      <c r="K529" s="317"/>
      <c r="L529" s="109"/>
      <c r="M529" s="109"/>
      <c r="N529" s="109"/>
      <c r="O529" s="109"/>
      <c r="P529" s="109"/>
      <c r="Q529" s="109"/>
      <c r="R529" s="109"/>
      <c r="S529" s="109"/>
      <c r="T529" s="109"/>
      <c r="U529" s="109"/>
      <c r="V529" s="109"/>
      <c r="W529" s="109"/>
      <c r="X529" s="109"/>
      <c r="Y529" s="109"/>
      <c r="Z529" s="109"/>
    </row>
    <row r="530" ht="39.75" customHeight="1">
      <c r="A530" s="109"/>
      <c r="B530" s="109"/>
      <c r="C530" s="109"/>
      <c r="D530" s="109"/>
      <c r="E530" s="109"/>
      <c r="F530" s="109"/>
      <c r="G530" s="109"/>
      <c r="H530" s="109"/>
      <c r="I530" s="109"/>
      <c r="J530" s="109"/>
      <c r="K530" s="317"/>
      <c r="L530" s="109"/>
      <c r="M530" s="109"/>
      <c r="N530" s="109"/>
      <c r="O530" s="109"/>
      <c r="P530" s="109"/>
      <c r="Q530" s="109"/>
      <c r="R530" s="109"/>
      <c r="S530" s="109"/>
      <c r="T530" s="109"/>
      <c r="U530" s="109"/>
      <c r="V530" s="109"/>
      <c r="W530" s="109"/>
      <c r="X530" s="109"/>
      <c r="Y530" s="109"/>
      <c r="Z530" s="109"/>
    </row>
    <row r="531" ht="39.75" customHeight="1">
      <c r="A531" s="109"/>
      <c r="B531" s="109"/>
      <c r="C531" s="109"/>
      <c r="D531" s="109"/>
      <c r="E531" s="109"/>
      <c r="F531" s="109"/>
      <c r="G531" s="109"/>
      <c r="H531" s="109"/>
      <c r="I531" s="109"/>
      <c r="J531" s="109"/>
      <c r="K531" s="317"/>
      <c r="L531" s="109"/>
      <c r="M531" s="109"/>
      <c r="N531" s="109"/>
      <c r="O531" s="109"/>
      <c r="P531" s="109"/>
      <c r="Q531" s="109"/>
      <c r="R531" s="109"/>
      <c r="S531" s="109"/>
      <c r="T531" s="109"/>
      <c r="U531" s="109"/>
      <c r="V531" s="109"/>
      <c r="W531" s="109"/>
      <c r="X531" s="109"/>
      <c r="Y531" s="109"/>
      <c r="Z531" s="109"/>
    </row>
    <row r="532" ht="39.75" customHeight="1">
      <c r="A532" s="109"/>
      <c r="B532" s="109"/>
      <c r="C532" s="109"/>
      <c r="D532" s="109"/>
      <c r="E532" s="109"/>
      <c r="F532" s="109"/>
      <c r="G532" s="109"/>
      <c r="H532" s="109"/>
      <c r="I532" s="109"/>
      <c r="J532" s="109"/>
      <c r="K532" s="317"/>
      <c r="L532" s="109"/>
      <c r="M532" s="109"/>
      <c r="N532" s="109"/>
      <c r="O532" s="109"/>
      <c r="P532" s="109"/>
      <c r="Q532" s="109"/>
      <c r="R532" s="109"/>
      <c r="S532" s="109"/>
      <c r="T532" s="109"/>
      <c r="U532" s="109"/>
      <c r="V532" s="109"/>
      <c r="W532" s="109"/>
      <c r="X532" s="109"/>
      <c r="Y532" s="109"/>
      <c r="Z532" s="109"/>
    </row>
    <row r="533" ht="39.75" customHeight="1">
      <c r="A533" s="109"/>
      <c r="B533" s="109"/>
      <c r="C533" s="109"/>
      <c r="D533" s="109"/>
      <c r="E533" s="109"/>
      <c r="F533" s="109"/>
      <c r="G533" s="109"/>
      <c r="H533" s="109"/>
      <c r="I533" s="109"/>
      <c r="J533" s="109"/>
      <c r="K533" s="317"/>
      <c r="L533" s="109"/>
      <c r="M533" s="109"/>
      <c r="N533" s="109"/>
      <c r="O533" s="109"/>
      <c r="P533" s="109"/>
      <c r="Q533" s="109"/>
      <c r="R533" s="109"/>
      <c r="S533" s="109"/>
      <c r="T533" s="109"/>
      <c r="U533" s="109"/>
      <c r="V533" s="109"/>
      <c r="W533" s="109"/>
      <c r="X533" s="109"/>
      <c r="Y533" s="109"/>
      <c r="Z533" s="109"/>
    </row>
    <row r="534" ht="39.75" customHeight="1">
      <c r="A534" s="109"/>
      <c r="B534" s="109"/>
      <c r="C534" s="109"/>
      <c r="D534" s="109"/>
      <c r="E534" s="109"/>
      <c r="F534" s="109"/>
      <c r="G534" s="109"/>
      <c r="H534" s="109"/>
      <c r="I534" s="109"/>
      <c r="J534" s="109"/>
      <c r="K534" s="317"/>
      <c r="L534" s="109"/>
      <c r="M534" s="109"/>
      <c r="N534" s="109"/>
      <c r="O534" s="109"/>
      <c r="P534" s="109"/>
      <c r="Q534" s="109"/>
      <c r="R534" s="109"/>
      <c r="S534" s="109"/>
      <c r="T534" s="109"/>
      <c r="U534" s="109"/>
      <c r="V534" s="109"/>
      <c r="W534" s="109"/>
      <c r="X534" s="109"/>
      <c r="Y534" s="109"/>
      <c r="Z534" s="109"/>
    </row>
    <row r="535" ht="39.75" customHeight="1">
      <c r="A535" s="109"/>
      <c r="B535" s="109"/>
      <c r="C535" s="109"/>
      <c r="D535" s="109"/>
      <c r="E535" s="109"/>
      <c r="F535" s="109"/>
      <c r="G535" s="109"/>
      <c r="H535" s="109"/>
      <c r="I535" s="109"/>
      <c r="J535" s="109"/>
      <c r="K535" s="317"/>
      <c r="L535" s="109"/>
      <c r="M535" s="109"/>
      <c r="N535" s="109"/>
      <c r="O535" s="109"/>
      <c r="P535" s="109"/>
      <c r="Q535" s="109"/>
      <c r="R535" s="109"/>
      <c r="S535" s="109"/>
      <c r="T535" s="109"/>
      <c r="U535" s="109"/>
      <c r="V535" s="109"/>
      <c r="W535" s="109"/>
      <c r="X535" s="109"/>
      <c r="Y535" s="109"/>
      <c r="Z535" s="109"/>
    </row>
    <row r="536" ht="39.75" customHeight="1">
      <c r="A536" s="109"/>
      <c r="B536" s="109"/>
      <c r="C536" s="109"/>
      <c r="D536" s="109"/>
      <c r="E536" s="109"/>
      <c r="F536" s="109"/>
      <c r="G536" s="109"/>
      <c r="H536" s="109"/>
      <c r="I536" s="109"/>
      <c r="J536" s="109"/>
      <c r="K536" s="317"/>
      <c r="L536" s="109"/>
      <c r="M536" s="109"/>
      <c r="N536" s="109"/>
      <c r="O536" s="109"/>
      <c r="P536" s="109"/>
      <c r="Q536" s="109"/>
      <c r="R536" s="109"/>
      <c r="S536" s="109"/>
      <c r="T536" s="109"/>
      <c r="U536" s="109"/>
      <c r="V536" s="109"/>
      <c r="W536" s="109"/>
      <c r="X536" s="109"/>
      <c r="Y536" s="109"/>
      <c r="Z536" s="109"/>
    </row>
    <row r="537" ht="39.75" customHeight="1">
      <c r="A537" s="109"/>
      <c r="B537" s="109"/>
      <c r="C537" s="109"/>
      <c r="D537" s="109"/>
      <c r="E537" s="109"/>
      <c r="F537" s="109"/>
      <c r="G537" s="109"/>
      <c r="H537" s="109"/>
      <c r="I537" s="109"/>
      <c r="J537" s="109"/>
      <c r="K537" s="317"/>
      <c r="L537" s="109"/>
      <c r="M537" s="109"/>
      <c r="N537" s="109"/>
      <c r="O537" s="109"/>
      <c r="P537" s="109"/>
      <c r="Q537" s="109"/>
      <c r="R537" s="109"/>
      <c r="S537" s="109"/>
      <c r="T537" s="109"/>
      <c r="U537" s="109"/>
      <c r="V537" s="109"/>
      <c r="W537" s="109"/>
      <c r="X537" s="109"/>
      <c r="Y537" s="109"/>
      <c r="Z537" s="109"/>
    </row>
    <row r="538" ht="39.75" customHeight="1">
      <c r="A538" s="109"/>
      <c r="B538" s="109"/>
      <c r="C538" s="109"/>
      <c r="D538" s="109"/>
      <c r="E538" s="109"/>
      <c r="F538" s="109"/>
      <c r="G538" s="109"/>
      <c r="H538" s="109"/>
      <c r="I538" s="109"/>
      <c r="J538" s="109"/>
      <c r="K538" s="317"/>
      <c r="L538" s="109"/>
      <c r="M538" s="109"/>
      <c r="N538" s="109"/>
      <c r="O538" s="109"/>
      <c r="P538" s="109"/>
      <c r="Q538" s="109"/>
      <c r="R538" s="109"/>
      <c r="S538" s="109"/>
      <c r="T538" s="109"/>
      <c r="U538" s="109"/>
      <c r="V538" s="109"/>
      <c r="W538" s="109"/>
      <c r="X538" s="109"/>
      <c r="Y538" s="109"/>
      <c r="Z538" s="109"/>
    </row>
    <row r="539" ht="39.75" customHeight="1">
      <c r="A539" s="109"/>
      <c r="B539" s="109"/>
      <c r="C539" s="109"/>
      <c r="D539" s="109"/>
      <c r="E539" s="109"/>
      <c r="F539" s="109"/>
      <c r="G539" s="109"/>
      <c r="H539" s="109"/>
      <c r="I539" s="109"/>
      <c r="J539" s="109"/>
      <c r="K539" s="317"/>
      <c r="L539" s="109"/>
      <c r="M539" s="109"/>
      <c r="N539" s="109"/>
      <c r="O539" s="109"/>
      <c r="P539" s="109"/>
      <c r="Q539" s="109"/>
      <c r="R539" s="109"/>
      <c r="S539" s="109"/>
      <c r="T539" s="109"/>
      <c r="U539" s="109"/>
      <c r="V539" s="109"/>
      <c r="W539" s="109"/>
      <c r="X539" s="109"/>
      <c r="Y539" s="109"/>
      <c r="Z539" s="109"/>
    </row>
    <row r="540" ht="39.75" customHeight="1">
      <c r="A540" s="109"/>
      <c r="B540" s="109"/>
      <c r="C540" s="109"/>
      <c r="D540" s="109"/>
      <c r="E540" s="109"/>
      <c r="F540" s="109"/>
      <c r="G540" s="109"/>
      <c r="H540" s="109"/>
      <c r="I540" s="109"/>
      <c r="J540" s="109"/>
      <c r="K540" s="317"/>
      <c r="L540" s="109"/>
      <c r="M540" s="109"/>
      <c r="N540" s="109"/>
      <c r="O540" s="109"/>
      <c r="P540" s="109"/>
      <c r="Q540" s="109"/>
      <c r="R540" s="109"/>
      <c r="S540" s="109"/>
      <c r="T540" s="109"/>
      <c r="U540" s="109"/>
      <c r="V540" s="109"/>
      <c r="W540" s="109"/>
      <c r="X540" s="109"/>
      <c r="Y540" s="109"/>
      <c r="Z540" s="109"/>
    </row>
    <row r="541" ht="39.75" customHeight="1">
      <c r="A541" s="109"/>
      <c r="B541" s="109"/>
      <c r="C541" s="109"/>
      <c r="D541" s="109"/>
      <c r="E541" s="109"/>
      <c r="F541" s="109"/>
      <c r="G541" s="109"/>
      <c r="H541" s="109"/>
      <c r="I541" s="109"/>
      <c r="J541" s="109"/>
      <c r="K541" s="317"/>
      <c r="L541" s="109"/>
      <c r="M541" s="109"/>
      <c r="N541" s="109"/>
      <c r="O541" s="109"/>
      <c r="P541" s="109"/>
      <c r="Q541" s="109"/>
      <c r="R541" s="109"/>
      <c r="S541" s="109"/>
      <c r="T541" s="109"/>
      <c r="U541" s="109"/>
      <c r="V541" s="109"/>
      <c r="W541" s="109"/>
      <c r="X541" s="109"/>
      <c r="Y541" s="109"/>
      <c r="Z541" s="109"/>
    </row>
    <row r="542" ht="39.75" customHeight="1">
      <c r="A542" s="109"/>
      <c r="B542" s="109"/>
      <c r="C542" s="109"/>
      <c r="D542" s="109"/>
      <c r="E542" s="109"/>
      <c r="F542" s="109"/>
      <c r="G542" s="109"/>
      <c r="H542" s="109"/>
      <c r="I542" s="109"/>
      <c r="J542" s="109"/>
      <c r="K542" s="317"/>
      <c r="L542" s="109"/>
      <c r="M542" s="109"/>
      <c r="N542" s="109"/>
      <c r="O542" s="109"/>
      <c r="P542" s="109"/>
      <c r="Q542" s="109"/>
      <c r="R542" s="109"/>
      <c r="S542" s="109"/>
      <c r="T542" s="109"/>
      <c r="U542" s="109"/>
      <c r="V542" s="109"/>
      <c r="W542" s="109"/>
      <c r="X542" s="109"/>
      <c r="Y542" s="109"/>
      <c r="Z542" s="109"/>
    </row>
    <row r="543" ht="39.75" customHeight="1">
      <c r="A543" s="109"/>
      <c r="B543" s="109"/>
      <c r="C543" s="109"/>
      <c r="D543" s="109"/>
      <c r="E543" s="109"/>
      <c r="F543" s="109"/>
      <c r="G543" s="109"/>
      <c r="H543" s="109"/>
      <c r="I543" s="109"/>
      <c r="J543" s="109"/>
      <c r="K543" s="317"/>
      <c r="L543" s="109"/>
      <c r="M543" s="109"/>
      <c r="N543" s="109"/>
      <c r="O543" s="109"/>
      <c r="P543" s="109"/>
      <c r="Q543" s="109"/>
      <c r="R543" s="109"/>
      <c r="S543" s="109"/>
      <c r="T543" s="109"/>
      <c r="U543" s="109"/>
      <c r="V543" s="109"/>
      <c r="W543" s="109"/>
      <c r="X543" s="109"/>
      <c r="Y543" s="109"/>
      <c r="Z543" s="109"/>
    </row>
    <row r="544" ht="39.75" customHeight="1">
      <c r="A544" s="109"/>
      <c r="B544" s="109"/>
      <c r="C544" s="109"/>
      <c r="D544" s="109"/>
      <c r="E544" s="109"/>
      <c r="F544" s="109"/>
      <c r="G544" s="109"/>
      <c r="H544" s="109"/>
      <c r="I544" s="109"/>
      <c r="J544" s="109"/>
      <c r="K544" s="317"/>
      <c r="L544" s="109"/>
      <c r="M544" s="109"/>
      <c r="N544" s="109"/>
      <c r="O544" s="109"/>
      <c r="P544" s="109"/>
      <c r="Q544" s="109"/>
      <c r="R544" s="109"/>
      <c r="S544" s="109"/>
      <c r="T544" s="109"/>
      <c r="U544" s="109"/>
      <c r="V544" s="109"/>
      <c r="W544" s="109"/>
      <c r="X544" s="109"/>
      <c r="Y544" s="109"/>
      <c r="Z544" s="109"/>
    </row>
    <row r="545" ht="39.75" customHeight="1">
      <c r="A545" s="109"/>
      <c r="B545" s="109"/>
      <c r="C545" s="109"/>
      <c r="D545" s="109"/>
      <c r="E545" s="109"/>
      <c r="F545" s="109"/>
      <c r="G545" s="109"/>
      <c r="H545" s="109"/>
      <c r="I545" s="109"/>
      <c r="J545" s="109"/>
      <c r="K545" s="317"/>
      <c r="L545" s="109"/>
      <c r="M545" s="109"/>
      <c r="N545" s="109"/>
      <c r="O545" s="109"/>
      <c r="P545" s="109"/>
      <c r="Q545" s="109"/>
      <c r="R545" s="109"/>
      <c r="S545" s="109"/>
      <c r="T545" s="109"/>
      <c r="U545" s="109"/>
      <c r="V545" s="109"/>
      <c r="W545" s="109"/>
      <c r="X545" s="109"/>
      <c r="Y545" s="109"/>
      <c r="Z545" s="109"/>
    </row>
    <row r="546" ht="39.75" customHeight="1">
      <c r="A546" s="109"/>
      <c r="B546" s="109"/>
      <c r="C546" s="109"/>
      <c r="D546" s="109"/>
      <c r="E546" s="109"/>
      <c r="F546" s="109"/>
      <c r="G546" s="109"/>
      <c r="H546" s="109"/>
      <c r="I546" s="109"/>
      <c r="J546" s="109"/>
      <c r="K546" s="317"/>
      <c r="L546" s="109"/>
      <c r="M546" s="109"/>
      <c r="N546" s="109"/>
      <c r="O546" s="109"/>
      <c r="P546" s="109"/>
      <c r="Q546" s="109"/>
      <c r="R546" s="109"/>
      <c r="S546" s="109"/>
      <c r="T546" s="109"/>
      <c r="U546" s="109"/>
      <c r="V546" s="109"/>
      <c r="W546" s="109"/>
      <c r="X546" s="109"/>
      <c r="Y546" s="109"/>
      <c r="Z546" s="109"/>
    </row>
    <row r="547" ht="39.75" customHeight="1">
      <c r="A547" s="109"/>
      <c r="B547" s="109"/>
      <c r="C547" s="109"/>
      <c r="D547" s="109"/>
      <c r="E547" s="109"/>
      <c r="F547" s="109"/>
      <c r="G547" s="109"/>
      <c r="H547" s="109"/>
      <c r="I547" s="109"/>
      <c r="J547" s="109"/>
      <c r="K547" s="317"/>
      <c r="L547" s="109"/>
      <c r="M547" s="109"/>
      <c r="N547" s="109"/>
      <c r="O547" s="109"/>
      <c r="P547" s="109"/>
      <c r="Q547" s="109"/>
      <c r="R547" s="109"/>
      <c r="S547" s="109"/>
      <c r="T547" s="109"/>
      <c r="U547" s="109"/>
      <c r="V547" s="109"/>
      <c r="W547" s="109"/>
      <c r="X547" s="109"/>
      <c r="Y547" s="109"/>
      <c r="Z547" s="109"/>
    </row>
    <row r="548" ht="39.75" customHeight="1">
      <c r="A548" s="109"/>
      <c r="B548" s="109"/>
      <c r="C548" s="109"/>
      <c r="D548" s="109"/>
      <c r="E548" s="109"/>
      <c r="F548" s="109"/>
      <c r="G548" s="109"/>
      <c r="H548" s="109"/>
      <c r="I548" s="109"/>
      <c r="J548" s="109"/>
      <c r="K548" s="317"/>
      <c r="L548" s="109"/>
      <c r="M548" s="109"/>
      <c r="N548" s="109"/>
      <c r="O548" s="109"/>
      <c r="P548" s="109"/>
      <c r="Q548" s="109"/>
      <c r="R548" s="109"/>
      <c r="S548" s="109"/>
      <c r="T548" s="109"/>
      <c r="U548" s="109"/>
      <c r="V548" s="109"/>
      <c r="W548" s="109"/>
      <c r="X548" s="109"/>
      <c r="Y548" s="109"/>
      <c r="Z548" s="109"/>
    </row>
    <row r="549" ht="39.75" customHeight="1">
      <c r="A549" s="109"/>
      <c r="B549" s="109"/>
      <c r="C549" s="109"/>
      <c r="D549" s="109"/>
      <c r="E549" s="109"/>
      <c r="F549" s="109"/>
      <c r="G549" s="109"/>
      <c r="H549" s="109"/>
      <c r="I549" s="109"/>
      <c r="J549" s="109"/>
      <c r="K549" s="317"/>
      <c r="L549" s="109"/>
      <c r="M549" s="109"/>
      <c r="N549" s="109"/>
      <c r="O549" s="109"/>
      <c r="P549" s="109"/>
      <c r="Q549" s="109"/>
      <c r="R549" s="109"/>
      <c r="S549" s="109"/>
      <c r="T549" s="109"/>
      <c r="U549" s="109"/>
      <c r="V549" s="109"/>
      <c r="W549" s="109"/>
      <c r="X549" s="109"/>
      <c r="Y549" s="109"/>
      <c r="Z549" s="109"/>
    </row>
    <row r="550" ht="39.75" customHeight="1">
      <c r="A550" s="109"/>
      <c r="B550" s="109"/>
      <c r="C550" s="109"/>
      <c r="D550" s="109"/>
      <c r="E550" s="109"/>
      <c r="F550" s="109"/>
      <c r="G550" s="109"/>
      <c r="H550" s="109"/>
      <c r="I550" s="109"/>
      <c r="J550" s="109"/>
      <c r="K550" s="317"/>
      <c r="L550" s="109"/>
      <c r="M550" s="109"/>
      <c r="N550" s="109"/>
      <c r="O550" s="109"/>
      <c r="P550" s="109"/>
      <c r="Q550" s="109"/>
      <c r="R550" s="109"/>
      <c r="S550" s="109"/>
      <c r="T550" s="109"/>
      <c r="U550" s="109"/>
      <c r="V550" s="109"/>
      <c r="W550" s="109"/>
      <c r="X550" s="109"/>
      <c r="Y550" s="109"/>
      <c r="Z550" s="109"/>
    </row>
    <row r="551" ht="39.75" customHeight="1">
      <c r="A551" s="109"/>
      <c r="B551" s="109"/>
      <c r="C551" s="109"/>
      <c r="D551" s="109"/>
      <c r="E551" s="109"/>
      <c r="F551" s="109"/>
      <c r="G551" s="109"/>
      <c r="H551" s="109"/>
      <c r="I551" s="109"/>
      <c r="J551" s="109"/>
      <c r="K551" s="317"/>
      <c r="L551" s="109"/>
      <c r="M551" s="109"/>
      <c r="N551" s="109"/>
      <c r="O551" s="109"/>
      <c r="P551" s="109"/>
      <c r="Q551" s="109"/>
      <c r="R551" s="109"/>
      <c r="S551" s="109"/>
      <c r="T551" s="109"/>
      <c r="U551" s="109"/>
      <c r="V551" s="109"/>
      <c r="W551" s="109"/>
      <c r="X551" s="109"/>
      <c r="Y551" s="109"/>
      <c r="Z551" s="109"/>
    </row>
    <row r="552" ht="39.75" customHeight="1">
      <c r="A552" s="109"/>
      <c r="B552" s="109"/>
      <c r="C552" s="109"/>
      <c r="D552" s="109"/>
      <c r="E552" s="109"/>
      <c r="F552" s="109"/>
      <c r="G552" s="109"/>
      <c r="H552" s="109"/>
      <c r="I552" s="109"/>
      <c r="J552" s="109"/>
      <c r="K552" s="317"/>
      <c r="L552" s="109"/>
      <c r="M552" s="109"/>
      <c r="N552" s="109"/>
      <c r="O552" s="109"/>
      <c r="P552" s="109"/>
      <c r="Q552" s="109"/>
      <c r="R552" s="109"/>
      <c r="S552" s="109"/>
      <c r="T552" s="109"/>
      <c r="U552" s="109"/>
      <c r="V552" s="109"/>
      <c r="W552" s="109"/>
      <c r="X552" s="109"/>
      <c r="Y552" s="109"/>
      <c r="Z552" s="109"/>
    </row>
    <row r="553" ht="39.75" customHeight="1">
      <c r="A553" s="109"/>
      <c r="B553" s="109"/>
      <c r="C553" s="109"/>
      <c r="D553" s="109"/>
      <c r="E553" s="109"/>
      <c r="F553" s="109"/>
      <c r="G553" s="109"/>
      <c r="H553" s="109"/>
      <c r="I553" s="109"/>
      <c r="J553" s="109"/>
      <c r="K553" s="317"/>
      <c r="L553" s="109"/>
      <c r="M553" s="109"/>
      <c r="N553" s="109"/>
      <c r="O553" s="109"/>
      <c r="P553" s="109"/>
      <c r="Q553" s="109"/>
      <c r="R553" s="109"/>
      <c r="S553" s="109"/>
      <c r="T553" s="109"/>
      <c r="U553" s="109"/>
      <c r="V553" s="109"/>
      <c r="W553" s="109"/>
      <c r="X553" s="109"/>
      <c r="Y553" s="109"/>
      <c r="Z553" s="109"/>
    </row>
    <row r="554" ht="39.75" customHeight="1">
      <c r="A554" s="109"/>
      <c r="B554" s="109"/>
      <c r="C554" s="109"/>
      <c r="D554" s="109"/>
      <c r="E554" s="109"/>
      <c r="F554" s="109"/>
      <c r="G554" s="109"/>
      <c r="H554" s="109"/>
      <c r="I554" s="109"/>
      <c r="J554" s="109"/>
      <c r="K554" s="317"/>
      <c r="L554" s="109"/>
      <c r="M554" s="109"/>
      <c r="N554" s="109"/>
      <c r="O554" s="109"/>
      <c r="P554" s="109"/>
      <c r="Q554" s="109"/>
      <c r="R554" s="109"/>
      <c r="S554" s="109"/>
      <c r="T554" s="109"/>
      <c r="U554" s="109"/>
      <c r="V554" s="109"/>
      <c r="W554" s="109"/>
      <c r="X554" s="109"/>
      <c r="Y554" s="109"/>
      <c r="Z554" s="109"/>
    </row>
    <row r="555" ht="39.75" customHeight="1">
      <c r="A555" s="109"/>
      <c r="B555" s="109"/>
      <c r="C555" s="109"/>
      <c r="D555" s="109"/>
      <c r="E555" s="109"/>
      <c r="F555" s="109"/>
      <c r="G555" s="109"/>
      <c r="H555" s="109"/>
      <c r="I555" s="109"/>
      <c r="J555" s="109"/>
      <c r="K555" s="317"/>
      <c r="L555" s="109"/>
      <c r="M555" s="109"/>
      <c r="N555" s="109"/>
      <c r="O555" s="109"/>
      <c r="P555" s="109"/>
      <c r="Q555" s="109"/>
      <c r="R555" s="109"/>
      <c r="S555" s="109"/>
      <c r="T555" s="109"/>
      <c r="U555" s="109"/>
      <c r="V555" s="109"/>
      <c r="W555" s="109"/>
      <c r="X555" s="109"/>
      <c r="Y555" s="109"/>
      <c r="Z555" s="109"/>
    </row>
    <row r="556" ht="39.75" customHeight="1">
      <c r="A556" s="109"/>
      <c r="B556" s="109"/>
      <c r="C556" s="109"/>
      <c r="D556" s="109"/>
      <c r="E556" s="109"/>
      <c r="F556" s="109"/>
      <c r="G556" s="109"/>
      <c r="H556" s="109"/>
      <c r="I556" s="109"/>
      <c r="J556" s="109"/>
      <c r="K556" s="317"/>
      <c r="L556" s="109"/>
      <c r="M556" s="109"/>
      <c r="N556" s="109"/>
      <c r="O556" s="109"/>
      <c r="P556" s="109"/>
      <c r="Q556" s="109"/>
      <c r="R556" s="109"/>
      <c r="S556" s="109"/>
      <c r="T556" s="109"/>
      <c r="U556" s="109"/>
      <c r="V556" s="109"/>
      <c r="W556" s="109"/>
      <c r="X556" s="109"/>
      <c r="Y556" s="109"/>
      <c r="Z556" s="109"/>
    </row>
    <row r="557" ht="39.75" customHeight="1">
      <c r="A557" s="109"/>
      <c r="B557" s="109"/>
      <c r="C557" s="109"/>
      <c r="D557" s="109"/>
      <c r="E557" s="109"/>
      <c r="F557" s="109"/>
      <c r="G557" s="109"/>
      <c r="H557" s="109"/>
      <c r="I557" s="109"/>
      <c r="J557" s="109"/>
      <c r="K557" s="317"/>
      <c r="L557" s="109"/>
      <c r="M557" s="109"/>
      <c r="N557" s="109"/>
      <c r="O557" s="109"/>
      <c r="P557" s="109"/>
      <c r="Q557" s="109"/>
      <c r="R557" s="109"/>
      <c r="S557" s="109"/>
      <c r="T557" s="109"/>
      <c r="U557" s="109"/>
      <c r="V557" s="109"/>
      <c r="W557" s="109"/>
      <c r="X557" s="109"/>
      <c r="Y557" s="109"/>
      <c r="Z557" s="109"/>
    </row>
    <row r="558" ht="39.75" customHeight="1">
      <c r="A558" s="109"/>
      <c r="B558" s="109"/>
      <c r="C558" s="109"/>
      <c r="D558" s="109"/>
      <c r="E558" s="109"/>
      <c r="F558" s="109"/>
      <c r="G558" s="109"/>
      <c r="H558" s="109"/>
      <c r="I558" s="109"/>
      <c r="J558" s="109"/>
      <c r="K558" s="317"/>
      <c r="L558" s="109"/>
      <c r="M558" s="109"/>
      <c r="N558" s="109"/>
      <c r="O558" s="109"/>
      <c r="P558" s="109"/>
      <c r="Q558" s="109"/>
      <c r="R558" s="109"/>
      <c r="S558" s="109"/>
      <c r="T558" s="109"/>
      <c r="U558" s="109"/>
      <c r="V558" s="109"/>
      <c r="W558" s="109"/>
      <c r="X558" s="109"/>
      <c r="Y558" s="109"/>
      <c r="Z558" s="109"/>
    </row>
    <row r="559" ht="39.75" customHeight="1">
      <c r="A559" s="109"/>
      <c r="B559" s="109"/>
      <c r="C559" s="109"/>
      <c r="D559" s="109"/>
      <c r="E559" s="109"/>
      <c r="F559" s="109"/>
      <c r="G559" s="109"/>
      <c r="H559" s="109"/>
      <c r="I559" s="109"/>
      <c r="J559" s="109"/>
      <c r="K559" s="317"/>
      <c r="L559" s="109"/>
      <c r="M559" s="109"/>
      <c r="N559" s="109"/>
      <c r="O559" s="109"/>
      <c r="P559" s="109"/>
      <c r="Q559" s="109"/>
      <c r="R559" s="109"/>
      <c r="S559" s="109"/>
      <c r="T559" s="109"/>
      <c r="U559" s="109"/>
      <c r="V559" s="109"/>
      <c r="W559" s="109"/>
      <c r="X559" s="109"/>
      <c r="Y559" s="109"/>
      <c r="Z559" s="109"/>
    </row>
    <row r="560" ht="39.75" customHeight="1">
      <c r="A560" s="109"/>
      <c r="B560" s="109"/>
      <c r="C560" s="109"/>
      <c r="D560" s="109"/>
      <c r="E560" s="109"/>
      <c r="F560" s="109"/>
      <c r="G560" s="109"/>
      <c r="H560" s="109"/>
      <c r="I560" s="109"/>
      <c r="J560" s="109"/>
      <c r="K560" s="317"/>
      <c r="L560" s="109"/>
      <c r="M560" s="109"/>
      <c r="N560" s="109"/>
      <c r="O560" s="109"/>
      <c r="P560" s="109"/>
      <c r="Q560" s="109"/>
      <c r="R560" s="109"/>
      <c r="S560" s="109"/>
      <c r="T560" s="109"/>
      <c r="U560" s="109"/>
      <c r="V560" s="109"/>
      <c r="W560" s="109"/>
      <c r="X560" s="109"/>
      <c r="Y560" s="109"/>
      <c r="Z560" s="109"/>
    </row>
    <row r="561" ht="39.75" customHeight="1">
      <c r="A561" s="109"/>
      <c r="B561" s="109"/>
      <c r="C561" s="109"/>
      <c r="D561" s="109"/>
      <c r="E561" s="109"/>
      <c r="F561" s="109"/>
      <c r="G561" s="109"/>
      <c r="H561" s="109"/>
      <c r="I561" s="109"/>
      <c r="J561" s="109"/>
      <c r="K561" s="317"/>
      <c r="L561" s="109"/>
      <c r="M561" s="109"/>
      <c r="N561" s="109"/>
      <c r="O561" s="109"/>
      <c r="P561" s="109"/>
      <c r="Q561" s="109"/>
      <c r="R561" s="109"/>
      <c r="S561" s="109"/>
      <c r="T561" s="109"/>
      <c r="U561" s="109"/>
      <c r="V561" s="109"/>
      <c r="W561" s="109"/>
      <c r="X561" s="109"/>
      <c r="Y561" s="109"/>
      <c r="Z561" s="109"/>
    </row>
    <row r="562" ht="39.75" customHeight="1">
      <c r="A562" s="109"/>
      <c r="B562" s="109"/>
      <c r="C562" s="109"/>
      <c r="D562" s="109"/>
      <c r="E562" s="109"/>
      <c r="F562" s="109"/>
      <c r="G562" s="109"/>
      <c r="H562" s="109"/>
      <c r="I562" s="109"/>
      <c r="J562" s="109"/>
      <c r="K562" s="317"/>
      <c r="L562" s="109"/>
      <c r="M562" s="109"/>
      <c r="N562" s="109"/>
      <c r="O562" s="109"/>
      <c r="P562" s="109"/>
      <c r="Q562" s="109"/>
      <c r="R562" s="109"/>
      <c r="S562" s="109"/>
      <c r="T562" s="109"/>
      <c r="U562" s="109"/>
      <c r="V562" s="109"/>
      <c r="W562" s="109"/>
      <c r="X562" s="109"/>
      <c r="Y562" s="109"/>
      <c r="Z562" s="109"/>
    </row>
    <row r="563" ht="39.75" customHeight="1">
      <c r="A563" s="109"/>
      <c r="B563" s="109"/>
      <c r="C563" s="109"/>
      <c r="D563" s="109"/>
      <c r="E563" s="109"/>
      <c r="F563" s="109"/>
      <c r="G563" s="109"/>
      <c r="H563" s="109"/>
      <c r="I563" s="109"/>
      <c r="J563" s="109"/>
      <c r="K563" s="317"/>
      <c r="L563" s="109"/>
      <c r="M563" s="109"/>
      <c r="N563" s="109"/>
      <c r="O563" s="109"/>
      <c r="P563" s="109"/>
      <c r="Q563" s="109"/>
      <c r="R563" s="109"/>
      <c r="S563" s="109"/>
      <c r="T563" s="109"/>
      <c r="U563" s="109"/>
      <c r="V563" s="109"/>
      <c r="W563" s="109"/>
      <c r="X563" s="109"/>
      <c r="Y563" s="109"/>
      <c r="Z563" s="109"/>
    </row>
    <row r="564" ht="39.75" customHeight="1">
      <c r="A564" s="109"/>
      <c r="B564" s="109"/>
      <c r="C564" s="109"/>
      <c r="D564" s="109"/>
      <c r="E564" s="109"/>
      <c r="F564" s="109"/>
      <c r="G564" s="109"/>
      <c r="H564" s="109"/>
      <c r="I564" s="109"/>
      <c r="J564" s="109"/>
      <c r="K564" s="317"/>
      <c r="L564" s="109"/>
      <c r="M564" s="109"/>
      <c r="N564" s="109"/>
      <c r="O564" s="109"/>
      <c r="P564" s="109"/>
      <c r="Q564" s="109"/>
      <c r="R564" s="109"/>
      <c r="S564" s="109"/>
      <c r="T564" s="109"/>
      <c r="U564" s="109"/>
      <c r="V564" s="109"/>
      <c r="W564" s="109"/>
      <c r="X564" s="109"/>
      <c r="Y564" s="109"/>
      <c r="Z564" s="109"/>
    </row>
    <row r="565" ht="39.75" customHeight="1">
      <c r="A565" s="109"/>
      <c r="B565" s="109"/>
      <c r="C565" s="109"/>
      <c r="D565" s="109"/>
      <c r="E565" s="109"/>
      <c r="F565" s="109"/>
      <c r="G565" s="109"/>
      <c r="H565" s="109"/>
      <c r="I565" s="109"/>
      <c r="J565" s="109"/>
      <c r="K565" s="317"/>
      <c r="L565" s="109"/>
      <c r="M565" s="109"/>
      <c r="N565" s="109"/>
      <c r="O565" s="109"/>
      <c r="P565" s="109"/>
      <c r="Q565" s="109"/>
      <c r="R565" s="109"/>
      <c r="S565" s="109"/>
      <c r="T565" s="109"/>
      <c r="U565" s="109"/>
      <c r="V565" s="109"/>
      <c r="W565" s="109"/>
      <c r="X565" s="109"/>
      <c r="Y565" s="109"/>
      <c r="Z565" s="109"/>
    </row>
    <row r="566" ht="39.75" customHeight="1">
      <c r="A566" s="109"/>
      <c r="B566" s="109"/>
      <c r="C566" s="109"/>
      <c r="D566" s="109"/>
      <c r="E566" s="109"/>
      <c r="F566" s="109"/>
      <c r="G566" s="109"/>
      <c r="H566" s="109"/>
      <c r="I566" s="109"/>
      <c r="J566" s="109"/>
      <c r="K566" s="317"/>
      <c r="L566" s="109"/>
      <c r="M566" s="109"/>
      <c r="N566" s="109"/>
      <c r="O566" s="109"/>
      <c r="P566" s="109"/>
      <c r="Q566" s="109"/>
      <c r="R566" s="109"/>
      <c r="S566" s="109"/>
      <c r="T566" s="109"/>
      <c r="U566" s="109"/>
      <c r="V566" s="109"/>
      <c r="W566" s="109"/>
      <c r="X566" s="109"/>
      <c r="Y566" s="109"/>
      <c r="Z566" s="109"/>
    </row>
    <row r="567" ht="39.75" customHeight="1">
      <c r="A567" s="109"/>
      <c r="B567" s="109"/>
      <c r="C567" s="109"/>
      <c r="D567" s="109"/>
      <c r="E567" s="109"/>
      <c r="F567" s="109"/>
      <c r="G567" s="109"/>
      <c r="H567" s="109"/>
      <c r="I567" s="109"/>
      <c r="J567" s="109"/>
      <c r="K567" s="317"/>
      <c r="L567" s="109"/>
      <c r="M567" s="109"/>
      <c r="N567" s="109"/>
      <c r="O567" s="109"/>
      <c r="P567" s="109"/>
      <c r="Q567" s="109"/>
      <c r="R567" s="109"/>
      <c r="S567" s="109"/>
      <c r="T567" s="109"/>
      <c r="U567" s="109"/>
      <c r="V567" s="109"/>
      <c r="W567" s="109"/>
      <c r="X567" s="109"/>
      <c r="Y567" s="109"/>
      <c r="Z567" s="109"/>
    </row>
    <row r="568" ht="39.75" customHeight="1">
      <c r="A568" s="109"/>
      <c r="B568" s="109"/>
      <c r="C568" s="109"/>
      <c r="D568" s="109"/>
      <c r="E568" s="109"/>
      <c r="F568" s="109"/>
      <c r="G568" s="109"/>
      <c r="H568" s="109"/>
      <c r="I568" s="109"/>
      <c r="J568" s="109"/>
      <c r="K568" s="317"/>
      <c r="L568" s="109"/>
      <c r="M568" s="109"/>
      <c r="N568" s="109"/>
      <c r="O568" s="109"/>
      <c r="P568" s="109"/>
      <c r="Q568" s="109"/>
      <c r="R568" s="109"/>
      <c r="S568" s="109"/>
      <c r="T568" s="109"/>
      <c r="U568" s="109"/>
      <c r="V568" s="109"/>
      <c r="W568" s="109"/>
      <c r="X568" s="109"/>
      <c r="Y568" s="109"/>
      <c r="Z568" s="109"/>
    </row>
    <row r="569" ht="39.75" customHeight="1">
      <c r="A569" s="109"/>
      <c r="B569" s="109"/>
      <c r="C569" s="109"/>
      <c r="D569" s="109"/>
      <c r="E569" s="109"/>
      <c r="F569" s="109"/>
      <c r="G569" s="109"/>
      <c r="H569" s="109"/>
      <c r="I569" s="109"/>
      <c r="J569" s="109"/>
      <c r="K569" s="317"/>
      <c r="L569" s="109"/>
      <c r="M569" s="109"/>
      <c r="N569" s="109"/>
      <c r="O569" s="109"/>
      <c r="P569" s="109"/>
      <c r="Q569" s="109"/>
      <c r="R569" s="109"/>
      <c r="S569" s="109"/>
      <c r="T569" s="109"/>
      <c r="U569" s="109"/>
      <c r="V569" s="109"/>
      <c r="W569" s="109"/>
      <c r="X569" s="109"/>
      <c r="Y569" s="109"/>
      <c r="Z569" s="109"/>
    </row>
    <row r="570" ht="39.75" customHeight="1">
      <c r="A570" s="109"/>
      <c r="B570" s="109"/>
      <c r="C570" s="109"/>
      <c r="D570" s="109"/>
      <c r="E570" s="109"/>
      <c r="F570" s="109"/>
      <c r="G570" s="109"/>
      <c r="H570" s="109"/>
      <c r="I570" s="109"/>
      <c r="J570" s="109"/>
      <c r="K570" s="317"/>
      <c r="L570" s="109"/>
      <c r="M570" s="109"/>
      <c r="N570" s="109"/>
      <c r="O570" s="109"/>
      <c r="P570" s="109"/>
      <c r="Q570" s="109"/>
      <c r="R570" s="109"/>
      <c r="S570" s="109"/>
      <c r="T570" s="109"/>
      <c r="U570" s="109"/>
      <c r="V570" s="109"/>
      <c r="W570" s="109"/>
      <c r="X570" s="109"/>
      <c r="Y570" s="109"/>
      <c r="Z570" s="109"/>
    </row>
    <row r="571" ht="39.75" customHeight="1">
      <c r="A571" s="109"/>
      <c r="B571" s="109"/>
      <c r="C571" s="109"/>
      <c r="D571" s="109"/>
      <c r="E571" s="109"/>
      <c r="F571" s="109"/>
      <c r="G571" s="109"/>
      <c r="H571" s="109"/>
      <c r="I571" s="109"/>
      <c r="J571" s="109"/>
      <c r="K571" s="317"/>
      <c r="L571" s="109"/>
      <c r="M571" s="109"/>
      <c r="N571" s="109"/>
      <c r="O571" s="109"/>
      <c r="P571" s="109"/>
      <c r="Q571" s="109"/>
      <c r="R571" s="109"/>
      <c r="S571" s="109"/>
      <c r="T571" s="109"/>
      <c r="U571" s="109"/>
      <c r="V571" s="109"/>
      <c r="W571" s="109"/>
      <c r="X571" s="109"/>
      <c r="Y571" s="109"/>
      <c r="Z571" s="109"/>
    </row>
    <row r="572" ht="39.75" customHeight="1">
      <c r="A572" s="109"/>
      <c r="B572" s="109"/>
      <c r="C572" s="109"/>
      <c r="D572" s="109"/>
      <c r="E572" s="109"/>
      <c r="F572" s="109"/>
      <c r="G572" s="109"/>
      <c r="H572" s="109"/>
      <c r="I572" s="109"/>
      <c r="J572" s="109"/>
      <c r="K572" s="317"/>
      <c r="L572" s="109"/>
      <c r="M572" s="109"/>
      <c r="N572" s="109"/>
      <c r="O572" s="109"/>
      <c r="P572" s="109"/>
      <c r="Q572" s="109"/>
      <c r="R572" s="109"/>
      <c r="S572" s="109"/>
      <c r="T572" s="109"/>
      <c r="U572" s="109"/>
      <c r="V572" s="109"/>
      <c r="W572" s="109"/>
      <c r="X572" s="109"/>
      <c r="Y572" s="109"/>
      <c r="Z572" s="109"/>
    </row>
    <row r="573" ht="39.75" customHeight="1">
      <c r="A573" s="109"/>
      <c r="B573" s="109"/>
      <c r="C573" s="109"/>
      <c r="D573" s="109"/>
      <c r="E573" s="109"/>
      <c r="F573" s="109"/>
      <c r="G573" s="109"/>
      <c r="H573" s="109"/>
      <c r="I573" s="109"/>
      <c r="J573" s="109"/>
      <c r="K573" s="317"/>
      <c r="L573" s="109"/>
      <c r="M573" s="109"/>
      <c r="N573" s="109"/>
      <c r="O573" s="109"/>
      <c r="P573" s="109"/>
      <c r="Q573" s="109"/>
      <c r="R573" s="109"/>
      <c r="S573" s="109"/>
      <c r="T573" s="109"/>
      <c r="U573" s="109"/>
      <c r="V573" s="109"/>
      <c r="W573" s="109"/>
      <c r="X573" s="109"/>
      <c r="Y573" s="109"/>
      <c r="Z573" s="109"/>
    </row>
    <row r="574" ht="39.75" customHeight="1">
      <c r="A574" s="109"/>
      <c r="B574" s="109"/>
      <c r="C574" s="109"/>
      <c r="D574" s="109"/>
      <c r="E574" s="109"/>
      <c r="F574" s="109"/>
      <c r="G574" s="109"/>
      <c r="H574" s="109"/>
      <c r="I574" s="109"/>
      <c r="J574" s="109"/>
      <c r="K574" s="317"/>
      <c r="L574" s="109"/>
      <c r="M574" s="109"/>
      <c r="N574" s="109"/>
      <c r="O574" s="109"/>
      <c r="P574" s="109"/>
      <c r="Q574" s="109"/>
      <c r="R574" s="109"/>
      <c r="S574" s="109"/>
      <c r="T574" s="109"/>
      <c r="U574" s="109"/>
      <c r="V574" s="109"/>
      <c r="W574" s="109"/>
      <c r="X574" s="109"/>
      <c r="Y574" s="109"/>
      <c r="Z574" s="109"/>
    </row>
    <row r="575" ht="39.75" customHeight="1">
      <c r="A575" s="109"/>
      <c r="B575" s="109"/>
      <c r="C575" s="109"/>
      <c r="D575" s="109"/>
      <c r="E575" s="109"/>
      <c r="F575" s="109"/>
      <c r="G575" s="109"/>
      <c r="H575" s="109"/>
      <c r="I575" s="109"/>
      <c r="J575" s="109"/>
      <c r="K575" s="317"/>
      <c r="L575" s="109"/>
      <c r="M575" s="109"/>
      <c r="N575" s="109"/>
      <c r="O575" s="109"/>
      <c r="P575" s="109"/>
      <c r="Q575" s="109"/>
      <c r="R575" s="109"/>
      <c r="S575" s="109"/>
      <c r="T575" s="109"/>
      <c r="U575" s="109"/>
      <c r="V575" s="109"/>
      <c r="W575" s="109"/>
      <c r="X575" s="109"/>
      <c r="Y575" s="109"/>
      <c r="Z575" s="109"/>
    </row>
    <row r="576" ht="39.75" customHeight="1">
      <c r="A576" s="109"/>
      <c r="B576" s="109"/>
      <c r="C576" s="109"/>
      <c r="D576" s="109"/>
      <c r="E576" s="109"/>
      <c r="F576" s="109"/>
      <c r="G576" s="109"/>
      <c r="H576" s="109"/>
      <c r="I576" s="109"/>
      <c r="J576" s="109"/>
      <c r="K576" s="317"/>
      <c r="L576" s="109"/>
      <c r="M576" s="109"/>
      <c r="N576" s="109"/>
      <c r="O576" s="109"/>
      <c r="P576" s="109"/>
      <c r="Q576" s="109"/>
      <c r="R576" s="109"/>
      <c r="S576" s="109"/>
      <c r="T576" s="109"/>
      <c r="U576" s="109"/>
      <c r="V576" s="109"/>
      <c r="W576" s="109"/>
      <c r="X576" s="109"/>
      <c r="Y576" s="109"/>
      <c r="Z576" s="109"/>
    </row>
    <row r="577" ht="39.75" customHeight="1">
      <c r="A577" s="109"/>
      <c r="B577" s="109"/>
      <c r="C577" s="109"/>
      <c r="D577" s="109"/>
      <c r="E577" s="109"/>
      <c r="F577" s="109"/>
      <c r="G577" s="109"/>
      <c r="H577" s="109"/>
      <c r="I577" s="109"/>
      <c r="J577" s="109"/>
      <c r="K577" s="317"/>
      <c r="L577" s="109"/>
      <c r="M577" s="109"/>
      <c r="N577" s="109"/>
      <c r="O577" s="109"/>
      <c r="P577" s="109"/>
      <c r="Q577" s="109"/>
      <c r="R577" s="109"/>
      <c r="S577" s="109"/>
      <c r="T577" s="109"/>
      <c r="U577" s="109"/>
      <c r="V577" s="109"/>
      <c r="W577" s="109"/>
      <c r="X577" s="109"/>
      <c r="Y577" s="109"/>
      <c r="Z577" s="109"/>
    </row>
    <row r="578" ht="39.75" customHeight="1">
      <c r="A578" s="109"/>
      <c r="B578" s="109"/>
      <c r="C578" s="109"/>
      <c r="D578" s="109"/>
      <c r="E578" s="109"/>
      <c r="F578" s="109"/>
      <c r="G578" s="109"/>
      <c r="H578" s="109"/>
      <c r="I578" s="109"/>
      <c r="J578" s="109"/>
      <c r="K578" s="317"/>
      <c r="L578" s="109"/>
      <c r="M578" s="109"/>
      <c r="N578" s="109"/>
      <c r="O578" s="109"/>
      <c r="P578" s="109"/>
      <c r="Q578" s="109"/>
      <c r="R578" s="109"/>
      <c r="S578" s="109"/>
      <c r="T578" s="109"/>
      <c r="U578" s="109"/>
      <c r="V578" s="109"/>
      <c r="W578" s="109"/>
      <c r="X578" s="109"/>
      <c r="Y578" s="109"/>
      <c r="Z578" s="109"/>
    </row>
    <row r="579" ht="39.75" customHeight="1">
      <c r="A579" s="109"/>
      <c r="B579" s="109"/>
      <c r="C579" s="109"/>
      <c r="D579" s="109"/>
      <c r="E579" s="109"/>
      <c r="F579" s="109"/>
      <c r="G579" s="109"/>
      <c r="H579" s="109"/>
      <c r="I579" s="109"/>
      <c r="J579" s="109"/>
      <c r="K579" s="317"/>
      <c r="L579" s="109"/>
      <c r="M579" s="109"/>
      <c r="N579" s="109"/>
      <c r="O579" s="109"/>
      <c r="P579" s="109"/>
      <c r="Q579" s="109"/>
      <c r="R579" s="109"/>
      <c r="S579" s="109"/>
      <c r="T579" s="109"/>
      <c r="U579" s="109"/>
      <c r="V579" s="109"/>
      <c r="W579" s="109"/>
      <c r="X579" s="109"/>
      <c r="Y579" s="109"/>
      <c r="Z579" s="109"/>
    </row>
    <row r="580" ht="39.75" customHeight="1">
      <c r="A580" s="109"/>
      <c r="B580" s="109"/>
      <c r="C580" s="109"/>
      <c r="D580" s="109"/>
      <c r="E580" s="109"/>
      <c r="F580" s="109"/>
      <c r="G580" s="109"/>
      <c r="H580" s="109"/>
      <c r="I580" s="109"/>
      <c r="J580" s="109"/>
      <c r="K580" s="317"/>
      <c r="L580" s="109"/>
      <c r="M580" s="109"/>
      <c r="N580" s="109"/>
      <c r="O580" s="109"/>
      <c r="P580" s="109"/>
      <c r="Q580" s="109"/>
      <c r="R580" s="109"/>
      <c r="S580" s="109"/>
      <c r="T580" s="109"/>
      <c r="U580" s="109"/>
      <c r="V580" s="109"/>
      <c r="W580" s="109"/>
      <c r="X580" s="109"/>
      <c r="Y580" s="109"/>
      <c r="Z580" s="109"/>
    </row>
    <row r="581" ht="39.75" customHeight="1">
      <c r="A581" s="109"/>
      <c r="B581" s="109"/>
      <c r="C581" s="109"/>
      <c r="D581" s="109"/>
      <c r="E581" s="109"/>
      <c r="F581" s="109"/>
      <c r="G581" s="109"/>
      <c r="H581" s="109"/>
      <c r="I581" s="109"/>
      <c r="J581" s="109"/>
      <c r="K581" s="317"/>
      <c r="L581" s="109"/>
      <c r="M581" s="109"/>
      <c r="N581" s="109"/>
      <c r="O581" s="109"/>
      <c r="P581" s="109"/>
      <c r="Q581" s="109"/>
      <c r="R581" s="109"/>
      <c r="S581" s="109"/>
      <c r="T581" s="109"/>
      <c r="U581" s="109"/>
      <c r="V581" s="109"/>
      <c r="W581" s="109"/>
      <c r="X581" s="109"/>
      <c r="Y581" s="109"/>
      <c r="Z581" s="109"/>
    </row>
    <row r="582" ht="39.75" customHeight="1">
      <c r="A582" s="109"/>
      <c r="B582" s="109"/>
      <c r="C582" s="109"/>
      <c r="D582" s="109"/>
      <c r="E582" s="109"/>
      <c r="F582" s="109"/>
      <c r="G582" s="109"/>
      <c r="H582" s="109"/>
      <c r="I582" s="109"/>
      <c r="J582" s="109"/>
      <c r="K582" s="317"/>
      <c r="L582" s="109"/>
      <c r="M582" s="109"/>
      <c r="N582" s="109"/>
      <c r="O582" s="109"/>
      <c r="P582" s="109"/>
      <c r="Q582" s="109"/>
      <c r="R582" s="109"/>
      <c r="S582" s="109"/>
      <c r="T582" s="109"/>
      <c r="U582" s="109"/>
      <c r="V582" s="109"/>
      <c r="W582" s="109"/>
      <c r="X582" s="109"/>
      <c r="Y582" s="109"/>
      <c r="Z582" s="109"/>
    </row>
    <row r="583" ht="39.75" customHeight="1">
      <c r="A583" s="109"/>
      <c r="B583" s="109"/>
      <c r="C583" s="109"/>
      <c r="D583" s="109"/>
      <c r="E583" s="109"/>
      <c r="F583" s="109"/>
      <c r="G583" s="109"/>
      <c r="H583" s="109"/>
      <c r="I583" s="109"/>
      <c r="J583" s="109"/>
      <c r="K583" s="317"/>
      <c r="L583" s="109"/>
      <c r="M583" s="109"/>
      <c r="N583" s="109"/>
      <c r="O583" s="109"/>
      <c r="P583" s="109"/>
      <c r="Q583" s="109"/>
      <c r="R583" s="109"/>
      <c r="S583" s="109"/>
      <c r="T583" s="109"/>
      <c r="U583" s="109"/>
      <c r="V583" s="109"/>
      <c r="W583" s="109"/>
      <c r="X583" s="109"/>
      <c r="Y583" s="109"/>
      <c r="Z583" s="109"/>
    </row>
    <row r="584" ht="39.75" customHeight="1">
      <c r="A584" s="109"/>
      <c r="B584" s="109"/>
      <c r="C584" s="109"/>
      <c r="D584" s="109"/>
      <c r="E584" s="109"/>
      <c r="F584" s="109"/>
      <c r="G584" s="109"/>
      <c r="H584" s="109"/>
      <c r="I584" s="109"/>
      <c r="J584" s="109"/>
      <c r="K584" s="317"/>
      <c r="L584" s="109"/>
      <c r="M584" s="109"/>
      <c r="N584" s="109"/>
      <c r="O584" s="109"/>
      <c r="P584" s="109"/>
      <c r="Q584" s="109"/>
      <c r="R584" s="109"/>
      <c r="S584" s="109"/>
      <c r="T584" s="109"/>
      <c r="U584" s="109"/>
      <c r="V584" s="109"/>
      <c r="W584" s="109"/>
      <c r="X584" s="109"/>
      <c r="Y584" s="109"/>
      <c r="Z584" s="109"/>
    </row>
    <row r="585" ht="39.75" customHeight="1">
      <c r="A585" s="109"/>
      <c r="B585" s="109"/>
      <c r="C585" s="109"/>
      <c r="D585" s="109"/>
      <c r="E585" s="109"/>
      <c r="F585" s="109"/>
      <c r="G585" s="109"/>
      <c r="H585" s="109"/>
      <c r="I585" s="109"/>
      <c r="J585" s="109"/>
      <c r="K585" s="317"/>
      <c r="L585" s="109"/>
      <c r="M585" s="109"/>
      <c r="N585" s="109"/>
      <c r="O585" s="109"/>
      <c r="P585" s="109"/>
      <c r="Q585" s="109"/>
      <c r="R585" s="109"/>
      <c r="S585" s="109"/>
      <c r="T585" s="109"/>
      <c r="U585" s="109"/>
      <c r="V585" s="109"/>
      <c r="W585" s="109"/>
      <c r="X585" s="109"/>
      <c r="Y585" s="109"/>
      <c r="Z585" s="109"/>
    </row>
    <row r="586" ht="39.75" customHeight="1">
      <c r="A586" s="109"/>
      <c r="B586" s="109"/>
      <c r="C586" s="109"/>
      <c r="D586" s="109"/>
      <c r="E586" s="109"/>
      <c r="F586" s="109"/>
      <c r="G586" s="109"/>
      <c r="H586" s="109"/>
      <c r="I586" s="109"/>
      <c r="J586" s="109"/>
      <c r="K586" s="317"/>
      <c r="L586" s="109"/>
      <c r="M586" s="109"/>
      <c r="N586" s="109"/>
      <c r="O586" s="109"/>
      <c r="P586" s="109"/>
      <c r="Q586" s="109"/>
      <c r="R586" s="109"/>
      <c r="S586" s="109"/>
      <c r="T586" s="109"/>
      <c r="U586" s="109"/>
      <c r="V586" s="109"/>
      <c r="W586" s="109"/>
      <c r="X586" s="109"/>
      <c r="Y586" s="109"/>
      <c r="Z586" s="109"/>
    </row>
    <row r="587" ht="39.75" customHeight="1">
      <c r="A587" s="109"/>
      <c r="B587" s="109"/>
      <c r="C587" s="109"/>
      <c r="D587" s="109"/>
      <c r="E587" s="109"/>
      <c r="F587" s="109"/>
      <c r="G587" s="109"/>
      <c r="H587" s="109"/>
      <c r="I587" s="109"/>
      <c r="J587" s="109"/>
      <c r="K587" s="317"/>
      <c r="L587" s="109"/>
      <c r="M587" s="109"/>
      <c r="N587" s="109"/>
      <c r="O587" s="109"/>
      <c r="P587" s="109"/>
      <c r="Q587" s="109"/>
      <c r="R587" s="109"/>
      <c r="S587" s="109"/>
      <c r="T587" s="109"/>
      <c r="U587" s="109"/>
      <c r="V587" s="109"/>
      <c r="W587" s="109"/>
      <c r="X587" s="109"/>
      <c r="Y587" s="109"/>
      <c r="Z587" s="109"/>
    </row>
    <row r="588" ht="39.75" customHeight="1">
      <c r="A588" s="109"/>
      <c r="B588" s="109"/>
      <c r="C588" s="109"/>
      <c r="D588" s="109"/>
      <c r="E588" s="109"/>
      <c r="F588" s="109"/>
      <c r="G588" s="109"/>
      <c r="H588" s="109"/>
      <c r="I588" s="109"/>
      <c r="J588" s="109"/>
      <c r="K588" s="317"/>
      <c r="L588" s="109"/>
      <c r="M588" s="109"/>
      <c r="N588" s="109"/>
      <c r="O588" s="109"/>
      <c r="P588" s="109"/>
      <c r="Q588" s="109"/>
      <c r="R588" s="109"/>
      <c r="S588" s="109"/>
      <c r="T588" s="109"/>
      <c r="U588" s="109"/>
      <c r="V588" s="109"/>
      <c r="W588" s="109"/>
      <c r="X588" s="109"/>
      <c r="Y588" s="109"/>
      <c r="Z588" s="109"/>
    </row>
    <row r="589" ht="39.75" customHeight="1">
      <c r="A589" s="109"/>
      <c r="B589" s="109"/>
      <c r="C589" s="109"/>
      <c r="D589" s="109"/>
      <c r="E589" s="109"/>
      <c r="F589" s="109"/>
      <c r="G589" s="109"/>
      <c r="H589" s="109"/>
      <c r="I589" s="109"/>
      <c r="J589" s="109"/>
      <c r="K589" s="317"/>
      <c r="L589" s="109"/>
      <c r="M589" s="109"/>
      <c r="N589" s="109"/>
      <c r="O589" s="109"/>
      <c r="P589" s="109"/>
      <c r="Q589" s="109"/>
      <c r="R589" s="109"/>
      <c r="S589" s="109"/>
      <c r="T589" s="109"/>
      <c r="U589" s="109"/>
      <c r="V589" s="109"/>
      <c r="W589" s="109"/>
      <c r="X589" s="109"/>
      <c r="Y589" s="109"/>
      <c r="Z589" s="109"/>
    </row>
    <row r="590" ht="39.75" customHeight="1">
      <c r="A590" s="109"/>
      <c r="B590" s="109"/>
      <c r="C590" s="109"/>
      <c r="D590" s="109"/>
      <c r="E590" s="109"/>
      <c r="F590" s="109"/>
      <c r="G590" s="109"/>
      <c r="H590" s="109"/>
      <c r="I590" s="109"/>
      <c r="J590" s="109"/>
      <c r="K590" s="317"/>
      <c r="L590" s="109"/>
      <c r="M590" s="109"/>
      <c r="N590" s="109"/>
      <c r="O590" s="109"/>
      <c r="P590" s="109"/>
      <c r="Q590" s="109"/>
      <c r="R590" s="109"/>
      <c r="S590" s="109"/>
      <c r="T590" s="109"/>
      <c r="U590" s="109"/>
      <c r="V590" s="109"/>
      <c r="W590" s="109"/>
      <c r="X590" s="109"/>
      <c r="Y590" s="109"/>
      <c r="Z590" s="109"/>
    </row>
    <row r="591" ht="39.75" customHeight="1">
      <c r="A591" s="109"/>
      <c r="B591" s="109"/>
      <c r="C591" s="109"/>
      <c r="D591" s="109"/>
      <c r="E591" s="109"/>
      <c r="F591" s="109"/>
      <c r="G591" s="109"/>
      <c r="H591" s="109"/>
      <c r="I591" s="109"/>
      <c r="J591" s="109"/>
      <c r="K591" s="317"/>
      <c r="L591" s="109"/>
      <c r="M591" s="109"/>
      <c r="N591" s="109"/>
      <c r="O591" s="109"/>
      <c r="P591" s="109"/>
      <c r="Q591" s="109"/>
      <c r="R591" s="109"/>
      <c r="S591" s="109"/>
      <c r="T591" s="109"/>
      <c r="U591" s="109"/>
      <c r="V591" s="109"/>
      <c r="W591" s="109"/>
      <c r="X591" s="109"/>
      <c r="Y591" s="109"/>
      <c r="Z591" s="109"/>
    </row>
    <row r="592" ht="39.75" customHeight="1">
      <c r="A592" s="109"/>
      <c r="B592" s="109"/>
      <c r="C592" s="109"/>
      <c r="D592" s="109"/>
      <c r="E592" s="109"/>
      <c r="F592" s="109"/>
      <c r="G592" s="109"/>
      <c r="H592" s="109"/>
      <c r="I592" s="109"/>
      <c r="J592" s="109"/>
      <c r="K592" s="317"/>
      <c r="L592" s="109"/>
      <c r="M592" s="109"/>
      <c r="N592" s="109"/>
      <c r="O592" s="109"/>
      <c r="P592" s="109"/>
      <c r="Q592" s="109"/>
      <c r="R592" s="109"/>
      <c r="S592" s="109"/>
      <c r="T592" s="109"/>
      <c r="U592" s="109"/>
      <c r="V592" s="109"/>
      <c r="W592" s="109"/>
      <c r="X592" s="109"/>
      <c r="Y592" s="109"/>
      <c r="Z592" s="109"/>
    </row>
    <row r="593" ht="39.75" customHeight="1">
      <c r="A593" s="109"/>
      <c r="B593" s="109"/>
      <c r="C593" s="109"/>
      <c r="D593" s="109"/>
      <c r="E593" s="109"/>
      <c r="F593" s="109"/>
      <c r="G593" s="109"/>
      <c r="H593" s="109"/>
      <c r="I593" s="109"/>
      <c r="J593" s="109"/>
      <c r="K593" s="317"/>
      <c r="L593" s="109"/>
      <c r="M593" s="109"/>
      <c r="N593" s="109"/>
      <c r="O593" s="109"/>
      <c r="P593" s="109"/>
      <c r="Q593" s="109"/>
      <c r="R593" s="109"/>
      <c r="S593" s="109"/>
      <c r="T593" s="109"/>
      <c r="U593" s="109"/>
      <c r="V593" s="109"/>
      <c r="W593" s="109"/>
      <c r="X593" s="109"/>
      <c r="Y593" s="109"/>
      <c r="Z593" s="109"/>
    </row>
    <row r="594" ht="39.75" customHeight="1">
      <c r="A594" s="109"/>
      <c r="B594" s="109"/>
      <c r="C594" s="109"/>
      <c r="D594" s="109"/>
      <c r="E594" s="109"/>
      <c r="F594" s="109"/>
      <c r="G594" s="109"/>
      <c r="H594" s="109"/>
      <c r="I594" s="109"/>
      <c r="J594" s="109"/>
      <c r="K594" s="317"/>
      <c r="L594" s="109"/>
      <c r="M594" s="109"/>
      <c r="N594" s="109"/>
      <c r="O594" s="109"/>
      <c r="P594" s="109"/>
      <c r="Q594" s="109"/>
      <c r="R594" s="109"/>
      <c r="S594" s="109"/>
      <c r="T594" s="109"/>
      <c r="U594" s="109"/>
      <c r="V594" s="109"/>
      <c r="W594" s="109"/>
      <c r="X594" s="109"/>
      <c r="Y594" s="109"/>
      <c r="Z594" s="109"/>
    </row>
    <row r="595" ht="39.75" customHeight="1">
      <c r="A595" s="109"/>
      <c r="B595" s="109"/>
      <c r="C595" s="109"/>
      <c r="D595" s="109"/>
      <c r="E595" s="109"/>
      <c r="F595" s="109"/>
      <c r="G595" s="109"/>
      <c r="H595" s="109"/>
      <c r="I595" s="109"/>
      <c r="J595" s="109"/>
      <c r="K595" s="317"/>
      <c r="L595" s="109"/>
      <c r="M595" s="109"/>
      <c r="N595" s="109"/>
      <c r="O595" s="109"/>
      <c r="P595" s="109"/>
      <c r="Q595" s="109"/>
      <c r="R595" s="109"/>
      <c r="S595" s="109"/>
      <c r="T595" s="109"/>
      <c r="U595" s="109"/>
      <c r="V595" s="109"/>
      <c r="W595" s="109"/>
      <c r="X595" s="109"/>
      <c r="Y595" s="109"/>
      <c r="Z595" s="109"/>
    </row>
    <row r="596" ht="39.75" customHeight="1">
      <c r="A596" s="109"/>
      <c r="B596" s="109"/>
      <c r="C596" s="109"/>
      <c r="D596" s="109"/>
      <c r="E596" s="109"/>
      <c r="F596" s="109"/>
      <c r="G596" s="109"/>
      <c r="H596" s="109"/>
      <c r="I596" s="109"/>
      <c r="J596" s="109"/>
      <c r="K596" s="317"/>
      <c r="L596" s="109"/>
      <c r="M596" s="109"/>
      <c r="N596" s="109"/>
      <c r="O596" s="109"/>
      <c r="P596" s="109"/>
      <c r="Q596" s="109"/>
      <c r="R596" s="109"/>
      <c r="S596" s="109"/>
      <c r="T596" s="109"/>
      <c r="U596" s="109"/>
      <c r="V596" s="109"/>
      <c r="W596" s="109"/>
      <c r="X596" s="109"/>
      <c r="Y596" s="109"/>
      <c r="Z596" s="109"/>
    </row>
    <row r="597" ht="39.75" customHeight="1">
      <c r="A597" s="109"/>
      <c r="B597" s="109"/>
      <c r="C597" s="109"/>
      <c r="D597" s="109"/>
      <c r="E597" s="109"/>
      <c r="F597" s="109"/>
      <c r="G597" s="109"/>
      <c r="H597" s="109"/>
      <c r="I597" s="109"/>
      <c r="J597" s="109"/>
      <c r="K597" s="317"/>
      <c r="L597" s="109"/>
      <c r="M597" s="109"/>
      <c r="N597" s="109"/>
      <c r="O597" s="109"/>
      <c r="P597" s="109"/>
      <c r="Q597" s="109"/>
      <c r="R597" s="109"/>
      <c r="S597" s="109"/>
      <c r="T597" s="109"/>
      <c r="U597" s="109"/>
      <c r="V597" s="109"/>
      <c r="W597" s="109"/>
      <c r="X597" s="109"/>
      <c r="Y597" s="109"/>
      <c r="Z597" s="109"/>
    </row>
    <row r="598" ht="39.75" customHeight="1">
      <c r="A598" s="109"/>
      <c r="B598" s="109"/>
      <c r="C598" s="109"/>
      <c r="D598" s="109"/>
      <c r="E598" s="109"/>
      <c r="F598" s="109"/>
      <c r="G598" s="109"/>
      <c r="H598" s="109"/>
      <c r="I598" s="109"/>
      <c r="J598" s="109"/>
      <c r="K598" s="317"/>
      <c r="L598" s="109"/>
      <c r="M598" s="109"/>
      <c r="N598" s="109"/>
      <c r="O598" s="109"/>
      <c r="P598" s="109"/>
      <c r="Q598" s="109"/>
      <c r="R598" s="109"/>
      <c r="S598" s="109"/>
      <c r="T598" s="109"/>
      <c r="U598" s="109"/>
      <c r="V598" s="109"/>
      <c r="W598" s="109"/>
      <c r="X598" s="109"/>
      <c r="Y598" s="109"/>
      <c r="Z598" s="109"/>
    </row>
    <row r="599" ht="39.75" customHeight="1">
      <c r="A599" s="109"/>
      <c r="B599" s="109"/>
      <c r="C599" s="109"/>
      <c r="D599" s="109"/>
      <c r="E599" s="109"/>
      <c r="F599" s="109"/>
      <c r="G599" s="109"/>
      <c r="H599" s="109"/>
      <c r="I599" s="109"/>
      <c r="J599" s="109"/>
      <c r="K599" s="317"/>
      <c r="L599" s="109"/>
      <c r="M599" s="109"/>
      <c r="N599" s="109"/>
      <c r="O599" s="109"/>
      <c r="P599" s="109"/>
      <c r="Q599" s="109"/>
      <c r="R599" s="109"/>
      <c r="S599" s="109"/>
      <c r="T599" s="109"/>
      <c r="U599" s="109"/>
      <c r="V599" s="109"/>
      <c r="W599" s="109"/>
      <c r="X599" s="109"/>
      <c r="Y599" s="109"/>
      <c r="Z599" s="109"/>
    </row>
    <row r="600" ht="39.75" customHeight="1">
      <c r="A600" s="109"/>
      <c r="B600" s="109"/>
      <c r="C600" s="109"/>
      <c r="D600" s="109"/>
      <c r="E600" s="109"/>
      <c r="F600" s="109"/>
      <c r="G600" s="109"/>
      <c r="H600" s="109"/>
      <c r="I600" s="109"/>
      <c r="J600" s="109"/>
      <c r="K600" s="317"/>
      <c r="L600" s="109"/>
      <c r="M600" s="109"/>
      <c r="N600" s="109"/>
      <c r="O600" s="109"/>
      <c r="P600" s="109"/>
      <c r="Q600" s="109"/>
      <c r="R600" s="109"/>
      <c r="S600" s="109"/>
      <c r="T600" s="109"/>
      <c r="U600" s="109"/>
      <c r="V600" s="109"/>
      <c r="W600" s="109"/>
      <c r="X600" s="109"/>
      <c r="Y600" s="109"/>
      <c r="Z600" s="109"/>
    </row>
    <row r="601" ht="39.75" customHeight="1">
      <c r="A601" s="109"/>
      <c r="B601" s="109"/>
      <c r="C601" s="109"/>
      <c r="D601" s="109"/>
      <c r="E601" s="109"/>
      <c r="F601" s="109"/>
      <c r="G601" s="109"/>
      <c r="H601" s="109"/>
      <c r="I601" s="109"/>
      <c r="J601" s="109"/>
      <c r="K601" s="317"/>
      <c r="L601" s="109"/>
      <c r="M601" s="109"/>
      <c r="N601" s="109"/>
      <c r="O601" s="109"/>
      <c r="P601" s="109"/>
      <c r="Q601" s="109"/>
      <c r="R601" s="109"/>
      <c r="S601" s="109"/>
      <c r="T601" s="109"/>
      <c r="U601" s="109"/>
      <c r="V601" s="109"/>
      <c r="W601" s="109"/>
      <c r="X601" s="109"/>
      <c r="Y601" s="109"/>
      <c r="Z601" s="109"/>
    </row>
    <row r="602" ht="39.75" customHeight="1">
      <c r="A602" s="109"/>
      <c r="B602" s="109"/>
      <c r="C602" s="109"/>
      <c r="D602" s="109"/>
      <c r="E602" s="109"/>
      <c r="F602" s="109"/>
      <c r="G602" s="109"/>
      <c r="H602" s="109"/>
      <c r="I602" s="109"/>
      <c r="J602" s="109"/>
      <c r="K602" s="317"/>
      <c r="L602" s="109"/>
      <c r="M602" s="109"/>
      <c r="N602" s="109"/>
      <c r="O602" s="109"/>
      <c r="P602" s="109"/>
      <c r="Q602" s="109"/>
      <c r="R602" s="109"/>
      <c r="S602" s="109"/>
      <c r="T602" s="109"/>
      <c r="U602" s="109"/>
      <c r="V602" s="109"/>
      <c r="W602" s="109"/>
      <c r="X602" s="109"/>
      <c r="Y602" s="109"/>
      <c r="Z602" s="109"/>
    </row>
    <row r="603" ht="39.75" customHeight="1">
      <c r="A603" s="109"/>
      <c r="B603" s="109"/>
      <c r="C603" s="109"/>
      <c r="D603" s="109"/>
      <c r="E603" s="109"/>
      <c r="F603" s="109"/>
      <c r="G603" s="109"/>
      <c r="H603" s="109"/>
      <c r="I603" s="109"/>
      <c r="J603" s="109"/>
      <c r="K603" s="317"/>
      <c r="L603" s="109"/>
      <c r="M603" s="109"/>
      <c r="N603" s="109"/>
      <c r="O603" s="109"/>
      <c r="P603" s="109"/>
      <c r="Q603" s="109"/>
      <c r="R603" s="109"/>
      <c r="S603" s="109"/>
      <c r="T603" s="109"/>
      <c r="U603" s="109"/>
      <c r="V603" s="109"/>
      <c r="W603" s="109"/>
      <c r="X603" s="109"/>
      <c r="Y603" s="109"/>
      <c r="Z603" s="109"/>
    </row>
    <row r="604" ht="39.75" customHeight="1">
      <c r="A604" s="109"/>
      <c r="B604" s="109"/>
      <c r="C604" s="109"/>
      <c r="D604" s="109"/>
      <c r="E604" s="109"/>
      <c r="F604" s="109"/>
      <c r="G604" s="109"/>
      <c r="H604" s="109"/>
      <c r="I604" s="109"/>
      <c r="J604" s="109"/>
      <c r="K604" s="317"/>
      <c r="L604" s="109"/>
      <c r="M604" s="109"/>
      <c r="N604" s="109"/>
      <c r="O604" s="109"/>
      <c r="P604" s="109"/>
      <c r="Q604" s="109"/>
      <c r="R604" s="109"/>
      <c r="S604" s="109"/>
      <c r="T604" s="109"/>
      <c r="U604" s="109"/>
      <c r="V604" s="109"/>
      <c r="W604" s="109"/>
      <c r="X604" s="109"/>
      <c r="Y604" s="109"/>
      <c r="Z604" s="109"/>
    </row>
    <row r="605" ht="39.75" customHeight="1">
      <c r="A605" s="109"/>
      <c r="B605" s="109"/>
      <c r="C605" s="109"/>
      <c r="D605" s="109"/>
      <c r="E605" s="109"/>
      <c r="F605" s="109"/>
      <c r="G605" s="109"/>
      <c r="H605" s="109"/>
      <c r="I605" s="109"/>
      <c r="J605" s="109"/>
      <c r="K605" s="317"/>
      <c r="L605" s="109"/>
      <c r="M605" s="109"/>
      <c r="N605" s="109"/>
      <c r="O605" s="109"/>
      <c r="P605" s="109"/>
      <c r="Q605" s="109"/>
      <c r="R605" s="109"/>
      <c r="S605" s="109"/>
      <c r="T605" s="109"/>
      <c r="U605" s="109"/>
      <c r="V605" s="109"/>
      <c r="W605" s="109"/>
      <c r="X605" s="109"/>
      <c r="Y605" s="109"/>
      <c r="Z605" s="109"/>
    </row>
    <row r="606" ht="39.75" customHeight="1">
      <c r="A606" s="109"/>
      <c r="B606" s="109"/>
      <c r="C606" s="109"/>
      <c r="D606" s="109"/>
      <c r="E606" s="109"/>
      <c r="F606" s="109"/>
      <c r="G606" s="109"/>
      <c r="H606" s="109"/>
      <c r="I606" s="109"/>
      <c r="J606" s="109"/>
      <c r="K606" s="317"/>
      <c r="L606" s="109"/>
      <c r="M606" s="109"/>
      <c r="N606" s="109"/>
      <c r="O606" s="109"/>
      <c r="P606" s="109"/>
      <c r="Q606" s="109"/>
      <c r="R606" s="109"/>
      <c r="S606" s="109"/>
      <c r="T606" s="109"/>
      <c r="U606" s="109"/>
      <c r="V606" s="109"/>
      <c r="W606" s="109"/>
      <c r="X606" s="109"/>
      <c r="Y606" s="109"/>
      <c r="Z606" s="109"/>
    </row>
    <row r="607" ht="39.75" customHeight="1">
      <c r="A607" s="109"/>
      <c r="B607" s="109"/>
      <c r="C607" s="109"/>
      <c r="D607" s="109"/>
      <c r="E607" s="109"/>
      <c r="F607" s="109"/>
      <c r="G607" s="109"/>
      <c r="H607" s="109"/>
      <c r="I607" s="109"/>
      <c r="J607" s="109"/>
      <c r="K607" s="317"/>
      <c r="L607" s="109"/>
      <c r="M607" s="109"/>
      <c r="N607" s="109"/>
      <c r="O607" s="109"/>
      <c r="P607" s="109"/>
      <c r="Q607" s="109"/>
      <c r="R607" s="109"/>
      <c r="S607" s="109"/>
      <c r="T607" s="109"/>
      <c r="U607" s="109"/>
      <c r="V607" s="109"/>
      <c r="W607" s="109"/>
      <c r="X607" s="109"/>
      <c r="Y607" s="109"/>
      <c r="Z607" s="109"/>
    </row>
    <row r="608" ht="39.75" customHeight="1">
      <c r="A608" s="109"/>
      <c r="B608" s="109"/>
      <c r="C608" s="109"/>
      <c r="D608" s="109"/>
      <c r="E608" s="109"/>
      <c r="F608" s="109"/>
      <c r="G608" s="109"/>
      <c r="H608" s="109"/>
      <c r="I608" s="109"/>
      <c r="J608" s="109"/>
      <c r="K608" s="317"/>
      <c r="L608" s="109"/>
      <c r="M608" s="109"/>
      <c r="N608" s="109"/>
      <c r="O608" s="109"/>
      <c r="P608" s="109"/>
      <c r="Q608" s="109"/>
      <c r="R608" s="109"/>
      <c r="S608" s="109"/>
      <c r="T608" s="109"/>
      <c r="U608" s="109"/>
      <c r="V608" s="109"/>
      <c r="W608" s="109"/>
      <c r="X608" s="109"/>
      <c r="Y608" s="109"/>
      <c r="Z608" s="109"/>
    </row>
    <row r="609" ht="39.75" customHeight="1">
      <c r="A609" s="109"/>
      <c r="B609" s="109"/>
      <c r="C609" s="109"/>
      <c r="D609" s="109"/>
      <c r="E609" s="109"/>
      <c r="F609" s="109"/>
      <c r="G609" s="109"/>
      <c r="H609" s="109"/>
      <c r="I609" s="109"/>
      <c r="J609" s="109"/>
      <c r="K609" s="317"/>
      <c r="L609" s="109"/>
      <c r="M609" s="109"/>
      <c r="N609" s="109"/>
      <c r="O609" s="109"/>
      <c r="P609" s="109"/>
      <c r="Q609" s="109"/>
      <c r="R609" s="109"/>
      <c r="S609" s="109"/>
      <c r="T609" s="109"/>
      <c r="U609" s="109"/>
      <c r="V609" s="109"/>
      <c r="W609" s="109"/>
      <c r="X609" s="109"/>
      <c r="Y609" s="109"/>
      <c r="Z609" s="109"/>
    </row>
    <row r="610" ht="39.75" customHeight="1">
      <c r="A610" s="109"/>
      <c r="B610" s="109"/>
      <c r="C610" s="109"/>
      <c r="D610" s="109"/>
      <c r="E610" s="109"/>
      <c r="F610" s="109"/>
      <c r="G610" s="109"/>
      <c r="H610" s="109"/>
      <c r="I610" s="109"/>
      <c r="J610" s="109"/>
      <c r="K610" s="317"/>
      <c r="L610" s="109"/>
      <c r="M610" s="109"/>
      <c r="N610" s="109"/>
      <c r="O610" s="109"/>
      <c r="P610" s="109"/>
      <c r="Q610" s="109"/>
      <c r="R610" s="109"/>
      <c r="S610" s="109"/>
      <c r="T610" s="109"/>
      <c r="U610" s="109"/>
      <c r="V610" s="109"/>
      <c r="W610" s="109"/>
      <c r="X610" s="109"/>
      <c r="Y610" s="109"/>
      <c r="Z610" s="109"/>
    </row>
    <row r="611" ht="39.75" customHeight="1">
      <c r="A611" s="109"/>
      <c r="B611" s="109"/>
      <c r="C611" s="109"/>
      <c r="D611" s="109"/>
      <c r="E611" s="109"/>
      <c r="F611" s="109"/>
      <c r="G611" s="109"/>
      <c r="H611" s="109"/>
      <c r="I611" s="109"/>
      <c r="J611" s="109"/>
      <c r="K611" s="317"/>
      <c r="L611" s="109"/>
      <c r="M611" s="109"/>
      <c r="N611" s="109"/>
      <c r="O611" s="109"/>
      <c r="P611" s="109"/>
      <c r="Q611" s="109"/>
      <c r="R611" s="109"/>
      <c r="S611" s="109"/>
      <c r="T611" s="109"/>
      <c r="U611" s="109"/>
      <c r="V611" s="109"/>
      <c r="W611" s="109"/>
      <c r="X611" s="109"/>
      <c r="Y611" s="109"/>
      <c r="Z611" s="109"/>
    </row>
    <row r="612" ht="39.75" customHeight="1">
      <c r="A612" s="109"/>
      <c r="B612" s="109"/>
      <c r="C612" s="109"/>
      <c r="D612" s="109"/>
      <c r="E612" s="109"/>
      <c r="F612" s="109"/>
      <c r="G612" s="109"/>
      <c r="H612" s="109"/>
      <c r="I612" s="109"/>
      <c r="J612" s="109"/>
      <c r="K612" s="317"/>
      <c r="L612" s="109"/>
      <c r="M612" s="109"/>
      <c r="N612" s="109"/>
      <c r="O612" s="109"/>
      <c r="P612" s="109"/>
      <c r="Q612" s="109"/>
      <c r="R612" s="109"/>
      <c r="S612" s="109"/>
      <c r="T612" s="109"/>
      <c r="U612" s="109"/>
      <c r="V612" s="109"/>
      <c r="W612" s="109"/>
      <c r="X612" s="109"/>
      <c r="Y612" s="109"/>
      <c r="Z612" s="109"/>
    </row>
    <row r="613" ht="39.75" customHeight="1">
      <c r="A613" s="109"/>
      <c r="B613" s="109"/>
      <c r="C613" s="109"/>
      <c r="D613" s="109"/>
      <c r="E613" s="109"/>
      <c r="F613" s="109"/>
      <c r="G613" s="109"/>
      <c r="H613" s="109"/>
      <c r="I613" s="109"/>
      <c r="J613" s="109"/>
      <c r="K613" s="317"/>
      <c r="L613" s="109"/>
      <c r="M613" s="109"/>
      <c r="N613" s="109"/>
      <c r="O613" s="109"/>
      <c r="P613" s="109"/>
      <c r="Q613" s="109"/>
      <c r="R613" s="109"/>
      <c r="S613" s="109"/>
      <c r="T613" s="109"/>
      <c r="U613" s="109"/>
      <c r="V613" s="109"/>
      <c r="W613" s="109"/>
      <c r="X613" s="109"/>
      <c r="Y613" s="109"/>
      <c r="Z613" s="109"/>
    </row>
    <row r="614" ht="39.75" customHeight="1">
      <c r="A614" s="109"/>
      <c r="B614" s="109"/>
      <c r="C614" s="109"/>
      <c r="D614" s="109"/>
      <c r="E614" s="109"/>
      <c r="F614" s="109"/>
      <c r="G614" s="109"/>
      <c r="H614" s="109"/>
      <c r="I614" s="109"/>
      <c r="J614" s="109"/>
      <c r="K614" s="317"/>
      <c r="L614" s="109"/>
      <c r="M614" s="109"/>
      <c r="N614" s="109"/>
      <c r="O614" s="109"/>
      <c r="P614" s="109"/>
      <c r="Q614" s="109"/>
      <c r="R614" s="109"/>
      <c r="S614" s="109"/>
      <c r="T614" s="109"/>
      <c r="U614" s="109"/>
      <c r="V614" s="109"/>
      <c r="W614" s="109"/>
      <c r="X614" s="109"/>
      <c r="Y614" s="109"/>
      <c r="Z614" s="109"/>
    </row>
    <row r="615" ht="39.75" customHeight="1">
      <c r="A615" s="109"/>
      <c r="B615" s="109"/>
      <c r="C615" s="109"/>
      <c r="D615" s="109"/>
      <c r="E615" s="109"/>
      <c r="F615" s="109"/>
      <c r="G615" s="109"/>
      <c r="H615" s="109"/>
      <c r="I615" s="109"/>
      <c r="J615" s="109"/>
      <c r="K615" s="317"/>
      <c r="L615" s="109"/>
      <c r="M615" s="109"/>
      <c r="N615" s="109"/>
      <c r="O615" s="109"/>
      <c r="P615" s="109"/>
      <c r="Q615" s="109"/>
      <c r="R615" s="109"/>
      <c r="S615" s="109"/>
      <c r="T615" s="109"/>
      <c r="U615" s="109"/>
      <c r="V615" s="109"/>
      <c r="W615" s="109"/>
      <c r="X615" s="109"/>
      <c r="Y615" s="109"/>
      <c r="Z615" s="109"/>
    </row>
    <row r="616" ht="39.75" customHeight="1">
      <c r="A616" s="109"/>
      <c r="B616" s="109"/>
      <c r="C616" s="109"/>
      <c r="D616" s="109"/>
      <c r="E616" s="109"/>
      <c r="F616" s="109"/>
      <c r="G616" s="109"/>
      <c r="H616" s="109"/>
      <c r="I616" s="109"/>
      <c r="J616" s="109"/>
      <c r="K616" s="317"/>
      <c r="L616" s="109"/>
      <c r="M616" s="109"/>
      <c r="N616" s="109"/>
      <c r="O616" s="109"/>
      <c r="P616" s="109"/>
      <c r="Q616" s="109"/>
      <c r="R616" s="109"/>
      <c r="S616" s="109"/>
      <c r="T616" s="109"/>
      <c r="U616" s="109"/>
      <c r="V616" s="109"/>
      <c r="W616" s="109"/>
      <c r="X616" s="109"/>
      <c r="Y616" s="109"/>
      <c r="Z616" s="109"/>
    </row>
    <row r="617" ht="39.75" customHeight="1">
      <c r="A617" s="109"/>
      <c r="B617" s="109"/>
      <c r="C617" s="109"/>
      <c r="D617" s="109"/>
      <c r="E617" s="109"/>
      <c r="F617" s="109"/>
      <c r="G617" s="109"/>
      <c r="H617" s="109"/>
      <c r="I617" s="109"/>
      <c r="J617" s="109"/>
      <c r="K617" s="317"/>
      <c r="L617" s="109"/>
      <c r="M617" s="109"/>
      <c r="N617" s="109"/>
      <c r="O617" s="109"/>
      <c r="P617" s="109"/>
      <c r="Q617" s="109"/>
      <c r="R617" s="109"/>
      <c r="S617" s="109"/>
      <c r="T617" s="109"/>
      <c r="U617" s="109"/>
      <c r="V617" s="109"/>
      <c r="W617" s="109"/>
      <c r="X617" s="109"/>
      <c r="Y617" s="109"/>
      <c r="Z617" s="109"/>
    </row>
    <row r="618" ht="39.75" customHeight="1">
      <c r="A618" s="109"/>
      <c r="B618" s="109"/>
      <c r="C618" s="109"/>
      <c r="D618" s="109"/>
      <c r="E618" s="109"/>
      <c r="F618" s="109"/>
      <c r="G618" s="109"/>
      <c r="H618" s="109"/>
      <c r="I618" s="109"/>
      <c r="J618" s="109"/>
      <c r="K618" s="317"/>
      <c r="L618" s="109"/>
      <c r="M618" s="109"/>
      <c r="N618" s="109"/>
      <c r="O618" s="109"/>
      <c r="P618" s="109"/>
      <c r="Q618" s="109"/>
      <c r="R618" s="109"/>
      <c r="S618" s="109"/>
      <c r="T618" s="109"/>
      <c r="U618" s="109"/>
      <c r="V618" s="109"/>
      <c r="W618" s="109"/>
      <c r="X618" s="109"/>
      <c r="Y618" s="109"/>
      <c r="Z618" s="109"/>
    </row>
    <row r="619" ht="39.75" customHeight="1">
      <c r="A619" s="109"/>
      <c r="B619" s="109"/>
      <c r="C619" s="109"/>
      <c r="D619" s="109"/>
      <c r="E619" s="109"/>
      <c r="F619" s="109"/>
      <c r="G619" s="109"/>
      <c r="H619" s="109"/>
      <c r="I619" s="109"/>
      <c r="J619" s="109"/>
      <c r="K619" s="317"/>
      <c r="L619" s="109"/>
      <c r="M619" s="109"/>
      <c r="N619" s="109"/>
      <c r="O619" s="109"/>
      <c r="P619" s="109"/>
      <c r="Q619" s="109"/>
      <c r="R619" s="109"/>
      <c r="S619" s="109"/>
      <c r="T619" s="109"/>
      <c r="U619" s="109"/>
      <c r="V619" s="109"/>
      <c r="W619" s="109"/>
      <c r="X619" s="109"/>
      <c r="Y619" s="109"/>
      <c r="Z619" s="109"/>
    </row>
    <row r="620" ht="39.75" customHeight="1">
      <c r="A620" s="109"/>
      <c r="B620" s="109"/>
      <c r="C620" s="109"/>
      <c r="D620" s="109"/>
      <c r="E620" s="109"/>
      <c r="F620" s="109"/>
      <c r="G620" s="109"/>
      <c r="H620" s="109"/>
      <c r="I620" s="109"/>
      <c r="J620" s="109"/>
      <c r="K620" s="317"/>
      <c r="L620" s="109"/>
      <c r="M620" s="109"/>
      <c r="N620" s="109"/>
      <c r="O620" s="109"/>
      <c r="P620" s="109"/>
      <c r="Q620" s="109"/>
      <c r="R620" s="109"/>
      <c r="S620" s="109"/>
      <c r="T620" s="109"/>
      <c r="U620" s="109"/>
      <c r="V620" s="109"/>
      <c r="W620" s="109"/>
      <c r="X620" s="109"/>
      <c r="Y620" s="109"/>
      <c r="Z620" s="109"/>
    </row>
    <row r="621" ht="39.75" customHeight="1">
      <c r="A621" s="109"/>
      <c r="B621" s="109"/>
      <c r="C621" s="109"/>
      <c r="D621" s="109"/>
      <c r="E621" s="109"/>
      <c r="F621" s="109"/>
      <c r="G621" s="109"/>
      <c r="H621" s="109"/>
      <c r="I621" s="109"/>
      <c r="J621" s="109"/>
      <c r="K621" s="317"/>
      <c r="L621" s="109"/>
      <c r="M621" s="109"/>
      <c r="N621" s="109"/>
      <c r="O621" s="109"/>
      <c r="P621" s="109"/>
      <c r="Q621" s="109"/>
      <c r="R621" s="109"/>
      <c r="S621" s="109"/>
      <c r="T621" s="109"/>
      <c r="U621" s="109"/>
      <c r="V621" s="109"/>
      <c r="W621" s="109"/>
      <c r="X621" s="109"/>
      <c r="Y621" s="109"/>
      <c r="Z621" s="109"/>
    </row>
    <row r="622" ht="39.75" customHeight="1">
      <c r="A622" s="109"/>
      <c r="B622" s="109"/>
      <c r="C622" s="109"/>
      <c r="D622" s="109"/>
      <c r="E622" s="109"/>
      <c r="F622" s="109"/>
      <c r="G622" s="109"/>
      <c r="H622" s="109"/>
      <c r="I622" s="109"/>
      <c r="J622" s="109"/>
      <c r="K622" s="317"/>
      <c r="L622" s="109"/>
      <c r="M622" s="109"/>
      <c r="N622" s="109"/>
      <c r="O622" s="109"/>
      <c r="P622" s="109"/>
      <c r="Q622" s="109"/>
      <c r="R622" s="109"/>
      <c r="S622" s="109"/>
      <c r="T622" s="109"/>
      <c r="U622" s="109"/>
      <c r="V622" s="109"/>
      <c r="W622" s="109"/>
      <c r="X622" s="109"/>
      <c r="Y622" s="109"/>
      <c r="Z622" s="109"/>
    </row>
    <row r="623" ht="39.75" customHeight="1">
      <c r="A623" s="109"/>
      <c r="B623" s="109"/>
      <c r="C623" s="109"/>
      <c r="D623" s="109"/>
      <c r="E623" s="109"/>
      <c r="F623" s="109"/>
      <c r="G623" s="109"/>
      <c r="H623" s="109"/>
      <c r="I623" s="109"/>
      <c r="J623" s="109"/>
      <c r="K623" s="317"/>
      <c r="L623" s="109"/>
      <c r="M623" s="109"/>
      <c r="N623" s="109"/>
      <c r="O623" s="109"/>
      <c r="P623" s="109"/>
      <c r="Q623" s="109"/>
      <c r="R623" s="109"/>
      <c r="S623" s="109"/>
      <c r="T623" s="109"/>
      <c r="U623" s="109"/>
      <c r="V623" s="109"/>
      <c r="W623" s="109"/>
      <c r="X623" s="109"/>
      <c r="Y623" s="109"/>
      <c r="Z623" s="109"/>
    </row>
    <row r="624" ht="39.75" customHeight="1">
      <c r="A624" s="109"/>
      <c r="B624" s="109"/>
      <c r="C624" s="109"/>
      <c r="D624" s="109"/>
      <c r="E624" s="109"/>
      <c r="F624" s="109"/>
      <c r="G624" s="109"/>
      <c r="H624" s="109"/>
      <c r="I624" s="109"/>
      <c r="J624" s="109"/>
      <c r="K624" s="317"/>
      <c r="L624" s="109"/>
      <c r="M624" s="109"/>
      <c r="N624" s="109"/>
      <c r="O624" s="109"/>
      <c r="P624" s="109"/>
      <c r="Q624" s="109"/>
      <c r="R624" s="109"/>
      <c r="S624" s="109"/>
      <c r="T624" s="109"/>
      <c r="U624" s="109"/>
      <c r="V624" s="109"/>
      <c r="W624" s="109"/>
      <c r="X624" s="109"/>
      <c r="Y624" s="109"/>
      <c r="Z624" s="109"/>
    </row>
    <row r="625" ht="39.75" customHeight="1">
      <c r="A625" s="109"/>
      <c r="B625" s="109"/>
      <c r="C625" s="109"/>
      <c r="D625" s="109"/>
      <c r="E625" s="109"/>
      <c r="F625" s="109"/>
      <c r="G625" s="109"/>
      <c r="H625" s="109"/>
      <c r="I625" s="109"/>
      <c r="J625" s="109"/>
      <c r="K625" s="317"/>
      <c r="L625" s="109"/>
      <c r="M625" s="109"/>
      <c r="N625" s="109"/>
      <c r="O625" s="109"/>
      <c r="P625" s="109"/>
      <c r="Q625" s="109"/>
      <c r="R625" s="109"/>
      <c r="S625" s="109"/>
      <c r="T625" s="109"/>
      <c r="U625" s="109"/>
      <c r="V625" s="109"/>
      <c r="W625" s="109"/>
      <c r="X625" s="109"/>
      <c r="Y625" s="109"/>
      <c r="Z625" s="109"/>
    </row>
    <row r="626" ht="39.75" customHeight="1">
      <c r="A626" s="109"/>
      <c r="B626" s="109"/>
      <c r="C626" s="109"/>
      <c r="D626" s="109"/>
      <c r="E626" s="109"/>
      <c r="F626" s="109"/>
      <c r="G626" s="109"/>
      <c r="H626" s="109"/>
      <c r="I626" s="109"/>
      <c r="J626" s="109"/>
      <c r="K626" s="317"/>
      <c r="L626" s="109"/>
      <c r="M626" s="109"/>
      <c r="N626" s="109"/>
      <c r="O626" s="109"/>
      <c r="P626" s="109"/>
      <c r="Q626" s="109"/>
      <c r="R626" s="109"/>
      <c r="S626" s="109"/>
      <c r="T626" s="109"/>
      <c r="U626" s="109"/>
      <c r="V626" s="109"/>
      <c r="W626" s="109"/>
      <c r="X626" s="109"/>
      <c r="Y626" s="109"/>
      <c r="Z626" s="109"/>
    </row>
    <row r="627" ht="39.75" customHeight="1">
      <c r="A627" s="109"/>
      <c r="B627" s="109"/>
      <c r="C627" s="109"/>
      <c r="D627" s="109"/>
      <c r="E627" s="109"/>
      <c r="F627" s="109"/>
      <c r="G627" s="109"/>
      <c r="H627" s="109"/>
      <c r="I627" s="109"/>
      <c r="J627" s="109"/>
      <c r="K627" s="317"/>
      <c r="L627" s="109"/>
      <c r="M627" s="109"/>
      <c r="N627" s="109"/>
      <c r="O627" s="109"/>
      <c r="P627" s="109"/>
      <c r="Q627" s="109"/>
      <c r="R627" s="109"/>
      <c r="S627" s="109"/>
      <c r="T627" s="109"/>
      <c r="U627" s="109"/>
      <c r="V627" s="109"/>
      <c r="W627" s="109"/>
      <c r="X627" s="109"/>
      <c r="Y627" s="109"/>
      <c r="Z627" s="109"/>
    </row>
    <row r="628" ht="39.75" customHeight="1">
      <c r="A628" s="109"/>
      <c r="B628" s="109"/>
      <c r="C628" s="109"/>
      <c r="D628" s="109"/>
      <c r="E628" s="109"/>
      <c r="F628" s="109"/>
      <c r="G628" s="109"/>
      <c r="H628" s="109"/>
      <c r="I628" s="109"/>
      <c r="J628" s="109"/>
      <c r="K628" s="317"/>
      <c r="L628" s="109"/>
      <c r="M628" s="109"/>
      <c r="N628" s="109"/>
      <c r="O628" s="109"/>
      <c r="P628" s="109"/>
      <c r="Q628" s="109"/>
      <c r="R628" s="109"/>
      <c r="S628" s="109"/>
      <c r="T628" s="109"/>
      <c r="U628" s="109"/>
      <c r="V628" s="109"/>
      <c r="W628" s="109"/>
      <c r="X628" s="109"/>
      <c r="Y628" s="109"/>
      <c r="Z628" s="109"/>
    </row>
    <row r="629" ht="39.75" customHeight="1">
      <c r="A629" s="109"/>
      <c r="B629" s="109"/>
      <c r="C629" s="109"/>
      <c r="D629" s="109"/>
      <c r="E629" s="109"/>
      <c r="F629" s="109"/>
      <c r="G629" s="109"/>
      <c r="H629" s="109"/>
      <c r="I629" s="109"/>
      <c r="J629" s="109"/>
      <c r="K629" s="317"/>
      <c r="L629" s="109"/>
      <c r="M629" s="109"/>
      <c r="N629" s="109"/>
      <c r="O629" s="109"/>
      <c r="P629" s="109"/>
      <c r="Q629" s="109"/>
      <c r="R629" s="109"/>
      <c r="S629" s="109"/>
      <c r="T629" s="109"/>
      <c r="U629" s="109"/>
      <c r="V629" s="109"/>
      <c r="W629" s="109"/>
      <c r="X629" s="109"/>
      <c r="Y629" s="109"/>
      <c r="Z629" s="109"/>
    </row>
    <row r="630" ht="39.75" customHeight="1">
      <c r="A630" s="109"/>
      <c r="B630" s="109"/>
      <c r="C630" s="109"/>
      <c r="D630" s="109"/>
      <c r="E630" s="109"/>
      <c r="F630" s="109"/>
      <c r="G630" s="109"/>
      <c r="H630" s="109"/>
      <c r="I630" s="109"/>
      <c r="J630" s="109"/>
      <c r="K630" s="317"/>
      <c r="L630" s="109"/>
      <c r="M630" s="109"/>
      <c r="N630" s="109"/>
      <c r="O630" s="109"/>
      <c r="P630" s="109"/>
      <c r="Q630" s="109"/>
      <c r="R630" s="109"/>
      <c r="S630" s="109"/>
      <c r="T630" s="109"/>
      <c r="U630" s="109"/>
      <c r="V630" s="109"/>
      <c r="W630" s="109"/>
      <c r="X630" s="109"/>
      <c r="Y630" s="109"/>
      <c r="Z630" s="109"/>
    </row>
    <row r="631" ht="39.75" customHeight="1">
      <c r="A631" s="109"/>
      <c r="B631" s="109"/>
      <c r="C631" s="109"/>
      <c r="D631" s="109"/>
      <c r="E631" s="109"/>
      <c r="F631" s="109"/>
      <c r="G631" s="109"/>
      <c r="H631" s="109"/>
      <c r="I631" s="109"/>
      <c r="J631" s="109"/>
      <c r="K631" s="317"/>
      <c r="L631" s="109"/>
      <c r="M631" s="109"/>
      <c r="N631" s="109"/>
      <c r="O631" s="109"/>
      <c r="P631" s="109"/>
      <c r="Q631" s="109"/>
      <c r="R631" s="109"/>
      <c r="S631" s="109"/>
      <c r="T631" s="109"/>
      <c r="U631" s="109"/>
      <c r="V631" s="109"/>
      <c r="W631" s="109"/>
      <c r="X631" s="109"/>
      <c r="Y631" s="109"/>
      <c r="Z631" s="109"/>
    </row>
    <row r="632" ht="39.75" customHeight="1">
      <c r="A632" s="109"/>
      <c r="B632" s="109"/>
      <c r="C632" s="109"/>
      <c r="D632" s="109"/>
      <c r="E632" s="109"/>
      <c r="F632" s="109"/>
      <c r="G632" s="109"/>
      <c r="H632" s="109"/>
      <c r="I632" s="109"/>
      <c r="J632" s="109"/>
      <c r="K632" s="317"/>
      <c r="L632" s="109"/>
      <c r="M632" s="109"/>
      <c r="N632" s="109"/>
      <c r="O632" s="109"/>
      <c r="P632" s="109"/>
      <c r="Q632" s="109"/>
      <c r="R632" s="109"/>
      <c r="S632" s="109"/>
      <c r="T632" s="109"/>
      <c r="U632" s="109"/>
      <c r="V632" s="109"/>
      <c r="W632" s="109"/>
      <c r="X632" s="109"/>
      <c r="Y632" s="109"/>
      <c r="Z632" s="109"/>
    </row>
    <row r="633" ht="39.75" customHeight="1">
      <c r="A633" s="109"/>
      <c r="B633" s="109"/>
      <c r="C633" s="109"/>
      <c r="D633" s="109"/>
      <c r="E633" s="109"/>
      <c r="F633" s="109"/>
      <c r="G633" s="109"/>
      <c r="H633" s="109"/>
      <c r="I633" s="109"/>
      <c r="J633" s="109"/>
      <c r="K633" s="317"/>
      <c r="L633" s="109"/>
      <c r="M633" s="109"/>
      <c r="N633" s="109"/>
      <c r="O633" s="109"/>
      <c r="P633" s="109"/>
      <c r="Q633" s="109"/>
      <c r="R633" s="109"/>
      <c r="S633" s="109"/>
      <c r="T633" s="109"/>
      <c r="U633" s="109"/>
      <c r="V633" s="109"/>
      <c r="W633" s="109"/>
      <c r="X633" s="109"/>
      <c r="Y633" s="109"/>
      <c r="Z633" s="109"/>
    </row>
    <row r="634" ht="39.75" customHeight="1">
      <c r="A634" s="109"/>
      <c r="B634" s="109"/>
      <c r="C634" s="109"/>
      <c r="D634" s="109"/>
      <c r="E634" s="109"/>
      <c r="F634" s="109"/>
      <c r="G634" s="109"/>
      <c r="H634" s="109"/>
      <c r="I634" s="109"/>
      <c r="J634" s="109"/>
      <c r="K634" s="317"/>
      <c r="L634" s="109"/>
      <c r="M634" s="109"/>
      <c r="N634" s="109"/>
      <c r="O634" s="109"/>
      <c r="P634" s="109"/>
      <c r="Q634" s="109"/>
      <c r="R634" s="109"/>
      <c r="S634" s="109"/>
      <c r="T634" s="109"/>
      <c r="U634" s="109"/>
      <c r="V634" s="109"/>
      <c r="W634" s="109"/>
      <c r="X634" s="109"/>
      <c r="Y634" s="109"/>
      <c r="Z634" s="109"/>
    </row>
    <row r="635" ht="39.75" customHeight="1">
      <c r="A635" s="109"/>
      <c r="B635" s="109"/>
      <c r="C635" s="109"/>
      <c r="D635" s="109"/>
      <c r="E635" s="109"/>
      <c r="F635" s="109"/>
      <c r="G635" s="109"/>
      <c r="H635" s="109"/>
      <c r="I635" s="109"/>
      <c r="J635" s="109"/>
      <c r="K635" s="317"/>
      <c r="L635" s="109"/>
      <c r="M635" s="109"/>
      <c r="N635" s="109"/>
      <c r="O635" s="109"/>
      <c r="P635" s="109"/>
      <c r="Q635" s="109"/>
      <c r="R635" s="109"/>
      <c r="S635" s="109"/>
      <c r="T635" s="109"/>
      <c r="U635" s="109"/>
      <c r="V635" s="109"/>
      <c r="W635" s="109"/>
      <c r="X635" s="109"/>
      <c r="Y635" s="109"/>
      <c r="Z635" s="109"/>
    </row>
    <row r="636" ht="39.75" customHeight="1">
      <c r="A636" s="109"/>
      <c r="B636" s="109"/>
      <c r="C636" s="109"/>
      <c r="D636" s="109"/>
      <c r="E636" s="109"/>
      <c r="F636" s="109"/>
      <c r="G636" s="109"/>
      <c r="H636" s="109"/>
      <c r="I636" s="109"/>
      <c r="J636" s="109"/>
      <c r="K636" s="317"/>
      <c r="L636" s="109"/>
      <c r="M636" s="109"/>
      <c r="N636" s="109"/>
      <c r="O636" s="109"/>
      <c r="P636" s="109"/>
      <c r="Q636" s="109"/>
      <c r="R636" s="109"/>
      <c r="S636" s="109"/>
      <c r="T636" s="109"/>
      <c r="U636" s="109"/>
      <c r="V636" s="109"/>
      <c r="W636" s="109"/>
      <c r="X636" s="109"/>
      <c r="Y636" s="109"/>
      <c r="Z636" s="109"/>
    </row>
    <row r="637" ht="39.75" customHeight="1">
      <c r="A637" s="109"/>
      <c r="B637" s="109"/>
      <c r="C637" s="109"/>
      <c r="D637" s="109"/>
      <c r="E637" s="109"/>
      <c r="F637" s="109"/>
      <c r="G637" s="109"/>
      <c r="H637" s="109"/>
      <c r="I637" s="109"/>
      <c r="J637" s="109"/>
      <c r="K637" s="317"/>
      <c r="L637" s="109"/>
      <c r="M637" s="109"/>
      <c r="N637" s="109"/>
      <c r="O637" s="109"/>
      <c r="P637" s="109"/>
      <c r="Q637" s="109"/>
      <c r="R637" s="109"/>
      <c r="S637" s="109"/>
      <c r="T637" s="109"/>
      <c r="U637" s="109"/>
      <c r="V637" s="109"/>
      <c r="W637" s="109"/>
      <c r="X637" s="109"/>
      <c r="Y637" s="109"/>
      <c r="Z637" s="109"/>
    </row>
    <row r="638" ht="39.75" customHeight="1">
      <c r="A638" s="109"/>
      <c r="B638" s="109"/>
      <c r="C638" s="109"/>
      <c r="D638" s="109"/>
      <c r="E638" s="109"/>
      <c r="F638" s="109"/>
      <c r="G638" s="109"/>
      <c r="H638" s="109"/>
      <c r="I638" s="109"/>
      <c r="J638" s="109"/>
      <c r="K638" s="317"/>
      <c r="L638" s="109"/>
      <c r="M638" s="109"/>
      <c r="N638" s="109"/>
      <c r="O638" s="109"/>
      <c r="P638" s="109"/>
      <c r="Q638" s="109"/>
      <c r="R638" s="109"/>
      <c r="S638" s="109"/>
      <c r="T638" s="109"/>
      <c r="U638" s="109"/>
      <c r="V638" s="109"/>
      <c r="W638" s="109"/>
      <c r="X638" s="109"/>
      <c r="Y638" s="109"/>
      <c r="Z638" s="109"/>
    </row>
    <row r="639" ht="39.75" customHeight="1">
      <c r="A639" s="109"/>
      <c r="B639" s="109"/>
      <c r="C639" s="109"/>
      <c r="D639" s="109"/>
      <c r="E639" s="109"/>
      <c r="F639" s="109"/>
      <c r="G639" s="109"/>
      <c r="H639" s="109"/>
      <c r="I639" s="109"/>
      <c r="J639" s="109"/>
      <c r="K639" s="317"/>
      <c r="L639" s="109"/>
      <c r="M639" s="109"/>
      <c r="N639" s="109"/>
      <c r="O639" s="109"/>
      <c r="P639" s="109"/>
      <c r="Q639" s="109"/>
      <c r="R639" s="109"/>
      <c r="S639" s="109"/>
      <c r="T639" s="109"/>
      <c r="U639" s="109"/>
      <c r="V639" s="109"/>
      <c r="W639" s="109"/>
      <c r="X639" s="109"/>
      <c r="Y639" s="109"/>
      <c r="Z639" s="109"/>
    </row>
    <row r="640" ht="39.75" customHeight="1">
      <c r="A640" s="109"/>
      <c r="B640" s="109"/>
      <c r="C640" s="109"/>
      <c r="D640" s="109"/>
      <c r="E640" s="109"/>
      <c r="F640" s="109"/>
      <c r="G640" s="109"/>
      <c r="H640" s="109"/>
      <c r="I640" s="109"/>
      <c r="J640" s="109"/>
      <c r="K640" s="317"/>
      <c r="L640" s="109"/>
      <c r="M640" s="109"/>
      <c r="N640" s="109"/>
      <c r="O640" s="109"/>
      <c r="P640" s="109"/>
      <c r="Q640" s="109"/>
      <c r="R640" s="109"/>
      <c r="S640" s="109"/>
      <c r="T640" s="109"/>
      <c r="U640" s="109"/>
      <c r="V640" s="109"/>
      <c r="W640" s="109"/>
      <c r="X640" s="109"/>
      <c r="Y640" s="109"/>
      <c r="Z640" s="109"/>
    </row>
    <row r="641" ht="39.75" customHeight="1">
      <c r="A641" s="109"/>
      <c r="B641" s="109"/>
      <c r="C641" s="109"/>
      <c r="D641" s="109"/>
      <c r="E641" s="109"/>
      <c r="F641" s="109"/>
      <c r="G641" s="109"/>
      <c r="H641" s="109"/>
      <c r="I641" s="109"/>
      <c r="J641" s="109"/>
      <c r="K641" s="317"/>
      <c r="L641" s="109"/>
      <c r="M641" s="109"/>
      <c r="N641" s="109"/>
      <c r="O641" s="109"/>
      <c r="P641" s="109"/>
      <c r="Q641" s="109"/>
      <c r="R641" s="109"/>
      <c r="S641" s="109"/>
      <c r="T641" s="109"/>
      <c r="U641" s="109"/>
      <c r="V641" s="109"/>
      <c r="W641" s="109"/>
      <c r="X641" s="109"/>
      <c r="Y641" s="109"/>
      <c r="Z641" s="109"/>
    </row>
    <row r="642" ht="39.75" customHeight="1">
      <c r="A642" s="109"/>
      <c r="B642" s="109"/>
      <c r="C642" s="109"/>
      <c r="D642" s="109"/>
      <c r="E642" s="109"/>
      <c r="F642" s="109"/>
      <c r="G642" s="109"/>
      <c r="H642" s="109"/>
      <c r="I642" s="109"/>
      <c r="J642" s="109"/>
      <c r="K642" s="317"/>
      <c r="L642" s="109"/>
      <c r="M642" s="109"/>
      <c r="N642" s="109"/>
      <c r="O642" s="109"/>
      <c r="P642" s="109"/>
      <c r="Q642" s="109"/>
      <c r="R642" s="109"/>
      <c r="S642" s="109"/>
      <c r="T642" s="109"/>
      <c r="U642" s="109"/>
      <c r="V642" s="109"/>
      <c r="W642" s="109"/>
      <c r="X642" s="109"/>
      <c r="Y642" s="109"/>
      <c r="Z642" s="109"/>
    </row>
    <row r="643" ht="39.75" customHeight="1">
      <c r="A643" s="109"/>
      <c r="B643" s="109"/>
      <c r="C643" s="109"/>
      <c r="D643" s="109"/>
      <c r="E643" s="109"/>
      <c r="F643" s="109"/>
      <c r="G643" s="109"/>
      <c r="H643" s="109"/>
      <c r="I643" s="109"/>
      <c r="J643" s="109"/>
      <c r="K643" s="317"/>
      <c r="L643" s="109"/>
      <c r="M643" s="109"/>
      <c r="N643" s="109"/>
      <c r="O643" s="109"/>
      <c r="P643" s="109"/>
      <c r="Q643" s="109"/>
      <c r="R643" s="109"/>
      <c r="S643" s="109"/>
      <c r="T643" s="109"/>
      <c r="U643" s="109"/>
      <c r="V643" s="109"/>
      <c r="W643" s="109"/>
      <c r="X643" s="109"/>
      <c r="Y643" s="109"/>
      <c r="Z643" s="109"/>
    </row>
    <row r="644" ht="39.75" customHeight="1">
      <c r="A644" s="109"/>
      <c r="B644" s="109"/>
      <c r="C644" s="109"/>
      <c r="D644" s="109"/>
      <c r="E644" s="109"/>
      <c r="F644" s="109"/>
      <c r="G644" s="109"/>
      <c r="H644" s="109"/>
      <c r="I644" s="109"/>
      <c r="J644" s="109"/>
      <c r="K644" s="317"/>
      <c r="L644" s="109"/>
      <c r="M644" s="109"/>
      <c r="N644" s="109"/>
      <c r="O644" s="109"/>
      <c r="P644" s="109"/>
      <c r="Q644" s="109"/>
      <c r="R644" s="109"/>
      <c r="S644" s="109"/>
      <c r="T644" s="109"/>
      <c r="U644" s="109"/>
      <c r="V644" s="109"/>
      <c r="W644" s="109"/>
      <c r="X644" s="109"/>
      <c r="Y644" s="109"/>
      <c r="Z644" s="109"/>
    </row>
    <row r="645" ht="39.75" customHeight="1">
      <c r="A645" s="109"/>
      <c r="B645" s="109"/>
      <c r="C645" s="109"/>
      <c r="D645" s="109"/>
      <c r="E645" s="109"/>
      <c r="F645" s="109"/>
      <c r="G645" s="109"/>
      <c r="H645" s="109"/>
      <c r="I645" s="109"/>
      <c r="J645" s="109"/>
      <c r="K645" s="317"/>
      <c r="L645" s="109"/>
      <c r="M645" s="109"/>
      <c r="N645" s="109"/>
      <c r="O645" s="109"/>
      <c r="P645" s="109"/>
      <c r="Q645" s="109"/>
      <c r="R645" s="109"/>
      <c r="S645" s="109"/>
      <c r="T645" s="109"/>
      <c r="U645" s="109"/>
      <c r="V645" s="109"/>
      <c r="W645" s="109"/>
      <c r="X645" s="109"/>
      <c r="Y645" s="109"/>
      <c r="Z645" s="109"/>
    </row>
    <row r="646" ht="39.75" customHeight="1">
      <c r="A646" s="109"/>
      <c r="B646" s="109"/>
      <c r="C646" s="109"/>
      <c r="D646" s="109"/>
      <c r="E646" s="109"/>
      <c r="F646" s="109"/>
      <c r="G646" s="109"/>
      <c r="H646" s="109"/>
      <c r="I646" s="109"/>
      <c r="J646" s="109"/>
      <c r="K646" s="317"/>
      <c r="L646" s="109"/>
      <c r="M646" s="109"/>
      <c r="N646" s="109"/>
      <c r="O646" s="109"/>
      <c r="P646" s="109"/>
      <c r="Q646" s="109"/>
      <c r="R646" s="109"/>
      <c r="S646" s="109"/>
      <c r="T646" s="109"/>
      <c r="U646" s="109"/>
      <c r="V646" s="109"/>
      <c r="W646" s="109"/>
      <c r="X646" s="109"/>
      <c r="Y646" s="109"/>
      <c r="Z646" s="109"/>
    </row>
    <row r="647" ht="39.75" customHeight="1">
      <c r="A647" s="109"/>
      <c r="B647" s="109"/>
      <c r="C647" s="109"/>
      <c r="D647" s="109"/>
      <c r="E647" s="109"/>
      <c r="F647" s="109"/>
      <c r="G647" s="109"/>
      <c r="H647" s="109"/>
      <c r="I647" s="109"/>
      <c r="J647" s="109"/>
      <c r="K647" s="317"/>
      <c r="L647" s="109"/>
      <c r="M647" s="109"/>
      <c r="N647" s="109"/>
      <c r="O647" s="109"/>
      <c r="P647" s="109"/>
      <c r="Q647" s="109"/>
      <c r="R647" s="109"/>
      <c r="S647" s="109"/>
      <c r="T647" s="109"/>
      <c r="U647" s="109"/>
      <c r="V647" s="109"/>
      <c r="W647" s="109"/>
      <c r="X647" s="109"/>
      <c r="Y647" s="109"/>
      <c r="Z647" s="109"/>
    </row>
    <row r="648" ht="39.75" customHeight="1">
      <c r="A648" s="109"/>
      <c r="B648" s="109"/>
      <c r="C648" s="109"/>
      <c r="D648" s="109"/>
      <c r="E648" s="109"/>
      <c r="F648" s="109"/>
      <c r="G648" s="109"/>
      <c r="H648" s="109"/>
      <c r="I648" s="109"/>
      <c r="J648" s="109"/>
      <c r="K648" s="317"/>
      <c r="L648" s="109"/>
      <c r="M648" s="109"/>
      <c r="N648" s="109"/>
      <c r="O648" s="109"/>
      <c r="P648" s="109"/>
      <c r="Q648" s="109"/>
      <c r="R648" s="109"/>
      <c r="S648" s="109"/>
      <c r="T648" s="109"/>
      <c r="U648" s="109"/>
      <c r="V648" s="109"/>
      <c r="W648" s="109"/>
      <c r="X648" s="109"/>
      <c r="Y648" s="109"/>
      <c r="Z648" s="109"/>
    </row>
    <row r="649" ht="39.75" customHeight="1">
      <c r="A649" s="109"/>
      <c r="B649" s="109"/>
      <c r="C649" s="109"/>
      <c r="D649" s="109"/>
      <c r="E649" s="109"/>
      <c r="F649" s="109"/>
      <c r="G649" s="109"/>
      <c r="H649" s="109"/>
      <c r="I649" s="109"/>
      <c r="J649" s="109"/>
      <c r="K649" s="317"/>
      <c r="L649" s="109"/>
      <c r="M649" s="109"/>
      <c r="N649" s="109"/>
      <c r="O649" s="109"/>
      <c r="P649" s="109"/>
      <c r="Q649" s="109"/>
      <c r="R649" s="109"/>
      <c r="S649" s="109"/>
      <c r="T649" s="109"/>
      <c r="U649" s="109"/>
      <c r="V649" s="109"/>
      <c r="W649" s="109"/>
      <c r="X649" s="109"/>
      <c r="Y649" s="109"/>
      <c r="Z649" s="109"/>
    </row>
    <row r="650" ht="39.75" customHeight="1">
      <c r="A650" s="109"/>
      <c r="B650" s="109"/>
      <c r="C650" s="109"/>
      <c r="D650" s="109"/>
      <c r="E650" s="109"/>
      <c r="F650" s="109"/>
      <c r="G650" s="109"/>
      <c r="H650" s="109"/>
      <c r="I650" s="109"/>
      <c r="J650" s="109"/>
      <c r="K650" s="317"/>
      <c r="L650" s="109"/>
      <c r="M650" s="109"/>
      <c r="N650" s="109"/>
      <c r="O650" s="109"/>
      <c r="P650" s="109"/>
      <c r="Q650" s="109"/>
      <c r="R650" s="109"/>
      <c r="S650" s="109"/>
      <c r="T650" s="109"/>
      <c r="U650" s="109"/>
      <c r="V650" s="109"/>
      <c r="W650" s="109"/>
      <c r="X650" s="109"/>
      <c r="Y650" s="109"/>
      <c r="Z650" s="109"/>
    </row>
    <row r="651" ht="39.75" customHeight="1">
      <c r="A651" s="109"/>
      <c r="B651" s="109"/>
      <c r="C651" s="109"/>
      <c r="D651" s="109"/>
      <c r="E651" s="109"/>
      <c r="F651" s="109"/>
      <c r="G651" s="109"/>
      <c r="H651" s="109"/>
      <c r="I651" s="109"/>
      <c r="J651" s="109"/>
      <c r="K651" s="317"/>
      <c r="L651" s="109"/>
      <c r="M651" s="109"/>
      <c r="N651" s="109"/>
      <c r="O651" s="109"/>
      <c r="P651" s="109"/>
      <c r="Q651" s="109"/>
      <c r="R651" s="109"/>
      <c r="S651" s="109"/>
      <c r="T651" s="109"/>
      <c r="U651" s="109"/>
      <c r="V651" s="109"/>
      <c r="W651" s="109"/>
      <c r="X651" s="109"/>
      <c r="Y651" s="109"/>
      <c r="Z651" s="109"/>
    </row>
    <row r="652" ht="39.75" customHeight="1">
      <c r="A652" s="109"/>
      <c r="B652" s="109"/>
      <c r="C652" s="109"/>
      <c r="D652" s="109"/>
      <c r="E652" s="109"/>
      <c r="F652" s="109"/>
      <c r="G652" s="109"/>
      <c r="H652" s="109"/>
      <c r="I652" s="109"/>
      <c r="J652" s="109"/>
      <c r="K652" s="317"/>
      <c r="L652" s="109"/>
      <c r="M652" s="109"/>
      <c r="N652" s="109"/>
      <c r="O652" s="109"/>
      <c r="P652" s="109"/>
      <c r="Q652" s="109"/>
      <c r="R652" s="109"/>
      <c r="S652" s="109"/>
      <c r="T652" s="109"/>
      <c r="U652" s="109"/>
      <c r="V652" s="109"/>
      <c r="W652" s="109"/>
      <c r="X652" s="109"/>
      <c r="Y652" s="109"/>
      <c r="Z652" s="109"/>
    </row>
    <row r="653" ht="39.75" customHeight="1">
      <c r="A653" s="109"/>
      <c r="B653" s="109"/>
      <c r="C653" s="109"/>
      <c r="D653" s="109"/>
      <c r="E653" s="109"/>
      <c r="F653" s="109"/>
      <c r="G653" s="109"/>
      <c r="H653" s="109"/>
      <c r="I653" s="109"/>
      <c r="J653" s="109"/>
      <c r="K653" s="317"/>
      <c r="L653" s="109"/>
      <c r="M653" s="109"/>
      <c r="N653" s="109"/>
      <c r="O653" s="109"/>
      <c r="P653" s="109"/>
      <c r="Q653" s="109"/>
      <c r="R653" s="109"/>
      <c r="S653" s="109"/>
      <c r="T653" s="109"/>
      <c r="U653" s="109"/>
      <c r="V653" s="109"/>
      <c r="W653" s="109"/>
      <c r="X653" s="109"/>
      <c r="Y653" s="109"/>
      <c r="Z653" s="109"/>
    </row>
    <row r="654" ht="39.75" customHeight="1">
      <c r="A654" s="109"/>
      <c r="B654" s="109"/>
      <c r="C654" s="109"/>
      <c r="D654" s="109"/>
      <c r="E654" s="109"/>
      <c r="F654" s="109"/>
      <c r="G654" s="109"/>
      <c r="H654" s="109"/>
      <c r="I654" s="109"/>
      <c r="J654" s="109"/>
      <c r="K654" s="317"/>
      <c r="L654" s="109"/>
      <c r="M654" s="109"/>
      <c r="N654" s="109"/>
      <c r="O654" s="109"/>
      <c r="P654" s="109"/>
      <c r="Q654" s="109"/>
      <c r="R654" s="109"/>
      <c r="S654" s="109"/>
      <c r="T654" s="109"/>
      <c r="U654" s="109"/>
      <c r="V654" s="109"/>
      <c r="W654" s="109"/>
      <c r="X654" s="109"/>
      <c r="Y654" s="109"/>
      <c r="Z654" s="109"/>
    </row>
    <row r="655" ht="39.75" customHeight="1">
      <c r="A655" s="109"/>
      <c r="B655" s="109"/>
      <c r="C655" s="109"/>
      <c r="D655" s="109"/>
      <c r="E655" s="109"/>
      <c r="F655" s="109"/>
      <c r="G655" s="109"/>
      <c r="H655" s="109"/>
      <c r="I655" s="109"/>
      <c r="J655" s="109"/>
      <c r="K655" s="317"/>
      <c r="L655" s="109"/>
      <c r="M655" s="109"/>
      <c r="N655" s="109"/>
      <c r="O655" s="109"/>
      <c r="P655" s="109"/>
      <c r="Q655" s="109"/>
      <c r="R655" s="109"/>
      <c r="S655" s="109"/>
      <c r="T655" s="109"/>
      <c r="U655" s="109"/>
      <c r="V655" s="109"/>
      <c r="W655" s="109"/>
      <c r="X655" s="109"/>
      <c r="Y655" s="109"/>
      <c r="Z655" s="109"/>
    </row>
    <row r="656" ht="39.75" customHeight="1">
      <c r="A656" s="109"/>
      <c r="B656" s="109"/>
      <c r="C656" s="109"/>
      <c r="D656" s="109"/>
      <c r="E656" s="109"/>
      <c r="F656" s="109"/>
      <c r="G656" s="109"/>
      <c r="H656" s="109"/>
      <c r="I656" s="109"/>
      <c r="J656" s="109"/>
      <c r="K656" s="317"/>
      <c r="L656" s="109"/>
      <c r="M656" s="109"/>
      <c r="N656" s="109"/>
      <c r="O656" s="109"/>
      <c r="P656" s="109"/>
      <c r="Q656" s="109"/>
      <c r="R656" s="109"/>
      <c r="S656" s="109"/>
      <c r="T656" s="109"/>
      <c r="U656" s="109"/>
      <c r="V656" s="109"/>
      <c r="W656" s="109"/>
      <c r="X656" s="109"/>
      <c r="Y656" s="109"/>
      <c r="Z656" s="109"/>
    </row>
    <row r="657" ht="39.75" customHeight="1">
      <c r="A657" s="109"/>
      <c r="B657" s="109"/>
      <c r="C657" s="109"/>
      <c r="D657" s="109"/>
      <c r="E657" s="109"/>
      <c r="F657" s="109"/>
      <c r="G657" s="109"/>
      <c r="H657" s="109"/>
      <c r="I657" s="109"/>
      <c r="J657" s="109"/>
      <c r="K657" s="317"/>
      <c r="L657" s="109"/>
      <c r="M657" s="109"/>
      <c r="N657" s="109"/>
      <c r="O657" s="109"/>
      <c r="P657" s="109"/>
      <c r="Q657" s="109"/>
      <c r="R657" s="109"/>
      <c r="S657" s="109"/>
      <c r="T657" s="109"/>
      <c r="U657" s="109"/>
      <c r="V657" s="109"/>
      <c r="W657" s="109"/>
      <c r="X657" s="109"/>
      <c r="Y657" s="109"/>
      <c r="Z657" s="109"/>
    </row>
    <row r="658" ht="39.75" customHeight="1">
      <c r="A658" s="109"/>
      <c r="B658" s="109"/>
      <c r="C658" s="109"/>
      <c r="D658" s="109"/>
      <c r="E658" s="109"/>
      <c r="F658" s="109"/>
      <c r="G658" s="109"/>
      <c r="H658" s="109"/>
      <c r="I658" s="109"/>
      <c r="J658" s="109"/>
      <c r="K658" s="317"/>
      <c r="L658" s="109"/>
      <c r="M658" s="109"/>
      <c r="N658" s="109"/>
      <c r="O658" s="109"/>
      <c r="P658" s="109"/>
      <c r="Q658" s="109"/>
      <c r="R658" s="109"/>
      <c r="S658" s="109"/>
      <c r="T658" s="109"/>
      <c r="U658" s="109"/>
      <c r="V658" s="109"/>
      <c r="W658" s="109"/>
      <c r="X658" s="109"/>
      <c r="Y658" s="109"/>
      <c r="Z658" s="109"/>
    </row>
    <row r="659" ht="39.75" customHeight="1">
      <c r="A659" s="109"/>
      <c r="B659" s="109"/>
      <c r="C659" s="109"/>
      <c r="D659" s="109"/>
      <c r="E659" s="109"/>
      <c r="F659" s="109"/>
      <c r="G659" s="109"/>
      <c r="H659" s="109"/>
      <c r="I659" s="109"/>
      <c r="J659" s="109"/>
      <c r="K659" s="317"/>
      <c r="L659" s="109"/>
      <c r="M659" s="109"/>
      <c r="N659" s="109"/>
      <c r="O659" s="109"/>
      <c r="P659" s="109"/>
      <c r="Q659" s="109"/>
      <c r="R659" s="109"/>
      <c r="S659" s="109"/>
      <c r="T659" s="109"/>
      <c r="U659" s="109"/>
      <c r="V659" s="109"/>
      <c r="W659" s="109"/>
      <c r="X659" s="109"/>
      <c r="Y659" s="109"/>
      <c r="Z659" s="109"/>
    </row>
    <row r="660" ht="39.75" customHeight="1">
      <c r="A660" s="109"/>
      <c r="B660" s="109"/>
      <c r="C660" s="109"/>
      <c r="D660" s="109"/>
      <c r="E660" s="109"/>
      <c r="F660" s="109"/>
      <c r="G660" s="109"/>
      <c r="H660" s="109"/>
      <c r="I660" s="109"/>
      <c r="J660" s="109"/>
      <c r="K660" s="317"/>
      <c r="L660" s="109"/>
      <c r="M660" s="109"/>
      <c r="N660" s="109"/>
      <c r="O660" s="109"/>
      <c r="P660" s="109"/>
      <c r="Q660" s="109"/>
      <c r="R660" s="109"/>
      <c r="S660" s="109"/>
      <c r="T660" s="109"/>
      <c r="U660" s="109"/>
      <c r="V660" s="109"/>
      <c r="W660" s="109"/>
      <c r="X660" s="109"/>
      <c r="Y660" s="109"/>
      <c r="Z660" s="109"/>
    </row>
    <row r="661" ht="39.75" customHeight="1">
      <c r="A661" s="109"/>
      <c r="B661" s="109"/>
      <c r="C661" s="109"/>
      <c r="D661" s="109"/>
      <c r="E661" s="109"/>
      <c r="F661" s="109"/>
      <c r="G661" s="109"/>
      <c r="H661" s="109"/>
      <c r="I661" s="109"/>
      <c r="J661" s="109"/>
      <c r="K661" s="317"/>
      <c r="L661" s="109"/>
      <c r="M661" s="109"/>
      <c r="N661" s="109"/>
      <c r="O661" s="109"/>
      <c r="P661" s="109"/>
      <c r="Q661" s="109"/>
      <c r="R661" s="109"/>
      <c r="S661" s="109"/>
      <c r="T661" s="109"/>
      <c r="U661" s="109"/>
      <c r="V661" s="109"/>
      <c r="W661" s="109"/>
      <c r="X661" s="109"/>
      <c r="Y661" s="109"/>
      <c r="Z661" s="109"/>
    </row>
    <row r="662" ht="39.75" customHeight="1">
      <c r="A662" s="109"/>
      <c r="B662" s="109"/>
      <c r="C662" s="109"/>
      <c r="D662" s="109"/>
      <c r="E662" s="109"/>
      <c r="F662" s="109"/>
      <c r="G662" s="109"/>
      <c r="H662" s="109"/>
      <c r="I662" s="109"/>
      <c r="J662" s="109"/>
      <c r="K662" s="317"/>
      <c r="L662" s="109"/>
      <c r="M662" s="109"/>
      <c r="N662" s="109"/>
      <c r="O662" s="109"/>
      <c r="P662" s="109"/>
      <c r="Q662" s="109"/>
      <c r="R662" s="109"/>
      <c r="S662" s="109"/>
      <c r="T662" s="109"/>
      <c r="U662" s="109"/>
      <c r="V662" s="109"/>
      <c r="W662" s="109"/>
      <c r="X662" s="109"/>
      <c r="Y662" s="109"/>
      <c r="Z662" s="109"/>
    </row>
    <row r="663" ht="39.75" customHeight="1">
      <c r="A663" s="109"/>
      <c r="B663" s="109"/>
      <c r="C663" s="109"/>
      <c r="D663" s="109"/>
      <c r="E663" s="109"/>
      <c r="F663" s="109"/>
      <c r="G663" s="109"/>
      <c r="H663" s="109"/>
      <c r="I663" s="109"/>
      <c r="J663" s="109"/>
      <c r="K663" s="317"/>
      <c r="L663" s="109"/>
      <c r="M663" s="109"/>
      <c r="N663" s="109"/>
      <c r="O663" s="109"/>
      <c r="P663" s="109"/>
      <c r="Q663" s="109"/>
      <c r="R663" s="109"/>
      <c r="S663" s="109"/>
      <c r="T663" s="109"/>
      <c r="U663" s="109"/>
      <c r="V663" s="109"/>
      <c r="W663" s="109"/>
      <c r="X663" s="109"/>
      <c r="Y663" s="109"/>
      <c r="Z663" s="109"/>
    </row>
    <row r="664" ht="39.75" customHeight="1">
      <c r="A664" s="109"/>
      <c r="B664" s="109"/>
      <c r="C664" s="109"/>
      <c r="D664" s="109"/>
      <c r="E664" s="109"/>
      <c r="F664" s="109"/>
      <c r="G664" s="109"/>
      <c r="H664" s="109"/>
      <c r="I664" s="109"/>
      <c r="J664" s="109"/>
      <c r="K664" s="317"/>
      <c r="L664" s="109"/>
      <c r="M664" s="109"/>
      <c r="N664" s="109"/>
      <c r="O664" s="109"/>
      <c r="P664" s="109"/>
      <c r="Q664" s="109"/>
      <c r="R664" s="109"/>
      <c r="S664" s="109"/>
      <c r="T664" s="109"/>
      <c r="U664" s="109"/>
      <c r="V664" s="109"/>
      <c r="W664" s="109"/>
      <c r="X664" s="109"/>
      <c r="Y664" s="109"/>
      <c r="Z664" s="109"/>
    </row>
    <row r="665" ht="39.75" customHeight="1">
      <c r="A665" s="109"/>
      <c r="B665" s="109"/>
      <c r="C665" s="109"/>
      <c r="D665" s="109"/>
      <c r="E665" s="109"/>
      <c r="F665" s="109"/>
      <c r="G665" s="109"/>
      <c r="H665" s="109"/>
      <c r="I665" s="109"/>
      <c r="J665" s="109"/>
      <c r="K665" s="317"/>
      <c r="L665" s="109"/>
      <c r="M665" s="109"/>
      <c r="N665" s="109"/>
      <c r="O665" s="109"/>
      <c r="P665" s="109"/>
      <c r="Q665" s="109"/>
      <c r="R665" s="109"/>
      <c r="S665" s="109"/>
      <c r="T665" s="109"/>
      <c r="U665" s="109"/>
      <c r="V665" s="109"/>
      <c r="W665" s="109"/>
      <c r="X665" s="109"/>
      <c r="Y665" s="109"/>
      <c r="Z665" s="109"/>
    </row>
    <row r="666" ht="39.75" customHeight="1">
      <c r="A666" s="109"/>
      <c r="B666" s="109"/>
      <c r="C666" s="109"/>
      <c r="D666" s="109"/>
      <c r="E666" s="109"/>
      <c r="F666" s="109"/>
      <c r="G666" s="109"/>
      <c r="H666" s="109"/>
      <c r="I666" s="109"/>
      <c r="J666" s="109"/>
      <c r="K666" s="317"/>
      <c r="L666" s="109"/>
      <c r="M666" s="109"/>
      <c r="N666" s="109"/>
      <c r="O666" s="109"/>
      <c r="P666" s="109"/>
      <c r="Q666" s="109"/>
      <c r="R666" s="109"/>
      <c r="S666" s="109"/>
      <c r="T666" s="109"/>
      <c r="U666" s="109"/>
      <c r="V666" s="109"/>
      <c r="W666" s="109"/>
      <c r="X666" s="109"/>
      <c r="Y666" s="109"/>
      <c r="Z666" s="109"/>
    </row>
    <row r="667" ht="39.75" customHeight="1">
      <c r="A667" s="109"/>
      <c r="B667" s="109"/>
      <c r="C667" s="109"/>
      <c r="D667" s="109"/>
      <c r="E667" s="109"/>
      <c r="F667" s="109"/>
      <c r="G667" s="109"/>
      <c r="H667" s="109"/>
      <c r="I667" s="109"/>
      <c r="J667" s="109"/>
      <c r="K667" s="317"/>
      <c r="L667" s="109"/>
      <c r="M667" s="109"/>
      <c r="N667" s="109"/>
      <c r="O667" s="109"/>
      <c r="P667" s="109"/>
      <c r="Q667" s="109"/>
      <c r="R667" s="109"/>
      <c r="S667" s="109"/>
      <c r="T667" s="109"/>
      <c r="U667" s="109"/>
      <c r="V667" s="109"/>
      <c r="W667" s="109"/>
      <c r="X667" s="109"/>
      <c r="Y667" s="109"/>
      <c r="Z667" s="109"/>
    </row>
    <row r="668" ht="39.75" customHeight="1">
      <c r="A668" s="109"/>
      <c r="B668" s="109"/>
      <c r="C668" s="109"/>
      <c r="D668" s="109"/>
      <c r="E668" s="109"/>
      <c r="F668" s="109"/>
      <c r="G668" s="109"/>
      <c r="H668" s="109"/>
      <c r="I668" s="109"/>
      <c r="J668" s="109"/>
      <c r="K668" s="317"/>
      <c r="L668" s="109"/>
      <c r="M668" s="109"/>
      <c r="N668" s="109"/>
      <c r="O668" s="109"/>
      <c r="P668" s="109"/>
      <c r="Q668" s="109"/>
      <c r="R668" s="109"/>
      <c r="S668" s="109"/>
      <c r="T668" s="109"/>
      <c r="U668" s="109"/>
      <c r="V668" s="109"/>
      <c r="W668" s="109"/>
      <c r="X668" s="109"/>
      <c r="Y668" s="109"/>
      <c r="Z668" s="109"/>
    </row>
    <row r="669" ht="39.75" customHeight="1">
      <c r="A669" s="109"/>
      <c r="B669" s="109"/>
      <c r="C669" s="109"/>
      <c r="D669" s="109"/>
      <c r="E669" s="109"/>
      <c r="F669" s="109"/>
      <c r="G669" s="109"/>
      <c r="H669" s="109"/>
      <c r="I669" s="109"/>
      <c r="J669" s="109"/>
      <c r="K669" s="317"/>
      <c r="L669" s="109"/>
      <c r="M669" s="109"/>
      <c r="N669" s="109"/>
      <c r="O669" s="109"/>
      <c r="P669" s="109"/>
      <c r="Q669" s="109"/>
      <c r="R669" s="109"/>
      <c r="S669" s="109"/>
      <c r="T669" s="109"/>
      <c r="U669" s="109"/>
      <c r="V669" s="109"/>
      <c r="W669" s="109"/>
      <c r="X669" s="109"/>
      <c r="Y669" s="109"/>
      <c r="Z669" s="109"/>
    </row>
    <row r="670" ht="39.75" customHeight="1">
      <c r="A670" s="109"/>
      <c r="B670" s="109"/>
      <c r="C670" s="109"/>
      <c r="D670" s="109"/>
      <c r="E670" s="109"/>
      <c r="F670" s="109"/>
      <c r="G670" s="109"/>
      <c r="H670" s="109"/>
      <c r="I670" s="109"/>
      <c r="J670" s="109"/>
      <c r="K670" s="317"/>
      <c r="L670" s="109"/>
      <c r="M670" s="109"/>
      <c r="N670" s="109"/>
      <c r="O670" s="109"/>
      <c r="P670" s="109"/>
      <c r="Q670" s="109"/>
      <c r="R670" s="109"/>
      <c r="S670" s="109"/>
      <c r="T670" s="109"/>
      <c r="U670" s="109"/>
      <c r="V670" s="109"/>
      <c r="W670" s="109"/>
      <c r="X670" s="109"/>
      <c r="Y670" s="109"/>
      <c r="Z670" s="109"/>
    </row>
    <row r="671" ht="39.75" customHeight="1">
      <c r="A671" s="109"/>
      <c r="B671" s="109"/>
      <c r="C671" s="109"/>
      <c r="D671" s="109"/>
      <c r="E671" s="109"/>
      <c r="F671" s="109"/>
      <c r="G671" s="109"/>
      <c r="H671" s="109"/>
      <c r="I671" s="109"/>
      <c r="J671" s="109"/>
      <c r="K671" s="317"/>
      <c r="L671" s="109"/>
      <c r="M671" s="109"/>
      <c r="N671" s="109"/>
      <c r="O671" s="109"/>
      <c r="P671" s="109"/>
      <c r="Q671" s="109"/>
      <c r="R671" s="109"/>
      <c r="S671" s="109"/>
      <c r="T671" s="109"/>
      <c r="U671" s="109"/>
      <c r="V671" s="109"/>
      <c r="W671" s="109"/>
      <c r="X671" s="109"/>
      <c r="Y671" s="109"/>
      <c r="Z671" s="109"/>
    </row>
    <row r="672" ht="39.75" customHeight="1">
      <c r="A672" s="109"/>
      <c r="B672" s="109"/>
      <c r="C672" s="109"/>
      <c r="D672" s="109"/>
      <c r="E672" s="109"/>
      <c r="F672" s="109"/>
      <c r="G672" s="109"/>
      <c r="H672" s="109"/>
      <c r="I672" s="109"/>
      <c r="J672" s="109"/>
      <c r="K672" s="317"/>
      <c r="L672" s="109"/>
      <c r="M672" s="109"/>
      <c r="N672" s="109"/>
      <c r="O672" s="109"/>
      <c r="P672" s="109"/>
      <c r="Q672" s="109"/>
      <c r="R672" s="109"/>
      <c r="S672" s="109"/>
      <c r="T672" s="109"/>
      <c r="U672" s="109"/>
      <c r="V672" s="109"/>
      <c r="W672" s="109"/>
      <c r="X672" s="109"/>
      <c r="Y672" s="109"/>
      <c r="Z672" s="109"/>
    </row>
    <row r="673" ht="39.75" customHeight="1">
      <c r="A673" s="109"/>
      <c r="B673" s="109"/>
      <c r="C673" s="109"/>
      <c r="D673" s="109"/>
      <c r="E673" s="109"/>
      <c r="F673" s="109"/>
      <c r="G673" s="109"/>
      <c r="H673" s="109"/>
      <c r="I673" s="109"/>
      <c r="J673" s="109"/>
      <c r="K673" s="317"/>
      <c r="L673" s="109"/>
      <c r="M673" s="109"/>
      <c r="N673" s="109"/>
      <c r="O673" s="109"/>
      <c r="P673" s="109"/>
      <c r="Q673" s="109"/>
      <c r="R673" s="109"/>
      <c r="S673" s="109"/>
      <c r="T673" s="109"/>
      <c r="U673" s="109"/>
      <c r="V673" s="109"/>
      <c r="W673" s="109"/>
      <c r="X673" s="109"/>
      <c r="Y673" s="109"/>
      <c r="Z673" s="109"/>
    </row>
    <row r="674" ht="39.75" customHeight="1">
      <c r="A674" s="109"/>
      <c r="B674" s="109"/>
      <c r="C674" s="109"/>
      <c r="D674" s="109"/>
      <c r="E674" s="109"/>
      <c r="F674" s="109"/>
      <c r="G674" s="109"/>
      <c r="H674" s="109"/>
      <c r="I674" s="109"/>
      <c r="J674" s="109"/>
      <c r="K674" s="317"/>
      <c r="L674" s="109"/>
      <c r="M674" s="109"/>
      <c r="N674" s="109"/>
      <c r="O674" s="109"/>
      <c r="P674" s="109"/>
      <c r="Q674" s="109"/>
      <c r="R674" s="109"/>
      <c r="S674" s="109"/>
      <c r="T674" s="109"/>
      <c r="U674" s="109"/>
      <c r="V674" s="109"/>
      <c r="W674" s="109"/>
      <c r="X674" s="109"/>
      <c r="Y674" s="109"/>
      <c r="Z674" s="109"/>
    </row>
    <row r="675" ht="39.75" customHeight="1">
      <c r="A675" s="109"/>
      <c r="B675" s="109"/>
      <c r="C675" s="109"/>
      <c r="D675" s="109"/>
      <c r="E675" s="109"/>
      <c r="F675" s="109"/>
      <c r="G675" s="109"/>
      <c r="H675" s="109"/>
      <c r="I675" s="109"/>
      <c r="J675" s="109"/>
      <c r="K675" s="317"/>
      <c r="L675" s="109"/>
      <c r="M675" s="109"/>
      <c r="N675" s="109"/>
      <c r="O675" s="109"/>
      <c r="P675" s="109"/>
      <c r="Q675" s="109"/>
      <c r="R675" s="109"/>
      <c r="S675" s="109"/>
      <c r="T675" s="109"/>
      <c r="U675" s="109"/>
      <c r="V675" s="109"/>
      <c r="W675" s="109"/>
      <c r="X675" s="109"/>
      <c r="Y675" s="109"/>
      <c r="Z675" s="109"/>
    </row>
    <row r="676" ht="39.75" customHeight="1">
      <c r="A676" s="109"/>
      <c r="B676" s="109"/>
      <c r="C676" s="109"/>
      <c r="D676" s="109"/>
      <c r="E676" s="109"/>
      <c r="F676" s="109"/>
      <c r="G676" s="109"/>
      <c r="H676" s="109"/>
      <c r="I676" s="109"/>
      <c r="J676" s="109"/>
      <c r="K676" s="317"/>
      <c r="L676" s="109"/>
      <c r="M676" s="109"/>
      <c r="N676" s="109"/>
      <c r="O676" s="109"/>
      <c r="P676" s="109"/>
      <c r="Q676" s="109"/>
      <c r="R676" s="109"/>
      <c r="S676" s="109"/>
      <c r="T676" s="109"/>
      <c r="U676" s="109"/>
      <c r="V676" s="109"/>
      <c r="W676" s="109"/>
      <c r="X676" s="109"/>
      <c r="Y676" s="109"/>
      <c r="Z676" s="109"/>
    </row>
    <row r="677" ht="39.75" customHeight="1">
      <c r="A677" s="109"/>
      <c r="B677" s="109"/>
      <c r="C677" s="109"/>
      <c r="D677" s="109"/>
      <c r="E677" s="109"/>
      <c r="F677" s="109"/>
      <c r="G677" s="109"/>
      <c r="H677" s="109"/>
      <c r="I677" s="109"/>
      <c r="J677" s="109"/>
      <c r="K677" s="317"/>
      <c r="L677" s="109"/>
      <c r="M677" s="109"/>
      <c r="N677" s="109"/>
      <c r="O677" s="109"/>
      <c r="P677" s="109"/>
      <c r="Q677" s="109"/>
      <c r="R677" s="109"/>
      <c r="S677" s="109"/>
      <c r="T677" s="109"/>
      <c r="U677" s="109"/>
      <c r="V677" s="109"/>
      <c r="W677" s="109"/>
      <c r="X677" s="109"/>
      <c r="Y677" s="109"/>
      <c r="Z677" s="109"/>
    </row>
    <row r="678" ht="39.75" customHeight="1">
      <c r="A678" s="109"/>
      <c r="B678" s="109"/>
      <c r="C678" s="109"/>
      <c r="D678" s="109"/>
      <c r="E678" s="109"/>
      <c r="F678" s="109"/>
      <c r="G678" s="109"/>
      <c r="H678" s="109"/>
      <c r="I678" s="109"/>
      <c r="J678" s="109"/>
      <c r="K678" s="317"/>
      <c r="L678" s="109"/>
      <c r="M678" s="109"/>
      <c r="N678" s="109"/>
      <c r="O678" s="109"/>
      <c r="P678" s="109"/>
      <c r="Q678" s="109"/>
      <c r="R678" s="109"/>
      <c r="S678" s="109"/>
      <c r="T678" s="109"/>
      <c r="U678" s="109"/>
      <c r="V678" s="109"/>
      <c r="W678" s="109"/>
      <c r="X678" s="109"/>
      <c r="Y678" s="109"/>
      <c r="Z678" s="109"/>
    </row>
    <row r="679" ht="39.75" customHeight="1">
      <c r="A679" s="109"/>
      <c r="B679" s="109"/>
      <c r="C679" s="109"/>
      <c r="D679" s="109"/>
      <c r="E679" s="109"/>
      <c r="F679" s="109"/>
      <c r="G679" s="109"/>
      <c r="H679" s="109"/>
      <c r="I679" s="109"/>
      <c r="J679" s="109"/>
      <c r="K679" s="317"/>
      <c r="L679" s="109"/>
      <c r="M679" s="109"/>
      <c r="N679" s="109"/>
      <c r="O679" s="109"/>
      <c r="P679" s="109"/>
      <c r="Q679" s="109"/>
      <c r="R679" s="109"/>
      <c r="S679" s="109"/>
      <c r="T679" s="109"/>
      <c r="U679" s="109"/>
      <c r="V679" s="109"/>
      <c r="W679" s="109"/>
      <c r="X679" s="109"/>
      <c r="Y679" s="109"/>
      <c r="Z679" s="109"/>
    </row>
    <row r="680" ht="39.75" customHeight="1">
      <c r="A680" s="109"/>
      <c r="B680" s="109"/>
      <c r="C680" s="109"/>
      <c r="D680" s="109"/>
      <c r="E680" s="109"/>
      <c r="F680" s="109"/>
      <c r="G680" s="109"/>
      <c r="H680" s="109"/>
      <c r="I680" s="109"/>
      <c r="J680" s="109"/>
      <c r="K680" s="317"/>
      <c r="L680" s="109"/>
      <c r="M680" s="109"/>
      <c r="N680" s="109"/>
      <c r="O680" s="109"/>
      <c r="P680" s="109"/>
      <c r="Q680" s="109"/>
      <c r="R680" s="109"/>
      <c r="S680" s="109"/>
      <c r="T680" s="109"/>
      <c r="U680" s="109"/>
      <c r="V680" s="109"/>
      <c r="W680" s="109"/>
      <c r="X680" s="109"/>
      <c r="Y680" s="109"/>
      <c r="Z680" s="109"/>
    </row>
    <row r="681" ht="39.75" customHeight="1">
      <c r="A681" s="109"/>
      <c r="B681" s="109"/>
      <c r="C681" s="109"/>
      <c r="D681" s="109"/>
      <c r="E681" s="109"/>
      <c r="F681" s="109"/>
      <c r="G681" s="109"/>
      <c r="H681" s="109"/>
      <c r="I681" s="109"/>
      <c r="J681" s="109"/>
      <c r="K681" s="317"/>
      <c r="L681" s="109"/>
      <c r="M681" s="109"/>
      <c r="N681" s="109"/>
      <c r="O681" s="109"/>
      <c r="P681" s="109"/>
      <c r="Q681" s="109"/>
      <c r="R681" s="109"/>
      <c r="S681" s="109"/>
      <c r="T681" s="109"/>
      <c r="U681" s="109"/>
      <c r="V681" s="109"/>
      <c r="W681" s="109"/>
      <c r="X681" s="109"/>
      <c r="Y681" s="109"/>
      <c r="Z681" s="109"/>
    </row>
    <row r="682" ht="39.75" customHeight="1">
      <c r="A682" s="109"/>
      <c r="B682" s="109"/>
      <c r="C682" s="109"/>
      <c r="D682" s="109"/>
      <c r="E682" s="109"/>
      <c r="F682" s="109"/>
      <c r="G682" s="109"/>
      <c r="H682" s="109"/>
      <c r="I682" s="109"/>
      <c r="J682" s="109"/>
      <c r="K682" s="317"/>
      <c r="L682" s="109"/>
      <c r="M682" s="109"/>
      <c r="N682" s="109"/>
      <c r="O682" s="109"/>
      <c r="P682" s="109"/>
      <c r="Q682" s="109"/>
      <c r="R682" s="109"/>
      <c r="S682" s="109"/>
      <c r="T682" s="109"/>
      <c r="U682" s="109"/>
      <c r="V682" s="109"/>
      <c r="W682" s="109"/>
      <c r="X682" s="109"/>
      <c r="Y682" s="109"/>
      <c r="Z682" s="109"/>
    </row>
    <row r="683" ht="39.75" customHeight="1">
      <c r="A683" s="109"/>
      <c r="B683" s="109"/>
      <c r="C683" s="109"/>
      <c r="D683" s="109"/>
      <c r="E683" s="109"/>
      <c r="F683" s="109"/>
      <c r="G683" s="109"/>
      <c r="H683" s="109"/>
      <c r="I683" s="109"/>
      <c r="J683" s="109"/>
      <c r="K683" s="317"/>
      <c r="L683" s="109"/>
      <c r="M683" s="109"/>
      <c r="N683" s="109"/>
      <c r="O683" s="109"/>
      <c r="P683" s="109"/>
      <c r="Q683" s="109"/>
      <c r="R683" s="109"/>
      <c r="S683" s="109"/>
      <c r="T683" s="109"/>
      <c r="U683" s="109"/>
      <c r="V683" s="109"/>
      <c r="W683" s="109"/>
      <c r="X683" s="109"/>
      <c r="Y683" s="109"/>
      <c r="Z683" s="109"/>
    </row>
    <row r="684" ht="39.75" customHeight="1">
      <c r="A684" s="109"/>
      <c r="B684" s="109"/>
      <c r="C684" s="109"/>
      <c r="D684" s="109"/>
      <c r="E684" s="109"/>
      <c r="F684" s="109"/>
      <c r="G684" s="109"/>
      <c r="H684" s="109"/>
      <c r="I684" s="109"/>
      <c r="J684" s="109"/>
      <c r="K684" s="317"/>
      <c r="L684" s="109"/>
      <c r="M684" s="109"/>
      <c r="N684" s="109"/>
      <c r="O684" s="109"/>
      <c r="P684" s="109"/>
      <c r="Q684" s="109"/>
      <c r="R684" s="109"/>
      <c r="S684" s="109"/>
      <c r="T684" s="109"/>
      <c r="U684" s="109"/>
      <c r="V684" s="109"/>
      <c r="W684" s="109"/>
      <c r="X684" s="109"/>
      <c r="Y684" s="109"/>
      <c r="Z684" s="109"/>
    </row>
    <row r="685" ht="39.75" customHeight="1">
      <c r="A685" s="109"/>
      <c r="B685" s="109"/>
      <c r="C685" s="109"/>
      <c r="D685" s="109"/>
      <c r="E685" s="109"/>
      <c r="F685" s="109"/>
      <c r="G685" s="109"/>
      <c r="H685" s="109"/>
      <c r="I685" s="109"/>
      <c r="J685" s="109"/>
      <c r="K685" s="317"/>
      <c r="L685" s="109"/>
      <c r="M685" s="109"/>
      <c r="N685" s="109"/>
      <c r="O685" s="109"/>
      <c r="P685" s="109"/>
      <c r="Q685" s="109"/>
      <c r="R685" s="109"/>
      <c r="S685" s="109"/>
      <c r="T685" s="109"/>
      <c r="U685" s="109"/>
      <c r="V685" s="109"/>
      <c r="W685" s="109"/>
      <c r="X685" s="109"/>
      <c r="Y685" s="109"/>
      <c r="Z685" s="109"/>
    </row>
    <row r="686" ht="39.75" customHeight="1">
      <c r="A686" s="109"/>
      <c r="B686" s="109"/>
      <c r="C686" s="109"/>
      <c r="D686" s="109"/>
      <c r="E686" s="109"/>
      <c r="F686" s="109"/>
      <c r="G686" s="109"/>
      <c r="H686" s="109"/>
      <c r="I686" s="109"/>
      <c r="J686" s="109"/>
      <c r="K686" s="317"/>
      <c r="L686" s="109"/>
      <c r="M686" s="109"/>
      <c r="N686" s="109"/>
      <c r="O686" s="109"/>
      <c r="P686" s="109"/>
      <c r="Q686" s="109"/>
      <c r="R686" s="109"/>
      <c r="S686" s="109"/>
      <c r="T686" s="109"/>
      <c r="U686" s="109"/>
      <c r="V686" s="109"/>
      <c r="W686" s="109"/>
      <c r="X686" s="109"/>
      <c r="Y686" s="109"/>
      <c r="Z686" s="109"/>
    </row>
    <row r="687" ht="39.75" customHeight="1">
      <c r="A687" s="109"/>
      <c r="B687" s="109"/>
      <c r="C687" s="109"/>
      <c r="D687" s="109"/>
      <c r="E687" s="109"/>
      <c r="F687" s="109"/>
      <c r="G687" s="109"/>
      <c r="H687" s="109"/>
      <c r="I687" s="109"/>
      <c r="J687" s="109"/>
      <c r="K687" s="317"/>
      <c r="L687" s="109"/>
      <c r="M687" s="109"/>
      <c r="N687" s="109"/>
      <c r="O687" s="109"/>
      <c r="P687" s="109"/>
      <c r="Q687" s="109"/>
      <c r="R687" s="109"/>
      <c r="S687" s="109"/>
      <c r="T687" s="109"/>
      <c r="U687" s="109"/>
      <c r="V687" s="109"/>
      <c r="W687" s="109"/>
      <c r="X687" s="109"/>
      <c r="Y687" s="109"/>
      <c r="Z687" s="109"/>
    </row>
    <row r="688" ht="39.75" customHeight="1">
      <c r="A688" s="109"/>
      <c r="B688" s="109"/>
      <c r="C688" s="109"/>
      <c r="D688" s="109"/>
      <c r="E688" s="109"/>
      <c r="F688" s="109"/>
      <c r="G688" s="109"/>
      <c r="H688" s="109"/>
      <c r="I688" s="109"/>
      <c r="J688" s="109"/>
      <c r="K688" s="317"/>
      <c r="L688" s="109"/>
      <c r="M688" s="109"/>
      <c r="N688" s="109"/>
      <c r="O688" s="109"/>
      <c r="P688" s="109"/>
      <c r="Q688" s="109"/>
      <c r="R688" s="109"/>
      <c r="S688" s="109"/>
      <c r="T688" s="109"/>
      <c r="U688" s="109"/>
      <c r="V688" s="109"/>
      <c r="W688" s="109"/>
      <c r="X688" s="109"/>
      <c r="Y688" s="109"/>
      <c r="Z688" s="109"/>
    </row>
    <row r="689" ht="39.75" customHeight="1">
      <c r="A689" s="109"/>
      <c r="B689" s="109"/>
      <c r="C689" s="109"/>
      <c r="D689" s="109"/>
      <c r="E689" s="109"/>
      <c r="F689" s="109"/>
      <c r="G689" s="109"/>
      <c r="H689" s="109"/>
      <c r="I689" s="109"/>
      <c r="J689" s="109"/>
      <c r="K689" s="317"/>
      <c r="L689" s="109"/>
      <c r="M689" s="109"/>
      <c r="N689" s="109"/>
      <c r="O689" s="109"/>
      <c r="P689" s="109"/>
      <c r="Q689" s="109"/>
      <c r="R689" s="109"/>
      <c r="S689" s="109"/>
      <c r="T689" s="109"/>
      <c r="U689" s="109"/>
      <c r="V689" s="109"/>
      <c r="W689" s="109"/>
      <c r="X689" s="109"/>
      <c r="Y689" s="109"/>
      <c r="Z689" s="109"/>
    </row>
    <row r="690" ht="39.75" customHeight="1">
      <c r="A690" s="109"/>
      <c r="B690" s="109"/>
      <c r="C690" s="109"/>
      <c r="D690" s="109"/>
      <c r="E690" s="109"/>
      <c r="F690" s="109"/>
      <c r="G690" s="109"/>
      <c r="H690" s="109"/>
      <c r="I690" s="109"/>
      <c r="J690" s="109"/>
      <c r="K690" s="317"/>
      <c r="L690" s="109"/>
      <c r="M690" s="109"/>
      <c r="N690" s="109"/>
      <c r="O690" s="109"/>
      <c r="P690" s="109"/>
      <c r="Q690" s="109"/>
      <c r="R690" s="109"/>
      <c r="S690" s="109"/>
      <c r="T690" s="109"/>
      <c r="U690" s="109"/>
      <c r="V690" s="109"/>
      <c r="W690" s="109"/>
      <c r="X690" s="109"/>
      <c r="Y690" s="109"/>
      <c r="Z690" s="109"/>
    </row>
    <row r="691" ht="39.75" customHeight="1">
      <c r="A691" s="109"/>
      <c r="B691" s="109"/>
      <c r="C691" s="109"/>
      <c r="D691" s="109"/>
      <c r="E691" s="109"/>
      <c r="F691" s="109"/>
      <c r="G691" s="109"/>
      <c r="H691" s="109"/>
      <c r="I691" s="109"/>
      <c r="J691" s="109"/>
      <c r="K691" s="317"/>
      <c r="L691" s="109"/>
      <c r="M691" s="109"/>
      <c r="N691" s="109"/>
      <c r="O691" s="109"/>
      <c r="P691" s="109"/>
      <c r="Q691" s="109"/>
      <c r="R691" s="109"/>
      <c r="S691" s="109"/>
      <c r="T691" s="109"/>
      <c r="U691" s="109"/>
      <c r="V691" s="109"/>
      <c r="W691" s="109"/>
      <c r="X691" s="109"/>
      <c r="Y691" s="109"/>
      <c r="Z691" s="109"/>
    </row>
    <row r="692" ht="39.75" customHeight="1">
      <c r="A692" s="109"/>
      <c r="B692" s="109"/>
      <c r="C692" s="109"/>
      <c r="D692" s="109"/>
      <c r="E692" s="109"/>
      <c r="F692" s="109"/>
      <c r="G692" s="109"/>
      <c r="H692" s="109"/>
      <c r="I692" s="109"/>
      <c r="J692" s="109"/>
      <c r="K692" s="317"/>
      <c r="L692" s="109"/>
      <c r="M692" s="109"/>
      <c r="N692" s="109"/>
      <c r="O692" s="109"/>
      <c r="P692" s="109"/>
      <c r="Q692" s="109"/>
      <c r="R692" s="109"/>
      <c r="S692" s="109"/>
      <c r="T692" s="109"/>
      <c r="U692" s="109"/>
      <c r="V692" s="109"/>
      <c r="W692" s="109"/>
      <c r="X692" s="109"/>
      <c r="Y692" s="109"/>
      <c r="Z692" s="109"/>
    </row>
    <row r="693" ht="39.75" customHeight="1">
      <c r="A693" s="109"/>
      <c r="B693" s="109"/>
      <c r="C693" s="109"/>
      <c r="D693" s="109"/>
      <c r="E693" s="109"/>
      <c r="F693" s="109"/>
      <c r="G693" s="109"/>
      <c r="H693" s="109"/>
      <c r="I693" s="109"/>
      <c r="J693" s="109"/>
      <c r="K693" s="317"/>
      <c r="L693" s="109"/>
      <c r="M693" s="109"/>
      <c r="N693" s="109"/>
      <c r="O693" s="109"/>
      <c r="P693" s="109"/>
      <c r="Q693" s="109"/>
      <c r="R693" s="109"/>
      <c r="S693" s="109"/>
      <c r="T693" s="109"/>
      <c r="U693" s="109"/>
      <c r="V693" s="109"/>
      <c r="W693" s="109"/>
      <c r="X693" s="109"/>
      <c r="Y693" s="109"/>
      <c r="Z693" s="109"/>
    </row>
    <row r="694" ht="39.75" customHeight="1">
      <c r="A694" s="109"/>
      <c r="B694" s="109"/>
      <c r="C694" s="109"/>
      <c r="D694" s="109"/>
      <c r="E694" s="109"/>
      <c r="F694" s="109"/>
      <c r="G694" s="109"/>
      <c r="H694" s="109"/>
      <c r="I694" s="109"/>
      <c r="J694" s="109"/>
      <c r="K694" s="317"/>
      <c r="L694" s="109"/>
      <c r="M694" s="109"/>
      <c r="N694" s="109"/>
      <c r="O694" s="109"/>
      <c r="P694" s="109"/>
      <c r="Q694" s="109"/>
      <c r="R694" s="109"/>
      <c r="S694" s="109"/>
      <c r="T694" s="109"/>
      <c r="U694" s="109"/>
      <c r="V694" s="109"/>
      <c r="W694" s="109"/>
      <c r="X694" s="109"/>
      <c r="Y694" s="109"/>
      <c r="Z694" s="109"/>
    </row>
    <row r="695" ht="39.75" customHeight="1">
      <c r="A695" s="109"/>
      <c r="B695" s="109"/>
      <c r="C695" s="109"/>
      <c r="D695" s="109"/>
      <c r="E695" s="109"/>
      <c r="F695" s="109"/>
      <c r="G695" s="109"/>
      <c r="H695" s="109"/>
      <c r="I695" s="109"/>
      <c r="J695" s="109"/>
      <c r="K695" s="317"/>
      <c r="L695" s="109"/>
      <c r="M695" s="109"/>
      <c r="N695" s="109"/>
      <c r="O695" s="109"/>
      <c r="P695" s="109"/>
      <c r="Q695" s="109"/>
      <c r="R695" s="109"/>
      <c r="S695" s="109"/>
      <c r="T695" s="109"/>
      <c r="U695" s="109"/>
      <c r="V695" s="109"/>
      <c r="W695" s="109"/>
      <c r="X695" s="109"/>
      <c r="Y695" s="109"/>
      <c r="Z695" s="109"/>
    </row>
    <row r="696" ht="39.75" customHeight="1">
      <c r="A696" s="109"/>
      <c r="B696" s="109"/>
      <c r="C696" s="109"/>
      <c r="D696" s="109"/>
      <c r="E696" s="109"/>
      <c r="F696" s="109"/>
      <c r="G696" s="109"/>
      <c r="H696" s="109"/>
      <c r="I696" s="109"/>
      <c r="J696" s="109"/>
      <c r="K696" s="317"/>
      <c r="L696" s="109"/>
      <c r="M696" s="109"/>
      <c r="N696" s="109"/>
      <c r="O696" s="109"/>
      <c r="P696" s="109"/>
      <c r="Q696" s="109"/>
      <c r="R696" s="109"/>
      <c r="S696" s="109"/>
      <c r="T696" s="109"/>
      <c r="U696" s="109"/>
      <c r="V696" s="109"/>
      <c r="W696" s="109"/>
      <c r="X696" s="109"/>
      <c r="Y696" s="109"/>
      <c r="Z696" s="109"/>
    </row>
    <row r="697" ht="39.75" customHeight="1">
      <c r="A697" s="109"/>
      <c r="B697" s="109"/>
      <c r="C697" s="109"/>
      <c r="D697" s="109"/>
      <c r="E697" s="109"/>
      <c r="F697" s="109"/>
      <c r="G697" s="109"/>
      <c r="H697" s="109"/>
      <c r="I697" s="109"/>
      <c r="J697" s="109"/>
      <c r="K697" s="317"/>
      <c r="L697" s="109"/>
      <c r="M697" s="109"/>
      <c r="N697" s="109"/>
      <c r="O697" s="109"/>
      <c r="P697" s="109"/>
      <c r="Q697" s="109"/>
      <c r="R697" s="109"/>
      <c r="S697" s="109"/>
      <c r="T697" s="109"/>
      <c r="U697" s="109"/>
      <c r="V697" s="109"/>
      <c r="W697" s="109"/>
      <c r="X697" s="109"/>
      <c r="Y697" s="109"/>
      <c r="Z697" s="109"/>
    </row>
    <row r="698" ht="39.75" customHeight="1">
      <c r="A698" s="109"/>
      <c r="B698" s="109"/>
      <c r="C698" s="109"/>
      <c r="D698" s="109"/>
      <c r="E698" s="109"/>
      <c r="F698" s="109"/>
      <c r="G698" s="109"/>
      <c r="H698" s="109"/>
      <c r="I698" s="109"/>
      <c r="J698" s="109"/>
      <c r="K698" s="317"/>
      <c r="L698" s="109"/>
      <c r="M698" s="109"/>
      <c r="N698" s="109"/>
      <c r="O698" s="109"/>
      <c r="P698" s="109"/>
      <c r="Q698" s="109"/>
      <c r="R698" s="109"/>
      <c r="S698" s="109"/>
      <c r="T698" s="109"/>
      <c r="U698" s="109"/>
      <c r="V698" s="109"/>
      <c r="W698" s="109"/>
      <c r="X698" s="109"/>
      <c r="Y698" s="109"/>
      <c r="Z698" s="109"/>
    </row>
    <row r="699" ht="39.75" customHeight="1">
      <c r="A699" s="109"/>
      <c r="B699" s="109"/>
      <c r="C699" s="109"/>
      <c r="D699" s="109"/>
      <c r="E699" s="109"/>
      <c r="F699" s="109"/>
      <c r="G699" s="109"/>
      <c r="H699" s="109"/>
      <c r="I699" s="109"/>
      <c r="J699" s="109"/>
      <c r="K699" s="317"/>
      <c r="L699" s="109"/>
      <c r="M699" s="109"/>
      <c r="N699" s="109"/>
      <c r="O699" s="109"/>
      <c r="P699" s="109"/>
      <c r="Q699" s="109"/>
      <c r="R699" s="109"/>
      <c r="S699" s="109"/>
      <c r="T699" s="109"/>
      <c r="U699" s="109"/>
      <c r="V699" s="109"/>
      <c r="W699" s="109"/>
      <c r="X699" s="109"/>
      <c r="Y699" s="109"/>
      <c r="Z699" s="109"/>
    </row>
    <row r="700" ht="39.75" customHeight="1">
      <c r="A700" s="109"/>
      <c r="B700" s="109"/>
      <c r="C700" s="109"/>
      <c r="D700" s="109"/>
      <c r="E700" s="109"/>
      <c r="F700" s="109"/>
      <c r="G700" s="109"/>
      <c r="H700" s="109"/>
      <c r="I700" s="109"/>
      <c r="J700" s="109"/>
      <c r="K700" s="317"/>
      <c r="L700" s="109"/>
      <c r="M700" s="109"/>
      <c r="N700" s="109"/>
      <c r="O700" s="109"/>
      <c r="P700" s="109"/>
      <c r="Q700" s="109"/>
      <c r="R700" s="109"/>
      <c r="S700" s="109"/>
      <c r="T700" s="109"/>
      <c r="U700" s="109"/>
      <c r="V700" s="109"/>
      <c r="W700" s="109"/>
      <c r="X700" s="109"/>
      <c r="Y700" s="109"/>
      <c r="Z700" s="109"/>
    </row>
    <row r="701" ht="39.75" customHeight="1">
      <c r="A701" s="109"/>
      <c r="B701" s="109"/>
      <c r="C701" s="109"/>
      <c r="D701" s="109"/>
      <c r="E701" s="109"/>
      <c r="F701" s="109"/>
      <c r="G701" s="109"/>
      <c r="H701" s="109"/>
      <c r="I701" s="109"/>
      <c r="J701" s="109"/>
      <c r="K701" s="317"/>
      <c r="L701" s="109"/>
      <c r="M701" s="109"/>
      <c r="N701" s="109"/>
      <c r="O701" s="109"/>
      <c r="P701" s="109"/>
      <c r="Q701" s="109"/>
      <c r="R701" s="109"/>
      <c r="S701" s="109"/>
      <c r="T701" s="109"/>
      <c r="U701" s="109"/>
      <c r="V701" s="109"/>
      <c r="W701" s="109"/>
      <c r="X701" s="109"/>
      <c r="Y701" s="109"/>
      <c r="Z701" s="109"/>
    </row>
    <row r="702" ht="39.75" customHeight="1">
      <c r="A702" s="109"/>
      <c r="B702" s="109"/>
      <c r="C702" s="109"/>
      <c r="D702" s="109"/>
      <c r="E702" s="109"/>
      <c r="F702" s="109"/>
      <c r="G702" s="109"/>
      <c r="H702" s="109"/>
      <c r="I702" s="109"/>
      <c r="J702" s="109"/>
      <c r="K702" s="317"/>
      <c r="L702" s="109"/>
      <c r="M702" s="109"/>
      <c r="N702" s="109"/>
      <c r="O702" s="109"/>
      <c r="P702" s="109"/>
      <c r="Q702" s="109"/>
      <c r="R702" s="109"/>
      <c r="S702" s="109"/>
      <c r="T702" s="109"/>
      <c r="U702" s="109"/>
      <c r="V702" s="109"/>
      <c r="W702" s="109"/>
      <c r="X702" s="109"/>
      <c r="Y702" s="109"/>
      <c r="Z702" s="109"/>
    </row>
    <row r="703" ht="39.75" customHeight="1">
      <c r="A703" s="109"/>
      <c r="B703" s="109"/>
      <c r="C703" s="109"/>
      <c r="D703" s="109"/>
      <c r="E703" s="109"/>
      <c r="F703" s="109"/>
      <c r="G703" s="109"/>
      <c r="H703" s="109"/>
      <c r="I703" s="109"/>
      <c r="J703" s="109"/>
      <c r="K703" s="317"/>
      <c r="L703" s="109"/>
      <c r="M703" s="109"/>
      <c r="N703" s="109"/>
      <c r="O703" s="109"/>
      <c r="P703" s="109"/>
      <c r="Q703" s="109"/>
      <c r="R703" s="109"/>
      <c r="S703" s="109"/>
      <c r="T703" s="109"/>
      <c r="U703" s="109"/>
      <c r="V703" s="109"/>
      <c r="W703" s="109"/>
      <c r="X703" s="109"/>
      <c r="Y703" s="109"/>
      <c r="Z703" s="109"/>
    </row>
    <row r="704" ht="39.75" customHeight="1">
      <c r="A704" s="109"/>
      <c r="B704" s="109"/>
      <c r="C704" s="109"/>
      <c r="D704" s="109"/>
      <c r="E704" s="109"/>
      <c r="F704" s="109"/>
      <c r="G704" s="109"/>
      <c r="H704" s="109"/>
      <c r="I704" s="109"/>
      <c r="J704" s="109"/>
      <c r="K704" s="317"/>
      <c r="L704" s="109"/>
      <c r="M704" s="109"/>
      <c r="N704" s="109"/>
      <c r="O704" s="109"/>
      <c r="P704" s="109"/>
      <c r="Q704" s="109"/>
      <c r="R704" s="109"/>
      <c r="S704" s="109"/>
      <c r="T704" s="109"/>
      <c r="U704" s="109"/>
      <c r="V704" s="109"/>
      <c r="W704" s="109"/>
      <c r="X704" s="109"/>
      <c r="Y704" s="109"/>
      <c r="Z704" s="109"/>
    </row>
    <row r="705" ht="39.75" customHeight="1">
      <c r="A705" s="109"/>
      <c r="B705" s="109"/>
      <c r="C705" s="109"/>
      <c r="D705" s="109"/>
      <c r="E705" s="109"/>
      <c r="F705" s="109"/>
      <c r="G705" s="109"/>
      <c r="H705" s="109"/>
      <c r="I705" s="109"/>
      <c r="J705" s="109"/>
      <c r="K705" s="317"/>
      <c r="L705" s="109"/>
      <c r="M705" s="109"/>
      <c r="N705" s="109"/>
      <c r="O705" s="109"/>
      <c r="P705" s="109"/>
      <c r="Q705" s="109"/>
      <c r="R705" s="109"/>
      <c r="S705" s="109"/>
      <c r="T705" s="109"/>
      <c r="U705" s="109"/>
      <c r="V705" s="109"/>
      <c r="W705" s="109"/>
      <c r="X705" s="109"/>
      <c r="Y705" s="109"/>
      <c r="Z705" s="109"/>
    </row>
    <row r="706" ht="39.75" customHeight="1">
      <c r="A706" s="109"/>
      <c r="B706" s="109"/>
      <c r="C706" s="109"/>
      <c r="D706" s="109"/>
      <c r="E706" s="109"/>
      <c r="F706" s="109"/>
      <c r="G706" s="109"/>
      <c r="H706" s="109"/>
      <c r="I706" s="109"/>
      <c r="J706" s="109"/>
      <c r="K706" s="317"/>
      <c r="L706" s="109"/>
      <c r="M706" s="109"/>
      <c r="N706" s="109"/>
      <c r="O706" s="109"/>
      <c r="P706" s="109"/>
      <c r="Q706" s="109"/>
      <c r="R706" s="109"/>
      <c r="S706" s="109"/>
      <c r="T706" s="109"/>
      <c r="U706" s="109"/>
      <c r="V706" s="109"/>
      <c r="W706" s="109"/>
      <c r="X706" s="109"/>
      <c r="Y706" s="109"/>
      <c r="Z706" s="109"/>
    </row>
    <row r="707" ht="39.75" customHeight="1">
      <c r="A707" s="109"/>
      <c r="B707" s="109"/>
      <c r="C707" s="109"/>
      <c r="D707" s="109"/>
      <c r="E707" s="109"/>
      <c r="F707" s="109"/>
      <c r="G707" s="109"/>
      <c r="H707" s="109"/>
      <c r="I707" s="109"/>
      <c r="J707" s="109"/>
      <c r="K707" s="317"/>
      <c r="L707" s="109"/>
      <c r="M707" s="109"/>
      <c r="N707" s="109"/>
      <c r="O707" s="109"/>
      <c r="P707" s="109"/>
      <c r="Q707" s="109"/>
      <c r="R707" s="109"/>
      <c r="S707" s="109"/>
      <c r="T707" s="109"/>
      <c r="U707" s="109"/>
      <c r="V707" s="109"/>
      <c r="W707" s="109"/>
      <c r="X707" s="109"/>
      <c r="Y707" s="109"/>
      <c r="Z707" s="109"/>
    </row>
    <row r="708" ht="39.75" customHeight="1">
      <c r="A708" s="109"/>
      <c r="B708" s="109"/>
      <c r="C708" s="109"/>
      <c r="D708" s="109"/>
      <c r="E708" s="109"/>
      <c r="F708" s="109"/>
      <c r="G708" s="109"/>
      <c r="H708" s="109"/>
      <c r="I708" s="109"/>
      <c r="J708" s="109"/>
      <c r="K708" s="317"/>
      <c r="L708" s="109"/>
      <c r="M708" s="109"/>
      <c r="N708" s="109"/>
      <c r="O708" s="109"/>
      <c r="P708" s="109"/>
      <c r="Q708" s="109"/>
      <c r="R708" s="109"/>
      <c r="S708" s="109"/>
      <c r="T708" s="109"/>
      <c r="U708" s="109"/>
      <c r="V708" s="109"/>
      <c r="W708" s="109"/>
      <c r="X708" s="109"/>
      <c r="Y708" s="109"/>
      <c r="Z708" s="109"/>
    </row>
    <row r="709" ht="39.75" customHeight="1">
      <c r="A709" s="109"/>
      <c r="B709" s="109"/>
      <c r="C709" s="109"/>
      <c r="D709" s="109"/>
      <c r="E709" s="109"/>
      <c r="F709" s="109"/>
      <c r="G709" s="109"/>
      <c r="H709" s="109"/>
      <c r="I709" s="109"/>
      <c r="J709" s="109"/>
      <c r="K709" s="317"/>
      <c r="L709" s="109"/>
      <c r="M709" s="109"/>
      <c r="N709" s="109"/>
      <c r="O709" s="109"/>
      <c r="P709" s="109"/>
      <c r="Q709" s="109"/>
      <c r="R709" s="109"/>
      <c r="S709" s="109"/>
      <c r="T709" s="109"/>
      <c r="U709" s="109"/>
      <c r="V709" s="109"/>
      <c r="W709" s="109"/>
      <c r="X709" s="109"/>
      <c r="Y709" s="109"/>
      <c r="Z709" s="109"/>
    </row>
    <row r="710" ht="39.75" customHeight="1">
      <c r="A710" s="109"/>
      <c r="B710" s="109"/>
      <c r="C710" s="109"/>
      <c r="D710" s="109"/>
      <c r="E710" s="109"/>
      <c r="F710" s="109"/>
      <c r="G710" s="109"/>
      <c r="H710" s="109"/>
      <c r="I710" s="109"/>
      <c r="J710" s="109"/>
      <c r="K710" s="317"/>
      <c r="L710" s="109"/>
      <c r="M710" s="109"/>
      <c r="N710" s="109"/>
      <c r="O710" s="109"/>
      <c r="P710" s="109"/>
      <c r="Q710" s="109"/>
      <c r="R710" s="109"/>
      <c r="S710" s="109"/>
      <c r="T710" s="109"/>
      <c r="U710" s="109"/>
      <c r="V710" s="109"/>
      <c r="W710" s="109"/>
      <c r="X710" s="109"/>
      <c r="Y710" s="109"/>
      <c r="Z710" s="109"/>
    </row>
    <row r="711" ht="39.75" customHeight="1">
      <c r="A711" s="109"/>
      <c r="B711" s="109"/>
      <c r="C711" s="109"/>
      <c r="D711" s="109"/>
      <c r="E711" s="109"/>
      <c r="F711" s="109"/>
      <c r="G711" s="109"/>
      <c r="H711" s="109"/>
      <c r="I711" s="109"/>
      <c r="J711" s="109"/>
      <c r="K711" s="317"/>
      <c r="L711" s="109"/>
      <c r="M711" s="109"/>
      <c r="N711" s="109"/>
      <c r="O711" s="109"/>
      <c r="P711" s="109"/>
      <c r="Q711" s="109"/>
      <c r="R711" s="109"/>
      <c r="S711" s="109"/>
      <c r="T711" s="109"/>
      <c r="U711" s="109"/>
      <c r="V711" s="109"/>
      <c r="W711" s="109"/>
      <c r="X711" s="109"/>
      <c r="Y711" s="109"/>
      <c r="Z711" s="109"/>
    </row>
    <row r="712" ht="39.75" customHeight="1">
      <c r="A712" s="109"/>
      <c r="B712" s="109"/>
      <c r="C712" s="109"/>
      <c r="D712" s="109"/>
      <c r="E712" s="109"/>
      <c r="F712" s="109"/>
      <c r="G712" s="109"/>
      <c r="H712" s="109"/>
      <c r="I712" s="109"/>
      <c r="J712" s="109"/>
      <c r="K712" s="317"/>
      <c r="L712" s="109"/>
      <c r="M712" s="109"/>
      <c r="N712" s="109"/>
      <c r="O712" s="109"/>
      <c r="P712" s="109"/>
      <c r="Q712" s="109"/>
      <c r="R712" s="109"/>
      <c r="S712" s="109"/>
      <c r="T712" s="109"/>
      <c r="U712" s="109"/>
      <c r="V712" s="109"/>
      <c r="W712" s="109"/>
      <c r="X712" s="109"/>
      <c r="Y712" s="109"/>
      <c r="Z712" s="109"/>
    </row>
    <row r="713" ht="39.75" customHeight="1">
      <c r="A713" s="109"/>
      <c r="B713" s="109"/>
      <c r="C713" s="109"/>
      <c r="D713" s="109"/>
      <c r="E713" s="109"/>
      <c r="F713" s="109"/>
      <c r="G713" s="109"/>
      <c r="H713" s="109"/>
      <c r="I713" s="109"/>
      <c r="J713" s="109"/>
      <c r="K713" s="317"/>
      <c r="L713" s="109"/>
      <c r="M713" s="109"/>
      <c r="N713" s="109"/>
      <c r="O713" s="109"/>
      <c r="P713" s="109"/>
      <c r="Q713" s="109"/>
      <c r="R713" s="109"/>
      <c r="S713" s="109"/>
      <c r="T713" s="109"/>
      <c r="U713" s="109"/>
      <c r="V713" s="109"/>
      <c r="W713" s="109"/>
      <c r="X713" s="109"/>
      <c r="Y713" s="109"/>
      <c r="Z713" s="109"/>
    </row>
    <row r="714" ht="39.75" customHeight="1">
      <c r="A714" s="109"/>
      <c r="B714" s="109"/>
      <c r="C714" s="109"/>
      <c r="D714" s="109"/>
      <c r="E714" s="109"/>
      <c r="F714" s="109"/>
      <c r="G714" s="109"/>
      <c r="H714" s="109"/>
      <c r="I714" s="109"/>
      <c r="J714" s="109"/>
      <c r="K714" s="317"/>
      <c r="L714" s="109"/>
      <c r="M714" s="109"/>
      <c r="N714" s="109"/>
      <c r="O714" s="109"/>
      <c r="P714" s="109"/>
      <c r="Q714" s="109"/>
      <c r="R714" s="109"/>
      <c r="S714" s="109"/>
      <c r="T714" s="109"/>
      <c r="U714" s="109"/>
      <c r="V714" s="109"/>
      <c r="W714" s="109"/>
      <c r="X714" s="109"/>
      <c r="Y714" s="109"/>
      <c r="Z714" s="109"/>
    </row>
    <row r="715" ht="39.75" customHeight="1">
      <c r="A715" s="109"/>
      <c r="B715" s="109"/>
      <c r="C715" s="109"/>
      <c r="D715" s="109"/>
      <c r="E715" s="109"/>
      <c r="F715" s="109"/>
      <c r="G715" s="109"/>
      <c r="H715" s="109"/>
      <c r="I715" s="109"/>
      <c r="J715" s="109"/>
      <c r="K715" s="317"/>
      <c r="L715" s="109"/>
      <c r="M715" s="109"/>
      <c r="N715" s="109"/>
      <c r="O715" s="109"/>
      <c r="P715" s="109"/>
      <c r="Q715" s="109"/>
      <c r="R715" s="109"/>
      <c r="S715" s="109"/>
      <c r="T715" s="109"/>
      <c r="U715" s="109"/>
      <c r="V715" s="109"/>
      <c r="W715" s="109"/>
      <c r="X715" s="109"/>
      <c r="Y715" s="109"/>
      <c r="Z715" s="109"/>
    </row>
    <row r="716" ht="39.75" customHeight="1">
      <c r="A716" s="109"/>
      <c r="B716" s="109"/>
      <c r="C716" s="109"/>
      <c r="D716" s="109"/>
      <c r="E716" s="109"/>
      <c r="F716" s="109"/>
      <c r="G716" s="109"/>
      <c r="H716" s="109"/>
      <c r="I716" s="109"/>
      <c r="J716" s="109"/>
      <c r="K716" s="317"/>
      <c r="L716" s="109"/>
      <c r="M716" s="109"/>
      <c r="N716" s="109"/>
      <c r="O716" s="109"/>
      <c r="P716" s="109"/>
      <c r="Q716" s="109"/>
      <c r="R716" s="109"/>
      <c r="S716" s="109"/>
      <c r="T716" s="109"/>
      <c r="U716" s="109"/>
      <c r="V716" s="109"/>
      <c r="W716" s="109"/>
      <c r="X716" s="109"/>
      <c r="Y716" s="109"/>
      <c r="Z716" s="109"/>
    </row>
    <row r="717" ht="39.75" customHeight="1">
      <c r="A717" s="109"/>
      <c r="B717" s="109"/>
      <c r="C717" s="109"/>
      <c r="D717" s="109"/>
      <c r="E717" s="109"/>
      <c r="F717" s="109"/>
      <c r="G717" s="109"/>
      <c r="H717" s="109"/>
      <c r="I717" s="109"/>
      <c r="J717" s="109"/>
      <c r="K717" s="317"/>
      <c r="L717" s="109"/>
      <c r="M717" s="109"/>
      <c r="N717" s="109"/>
      <c r="O717" s="109"/>
      <c r="P717" s="109"/>
      <c r="Q717" s="109"/>
      <c r="R717" s="109"/>
      <c r="S717" s="109"/>
      <c r="T717" s="109"/>
      <c r="U717" s="109"/>
      <c r="V717" s="109"/>
      <c r="W717" s="109"/>
      <c r="X717" s="109"/>
      <c r="Y717" s="109"/>
      <c r="Z717" s="109"/>
    </row>
    <row r="718" ht="39.75" customHeight="1">
      <c r="A718" s="109"/>
      <c r="B718" s="109"/>
      <c r="C718" s="109"/>
      <c r="D718" s="109"/>
      <c r="E718" s="109"/>
      <c r="F718" s="109"/>
      <c r="G718" s="109"/>
      <c r="H718" s="109"/>
      <c r="I718" s="109"/>
      <c r="J718" s="109"/>
      <c r="K718" s="317"/>
      <c r="L718" s="109"/>
      <c r="M718" s="109"/>
      <c r="N718" s="109"/>
      <c r="O718" s="109"/>
      <c r="P718" s="109"/>
      <c r="Q718" s="109"/>
      <c r="R718" s="109"/>
      <c r="S718" s="109"/>
      <c r="T718" s="109"/>
      <c r="U718" s="109"/>
      <c r="V718" s="109"/>
      <c r="W718" s="109"/>
      <c r="X718" s="109"/>
      <c r="Y718" s="109"/>
      <c r="Z718" s="109"/>
    </row>
    <row r="719" ht="39.75" customHeight="1">
      <c r="A719" s="109"/>
      <c r="B719" s="109"/>
      <c r="C719" s="109"/>
      <c r="D719" s="109"/>
      <c r="E719" s="109"/>
      <c r="F719" s="109"/>
      <c r="G719" s="109"/>
      <c r="H719" s="109"/>
      <c r="I719" s="109"/>
      <c r="J719" s="109"/>
      <c r="K719" s="317"/>
      <c r="L719" s="109"/>
      <c r="M719" s="109"/>
      <c r="N719" s="109"/>
      <c r="O719" s="109"/>
      <c r="P719" s="109"/>
      <c r="Q719" s="109"/>
      <c r="R719" s="109"/>
      <c r="S719" s="109"/>
      <c r="T719" s="109"/>
      <c r="U719" s="109"/>
      <c r="V719" s="109"/>
      <c r="W719" s="109"/>
      <c r="X719" s="109"/>
      <c r="Y719" s="109"/>
      <c r="Z719" s="109"/>
    </row>
    <row r="720" ht="39.75" customHeight="1">
      <c r="A720" s="109"/>
      <c r="B720" s="109"/>
      <c r="C720" s="109"/>
      <c r="D720" s="109"/>
      <c r="E720" s="109"/>
      <c r="F720" s="109"/>
      <c r="G720" s="109"/>
      <c r="H720" s="109"/>
      <c r="I720" s="109"/>
      <c r="J720" s="109"/>
      <c r="K720" s="317"/>
      <c r="L720" s="109"/>
      <c r="M720" s="109"/>
      <c r="N720" s="109"/>
      <c r="O720" s="109"/>
      <c r="P720" s="109"/>
      <c r="Q720" s="109"/>
      <c r="R720" s="109"/>
      <c r="S720" s="109"/>
      <c r="T720" s="109"/>
      <c r="U720" s="109"/>
      <c r="V720" s="109"/>
      <c r="W720" s="109"/>
      <c r="X720" s="109"/>
      <c r="Y720" s="109"/>
      <c r="Z720" s="109"/>
    </row>
    <row r="721" ht="39.75" customHeight="1">
      <c r="A721" s="109"/>
      <c r="B721" s="109"/>
      <c r="C721" s="109"/>
      <c r="D721" s="109"/>
      <c r="E721" s="109"/>
      <c r="F721" s="109"/>
      <c r="G721" s="109"/>
      <c r="H721" s="109"/>
      <c r="I721" s="109"/>
      <c r="J721" s="109"/>
      <c r="K721" s="317"/>
      <c r="L721" s="109"/>
      <c r="M721" s="109"/>
      <c r="N721" s="109"/>
      <c r="O721" s="109"/>
      <c r="P721" s="109"/>
      <c r="Q721" s="109"/>
      <c r="R721" s="109"/>
      <c r="S721" s="109"/>
      <c r="T721" s="109"/>
      <c r="U721" s="109"/>
      <c r="V721" s="109"/>
      <c r="W721" s="109"/>
      <c r="X721" s="109"/>
      <c r="Y721" s="109"/>
      <c r="Z721" s="109"/>
    </row>
    <row r="722" ht="39.75" customHeight="1">
      <c r="A722" s="109"/>
      <c r="B722" s="109"/>
      <c r="C722" s="109"/>
      <c r="D722" s="109"/>
      <c r="E722" s="109"/>
      <c r="F722" s="109"/>
      <c r="G722" s="109"/>
      <c r="H722" s="109"/>
      <c r="I722" s="109"/>
      <c r="J722" s="109"/>
      <c r="K722" s="317"/>
      <c r="L722" s="109"/>
      <c r="M722" s="109"/>
      <c r="N722" s="109"/>
      <c r="O722" s="109"/>
      <c r="P722" s="109"/>
      <c r="Q722" s="109"/>
      <c r="R722" s="109"/>
      <c r="S722" s="109"/>
      <c r="T722" s="109"/>
      <c r="U722" s="109"/>
      <c r="V722" s="109"/>
      <c r="W722" s="109"/>
      <c r="X722" s="109"/>
      <c r="Y722" s="109"/>
      <c r="Z722" s="109"/>
    </row>
    <row r="723" ht="39.75" customHeight="1">
      <c r="A723" s="109"/>
      <c r="B723" s="109"/>
      <c r="C723" s="109"/>
      <c r="D723" s="109"/>
      <c r="E723" s="109"/>
      <c r="F723" s="109"/>
      <c r="G723" s="109"/>
      <c r="H723" s="109"/>
      <c r="I723" s="109"/>
      <c r="J723" s="109"/>
      <c r="K723" s="317"/>
      <c r="L723" s="109"/>
      <c r="M723" s="109"/>
      <c r="N723" s="109"/>
      <c r="O723" s="109"/>
      <c r="P723" s="109"/>
      <c r="Q723" s="109"/>
      <c r="R723" s="109"/>
      <c r="S723" s="109"/>
      <c r="T723" s="109"/>
      <c r="U723" s="109"/>
      <c r="V723" s="109"/>
      <c r="W723" s="109"/>
      <c r="X723" s="109"/>
      <c r="Y723" s="109"/>
      <c r="Z723" s="109"/>
    </row>
    <row r="724" ht="39.75" customHeight="1">
      <c r="A724" s="109"/>
      <c r="B724" s="109"/>
      <c r="C724" s="109"/>
      <c r="D724" s="109"/>
      <c r="E724" s="109"/>
      <c r="F724" s="109"/>
      <c r="G724" s="109"/>
      <c r="H724" s="109"/>
      <c r="I724" s="109"/>
      <c r="J724" s="109"/>
      <c r="K724" s="317"/>
      <c r="L724" s="109"/>
      <c r="M724" s="109"/>
      <c r="N724" s="109"/>
      <c r="O724" s="109"/>
      <c r="P724" s="109"/>
      <c r="Q724" s="109"/>
      <c r="R724" s="109"/>
      <c r="S724" s="109"/>
      <c r="T724" s="109"/>
      <c r="U724" s="109"/>
      <c r="V724" s="109"/>
      <c r="W724" s="109"/>
      <c r="X724" s="109"/>
      <c r="Y724" s="109"/>
      <c r="Z724" s="109"/>
    </row>
    <row r="725" ht="39.75" customHeight="1">
      <c r="A725" s="109"/>
      <c r="B725" s="109"/>
      <c r="C725" s="109"/>
      <c r="D725" s="109"/>
      <c r="E725" s="109"/>
      <c r="F725" s="109"/>
      <c r="G725" s="109"/>
      <c r="H725" s="109"/>
      <c r="I725" s="109"/>
      <c r="J725" s="109"/>
      <c r="K725" s="317"/>
      <c r="L725" s="109"/>
      <c r="M725" s="109"/>
      <c r="N725" s="109"/>
      <c r="O725" s="109"/>
      <c r="P725" s="109"/>
      <c r="Q725" s="109"/>
      <c r="R725" s="109"/>
      <c r="S725" s="109"/>
      <c r="T725" s="109"/>
      <c r="U725" s="109"/>
      <c r="V725" s="109"/>
      <c r="W725" s="109"/>
      <c r="X725" s="109"/>
      <c r="Y725" s="109"/>
      <c r="Z725" s="109"/>
    </row>
    <row r="726" ht="39.75" customHeight="1">
      <c r="A726" s="109"/>
      <c r="B726" s="109"/>
      <c r="C726" s="109"/>
      <c r="D726" s="109"/>
      <c r="E726" s="109"/>
      <c r="F726" s="109"/>
      <c r="G726" s="109"/>
      <c r="H726" s="109"/>
      <c r="I726" s="109"/>
      <c r="J726" s="109"/>
      <c r="K726" s="317"/>
      <c r="L726" s="109"/>
      <c r="M726" s="109"/>
      <c r="N726" s="109"/>
      <c r="O726" s="109"/>
      <c r="P726" s="109"/>
      <c r="Q726" s="109"/>
      <c r="R726" s="109"/>
      <c r="S726" s="109"/>
      <c r="T726" s="109"/>
      <c r="U726" s="109"/>
      <c r="V726" s="109"/>
      <c r="W726" s="109"/>
      <c r="X726" s="109"/>
      <c r="Y726" s="109"/>
      <c r="Z726" s="109"/>
    </row>
    <row r="727" ht="39.75" customHeight="1">
      <c r="A727" s="109"/>
      <c r="B727" s="109"/>
      <c r="C727" s="109"/>
      <c r="D727" s="109"/>
      <c r="E727" s="109"/>
      <c r="F727" s="109"/>
      <c r="G727" s="109"/>
      <c r="H727" s="109"/>
      <c r="I727" s="109"/>
      <c r="J727" s="109"/>
      <c r="K727" s="317"/>
      <c r="L727" s="109"/>
      <c r="M727" s="109"/>
      <c r="N727" s="109"/>
      <c r="O727" s="109"/>
      <c r="P727" s="109"/>
      <c r="Q727" s="109"/>
      <c r="R727" s="109"/>
      <c r="S727" s="109"/>
      <c r="T727" s="109"/>
      <c r="U727" s="109"/>
      <c r="V727" s="109"/>
      <c r="W727" s="109"/>
      <c r="X727" s="109"/>
      <c r="Y727" s="109"/>
      <c r="Z727" s="109"/>
    </row>
    <row r="728" ht="39.75" customHeight="1">
      <c r="A728" s="109"/>
      <c r="B728" s="109"/>
      <c r="C728" s="109"/>
      <c r="D728" s="109"/>
      <c r="E728" s="109"/>
      <c r="F728" s="109"/>
      <c r="G728" s="109"/>
      <c r="H728" s="109"/>
      <c r="I728" s="109"/>
      <c r="J728" s="109"/>
      <c r="K728" s="317"/>
      <c r="L728" s="109"/>
      <c r="M728" s="109"/>
      <c r="N728" s="109"/>
      <c r="O728" s="109"/>
      <c r="P728" s="109"/>
      <c r="Q728" s="109"/>
      <c r="R728" s="109"/>
      <c r="S728" s="109"/>
      <c r="T728" s="109"/>
      <c r="U728" s="109"/>
      <c r="V728" s="109"/>
      <c r="W728" s="109"/>
      <c r="X728" s="109"/>
      <c r="Y728" s="109"/>
      <c r="Z728" s="109"/>
    </row>
    <row r="729" ht="39.75" customHeight="1">
      <c r="A729" s="109"/>
      <c r="B729" s="109"/>
      <c r="C729" s="109"/>
      <c r="D729" s="109"/>
      <c r="E729" s="109"/>
      <c r="F729" s="109"/>
      <c r="G729" s="109"/>
      <c r="H729" s="109"/>
      <c r="I729" s="109"/>
      <c r="J729" s="109"/>
      <c r="K729" s="317"/>
      <c r="L729" s="109"/>
      <c r="M729" s="109"/>
      <c r="N729" s="109"/>
      <c r="O729" s="109"/>
      <c r="P729" s="109"/>
      <c r="Q729" s="109"/>
      <c r="R729" s="109"/>
      <c r="S729" s="109"/>
      <c r="T729" s="109"/>
      <c r="U729" s="109"/>
      <c r="V729" s="109"/>
      <c r="W729" s="109"/>
      <c r="X729" s="109"/>
      <c r="Y729" s="109"/>
      <c r="Z729" s="109"/>
    </row>
    <row r="730" ht="39.75" customHeight="1">
      <c r="A730" s="109"/>
      <c r="B730" s="109"/>
      <c r="C730" s="109"/>
      <c r="D730" s="109"/>
      <c r="E730" s="109"/>
      <c r="F730" s="109"/>
      <c r="G730" s="109"/>
      <c r="H730" s="109"/>
      <c r="I730" s="109"/>
      <c r="J730" s="109"/>
      <c r="K730" s="317"/>
      <c r="L730" s="109"/>
      <c r="M730" s="109"/>
      <c r="N730" s="109"/>
      <c r="O730" s="109"/>
      <c r="P730" s="109"/>
      <c r="Q730" s="109"/>
      <c r="R730" s="109"/>
      <c r="S730" s="109"/>
      <c r="T730" s="109"/>
      <c r="U730" s="109"/>
      <c r="V730" s="109"/>
      <c r="W730" s="109"/>
      <c r="X730" s="109"/>
      <c r="Y730" s="109"/>
      <c r="Z730" s="109"/>
    </row>
    <row r="731" ht="39.75" customHeight="1">
      <c r="A731" s="109"/>
      <c r="B731" s="109"/>
      <c r="C731" s="109"/>
      <c r="D731" s="109"/>
      <c r="E731" s="109"/>
      <c r="F731" s="109"/>
      <c r="G731" s="109"/>
      <c r="H731" s="109"/>
      <c r="I731" s="109"/>
      <c r="J731" s="109"/>
      <c r="K731" s="317"/>
      <c r="L731" s="109"/>
      <c r="M731" s="109"/>
      <c r="N731" s="109"/>
      <c r="O731" s="109"/>
      <c r="P731" s="109"/>
      <c r="Q731" s="109"/>
      <c r="R731" s="109"/>
      <c r="S731" s="109"/>
      <c r="T731" s="109"/>
      <c r="U731" s="109"/>
      <c r="V731" s="109"/>
      <c r="W731" s="109"/>
      <c r="X731" s="109"/>
      <c r="Y731" s="109"/>
      <c r="Z731" s="109"/>
    </row>
    <row r="732" ht="39.75" customHeight="1">
      <c r="A732" s="109"/>
      <c r="B732" s="109"/>
      <c r="C732" s="109"/>
      <c r="D732" s="109"/>
      <c r="E732" s="109"/>
      <c r="F732" s="109"/>
      <c r="G732" s="109"/>
      <c r="H732" s="109"/>
      <c r="I732" s="109"/>
      <c r="J732" s="109"/>
      <c r="K732" s="317"/>
      <c r="L732" s="109"/>
      <c r="M732" s="109"/>
      <c r="N732" s="109"/>
      <c r="O732" s="109"/>
      <c r="P732" s="109"/>
      <c r="Q732" s="109"/>
      <c r="R732" s="109"/>
      <c r="S732" s="109"/>
      <c r="T732" s="109"/>
      <c r="U732" s="109"/>
      <c r="V732" s="109"/>
      <c r="W732" s="109"/>
      <c r="X732" s="109"/>
      <c r="Y732" s="109"/>
      <c r="Z732" s="109"/>
    </row>
    <row r="733" ht="39.75" customHeight="1">
      <c r="A733" s="109"/>
      <c r="B733" s="109"/>
      <c r="C733" s="109"/>
      <c r="D733" s="109"/>
      <c r="E733" s="109"/>
      <c r="F733" s="109"/>
      <c r="G733" s="109"/>
      <c r="H733" s="109"/>
      <c r="I733" s="109"/>
      <c r="J733" s="109"/>
      <c r="K733" s="317"/>
      <c r="L733" s="109"/>
      <c r="M733" s="109"/>
      <c r="N733" s="109"/>
      <c r="O733" s="109"/>
      <c r="P733" s="109"/>
      <c r="Q733" s="109"/>
      <c r="R733" s="109"/>
      <c r="S733" s="109"/>
      <c r="T733" s="109"/>
      <c r="U733" s="109"/>
      <c r="V733" s="109"/>
      <c r="W733" s="109"/>
      <c r="X733" s="109"/>
      <c r="Y733" s="109"/>
      <c r="Z733" s="109"/>
    </row>
    <row r="734" ht="39.75" customHeight="1">
      <c r="A734" s="109"/>
      <c r="B734" s="109"/>
      <c r="C734" s="109"/>
      <c r="D734" s="109"/>
      <c r="E734" s="109"/>
      <c r="F734" s="109"/>
      <c r="G734" s="109"/>
      <c r="H734" s="109"/>
      <c r="I734" s="109"/>
      <c r="J734" s="109"/>
      <c r="K734" s="317"/>
      <c r="L734" s="109"/>
      <c r="M734" s="109"/>
      <c r="N734" s="109"/>
      <c r="O734" s="109"/>
      <c r="P734" s="109"/>
      <c r="Q734" s="109"/>
      <c r="R734" s="109"/>
      <c r="S734" s="109"/>
      <c r="T734" s="109"/>
      <c r="U734" s="109"/>
      <c r="V734" s="109"/>
      <c r="W734" s="109"/>
      <c r="X734" s="109"/>
      <c r="Y734" s="109"/>
      <c r="Z734" s="109"/>
    </row>
    <row r="735" ht="39.75" customHeight="1">
      <c r="A735" s="109"/>
      <c r="B735" s="109"/>
      <c r="C735" s="109"/>
      <c r="D735" s="109"/>
      <c r="E735" s="109"/>
      <c r="F735" s="109"/>
      <c r="G735" s="109"/>
      <c r="H735" s="109"/>
      <c r="I735" s="109"/>
      <c r="J735" s="109"/>
      <c r="K735" s="317"/>
      <c r="L735" s="109"/>
      <c r="M735" s="109"/>
      <c r="N735" s="109"/>
      <c r="O735" s="109"/>
      <c r="P735" s="109"/>
      <c r="Q735" s="109"/>
      <c r="R735" s="109"/>
      <c r="S735" s="109"/>
      <c r="T735" s="109"/>
      <c r="U735" s="109"/>
      <c r="V735" s="109"/>
      <c r="W735" s="109"/>
      <c r="X735" s="109"/>
      <c r="Y735" s="109"/>
      <c r="Z735" s="109"/>
    </row>
    <row r="736" ht="39.75" customHeight="1">
      <c r="A736" s="109"/>
      <c r="B736" s="109"/>
      <c r="C736" s="109"/>
      <c r="D736" s="109"/>
      <c r="E736" s="109"/>
      <c r="F736" s="109"/>
      <c r="G736" s="109"/>
      <c r="H736" s="109"/>
      <c r="I736" s="109"/>
      <c r="J736" s="109"/>
      <c r="K736" s="317"/>
      <c r="L736" s="109"/>
      <c r="M736" s="109"/>
      <c r="N736" s="109"/>
      <c r="O736" s="109"/>
      <c r="P736" s="109"/>
      <c r="Q736" s="109"/>
      <c r="R736" s="109"/>
      <c r="S736" s="109"/>
      <c r="T736" s="109"/>
      <c r="U736" s="109"/>
      <c r="V736" s="109"/>
      <c r="W736" s="109"/>
      <c r="X736" s="109"/>
      <c r="Y736" s="109"/>
      <c r="Z736" s="109"/>
    </row>
    <row r="737" ht="39.75" customHeight="1">
      <c r="A737" s="109"/>
      <c r="B737" s="109"/>
      <c r="C737" s="109"/>
      <c r="D737" s="109"/>
      <c r="E737" s="109"/>
      <c r="F737" s="109"/>
      <c r="G737" s="109"/>
      <c r="H737" s="109"/>
      <c r="I737" s="109"/>
      <c r="J737" s="109"/>
      <c r="K737" s="317"/>
      <c r="L737" s="109"/>
      <c r="M737" s="109"/>
      <c r="N737" s="109"/>
      <c r="O737" s="109"/>
      <c r="P737" s="109"/>
      <c r="Q737" s="109"/>
      <c r="R737" s="109"/>
      <c r="S737" s="109"/>
      <c r="T737" s="109"/>
      <c r="U737" s="109"/>
      <c r="V737" s="109"/>
      <c r="W737" s="109"/>
      <c r="X737" s="109"/>
      <c r="Y737" s="109"/>
      <c r="Z737" s="109"/>
    </row>
    <row r="738" ht="39.75" customHeight="1">
      <c r="A738" s="109"/>
      <c r="B738" s="109"/>
      <c r="C738" s="109"/>
      <c r="D738" s="109"/>
      <c r="E738" s="109"/>
      <c r="F738" s="109"/>
      <c r="G738" s="109"/>
      <c r="H738" s="109"/>
      <c r="I738" s="109"/>
      <c r="J738" s="109"/>
      <c r="K738" s="317"/>
      <c r="L738" s="109"/>
      <c r="M738" s="109"/>
      <c r="N738" s="109"/>
      <c r="O738" s="109"/>
      <c r="P738" s="109"/>
      <c r="Q738" s="109"/>
      <c r="R738" s="109"/>
      <c r="S738" s="109"/>
      <c r="T738" s="109"/>
      <c r="U738" s="109"/>
      <c r="V738" s="109"/>
      <c r="W738" s="109"/>
      <c r="X738" s="109"/>
      <c r="Y738" s="109"/>
      <c r="Z738" s="109"/>
    </row>
    <row r="739" ht="39.75" customHeight="1">
      <c r="A739" s="109"/>
      <c r="B739" s="109"/>
      <c r="C739" s="109"/>
      <c r="D739" s="109"/>
      <c r="E739" s="109"/>
      <c r="F739" s="109"/>
      <c r="G739" s="109"/>
      <c r="H739" s="109"/>
      <c r="I739" s="109"/>
      <c r="J739" s="109"/>
      <c r="K739" s="317"/>
      <c r="L739" s="109"/>
      <c r="M739" s="109"/>
      <c r="N739" s="109"/>
      <c r="O739" s="109"/>
      <c r="P739" s="109"/>
      <c r="Q739" s="109"/>
      <c r="R739" s="109"/>
      <c r="S739" s="109"/>
      <c r="T739" s="109"/>
      <c r="U739" s="109"/>
      <c r="V739" s="109"/>
      <c r="W739" s="109"/>
      <c r="X739" s="109"/>
      <c r="Y739" s="109"/>
      <c r="Z739" s="109"/>
    </row>
    <row r="740" ht="39.75" customHeight="1">
      <c r="A740" s="109"/>
      <c r="B740" s="109"/>
      <c r="C740" s="109"/>
      <c r="D740" s="109"/>
      <c r="E740" s="109"/>
      <c r="F740" s="109"/>
      <c r="G740" s="109"/>
      <c r="H740" s="109"/>
      <c r="I740" s="109"/>
      <c r="J740" s="109"/>
      <c r="K740" s="317"/>
      <c r="L740" s="109"/>
      <c r="M740" s="109"/>
      <c r="N740" s="109"/>
      <c r="O740" s="109"/>
      <c r="P740" s="109"/>
      <c r="Q740" s="109"/>
      <c r="R740" s="109"/>
      <c r="S740" s="109"/>
      <c r="T740" s="109"/>
      <c r="U740" s="109"/>
      <c r="V740" s="109"/>
      <c r="W740" s="109"/>
      <c r="X740" s="109"/>
      <c r="Y740" s="109"/>
      <c r="Z740" s="109"/>
    </row>
    <row r="741" ht="39.75" customHeight="1">
      <c r="A741" s="109"/>
      <c r="B741" s="109"/>
      <c r="C741" s="109"/>
      <c r="D741" s="109"/>
      <c r="E741" s="109"/>
      <c r="F741" s="109"/>
      <c r="G741" s="109"/>
      <c r="H741" s="109"/>
      <c r="I741" s="109"/>
      <c r="J741" s="109"/>
      <c r="K741" s="317"/>
      <c r="L741" s="109"/>
      <c r="M741" s="109"/>
      <c r="N741" s="109"/>
      <c r="O741" s="109"/>
      <c r="P741" s="109"/>
      <c r="Q741" s="109"/>
      <c r="R741" s="109"/>
      <c r="S741" s="109"/>
      <c r="T741" s="109"/>
      <c r="U741" s="109"/>
      <c r="V741" s="109"/>
      <c r="W741" s="109"/>
      <c r="X741" s="109"/>
      <c r="Y741" s="109"/>
      <c r="Z741" s="109"/>
    </row>
    <row r="742" ht="39.75" customHeight="1">
      <c r="A742" s="109"/>
      <c r="B742" s="109"/>
      <c r="C742" s="109"/>
      <c r="D742" s="109"/>
      <c r="E742" s="109"/>
      <c r="F742" s="109"/>
      <c r="G742" s="109"/>
      <c r="H742" s="109"/>
      <c r="I742" s="109"/>
      <c r="J742" s="109"/>
      <c r="K742" s="317"/>
      <c r="L742" s="109"/>
      <c r="M742" s="109"/>
      <c r="N742" s="109"/>
      <c r="O742" s="109"/>
      <c r="P742" s="109"/>
      <c r="Q742" s="109"/>
      <c r="R742" s="109"/>
      <c r="S742" s="109"/>
      <c r="T742" s="109"/>
      <c r="U742" s="109"/>
      <c r="V742" s="109"/>
      <c r="W742" s="109"/>
      <c r="X742" s="109"/>
      <c r="Y742" s="109"/>
      <c r="Z742" s="109"/>
    </row>
    <row r="743" ht="39.75" customHeight="1">
      <c r="A743" s="109"/>
      <c r="B743" s="109"/>
      <c r="C743" s="109"/>
      <c r="D743" s="109"/>
      <c r="E743" s="109"/>
      <c r="F743" s="109"/>
      <c r="G743" s="109"/>
      <c r="H743" s="109"/>
      <c r="I743" s="109"/>
      <c r="J743" s="109"/>
      <c r="K743" s="317"/>
      <c r="L743" s="109"/>
      <c r="M743" s="109"/>
      <c r="N743" s="109"/>
      <c r="O743" s="109"/>
      <c r="P743" s="109"/>
      <c r="Q743" s="109"/>
      <c r="R743" s="109"/>
      <c r="S743" s="109"/>
      <c r="T743" s="109"/>
      <c r="U743" s="109"/>
      <c r="V743" s="109"/>
      <c r="W743" s="109"/>
      <c r="X743" s="109"/>
      <c r="Y743" s="109"/>
      <c r="Z743" s="109"/>
    </row>
    <row r="744" ht="39.75" customHeight="1">
      <c r="A744" s="109"/>
      <c r="B744" s="109"/>
      <c r="C744" s="109"/>
      <c r="D744" s="109"/>
      <c r="E744" s="109"/>
      <c r="F744" s="109"/>
      <c r="G744" s="109"/>
      <c r="H744" s="109"/>
      <c r="I744" s="109"/>
      <c r="J744" s="109"/>
      <c r="K744" s="317"/>
      <c r="L744" s="109"/>
      <c r="M744" s="109"/>
      <c r="N744" s="109"/>
      <c r="O744" s="109"/>
      <c r="P744" s="109"/>
      <c r="Q744" s="109"/>
      <c r="R744" s="109"/>
      <c r="S744" s="109"/>
      <c r="T744" s="109"/>
      <c r="U744" s="109"/>
      <c r="V744" s="109"/>
      <c r="W744" s="109"/>
      <c r="X744" s="109"/>
      <c r="Y744" s="109"/>
      <c r="Z744" s="109"/>
    </row>
    <row r="745" ht="39.75" customHeight="1">
      <c r="A745" s="109"/>
      <c r="B745" s="109"/>
      <c r="C745" s="109"/>
      <c r="D745" s="109"/>
      <c r="E745" s="109"/>
      <c r="F745" s="109"/>
      <c r="G745" s="109"/>
      <c r="H745" s="109"/>
      <c r="I745" s="109"/>
      <c r="J745" s="109"/>
      <c r="K745" s="317"/>
      <c r="L745" s="109"/>
      <c r="M745" s="109"/>
      <c r="N745" s="109"/>
      <c r="O745" s="109"/>
      <c r="P745" s="109"/>
      <c r="Q745" s="109"/>
      <c r="R745" s="109"/>
      <c r="S745" s="109"/>
      <c r="T745" s="109"/>
      <c r="U745" s="109"/>
      <c r="V745" s="109"/>
      <c r="W745" s="109"/>
      <c r="X745" s="109"/>
      <c r="Y745" s="109"/>
      <c r="Z745" s="109"/>
    </row>
    <row r="746" ht="39.75" customHeight="1">
      <c r="A746" s="109"/>
      <c r="B746" s="109"/>
      <c r="C746" s="109"/>
      <c r="D746" s="109"/>
      <c r="E746" s="109"/>
      <c r="F746" s="109"/>
      <c r="G746" s="109"/>
      <c r="H746" s="109"/>
      <c r="I746" s="109"/>
      <c r="J746" s="109"/>
      <c r="K746" s="317"/>
      <c r="L746" s="109"/>
      <c r="M746" s="109"/>
      <c r="N746" s="109"/>
      <c r="O746" s="109"/>
      <c r="P746" s="109"/>
      <c r="Q746" s="109"/>
      <c r="R746" s="109"/>
      <c r="S746" s="109"/>
      <c r="T746" s="109"/>
      <c r="U746" s="109"/>
      <c r="V746" s="109"/>
      <c r="W746" s="109"/>
      <c r="X746" s="109"/>
      <c r="Y746" s="109"/>
      <c r="Z746" s="109"/>
    </row>
    <row r="747" ht="39.75" customHeight="1">
      <c r="A747" s="109"/>
      <c r="B747" s="109"/>
      <c r="C747" s="109"/>
      <c r="D747" s="109"/>
      <c r="E747" s="109"/>
      <c r="F747" s="109"/>
      <c r="G747" s="109"/>
      <c r="H747" s="109"/>
      <c r="I747" s="109"/>
      <c r="J747" s="109"/>
      <c r="K747" s="317"/>
      <c r="L747" s="109"/>
      <c r="M747" s="109"/>
      <c r="N747" s="109"/>
      <c r="O747" s="109"/>
      <c r="P747" s="109"/>
      <c r="Q747" s="109"/>
      <c r="R747" s="109"/>
      <c r="S747" s="109"/>
      <c r="T747" s="109"/>
      <c r="U747" s="109"/>
      <c r="V747" s="109"/>
      <c r="W747" s="109"/>
      <c r="X747" s="109"/>
      <c r="Y747" s="109"/>
      <c r="Z747" s="109"/>
    </row>
    <row r="748" ht="39.75" customHeight="1">
      <c r="A748" s="109"/>
      <c r="B748" s="109"/>
      <c r="C748" s="109"/>
      <c r="D748" s="109"/>
      <c r="E748" s="109"/>
      <c r="F748" s="109"/>
      <c r="G748" s="109"/>
      <c r="H748" s="109"/>
      <c r="I748" s="109"/>
      <c r="J748" s="109"/>
      <c r="K748" s="317"/>
      <c r="L748" s="109"/>
      <c r="M748" s="109"/>
      <c r="N748" s="109"/>
      <c r="O748" s="109"/>
      <c r="P748" s="109"/>
      <c r="Q748" s="109"/>
      <c r="R748" s="109"/>
      <c r="S748" s="109"/>
      <c r="T748" s="109"/>
      <c r="U748" s="109"/>
      <c r="V748" s="109"/>
      <c r="W748" s="109"/>
      <c r="X748" s="109"/>
      <c r="Y748" s="109"/>
      <c r="Z748" s="109"/>
    </row>
    <row r="749" ht="39.75" customHeight="1">
      <c r="A749" s="109"/>
      <c r="B749" s="109"/>
      <c r="C749" s="109"/>
      <c r="D749" s="109"/>
      <c r="E749" s="109"/>
      <c r="F749" s="109"/>
      <c r="G749" s="109"/>
      <c r="H749" s="109"/>
      <c r="I749" s="109"/>
      <c r="J749" s="109"/>
      <c r="K749" s="317"/>
      <c r="L749" s="109"/>
      <c r="M749" s="109"/>
      <c r="N749" s="109"/>
      <c r="O749" s="109"/>
      <c r="P749" s="109"/>
      <c r="Q749" s="109"/>
      <c r="R749" s="109"/>
      <c r="S749" s="109"/>
      <c r="T749" s="109"/>
      <c r="U749" s="109"/>
      <c r="V749" s="109"/>
      <c r="W749" s="109"/>
      <c r="X749" s="109"/>
      <c r="Y749" s="109"/>
      <c r="Z749" s="109"/>
    </row>
    <row r="750" ht="39.75" customHeight="1">
      <c r="A750" s="109"/>
      <c r="B750" s="109"/>
      <c r="C750" s="109"/>
      <c r="D750" s="109"/>
      <c r="E750" s="109"/>
      <c r="F750" s="109"/>
      <c r="G750" s="109"/>
      <c r="H750" s="109"/>
      <c r="I750" s="109"/>
      <c r="J750" s="109"/>
      <c r="K750" s="317"/>
      <c r="L750" s="109"/>
      <c r="M750" s="109"/>
      <c r="N750" s="109"/>
      <c r="O750" s="109"/>
      <c r="P750" s="109"/>
      <c r="Q750" s="109"/>
      <c r="R750" s="109"/>
      <c r="S750" s="109"/>
      <c r="T750" s="109"/>
      <c r="U750" s="109"/>
      <c r="V750" s="109"/>
      <c r="W750" s="109"/>
      <c r="X750" s="109"/>
      <c r="Y750" s="109"/>
      <c r="Z750" s="109"/>
    </row>
    <row r="751" ht="39.75" customHeight="1">
      <c r="A751" s="109"/>
      <c r="B751" s="109"/>
      <c r="C751" s="109"/>
      <c r="D751" s="109"/>
      <c r="E751" s="109"/>
      <c r="F751" s="109"/>
      <c r="G751" s="109"/>
      <c r="H751" s="109"/>
      <c r="I751" s="109"/>
      <c r="J751" s="109"/>
      <c r="K751" s="317"/>
      <c r="L751" s="109"/>
      <c r="M751" s="109"/>
      <c r="N751" s="109"/>
      <c r="O751" s="109"/>
      <c r="P751" s="109"/>
      <c r="Q751" s="109"/>
      <c r="R751" s="109"/>
      <c r="S751" s="109"/>
      <c r="T751" s="109"/>
      <c r="U751" s="109"/>
      <c r="V751" s="109"/>
      <c r="W751" s="109"/>
      <c r="X751" s="109"/>
      <c r="Y751" s="109"/>
      <c r="Z751" s="109"/>
    </row>
    <row r="752" ht="39.75" customHeight="1">
      <c r="A752" s="109"/>
      <c r="B752" s="109"/>
      <c r="C752" s="109"/>
      <c r="D752" s="109"/>
      <c r="E752" s="109"/>
      <c r="F752" s="109"/>
      <c r="G752" s="109"/>
      <c r="H752" s="109"/>
      <c r="I752" s="109"/>
      <c r="J752" s="109"/>
      <c r="K752" s="317"/>
      <c r="L752" s="109"/>
      <c r="M752" s="109"/>
      <c r="N752" s="109"/>
      <c r="O752" s="109"/>
      <c r="P752" s="109"/>
      <c r="Q752" s="109"/>
      <c r="R752" s="109"/>
      <c r="S752" s="109"/>
      <c r="T752" s="109"/>
      <c r="U752" s="109"/>
      <c r="V752" s="109"/>
      <c r="W752" s="109"/>
      <c r="X752" s="109"/>
      <c r="Y752" s="109"/>
      <c r="Z752" s="109"/>
    </row>
    <row r="753" ht="39.75" customHeight="1">
      <c r="A753" s="109"/>
      <c r="B753" s="109"/>
      <c r="C753" s="109"/>
      <c r="D753" s="109"/>
      <c r="E753" s="109"/>
      <c r="F753" s="109"/>
      <c r="G753" s="109"/>
      <c r="H753" s="109"/>
      <c r="I753" s="109"/>
      <c r="J753" s="109"/>
      <c r="K753" s="317"/>
      <c r="L753" s="109"/>
      <c r="M753" s="109"/>
      <c r="N753" s="109"/>
      <c r="O753" s="109"/>
      <c r="P753" s="109"/>
      <c r="Q753" s="109"/>
      <c r="R753" s="109"/>
      <c r="S753" s="109"/>
      <c r="T753" s="109"/>
      <c r="U753" s="109"/>
      <c r="V753" s="109"/>
      <c r="W753" s="109"/>
      <c r="X753" s="109"/>
      <c r="Y753" s="109"/>
      <c r="Z753" s="109"/>
    </row>
    <row r="754" ht="39.75" customHeight="1">
      <c r="A754" s="109"/>
      <c r="B754" s="109"/>
      <c r="C754" s="109"/>
      <c r="D754" s="109"/>
      <c r="E754" s="109"/>
      <c r="F754" s="109"/>
      <c r="G754" s="109"/>
      <c r="H754" s="109"/>
      <c r="I754" s="109"/>
      <c r="J754" s="109"/>
      <c r="K754" s="317"/>
      <c r="L754" s="109"/>
      <c r="M754" s="109"/>
      <c r="N754" s="109"/>
      <c r="O754" s="109"/>
      <c r="P754" s="109"/>
      <c r="Q754" s="109"/>
      <c r="R754" s="109"/>
      <c r="S754" s="109"/>
      <c r="T754" s="109"/>
      <c r="U754" s="109"/>
      <c r="V754" s="109"/>
      <c r="W754" s="109"/>
      <c r="X754" s="109"/>
      <c r="Y754" s="109"/>
      <c r="Z754" s="109"/>
    </row>
    <row r="755" ht="39.75" customHeight="1">
      <c r="A755" s="109"/>
      <c r="B755" s="109"/>
      <c r="C755" s="109"/>
      <c r="D755" s="109"/>
      <c r="E755" s="109"/>
      <c r="F755" s="109"/>
      <c r="G755" s="109"/>
      <c r="H755" s="109"/>
      <c r="I755" s="109"/>
      <c r="J755" s="109"/>
      <c r="K755" s="317"/>
      <c r="L755" s="109"/>
      <c r="M755" s="109"/>
      <c r="N755" s="109"/>
      <c r="O755" s="109"/>
      <c r="P755" s="109"/>
      <c r="Q755" s="109"/>
      <c r="R755" s="109"/>
      <c r="S755" s="109"/>
      <c r="T755" s="109"/>
      <c r="U755" s="109"/>
      <c r="V755" s="109"/>
      <c r="W755" s="109"/>
      <c r="X755" s="109"/>
      <c r="Y755" s="109"/>
      <c r="Z755" s="109"/>
    </row>
    <row r="756" ht="39.75" customHeight="1">
      <c r="A756" s="109"/>
      <c r="B756" s="109"/>
      <c r="C756" s="109"/>
      <c r="D756" s="109"/>
      <c r="E756" s="109"/>
      <c r="F756" s="109"/>
      <c r="G756" s="109"/>
      <c r="H756" s="109"/>
      <c r="I756" s="109"/>
      <c r="J756" s="109"/>
      <c r="K756" s="317"/>
      <c r="L756" s="109"/>
      <c r="M756" s="109"/>
      <c r="N756" s="109"/>
      <c r="O756" s="109"/>
      <c r="P756" s="109"/>
      <c r="Q756" s="109"/>
      <c r="R756" s="109"/>
      <c r="S756" s="109"/>
      <c r="T756" s="109"/>
      <c r="U756" s="109"/>
      <c r="V756" s="109"/>
      <c r="W756" s="109"/>
      <c r="X756" s="109"/>
      <c r="Y756" s="109"/>
      <c r="Z756" s="109"/>
    </row>
    <row r="757" ht="39.75" customHeight="1">
      <c r="A757" s="109"/>
      <c r="B757" s="109"/>
      <c r="C757" s="109"/>
      <c r="D757" s="109"/>
      <c r="E757" s="109"/>
      <c r="F757" s="109"/>
      <c r="G757" s="109"/>
      <c r="H757" s="109"/>
      <c r="I757" s="109"/>
      <c r="J757" s="109"/>
      <c r="K757" s="317"/>
      <c r="L757" s="109"/>
      <c r="M757" s="109"/>
      <c r="N757" s="109"/>
      <c r="O757" s="109"/>
      <c r="P757" s="109"/>
      <c r="Q757" s="109"/>
      <c r="R757" s="109"/>
      <c r="S757" s="109"/>
      <c r="T757" s="109"/>
      <c r="U757" s="109"/>
      <c r="V757" s="109"/>
      <c r="W757" s="109"/>
      <c r="X757" s="109"/>
      <c r="Y757" s="109"/>
      <c r="Z757" s="109"/>
    </row>
    <row r="758" ht="39.75" customHeight="1">
      <c r="A758" s="109"/>
      <c r="B758" s="109"/>
      <c r="C758" s="109"/>
      <c r="D758" s="109"/>
      <c r="E758" s="109"/>
      <c r="F758" s="109"/>
      <c r="G758" s="109"/>
      <c r="H758" s="109"/>
      <c r="I758" s="109"/>
      <c r="J758" s="109"/>
      <c r="K758" s="317"/>
      <c r="L758" s="109"/>
      <c r="M758" s="109"/>
      <c r="N758" s="109"/>
      <c r="O758" s="109"/>
      <c r="P758" s="109"/>
      <c r="Q758" s="109"/>
      <c r="R758" s="109"/>
      <c r="S758" s="109"/>
      <c r="T758" s="109"/>
      <c r="U758" s="109"/>
      <c r="V758" s="109"/>
      <c r="W758" s="109"/>
      <c r="X758" s="109"/>
      <c r="Y758" s="109"/>
      <c r="Z758" s="109"/>
    </row>
    <row r="759" ht="39.75" customHeight="1">
      <c r="A759" s="109"/>
      <c r="B759" s="109"/>
      <c r="C759" s="109"/>
      <c r="D759" s="109"/>
      <c r="E759" s="109"/>
      <c r="F759" s="109"/>
      <c r="G759" s="109"/>
      <c r="H759" s="109"/>
      <c r="I759" s="109"/>
      <c r="J759" s="109"/>
      <c r="K759" s="317"/>
      <c r="L759" s="109"/>
      <c r="M759" s="109"/>
      <c r="N759" s="109"/>
      <c r="O759" s="109"/>
      <c r="P759" s="109"/>
      <c r="Q759" s="109"/>
      <c r="R759" s="109"/>
      <c r="S759" s="109"/>
      <c r="T759" s="109"/>
      <c r="U759" s="109"/>
      <c r="V759" s="109"/>
      <c r="W759" s="109"/>
      <c r="X759" s="109"/>
      <c r="Y759" s="109"/>
      <c r="Z759" s="109"/>
    </row>
    <row r="760" ht="39.75" customHeight="1">
      <c r="A760" s="109"/>
      <c r="B760" s="109"/>
      <c r="C760" s="109"/>
      <c r="D760" s="109"/>
      <c r="E760" s="109"/>
      <c r="F760" s="109"/>
      <c r="G760" s="109"/>
      <c r="H760" s="109"/>
      <c r="I760" s="109"/>
      <c r="J760" s="109"/>
      <c r="K760" s="317"/>
      <c r="L760" s="109"/>
      <c r="M760" s="109"/>
      <c r="N760" s="109"/>
      <c r="O760" s="109"/>
      <c r="P760" s="109"/>
      <c r="Q760" s="109"/>
      <c r="R760" s="109"/>
      <c r="S760" s="109"/>
      <c r="T760" s="109"/>
      <c r="U760" s="109"/>
      <c r="V760" s="109"/>
      <c r="W760" s="109"/>
      <c r="X760" s="109"/>
      <c r="Y760" s="109"/>
      <c r="Z760" s="109"/>
    </row>
    <row r="761" ht="39.75" customHeight="1">
      <c r="A761" s="109"/>
      <c r="B761" s="109"/>
      <c r="C761" s="109"/>
      <c r="D761" s="109"/>
      <c r="E761" s="109"/>
      <c r="F761" s="109"/>
      <c r="G761" s="109"/>
      <c r="H761" s="109"/>
      <c r="I761" s="109"/>
      <c r="J761" s="109"/>
      <c r="K761" s="317"/>
      <c r="L761" s="109"/>
      <c r="M761" s="109"/>
      <c r="N761" s="109"/>
      <c r="O761" s="109"/>
      <c r="P761" s="109"/>
      <c r="Q761" s="109"/>
      <c r="R761" s="109"/>
      <c r="S761" s="109"/>
      <c r="T761" s="109"/>
      <c r="U761" s="109"/>
      <c r="V761" s="109"/>
      <c r="W761" s="109"/>
      <c r="X761" s="109"/>
      <c r="Y761" s="109"/>
      <c r="Z761" s="109"/>
    </row>
    <row r="762" ht="39.75" customHeight="1">
      <c r="A762" s="109"/>
      <c r="B762" s="109"/>
      <c r="C762" s="109"/>
      <c r="D762" s="109"/>
      <c r="E762" s="109"/>
      <c r="F762" s="109"/>
      <c r="G762" s="109"/>
      <c r="H762" s="109"/>
      <c r="I762" s="109"/>
      <c r="J762" s="109"/>
      <c r="K762" s="317"/>
      <c r="L762" s="109"/>
      <c r="M762" s="109"/>
      <c r="N762" s="109"/>
      <c r="O762" s="109"/>
      <c r="P762" s="109"/>
      <c r="Q762" s="109"/>
      <c r="R762" s="109"/>
      <c r="S762" s="109"/>
      <c r="T762" s="109"/>
      <c r="U762" s="109"/>
      <c r="V762" s="109"/>
      <c r="W762" s="109"/>
      <c r="X762" s="109"/>
      <c r="Y762" s="109"/>
      <c r="Z762" s="109"/>
    </row>
    <row r="763" ht="39.75" customHeight="1">
      <c r="A763" s="109"/>
      <c r="B763" s="109"/>
      <c r="C763" s="109"/>
      <c r="D763" s="109"/>
      <c r="E763" s="109"/>
      <c r="F763" s="109"/>
      <c r="G763" s="109"/>
      <c r="H763" s="109"/>
      <c r="I763" s="109"/>
      <c r="J763" s="109"/>
      <c r="K763" s="317"/>
      <c r="L763" s="109"/>
      <c r="M763" s="109"/>
      <c r="N763" s="109"/>
      <c r="O763" s="109"/>
      <c r="P763" s="109"/>
      <c r="Q763" s="109"/>
      <c r="R763" s="109"/>
      <c r="S763" s="109"/>
      <c r="T763" s="109"/>
      <c r="U763" s="109"/>
      <c r="V763" s="109"/>
      <c r="W763" s="109"/>
      <c r="X763" s="109"/>
      <c r="Y763" s="109"/>
      <c r="Z763" s="109"/>
    </row>
    <row r="764" ht="39.75" customHeight="1">
      <c r="A764" s="109"/>
      <c r="B764" s="109"/>
      <c r="C764" s="109"/>
      <c r="D764" s="109"/>
      <c r="E764" s="109"/>
      <c r="F764" s="109"/>
      <c r="G764" s="109"/>
      <c r="H764" s="109"/>
      <c r="I764" s="109"/>
      <c r="J764" s="109"/>
      <c r="K764" s="317"/>
      <c r="L764" s="109"/>
      <c r="M764" s="109"/>
      <c r="N764" s="109"/>
      <c r="O764" s="109"/>
      <c r="P764" s="109"/>
      <c r="Q764" s="109"/>
      <c r="R764" s="109"/>
      <c r="S764" s="109"/>
      <c r="T764" s="109"/>
      <c r="U764" s="109"/>
      <c r="V764" s="109"/>
      <c r="W764" s="109"/>
      <c r="X764" s="109"/>
      <c r="Y764" s="109"/>
      <c r="Z764" s="109"/>
    </row>
    <row r="765" ht="39.75" customHeight="1">
      <c r="A765" s="109"/>
      <c r="B765" s="109"/>
      <c r="C765" s="109"/>
      <c r="D765" s="109"/>
      <c r="E765" s="109"/>
      <c r="F765" s="109"/>
      <c r="G765" s="109"/>
      <c r="H765" s="109"/>
      <c r="I765" s="109"/>
      <c r="J765" s="109"/>
      <c r="K765" s="317"/>
      <c r="L765" s="109"/>
      <c r="M765" s="109"/>
      <c r="N765" s="109"/>
      <c r="O765" s="109"/>
      <c r="P765" s="109"/>
      <c r="Q765" s="109"/>
      <c r="R765" s="109"/>
      <c r="S765" s="109"/>
      <c r="T765" s="109"/>
      <c r="U765" s="109"/>
      <c r="V765" s="109"/>
      <c r="W765" s="109"/>
      <c r="X765" s="109"/>
      <c r="Y765" s="109"/>
      <c r="Z765" s="109"/>
    </row>
    <row r="766" ht="39.75" customHeight="1">
      <c r="A766" s="109"/>
      <c r="B766" s="109"/>
      <c r="C766" s="109"/>
      <c r="D766" s="109"/>
      <c r="E766" s="109"/>
      <c r="F766" s="109"/>
      <c r="G766" s="109"/>
      <c r="H766" s="109"/>
      <c r="I766" s="109"/>
      <c r="J766" s="109"/>
      <c r="K766" s="317"/>
      <c r="L766" s="109"/>
      <c r="M766" s="109"/>
      <c r="N766" s="109"/>
      <c r="O766" s="109"/>
      <c r="P766" s="109"/>
      <c r="Q766" s="109"/>
      <c r="R766" s="109"/>
      <c r="S766" s="109"/>
      <c r="T766" s="109"/>
      <c r="U766" s="109"/>
      <c r="V766" s="109"/>
      <c r="W766" s="109"/>
      <c r="X766" s="109"/>
      <c r="Y766" s="109"/>
      <c r="Z766" s="109"/>
    </row>
    <row r="767" ht="39.75" customHeight="1">
      <c r="A767" s="109"/>
      <c r="B767" s="109"/>
      <c r="C767" s="109"/>
      <c r="D767" s="109"/>
      <c r="E767" s="109"/>
      <c r="F767" s="109"/>
      <c r="G767" s="109"/>
      <c r="H767" s="109"/>
      <c r="I767" s="109"/>
      <c r="J767" s="109"/>
      <c r="K767" s="317"/>
      <c r="L767" s="109"/>
      <c r="M767" s="109"/>
      <c r="N767" s="109"/>
      <c r="O767" s="109"/>
      <c r="P767" s="109"/>
      <c r="Q767" s="109"/>
      <c r="R767" s="109"/>
      <c r="S767" s="109"/>
      <c r="T767" s="109"/>
      <c r="U767" s="109"/>
      <c r="V767" s="109"/>
      <c r="W767" s="109"/>
      <c r="X767" s="109"/>
      <c r="Y767" s="109"/>
      <c r="Z767" s="109"/>
    </row>
    <row r="768" ht="39.75" customHeight="1">
      <c r="A768" s="109"/>
      <c r="B768" s="109"/>
      <c r="C768" s="109"/>
      <c r="D768" s="109"/>
      <c r="E768" s="109"/>
      <c r="F768" s="109"/>
      <c r="G768" s="109"/>
      <c r="H768" s="109"/>
      <c r="I768" s="109"/>
      <c r="J768" s="109"/>
      <c r="K768" s="317"/>
      <c r="L768" s="109"/>
      <c r="M768" s="109"/>
      <c r="N768" s="109"/>
      <c r="O768" s="109"/>
      <c r="P768" s="109"/>
      <c r="Q768" s="109"/>
      <c r="R768" s="109"/>
      <c r="S768" s="109"/>
      <c r="T768" s="109"/>
      <c r="U768" s="109"/>
      <c r="V768" s="109"/>
      <c r="W768" s="109"/>
      <c r="X768" s="109"/>
      <c r="Y768" s="109"/>
      <c r="Z768" s="109"/>
    </row>
    <row r="769" ht="39.75" customHeight="1">
      <c r="A769" s="109"/>
      <c r="B769" s="109"/>
      <c r="C769" s="109"/>
      <c r="D769" s="109"/>
      <c r="E769" s="109"/>
      <c r="F769" s="109"/>
      <c r="G769" s="109"/>
      <c r="H769" s="109"/>
      <c r="I769" s="109"/>
      <c r="J769" s="109"/>
      <c r="K769" s="317"/>
      <c r="L769" s="109"/>
      <c r="M769" s="109"/>
      <c r="N769" s="109"/>
      <c r="O769" s="109"/>
      <c r="P769" s="109"/>
      <c r="Q769" s="109"/>
      <c r="R769" s="109"/>
      <c r="S769" s="109"/>
      <c r="T769" s="109"/>
      <c r="U769" s="109"/>
      <c r="V769" s="109"/>
      <c r="W769" s="109"/>
      <c r="X769" s="109"/>
      <c r="Y769" s="109"/>
      <c r="Z769" s="109"/>
    </row>
    <row r="770" ht="39.75" customHeight="1">
      <c r="A770" s="109"/>
      <c r="B770" s="109"/>
      <c r="C770" s="109"/>
      <c r="D770" s="109"/>
      <c r="E770" s="109"/>
      <c r="F770" s="109"/>
      <c r="G770" s="109"/>
      <c r="H770" s="109"/>
      <c r="I770" s="109"/>
      <c r="J770" s="109"/>
      <c r="K770" s="317"/>
      <c r="L770" s="109"/>
      <c r="M770" s="109"/>
      <c r="N770" s="109"/>
      <c r="O770" s="109"/>
      <c r="P770" s="109"/>
      <c r="Q770" s="109"/>
      <c r="R770" s="109"/>
      <c r="S770" s="109"/>
      <c r="T770" s="109"/>
      <c r="U770" s="109"/>
      <c r="V770" s="109"/>
      <c r="W770" s="109"/>
      <c r="X770" s="109"/>
      <c r="Y770" s="109"/>
      <c r="Z770" s="109"/>
    </row>
    <row r="771" ht="39.75" customHeight="1">
      <c r="A771" s="109"/>
      <c r="B771" s="109"/>
      <c r="C771" s="109"/>
      <c r="D771" s="109"/>
      <c r="E771" s="109"/>
      <c r="F771" s="109"/>
      <c r="G771" s="109"/>
      <c r="H771" s="109"/>
      <c r="I771" s="109"/>
      <c r="J771" s="109"/>
      <c r="K771" s="317"/>
      <c r="L771" s="109"/>
      <c r="M771" s="109"/>
      <c r="N771" s="109"/>
      <c r="O771" s="109"/>
      <c r="P771" s="109"/>
      <c r="Q771" s="109"/>
      <c r="R771" s="109"/>
      <c r="S771" s="109"/>
      <c r="T771" s="109"/>
      <c r="U771" s="109"/>
      <c r="V771" s="109"/>
      <c r="W771" s="109"/>
      <c r="X771" s="109"/>
      <c r="Y771" s="109"/>
      <c r="Z771" s="109"/>
    </row>
    <row r="772" ht="39.75" customHeight="1">
      <c r="A772" s="109"/>
      <c r="B772" s="109"/>
      <c r="C772" s="109"/>
      <c r="D772" s="109"/>
      <c r="E772" s="109"/>
      <c r="F772" s="109"/>
      <c r="G772" s="109"/>
      <c r="H772" s="109"/>
      <c r="I772" s="109"/>
      <c r="J772" s="109"/>
      <c r="K772" s="317"/>
      <c r="L772" s="109"/>
      <c r="M772" s="109"/>
      <c r="N772" s="109"/>
      <c r="O772" s="109"/>
      <c r="P772" s="109"/>
      <c r="Q772" s="109"/>
      <c r="R772" s="109"/>
      <c r="S772" s="109"/>
      <c r="T772" s="109"/>
      <c r="U772" s="109"/>
      <c r="V772" s="109"/>
      <c r="W772" s="109"/>
      <c r="X772" s="109"/>
      <c r="Y772" s="109"/>
      <c r="Z772" s="109"/>
    </row>
    <row r="773" ht="39.75" customHeight="1">
      <c r="A773" s="109"/>
      <c r="B773" s="109"/>
      <c r="C773" s="109"/>
      <c r="D773" s="109"/>
      <c r="E773" s="109"/>
      <c r="F773" s="109"/>
      <c r="G773" s="109"/>
      <c r="H773" s="109"/>
      <c r="I773" s="109"/>
      <c r="J773" s="109"/>
      <c r="K773" s="317"/>
      <c r="L773" s="109"/>
      <c r="M773" s="109"/>
      <c r="N773" s="109"/>
      <c r="O773" s="109"/>
      <c r="P773" s="109"/>
      <c r="Q773" s="109"/>
      <c r="R773" s="109"/>
      <c r="S773" s="109"/>
      <c r="T773" s="109"/>
      <c r="U773" s="109"/>
      <c r="V773" s="109"/>
      <c r="W773" s="109"/>
      <c r="X773" s="109"/>
      <c r="Y773" s="109"/>
      <c r="Z773" s="109"/>
    </row>
    <row r="774" ht="39.75" customHeight="1">
      <c r="A774" s="109"/>
      <c r="B774" s="109"/>
      <c r="C774" s="109"/>
      <c r="D774" s="109"/>
      <c r="E774" s="109"/>
      <c r="F774" s="109"/>
      <c r="G774" s="109"/>
      <c r="H774" s="109"/>
      <c r="I774" s="109"/>
      <c r="J774" s="109"/>
      <c r="K774" s="317"/>
      <c r="L774" s="109"/>
      <c r="M774" s="109"/>
      <c r="N774" s="109"/>
      <c r="O774" s="109"/>
      <c r="P774" s="109"/>
      <c r="Q774" s="109"/>
      <c r="R774" s="109"/>
      <c r="S774" s="109"/>
      <c r="T774" s="109"/>
      <c r="U774" s="109"/>
      <c r="V774" s="109"/>
      <c r="W774" s="109"/>
      <c r="X774" s="109"/>
      <c r="Y774" s="109"/>
      <c r="Z774" s="109"/>
    </row>
    <row r="775" ht="39.75" customHeight="1">
      <c r="A775" s="109"/>
      <c r="B775" s="109"/>
      <c r="C775" s="109"/>
      <c r="D775" s="109"/>
      <c r="E775" s="109"/>
      <c r="F775" s="109"/>
      <c r="G775" s="109"/>
      <c r="H775" s="109"/>
      <c r="I775" s="109"/>
      <c r="J775" s="109"/>
      <c r="K775" s="317"/>
      <c r="L775" s="109"/>
      <c r="M775" s="109"/>
      <c r="N775" s="109"/>
      <c r="O775" s="109"/>
      <c r="P775" s="109"/>
      <c r="Q775" s="109"/>
      <c r="R775" s="109"/>
      <c r="S775" s="109"/>
      <c r="T775" s="109"/>
      <c r="U775" s="109"/>
      <c r="V775" s="109"/>
      <c r="W775" s="109"/>
      <c r="X775" s="109"/>
      <c r="Y775" s="109"/>
      <c r="Z775" s="109"/>
    </row>
    <row r="776" ht="39.75" customHeight="1">
      <c r="A776" s="109"/>
      <c r="B776" s="109"/>
      <c r="C776" s="109"/>
      <c r="D776" s="109"/>
      <c r="E776" s="109"/>
      <c r="F776" s="109"/>
      <c r="G776" s="109"/>
      <c r="H776" s="109"/>
      <c r="I776" s="109"/>
      <c r="J776" s="109"/>
      <c r="K776" s="317"/>
      <c r="L776" s="109"/>
      <c r="M776" s="109"/>
      <c r="N776" s="109"/>
      <c r="O776" s="109"/>
      <c r="P776" s="109"/>
      <c r="Q776" s="109"/>
      <c r="R776" s="109"/>
      <c r="S776" s="109"/>
      <c r="T776" s="109"/>
      <c r="U776" s="109"/>
      <c r="V776" s="109"/>
      <c r="W776" s="109"/>
      <c r="X776" s="109"/>
      <c r="Y776" s="109"/>
      <c r="Z776" s="109"/>
    </row>
    <row r="777" ht="39.75" customHeight="1">
      <c r="A777" s="109"/>
      <c r="B777" s="109"/>
      <c r="C777" s="109"/>
      <c r="D777" s="109"/>
      <c r="E777" s="109"/>
      <c r="F777" s="109"/>
      <c r="G777" s="109"/>
      <c r="H777" s="109"/>
      <c r="I777" s="109"/>
      <c r="J777" s="109"/>
      <c r="K777" s="317"/>
      <c r="L777" s="109"/>
      <c r="M777" s="109"/>
      <c r="N777" s="109"/>
      <c r="O777" s="109"/>
      <c r="P777" s="109"/>
      <c r="Q777" s="109"/>
      <c r="R777" s="109"/>
      <c r="S777" s="109"/>
      <c r="T777" s="109"/>
      <c r="U777" s="109"/>
      <c r="V777" s="109"/>
      <c r="W777" s="109"/>
      <c r="X777" s="109"/>
      <c r="Y777" s="109"/>
      <c r="Z777" s="109"/>
    </row>
    <row r="778" ht="39.75" customHeight="1">
      <c r="A778" s="109"/>
      <c r="B778" s="109"/>
      <c r="C778" s="109"/>
      <c r="D778" s="109"/>
      <c r="E778" s="109"/>
      <c r="F778" s="109"/>
      <c r="G778" s="109"/>
      <c r="H778" s="109"/>
      <c r="I778" s="109"/>
      <c r="J778" s="109"/>
      <c r="K778" s="317"/>
      <c r="L778" s="109"/>
      <c r="M778" s="109"/>
      <c r="N778" s="109"/>
      <c r="O778" s="109"/>
      <c r="P778" s="109"/>
      <c r="Q778" s="109"/>
      <c r="R778" s="109"/>
      <c r="S778" s="109"/>
      <c r="T778" s="109"/>
      <c r="U778" s="109"/>
      <c r="V778" s="109"/>
      <c r="W778" s="109"/>
      <c r="X778" s="109"/>
      <c r="Y778" s="109"/>
      <c r="Z778" s="109"/>
    </row>
    <row r="779" ht="39.75" customHeight="1">
      <c r="A779" s="109"/>
      <c r="B779" s="109"/>
      <c r="C779" s="109"/>
      <c r="D779" s="109"/>
      <c r="E779" s="109"/>
      <c r="F779" s="109"/>
      <c r="G779" s="109"/>
      <c r="H779" s="109"/>
      <c r="I779" s="109"/>
      <c r="J779" s="109"/>
      <c r="K779" s="317"/>
      <c r="L779" s="109"/>
      <c r="M779" s="109"/>
      <c r="N779" s="109"/>
      <c r="O779" s="109"/>
      <c r="P779" s="109"/>
      <c r="Q779" s="109"/>
      <c r="R779" s="109"/>
      <c r="S779" s="109"/>
      <c r="T779" s="109"/>
      <c r="U779" s="109"/>
      <c r="V779" s="109"/>
      <c r="W779" s="109"/>
      <c r="X779" s="109"/>
      <c r="Y779" s="109"/>
      <c r="Z779" s="109"/>
    </row>
    <row r="780" ht="39.75" customHeight="1">
      <c r="A780" s="109"/>
      <c r="B780" s="109"/>
      <c r="C780" s="109"/>
      <c r="D780" s="109"/>
      <c r="E780" s="109"/>
      <c r="F780" s="109"/>
      <c r="G780" s="109"/>
      <c r="H780" s="109"/>
      <c r="I780" s="109"/>
      <c r="J780" s="109"/>
      <c r="K780" s="317"/>
      <c r="L780" s="109"/>
      <c r="M780" s="109"/>
      <c r="N780" s="109"/>
      <c r="O780" s="109"/>
      <c r="P780" s="109"/>
      <c r="Q780" s="109"/>
      <c r="R780" s="109"/>
      <c r="S780" s="109"/>
      <c r="T780" s="109"/>
      <c r="U780" s="109"/>
      <c r="V780" s="109"/>
      <c r="W780" s="109"/>
      <c r="X780" s="109"/>
      <c r="Y780" s="109"/>
      <c r="Z780" s="109"/>
    </row>
    <row r="781" ht="39.75" customHeight="1">
      <c r="A781" s="109"/>
      <c r="B781" s="109"/>
      <c r="C781" s="109"/>
      <c r="D781" s="109"/>
      <c r="E781" s="109"/>
      <c r="F781" s="109"/>
      <c r="G781" s="109"/>
      <c r="H781" s="109"/>
      <c r="I781" s="109"/>
      <c r="J781" s="109"/>
      <c r="K781" s="317"/>
      <c r="L781" s="109"/>
      <c r="M781" s="109"/>
      <c r="N781" s="109"/>
      <c r="O781" s="109"/>
      <c r="P781" s="109"/>
      <c r="Q781" s="109"/>
      <c r="R781" s="109"/>
      <c r="S781" s="109"/>
      <c r="T781" s="109"/>
      <c r="U781" s="109"/>
      <c r="V781" s="109"/>
      <c r="W781" s="109"/>
      <c r="X781" s="109"/>
      <c r="Y781" s="109"/>
      <c r="Z781" s="109"/>
    </row>
    <row r="782" ht="39.75" customHeight="1">
      <c r="A782" s="109"/>
      <c r="B782" s="109"/>
      <c r="C782" s="109"/>
      <c r="D782" s="109"/>
      <c r="E782" s="109"/>
      <c r="F782" s="109"/>
      <c r="G782" s="109"/>
      <c r="H782" s="109"/>
      <c r="I782" s="109"/>
      <c r="J782" s="109"/>
      <c r="K782" s="317"/>
      <c r="L782" s="109"/>
      <c r="M782" s="109"/>
      <c r="N782" s="109"/>
      <c r="O782" s="109"/>
      <c r="P782" s="109"/>
      <c r="Q782" s="109"/>
      <c r="R782" s="109"/>
      <c r="S782" s="109"/>
      <c r="T782" s="109"/>
      <c r="U782" s="109"/>
      <c r="V782" s="109"/>
      <c r="W782" s="109"/>
      <c r="X782" s="109"/>
      <c r="Y782" s="109"/>
      <c r="Z782" s="109"/>
    </row>
    <row r="783" ht="39.75" customHeight="1">
      <c r="A783" s="109"/>
      <c r="B783" s="109"/>
      <c r="C783" s="109"/>
      <c r="D783" s="109"/>
      <c r="E783" s="109"/>
      <c r="F783" s="109"/>
      <c r="G783" s="109"/>
      <c r="H783" s="109"/>
      <c r="I783" s="109"/>
      <c r="J783" s="109"/>
      <c r="K783" s="317"/>
      <c r="L783" s="109"/>
      <c r="M783" s="109"/>
      <c r="N783" s="109"/>
      <c r="O783" s="109"/>
      <c r="P783" s="109"/>
      <c r="Q783" s="109"/>
      <c r="R783" s="109"/>
      <c r="S783" s="109"/>
      <c r="T783" s="109"/>
      <c r="U783" s="109"/>
      <c r="V783" s="109"/>
      <c r="W783" s="109"/>
      <c r="X783" s="109"/>
      <c r="Y783" s="109"/>
      <c r="Z783" s="109"/>
    </row>
    <row r="784" ht="39.75" customHeight="1">
      <c r="A784" s="109"/>
      <c r="B784" s="109"/>
      <c r="C784" s="109"/>
      <c r="D784" s="109"/>
      <c r="E784" s="109"/>
      <c r="F784" s="109"/>
      <c r="G784" s="109"/>
      <c r="H784" s="109"/>
      <c r="I784" s="109"/>
      <c r="J784" s="109"/>
      <c r="K784" s="317"/>
      <c r="L784" s="109"/>
      <c r="M784" s="109"/>
      <c r="N784" s="109"/>
      <c r="O784" s="109"/>
      <c r="P784" s="109"/>
      <c r="Q784" s="109"/>
      <c r="R784" s="109"/>
      <c r="S784" s="109"/>
      <c r="T784" s="109"/>
      <c r="U784" s="109"/>
      <c r="V784" s="109"/>
      <c r="W784" s="109"/>
      <c r="X784" s="109"/>
      <c r="Y784" s="109"/>
      <c r="Z784" s="109"/>
    </row>
    <row r="785" ht="39.75" customHeight="1">
      <c r="A785" s="109"/>
      <c r="B785" s="109"/>
      <c r="C785" s="109"/>
      <c r="D785" s="109"/>
      <c r="E785" s="109"/>
      <c r="F785" s="109"/>
      <c r="G785" s="109"/>
      <c r="H785" s="109"/>
      <c r="I785" s="109"/>
      <c r="J785" s="109"/>
      <c r="K785" s="317"/>
      <c r="L785" s="109"/>
      <c r="M785" s="109"/>
      <c r="N785" s="109"/>
      <c r="O785" s="109"/>
      <c r="P785" s="109"/>
      <c r="Q785" s="109"/>
      <c r="R785" s="109"/>
      <c r="S785" s="109"/>
      <c r="T785" s="109"/>
      <c r="U785" s="109"/>
      <c r="V785" s="109"/>
      <c r="W785" s="109"/>
      <c r="X785" s="109"/>
      <c r="Y785" s="109"/>
      <c r="Z785" s="109"/>
    </row>
    <row r="786" ht="39.75" customHeight="1">
      <c r="A786" s="109"/>
      <c r="B786" s="109"/>
      <c r="C786" s="109"/>
      <c r="D786" s="109"/>
      <c r="E786" s="109"/>
      <c r="F786" s="109"/>
      <c r="G786" s="109"/>
      <c r="H786" s="109"/>
      <c r="I786" s="109"/>
      <c r="J786" s="109"/>
      <c r="K786" s="317"/>
      <c r="L786" s="109"/>
      <c r="M786" s="109"/>
      <c r="N786" s="109"/>
      <c r="O786" s="109"/>
      <c r="P786" s="109"/>
      <c r="Q786" s="109"/>
      <c r="R786" s="109"/>
      <c r="S786" s="109"/>
      <c r="T786" s="109"/>
      <c r="U786" s="109"/>
      <c r="V786" s="109"/>
      <c r="W786" s="109"/>
      <c r="X786" s="109"/>
      <c r="Y786" s="109"/>
      <c r="Z786" s="109"/>
    </row>
    <row r="787" ht="39.75" customHeight="1">
      <c r="A787" s="109"/>
      <c r="B787" s="109"/>
      <c r="C787" s="109"/>
      <c r="D787" s="109"/>
      <c r="E787" s="109"/>
      <c r="F787" s="109"/>
      <c r="G787" s="109"/>
      <c r="H787" s="109"/>
      <c r="I787" s="109"/>
      <c r="J787" s="109"/>
      <c r="K787" s="317"/>
      <c r="L787" s="109"/>
      <c r="M787" s="109"/>
      <c r="N787" s="109"/>
      <c r="O787" s="109"/>
      <c r="P787" s="109"/>
      <c r="Q787" s="109"/>
      <c r="R787" s="109"/>
      <c r="S787" s="109"/>
      <c r="T787" s="109"/>
      <c r="U787" s="109"/>
      <c r="V787" s="109"/>
      <c r="W787" s="109"/>
      <c r="X787" s="109"/>
      <c r="Y787" s="109"/>
      <c r="Z787" s="109"/>
    </row>
    <row r="788" ht="39.75" customHeight="1">
      <c r="A788" s="109"/>
      <c r="B788" s="109"/>
      <c r="C788" s="109"/>
      <c r="D788" s="109"/>
      <c r="E788" s="109"/>
      <c r="F788" s="109"/>
      <c r="G788" s="109"/>
      <c r="H788" s="109"/>
      <c r="I788" s="109"/>
      <c r="J788" s="109"/>
      <c r="K788" s="317"/>
      <c r="L788" s="109"/>
      <c r="M788" s="109"/>
      <c r="N788" s="109"/>
      <c r="O788" s="109"/>
      <c r="P788" s="109"/>
      <c r="Q788" s="109"/>
      <c r="R788" s="109"/>
      <c r="S788" s="109"/>
      <c r="T788" s="109"/>
      <c r="U788" s="109"/>
      <c r="V788" s="109"/>
      <c r="W788" s="109"/>
      <c r="X788" s="109"/>
      <c r="Y788" s="109"/>
      <c r="Z788" s="109"/>
    </row>
    <row r="789" ht="39.75" customHeight="1">
      <c r="A789" s="109"/>
      <c r="B789" s="109"/>
      <c r="C789" s="109"/>
      <c r="D789" s="109"/>
      <c r="E789" s="109"/>
      <c r="F789" s="109"/>
      <c r="G789" s="109"/>
      <c r="H789" s="109"/>
      <c r="I789" s="109"/>
      <c r="J789" s="109"/>
      <c r="K789" s="317"/>
      <c r="L789" s="109"/>
      <c r="M789" s="109"/>
      <c r="N789" s="109"/>
      <c r="O789" s="109"/>
      <c r="P789" s="109"/>
      <c r="Q789" s="109"/>
      <c r="R789" s="109"/>
      <c r="S789" s="109"/>
      <c r="T789" s="109"/>
      <c r="U789" s="109"/>
      <c r="V789" s="109"/>
      <c r="W789" s="109"/>
      <c r="X789" s="109"/>
      <c r="Y789" s="109"/>
      <c r="Z789" s="109"/>
    </row>
    <row r="790" ht="39.75" customHeight="1">
      <c r="A790" s="109"/>
      <c r="B790" s="109"/>
      <c r="C790" s="109"/>
      <c r="D790" s="109"/>
      <c r="E790" s="109"/>
      <c r="F790" s="109"/>
      <c r="G790" s="109"/>
      <c r="H790" s="109"/>
      <c r="I790" s="109"/>
      <c r="J790" s="109"/>
      <c r="K790" s="317"/>
      <c r="L790" s="109"/>
      <c r="M790" s="109"/>
      <c r="N790" s="109"/>
      <c r="O790" s="109"/>
      <c r="P790" s="109"/>
      <c r="Q790" s="109"/>
      <c r="R790" s="109"/>
      <c r="S790" s="109"/>
      <c r="T790" s="109"/>
      <c r="U790" s="109"/>
      <c r="V790" s="109"/>
      <c r="W790" s="109"/>
      <c r="X790" s="109"/>
      <c r="Y790" s="109"/>
      <c r="Z790" s="109"/>
    </row>
    <row r="791" ht="39.75" customHeight="1">
      <c r="A791" s="109"/>
      <c r="B791" s="109"/>
      <c r="C791" s="109"/>
      <c r="D791" s="109"/>
      <c r="E791" s="109"/>
      <c r="F791" s="109"/>
      <c r="G791" s="109"/>
      <c r="H791" s="109"/>
      <c r="I791" s="109"/>
      <c r="J791" s="109"/>
      <c r="K791" s="317"/>
      <c r="L791" s="109"/>
      <c r="M791" s="109"/>
      <c r="N791" s="109"/>
      <c r="O791" s="109"/>
      <c r="P791" s="109"/>
      <c r="Q791" s="109"/>
      <c r="R791" s="109"/>
      <c r="S791" s="109"/>
      <c r="T791" s="109"/>
      <c r="U791" s="109"/>
      <c r="V791" s="109"/>
      <c r="W791" s="109"/>
      <c r="X791" s="109"/>
      <c r="Y791" s="109"/>
      <c r="Z791" s="109"/>
    </row>
    <row r="792" ht="39.75" customHeight="1">
      <c r="A792" s="109"/>
      <c r="B792" s="109"/>
      <c r="C792" s="109"/>
      <c r="D792" s="109"/>
      <c r="E792" s="109"/>
      <c r="F792" s="109"/>
      <c r="G792" s="109"/>
      <c r="H792" s="109"/>
      <c r="I792" s="109"/>
      <c r="J792" s="109"/>
      <c r="K792" s="317"/>
      <c r="L792" s="109"/>
      <c r="M792" s="109"/>
      <c r="N792" s="109"/>
      <c r="O792" s="109"/>
      <c r="P792" s="109"/>
      <c r="Q792" s="109"/>
      <c r="R792" s="109"/>
      <c r="S792" s="109"/>
      <c r="T792" s="109"/>
      <c r="U792" s="109"/>
      <c r="V792" s="109"/>
      <c r="W792" s="109"/>
      <c r="X792" s="109"/>
      <c r="Y792" s="109"/>
      <c r="Z792" s="109"/>
    </row>
    <row r="793" ht="39.75" customHeight="1">
      <c r="A793" s="109"/>
      <c r="B793" s="109"/>
      <c r="C793" s="109"/>
      <c r="D793" s="109"/>
      <c r="E793" s="109"/>
      <c r="F793" s="109"/>
      <c r="G793" s="109"/>
      <c r="H793" s="109"/>
      <c r="I793" s="109"/>
      <c r="J793" s="109"/>
      <c r="K793" s="317"/>
      <c r="L793" s="109"/>
      <c r="M793" s="109"/>
      <c r="N793" s="109"/>
      <c r="O793" s="109"/>
      <c r="P793" s="109"/>
      <c r="Q793" s="109"/>
      <c r="R793" s="109"/>
      <c r="S793" s="109"/>
      <c r="T793" s="109"/>
      <c r="U793" s="109"/>
      <c r="V793" s="109"/>
      <c r="W793" s="109"/>
      <c r="X793" s="109"/>
      <c r="Y793" s="109"/>
      <c r="Z793" s="109"/>
    </row>
    <row r="794" ht="39.75" customHeight="1">
      <c r="A794" s="109"/>
      <c r="B794" s="109"/>
      <c r="C794" s="109"/>
      <c r="D794" s="109"/>
      <c r="E794" s="109"/>
      <c r="F794" s="109"/>
      <c r="G794" s="109"/>
      <c r="H794" s="109"/>
      <c r="I794" s="109"/>
      <c r="J794" s="109"/>
      <c r="K794" s="317"/>
      <c r="L794" s="109"/>
      <c r="M794" s="109"/>
      <c r="N794" s="109"/>
      <c r="O794" s="109"/>
      <c r="P794" s="109"/>
      <c r="Q794" s="109"/>
      <c r="R794" s="109"/>
      <c r="S794" s="109"/>
      <c r="T794" s="109"/>
      <c r="U794" s="109"/>
      <c r="V794" s="109"/>
      <c r="W794" s="109"/>
      <c r="X794" s="109"/>
      <c r="Y794" s="109"/>
      <c r="Z794" s="109"/>
    </row>
    <row r="795" ht="39.75" customHeight="1">
      <c r="A795" s="109"/>
      <c r="B795" s="109"/>
      <c r="C795" s="109"/>
      <c r="D795" s="109"/>
      <c r="E795" s="109"/>
      <c r="F795" s="109"/>
      <c r="G795" s="109"/>
      <c r="H795" s="109"/>
      <c r="I795" s="109"/>
      <c r="J795" s="109"/>
      <c r="K795" s="317"/>
      <c r="L795" s="109"/>
      <c r="M795" s="109"/>
      <c r="N795" s="109"/>
      <c r="O795" s="109"/>
      <c r="P795" s="109"/>
      <c r="Q795" s="109"/>
      <c r="R795" s="109"/>
      <c r="S795" s="109"/>
      <c r="T795" s="109"/>
      <c r="U795" s="109"/>
      <c r="V795" s="109"/>
      <c r="W795" s="109"/>
      <c r="X795" s="109"/>
      <c r="Y795" s="109"/>
      <c r="Z795" s="109"/>
    </row>
    <row r="796" ht="39.75" customHeight="1">
      <c r="A796" s="109"/>
      <c r="B796" s="109"/>
      <c r="C796" s="109"/>
      <c r="D796" s="109"/>
      <c r="E796" s="109"/>
      <c r="F796" s="109"/>
      <c r="G796" s="109"/>
      <c r="H796" s="109"/>
      <c r="I796" s="109"/>
      <c r="J796" s="109"/>
      <c r="K796" s="317"/>
      <c r="L796" s="109"/>
      <c r="M796" s="109"/>
      <c r="N796" s="109"/>
      <c r="O796" s="109"/>
      <c r="P796" s="109"/>
      <c r="Q796" s="109"/>
      <c r="R796" s="109"/>
      <c r="S796" s="109"/>
      <c r="T796" s="109"/>
      <c r="U796" s="109"/>
      <c r="V796" s="109"/>
      <c r="W796" s="109"/>
      <c r="X796" s="109"/>
      <c r="Y796" s="109"/>
      <c r="Z796" s="109"/>
    </row>
    <row r="797" ht="39.75" customHeight="1">
      <c r="A797" s="109"/>
      <c r="B797" s="109"/>
      <c r="C797" s="109"/>
      <c r="D797" s="109"/>
      <c r="E797" s="109"/>
      <c r="F797" s="109"/>
      <c r="G797" s="109"/>
      <c r="H797" s="109"/>
      <c r="I797" s="109"/>
      <c r="J797" s="109"/>
      <c r="K797" s="317"/>
      <c r="L797" s="109"/>
      <c r="M797" s="109"/>
      <c r="N797" s="109"/>
      <c r="O797" s="109"/>
      <c r="P797" s="109"/>
      <c r="Q797" s="109"/>
      <c r="R797" s="109"/>
      <c r="S797" s="109"/>
      <c r="T797" s="109"/>
      <c r="U797" s="109"/>
      <c r="V797" s="109"/>
      <c r="W797" s="109"/>
      <c r="X797" s="109"/>
      <c r="Y797" s="109"/>
      <c r="Z797" s="109"/>
    </row>
    <row r="798" ht="39.75" customHeight="1">
      <c r="A798" s="109"/>
      <c r="B798" s="109"/>
      <c r="C798" s="109"/>
      <c r="D798" s="109"/>
      <c r="E798" s="109"/>
      <c r="F798" s="109"/>
      <c r="G798" s="109"/>
      <c r="H798" s="109"/>
      <c r="I798" s="109"/>
      <c r="J798" s="109"/>
      <c r="K798" s="317"/>
      <c r="L798" s="109"/>
      <c r="M798" s="109"/>
      <c r="N798" s="109"/>
      <c r="O798" s="109"/>
      <c r="P798" s="109"/>
      <c r="Q798" s="109"/>
      <c r="R798" s="109"/>
      <c r="S798" s="109"/>
      <c r="T798" s="109"/>
      <c r="U798" s="109"/>
      <c r="V798" s="109"/>
      <c r="W798" s="109"/>
      <c r="X798" s="109"/>
      <c r="Y798" s="109"/>
      <c r="Z798" s="109"/>
    </row>
    <row r="799" ht="39.75" customHeight="1">
      <c r="A799" s="109"/>
      <c r="B799" s="109"/>
      <c r="C799" s="109"/>
      <c r="D799" s="109"/>
      <c r="E799" s="109"/>
      <c r="F799" s="109"/>
      <c r="G799" s="109"/>
      <c r="H799" s="109"/>
      <c r="I799" s="109"/>
      <c r="J799" s="109"/>
      <c r="K799" s="317"/>
      <c r="L799" s="109"/>
      <c r="M799" s="109"/>
      <c r="N799" s="109"/>
      <c r="O799" s="109"/>
      <c r="P799" s="109"/>
      <c r="Q799" s="109"/>
      <c r="R799" s="109"/>
      <c r="S799" s="109"/>
      <c r="T799" s="109"/>
      <c r="U799" s="109"/>
      <c r="V799" s="109"/>
      <c r="W799" s="109"/>
      <c r="X799" s="109"/>
      <c r="Y799" s="109"/>
      <c r="Z799" s="109"/>
    </row>
    <row r="800" ht="39.75" customHeight="1">
      <c r="A800" s="109"/>
      <c r="B800" s="109"/>
      <c r="C800" s="109"/>
      <c r="D800" s="109"/>
      <c r="E800" s="109"/>
      <c r="F800" s="109"/>
      <c r="G800" s="109"/>
      <c r="H800" s="109"/>
      <c r="I800" s="109"/>
      <c r="J800" s="109"/>
      <c r="K800" s="317"/>
      <c r="L800" s="109"/>
      <c r="M800" s="109"/>
      <c r="N800" s="109"/>
      <c r="O800" s="109"/>
      <c r="P800" s="109"/>
      <c r="Q800" s="109"/>
      <c r="R800" s="109"/>
      <c r="S800" s="109"/>
      <c r="T800" s="109"/>
      <c r="U800" s="109"/>
      <c r="V800" s="109"/>
      <c r="W800" s="109"/>
      <c r="X800" s="109"/>
      <c r="Y800" s="109"/>
      <c r="Z800" s="109"/>
    </row>
    <row r="801" ht="39.75" customHeight="1">
      <c r="A801" s="109"/>
      <c r="B801" s="109"/>
      <c r="C801" s="109"/>
      <c r="D801" s="109"/>
      <c r="E801" s="109"/>
      <c r="F801" s="109"/>
      <c r="G801" s="109"/>
      <c r="H801" s="109"/>
      <c r="I801" s="109"/>
      <c r="J801" s="109"/>
      <c r="K801" s="317"/>
      <c r="L801" s="109"/>
      <c r="M801" s="109"/>
      <c r="N801" s="109"/>
      <c r="O801" s="109"/>
      <c r="P801" s="109"/>
      <c r="Q801" s="109"/>
      <c r="R801" s="109"/>
      <c r="S801" s="109"/>
      <c r="T801" s="109"/>
      <c r="U801" s="109"/>
      <c r="V801" s="109"/>
      <c r="W801" s="109"/>
      <c r="X801" s="109"/>
      <c r="Y801" s="109"/>
      <c r="Z801" s="109"/>
    </row>
    <row r="802" ht="39.75" customHeight="1">
      <c r="A802" s="109"/>
      <c r="B802" s="109"/>
      <c r="C802" s="109"/>
      <c r="D802" s="109"/>
      <c r="E802" s="109"/>
      <c r="F802" s="109"/>
      <c r="G802" s="109"/>
      <c r="H802" s="109"/>
      <c r="I802" s="109"/>
      <c r="J802" s="109"/>
      <c r="K802" s="317"/>
      <c r="L802" s="109"/>
      <c r="M802" s="109"/>
      <c r="N802" s="109"/>
      <c r="O802" s="109"/>
      <c r="P802" s="109"/>
      <c r="Q802" s="109"/>
      <c r="R802" s="109"/>
      <c r="S802" s="109"/>
      <c r="T802" s="109"/>
      <c r="U802" s="109"/>
      <c r="V802" s="109"/>
      <c r="W802" s="109"/>
      <c r="X802" s="109"/>
      <c r="Y802" s="109"/>
      <c r="Z802" s="109"/>
    </row>
    <row r="803" ht="39.75" customHeight="1">
      <c r="A803" s="109"/>
      <c r="B803" s="109"/>
      <c r="C803" s="109"/>
      <c r="D803" s="109"/>
      <c r="E803" s="109"/>
      <c r="F803" s="109"/>
      <c r="G803" s="109"/>
      <c r="H803" s="109"/>
      <c r="I803" s="109"/>
      <c r="J803" s="109"/>
      <c r="K803" s="317"/>
      <c r="L803" s="109"/>
      <c r="M803" s="109"/>
      <c r="N803" s="109"/>
      <c r="O803" s="109"/>
      <c r="P803" s="109"/>
      <c r="Q803" s="109"/>
      <c r="R803" s="109"/>
      <c r="S803" s="109"/>
      <c r="T803" s="109"/>
      <c r="U803" s="109"/>
      <c r="V803" s="109"/>
      <c r="W803" s="109"/>
      <c r="X803" s="109"/>
      <c r="Y803" s="109"/>
      <c r="Z803" s="109"/>
    </row>
    <row r="804" ht="39.75" customHeight="1">
      <c r="A804" s="109"/>
      <c r="B804" s="109"/>
      <c r="C804" s="109"/>
      <c r="D804" s="109"/>
      <c r="E804" s="109"/>
      <c r="F804" s="109"/>
      <c r="G804" s="109"/>
      <c r="H804" s="109"/>
      <c r="I804" s="109"/>
      <c r="J804" s="109"/>
      <c r="K804" s="317"/>
      <c r="L804" s="109"/>
      <c r="M804" s="109"/>
      <c r="N804" s="109"/>
      <c r="O804" s="109"/>
      <c r="P804" s="109"/>
      <c r="Q804" s="109"/>
      <c r="R804" s="109"/>
      <c r="S804" s="109"/>
      <c r="T804" s="109"/>
      <c r="U804" s="109"/>
      <c r="V804" s="109"/>
      <c r="W804" s="109"/>
      <c r="X804" s="109"/>
      <c r="Y804" s="109"/>
      <c r="Z804" s="109"/>
    </row>
    <row r="805" ht="39.75" customHeight="1">
      <c r="A805" s="109"/>
      <c r="B805" s="109"/>
      <c r="C805" s="109"/>
      <c r="D805" s="109"/>
      <c r="E805" s="109"/>
      <c r="F805" s="109"/>
      <c r="G805" s="109"/>
      <c r="H805" s="109"/>
      <c r="I805" s="109"/>
      <c r="J805" s="109"/>
      <c r="K805" s="317"/>
      <c r="L805" s="109"/>
      <c r="M805" s="109"/>
      <c r="N805" s="109"/>
      <c r="O805" s="109"/>
      <c r="P805" s="109"/>
      <c r="Q805" s="109"/>
      <c r="R805" s="109"/>
      <c r="S805" s="109"/>
      <c r="T805" s="109"/>
      <c r="U805" s="109"/>
      <c r="V805" s="109"/>
      <c r="W805" s="109"/>
      <c r="X805" s="109"/>
      <c r="Y805" s="109"/>
      <c r="Z805" s="109"/>
    </row>
    <row r="806" ht="39.75" customHeight="1">
      <c r="A806" s="109"/>
      <c r="B806" s="109"/>
      <c r="C806" s="109"/>
      <c r="D806" s="109"/>
      <c r="E806" s="109"/>
      <c r="F806" s="109"/>
      <c r="G806" s="109"/>
      <c r="H806" s="109"/>
      <c r="I806" s="109"/>
      <c r="J806" s="109"/>
      <c r="K806" s="317"/>
      <c r="L806" s="109"/>
      <c r="M806" s="109"/>
      <c r="N806" s="109"/>
      <c r="O806" s="109"/>
      <c r="P806" s="109"/>
      <c r="Q806" s="109"/>
      <c r="R806" s="109"/>
      <c r="S806" s="109"/>
      <c r="T806" s="109"/>
      <c r="U806" s="109"/>
      <c r="V806" s="109"/>
      <c r="W806" s="109"/>
      <c r="X806" s="109"/>
      <c r="Y806" s="109"/>
      <c r="Z806" s="109"/>
    </row>
    <row r="807" ht="39.75" customHeight="1">
      <c r="A807" s="109"/>
      <c r="B807" s="109"/>
      <c r="C807" s="109"/>
      <c r="D807" s="109"/>
      <c r="E807" s="109"/>
      <c r="F807" s="109"/>
      <c r="G807" s="109"/>
      <c r="H807" s="109"/>
      <c r="I807" s="109"/>
      <c r="J807" s="109"/>
      <c r="K807" s="317"/>
      <c r="L807" s="109"/>
      <c r="M807" s="109"/>
      <c r="N807" s="109"/>
      <c r="O807" s="109"/>
      <c r="P807" s="109"/>
      <c r="Q807" s="109"/>
      <c r="R807" s="109"/>
      <c r="S807" s="109"/>
      <c r="T807" s="109"/>
      <c r="U807" s="109"/>
      <c r="V807" s="109"/>
      <c r="W807" s="109"/>
      <c r="X807" s="109"/>
      <c r="Y807" s="109"/>
      <c r="Z807" s="109"/>
    </row>
    <row r="808" ht="39.75" customHeight="1">
      <c r="A808" s="109"/>
      <c r="B808" s="109"/>
      <c r="C808" s="109"/>
      <c r="D808" s="109"/>
      <c r="E808" s="109"/>
      <c r="F808" s="109"/>
      <c r="G808" s="109"/>
      <c r="H808" s="109"/>
      <c r="I808" s="109"/>
      <c r="J808" s="109"/>
      <c r="K808" s="317"/>
      <c r="L808" s="109"/>
      <c r="M808" s="109"/>
      <c r="N808" s="109"/>
      <c r="O808" s="109"/>
      <c r="P808" s="109"/>
      <c r="Q808" s="109"/>
      <c r="R808" s="109"/>
      <c r="S808" s="109"/>
      <c r="T808" s="109"/>
      <c r="U808" s="109"/>
      <c r="V808" s="109"/>
      <c r="W808" s="109"/>
      <c r="X808" s="109"/>
      <c r="Y808" s="109"/>
      <c r="Z808" s="109"/>
    </row>
    <row r="809" ht="39.75" customHeight="1">
      <c r="A809" s="109"/>
      <c r="B809" s="109"/>
      <c r="C809" s="109"/>
      <c r="D809" s="109"/>
      <c r="E809" s="109"/>
      <c r="F809" s="109"/>
      <c r="G809" s="109"/>
      <c r="H809" s="109"/>
      <c r="I809" s="109"/>
      <c r="J809" s="109"/>
      <c r="K809" s="317"/>
      <c r="L809" s="109"/>
      <c r="M809" s="109"/>
      <c r="N809" s="109"/>
      <c r="O809" s="109"/>
      <c r="P809" s="109"/>
      <c r="Q809" s="109"/>
      <c r="R809" s="109"/>
      <c r="S809" s="109"/>
      <c r="T809" s="109"/>
      <c r="U809" s="109"/>
      <c r="V809" s="109"/>
      <c r="W809" s="109"/>
      <c r="X809" s="109"/>
      <c r="Y809" s="109"/>
      <c r="Z809" s="109"/>
    </row>
    <row r="810" ht="39.75" customHeight="1">
      <c r="A810" s="109"/>
      <c r="B810" s="109"/>
      <c r="C810" s="109"/>
      <c r="D810" s="109"/>
      <c r="E810" s="109"/>
      <c r="F810" s="109"/>
      <c r="G810" s="109"/>
      <c r="H810" s="109"/>
      <c r="I810" s="109"/>
      <c r="J810" s="109"/>
      <c r="K810" s="317"/>
      <c r="L810" s="109"/>
      <c r="M810" s="109"/>
      <c r="N810" s="109"/>
      <c r="O810" s="109"/>
      <c r="P810" s="109"/>
      <c r="Q810" s="109"/>
      <c r="R810" s="109"/>
      <c r="S810" s="109"/>
      <c r="T810" s="109"/>
      <c r="U810" s="109"/>
      <c r="V810" s="109"/>
      <c r="W810" s="109"/>
      <c r="X810" s="109"/>
      <c r="Y810" s="109"/>
      <c r="Z810" s="109"/>
    </row>
    <row r="811" ht="39.75" customHeight="1">
      <c r="A811" s="109"/>
      <c r="B811" s="109"/>
      <c r="C811" s="109"/>
      <c r="D811" s="109"/>
      <c r="E811" s="109"/>
      <c r="F811" s="109"/>
      <c r="G811" s="109"/>
      <c r="H811" s="109"/>
      <c r="I811" s="109"/>
      <c r="J811" s="109"/>
      <c r="K811" s="317"/>
      <c r="L811" s="109"/>
      <c r="M811" s="109"/>
      <c r="N811" s="109"/>
      <c r="O811" s="109"/>
      <c r="P811" s="109"/>
      <c r="Q811" s="109"/>
      <c r="R811" s="109"/>
      <c r="S811" s="109"/>
      <c r="T811" s="109"/>
      <c r="U811" s="109"/>
      <c r="V811" s="109"/>
      <c r="W811" s="109"/>
      <c r="X811" s="109"/>
      <c r="Y811" s="109"/>
      <c r="Z811" s="109"/>
    </row>
    <row r="812" ht="39.75" customHeight="1">
      <c r="A812" s="109"/>
      <c r="B812" s="109"/>
      <c r="C812" s="109"/>
      <c r="D812" s="109"/>
      <c r="E812" s="109"/>
      <c r="F812" s="109"/>
      <c r="G812" s="109"/>
      <c r="H812" s="109"/>
      <c r="I812" s="109"/>
      <c r="J812" s="109"/>
      <c r="K812" s="317"/>
      <c r="L812" s="109"/>
      <c r="M812" s="109"/>
      <c r="N812" s="109"/>
      <c r="O812" s="109"/>
      <c r="P812" s="109"/>
      <c r="Q812" s="109"/>
      <c r="R812" s="109"/>
      <c r="S812" s="109"/>
      <c r="T812" s="109"/>
      <c r="U812" s="109"/>
      <c r="V812" s="109"/>
      <c r="W812" s="109"/>
      <c r="X812" s="109"/>
      <c r="Y812" s="109"/>
      <c r="Z812" s="109"/>
    </row>
    <row r="813" ht="39.75" customHeight="1">
      <c r="A813" s="109"/>
      <c r="B813" s="109"/>
      <c r="C813" s="109"/>
      <c r="D813" s="109"/>
      <c r="E813" s="109"/>
      <c r="F813" s="109"/>
      <c r="G813" s="109"/>
      <c r="H813" s="109"/>
      <c r="I813" s="109"/>
      <c r="J813" s="109"/>
      <c r="K813" s="317"/>
      <c r="L813" s="109"/>
      <c r="M813" s="109"/>
      <c r="N813" s="109"/>
      <c r="O813" s="109"/>
      <c r="P813" s="109"/>
      <c r="Q813" s="109"/>
      <c r="R813" s="109"/>
      <c r="S813" s="109"/>
      <c r="T813" s="109"/>
      <c r="U813" s="109"/>
      <c r="V813" s="109"/>
      <c r="W813" s="109"/>
      <c r="X813" s="109"/>
      <c r="Y813" s="109"/>
      <c r="Z813" s="109"/>
    </row>
    <row r="814" ht="39.75" customHeight="1">
      <c r="A814" s="109"/>
      <c r="B814" s="109"/>
      <c r="C814" s="109"/>
      <c r="D814" s="109"/>
      <c r="E814" s="109"/>
      <c r="F814" s="109"/>
      <c r="G814" s="109"/>
      <c r="H814" s="109"/>
      <c r="I814" s="109"/>
      <c r="J814" s="109"/>
      <c r="K814" s="317"/>
      <c r="L814" s="109"/>
      <c r="M814" s="109"/>
      <c r="N814" s="109"/>
      <c r="O814" s="109"/>
      <c r="P814" s="109"/>
      <c r="Q814" s="109"/>
      <c r="R814" s="109"/>
      <c r="S814" s="109"/>
      <c r="T814" s="109"/>
      <c r="U814" s="109"/>
      <c r="V814" s="109"/>
      <c r="W814" s="109"/>
      <c r="X814" s="109"/>
      <c r="Y814" s="109"/>
      <c r="Z814" s="109"/>
    </row>
    <row r="815" ht="39.75" customHeight="1">
      <c r="A815" s="109"/>
      <c r="B815" s="109"/>
      <c r="C815" s="109"/>
      <c r="D815" s="109"/>
      <c r="E815" s="109"/>
      <c r="F815" s="109"/>
      <c r="G815" s="109"/>
      <c r="H815" s="109"/>
      <c r="I815" s="109"/>
      <c r="J815" s="109"/>
      <c r="K815" s="317"/>
      <c r="L815" s="109"/>
      <c r="M815" s="109"/>
      <c r="N815" s="109"/>
      <c r="O815" s="109"/>
      <c r="P815" s="109"/>
      <c r="Q815" s="109"/>
      <c r="R815" s="109"/>
      <c r="S815" s="109"/>
      <c r="T815" s="109"/>
      <c r="U815" s="109"/>
      <c r="V815" s="109"/>
      <c r="W815" s="109"/>
      <c r="X815" s="109"/>
      <c r="Y815" s="109"/>
      <c r="Z815" s="109"/>
    </row>
    <row r="816" ht="39.75" customHeight="1">
      <c r="A816" s="109"/>
      <c r="B816" s="109"/>
      <c r="C816" s="109"/>
      <c r="D816" s="109"/>
      <c r="E816" s="109"/>
      <c r="F816" s="109"/>
      <c r="G816" s="109"/>
      <c r="H816" s="109"/>
      <c r="I816" s="109"/>
      <c r="J816" s="109"/>
      <c r="K816" s="317"/>
      <c r="L816" s="109"/>
      <c r="M816" s="109"/>
      <c r="N816" s="109"/>
      <c r="O816" s="109"/>
      <c r="P816" s="109"/>
      <c r="Q816" s="109"/>
      <c r="R816" s="109"/>
      <c r="S816" s="109"/>
      <c r="T816" s="109"/>
      <c r="U816" s="109"/>
      <c r="V816" s="109"/>
      <c r="W816" s="109"/>
      <c r="X816" s="109"/>
      <c r="Y816" s="109"/>
      <c r="Z816" s="109"/>
    </row>
    <row r="817" ht="39.75" customHeight="1">
      <c r="A817" s="109"/>
      <c r="B817" s="109"/>
      <c r="C817" s="109"/>
      <c r="D817" s="109"/>
      <c r="E817" s="109"/>
      <c r="F817" s="109"/>
      <c r="G817" s="109"/>
      <c r="H817" s="109"/>
      <c r="I817" s="109"/>
      <c r="J817" s="109"/>
      <c r="K817" s="317"/>
      <c r="L817" s="109"/>
      <c r="M817" s="109"/>
      <c r="N817" s="109"/>
      <c r="O817" s="109"/>
      <c r="P817" s="109"/>
      <c r="Q817" s="109"/>
      <c r="R817" s="109"/>
      <c r="S817" s="109"/>
      <c r="T817" s="109"/>
      <c r="U817" s="109"/>
      <c r="V817" s="109"/>
      <c r="W817" s="109"/>
      <c r="X817" s="109"/>
      <c r="Y817" s="109"/>
      <c r="Z817" s="109"/>
    </row>
    <row r="818" ht="39.75" customHeight="1">
      <c r="A818" s="109"/>
      <c r="B818" s="109"/>
      <c r="C818" s="109"/>
      <c r="D818" s="109"/>
      <c r="E818" s="109"/>
      <c r="F818" s="109"/>
      <c r="G818" s="109"/>
      <c r="H818" s="109"/>
      <c r="I818" s="109"/>
      <c r="J818" s="109"/>
      <c r="K818" s="317"/>
      <c r="L818" s="109"/>
      <c r="M818" s="109"/>
      <c r="N818" s="109"/>
      <c r="O818" s="109"/>
      <c r="P818" s="109"/>
      <c r="Q818" s="109"/>
      <c r="R818" s="109"/>
      <c r="S818" s="109"/>
      <c r="T818" s="109"/>
      <c r="U818" s="109"/>
      <c r="V818" s="109"/>
      <c r="W818" s="109"/>
      <c r="X818" s="109"/>
      <c r="Y818" s="109"/>
      <c r="Z818" s="109"/>
    </row>
    <row r="819" ht="39.75" customHeight="1">
      <c r="A819" s="109"/>
      <c r="B819" s="109"/>
      <c r="C819" s="109"/>
      <c r="D819" s="109"/>
      <c r="E819" s="109"/>
      <c r="F819" s="109"/>
      <c r="G819" s="109"/>
      <c r="H819" s="109"/>
      <c r="I819" s="109"/>
      <c r="J819" s="109"/>
      <c r="K819" s="317"/>
      <c r="L819" s="109"/>
      <c r="M819" s="109"/>
      <c r="N819" s="109"/>
      <c r="O819" s="109"/>
      <c r="P819" s="109"/>
      <c r="Q819" s="109"/>
      <c r="R819" s="109"/>
      <c r="S819" s="109"/>
      <c r="T819" s="109"/>
      <c r="U819" s="109"/>
      <c r="V819" s="109"/>
      <c r="W819" s="109"/>
      <c r="X819" s="109"/>
      <c r="Y819" s="109"/>
      <c r="Z819" s="109"/>
    </row>
    <row r="820" ht="39.75" customHeight="1">
      <c r="A820" s="109"/>
      <c r="B820" s="109"/>
      <c r="C820" s="109"/>
      <c r="D820" s="109"/>
      <c r="E820" s="109"/>
      <c r="F820" s="109"/>
      <c r="G820" s="109"/>
      <c r="H820" s="109"/>
      <c r="I820" s="109"/>
      <c r="J820" s="109"/>
      <c r="K820" s="317"/>
      <c r="L820" s="109"/>
      <c r="M820" s="109"/>
      <c r="N820" s="109"/>
      <c r="O820" s="109"/>
      <c r="P820" s="109"/>
      <c r="Q820" s="109"/>
      <c r="R820" s="109"/>
      <c r="S820" s="109"/>
      <c r="T820" s="109"/>
      <c r="U820" s="109"/>
      <c r="V820" s="109"/>
      <c r="W820" s="109"/>
      <c r="X820" s="109"/>
      <c r="Y820" s="109"/>
      <c r="Z820" s="109"/>
    </row>
    <row r="821" ht="39.75" customHeight="1">
      <c r="A821" s="109"/>
      <c r="B821" s="109"/>
      <c r="C821" s="109"/>
      <c r="D821" s="109"/>
      <c r="E821" s="109"/>
      <c r="F821" s="109"/>
      <c r="G821" s="109"/>
      <c r="H821" s="109"/>
      <c r="I821" s="109"/>
      <c r="J821" s="109"/>
      <c r="K821" s="317"/>
      <c r="L821" s="109"/>
      <c r="M821" s="109"/>
      <c r="N821" s="109"/>
      <c r="O821" s="109"/>
      <c r="P821" s="109"/>
      <c r="Q821" s="109"/>
      <c r="R821" s="109"/>
      <c r="S821" s="109"/>
      <c r="T821" s="109"/>
      <c r="U821" s="109"/>
      <c r="V821" s="109"/>
      <c r="W821" s="109"/>
      <c r="X821" s="109"/>
      <c r="Y821" s="109"/>
      <c r="Z821" s="109"/>
    </row>
    <row r="822" ht="39.75" customHeight="1">
      <c r="A822" s="109"/>
      <c r="B822" s="109"/>
      <c r="C822" s="109"/>
      <c r="D822" s="109"/>
      <c r="E822" s="109"/>
      <c r="F822" s="109"/>
      <c r="G822" s="109"/>
      <c r="H822" s="109"/>
      <c r="I822" s="109"/>
      <c r="J822" s="109"/>
      <c r="K822" s="317"/>
      <c r="L822" s="109"/>
      <c r="M822" s="109"/>
      <c r="N822" s="109"/>
      <c r="O822" s="109"/>
      <c r="P822" s="109"/>
      <c r="Q822" s="109"/>
      <c r="R822" s="109"/>
      <c r="S822" s="109"/>
      <c r="T822" s="109"/>
      <c r="U822" s="109"/>
      <c r="V822" s="109"/>
      <c r="W822" s="109"/>
      <c r="X822" s="109"/>
      <c r="Y822" s="109"/>
      <c r="Z822" s="109"/>
    </row>
    <row r="823" ht="39.75" customHeight="1">
      <c r="A823" s="109"/>
      <c r="B823" s="109"/>
      <c r="C823" s="109"/>
      <c r="D823" s="109"/>
      <c r="E823" s="109"/>
      <c r="F823" s="109"/>
      <c r="G823" s="109"/>
      <c r="H823" s="109"/>
      <c r="I823" s="109"/>
      <c r="J823" s="109"/>
      <c r="K823" s="317"/>
      <c r="L823" s="109"/>
      <c r="M823" s="109"/>
      <c r="N823" s="109"/>
      <c r="O823" s="109"/>
      <c r="P823" s="109"/>
      <c r="Q823" s="109"/>
      <c r="R823" s="109"/>
      <c r="S823" s="109"/>
      <c r="T823" s="109"/>
      <c r="U823" s="109"/>
      <c r="V823" s="109"/>
      <c r="W823" s="109"/>
      <c r="X823" s="109"/>
      <c r="Y823" s="109"/>
      <c r="Z823" s="109"/>
    </row>
    <row r="824" ht="39.75" customHeight="1">
      <c r="A824" s="109"/>
      <c r="B824" s="109"/>
      <c r="C824" s="109"/>
      <c r="D824" s="109"/>
      <c r="E824" s="109"/>
      <c r="F824" s="109"/>
      <c r="G824" s="109"/>
      <c r="H824" s="109"/>
      <c r="I824" s="109"/>
      <c r="J824" s="109"/>
      <c r="K824" s="317"/>
      <c r="L824" s="109"/>
      <c r="M824" s="109"/>
      <c r="N824" s="109"/>
      <c r="O824" s="109"/>
      <c r="P824" s="109"/>
      <c r="Q824" s="109"/>
      <c r="R824" s="109"/>
      <c r="S824" s="109"/>
      <c r="T824" s="109"/>
      <c r="U824" s="109"/>
      <c r="V824" s="109"/>
      <c r="W824" s="109"/>
      <c r="X824" s="109"/>
      <c r="Y824" s="109"/>
      <c r="Z824" s="109"/>
    </row>
    <row r="825" ht="39.75" customHeight="1">
      <c r="A825" s="109"/>
      <c r="B825" s="109"/>
      <c r="C825" s="109"/>
      <c r="D825" s="109"/>
      <c r="E825" s="109"/>
      <c r="F825" s="109"/>
      <c r="G825" s="109"/>
      <c r="H825" s="109"/>
      <c r="I825" s="109"/>
      <c r="J825" s="109"/>
      <c r="K825" s="317"/>
      <c r="L825" s="109"/>
      <c r="M825" s="109"/>
      <c r="N825" s="109"/>
      <c r="O825" s="109"/>
      <c r="P825" s="109"/>
      <c r="Q825" s="109"/>
      <c r="R825" s="109"/>
      <c r="S825" s="109"/>
      <c r="T825" s="109"/>
      <c r="U825" s="109"/>
      <c r="V825" s="109"/>
      <c r="W825" s="109"/>
      <c r="X825" s="109"/>
      <c r="Y825" s="109"/>
      <c r="Z825" s="109"/>
    </row>
    <row r="826" ht="39.75" customHeight="1">
      <c r="A826" s="109"/>
      <c r="B826" s="109"/>
      <c r="C826" s="109"/>
      <c r="D826" s="109"/>
      <c r="E826" s="109"/>
      <c r="F826" s="109"/>
      <c r="G826" s="109"/>
      <c r="H826" s="109"/>
      <c r="I826" s="109"/>
      <c r="J826" s="109"/>
      <c r="K826" s="317"/>
      <c r="L826" s="109"/>
      <c r="M826" s="109"/>
      <c r="N826" s="109"/>
      <c r="O826" s="109"/>
      <c r="P826" s="109"/>
      <c r="Q826" s="109"/>
      <c r="R826" s="109"/>
      <c r="S826" s="109"/>
      <c r="T826" s="109"/>
      <c r="U826" s="109"/>
      <c r="V826" s="109"/>
      <c r="W826" s="109"/>
      <c r="X826" s="109"/>
      <c r="Y826" s="109"/>
      <c r="Z826" s="109"/>
    </row>
    <row r="827" ht="39.75" customHeight="1">
      <c r="A827" s="109"/>
      <c r="B827" s="109"/>
      <c r="C827" s="109"/>
      <c r="D827" s="109"/>
      <c r="E827" s="109"/>
      <c r="F827" s="109"/>
      <c r="G827" s="109"/>
      <c r="H827" s="109"/>
      <c r="I827" s="109"/>
      <c r="J827" s="109"/>
      <c r="K827" s="317"/>
      <c r="L827" s="109"/>
      <c r="M827" s="109"/>
      <c r="N827" s="109"/>
      <c r="O827" s="109"/>
      <c r="P827" s="109"/>
      <c r="Q827" s="109"/>
      <c r="R827" s="109"/>
      <c r="S827" s="109"/>
      <c r="T827" s="109"/>
      <c r="U827" s="109"/>
      <c r="V827" s="109"/>
      <c r="W827" s="109"/>
      <c r="X827" s="109"/>
      <c r="Y827" s="109"/>
      <c r="Z827" s="109"/>
    </row>
    <row r="828" ht="39.75" customHeight="1">
      <c r="A828" s="109"/>
      <c r="B828" s="109"/>
      <c r="C828" s="109"/>
      <c r="D828" s="109"/>
      <c r="E828" s="109"/>
      <c r="F828" s="109"/>
      <c r="G828" s="109"/>
      <c r="H828" s="109"/>
      <c r="I828" s="109"/>
      <c r="J828" s="109"/>
      <c r="K828" s="317"/>
      <c r="L828" s="109"/>
      <c r="M828" s="109"/>
      <c r="N828" s="109"/>
      <c r="O828" s="109"/>
      <c r="P828" s="109"/>
      <c r="Q828" s="109"/>
      <c r="R828" s="109"/>
      <c r="S828" s="109"/>
      <c r="T828" s="109"/>
      <c r="U828" s="109"/>
      <c r="V828" s="109"/>
      <c r="W828" s="109"/>
      <c r="X828" s="109"/>
      <c r="Y828" s="109"/>
      <c r="Z828" s="109"/>
    </row>
    <row r="829" ht="39.75" customHeight="1">
      <c r="A829" s="109"/>
      <c r="B829" s="109"/>
      <c r="C829" s="109"/>
      <c r="D829" s="109"/>
      <c r="E829" s="109"/>
      <c r="F829" s="109"/>
      <c r="G829" s="109"/>
      <c r="H829" s="109"/>
      <c r="I829" s="109"/>
      <c r="J829" s="109"/>
      <c r="K829" s="317"/>
      <c r="L829" s="109"/>
      <c r="M829" s="109"/>
      <c r="N829" s="109"/>
      <c r="O829" s="109"/>
      <c r="P829" s="109"/>
      <c r="Q829" s="109"/>
      <c r="R829" s="109"/>
      <c r="S829" s="109"/>
      <c r="T829" s="109"/>
      <c r="U829" s="109"/>
      <c r="V829" s="109"/>
      <c r="W829" s="109"/>
      <c r="X829" s="109"/>
      <c r="Y829" s="109"/>
      <c r="Z829" s="109"/>
    </row>
    <row r="830" ht="39.75" customHeight="1">
      <c r="A830" s="109"/>
      <c r="B830" s="109"/>
      <c r="C830" s="109"/>
      <c r="D830" s="109"/>
      <c r="E830" s="109"/>
      <c r="F830" s="109"/>
      <c r="G830" s="109"/>
      <c r="H830" s="109"/>
      <c r="I830" s="109"/>
      <c r="J830" s="109"/>
      <c r="K830" s="317"/>
      <c r="L830" s="109"/>
      <c r="M830" s="109"/>
      <c r="N830" s="109"/>
      <c r="O830" s="109"/>
      <c r="P830" s="109"/>
      <c r="Q830" s="109"/>
      <c r="R830" s="109"/>
      <c r="S830" s="109"/>
      <c r="T830" s="109"/>
      <c r="U830" s="109"/>
      <c r="V830" s="109"/>
      <c r="W830" s="109"/>
      <c r="X830" s="109"/>
      <c r="Y830" s="109"/>
      <c r="Z830" s="109"/>
    </row>
    <row r="831" ht="39.75" customHeight="1">
      <c r="A831" s="109"/>
      <c r="B831" s="109"/>
      <c r="C831" s="109"/>
      <c r="D831" s="109"/>
      <c r="E831" s="109"/>
      <c r="F831" s="109"/>
      <c r="G831" s="109"/>
      <c r="H831" s="109"/>
      <c r="I831" s="109"/>
      <c r="J831" s="109"/>
      <c r="K831" s="317"/>
      <c r="L831" s="109"/>
      <c r="M831" s="109"/>
      <c r="N831" s="109"/>
      <c r="O831" s="109"/>
      <c r="P831" s="109"/>
      <c r="Q831" s="109"/>
      <c r="R831" s="109"/>
      <c r="S831" s="109"/>
      <c r="T831" s="109"/>
      <c r="U831" s="109"/>
      <c r="V831" s="109"/>
      <c r="W831" s="109"/>
      <c r="X831" s="109"/>
      <c r="Y831" s="109"/>
      <c r="Z831" s="109"/>
    </row>
    <row r="832" ht="39.75" customHeight="1">
      <c r="A832" s="109"/>
      <c r="B832" s="109"/>
      <c r="C832" s="109"/>
      <c r="D832" s="109"/>
      <c r="E832" s="109"/>
      <c r="F832" s="109"/>
      <c r="G832" s="109"/>
      <c r="H832" s="109"/>
      <c r="I832" s="109"/>
      <c r="J832" s="109"/>
      <c r="K832" s="317"/>
      <c r="L832" s="109"/>
      <c r="M832" s="109"/>
      <c r="N832" s="109"/>
      <c r="O832" s="109"/>
      <c r="P832" s="109"/>
      <c r="Q832" s="109"/>
      <c r="R832" s="109"/>
      <c r="S832" s="109"/>
      <c r="T832" s="109"/>
      <c r="U832" s="109"/>
      <c r="V832" s="109"/>
      <c r="W832" s="109"/>
      <c r="X832" s="109"/>
      <c r="Y832" s="109"/>
      <c r="Z832" s="109"/>
    </row>
    <row r="833" ht="39.75" customHeight="1">
      <c r="A833" s="109"/>
      <c r="B833" s="109"/>
      <c r="C833" s="109"/>
      <c r="D833" s="109"/>
      <c r="E833" s="109"/>
      <c r="F833" s="109"/>
      <c r="G833" s="109"/>
      <c r="H833" s="109"/>
      <c r="I833" s="109"/>
      <c r="J833" s="109"/>
      <c r="K833" s="317"/>
      <c r="L833" s="109"/>
      <c r="M833" s="109"/>
      <c r="N833" s="109"/>
      <c r="O833" s="109"/>
      <c r="P833" s="109"/>
      <c r="Q833" s="109"/>
      <c r="R833" s="109"/>
      <c r="S833" s="109"/>
      <c r="T833" s="109"/>
      <c r="U833" s="109"/>
      <c r="V833" s="109"/>
      <c r="W833" s="109"/>
      <c r="X833" s="109"/>
      <c r="Y833" s="109"/>
      <c r="Z833" s="109"/>
    </row>
    <row r="834" ht="39.75" customHeight="1">
      <c r="A834" s="109"/>
      <c r="B834" s="109"/>
      <c r="C834" s="109"/>
      <c r="D834" s="109"/>
      <c r="E834" s="109"/>
      <c r="F834" s="109"/>
      <c r="G834" s="109"/>
      <c r="H834" s="109"/>
      <c r="I834" s="109"/>
      <c r="J834" s="109"/>
      <c r="K834" s="317"/>
      <c r="L834" s="109"/>
      <c r="M834" s="109"/>
      <c r="N834" s="109"/>
      <c r="O834" s="109"/>
      <c r="P834" s="109"/>
      <c r="Q834" s="109"/>
      <c r="R834" s="109"/>
      <c r="S834" s="109"/>
      <c r="T834" s="109"/>
      <c r="U834" s="109"/>
      <c r="V834" s="109"/>
      <c r="W834" s="109"/>
      <c r="X834" s="109"/>
      <c r="Y834" s="109"/>
      <c r="Z834" s="109"/>
    </row>
    <row r="835" ht="39.75" customHeight="1">
      <c r="A835" s="109"/>
      <c r="B835" s="109"/>
      <c r="C835" s="109"/>
      <c r="D835" s="109"/>
      <c r="E835" s="109"/>
      <c r="F835" s="109"/>
      <c r="G835" s="109"/>
      <c r="H835" s="109"/>
      <c r="I835" s="109"/>
      <c r="J835" s="109"/>
      <c r="K835" s="317"/>
      <c r="L835" s="109"/>
      <c r="M835" s="109"/>
      <c r="N835" s="109"/>
      <c r="O835" s="109"/>
      <c r="P835" s="109"/>
      <c r="Q835" s="109"/>
      <c r="R835" s="109"/>
      <c r="S835" s="109"/>
      <c r="T835" s="109"/>
      <c r="U835" s="109"/>
      <c r="V835" s="109"/>
      <c r="W835" s="109"/>
      <c r="X835" s="109"/>
      <c r="Y835" s="109"/>
      <c r="Z835" s="109"/>
    </row>
    <row r="836" ht="39.75" customHeight="1">
      <c r="A836" s="109"/>
      <c r="B836" s="109"/>
      <c r="C836" s="109"/>
      <c r="D836" s="109"/>
      <c r="E836" s="109"/>
      <c r="F836" s="109"/>
      <c r="G836" s="109"/>
      <c r="H836" s="109"/>
      <c r="I836" s="109"/>
      <c r="J836" s="109"/>
      <c r="K836" s="317"/>
      <c r="L836" s="109"/>
      <c r="M836" s="109"/>
      <c r="N836" s="109"/>
      <c r="O836" s="109"/>
      <c r="P836" s="109"/>
      <c r="Q836" s="109"/>
      <c r="R836" s="109"/>
      <c r="S836" s="109"/>
      <c r="T836" s="109"/>
      <c r="U836" s="109"/>
      <c r="V836" s="109"/>
      <c r="W836" s="109"/>
      <c r="X836" s="109"/>
      <c r="Y836" s="109"/>
      <c r="Z836" s="109"/>
    </row>
    <row r="837" ht="39.75" customHeight="1">
      <c r="A837" s="109"/>
      <c r="B837" s="109"/>
      <c r="C837" s="109"/>
      <c r="D837" s="109"/>
      <c r="E837" s="109"/>
      <c r="F837" s="109"/>
      <c r="G837" s="109"/>
      <c r="H837" s="109"/>
      <c r="I837" s="109"/>
      <c r="J837" s="109"/>
      <c r="K837" s="317"/>
      <c r="L837" s="109"/>
      <c r="M837" s="109"/>
      <c r="N837" s="109"/>
      <c r="O837" s="109"/>
      <c r="P837" s="109"/>
      <c r="Q837" s="109"/>
      <c r="R837" s="109"/>
      <c r="S837" s="109"/>
      <c r="T837" s="109"/>
      <c r="U837" s="109"/>
      <c r="V837" s="109"/>
      <c r="W837" s="109"/>
      <c r="X837" s="109"/>
      <c r="Y837" s="109"/>
      <c r="Z837" s="109"/>
    </row>
    <row r="838" ht="39.75" customHeight="1">
      <c r="A838" s="109"/>
      <c r="B838" s="109"/>
      <c r="C838" s="109"/>
      <c r="D838" s="109"/>
      <c r="E838" s="109"/>
      <c r="F838" s="109"/>
      <c r="G838" s="109"/>
      <c r="H838" s="109"/>
      <c r="I838" s="109"/>
      <c r="J838" s="109"/>
      <c r="K838" s="317"/>
      <c r="L838" s="109"/>
      <c r="M838" s="109"/>
      <c r="N838" s="109"/>
      <c r="O838" s="109"/>
      <c r="P838" s="109"/>
      <c r="Q838" s="109"/>
      <c r="R838" s="109"/>
      <c r="S838" s="109"/>
      <c r="T838" s="109"/>
      <c r="U838" s="109"/>
      <c r="V838" s="109"/>
      <c r="W838" s="109"/>
      <c r="X838" s="109"/>
      <c r="Y838" s="109"/>
      <c r="Z838" s="109"/>
    </row>
    <row r="839" ht="39.75" customHeight="1">
      <c r="A839" s="109"/>
      <c r="B839" s="109"/>
      <c r="C839" s="109"/>
      <c r="D839" s="109"/>
      <c r="E839" s="109"/>
      <c r="F839" s="109"/>
      <c r="G839" s="109"/>
      <c r="H839" s="109"/>
      <c r="I839" s="109"/>
      <c r="J839" s="109"/>
      <c r="K839" s="317"/>
      <c r="L839" s="109"/>
      <c r="M839" s="109"/>
      <c r="N839" s="109"/>
      <c r="O839" s="109"/>
      <c r="P839" s="109"/>
      <c r="Q839" s="109"/>
      <c r="R839" s="109"/>
      <c r="S839" s="109"/>
      <c r="T839" s="109"/>
      <c r="U839" s="109"/>
      <c r="V839" s="109"/>
      <c r="W839" s="109"/>
      <c r="X839" s="109"/>
      <c r="Y839" s="109"/>
      <c r="Z839" s="109"/>
    </row>
    <row r="840" ht="39.75" customHeight="1">
      <c r="A840" s="109"/>
      <c r="B840" s="109"/>
      <c r="C840" s="109"/>
      <c r="D840" s="109"/>
      <c r="E840" s="109"/>
      <c r="F840" s="109"/>
      <c r="G840" s="109"/>
      <c r="H840" s="109"/>
      <c r="I840" s="109"/>
      <c r="J840" s="109"/>
      <c r="K840" s="317"/>
      <c r="L840" s="109"/>
      <c r="M840" s="109"/>
      <c r="N840" s="109"/>
      <c r="O840" s="109"/>
      <c r="P840" s="109"/>
      <c r="Q840" s="109"/>
      <c r="R840" s="109"/>
      <c r="S840" s="109"/>
      <c r="T840" s="109"/>
      <c r="U840" s="109"/>
      <c r="V840" s="109"/>
      <c r="W840" s="109"/>
      <c r="X840" s="109"/>
      <c r="Y840" s="109"/>
      <c r="Z840" s="109"/>
    </row>
    <row r="841" ht="39.75" customHeight="1">
      <c r="A841" s="109"/>
      <c r="B841" s="109"/>
      <c r="C841" s="109"/>
      <c r="D841" s="109"/>
      <c r="E841" s="109"/>
      <c r="F841" s="109"/>
      <c r="G841" s="109"/>
      <c r="H841" s="109"/>
      <c r="I841" s="109"/>
      <c r="J841" s="109"/>
      <c r="K841" s="317"/>
      <c r="L841" s="109"/>
      <c r="M841" s="109"/>
      <c r="N841" s="109"/>
      <c r="O841" s="109"/>
      <c r="P841" s="109"/>
      <c r="Q841" s="109"/>
      <c r="R841" s="109"/>
      <c r="S841" s="109"/>
      <c r="T841" s="109"/>
      <c r="U841" s="109"/>
      <c r="V841" s="109"/>
      <c r="W841" s="109"/>
      <c r="X841" s="109"/>
      <c r="Y841" s="109"/>
      <c r="Z841" s="109"/>
    </row>
    <row r="842" ht="39.75" customHeight="1">
      <c r="A842" s="109"/>
      <c r="B842" s="109"/>
      <c r="C842" s="109"/>
      <c r="D842" s="109"/>
      <c r="E842" s="109"/>
      <c r="F842" s="109"/>
      <c r="G842" s="109"/>
      <c r="H842" s="109"/>
      <c r="I842" s="109"/>
      <c r="J842" s="109"/>
      <c r="K842" s="317"/>
      <c r="L842" s="109"/>
      <c r="M842" s="109"/>
      <c r="N842" s="109"/>
      <c r="O842" s="109"/>
      <c r="P842" s="109"/>
      <c r="Q842" s="109"/>
      <c r="R842" s="109"/>
      <c r="S842" s="109"/>
      <c r="T842" s="109"/>
      <c r="U842" s="109"/>
      <c r="V842" s="109"/>
      <c r="W842" s="109"/>
      <c r="X842" s="109"/>
      <c r="Y842" s="109"/>
      <c r="Z842" s="109"/>
    </row>
    <row r="843" ht="39.75" customHeight="1">
      <c r="A843" s="109"/>
      <c r="B843" s="109"/>
      <c r="C843" s="109"/>
      <c r="D843" s="109"/>
      <c r="E843" s="109"/>
      <c r="F843" s="109"/>
      <c r="G843" s="109"/>
      <c r="H843" s="109"/>
      <c r="I843" s="109"/>
      <c r="J843" s="109"/>
      <c r="K843" s="317"/>
      <c r="L843" s="109"/>
      <c r="M843" s="109"/>
      <c r="N843" s="109"/>
      <c r="O843" s="109"/>
      <c r="P843" s="109"/>
      <c r="Q843" s="109"/>
      <c r="R843" s="109"/>
      <c r="S843" s="109"/>
      <c r="T843" s="109"/>
      <c r="U843" s="109"/>
      <c r="V843" s="109"/>
      <c r="W843" s="109"/>
      <c r="X843" s="109"/>
      <c r="Y843" s="109"/>
      <c r="Z843" s="109"/>
    </row>
    <row r="844" ht="39.75" customHeight="1">
      <c r="A844" s="109"/>
      <c r="B844" s="109"/>
      <c r="C844" s="109"/>
      <c r="D844" s="109"/>
      <c r="E844" s="109"/>
      <c r="F844" s="109"/>
      <c r="G844" s="109"/>
      <c r="H844" s="109"/>
      <c r="I844" s="109"/>
      <c r="J844" s="109"/>
      <c r="K844" s="317"/>
      <c r="L844" s="109"/>
      <c r="M844" s="109"/>
      <c r="N844" s="109"/>
      <c r="O844" s="109"/>
      <c r="P844" s="109"/>
      <c r="Q844" s="109"/>
      <c r="R844" s="109"/>
      <c r="S844" s="109"/>
      <c r="T844" s="109"/>
      <c r="U844" s="109"/>
      <c r="V844" s="109"/>
      <c r="W844" s="109"/>
      <c r="X844" s="109"/>
      <c r="Y844" s="109"/>
      <c r="Z844" s="109"/>
    </row>
    <row r="845" ht="39.75" customHeight="1">
      <c r="A845" s="109"/>
      <c r="B845" s="109"/>
      <c r="C845" s="109"/>
      <c r="D845" s="109"/>
      <c r="E845" s="109"/>
      <c r="F845" s="109"/>
      <c r="G845" s="109"/>
      <c r="H845" s="109"/>
      <c r="I845" s="109"/>
      <c r="J845" s="109"/>
      <c r="K845" s="317"/>
      <c r="L845" s="109"/>
      <c r="M845" s="109"/>
      <c r="N845" s="109"/>
      <c r="O845" s="109"/>
      <c r="P845" s="109"/>
      <c r="Q845" s="109"/>
      <c r="R845" s="109"/>
      <c r="S845" s="109"/>
      <c r="T845" s="109"/>
      <c r="U845" s="109"/>
      <c r="V845" s="109"/>
      <c r="W845" s="109"/>
      <c r="X845" s="109"/>
      <c r="Y845" s="109"/>
      <c r="Z845" s="109"/>
    </row>
    <row r="846" ht="39.75" customHeight="1">
      <c r="A846" s="109"/>
      <c r="B846" s="109"/>
      <c r="C846" s="109"/>
      <c r="D846" s="109"/>
      <c r="E846" s="109"/>
      <c r="F846" s="109"/>
      <c r="G846" s="109"/>
      <c r="H846" s="109"/>
      <c r="I846" s="109"/>
      <c r="J846" s="109"/>
      <c r="K846" s="317"/>
      <c r="L846" s="109"/>
      <c r="M846" s="109"/>
      <c r="N846" s="109"/>
      <c r="O846" s="109"/>
      <c r="P846" s="109"/>
      <c r="Q846" s="109"/>
      <c r="R846" s="109"/>
      <c r="S846" s="109"/>
      <c r="T846" s="109"/>
      <c r="U846" s="109"/>
      <c r="V846" s="109"/>
      <c r="W846" s="109"/>
      <c r="X846" s="109"/>
      <c r="Y846" s="109"/>
      <c r="Z846" s="109"/>
    </row>
    <row r="847" ht="39.75" customHeight="1">
      <c r="A847" s="109"/>
      <c r="B847" s="109"/>
      <c r="C847" s="109"/>
      <c r="D847" s="109"/>
      <c r="E847" s="109"/>
      <c r="F847" s="109"/>
      <c r="G847" s="109"/>
      <c r="H847" s="109"/>
      <c r="I847" s="109"/>
      <c r="J847" s="109"/>
      <c r="K847" s="317"/>
      <c r="L847" s="109"/>
      <c r="M847" s="109"/>
      <c r="N847" s="109"/>
      <c r="O847" s="109"/>
      <c r="P847" s="109"/>
      <c r="Q847" s="109"/>
      <c r="R847" s="109"/>
      <c r="S847" s="109"/>
      <c r="T847" s="109"/>
      <c r="U847" s="109"/>
      <c r="V847" s="109"/>
      <c r="W847" s="109"/>
      <c r="X847" s="109"/>
      <c r="Y847" s="109"/>
      <c r="Z847" s="109"/>
    </row>
    <row r="848" ht="39.75" customHeight="1">
      <c r="A848" s="109"/>
      <c r="B848" s="109"/>
      <c r="C848" s="109"/>
      <c r="D848" s="109"/>
      <c r="E848" s="109"/>
      <c r="F848" s="109"/>
      <c r="G848" s="109"/>
      <c r="H848" s="109"/>
      <c r="I848" s="109"/>
      <c r="J848" s="109"/>
      <c r="K848" s="317"/>
      <c r="L848" s="109"/>
      <c r="M848" s="109"/>
      <c r="N848" s="109"/>
      <c r="O848" s="109"/>
      <c r="P848" s="109"/>
      <c r="Q848" s="109"/>
      <c r="R848" s="109"/>
      <c r="S848" s="109"/>
      <c r="T848" s="109"/>
      <c r="U848" s="109"/>
      <c r="V848" s="109"/>
      <c r="W848" s="109"/>
      <c r="X848" s="109"/>
      <c r="Y848" s="109"/>
      <c r="Z848" s="109"/>
    </row>
    <row r="849" ht="39.75" customHeight="1">
      <c r="A849" s="109"/>
      <c r="B849" s="109"/>
      <c r="C849" s="109"/>
      <c r="D849" s="109"/>
      <c r="E849" s="109"/>
      <c r="F849" s="109"/>
      <c r="G849" s="109"/>
      <c r="H849" s="109"/>
      <c r="I849" s="109"/>
      <c r="J849" s="109"/>
      <c r="K849" s="317"/>
      <c r="L849" s="109"/>
      <c r="M849" s="109"/>
      <c r="N849" s="109"/>
      <c r="O849" s="109"/>
      <c r="P849" s="109"/>
      <c r="Q849" s="109"/>
      <c r="R849" s="109"/>
      <c r="S849" s="109"/>
      <c r="T849" s="109"/>
      <c r="U849" s="109"/>
      <c r="V849" s="109"/>
      <c r="W849" s="109"/>
      <c r="X849" s="109"/>
      <c r="Y849" s="109"/>
      <c r="Z849" s="109"/>
    </row>
    <row r="850" ht="39.75" customHeight="1">
      <c r="A850" s="109"/>
      <c r="B850" s="109"/>
      <c r="C850" s="109"/>
      <c r="D850" s="109"/>
      <c r="E850" s="109"/>
      <c r="F850" s="109"/>
      <c r="G850" s="109"/>
      <c r="H850" s="109"/>
      <c r="I850" s="109"/>
      <c r="J850" s="109"/>
      <c r="K850" s="317"/>
      <c r="L850" s="109"/>
      <c r="M850" s="109"/>
      <c r="N850" s="109"/>
      <c r="O850" s="109"/>
      <c r="P850" s="109"/>
      <c r="Q850" s="109"/>
      <c r="R850" s="109"/>
      <c r="S850" s="109"/>
      <c r="T850" s="109"/>
      <c r="U850" s="109"/>
      <c r="V850" s="109"/>
      <c r="W850" s="109"/>
      <c r="X850" s="109"/>
      <c r="Y850" s="109"/>
      <c r="Z850" s="109"/>
    </row>
    <row r="851" ht="39.75" customHeight="1">
      <c r="A851" s="109"/>
      <c r="B851" s="109"/>
      <c r="C851" s="109"/>
      <c r="D851" s="109"/>
      <c r="E851" s="109"/>
      <c r="F851" s="109"/>
      <c r="G851" s="109"/>
      <c r="H851" s="109"/>
      <c r="I851" s="109"/>
      <c r="J851" s="109"/>
      <c r="K851" s="317"/>
      <c r="L851" s="109"/>
      <c r="M851" s="109"/>
      <c r="N851" s="109"/>
      <c r="O851" s="109"/>
      <c r="P851" s="109"/>
      <c r="Q851" s="109"/>
      <c r="R851" s="109"/>
      <c r="S851" s="109"/>
      <c r="T851" s="109"/>
      <c r="U851" s="109"/>
      <c r="V851" s="109"/>
      <c r="W851" s="109"/>
      <c r="X851" s="109"/>
      <c r="Y851" s="109"/>
      <c r="Z851" s="109"/>
    </row>
    <row r="852" ht="39.75" customHeight="1">
      <c r="A852" s="109"/>
      <c r="B852" s="109"/>
      <c r="C852" s="109"/>
      <c r="D852" s="109"/>
      <c r="E852" s="109"/>
      <c r="F852" s="109"/>
      <c r="G852" s="109"/>
      <c r="H852" s="109"/>
      <c r="I852" s="109"/>
      <c r="J852" s="109"/>
      <c r="K852" s="317"/>
      <c r="L852" s="109"/>
      <c r="M852" s="109"/>
      <c r="N852" s="109"/>
      <c r="O852" s="109"/>
      <c r="P852" s="109"/>
      <c r="Q852" s="109"/>
      <c r="R852" s="109"/>
      <c r="S852" s="109"/>
      <c r="T852" s="109"/>
      <c r="U852" s="109"/>
      <c r="V852" s="109"/>
      <c r="W852" s="109"/>
      <c r="X852" s="109"/>
      <c r="Y852" s="109"/>
      <c r="Z852" s="109"/>
    </row>
    <row r="853" ht="39.75" customHeight="1">
      <c r="A853" s="109"/>
      <c r="B853" s="109"/>
      <c r="C853" s="109"/>
      <c r="D853" s="109"/>
      <c r="E853" s="109"/>
      <c r="F853" s="109"/>
      <c r="G853" s="109"/>
      <c r="H853" s="109"/>
      <c r="I853" s="109"/>
      <c r="J853" s="109"/>
      <c r="K853" s="317"/>
      <c r="L853" s="109"/>
      <c r="M853" s="109"/>
      <c r="N853" s="109"/>
      <c r="O853" s="109"/>
      <c r="P853" s="109"/>
      <c r="Q853" s="109"/>
      <c r="R853" s="109"/>
      <c r="S853" s="109"/>
      <c r="T853" s="109"/>
      <c r="U853" s="109"/>
      <c r="V853" s="109"/>
      <c r="W853" s="109"/>
      <c r="X853" s="109"/>
      <c r="Y853" s="109"/>
      <c r="Z853" s="109"/>
    </row>
    <row r="854" ht="39.75" customHeight="1">
      <c r="A854" s="109"/>
      <c r="B854" s="109"/>
      <c r="C854" s="109"/>
      <c r="D854" s="109"/>
      <c r="E854" s="109"/>
      <c r="F854" s="109"/>
      <c r="G854" s="109"/>
      <c r="H854" s="109"/>
      <c r="I854" s="109"/>
      <c r="J854" s="109"/>
      <c r="K854" s="317"/>
      <c r="L854" s="109"/>
      <c r="M854" s="109"/>
      <c r="N854" s="109"/>
      <c r="O854" s="109"/>
      <c r="P854" s="109"/>
      <c r="Q854" s="109"/>
      <c r="R854" s="109"/>
      <c r="S854" s="109"/>
      <c r="T854" s="109"/>
      <c r="U854" s="109"/>
      <c r="V854" s="109"/>
      <c r="W854" s="109"/>
      <c r="X854" s="109"/>
      <c r="Y854" s="109"/>
      <c r="Z854" s="109"/>
    </row>
    <row r="855" ht="39.75" customHeight="1">
      <c r="A855" s="109"/>
      <c r="B855" s="109"/>
      <c r="C855" s="109"/>
      <c r="D855" s="109"/>
      <c r="E855" s="109"/>
      <c r="F855" s="109"/>
      <c r="G855" s="109"/>
      <c r="H855" s="109"/>
      <c r="I855" s="109"/>
      <c r="J855" s="109"/>
      <c r="K855" s="317"/>
      <c r="L855" s="109"/>
      <c r="M855" s="109"/>
      <c r="N855" s="109"/>
      <c r="O855" s="109"/>
      <c r="P855" s="109"/>
      <c r="Q855" s="109"/>
      <c r="R855" s="109"/>
      <c r="S855" s="109"/>
      <c r="T855" s="109"/>
      <c r="U855" s="109"/>
      <c r="V855" s="109"/>
      <c r="W855" s="109"/>
      <c r="X855" s="109"/>
      <c r="Y855" s="109"/>
      <c r="Z855" s="109"/>
    </row>
    <row r="856" ht="39.75" customHeight="1">
      <c r="A856" s="109"/>
      <c r="B856" s="109"/>
      <c r="C856" s="109"/>
      <c r="D856" s="109"/>
      <c r="E856" s="109"/>
      <c r="F856" s="109"/>
      <c r="G856" s="109"/>
      <c r="H856" s="109"/>
      <c r="I856" s="109"/>
      <c r="J856" s="109"/>
      <c r="K856" s="317"/>
      <c r="L856" s="109"/>
      <c r="M856" s="109"/>
      <c r="N856" s="109"/>
      <c r="O856" s="109"/>
      <c r="P856" s="109"/>
      <c r="Q856" s="109"/>
      <c r="R856" s="109"/>
      <c r="S856" s="109"/>
      <c r="T856" s="109"/>
      <c r="U856" s="109"/>
      <c r="V856" s="109"/>
      <c r="W856" s="109"/>
      <c r="X856" s="109"/>
      <c r="Y856" s="109"/>
      <c r="Z856" s="109"/>
    </row>
    <row r="857" ht="39.75" customHeight="1">
      <c r="A857" s="109"/>
      <c r="B857" s="109"/>
      <c r="C857" s="109"/>
      <c r="D857" s="109"/>
      <c r="E857" s="109"/>
      <c r="F857" s="109"/>
      <c r="G857" s="109"/>
      <c r="H857" s="109"/>
      <c r="I857" s="109"/>
      <c r="J857" s="109"/>
      <c r="K857" s="317"/>
      <c r="L857" s="109"/>
      <c r="M857" s="109"/>
      <c r="N857" s="109"/>
      <c r="O857" s="109"/>
      <c r="P857" s="109"/>
      <c r="Q857" s="109"/>
      <c r="R857" s="109"/>
      <c r="S857" s="109"/>
      <c r="T857" s="109"/>
      <c r="U857" s="109"/>
      <c r="V857" s="109"/>
      <c r="W857" s="109"/>
      <c r="X857" s="109"/>
      <c r="Y857" s="109"/>
      <c r="Z857" s="109"/>
    </row>
    <row r="858" ht="39.75" customHeight="1">
      <c r="A858" s="109"/>
      <c r="B858" s="109"/>
      <c r="C858" s="109"/>
      <c r="D858" s="109"/>
      <c r="E858" s="109"/>
      <c r="F858" s="109"/>
      <c r="G858" s="109"/>
      <c r="H858" s="109"/>
      <c r="I858" s="109"/>
      <c r="J858" s="109"/>
      <c r="K858" s="317"/>
      <c r="L858" s="109"/>
      <c r="M858" s="109"/>
      <c r="N858" s="109"/>
      <c r="O858" s="109"/>
      <c r="P858" s="109"/>
      <c r="Q858" s="109"/>
      <c r="R858" s="109"/>
      <c r="S858" s="109"/>
      <c r="T858" s="109"/>
      <c r="U858" s="109"/>
      <c r="V858" s="109"/>
      <c r="W858" s="109"/>
      <c r="X858" s="109"/>
      <c r="Y858" s="109"/>
      <c r="Z858" s="109"/>
    </row>
    <row r="859" ht="39.75" customHeight="1">
      <c r="A859" s="109"/>
      <c r="B859" s="109"/>
      <c r="C859" s="109"/>
      <c r="D859" s="109"/>
      <c r="E859" s="109"/>
      <c r="F859" s="109"/>
      <c r="G859" s="109"/>
      <c r="H859" s="109"/>
      <c r="I859" s="109"/>
      <c r="J859" s="109"/>
      <c r="K859" s="317"/>
      <c r="L859" s="109"/>
      <c r="M859" s="109"/>
      <c r="N859" s="109"/>
      <c r="O859" s="109"/>
      <c r="P859" s="109"/>
      <c r="Q859" s="109"/>
      <c r="R859" s="109"/>
      <c r="S859" s="109"/>
      <c r="T859" s="109"/>
      <c r="U859" s="109"/>
      <c r="V859" s="109"/>
      <c r="W859" s="109"/>
      <c r="X859" s="109"/>
      <c r="Y859" s="109"/>
      <c r="Z859" s="109"/>
    </row>
    <row r="860" ht="39.75" customHeight="1">
      <c r="A860" s="109"/>
      <c r="B860" s="109"/>
      <c r="C860" s="109"/>
      <c r="D860" s="109"/>
      <c r="E860" s="109"/>
      <c r="F860" s="109"/>
      <c r="G860" s="109"/>
      <c r="H860" s="109"/>
      <c r="I860" s="109"/>
      <c r="J860" s="109"/>
      <c r="K860" s="317"/>
      <c r="L860" s="109"/>
      <c r="M860" s="109"/>
      <c r="N860" s="109"/>
      <c r="O860" s="109"/>
      <c r="P860" s="109"/>
      <c r="Q860" s="109"/>
      <c r="R860" s="109"/>
      <c r="S860" s="109"/>
      <c r="T860" s="109"/>
      <c r="U860" s="109"/>
      <c r="V860" s="109"/>
      <c r="W860" s="109"/>
      <c r="X860" s="109"/>
      <c r="Y860" s="109"/>
      <c r="Z860" s="109"/>
    </row>
    <row r="861" ht="39.75" customHeight="1">
      <c r="A861" s="109"/>
      <c r="B861" s="109"/>
      <c r="C861" s="109"/>
      <c r="D861" s="109"/>
      <c r="E861" s="109"/>
      <c r="F861" s="109"/>
      <c r="G861" s="109"/>
      <c r="H861" s="109"/>
      <c r="I861" s="109"/>
      <c r="J861" s="109"/>
      <c r="K861" s="317"/>
      <c r="L861" s="109"/>
      <c r="M861" s="109"/>
      <c r="N861" s="109"/>
      <c r="O861" s="109"/>
      <c r="P861" s="109"/>
      <c r="Q861" s="109"/>
      <c r="R861" s="109"/>
      <c r="S861" s="109"/>
      <c r="T861" s="109"/>
      <c r="U861" s="109"/>
      <c r="V861" s="109"/>
      <c r="W861" s="109"/>
      <c r="X861" s="109"/>
      <c r="Y861" s="109"/>
      <c r="Z861" s="109"/>
    </row>
    <row r="862" ht="39.75" customHeight="1">
      <c r="A862" s="109"/>
      <c r="B862" s="109"/>
      <c r="C862" s="109"/>
      <c r="D862" s="109"/>
      <c r="E862" s="109"/>
      <c r="F862" s="109"/>
      <c r="G862" s="109"/>
      <c r="H862" s="109"/>
      <c r="I862" s="109"/>
      <c r="J862" s="109"/>
      <c r="K862" s="317"/>
      <c r="L862" s="109"/>
      <c r="M862" s="109"/>
      <c r="N862" s="109"/>
      <c r="O862" s="109"/>
      <c r="P862" s="109"/>
      <c r="Q862" s="109"/>
      <c r="R862" s="109"/>
      <c r="S862" s="109"/>
      <c r="T862" s="109"/>
      <c r="U862" s="109"/>
      <c r="V862" s="109"/>
      <c r="W862" s="109"/>
      <c r="X862" s="109"/>
      <c r="Y862" s="109"/>
      <c r="Z862" s="109"/>
    </row>
    <row r="863" ht="39.75" customHeight="1">
      <c r="A863" s="109"/>
      <c r="B863" s="109"/>
      <c r="C863" s="109"/>
      <c r="D863" s="109"/>
      <c r="E863" s="109"/>
      <c r="F863" s="109"/>
      <c r="G863" s="109"/>
      <c r="H863" s="109"/>
      <c r="I863" s="109"/>
      <c r="J863" s="109"/>
      <c r="K863" s="317"/>
      <c r="L863" s="109"/>
      <c r="M863" s="109"/>
      <c r="N863" s="109"/>
      <c r="O863" s="109"/>
      <c r="P863" s="109"/>
      <c r="Q863" s="109"/>
      <c r="R863" s="109"/>
      <c r="S863" s="109"/>
      <c r="T863" s="109"/>
      <c r="U863" s="109"/>
      <c r="V863" s="109"/>
      <c r="W863" s="109"/>
      <c r="X863" s="109"/>
      <c r="Y863" s="109"/>
      <c r="Z863" s="109"/>
    </row>
    <row r="864" ht="39.75" customHeight="1">
      <c r="A864" s="109"/>
      <c r="B864" s="109"/>
      <c r="C864" s="109"/>
      <c r="D864" s="109"/>
      <c r="E864" s="109"/>
      <c r="F864" s="109"/>
      <c r="G864" s="109"/>
      <c r="H864" s="109"/>
      <c r="I864" s="109"/>
      <c r="J864" s="109"/>
      <c r="K864" s="317"/>
      <c r="L864" s="109"/>
      <c r="M864" s="109"/>
      <c r="N864" s="109"/>
      <c r="O864" s="109"/>
      <c r="P864" s="109"/>
      <c r="Q864" s="109"/>
      <c r="R864" s="109"/>
      <c r="S864" s="109"/>
      <c r="T864" s="109"/>
      <c r="U864" s="109"/>
      <c r="V864" s="109"/>
      <c r="W864" s="109"/>
      <c r="X864" s="109"/>
      <c r="Y864" s="109"/>
      <c r="Z864" s="109"/>
    </row>
    <row r="865" ht="39.75" customHeight="1">
      <c r="A865" s="109"/>
      <c r="B865" s="109"/>
      <c r="C865" s="109"/>
      <c r="D865" s="109"/>
      <c r="E865" s="109"/>
      <c r="F865" s="109"/>
      <c r="G865" s="109"/>
      <c r="H865" s="109"/>
      <c r="I865" s="109"/>
      <c r="J865" s="109"/>
      <c r="K865" s="317"/>
      <c r="L865" s="109"/>
      <c r="M865" s="109"/>
      <c r="N865" s="109"/>
      <c r="O865" s="109"/>
      <c r="P865" s="109"/>
      <c r="Q865" s="109"/>
      <c r="R865" s="109"/>
      <c r="S865" s="109"/>
      <c r="T865" s="109"/>
      <c r="U865" s="109"/>
      <c r="V865" s="109"/>
      <c r="W865" s="109"/>
      <c r="X865" s="109"/>
      <c r="Y865" s="109"/>
      <c r="Z865" s="109"/>
    </row>
    <row r="866" ht="39.75" customHeight="1">
      <c r="A866" s="109"/>
      <c r="B866" s="109"/>
      <c r="C866" s="109"/>
      <c r="D866" s="109"/>
      <c r="E866" s="109"/>
      <c r="F866" s="109"/>
      <c r="G866" s="109"/>
      <c r="H866" s="109"/>
      <c r="I866" s="109"/>
      <c r="J866" s="109"/>
      <c r="K866" s="317"/>
      <c r="L866" s="109"/>
      <c r="M866" s="109"/>
      <c r="N866" s="109"/>
      <c r="O866" s="109"/>
      <c r="P866" s="109"/>
      <c r="Q866" s="109"/>
      <c r="R866" s="109"/>
      <c r="S866" s="109"/>
      <c r="T866" s="109"/>
      <c r="U866" s="109"/>
      <c r="V866" s="109"/>
      <c r="W866" s="109"/>
      <c r="X866" s="109"/>
      <c r="Y866" s="109"/>
      <c r="Z866" s="109"/>
    </row>
    <row r="867" ht="39.75" customHeight="1">
      <c r="A867" s="109"/>
      <c r="B867" s="109"/>
      <c r="C867" s="109"/>
      <c r="D867" s="109"/>
      <c r="E867" s="109"/>
      <c r="F867" s="109"/>
      <c r="G867" s="109"/>
      <c r="H867" s="109"/>
      <c r="I867" s="109"/>
      <c r="J867" s="109"/>
      <c r="K867" s="317"/>
      <c r="L867" s="109"/>
      <c r="M867" s="109"/>
      <c r="N867" s="109"/>
      <c r="O867" s="109"/>
      <c r="P867" s="109"/>
      <c r="Q867" s="109"/>
      <c r="R867" s="109"/>
      <c r="S867" s="109"/>
      <c r="T867" s="109"/>
      <c r="U867" s="109"/>
      <c r="V867" s="109"/>
      <c r="W867" s="109"/>
      <c r="X867" s="109"/>
      <c r="Y867" s="109"/>
      <c r="Z867" s="109"/>
    </row>
    <row r="868" ht="39.75" customHeight="1">
      <c r="A868" s="109"/>
      <c r="B868" s="109"/>
      <c r="C868" s="109"/>
      <c r="D868" s="109"/>
      <c r="E868" s="109"/>
      <c r="F868" s="109"/>
      <c r="G868" s="109"/>
      <c r="H868" s="109"/>
      <c r="I868" s="109"/>
      <c r="J868" s="109"/>
      <c r="K868" s="317"/>
      <c r="L868" s="109"/>
      <c r="M868" s="109"/>
      <c r="N868" s="109"/>
      <c r="O868" s="109"/>
      <c r="P868" s="109"/>
      <c r="Q868" s="109"/>
      <c r="R868" s="109"/>
      <c r="S868" s="109"/>
      <c r="T868" s="109"/>
      <c r="U868" s="109"/>
      <c r="V868" s="109"/>
      <c r="W868" s="109"/>
      <c r="X868" s="109"/>
      <c r="Y868" s="109"/>
      <c r="Z868" s="109"/>
    </row>
    <row r="869" ht="39.75" customHeight="1">
      <c r="A869" s="109"/>
      <c r="B869" s="109"/>
      <c r="C869" s="109"/>
      <c r="D869" s="109"/>
      <c r="E869" s="109"/>
      <c r="F869" s="109"/>
      <c r="G869" s="109"/>
      <c r="H869" s="109"/>
      <c r="I869" s="109"/>
      <c r="J869" s="109"/>
      <c r="K869" s="317"/>
      <c r="L869" s="109"/>
      <c r="M869" s="109"/>
      <c r="N869" s="109"/>
      <c r="O869" s="109"/>
      <c r="P869" s="109"/>
      <c r="Q869" s="109"/>
      <c r="R869" s="109"/>
      <c r="S869" s="109"/>
      <c r="T869" s="109"/>
      <c r="U869" s="109"/>
      <c r="V869" s="109"/>
      <c r="W869" s="109"/>
      <c r="X869" s="109"/>
      <c r="Y869" s="109"/>
      <c r="Z869" s="109"/>
    </row>
    <row r="870" ht="39.75" customHeight="1">
      <c r="A870" s="109"/>
      <c r="B870" s="109"/>
      <c r="C870" s="109"/>
      <c r="D870" s="109"/>
      <c r="E870" s="109"/>
      <c r="F870" s="109"/>
      <c r="G870" s="109"/>
      <c r="H870" s="109"/>
      <c r="I870" s="109"/>
      <c r="J870" s="109"/>
      <c r="K870" s="317"/>
      <c r="L870" s="109"/>
      <c r="M870" s="109"/>
      <c r="N870" s="109"/>
      <c r="O870" s="109"/>
      <c r="P870" s="109"/>
      <c r="Q870" s="109"/>
      <c r="R870" s="109"/>
      <c r="S870" s="109"/>
      <c r="T870" s="109"/>
      <c r="U870" s="109"/>
      <c r="V870" s="109"/>
      <c r="W870" s="109"/>
      <c r="X870" s="109"/>
      <c r="Y870" s="109"/>
      <c r="Z870" s="109"/>
    </row>
    <row r="871" ht="39.75" customHeight="1">
      <c r="A871" s="109"/>
      <c r="B871" s="109"/>
      <c r="C871" s="109"/>
      <c r="D871" s="109"/>
      <c r="E871" s="109"/>
      <c r="F871" s="109"/>
      <c r="G871" s="109"/>
      <c r="H871" s="109"/>
      <c r="I871" s="109"/>
      <c r="J871" s="109"/>
      <c r="K871" s="317"/>
      <c r="L871" s="109"/>
      <c r="M871" s="109"/>
      <c r="N871" s="109"/>
      <c r="O871" s="109"/>
      <c r="P871" s="109"/>
      <c r="Q871" s="109"/>
      <c r="R871" s="109"/>
      <c r="S871" s="109"/>
      <c r="T871" s="109"/>
      <c r="U871" s="109"/>
      <c r="V871" s="109"/>
      <c r="W871" s="109"/>
      <c r="X871" s="109"/>
      <c r="Y871" s="109"/>
      <c r="Z871" s="109"/>
    </row>
    <row r="872" ht="39.75" customHeight="1">
      <c r="A872" s="109"/>
      <c r="B872" s="109"/>
      <c r="C872" s="109"/>
      <c r="D872" s="109"/>
      <c r="E872" s="109"/>
      <c r="F872" s="109"/>
      <c r="G872" s="109"/>
      <c r="H872" s="109"/>
      <c r="I872" s="109"/>
      <c r="J872" s="109"/>
      <c r="K872" s="317"/>
      <c r="L872" s="109"/>
      <c r="M872" s="109"/>
      <c r="N872" s="109"/>
      <c r="O872" s="109"/>
      <c r="P872" s="109"/>
      <c r="Q872" s="109"/>
      <c r="R872" s="109"/>
      <c r="S872" s="109"/>
      <c r="T872" s="109"/>
      <c r="U872" s="109"/>
      <c r="V872" s="109"/>
      <c r="W872" s="109"/>
      <c r="X872" s="109"/>
      <c r="Y872" s="109"/>
      <c r="Z872" s="109"/>
    </row>
    <row r="873" ht="39.75" customHeight="1">
      <c r="A873" s="109"/>
      <c r="B873" s="109"/>
      <c r="C873" s="109"/>
      <c r="D873" s="109"/>
      <c r="E873" s="109"/>
      <c r="F873" s="109"/>
      <c r="G873" s="109"/>
      <c r="H873" s="109"/>
      <c r="I873" s="109"/>
      <c r="J873" s="109"/>
      <c r="K873" s="317"/>
      <c r="L873" s="109"/>
      <c r="M873" s="109"/>
      <c r="N873" s="109"/>
      <c r="O873" s="109"/>
      <c r="P873" s="109"/>
      <c r="Q873" s="109"/>
      <c r="R873" s="109"/>
      <c r="S873" s="109"/>
      <c r="T873" s="109"/>
      <c r="U873" s="109"/>
      <c r="V873" s="109"/>
      <c r="W873" s="109"/>
      <c r="X873" s="109"/>
      <c r="Y873" s="109"/>
      <c r="Z873" s="109"/>
    </row>
    <row r="874" ht="39.75" customHeight="1">
      <c r="A874" s="109"/>
      <c r="B874" s="109"/>
      <c r="C874" s="109"/>
      <c r="D874" s="109"/>
      <c r="E874" s="109"/>
      <c r="F874" s="109"/>
      <c r="G874" s="109"/>
      <c r="H874" s="109"/>
      <c r="I874" s="109"/>
      <c r="J874" s="109"/>
      <c r="K874" s="317"/>
      <c r="L874" s="109"/>
      <c r="M874" s="109"/>
      <c r="N874" s="109"/>
      <c r="O874" s="109"/>
      <c r="P874" s="109"/>
      <c r="Q874" s="109"/>
      <c r="R874" s="109"/>
      <c r="S874" s="109"/>
      <c r="T874" s="109"/>
      <c r="U874" s="109"/>
      <c r="V874" s="109"/>
      <c r="W874" s="109"/>
      <c r="X874" s="109"/>
      <c r="Y874" s="109"/>
      <c r="Z874" s="109"/>
    </row>
    <row r="875" ht="39.75" customHeight="1">
      <c r="A875" s="109"/>
      <c r="B875" s="109"/>
      <c r="C875" s="109"/>
      <c r="D875" s="109"/>
      <c r="E875" s="109"/>
      <c r="F875" s="109"/>
      <c r="G875" s="109"/>
      <c r="H875" s="109"/>
      <c r="I875" s="109"/>
      <c r="J875" s="109"/>
      <c r="K875" s="317"/>
      <c r="L875" s="109"/>
      <c r="M875" s="109"/>
      <c r="N875" s="109"/>
      <c r="O875" s="109"/>
      <c r="P875" s="109"/>
      <c r="Q875" s="109"/>
      <c r="R875" s="109"/>
      <c r="S875" s="109"/>
      <c r="T875" s="109"/>
      <c r="U875" s="109"/>
      <c r="V875" s="109"/>
      <c r="W875" s="109"/>
      <c r="X875" s="109"/>
      <c r="Y875" s="109"/>
      <c r="Z875" s="109"/>
    </row>
    <row r="876" ht="39.75" customHeight="1">
      <c r="A876" s="109"/>
      <c r="B876" s="109"/>
      <c r="C876" s="109"/>
      <c r="D876" s="109"/>
      <c r="E876" s="109"/>
      <c r="F876" s="109"/>
      <c r="G876" s="109"/>
      <c r="H876" s="109"/>
      <c r="I876" s="109"/>
      <c r="J876" s="109"/>
      <c r="K876" s="317"/>
      <c r="L876" s="109"/>
      <c r="M876" s="109"/>
      <c r="N876" s="109"/>
      <c r="O876" s="109"/>
      <c r="P876" s="109"/>
      <c r="Q876" s="109"/>
      <c r="R876" s="109"/>
      <c r="S876" s="109"/>
      <c r="T876" s="109"/>
      <c r="U876" s="109"/>
      <c r="V876" s="109"/>
      <c r="W876" s="109"/>
      <c r="X876" s="109"/>
      <c r="Y876" s="109"/>
      <c r="Z876" s="109"/>
    </row>
    <row r="877" ht="39.75" customHeight="1">
      <c r="A877" s="109"/>
      <c r="B877" s="109"/>
      <c r="C877" s="109"/>
      <c r="D877" s="109"/>
      <c r="E877" s="109"/>
      <c r="F877" s="109"/>
      <c r="G877" s="109"/>
      <c r="H877" s="109"/>
      <c r="I877" s="109"/>
      <c r="J877" s="109"/>
      <c r="K877" s="317"/>
      <c r="L877" s="109"/>
      <c r="M877" s="109"/>
      <c r="N877" s="109"/>
      <c r="O877" s="109"/>
      <c r="P877" s="109"/>
      <c r="Q877" s="109"/>
      <c r="R877" s="109"/>
      <c r="S877" s="109"/>
      <c r="T877" s="109"/>
      <c r="U877" s="109"/>
      <c r="V877" s="109"/>
      <c r="W877" s="109"/>
      <c r="X877" s="109"/>
      <c r="Y877" s="109"/>
      <c r="Z877" s="109"/>
    </row>
    <row r="878" ht="39.75" customHeight="1">
      <c r="A878" s="109"/>
      <c r="B878" s="109"/>
      <c r="C878" s="109"/>
      <c r="D878" s="109"/>
      <c r="E878" s="109"/>
      <c r="F878" s="109"/>
      <c r="G878" s="109"/>
      <c r="H878" s="109"/>
      <c r="I878" s="109"/>
      <c r="J878" s="109"/>
      <c r="K878" s="317"/>
      <c r="L878" s="109"/>
      <c r="M878" s="109"/>
      <c r="N878" s="109"/>
      <c r="O878" s="109"/>
      <c r="P878" s="109"/>
      <c r="Q878" s="109"/>
      <c r="R878" s="109"/>
      <c r="S878" s="109"/>
      <c r="T878" s="109"/>
      <c r="U878" s="109"/>
      <c r="V878" s="109"/>
      <c r="W878" s="109"/>
      <c r="X878" s="109"/>
      <c r="Y878" s="109"/>
      <c r="Z878" s="109"/>
    </row>
    <row r="879" ht="39.75" customHeight="1">
      <c r="A879" s="109"/>
      <c r="B879" s="109"/>
      <c r="C879" s="109"/>
      <c r="D879" s="109"/>
      <c r="E879" s="109"/>
      <c r="F879" s="109"/>
      <c r="G879" s="109"/>
      <c r="H879" s="109"/>
      <c r="I879" s="109"/>
      <c r="J879" s="109"/>
      <c r="K879" s="317"/>
      <c r="L879" s="109"/>
      <c r="M879" s="109"/>
      <c r="N879" s="109"/>
      <c r="O879" s="109"/>
      <c r="P879" s="109"/>
      <c r="Q879" s="109"/>
      <c r="R879" s="109"/>
      <c r="S879" s="109"/>
      <c r="T879" s="109"/>
      <c r="U879" s="109"/>
      <c r="V879" s="109"/>
      <c r="W879" s="109"/>
      <c r="X879" s="109"/>
      <c r="Y879" s="109"/>
      <c r="Z879" s="109"/>
    </row>
    <row r="880" ht="39.75" customHeight="1">
      <c r="A880" s="109"/>
      <c r="B880" s="109"/>
      <c r="C880" s="109"/>
      <c r="D880" s="109"/>
      <c r="E880" s="109"/>
      <c r="F880" s="109"/>
      <c r="G880" s="109"/>
      <c r="H880" s="109"/>
      <c r="I880" s="109"/>
      <c r="J880" s="109"/>
      <c r="K880" s="317"/>
      <c r="L880" s="109"/>
      <c r="M880" s="109"/>
      <c r="N880" s="109"/>
      <c r="O880" s="109"/>
      <c r="P880" s="109"/>
      <c r="Q880" s="109"/>
      <c r="R880" s="109"/>
      <c r="S880" s="109"/>
      <c r="T880" s="109"/>
      <c r="U880" s="109"/>
      <c r="V880" s="109"/>
      <c r="W880" s="109"/>
      <c r="X880" s="109"/>
      <c r="Y880" s="109"/>
      <c r="Z880" s="109"/>
    </row>
    <row r="881" ht="39.75" customHeight="1">
      <c r="A881" s="109"/>
      <c r="B881" s="109"/>
      <c r="C881" s="109"/>
      <c r="D881" s="109"/>
      <c r="E881" s="109"/>
      <c r="F881" s="109"/>
      <c r="G881" s="109"/>
      <c r="H881" s="109"/>
      <c r="I881" s="109"/>
      <c r="J881" s="109"/>
      <c r="K881" s="317"/>
      <c r="L881" s="109"/>
      <c r="M881" s="109"/>
      <c r="N881" s="109"/>
      <c r="O881" s="109"/>
      <c r="P881" s="109"/>
      <c r="Q881" s="109"/>
      <c r="R881" s="109"/>
      <c r="S881" s="109"/>
      <c r="T881" s="109"/>
      <c r="U881" s="109"/>
      <c r="V881" s="109"/>
      <c r="W881" s="109"/>
      <c r="X881" s="109"/>
      <c r="Y881" s="109"/>
      <c r="Z881" s="109"/>
    </row>
    <row r="882" ht="39.75" customHeight="1">
      <c r="A882" s="109"/>
      <c r="B882" s="109"/>
      <c r="C882" s="109"/>
      <c r="D882" s="109"/>
      <c r="E882" s="109"/>
      <c r="F882" s="109"/>
      <c r="G882" s="109"/>
      <c r="H882" s="109"/>
      <c r="I882" s="109"/>
      <c r="J882" s="109"/>
      <c r="K882" s="317"/>
      <c r="L882" s="109"/>
      <c r="M882" s="109"/>
      <c r="N882" s="109"/>
      <c r="O882" s="109"/>
      <c r="P882" s="109"/>
      <c r="Q882" s="109"/>
      <c r="R882" s="109"/>
      <c r="S882" s="109"/>
      <c r="T882" s="109"/>
      <c r="U882" s="109"/>
      <c r="V882" s="109"/>
      <c r="W882" s="109"/>
      <c r="X882" s="109"/>
      <c r="Y882" s="109"/>
      <c r="Z882" s="109"/>
    </row>
    <row r="883" ht="39.75" customHeight="1">
      <c r="A883" s="109"/>
      <c r="B883" s="109"/>
      <c r="C883" s="109"/>
      <c r="D883" s="109"/>
      <c r="E883" s="109"/>
      <c r="F883" s="109"/>
      <c r="G883" s="109"/>
      <c r="H883" s="109"/>
      <c r="I883" s="109"/>
      <c r="J883" s="109"/>
      <c r="K883" s="317"/>
      <c r="L883" s="109"/>
      <c r="M883" s="109"/>
      <c r="N883" s="109"/>
      <c r="O883" s="109"/>
      <c r="P883" s="109"/>
      <c r="Q883" s="109"/>
      <c r="R883" s="109"/>
      <c r="S883" s="109"/>
      <c r="T883" s="109"/>
      <c r="U883" s="109"/>
      <c r="V883" s="109"/>
      <c r="W883" s="109"/>
      <c r="X883" s="109"/>
      <c r="Y883" s="109"/>
      <c r="Z883" s="109"/>
    </row>
    <row r="884" ht="39.75" customHeight="1">
      <c r="A884" s="109"/>
      <c r="B884" s="109"/>
      <c r="C884" s="109"/>
      <c r="D884" s="109"/>
      <c r="E884" s="109"/>
      <c r="F884" s="109"/>
      <c r="G884" s="109"/>
      <c r="H884" s="109"/>
      <c r="I884" s="109"/>
      <c r="J884" s="109"/>
      <c r="K884" s="317"/>
      <c r="L884" s="109"/>
      <c r="M884" s="109"/>
      <c r="N884" s="109"/>
      <c r="O884" s="109"/>
      <c r="P884" s="109"/>
      <c r="Q884" s="109"/>
      <c r="R884" s="109"/>
      <c r="S884" s="109"/>
      <c r="T884" s="109"/>
      <c r="U884" s="109"/>
      <c r="V884" s="109"/>
      <c r="W884" s="109"/>
      <c r="X884" s="109"/>
      <c r="Y884" s="109"/>
      <c r="Z884" s="109"/>
    </row>
    <row r="885" ht="39.75" customHeight="1">
      <c r="A885" s="109"/>
      <c r="B885" s="109"/>
      <c r="C885" s="109"/>
      <c r="D885" s="109"/>
      <c r="E885" s="109"/>
      <c r="F885" s="109"/>
      <c r="G885" s="109"/>
      <c r="H885" s="109"/>
      <c r="I885" s="109"/>
      <c r="J885" s="109"/>
      <c r="K885" s="317"/>
      <c r="L885" s="109"/>
      <c r="M885" s="109"/>
      <c r="N885" s="109"/>
      <c r="O885" s="109"/>
      <c r="P885" s="109"/>
      <c r="Q885" s="109"/>
      <c r="R885" s="109"/>
      <c r="S885" s="109"/>
      <c r="T885" s="109"/>
      <c r="U885" s="109"/>
      <c r="V885" s="109"/>
      <c r="W885" s="109"/>
      <c r="X885" s="109"/>
      <c r="Y885" s="109"/>
      <c r="Z885" s="109"/>
    </row>
    <row r="886" ht="39.75" customHeight="1">
      <c r="A886" s="109"/>
      <c r="B886" s="109"/>
      <c r="C886" s="109"/>
      <c r="D886" s="109"/>
      <c r="E886" s="109"/>
      <c r="F886" s="109"/>
      <c r="G886" s="109"/>
      <c r="H886" s="109"/>
      <c r="I886" s="109"/>
      <c r="J886" s="109"/>
      <c r="K886" s="317"/>
      <c r="L886" s="109"/>
      <c r="M886" s="109"/>
      <c r="N886" s="109"/>
      <c r="O886" s="109"/>
      <c r="P886" s="109"/>
      <c r="Q886" s="109"/>
      <c r="R886" s="109"/>
      <c r="S886" s="109"/>
      <c r="T886" s="109"/>
      <c r="U886" s="109"/>
      <c r="V886" s="109"/>
      <c r="W886" s="109"/>
      <c r="X886" s="109"/>
      <c r="Y886" s="109"/>
      <c r="Z886" s="109"/>
    </row>
    <row r="887" ht="39.75" customHeight="1">
      <c r="A887" s="109"/>
      <c r="B887" s="109"/>
      <c r="C887" s="109"/>
      <c r="D887" s="109"/>
      <c r="E887" s="109"/>
      <c r="F887" s="109"/>
      <c r="G887" s="109"/>
      <c r="H887" s="109"/>
      <c r="I887" s="109"/>
      <c r="J887" s="109"/>
      <c r="K887" s="317"/>
      <c r="L887" s="109"/>
      <c r="M887" s="109"/>
      <c r="N887" s="109"/>
      <c r="O887" s="109"/>
      <c r="P887" s="109"/>
      <c r="Q887" s="109"/>
      <c r="R887" s="109"/>
      <c r="S887" s="109"/>
      <c r="T887" s="109"/>
      <c r="U887" s="109"/>
      <c r="V887" s="109"/>
      <c r="W887" s="109"/>
      <c r="X887" s="109"/>
      <c r="Y887" s="109"/>
      <c r="Z887" s="109"/>
    </row>
    <row r="888" ht="39.75" customHeight="1">
      <c r="A888" s="109"/>
      <c r="B888" s="109"/>
      <c r="C888" s="109"/>
      <c r="D888" s="109"/>
      <c r="E888" s="109"/>
      <c r="F888" s="109"/>
      <c r="G888" s="109"/>
      <c r="H888" s="109"/>
      <c r="I888" s="109"/>
      <c r="J888" s="109"/>
      <c r="K888" s="317"/>
      <c r="L888" s="109"/>
      <c r="M888" s="109"/>
      <c r="N888" s="109"/>
      <c r="O888" s="109"/>
      <c r="P888" s="109"/>
      <c r="Q888" s="109"/>
      <c r="R888" s="109"/>
      <c r="S888" s="109"/>
      <c r="T888" s="109"/>
      <c r="U888" s="109"/>
      <c r="V888" s="109"/>
      <c r="W888" s="109"/>
      <c r="X888" s="109"/>
      <c r="Y888" s="109"/>
      <c r="Z888" s="109"/>
    </row>
    <row r="889" ht="39.75" customHeight="1">
      <c r="A889" s="109"/>
      <c r="B889" s="109"/>
      <c r="C889" s="109"/>
      <c r="D889" s="109"/>
      <c r="E889" s="109"/>
      <c r="F889" s="109"/>
      <c r="G889" s="109"/>
      <c r="H889" s="109"/>
      <c r="I889" s="109"/>
      <c r="J889" s="109"/>
      <c r="K889" s="317"/>
      <c r="L889" s="109"/>
      <c r="M889" s="109"/>
      <c r="N889" s="109"/>
      <c r="O889" s="109"/>
      <c r="P889" s="109"/>
      <c r="Q889" s="109"/>
      <c r="R889" s="109"/>
      <c r="S889" s="109"/>
      <c r="T889" s="109"/>
      <c r="U889" s="109"/>
      <c r="V889" s="109"/>
      <c r="W889" s="109"/>
      <c r="X889" s="109"/>
      <c r="Y889" s="109"/>
      <c r="Z889" s="109"/>
    </row>
    <row r="890" ht="39.75" customHeight="1">
      <c r="A890" s="109"/>
      <c r="B890" s="109"/>
      <c r="C890" s="109"/>
      <c r="D890" s="109"/>
      <c r="E890" s="109"/>
      <c r="F890" s="109"/>
      <c r="G890" s="109"/>
      <c r="H890" s="109"/>
      <c r="I890" s="109"/>
      <c r="J890" s="109"/>
      <c r="K890" s="317"/>
      <c r="L890" s="109"/>
      <c r="M890" s="109"/>
      <c r="N890" s="109"/>
      <c r="O890" s="109"/>
      <c r="P890" s="109"/>
      <c r="Q890" s="109"/>
      <c r="R890" s="109"/>
      <c r="S890" s="109"/>
      <c r="T890" s="109"/>
      <c r="U890" s="109"/>
      <c r="V890" s="109"/>
      <c r="W890" s="109"/>
      <c r="X890" s="109"/>
      <c r="Y890" s="109"/>
      <c r="Z890" s="109"/>
    </row>
    <row r="891" ht="39.75" customHeight="1">
      <c r="A891" s="109"/>
      <c r="B891" s="109"/>
      <c r="C891" s="109"/>
      <c r="D891" s="109"/>
      <c r="E891" s="109"/>
      <c r="F891" s="109"/>
      <c r="G891" s="109"/>
      <c r="H891" s="109"/>
      <c r="I891" s="109"/>
      <c r="J891" s="109"/>
      <c r="K891" s="317"/>
      <c r="L891" s="109"/>
      <c r="M891" s="109"/>
      <c r="N891" s="109"/>
      <c r="O891" s="109"/>
      <c r="P891" s="109"/>
      <c r="Q891" s="109"/>
      <c r="R891" s="109"/>
      <c r="S891" s="109"/>
      <c r="T891" s="109"/>
      <c r="U891" s="109"/>
      <c r="V891" s="109"/>
      <c r="W891" s="109"/>
      <c r="X891" s="109"/>
      <c r="Y891" s="109"/>
      <c r="Z891" s="109"/>
    </row>
    <row r="892" ht="39.75" customHeight="1">
      <c r="A892" s="109"/>
      <c r="B892" s="109"/>
      <c r="C892" s="109"/>
      <c r="D892" s="109"/>
      <c r="E892" s="109"/>
      <c r="F892" s="109"/>
      <c r="G892" s="109"/>
      <c r="H892" s="109"/>
      <c r="I892" s="109"/>
      <c r="J892" s="109"/>
      <c r="K892" s="317"/>
      <c r="L892" s="109"/>
      <c r="M892" s="109"/>
      <c r="N892" s="109"/>
      <c r="O892" s="109"/>
      <c r="P892" s="109"/>
      <c r="Q892" s="109"/>
      <c r="R892" s="109"/>
      <c r="S892" s="109"/>
      <c r="T892" s="109"/>
      <c r="U892" s="109"/>
      <c r="V892" s="109"/>
      <c r="W892" s="109"/>
      <c r="X892" s="109"/>
      <c r="Y892" s="109"/>
      <c r="Z892" s="109"/>
    </row>
    <row r="893" ht="39.75" customHeight="1">
      <c r="A893" s="109"/>
      <c r="B893" s="109"/>
      <c r="C893" s="109"/>
      <c r="D893" s="109"/>
      <c r="E893" s="109"/>
      <c r="F893" s="109"/>
      <c r="G893" s="109"/>
      <c r="H893" s="109"/>
      <c r="I893" s="109"/>
      <c r="J893" s="109"/>
      <c r="K893" s="317"/>
      <c r="L893" s="109"/>
      <c r="M893" s="109"/>
      <c r="N893" s="109"/>
      <c r="O893" s="109"/>
      <c r="P893" s="109"/>
      <c r="Q893" s="109"/>
      <c r="R893" s="109"/>
      <c r="S893" s="109"/>
      <c r="T893" s="109"/>
      <c r="U893" s="109"/>
      <c r="V893" s="109"/>
      <c r="W893" s="109"/>
      <c r="X893" s="109"/>
      <c r="Y893" s="109"/>
      <c r="Z893" s="109"/>
    </row>
    <row r="894" ht="39.75" customHeight="1">
      <c r="A894" s="109"/>
      <c r="B894" s="109"/>
      <c r="C894" s="109"/>
      <c r="D894" s="109"/>
      <c r="E894" s="109"/>
      <c r="F894" s="109"/>
      <c r="G894" s="109"/>
      <c r="H894" s="109"/>
      <c r="I894" s="109"/>
      <c r="J894" s="109"/>
      <c r="K894" s="317"/>
      <c r="L894" s="109"/>
      <c r="M894" s="109"/>
      <c r="N894" s="109"/>
      <c r="O894" s="109"/>
      <c r="P894" s="109"/>
      <c r="Q894" s="109"/>
      <c r="R894" s="109"/>
      <c r="S894" s="109"/>
      <c r="T894" s="109"/>
      <c r="U894" s="109"/>
      <c r="V894" s="109"/>
      <c r="W894" s="109"/>
      <c r="X894" s="109"/>
      <c r="Y894" s="109"/>
      <c r="Z894" s="109"/>
    </row>
    <row r="895" ht="39.75" customHeight="1">
      <c r="A895" s="109"/>
      <c r="B895" s="109"/>
      <c r="C895" s="109"/>
      <c r="D895" s="109"/>
      <c r="E895" s="109"/>
      <c r="F895" s="109"/>
      <c r="G895" s="109"/>
      <c r="H895" s="109"/>
      <c r="I895" s="109"/>
      <c r="J895" s="109"/>
      <c r="K895" s="317"/>
      <c r="L895" s="109"/>
      <c r="M895" s="109"/>
      <c r="N895" s="109"/>
      <c r="O895" s="109"/>
      <c r="P895" s="109"/>
      <c r="Q895" s="109"/>
      <c r="R895" s="109"/>
      <c r="S895" s="109"/>
      <c r="T895" s="109"/>
      <c r="U895" s="109"/>
      <c r="V895" s="109"/>
      <c r="W895" s="109"/>
      <c r="X895" s="109"/>
      <c r="Y895" s="109"/>
      <c r="Z895" s="109"/>
    </row>
    <row r="896" ht="39.75" customHeight="1">
      <c r="A896" s="109"/>
      <c r="B896" s="109"/>
      <c r="C896" s="109"/>
      <c r="D896" s="109"/>
      <c r="E896" s="109"/>
      <c r="F896" s="109"/>
      <c r="G896" s="109"/>
      <c r="H896" s="109"/>
      <c r="I896" s="109"/>
      <c r="J896" s="109"/>
      <c r="K896" s="317"/>
      <c r="L896" s="109"/>
      <c r="M896" s="109"/>
      <c r="N896" s="109"/>
      <c r="O896" s="109"/>
      <c r="P896" s="109"/>
      <c r="Q896" s="109"/>
      <c r="R896" s="109"/>
      <c r="S896" s="109"/>
      <c r="T896" s="109"/>
      <c r="U896" s="109"/>
      <c r="V896" s="109"/>
      <c r="W896" s="109"/>
      <c r="X896" s="109"/>
      <c r="Y896" s="109"/>
      <c r="Z896" s="109"/>
    </row>
    <row r="897" ht="39.75" customHeight="1">
      <c r="A897" s="109"/>
      <c r="B897" s="109"/>
      <c r="C897" s="109"/>
      <c r="D897" s="109"/>
      <c r="E897" s="109"/>
      <c r="F897" s="109"/>
      <c r="G897" s="109"/>
      <c r="H897" s="109"/>
      <c r="I897" s="109"/>
      <c r="J897" s="109"/>
      <c r="K897" s="317"/>
      <c r="L897" s="109"/>
      <c r="M897" s="109"/>
      <c r="N897" s="109"/>
      <c r="O897" s="109"/>
      <c r="P897" s="109"/>
      <c r="Q897" s="109"/>
      <c r="R897" s="109"/>
      <c r="S897" s="109"/>
      <c r="T897" s="109"/>
      <c r="U897" s="109"/>
      <c r="V897" s="109"/>
      <c r="W897" s="109"/>
      <c r="X897" s="109"/>
      <c r="Y897" s="109"/>
      <c r="Z897" s="109"/>
    </row>
    <row r="898" ht="39.75" customHeight="1">
      <c r="A898" s="109"/>
      <c r="B898" s="109"/>
      <c r="C898" s="109"/>
      <c r="D898" s="109"/>
      <c r="E898" s="109"/>
      <c r="F898" s="109"/>
      <c r="G898" s="109"/>
      <c r="H898" s="109"/>
      <c r="I898" s="109"/>
      <c r="J898" s="109"/>
      <c r="K898" s="317"/>
      <c r="L898" s="109"/>
      <c r="M898" s="109"/>
      <c r="N898" s="109"/>
      <c r="O898" s="109"/>
      <c r="P898" s="109"/>
      <c r="Q898" s="109"/>
      <c r="R898" s="109"/>
      <c r="S898" s="109"/>
      <c r="T898" s="109"/>
      <c r="U898" s="109"/>
      <c r="V898" s="109"/>
      <c r="W898" s="109"/>
      <c r="X898" s="109"/>
      <c r="Y898" s="109"/>
      <c r="Z898" s="109"/>
    </row>
    <row r="899" ht="39.75" customHeight="1">
      <c r="A899" s="109"/>
      <c r="B899" s="109"/>
      <c r="C899" s="109"/>
      <c r="D899" s="109"/>
      <c r="E899" s="109"/>
      <c r="F899" s="109"/>
      <c r="G899" s="109"/>
      <c r="H899" s="109"/>
      <c r="I899" s="109"/>
      <c r="J899" s="109"/>
      <c r="K899" s="317"/>
      <c r="L899" s="109"/>
      <c r="M899" s="109"/>
      <c r="N899" s="109"/>
      <c r="O899" s="109"/>
      <c r="P899" s="109"/>
      <c r="Q899" s="109"/>
      <c r="R899" s="109"/>
      <c r="S899" s="109"/>
      <c r="T899" s="109"/>
      <c r="U899" s="109"/>
      <c r="V899" s="109"/>
      <c r="W899" s="109"/>
      <c r="X899" s="109"/>
      <c r="Y899" s="109"/>
      <c r="Z899" s="109"/>
    </row>
    <row r="900" ht="39.75" customHeight="1">
      <c r="A900" s="109"/>
      <c r="B900" s="109"/>
      <c r="C900" s="109"/>
      <c r="D900" s="109"/>
      <c r="E900" s="109"/>
      <c r="F900" s="109"/>
      <c r="G900" s="109"/>
      <c r="H900" s="109"/>
      <c r="I900" s="109"/>
      <c r="J900" s="109"/>
      <c r="K900" s="317"/>
      <c r="L900" s="109"/>
      <c r="M900" s="109"/>
      <c r="N900" s="109"/>
      <c r="O900" s="109"/>
      <c r="P900" s="109"/>
      <c r="Q900" s="109"/>
      <c r="R900" s="109"/>
      <c r="S900" s="109"/>
      <c r="T900" s="109"/>
      <c r="U900" s="109"/>
      <c r="V900" s="109"/>
      <c r="W900" s="109"/>
      <c r="X900" s="109"/>
      <c r="Y900" s="109"/>
      <c r="Z900" s="109"/>
    </row>
    <row r="901" ht="39.75" customHeight="1">
      <c r="A901" s="109"/>
      <c r="B901" s="109"/>
      <c r="C901" s="109"/>
      <c r="D901" s="109"/>
      <c r="E901" s="109"/>
      <c r="F901" s="109"/>
      <c r="G901" s="109"/>
      <c r="H901" s="109"/>
      <c r="I901" s="109"/>
      <c r="J901" s="109"/>
      <c r="K901" s="317"/>
      <c r="L901" s="109"/>
      <c r="M901" s="109"/>
      <c r="N901" s="109"/>
      <c r="O901" s="109"/>
      <c r="P901" s="109"/>
      <c r="Q901" s="109"/>
      <c r="R901" s="109"/>
      <c r="S901" s="109"/>
      <c r="T901" s="109"/>
      <c r="U901" s="109"/>
      <c r="V901" s="109"/>
      <c r="W901" s="109"/>
      <c r="X901" s="109"/>
      <c r="Y901" s="109"/>
      <c r="Z901" s="109"/>
    </row>
    <row r="902" ht="39.75" customHeight="1">
      <c r="A902" s="109"/>
      <c r="B902" s="109"/>
      <c r="C902" s="109"/>
      <c r="D902" s="109"/>
      <c r="E902" s="109"/>
      <c r="F902" s="109"/>
      <c r="G902" s="109"/>
      <c r="H902" s="109"/>
      <c r="I902" s="109"/>
      <c r="J902" s="109"/>
      <c r="K902" s="317"/>
      <c r="L902" s="109"/>
      <c r="M902" s="109"/>
      <c r="N902" s="109"/>
      <c r="O902" s="109"/>
      <c r="P902" s="109"/>
      <c r="Q902" s="109"/>
      <c r="R902" s="109"/>
      <c r="S902" s="109"/>
      <c r="T902" s="109"/>
      <c r="U902" s="109"/>
      <c r="V902" s="109"/>
      <c r="W902" s="109"/>
      <c r="X902" s="109"/>
      <c r="Y902" s="109"/>
      <c r="Z902" s="109"/>
    </row>
    <row r="903" ht="39.75" customHeight="1">
      <c r="A903" s="109"/>
      <c r="B903" s="109"/>
      <c r="C903" s="109"/>
      <c r="D903" s="109"/>
      <c r="E903" s="109"/>
      <c r="F903" s="109"/>
      <c r="G903" s="109"/>
      <c r="H903" s="109"/>
      <c r="I903" s="109"/>
      <c r="J903" s="109"/>
      <c r="K903" s="317"/>
      <c r="L903" s="109"/>
      <c r="M903" s="109"/>
      <c r="N903" s="109"/>
      <c r="O903" s="109"/>
      <c r="P903" s="109"/>
      <c r="Q903" s="109"/>
      <c r="R903" s="109"/>
      <c r="S903" s="109"/>
      <c r="T903" s="109"/>
      <c r="U903" s="109"/>
      <c r="V903" s="109"/>
      <c r="W903" s="109"/>
      <c r="X903" s="109"/>
      <c r="Y903" s="109"/>
      <c r="Z903" s="109"/>
    </row>
    <row r="904" ht="39.75" customHeight="1">
      <c r="A904" s="109"/>
      <c r="B904" s="109"/>
      <c r="C904" s="109"/>
      <c r="D904" s="109"/>
      <c r="E904" s="109"/>
      <c r="F904" s="109"/>
      <c r="G904" s="109"/>
      <c r="H904" s="109"/>
      <c r="I904" s="109"/>
      <c r="J904" s="109"/>
      <c r="K904" s="317"/>
      <c r="L904" s="109"/>
      <c r="M904" s="109"/>
      <c r="N904" s="109"/>
      <c r="O904" s="109"/>
      <c r="P904" s="109"/>
      <c r="Q904" s="109"/>
      <c r="R904" s="109"/>
      <c r="S904" s="109"/>
      <c r="T904" s="109"/>
      <c r="U904" s="109"/>
      <c r="V904" s="109"/>
      <c r="W904" s="109"/>
      <c r="X904" s="109"/>
      <c r="Y904" s="109"/>
      <c r="Z904" s="109"/>
    </row>
    <row r="905" ht="39.75" customHeight="1">
      <c r="A905" s="109"/>
      <c r="B905" s="109"/>
      <c r="C905" s="109"/>
      <c r="D905" s="109"/>
      <c r="E905" s="109"/>
      <c r="F905" s="109"/>
      <c r="G905" s="109"/>
      <c r="H905" s="109"/>
      <c r="I905" s="109"/>
      <c r="J905" s="109"/>
      <c r="K905" s="317"/>
      <c r="L905" s="109"/>
      <c r="M905" s="109"/>
      <c r="N905" s="109"/>
      <c r="O905" s="109"/>
      <c r="P905" s="109"/>
      <c r="Q905" s="109"/>
      <c r="R905" s="109"/>
      <c r="S905" s="109"/>
      <c r="T905" s="109"/>
      <c r="U905" s="109"/>
      <c r="V905" s="109"/>
      <c r="W905" s="109"/>
      <c r="X905" s="109"/>
      <c r="Y905" s="109"/>
      <c r="Z905" s="109"/>
    </row>
    <row r="906" ht="39.75" customHeight="1">
      <c r="A906" s="109"/>
      <c r="B906" s="109"/>
      <c r="C906" s="109"/>
      <c r="D906" s="109"/>
      <c r="E906" s="109"/>
      <c r="F906" s="109"/>
      <c r="G906" s="109"/>
      <c r="H906" s="109"/>
      <c r="I906" s="109"/>
      <c r="J906" s="109"/>
      <c r="K906" s="317"/>
      <c r="L906" s="109"/>
      <c r="M906" s="109"/>
      <c r="N906" s="109"/>
      <c r="O906" s="109"/>
      <c r="P906" s="109"/>
      <c r="Q906" s="109"/>
      <c r="R906" s="109"/>
      <c r="S906" s="109"/>
      <c r="T906" s="109"/>
      <c r="U906" s="109"/>
      <c r="V906" s="109"/>
      <c r="W906" s="109"/>
      <c r="X906" s="109"/>
      <c r="Y906" s="109"/>
      <c r="Z906" s="109"/>
    </row>
    <row r="907" ht="39.75" customHeight="1">
      <c r="A907" s="109"/>
      <c r="B907" s="109"/>
      <c r="C907" s="109"/>
      <c r="D907" s="109"/>
      <c r="E907" s="109"/>
      <c r="F907" s="109"/>
      <c r="G907" s="109"/>
      <c r="H907" s="109"/>
      <c r="I907" s="109"/>
      <c r="J907" s="109"/>
      <c r="K907" s="317"/>
      <c r="L907" s="109"/>
      <c r="M907" s="109"/>
      <c r="N907" s="109"/>
      <c r="O907" s="109"/>
      <c r="P907" s="109"/>
      <c r="Q907" s="109"/>
      <c r="R907" s="109"/>
      <c r="S907" s="109"/>
      <c r="T907" s="109"/>
      <c r="U907" s="109"/>
      <c r="V907" s="109"/>
      <c r="W907" s="109"/>
      <c r="X907" s="109"/>
      <c r="Y907" s="109"/>
      <c r="Z907" s="109"/>
    </row>
    <row r="908" ht="39.75" customHeight="1">
      <c r="A908" s="109"/>
      <c r="B908" s="109"/>
      <c r="C908" s="109"/>
      <c r="D908" s="109"/>
      <c r="E908" s="109"/>
      <c r="F908" s="109"/>
      <c r="G908" s="109"/>
      <c r="H908" s="109"/>
      <c r="I908" s="109"/>
      <c r="J908" s="109"/>
      <c r="K908" s="317"/>
      <c r="L908" s="109"/>
      <c r="M908" s="109"/>
      <c r="N908" s="109"/>
      <c r="O908" s="109"/>
      <c r="P908" s="109"/>
      <c r="Q908" s="109"/>
      <c r="R908" s="109"/>
      <c r="S908" s="109"/>
      <c r="T908" s="109"/>
      <c r="U908" s="109"/>
      <c r="V908" s="109"/>
      <c r="W908" s="109"/>
      <c r="X908" s="109"/>
      <c r="Y908" s="109"/>
      <c r="Z908" s="109"/>
    </row>
    <row r="909" ht="39.75" customHeight="1">
      <c r="A909" s="109"/>
      <c r="B909" s="109"/>
      <c r="C909" s="109"/>
      <c r="D909" s="109"/>
      <c r="E909" s="109"/>
      <c r="F909" s="109"/>
      <c r="G909" s="109"/>
      <c r="H909" s="109"/>
      <c r="I909" s="109"/>
      <c r="J909" s="109"/>
      <c r="K909" s="317"/>
      <c r="L909" s="109"/>
      <c r="M909" s="109"/>
      <c r="N909" s="109"/>
      <c r="O909" s="109"/>
      <c r="P909" s="109"/>
      <c r="Q909" s="109"/>
      <c r="R909" s="109"/>
      <c r="S909" s="109"/>
      <c r="T909" s="109"/>
      <c r="U909" s="109"/>
      <c r="V909" s="109"/>
      <c r="W909" s="109"/>
      <c r="X909" s="109"/>
      <c r="Y909" s="109"/>
      <c r="Z909" s="109"/>
    </row>
    <row r="910" ht="39.75" customHeight="1">
      <c r="A910" s="109"/>
      <c r="B910" s="109"/>
      <c r="C910" s="109"/>
      <c r="D910" s="109"/>
      <c r="E910" s="109"/>
      <c r="F910" s="109"/>
      <c r="G910" s="109"/>
      <c r="H910" s="109"/>
      <c r="I910" s="109"/>
      <c r="J910" s="109"/>
      <c r="K910" s="317"/>
      <c r="L910" s="109"/>
      <c r="M910" s="109"/>
      <c r="N910" s="109"/>
      <c r="O910" s="109"/>
      <c r="P910" s="109"/>
      <c r="Q910" s="109"/>
      <c r="R910" s="109"/>
      <c r="S910" s="109"/>
      <c r="T910" s="109"/>
      <c r="U910" s="109"/>
      <c r="V910" s="109"/>
      <c r="W910" s="109"/>
      <c r="X910" s="109"/>
      <c r="Y910" s="109"/>
      <c r="Z910" s="109"/>
    </row>
    <row r="911" ht="39.75" customHeight="1">
      <c r="A911" s="109"/>
      <c r="B911" s="109"/>
      <c r="C911" s="109"/>
      <c r="D911" s="109"/>
      <c r="E911" s="109"/>
      <c r="F911" s="109"/>
      <c r="G911" s="109"/>
      <c r="H911" s="109"/>
      <c r="I911" s="109"/>
      <c r="J911" s="109"/>
      <c r="K911" s="317"/>
      <c r="L911" s="109"/>
      <c r="M911" s="109"/>
      <c r="N911" s="109"/>
      <c r="O911" s="109"/>
      <c r="P911" s="109"/>
      <c r="Q911" s="109"/>
      <c r="R911" s="109"/>
      <c r="S911" s="109"/>
      <c r="T911" s="109"/>
      <c r="U911" s="109"/>
      <c r="V911" s="109"/>
      <c r="W911" s="109"/>
      <c r="X911" s="109"/>
      <c r="Y911" s="109"/>
      <c r="Z911" s="109"/>
    </row>
    <row r="912" ht="39.75" customHeight="1">
      <c r="A912" s="109"/>
      <c r="B912" s="109"/>
      <c r="C912" s="109"/>
      <c r="D912" s="109"/>
      <c r="E912" s="109"/>
      <c r="F912" s="109"/>
      <c r="G912" s="109"/>
      <c r="H912" s="109"/>
      <c r="I912" s="109"/>
      <c r="J912" s="109"/>
      <c r="K912" s="317"/>
      <c r="L912" s="109"/>
      <c r="M912" s="109"/>
      <c r="N912" s="109"/>
      <c r="O912" s="109"/>
      <c r="P912" s="109"/>
      <c r="Q912" s="109"/>
      <c r="R912" s="109"/>
      <c r="S912" s="109"/>
      <c r="T912" s="109"/>
      <c r="U912" s="109"/>
      <c r="V912" s="109"/>
      <c r="W912" s="109"/>
      <c r="X912" s="109"/>
      <c r="Y912" s="109"/>
      <c r="Z912" s="109"/>
    </row>
    <row r="913" ht="39.75" customHeight="1">
      <c r="A913" s="109"/>
      <c r="B913" s="109"/>
      <c r="C913" s="109"/>
      <c r="D913" s="109"/>
      <c r="E913" s="109"/>
      <c r="F913" s="109"/>
      <c r="G913" s="109"/>
      <c r="H913" s="109"/>
      <c r="I913" s="109"/>
      <c r="J913" s="109"/>
      <c r="K913" s="317"/>
      <c r="L913" s="109"/>
      <c r="M913" s="109"/>
      <c r="N913" s="109"/>
      <c r="O913" s="109"/>
      <c r="P913" s="109"/>
      <c r="Q913" s="109"/>
      <c r="R913" s="109"/>
      <c r="S913" s="109"/>
      <c r="T913" s="109"/>
      <c r="U913" s="109"/>
      <c r="V913" s="109"/>
      <c r="W913" s="109"/>
      <c r="X913" s="109"/>
      <c r="Y913" s="109"/>
      <c r="Z913" s="109"/>
    </row>
    <row r="914" ht="39.75" customHeight="1">
      <c r="A914" s="109"/>
      <c r="B914" s="109"/>
      <c r="C914" s="109"/>
      <c r="D914" s="109"/>
      <c r="E914" s="109"/>
      <c r="F914" s="109"/>
      <c r="G914" s="109"/>
      <c r="H914" s="109"/>
      <c r="I914" s="109"/>
      <c r="J914" s="109"/>
      <c r="K914" s="317"/>
      <c r="L914" s="109"/>
      <c r="M914" s="109"/>
      <c r="N914" s="109"/>
      <c r="O914" s="109"/>
      <c r="P914" s="109"/>
      <c r="Q914" s="109"/>
      <c r="R914" s="109"/>
      <c r="S914" s="109"/>
      <c r="T914" s="109"/>
      <c r="U914" s="109"/>
      <c r="V914" s="109"/>
      <c r="W914" s="109"/>
      <c r="X914" s="109"/>
      <c r="Y914" s="109"/>
      <c r="Z914" s="109"/>
    </row>
    <row r="915" ht="39.75" customHeight="1">
      <c r="A915" s="109"/>
      <c r="B915" s="109"/>
      <c r="C915" s="109"/>
      <c r="D915" s="109"/>
      <c r="E915" s="109"/>
      <c r="F915" s="109"/>
      <c r="G915" s="109"/>
      <c r="H915" s="109"/>
      <c r="I915" s="109"/>
      <c r="J915" s="109"/>
      <c r="K915" s="317"/>
      <c r="L915" s="109"/>
      <c r="M915" s="109"/>
      <c r="N915" s="109"/>
      <c r="O915" s="109"/>
      <c r="P915" s="109"/>
      <c r="Q915" s="109"/>
      <c r="R915" s="109"/>
      <c r="S915" s="109"/>
      <c r="T915" s="109"/>
      <c r="U915" s="109"/>
      <c r="V915" s="109"/>
      <c r="W915" s="109"/>
      <c r="X915" s="109"/>
      <c r="Y915" s="109"/>
      <c r="Z915" s="109"/>
    </row>
    <row r="916" ht="39.75" customHeight="1">
      <c r="A916" s="109"/>
      <c r="B916" s="109"/>
      <c r="C916" s="109"/>
      <c r="D916" s="109"/>
      <c r="E916" s="109"/>
      <c r="F916" s="109"/>
      <c r="G916" s="109"/>
      <c r="H916" s="109"/>
      <c r="I916" s="109"/>
      <c r="J916" s="109"/>
      <c r="K916" s="317"/>
      <c r="L916" s="109"/>
      <c r="M916" s="109"/>
      <c r="N916" s="109"/>
      <c r="O916" s="109"/>
      <c r="P916" s="109"/>
      <c r="Q916" s="109"/>
      <c r="R916" s="109"/>
      <c r="S916" s="109"/>
      <c r="T916" s="109"/>
      <c r="U916" s="109"/>
      <c r="V916" s="109"/>
      <c r="W916" s="109"/>
      <c r="X916" s="109"/>
      <c r="Y916" s="109"/>
      <c r="Z916" s="109"/>
    </row>
    <row r="917" ht="39.75" customHeight="1">
      <c r="A917" s="109"/>
      <c r="B917" s="109"/>
      <c r="C917" s="109"/>
      <c r="D917" s="109"/>
      <c r="E917" s="109"/>
      <c r="F917" s="109"/>
      <c r="G917" s="109"/>
      <c r="H917" s="109"/>
      <c r="I917" s="109"/>
      <c r="J917" s="109"/>
      <c r="K917" s="317"/>
      <c r="L917" s="109"/>
      <c r="M917" s="109"/>
      <c r="N917" s="109"/>
      <c r="O917" s="109"/>
      <c r="P917" s="109"/>
      <c r="Q917" s="109"/>
      <c r="R917" s="109"/>
      <c r="S917" s="109"/>
      <c r="T917" s="109"/>
      <c r="U917" s="109"/>
      <c r="V917" s="109"/>
      <c r="W917" s="109"/>
      <c r="X917" s="109"/>
      <c r="Y917" s="109"/>
      <c r="Z917" s="109"/>
    </row>
    <row r="918" ht="39.75" customHeight="1">
      <c r="A918" s="109"/>
      <c r="B918" s="109"/>
      <c r="C918" s="109"/>
      <c r="D918" s="109"/>
      <c r="E918" s="109"/>
      <c r="F918" s="109"/>
      <c r="G918" s="109"/>
      <c r="H918" s="109"/>
      <c r="I918" s="109"/>
      <c r="J918" s="109"/>
      <c r="K918" s="317"/>
      <c r="L918" s="109"/>
      <c r="M918" s="109"/>
      <c r="N918" s="109"/>
      <c r="O918" s="109"/>
      <c r="P918" s="109"/>
      <c r="Q918" s="109"/>
      <c r="R918" s="109"/>
      <c r="S918" s="109"/>
      <c r="T918" s="109"/>
      <c r="U918" s="109"/>
      <c r="V918" s="109"/>
      <c r="W918" s="109"/>
      <c r="X918" s="109"/>
      <c r="Y918" s="109"/>
      <c r="Z918" s="109"/>
    </row>
    <row r="919" ht="39.75" customHeight="1">
      <c r="A919" s="109"/>
      <c r="B919" s="109"/>
      <c r="C919" s="109"/>
      <c r="D919" s="109"/>
      <c r="E919" s="109"/>
      <c r="F919" s="109"/>
      <c r="G919" s="109"/>
      <c r="H919" s="109"/>
      <c r="I919" s="109"/>
      <c r="J919" s="109"/>
      <c r="K919" s="317"/>
      <c r="L919" s="109"/>
      <c r="M919" s="109"/>
      <c r="N919" s="109"/>
      <c r="O919" s="109"/>
      <c r="P919" s="109"/>
      <c r="Q919" s="109"/>
      <c r="R919" s="109"/>
      <c r="S919" s="109"/>
      <c r="T919" s="109"/>
      <c r="U919" s="109"/>
      <c r="V919" s="109"/>
      <c r="W919" s="109"/>
      <c r="X919" s="109"/>
      <c r="Y919" s="109"/>
      <c r="Z919" s="109"/>
    </row>
    <row r="920" ht="39.75" customHeight="1">
      <c r="A920" s="109"/>
      <c r="B920" s="109"/>
      <c r="C920" s="109"/>
      <c r="D920" s="109"/>
      <c r="E920" s="109"/>
      <c r="F920" s="109"/>
      <c r="G920" s="109"/>
      <c r="H920" s="109"/>
      <c r="I920" s="109"/>
      <c r="J920" s="109"/>
      <c r="K920" s="317"/>
      <c r="L920" s="109"/>
      <c r="M920" s="109"/>
      <c r="N920" s="109"/>
      <c r="O920" s="109"/>
      <c r="P920" s="109"/>
      <c r="Q920" s="109"/>
      <c r="R920" s="109"/>
      <c r="S920" s="109"/>
      <c r="T920" s="109"/>
      <c r="U920" s="109"/>
      <c r="V920" s="109"/>
      <c r="W920" s="109"/>
      <c r="X920" s="109"/>
      <c r="Y920" s="109"/>
      <c r="Z920" s="109"/>
    </row>
    <row r="921" ht="39.75" customHeight="1">
      <c r="A921" s="109"/>
      <c r="B921" s="109"/>
      <c r="C921" s="109"/>
      <c r="D921" s="109"/>
      <c r="E921" s="109"/>
      <c r="F921" s="109"/>
      <c r="G921" s="109"/>
      <c r="H921" s="109"/>
      <c r="I921" s="109"/>
      <c r="J921" s="109"/>
      <c r="K921" s="317"/>
      <c r="L921" s="109"/>
      <c r="M921" s="109"/>
      <c r="N921" s="109"/>
      <c r="O921" s="109"/>
      <c r="P921" s="109"/>
      <c r="Q921" s="109"/>
      <c r="R921" s="109"/>
      <c r="S921" s="109"/>
      <c r="T921" s="109"/>
      <c r="U921" s="109"/>
      <c r="V921" s="109"/>
      <c r="W921" s="109"/>
      <c r="X921" s="109"/>
      <c r="Y921" s="109"/>
      <c r="Z921" s="109"/>
    </row>
    <row r="922" ht="39.75" customHeight="1">
      <c r="A922" s="109"/>
      <c r="B922" s="109"/>
      <c r="C922" s="109"/>
      <c r="D922" s="109"/>
      <c r="E922" s="109"/>
      <c r="F922" s="109"/>
      <c r="G922" s="109"/>
      <c r="H922" s="109"/>
      <c r="I922" s="109"/>
      <c r="J922" s="109"/>
      <c r="K922" s="317"/>
      <c r="L922" s="109"/>
      <c r="M922" s="109"/>
      <c r="N922" s="109"/>
      <c r="O922" s="109"/>
      <c r="P922" s="109"/>
      <c r="Q922" s="109"/>
      <c r="R922" s="109"/>
      <c r="S922" s="109"/>
      <c r="T922" s="109"/>
      <c r="U922" s="109"/>
      <c r="V922" s="109"/>
      <c r="W922" s="109"/>
      <c r="X922" s="109"/>
      <c r="Y922" s="109"/>
      <c r="Z922" s="109"/>
    </row>
    <row r="923" ht="39.75" customHeight="1">
      <c r="A923" s="109"/>
      <c r="B923" s="109"/>
      <c r="C923" s="109"/>
      <c r="D923" s="109"/>
      <c r="E923" s="109"/>
      <c r="F923" s="109"/>
      <c r="G923" s="109"/>
      <c r="H923" s="109"/>
      <c r="I923" s="109"/>
      <c r="J923" s="109"/>
      <c r="K923" s="317"/>
      <c r="L923" s="109"/>
      <c r="M923" s="109"/>
      <c r="N923" s="109"/>
      <c r="O923" s="109"/>
      <c r="P923" s="109"/>
      <c r="Q923" s="109"/>
      <c r="R923" s="109"/>
      <c r="S923" s="109"/>
      <c r="T923" s="109"/>
      <c r="U923" s="109"/>
      <c r="V923" s="109"/>
      <c r="W923" s="109"/>
      <c r="X923" s="109"/>
      <c r="Y923" s="109"/>
      <c r="Z923" s="109"/>
    </row>
    <row r="924" ht="39.75" customHeight="1">
      <c r="A924" s="109"/>
      <c r="B924" s="109"/>
      <c r="C924" s="109"/>
      <c r="D924" s="109"/>
      <c r="E924" s="109"/>
      <c r="F924" s="109"/>
      <c r="G924" s="109"/>
      <c r="H924" s="109"/>
      <c r="I924" s="109"/>
      <c r="J924" s="109"/>
      <c r="K924" s="317"/>
      <c r="L924" s="109"/>
      <c r="M924" s="109"/>
      <c r="N924" s="109"/>
      <c r="O924" s="109"/>
      <c r="P924" s="109"/>
      <c r="Q924" s="109"/>
      <c r="R924" s="109"/>
      <c r="S924" s="109"/>
      <c r="T924" s="109"/>
      <c r="U924" s="109"/>
      <c r="V924" s="109"/>
      <c r="W924" s="109"/>
      <c r="X924" s="109"/>
      <c r="Y924" s="109"/>
      <c r="Z924" s="109"/>
    </row>
    <row r="925" ht="39.75" customHeight="1">
      <c r="A925" s="109"/>
      <c r="B925" s="109"/>
      <c r="C925" s="109"/>
      <c r="D925" s="109"/>
      <c r="E925" s="109"/>
      <c r="F925" s="109"/>
      <c r="G925" s="109"/>
      <c r="H925" s="109"/>
      <c r="I925" s="109"/>
      <c r="J925" s="109"/>
      <c r="K925" s="317"/>
      <c r="L925" s="109"/>
      <c r="M925" s="109"/>
      <c r="N925" s="109"/>
      <c r="O925" s="109"/>
      <c r="P925" s="109"/>
      <c r="Q925" s="109"/>
      <c r="R925" s="109"/>
      <c r="S925" s="109"/>
      <c r="T925" s="109"/>
      <c r="U925" s="109"/>
      <c r="V925" s="109"/>
      <c r="W925" s="109"/>
      <c r="X925" s="109"/>
      <c r="Y925" s="109"/>
      <c r="Z925" s="109"/>
    </row>
    <row r="926" ht="39.75" customHeight="1">
      <c r="A926" s="109"/>
      <c r="B926" s="109"/>
      <c r="C926" s="109"/>
      <c r="D926" s="109"/>
      <c r="E926" s="109"/>
      <c r="F926" s="109"/>
      <c r="G926" s="109"/>
      <c r="H926" s="109"/>
      <c r="I926" s="109"/>
      <c r="J926" s="109"/>
      <c r="K926" s="317"/>
      <c r="L926" s="109"/>
      <c r="M926" s="109"/>
      <c r="N926" s="109"/>
      <c r="O926" s="109"/>
      <c r="P926" s="109"/>
      <c r="Q926" s="109"/>
      <c r="R926" s="109"/>
      <c r="S926" s="109"/>
      <c r="T926" s="109"/>
      <c r="U926" s="109"/>
      <c r="V926" s="109"/>
      <c r="W926" s="109"/>
      <c r="X926" s="109"/>
      <c r="Y926" s="109"/>
      <c r="Z926" s="109"/>
    </row>
    <row r="927" ht="39.75" customHeight="1">
      <c r="A927" s="109"/>
      <c r="B927" s="109"/>
      <c r="C927" s="109"/>
      <c r="D927" s="109"/>
      <c r="E927" s="109"/>
      <c r="F927" s="109"/>
      <c r="G927" s="109"/>
      <c r="H927" s="109"/>
      <c r="I927" s="109"/>
      <c r="J927" s="109"/>
      <c r="K927" s="317"/>
      <c r="L927" s="109"/>
      <c r="M927" s="109"/>
      <c r="N927" s="109"/>
      <c r="O927" s="109"/>
      <c r="P927" s="109"/>
      <c r="Q927" s="109"/>
      <c r="R927" s="109"/>
      <c r="S927" s="109"/>
      <c r="T927" s="109"/>
      <c r="U927" s="109"/>
      <c r="V927" s="109"/>
      <c r="W927" s="109"/>
      <c r="X927" s="109"/>
      <c r="Y927" s="109"/>
      <c r="Z927" s="109"/>
    </row>
    <row r="928" ht="39.75" customHeight="1">
      <c r="A928" s="109"/>
      <c r="B928" s="109"/>
      <c r="C928" s="109"/>
      <c r="D928" s="109"/>
      <c r="E928" s="109"/>
      <c r="F928" s="109"/>
      <c r="G928" s="109"/>
      <c r="H928" s="109"/>
      <c r="I928" s="109"/>
      <c r="J928" s="109"/>
      <c r="K928" s="317"/>
      <c r="L928" s="109"/>
      <c r="M928" s="109"/>
      <c r="N928" s="109"/>
      <c r="O928" s="109"/>
      <c r="P928" s="109"/>
      <c r="Q928" s="109"/>
      <c r="R928" s="109"/>
      <c r="S928" s="109"/>
      <c r="T928" s="109"/>
      <c r="U928" s="109"/>
      <c r="V928" s="109"/>
      <c r="W928" s="109"/>
      <c r="X928" s="109"/>
      <c r="Y928" s="109"/>
      <c r="Z928" s="109"/>
    </row>
    <row r="929" ht="39.75" customHeight="1">
      <c r="A929" s="109"/>
      <c r="B929" s="109"/>
      <c r="C929" s="109"/>
      <c r="D929" s="109"/>
      <c r="E929" s="109"/>
      <c r="F929" s="109"/>
      <c r="G929" s="109"/>
      <c r="H929" s="109"/>
      <c r="I929" s="109"/>
      <c r="J929" s="109"/>
      <c r="K929" s="317"/>
      <c r="L929" s="109"/>
      <c r="M929" s="109"/>
      <c r="N929" s="109"/>
      <c r="O929" s="109"/>
      <c r="P929" s="109"/>
      <c r="Q929" s="109"/>
      <c r="R929" s="109"/>
      <c r="S929" s="109"/>
      <c r="T929" s="109"/>
      <c r="U929" s="109"/>
      <c r="V929" s="109"/>
      <c r="W929" s="109"/>
      <c r="X929" s="109"/>
      <c r="Y929" s="109"/>
      <c r="Z929" s="109"/>
    </row>
    <row r="930" ht="39.75" customHeight="1">
      <c r="A930" s="109"/>
      <c r="B930" s="109"/>
      <c r="C930" s="109"/>
      <c r="D930" s="109"/>
      <c r="E930" s="109"/>
      <c r="F930" s="109"/>
      <c r="G930" s="109"/>
      <c r="H930" s="109"/>
      <c r="I930" s="109"/>
      <c r="J930" s="109"/>
      <c r="K930" s="317"/>
      <c r="L930" s="109"/>
      <c r="M930" s="109"/>
      <c r="N930" s="109"/>
      <c r="O930" s="109"/>
      <c r="P930" s="109"/>
      <c r="Q930" s="109"/>
      <c r="R930" s="109"/>
      <c r="S930" s="109"/>
      <c r="T930" s="109"/>
      <c r="U930" s="109"/>
      <c r="V930" s="109"/>
      <c r="W930" s="109"/>
      <c r="X930" s="109"/>
      <c r="Y930" s="109"/>
      <c r="Z930" s="109"/>
    </row>
    <row r="931" ht="39.75" customHeight="1">
      <c r="A931" s="109"/>
      <c r="B931" s="109"/>
      <c r="C931" s="109"/>
      <c r="D931" s="109"/>
      <c r="E931" s="109"/>
      <c r="F931" s="109"/>
      <c r="G931" s="109"/>
      <c r="H931" s="109"/>
      <c r="I931" s="109"/>
      <c r="J931" s="109"/>
      <c r="K931" s="317"/>
      <c r="L931" s="109"/>
      <c r="M931" s="109"/>
      <c r="N931" s="109"/>
      <c r="O931" s="109"/>
      <c r="P931" s="109"/>
      <c r="Q931" s="109"/>
      <c r="R931" s="109"/>
      <c r="S931" s="109"/>
      <c r="T931" s="109"/>
      <c r="U931" s="109"/>
      <c r="V931" s="109"/>
      <c r="W931" s="109"/>
      <c r="X931" s="109"/>
      <c r="Y931" s="109"/>
      <c r="Z931" s="109"/>
    </row>
    <row r="932" ht="39.75" customHeight="1">
      <c r="A932" s="109"/>
      <c r="B932" s="109"/>
      <c r="C932" s="109"/>
      <c r="D932" s="109"/>
      <c r="E932" s="109"/>
      <c r="F932" s="109"/>
      <c r="G932" s="109"/>
      <c r="H932" s="109"/>
      <c r="I932" s="109"/>
      <c r="J932" s="109"/>
      <c r="K932" s="317"/>
      <c r="L932" s="109"/>
      <c r="M932" s="109"/>
      <c r="N932" s="109"/>
      <c r="O932" s="109"/>
      <c r="P932" s="109"/>
      <c r="Q932" s="109"/>
      <c r="R932" s="109"/>
      <c r="S932" s="109"/>
      <c r="T932" s="109"/>
      <c r="U932" s="109"/>
      <c r="V932" s="109"/>
      <c r="W932" s="109"/>
      <c r="X932" s="109"/>
      <c r="Y932" s="109"/>
      <c r="Z932" s="109"/>
    </row>
    <row r="933" ht="39.75" customHeight="1">
      <c r="A933" s="109"/>
      <c r="B933" s="109"/>
      <c r="C933" s="109"/>
      <c r="D933" s="109"/>
      <c r="E933" s="109"/>
      <c r="F933" s="109"/>
      <c r="G933" s="109"/>
      <c r="H933" s="109"/>
      <c r="I933" s="109"/>
      <c r="J933" s="109"/>
      <c r="K933" s="317"/>
      <c r="L933" s="109"/>
      <c r="M933" s="109"/>
      <c r="N933" s="109"/>
      <c r="O933" s="109"/>
      <c r="P933" s="109"/>
      <c r="Q933" s="109"/>
      <c r="R933" s="109"/>
      <c r="S933" s="109"/>
      <c r="T933" s="109"/>
      <c r="U933" s="109"/>
      <c r="V933" s="109"/>
      <c r="W933" s="109"/>
      <c r="X933" s="109"/>
      <c r="Y933" s="109"/>
      <c r="Z933" s="109"/>
    </row>
    <row r="934" ht="39.75" customHeight="1">
      <c r="A934" s="109"/>
      <c r="B934" s="109"/>
      <c r="C934" s="109"/>
      <c r="D934" s="109"/>
      <c r="E934" s="109"/>
      <c r="F934" s="109"/>
      <c r="G934" s="109"/>
      <c r="H934" s="109"/>
      <c r="I934" s="109"/>
      <c r="J934" s="109"/>
      <c r="K934" s="317"/>
      <c r="L934" s="109"/>
      <c r="M934" s="109"/>
      <c r="N934" s="109"/>
      <c r="O934" s="109"/>
      <c r="P934" s="109"/>
      <c r="Q934" s="109"/>
      <c r="R934" s="109"/>
      <c r="S934" s="109"/>
      <c r="T934" s="109"/>
      <c r="U934" s="109"/>
      <c r="V934" s="109"/>
      <c r="W934" s="109"/>
      <c r="X934" s="109"/>
      <c r="Y934" s="109"/>
      <c r="Z934" s="109"/>
    </row>
    <row r="935" ht="39.75" customHeight="1">
      <c r="A935" s="109"/>
      <c r="B935" s="109"/>
      <c r="C935" s="109"/>
      <c r="D935" s="109"/>
      <c r="E935" s="109"/>
      <c r="F935" s="109"/>
      <c r="G935" s="109"/>
      <c r="H935" s="109"/>
      <c r="I935" s="109"/>
      <c r="J935" s="109"/>
      <c r="K935" s="317"/>
      <c r="L935" s="109"/>
      <c r="M935" s="109"/>
      <c r="N935" s="109"/>
      <c r="O935" s="109"/>
      <c r="P935" s="109"/>
      <c r="Q935" s="109"/>
      <c r="R935" s="109"/>
      <c r="S935" s="109"/>
      <c r="T935" s="109"/>
      <c r="U935" s="109"/>
      <c r="V935" s="109"/>
      <c r="W935" s="109"/>
      <c r="X935" s="109"/>
      <c r="Y935" s="109"/>
      <c r="Z935" s="109"/>
    </row>
    <row r="936" ht="39.75" customHeight="1">
      <c r="A936" s="109"/>
      <c r="B936" s="109"/>
      <c r="C936" s="109"/>
      <c r="D936" s="109"/>
      <c r="E936" s="109"/>
      <c r="F936" s="109"/>
      <c r="G936" s="109"/>
      <c r="H936" s="109"/>
      <c r="I936" s="109"/>
      <c r="J936" s="109"/>
      <c r="K936" s="317"/>
      <c r="L936" s="109"/>
      <c r="M936" s="109"/>
      <c r="N936" s="109"/>
      <c r="O936" s="109"/>
      <c r="P936" s="109"/>
      <c r="Q936" s="109"/>
      <c r="R936" s="109"/>
      <c r="S936" s="109"/>
      <c r="T936" s="109"/>
      <c r="U936" s="109"/>
      <c r="V936" s="109"/>
      <c r="W936" s="109"/>
      <c r="X936" s="109"/>
      <c r="Y936" s="109"/>
      <c r="Z936" s="109"/>
    </row>
    <row r="937" ht="39.75" customHeight="1">
      <c r="A937" s="109"/>
      <c r="B937" s="109"/>
      <c r="C937" s="109"/>
      <c r="D937" s="109"/>
      <c r="E937" s="109"/>
      <c r="F937" s="109"/>
      <c r="G937" s="109"/>
      <c r="H937" s="109"/>
      <c r="I937" s="109"/>
      <c r="J937" s="109"/>
      <c r="K937" s="317"/>
      <c r="L937" s="109"/>
      <c r="M937" s="109"/>
      <c r="N937" s="109"/>
      <c r="O937" s="109"/>
      <c r="P937" s="109"/>
      <c r="Q937" s="109"/>
      <c r="R937" s="109"/>
      <c r="S937" s="109"/>
      <c r="T937" s="109"/>
      <c r="U937" s="109"/>
      <c r="V937" s="109"/>
      <c r="W937" s="109"/>
      <c r="X937" s="109"/>
      <c r="Y937" s="109"/>
      <c r="Z937" s="109"/>
    </row>
    <row r="938" ht="39.75" customHeight="1">
      <c r="A938" s="109"/>
      <c r="B938" s="109"/>
      <c r="C938" s="109"/>
      <c r="D938" s="109"/>
      <c r="E938" s="109"/>
      <c r="F938" s="109"/>
      <c r="G938" s="109"/>
      <c r="H938" s="109"/>
      <c r="I938" s="109"/>
      <c r="J938" s="109"/>
      <c r="K938" s="317"/>
      <c r="L938" s="109"/>
      <c r="M938" s="109"/>
      <c r="N938" s="109"/>
      <c r="O938" s="109"/>
      <c r="P938" s="109"/>
      <c r="Q938" s="109"/>
      <c r="R938" s="109"/>
      <c r="S938" s="109"/>
      <c r="T938" s="109"/>
      <c r="U938" s="109"/>
      <c r="V938" s="109"/>
      <c r="W938" s="109"/>
      <c r="X938" s="109"/>
      <c r="Y938" s="109"/>
      <c r="Z938" s="109"/>
    </row>
    <row r="939" ht="39.75" customHeight="1">
      <c r="A939" s="109"/>
      <c r="B939" s="109"/>
      <c r="C939" s="109"/>
      <c r="D939" s="109"/>
      <c r="E939" s="109"/>
      <c r="F939" s="109"/>
      <c r="G939" s="109"/>
      <c r="H939" s="109"/>
      <c r="I939" s="109"/>
      <c r="J939" s="109"/>
      <c r="K939" s="317"/>
      <c r="L939" s="109"/>
      <c r="M939" s="109"/>
      <c r="N939" s="109"/>
      <c r="O939" s="109"/>
      <c r="P939" s="109"/>
      <c r="Q939" s="109"/>
      <c r="R939" s="109"/>
      <c r="S939" s="109"/>
      <c r="T939" s="109"/>
      <c r="U939" s="109"/>
      <c r="V939" s="109"/>
      <c r="W939" s="109"/>
      <c r="X939" s="109"/>
      <c r="Y939" s="109"/>
      <c r="Z939" s="109"/>
    </row>
    <row r="940" ht="39.75" customHeight="1">
      <c r="A940" s="109"/>
      <c r="B940" s="109"/>
      <c r="C940" s="109"/>
      <c r="D940" s="109"/>
      <c r="E940" s="109"/>
      <c r="F940" s="109"/>
      <c r="G940" s="109"/>
      <c r="H940" s="109"/>
      <c r="I940" s="109"/>
      <c r="J940" s="109"/>
      <c r="K940" s="317"/>
      <c r="L940" s="109"/>
      <c r="M940" s="109"/>
      <c r="N940" s="109"/>
      <c r="O940" s="109"/>
      <c r="P940" s="109"/>
      <c r="Q940" s="109"/>
      <c r="R940" s="109"/>
      <c r="S940" s="109"/>
      <c r="T940" s="109"/>
      <c r="U940" s="109"/>
      <c r="V940" s="109"/>
      <c r="W940" s="109"/>
      <c r="X940" s="109"/>
      <c r="Y940" s="109"/>
      <c r="Z940" s="109"/>
    </row>
    <row r="941" ht="39.75" customHeight="1">
      <c r="A941" s="109"/>
      <c r="B941" s="109"/>
      <c r="C941" s="109"/>
      <c r="D941" s="109"/>
      <c r="E941" s="109"/>
      <c r="F941" s="109"/>
      <c r="G941" s="109"/>
      <c r="H941" s="109"/>
      <c r="I941" s="109"/>
      <c r="J941" s="109"/>
      <c r="K941" s="317"/>
      <c r="L941" s="109"/>
      <c r="M941" s="109"/>
      <c r="N941" s="109"/>
      <c r="O941" s="109"/>
      <c r="P941" s="109"/>
      <c r="Q941" s="109"/>
      <c r="R941" s="109"/>
      <c r="S941" s="109"/>
      <c r="T941" s="109"/>
      <c r="U941" s="109"/>
      <c r="V941" s="109"/>
      <c r="W941" s="109"/>
      <c r="X941" s="109"/>
      <c r="Y941" s="109"/>
      <c r="Z941" s="109"/>
    </row>
    <row r="942" ht="39.75" customHeight="1">
      <c r="A942" s="109"/>
      <c r="B942" s="109"/>
      <c r="C942" s="109"/>
      <c r="D942" s="109"/>
      <c r="E942" s="109"/>
      <c r="F942" s="109"/>
      <c r="G942" s="109"/>
      <c r="H942" s="109"/>
      <c r="I942" s="109"/>
      <c r="J942" s="109"/>
      <c r="K942" s="317"/>
      <c r="L942" s="109"/>
      <c r="M942" s="109"/>
      <c r="N942" s="109"/>
      <c r="O942" s="109"/>
      <c r="P942" s="109"/>
      <c r="Q942" s="109"/>
      <c r="R942" s="109"/>
      <c r="S942" s="109"/>
      <c r="T942" s="109"/>
      <c r="U942" s="109"/>
      <c r="V942" s="109"/>
      <c r="W942" s="109"/>
      <c r="X942" s="109"/>
      <c r="Y942" s="109"/>
      <c r="Z942" s="109"/>
    </row>
    <row r="943" ht="39.75" customHeight="1">
      <c r="A943" s="109"/>
      <c r="B943" s="109"/>
      <c r="C943" s="109"/>
      <c r="D943" s="109"/>
      <c r="E943" s="109"/>
      <c r="F943" s="109"/>
      <c r="G943" s="109"/>
      <c r="H943" s="109"/>
      <c r="I943" s="109"/>
      <c r="J943" s="109"/>
      <c r="K943" s="317"/>
      <c r="L943" s="109"/>
      <c r="M943" s="109"/>
      <c r="N943" s="109"/>
      <c r="O943" s="109"/>
      <c r="P943" s="109"/>
      <c r="Q943" s="109"/>
      <c r="R943" s="109"/>
      <c r="S943" s="109"/>
      <c r="T943" s="109"/>
      <c r="U943" s="109"/>
      <c r="V943" s="109"/>
      <c r="W943" s="109"/>
      <c r="X943" s="109"/>
      <c r="Y943" s="109"/>
      <c r="Z943" s="109"/>
    </row>
    <row r="944" ht="39.75" customHeight="1">
      <c r="A944" s="109"/>
      <c r="B944" s="109"/>
      <c r="C944" s="109"/>
      <c r="D944" s="109"/>
      <c r="E944" s="109"/>
      <c r="F944" s="109"/>
      <c r="G944" s="109"/>
      <c r="H944" s="109"/>
      <c r="I944" s="109"/>
      <c r="J944" s="109"/>
      <c r="K944" s="317"/>
      <c r="L944" s="109"/>
      <c r="M944" s="109"/>
      <c r="N944" s="109"/>
      <c r="O944" s="109"/>
      <c r="P944" s="109"/>
      <c r="Q944" s="109"/>
      <c r="R944" s="109"/>
      <c r="S944" s="109"/>
      <c r="T944" s="109"/>
      <c r="U944" s="109"/>
      <c r="V944" s="109"/>
      <c r="W944" s="109"/>
      <c r="X944" s="109"/>
      <c r="Y944" s="109"/>
      <c r="Z944" s="109"/>
    </row>
    <row r="945" ht="39.75" customHeight="1">
      <c r="A945" s="109"/>
      <c r="B945" s="109"/>
      <c r="C945" s="109"/>
      <c r="D945" s="109"/>
      <c r="E945" s="109"/>
      <c r="F945" s="109"/>
      <c r="G945" s="109"/>
      <c r="H945" s="109"/>
      <c r="I945" s="109"/>
      <c r="J945" s="109"/>
      <c r="K945" s="317"/>
      <c r="L945" s="109"/>
      <c r="M945" s="109"/>
      <c r="N945" s="109"/>
      <c r="O945" s="109"/>
      <c r="P945" s="109"/>
      <c r="Q945" s="109"/>
      <c r="R945" s="109"/>
      <c r="S945" s="109"/>
      <c r="T945" s="109"/>
      <c r="U945" s="109"/>
      <c r="V945" s="109"/>
      <c r="W945" s="109"/>
      <c r="X945" s="109"/>
      <c r="Y945" s="109"/>
      <c r="Z945" s="109"/>
    </row>
    <row r="946" ht="39.75" customHeight="1">
      <c r="A946" s="109"/>
      <c r="B946" s="109"/>
      <c r="C946" s="109"/>
      <c r="D946" s="109"/>
      <c r="E946" s="109"/>
      <c r="F946" s="109"/>
      <c r="G946" s="109"/>
      <c r="H946" s="109"/>
      <c r="I946" s="109"/>
      <c r="J946" s="109"/>
      <c r="K946" s="317"/>
      <c r="L946" s="109"/>
      <c r="M946" s="109"/>
      <c r="N946" s="109"/>
      <c r="O946" s="109"/>
      <c r="P946" s="109"/>
      <c r="Q946" s="109"/>
      <c r="R946" s="109"/>
      <c r="S946" s="109"/>
      <c r="T946" s="109"/>
      <c r="U946" s="109"/>
      <c r="V946" s="109"/>
      <c r="W946" s="109"/>
      <c r="X946" s="109"/>
      <c r="Y946" s="109"/>
      <c r="Z946" s="109"/>
    </row>
    <row r="947" ht="39.75" customHeight="1">
      <c r="A947" s="109"/>
      <c r="B947" s="109"/>
      <c r="C947" s="109"/>
      <c r="D947" s="109"/>
      <c r="E947" s="109"/>
      <c r="F947" s="109"/>
      <c r="G947" s="109"/>
      <c r="H947" s="109"/>
      <c r="I947" s="109"/>
      <c r="J947" s="109"/>
      <c r="K947" s="317"/>
      <c r="L947" s="109"/>
      <c r="M947" s="109"/>
      <c r="N947" s="109"/>
      <c r="O947" s="109"/>
      <c r="P947" s="109"/>
      <c r="Q947" s="109"/>
      <c r="R947" s="109"/>
      <c r="S947" s="109"/>
      <c r="T947" s="109"/>
      <c r="U947" s="109"/>
      <c r="V947" s="109"/>
      <c r="W947" s="109"/>
      <c r="X947" s="109"/>
      <c r="Y947" s="109"/>
      <c r="Z947" s="109"/>
    </row>
    <row r="948" ht="39.75" customHeight="1">
      <c r="A948" s="109"/>
      <c r="B948" s="109"/>
      <c r="C948" s="109"/>
      <c r="D948" s="109"/>
      <c r="E948" s="109"/>
      <c r="F948" s="109"/>
      <c r="G948" s="109"/>
      <c r="H948" s="109"/>
      <c r="I948" s="109"/>
      <c r="J948" s="109"/>
      <c r="K948" s="317"/>
      <c r="L948" s="109"/>
      <c r="M948" s="109"/>
      <c r="N948" s="109"/>
      <c r="O948" s="109"/>
      <c r="P948" s="109"/>
      <c r="Q948" s="109"/>
      <c r="R948" s="109"/>
      <c r="S948" s="109"/>
      <c r="T948" s="109"/>
      <c r="U948" s="109"/>
      <c r="V948" s="109"/>
      <c r="W948" s="109"/>
      <c r="X948" s="109"/>
      <c r="Y948" s="109"/>
      <c r="Z948" s="109"/>
    </row>
    <row r="949" ht="39.75" customHeight="1">
      <c r="A949" s="109"/>
      <c r="B949" s="109"/>
      <c r="C949" s="109"/>
      <c r="D949" s="109"/>
      <c r="E949" s="109"/>
      <c r="F949" s="109"/>
      <c r="G949" s="109"/>
      <c r="H949" s="109"/>
      <c r="I949" s="109"/>
      <c r="J949" s="109"/>
      <c r="K949" s="317"/>
      <c r="L949" s="109"/>
      <c r="M949" s="109"/>
      <c r="N949" s="109"/>
      <c r="O949" s="109"/>
      <c r="P949" s="109"/>
      <c r="Q949" s="109"/>
      <c r="R949" s="109"/>
      <c r="S949" s="109"/>
      <c r="T949" s="109"/>
      <c r="U949" s="109"/>
      <c r="V949" s="109"/>
      <c r="W949" s="109"/>
      <c r="X949" s="109"/>
      <c r="Y949" s="109"/>
      <c r="Z949" s="109"/>
    </row>
    <row r="950" ht="39.75" customHeight="1">
      <c r="A950" s="109"/>
      <c r="B950" s="109"/>
      <c r="C950" s="109"/>
      <c r="D950" s="109"/>
      <c r="E950" s="109"/>
      <c r="F950" s="109"/>
      <c r="G950" s="109"/>
      <c r="H950" s="109"/>
      <c r="I950" s="109"/>
      <c r="J950" s="109"/>
      <c r="K950" s="317"/>
      <c r="L950" s="109"/>
      <c r="M950" s="109"/>
      <c r="N950" s="109"/>
      <c r="O950" s="109"/>
      <c r="P950" s="109"/>
      <c r="Q950" s="109"/>
      <c r="R950" s="109"/>
      <c r="S950" s="109"/>
      <c r="T950" s="109"/>
      <c r="U950" s="109"/>
      <c r="V950" s="109"/>
      <c r="W950" s="109"/>
      <c r="X950" s="109"/>
      <c r="Y950" s="109"/>
      <c r="Z950" s="109"/>
    </row>
    <row r="951" ht="39.75" customHeight="1">
      <c r="A951" s="109"/>
      <c r="B951" s="109"/>
      <c r="C951" s="109"/>
      <c r="D951" s="109"/>
      <c r="E951" s="109"/>
      <c r="F951" s="109"/>
      <c r="G951" s="109"/>
      <c r="H951" s="109"/>
      <c r="I951" s="109"/>
      <c r="J951" s="109"/>
      <c r="K951" s="317"/>
      <c r="L951" s="109"/>
      <c r="M951" s="109"/>
      <c r="N951" s="109"/>
      <c r="O951" s="109"/>
      <c r="P951" s="109"/>
      <c r="Q951" s="109"/>
      <c r="R951" s="109"/>
      <c r="S951" s="109"/>
      <c r="T951" s="109"/>
      <c r="U951" s="109"/>
      <c r="V951" s="109"/>
      <c r="W951" s="109"/>
      <c r="X951" s="109"/>
      <c r="Y951" s="109"/>
      <c r="Z951" s="109"/>
    </row>
    <row r="952" ht="39.75" customHeight="1">
      <c r="A952" s="109"/>
      <c r="B952" s="109"/>
      <c r="C952" s="109"/>
      <c r="D952" s="109"/>
      <c r="E952" s="109"/>
      <c r="F952" s="109"/>
      <c r="G952" s="109"/>
      <c r="H952" s="109"/>
      <c r="I952" s="109"/>
      <c r="J952" s="109"/>
      <c r="K952" s="317"/>
      <c r="L952" s="109"/>
      <c r="M952" s="109"/>
      <c r="N952" s="109"/>
      <c r="O952" s="109"/>
      <c r="P952" s="109"/>
      <c r="Q952" s="109"/>
      <c r="R952" s="109"/>
      <c r="S952" s="109"/>
      <c r="T952" s="109"/>
      <c r="U952" s="109"/>
      <c r="V952" s="109"/>
      <c r="W952" s="109"/>
      <c r="X952" s="109"/>
      <c r="Y952" s="109"/>
      <c r="Z952" s="109"/>
    </row>
    <row r="953" ht="39.75" customHeight="1">
      <c r="A953" s="109"/>
      <c r="B953" s="109"/>
      <c r="C953" s="109"/>
      <c r="D953" s="109"/>
      <c r="E953" s="109"/>
      <c r="F953" s="109"/>
      <c r="G953" s="109"/>
      <c r="H953" s="109"/>
      <c r="I953" s="109"/>
      <c r="J953" s="109"/>
      <c r="K953" s="317"/>
      <c r="L953" s="109"/>
      <c r="M953" s="109"/>
      <c r="N953" s="109"/>
      <c r="O953" s="109"/>
      <c r="P953" s="109"/>
      <c r="Q953" s="109"/>
      <c r="R953" s="109"/>
      <c r="S953" s="109"/>
      <c r="T953" s="109"/>
      <c r="U953" s="109"/>
      <c r="V953" s="109"/>
      <c r="W953" s="109"/>
      <c r="X953" s="109"/>
      <c r="Y953" s="109"/>
      <c r="Z953" s="109"/>
    </row>
    <row r="954" ht="39.75" customHeight="1">
      <c r="A954" s="109"/>
      <c r="B954" s="109"/>
      <c r="C954" s="109"/>
      <c r="D954" s="109"/>
      <c r="E954" s="109"/>
      <c r="F954" s="109"/>
      <c r="G954" s="109"/>
      <c r="H954" s="109"/>
      <c r="I954" s="109"/>
      <c r="J954" s="109"/>
      <c r="K954" s="317"/>
      <c r="L954" s="109"/>
      <c r="M954" s="109"/>
      <c r="N954" s="109"/>
      <c r="O954" s="109"/>
      <c r="P954" s="109"/>
      <c r="Q954" s="109"/>
      <c r="R954" s="109"/>
      <c r="S954" s="109"/>
      <c r="T954" s="109"/>
      <c r="U954" s="109"/>
      <c r="V954" s="109"/>
      <c r="W954" s="109"/>
      <c r="X954" s="109"/>
      <c r="Y954" s="109"/>
      <c r="Z954" s="109"/>
    </row>
    <row r="955" ht="39.75" customHeight="1">
      <c r="A955" s="109"/>
      <c r="B955" s="109"/>
      <c r="C955" s="109"/>
      <c r="D955" s="109"/>
      <c r="E955" s="109"/>
      <c r="F955" s="109"/>
      <c r="G955" s="109"/>
      <c r="H955" s="109"/>
      <c r="I955" s="109"/>
      <c r="J955" s="109"/>
      <c r="K955" s="317"/>
      <c r="L955" s="109"/>
      <c r="M955" s="109"/>
      <c r="N955" s="109"/>
      <c r="O955" s="109"/>
      <c r="P955" s="109"/>
      <c r="Q955" s="109"/>
      <c r="R955" s="109"/>
      <c r="S955" s="109"/>
      <c r="T955" s="109"/>
      <c r="U955" s="109"/>
      <c r="V955" s="109"/>
      <c r="W955" s="109"/>
      <c r="X955" s="109"/>
      <c r="Y955" s="109"/>
      <c r="Z955" s="109"/>
    </row>
    <row r="956" ht="39.75" customHeight="1">
      <c r="A956" s="109"/>
      <c r="B956" s="109"/>
      <c r="C956" s="109"/>
      <c r="D956" s="109"/>
      <c r="E956" s="109"/>
      <c r="F956" s="109"/>
      <c r="G956" s="109"/>
      <c r="H956" s="109"/>
      <c r="I956" s="109"/>
      <c r="J956" s="109"/>
      <c r="K956" s="317"/>
      <c r="L956" s="109"/>
      <c r="M956" s="109"/>
      <c r="N956" s="109"/>
      <c r="O956" s="109"/>
      <c r="P956" s="109"/>
      <c r="Q956" s="109"/>
      <c r="R956" s="109"/>
      <c r="S956" s="109"/>
      <c r="T956" s="109"/>
      <c r="U956" s="109"/>
      <c r="V956" s="109"/>
      <c r="W956" s="109"/>
      <c r="X956" s="109"/>
      <c r="Y956" s="109"/>
      <c r="Z956" s="109"/>
    </row>
    <row r="957" ht="39.75" customHeight="1">
      <c r="A957" s="109"/>
      <c r="B957" s="109"/>
      <c r="C957" s="109"/>
      <c r="D957" s="109"/>
      <c r="E957" s="109"/>
      <c r="F957" s="109"/>
      <c r="G957" s="109"/>
      <c r="H957" s="109"/>
      <c r="I957" s="109"/>
      <c r="J957" s="109"/>
      <c r="K957" s="317"/>
      <c r="L957" s="109"/>
      <c r="M957" s="109"/>
      <c r="N957" s="109"/>
      <c r="O957" s="109"/>
      <c r="P957" s="109"/>
      <c r="Q957" s="109"/>
      <c r="R957" s="109"/>
      <c r="S957" s="109"/>
      <c r="T957" s="109"/>
      <c r="U957" s="109"/>
      <c r="V957" s="109"/>
      <c r="W957" s="109"/>
      <c r="X957" s="109"/>
      <c r="Y957" s="109"/>
      <c r="Z957" s="109"/>
    </row>
    <row r="958" ht="39.75" customHeight="1">
      <c r="A958" s="109"/>
      <c r="B958" s="109"/>
      <c r="C958" s="109"/>
      <c r="D958" s="109"/>
      <c r="E958" s="109"/>
      <c r="F958" s="109"/>
      <c r="G958" s="109"/>
      <c r="H958" s="109"/>
      <c r="I958" s="109"/>
      <c r="J958" s="109"/>
      <c r="K958" s="317"/>
      <c r="L958" s="109"/>
      <c r="M958" s="109"/>
      <c r="N958" s="109"/>
      <c r="O958" s="109"/>
      <c r="P958" s="109"/>
      <c r="Q958" s="109"/>
      <c r="R958" s="109"/>
      <c r="S958" s="109"/>
      <c r="T958" s="109"/>
      <c r="U958" s="109"/>
      <c r="V958" s="109"/>
      <c r="W958" s="109"/>
      <c r="X958" s="109"/>
      <c r="Y958" s="109"/>
      <c r="Z958" s="109"/>
    </row>
    <row r="959" ht="39.75" customHeight="1">
      <c r="A959" s="109"/>
      <c r="B959" s="109"/>
      <c r="C959" s="109"/>
      <c r="D959" s="109"/>
      <c r="E959" s="109"/>
      <c r="F959" s="109"/>
      <c r="G959" s="109"/>
      <c r="H959" s="109"/>
      <c r="I959" s="109"/>
      <c r="J959" s="109"/>
      <c r="K959" s="317"/>
      <c r="L959" s="109"/>
      <c r="M959" s="109"/>
      <c r="N959" s="109"/>
      <c r="O959" s="109"/>
      <c r="P959" s="109"/>
      <c r="Q959" s="109"/>
      <c r="R959" s="109"/>
      <c r="S959" s="109"/>
      <c r="T959" s="109"/>
      <c r="U959" s="109"/>
      <c r="V959" s="109"/>
      <c r="W959" s="109"/>
      <c r="X959" s="109"/>
      <c r="Y959" s="109"/>
      <c r="Z959" s="109"/>
    </row>
    <row r="960" ht="39.75" customHeight="1">
      <c r="A960" s="109"/>
      <c r="B960" s="109"/>
      <c r="C960" s="109"/>
      <c r="D960" s="109"/>
      <c r="E960" s="109"/>
      <c r="F960" s="109"/>
      <c r="G960" s="109"/>
      <c r="H960" s="109"/>
      <c r="I960" s="109"/>
      <c r="J960" s="109"/>
      <c r="K960" s="317"/>
      <c r="L960" s="109"/>
      <c r="M960" s="109"/>
      <c r="N960" s="109"/>
      <c r="O960" s="109"/>
      <c r="P960" s="109"/>
      <c r="Q960" s="109"/>
      <c r="R960" s="109"/>
      <c r="S960" s="109"/>
      <c r="T960" s="109"/>
      <c r="U960" s="109"/>
      <c r="V960" s="109"/>
      <c r="W960" s="109"/>
      <c r="X960" s="109"/>
      <c r="Y960" s="109"/>
      <c r="Z960" s="109"/>
    </row>
    <row r="961" ht="39.75" customHeight="1">
      <c r="A961" s="109"/>
      <c r="B961" s="109"/>
      <c r="C961" s="109"/>
      <c r="D961" s="109"/>
      <c r="E961" s="109"/>
      <c r="F961" s="109"/>
      <c r="G961" s="109"/>
      <c r="H961" s="109"/>
      <c r="I961" s="109"/>
      <c r="J961" s="109"/>
      <c r="K961" s="317"/>
      <c r="L961" s="109"/>
      <c r="M961" s="109"/>
      <c r="N961" s="109"/>
      <c r="O961" s="109"/>
      <c r="P961" s="109"/>
      <c r="Q961" s="109"/>
      <c r="R961" s="109"/>
      <c r="S961" s="109"/>
      <c r="T961" s="109"/>
      <c r="U961" s="109"/>
      <c r="V961" s="109"/>
      <c r="W961" s="109"/>
      <c r="X961" s="109"/>
      <c r="Y961" s="109"/>
      <c r="Z961" s="109"/>
    </row>
    <row r="962" ht="39.75" customHeight="1">
      <c r="A962" s="109"/>
      <c r="B962" s="109"/>
      <c r="C962" s="109"/>
      <c r="D962" s="109"/>
      <c r="E962" s="109"/>
      <c r="F962" s="109"/>
      <c r="G962" s="109"/>
      <c r="H962" s="109"/>
      <c r="I962" s="109"/>
      <c r="J962" s="109"/>
      <c r="K962" s="317"/>
      <c r="L962" s="109"/>
      <c r="M962" s="109"/>
      <c r="N962" s="109"/>
      <c r="O962" s="109"/>
      <c r="P962" s="109"/>
      <c r="Q962" s="109"/>
      <c r="R962" s="109"/>
      <c r="S962" s="109"/>
      <c r="T962" s="109"/>
      <c r="U962" s="109"/>
      <c r="V962" s="109"/>
      <c r="W962" s="109"/>
      <c r="X962" s="109"/>
      <c r="Y962" s="109"/>
      <c r="Z962" s="109"/>
    </row>
    <row r="963" ht="39.75" customHeight="1">
      <c r="A963" s="109"/>
      <c r="B963" s="109"/>
      <c r="C963" s="109"/>
      <c r="D963" s="109"/>
      <c r="E963" s="109"/>
      <c r="F963" s="109"/>
      <c r="G963" s="109"/>
      <c r="H963" s="109"/>
      <c r="I963" s="109"/>
      <c r="J963" s="109"/>
      <c r="K963" s="317"/>
      <c r="L963" s="109"/>
      <c r="M963" s="109"/>
      <c r="N963" s="109"/>
      <c r="O963" s="109"/>
      <c r="P963" s="109"/>
      <c r="Q963" s="109"/>
      <c r="R963" s="109"/>
      <c r="S963" s="109"/>
      <c r="T963" s="109"/>
      <c r="U963" s="109"/>
      <c r="V963" s="109"/>
      <c r="W963" s="109"/>
      <c r="X963" s="109"/>
      <c r="Y963" s="109"/>
      <c r="Z963" s="109"/>
    </row>
    <row r="964" ht="39.75" customHeight="1">
      <c r="A964" s="109"/>
      <c r="B964" s="109"/>
      <c r="C964" s="109"/>
      <c r="D964" s="109"/>
      <c r="E964" s="109"/>
      <c r="F964" s="109"/>
      <c r="G964" s="109"/>
      <c r="H964" s="109"/>
      <c r="I964" s="109"/>
      <c r="J964" s="109"/>
      <c r="K964" s="317"/>
      <c r="L964" s="109"/>
      <c r="M964" s="109"/>
      <c r="N964" s="109"/>
      <c r="O964" s="109"/>
      <c r="P964" s="109"/>
      <c r="Q964" s="109"/>
      <c r="R964" s="109"/>
      <c r="S964" s="109"/>
      <c r="T964" s="109"/>
      <c r="U964" s="109"/>
      <c r="V964" s="109"/>
      <c r="W964" s="109"/>
      <c r="X964" s="109"/>
      <c r="Y964" s="109"/>
      <c r="Z964" s="109"/>
    </row>
    <row r="965" ht="39.75" customHeight="1">
      <c r="A965" s="109"/>
      <c r="B965" s="109"/>
      <c r="C965" s="109"/>
      <c r="D965" s="109"/>
      <c r="E965" s="109"/>
      <c r="F965" s="109"/>
      <c r="G965" s="109"/>
      <c r="H965" s="109"/>
      <c r="I965" s="109"/>
      <c r="J965" s="109"/>
      <c r="K965" s="317"/>
      <c r="L965" s="109"/>
      <c r="M965" s="109"/>
      <c r="N965" s="109"/>
      <c r="O965" s="109"/>
      <c r="P965" s="109"/>
      <c r="Q965" s="109"/>
      <c r="R965" s="109"/>
      <c r="S965" s="109"/>
      <c r="T965" s="109"/>
      <c r="U965" s="109"/>
      <c r="V965" s="109"/>
      <c r="W965" s="109"/>
      <c r="X965" s="109"/>
      <c r="Y965" s="109"/>
      <c r="Z965" s="109"/>
    </row>
    <row r="966" ht="39.75" customHeight="1">
      <c r="A966" s="109"/>
      <c r="B966" s="109"/>
      <c r="C966" s="109"/>
      <c r="D966" s="109"/>
      <c r="E966" s="109"/>
      <c r="F966" s="109"/>
      <c r="G966" s="109"/>
      <c r="H966" s="109"/>
      <c r="I966" s="109"/>
      <c r="J966" s="109"/>
      <c r="K966" s="317"/>
      <c r="L966" s="109"/>
      <c r="M966" s="109"/>
      <c r="N966" s="109"/>
      <c r="O966" s="109"/>
      <c r="P966" s="109"/>
      <c r="Q966" s="109"/>
      <c r="R966" s="109"/>
      <c r="S966" s="109"/>
      <c r="T966" s="109"/>
      <c r="U966" s="109"/>
      <c r="V966" s="109"/>
      <c r="W966" s="109"/>
      <c r="X966" s="109"/>
      <c r="Y966" s="109"/>
      <c r="Z966" s="109"/>
    </row>
    <row r="967" ht="39.75" customHeight="1">
      <c r="A967" s="109"/>
      <c r="B967" s="109"/>
      <c r="C967" s="109"/>
      <c r="D967" s="109"/>
      <c r="E967" s="109"/>
      <c r="F967" s="109"/>
      <c r="G967" s="109"/>
      <c r="H967" s="109"/>
      <c r="I967" s="109"/>
      <c r="J967" s="109"/>
      <c r="K967" s="317"/>
      <c r="L967" s="109"/>
      <c r="M967" s="109"/>
      <c r="N967" s="109"/>
      <c r="O967" s="109"/>
      <c r="P967" s="109"/>
      <c r="Q967" s="109"/>
      <c r="R967" s="109"/>
      <c r="S967" s="109"/>
      <c r="T967" s="109"/>
      <c r="U967" s="109"/>
      <c r="V967" s="109"/>
      <c r="W967" s="109"/>
      <c r="X967" s="109"/>
      <c r="Y967" s="109"/>
      <c r="Z967" s="109"/>
    </row>
    <row r="968" ht="39.75" customHeight="1">
      <c r="A968" s="109"/>
      <c r="B968" s="109"/>
      <c r="C968" s="109"/>
      <c r="D968" s="109"/>
      <c r="E968" s="109"/>
      <c r="F968" s="109"/>
      <c r="G968" s="109"/>
      <c r="H968" s="109"/>
      <c r="I968" s="109"/>
      <c r="J968" s="109"/>
      <c r="K968" s="317"/>
      <c r="L968" s="109"/>
      <c r="M968" s="109"/>
      <c r="N968" s="109"/>
      <c r="O968" s="109"/>
      <c r="P968" s="109"/>
      <c r="Q968" s="109"/>
      <c r="R968" s="109"/>
      <c r="S968" s="109"/>
      <c r="T968" s="109"/>
      <c r="U968" s="109"/>
      <c r="V968" s="109"/>
      <c r="W968" s="109"/>
      <c r="X968" s="109"/>
      <c r="Y968" s="109"/>
      <c r="Z968" s="109"/>
    </row>
    <row r="969" ht="39.75" customHeight="1">
      <c r="A969" s="109"/>
      <c r="B969" s="109"/>
      <c r="C969" s="109"/>
      <c r="D969" s="109"/>
      <c r="E969" s="109"/>
      <c r="F969" s="109"/>
      <c r="G969" s="109"/>
      <c r="H969" s="109"/>
      <c r="I969" s="109"/>
      <c r="J969" s="109"/>
      <c r="K969" s="317"/>
      <c r="L969" s="109"/>
      <c r="M969" s="109"/>
      <c r="N969" s="109"/>
      <c r="O969" s="109"/>
      <c r="P969" s="109"/>
      <c r="Q969" s="109"/>
      <c r="R969" s="109"/>
      <c r="S969" s="109"/>
      <c r="T969" s="109"/>
      <c r="U969" s="109"/>
      <c r="V969" s="109"/>
      <c r="W969" s="109"/>
      <c r="X969" s="109"/>
      <c r="Y969" s="109"/>
      <c r="Z969" s="109"/>
    </row>
    <row r="970" ht="39.75" customHeight="1">
      <c r="A970" s="109"/>
      <c r="B970" s="109"/>
      <c r="C970" s="109"/>
      <c r="D970" s="109"/>
      <c r="E970" s="109"/>
      <c r="F970" s="109"/>
      <c r="G970" s="109"/>
      <c r="H970" s="109"/>
      <c r="I970" s="109"/>
      <c r="J970" s="109"/>
      <c r="K970" s="317"/>
      <c r="L970" s="109"/>
      <c r="M970" s="109"/>
      <c r="N970" s="109"/>
      <c r="O970" s="109"/>
      <c r="P970" s="109"/>
      <c r="Q970" s="109"/>
      <c r="R970" s="109"/>
      <c r="S970" s="109"/>
      <c r="T970" s="109"/>
      <c r="U970" s="109"/>
      <c r="V970" s="109"/>
      <c r="W970" s="109"/>
      <c r="X970" s="109"/>
      <c r="Y970" s="109"/>
      <c r="Z970" s="109"/>
    </row>
    <row r="971" ht="39.75" customHeight="1">
      <c r="A971" s="109"/>
      <c r="B971" s="109"/>
      <c r="C971" s="109"/>
      <c r="D971" s="109"/>
      <c r="E971" s="109"/>
      <c r="F971" s="109"/>
      <c r="G971" s="109"/>
      <c r="H971" s="109"/>
      <c r="I971" s="109"/>
      <c r="J971" s="109"/>
      <c r="K971" s="317"/>
      <c r="L971" s="109"/>
      <c r="M971" s="109"/>
      <c r="N971" s="109"/>
      <c r="O971" s="109"/>
      <c r="P971" s="109"/>
      <c r="Q971" s="109"/>
      <c r="R971" s="109"/>
      <c r="S971" s="109"/>
      <c r="T971" s="109"/>
      <c r="U971" s="109"/>
      <c r="V971" s="109"/>
      <c r="W971" s="109"/>
      <c r="X971" s="109"/>
      <c r="Y971" s="109"/>
      <c r="Z971" s="109"/>
    </row>
    <row r="972" ht="39.75" customHeight="1">
      <c r="A972" s="109"/>
      <c r="B972" s="109"/>
      <c r="C972" s="109"/>
      <c r="D972" s="109"/>
      <c r="E972" s="109"/>
      <c r="F972" s="109"/>
      <c r="G972" s="109"/>
      <c r="H972" s="109"/>
      <c r="I972" s="109"/>
      <c r="J972" s="109"/>
      <c r="K972" s="317"/>
      <c r="L972" s="109"/>
      <c r="M972" s="109"/>
      <c r="N972" s="109"/>
      <c r="O972" s="109"/>
      <c r="P972" s="109"/>
      <c r="Q972" s="109"/>
      <c r="R972" s="109"/>
      <c r="S972" s="109"/>
      <c r="T972" s="109"/>
      <c r="U972" s="109"/>
      <c r="V972" s="109"/>
      <c r="W972" s="109"/>
      <c r="X972" s="109"/>
      <c r="Y972" s="109"/>
      <c r="Z972" s="109"/>
    </row>
    <row r="973" ht="39.75" customHeight="1">
      <c r="A973" s="109"/>
      <c r="B973" s="109"/>
      <c r="C973" s="109"/>
      <c r="D973" s="109"/>
      <c r="E973" s="109"/>
      <c r="F973" s="109"/>
      <c r="G973" s="109"/>
      <c r="H973" s="109"/>
      <c r="I973" s="109"/>
      <c r="J973" s="109"/>
      <c r="K973" s="317"/>
      <c r="L973" s="109"/>
      <c r="M973" s="109"/>
      <c r="N973" s="109"/>
      <c r="O973" s="109"/>
      <c r="P973" s="109"/>
      <c r="Q973" s="109"/>
      <c r="R973" s="109"/>
      <c r="S973" s="109"/>
      <c r="T973" s="109"/>
      <c r="U973" s="109"/>
      <c r="V973" s="109"/>
      <c r="W973" s="109"/>
      <c r="X973" s="109"/>
      <c r="Y973" s="109"/>
      <c r="Z973" s="109"/>
    </row>
    <row r="974" ht="39.75" customHeight="1">
      <c r="A974" s="109"/>
      <c r="B974" s="109"/>
      <c r="C974" s="109"/>
      <c r="D974" s="109"/>
      <c r="E974" s="109"/>
      <c r="F974" s="109"/>
      <c r="G974" s="109"/>
      <c r="H974" s="109"/>
      <c r="I974" s="109"/>
      <c r="J974" s="109"/>
      <c r="K974" s="317"/>
      <c r="L974" s="109"/>
      <c r="M974" s="109"/>
      <c r="N974" s="109"/>
      <c r="O974" s="109"/>
      <c r="P974" s="109"/>
      <c r="Q974" s="109"/>
      <c r="R974" s="109"/>
      <c r="S974" s="109"/>
      <c r="T974" s="109"/>
      <c r="U974" s="109"/>
      <c r="V974" s="109"/>
      <c r="W974" s="109"/>
      <c r="X974" s="109"/>
      <c r="Y974" s="109"/>
      <c r="Z974" s="109"/>
    </row>
    <row r="975" ht="39.75" customHeight="1">
      <c r="A975" s="109"/>
      <c r="B975" s="109"/>
      <c r="C975" s="109"/>
      <c r="D975" s="109"/>
      <c r="E975" s="109"/>
      <c r="F975" s="109"/>
      <c r="G975" s="109"/>
      <c r="H975" s="109"/>
      <c r="I975" s="109"/>
      <c r="J975" s="109"/>
      <c r="K975" s="317"/>
      <c r="L975" s="109"/>
      <c r="M975" s="109"/>
      <c r="N975" s="109"/>
      <c r="O975" s="109"/>
      <c r="P975" s="109"/>
      <c r="Q975" s="109"/>
      <c r="R975" s="109"/>
      <c r="S975" s="109"/>
      <c r="T975" s="109"/>
      <c r="U975" s="109"/>
      <c r="V975" s="109"/>
      <c r="W975" s="109"/>
      <c r="X975" s="109"/>
      <c r="Y975" s="109"/>
      <c r="Z975" s="109"/>
    </row>
    <row r="976" ht="39.75" customHeight="1">
      <c r="A976" s="109"/>
      <c r="B976" s="109"/>
      <c r="C976" s="109"/>
      <c r="D976" s="109"/>
      <c r="E976" s="109"/>
      <c r="F976" s="109"/>
      <c r="G976" s="109"/>
      <c r="H976" s="109"/>
      <c r="I976" s="109"/>
      <c r="J976" s="109"/>
      <c r="K976" s="317"/>
      <c r="L976" s="109"/>
      <c r="M976" s="109"/>
      <c r="N976" s="109"/>
      <c r="O976" s="109"/>
      <c r="P976" s="109"/>
      <c r="Q976" s="109"/>
      <c r="R976" s="109"/>
      <c r="S976" s="109"/>
      <c r="T976" s="109"/>
      <c r="U976" s="109"/>
      <c r="V976" s="109"/>
      <c r="W976" s="109"/>
      <c r="X976" s="109"/>
      <c r="Y976" s="109"/>
      <c r="Z976" s="109"/>
    </row>
    <row r="977" ht="39.75" customHeight="1">
      <c r="A977" s="109"/>
      <c r="B977" s="109"/>
      <c r="C977" s="109"/>
      <c r="D977" s="109"/>
      <c r="E977" s="109"/>
      <c r="F977" s="109"/>
      <c r="G977" s="109"/>
      <c r="H977" s="109"/>
      <c r="I977" s="109"/>
      <c r="J977" s="109"/>
      <c r="K977" s="317"/>
      <c r="L977" s="109"/>
      <c r="M977" s="109"/>
      <c r="N977" s="109"/>
      <c r="O977" s="109"/>
      <c r="P977" s="109"/>
      <c r="Q977" s="109"/>
      <c r="R977" s="109"/>
      <c r="S977" s="109"/>
      <c r="T977" s="109"/>
      <c r="U977" s="109"/>
      <c r="V977" s="109"/>
      <c r="W977" s="109"/>
      <c r="X977" s="109"/>
      <c r="Y977" s="109"/>
      <c r="Z977" s="109"/>
    </row>
    <row r="978" ht="39.75" customHeight="1">
      <c r="A978" s="109"/>
      <c r="B978" s="109"/>
      <c r="C978" s="109"/>
      <c r="D978" s="109"/>
      <c r="E978" s="109"/>
      <c r="F978" s="109"/>
      <c r="G978" s="109"/>
      <c r="H978" s="109"/>
      <c r="I978" s="109"/>
      <c r="J978" s="109"/>
      <c r="K978" s="317"/>
      <c r="L978" s="109"/>
      <c r="M978" s="109"/>
      <c r="N978" s="109"/>
      <c r="O978" s="109"/>
      <c r="P978" s="109"/>
      <c r="Q978" s="109"/>
      <c r="R978" s="109"/>
      <c r="S978" s="109"/>
      <c r="T978" s="109"/>
      <c r="U978" s="109"/>
      <c r="V978" s="109"/>
      <c r="W978" s="109"/>
      <c r="X978" s="109"/>
      <c r="Y978" s="109"/>
      <c r="Z978" s="109"/>
    </row>
    <row r="979" ht="39.75" customHeight="1">
      <c r="A979" s="109"/>
      <c r="B979" s="109"/>
      <c r="C979" s="109"/>
      <c r="D979" s="109"/>
      <c r="E979" s="109"/>
      <c r="F979" s="109"/>
      <c r="G979" s="109"/>
      <c r="H979" s="109"/>
      <c r="I979" s="109"/>
      <c r="J979" s="109"/>
      <c r="K979" s="317"/>
      <c r="L979" s="109"/>
      <c r="M979" s="109"/>
      <c r="N979" s="109"/>
      <c r="O979" s="109"/>
      <c r="P979" s="109"/>
      <c r="Q979" s="109"/>
      <c r="R979" s="109"/>
      <c r="S979" s="109"/>
      <c r="T979" s="109"/>
      <c r="U979" s="109"/>
      <c r="V979" s="109"/>
      <c r="W979" s="109"/>
      <c r="X979" s="109"/>
      <c r="Y979" s="109"/>
      <c r="Z979" s="109"/>
    </row>
    <row r="980" ht="39.75" customHeight="1">
      <c r="A980" s="109"/>
      <c r="B980" s="109"/>
      <c r="C980" s="109"/>
      <c r="D980" s="109"/>
      <c r="E980" s="109"/>
      <c r="F980" s="109"/>
      <c r="G980" s="109"/>
      <c r="H980" s="109"/>
      <c r="I980" s="109"/>
      <c r="J980" s="109"/>
      <c r="K980" s="317"/>
      <c r="L980" s="109"/>
      <c r="M980" s="109"/>
      <c r="N980" s="109"/>
      <c r="O980" s="109"/>
      <c r="P980" s="109"/>
      <c r="Q980" s="109"/>
      <c r="R980" s="109"/>
      <c r="S980" s="109"/>
      <c r="T980" s="109"/>
      <c r="U980" s="109"/>
      <c r="V980" s="109"/>
      <c r="W980" s="109"/>
      <c r="X980" s="109"/>
      <c r="Y980" s="109"/>
      <c r="Z980" s="109"/>
    </row>
    <row r="981" ht="39.75" customHeight="1">
      <c r="A981" s="109"/>
      <c r="B981" s="109"/>
      <c r="C981" s="109"/>
      <c r="D981" s="109"/>
      <c r="E981" s="109"/>
      <c r="F981" s="109"/>
      <c r="G981" s="109"/>
      <c r="H981" s="109"/>
      <c r="I981" s="109"/>
      <c r="J981" s="109"/>
      <c r="K981" s="317"/>
      <c r="L981" s="109"/>
      <c r="M981" s="109"/>
      <c r="N981" s="109"/>
      <c r="O981" s="109"/>
      <c r="P981" s="109"/>
      <c r="Q981" s="109"/>
      <c r="R981" s="109"/>
      <c r="S981" s="109"/>
      <c r="T981" s="109"/>
      <c r="U981" s="109"/>
      <c r="V981" s="109"/>
      <c r="W981" s="109"/>
      <c r="X981" s="109"/>
      <c r="Y981" s="109"/>
      <c r="Z981" s="109"/>
    </row>
    <row r="982" ht="39.75" customHeight="1">
      <c r="A982" s="109"/>
      <c r="B982" s="109"/>
      <c r="C982" s="109"/>
      <c r="D982" s="109"/>
      <c r="E982" s="109"/>
      <c r="F982" s="109"/>
      <c r="G982" s="109"/>
      <c r="H982" s="109"/>
      <c r="I982" s="109"/>
      <c r="J982" s="109"/>
      <c r="K982" s="317"/>
      <c r="L982" s="109"/>
      <c r="M982" s="109"/>
      <c r="N982" s="109"/>
      <c r="O982" s="109"/>
      <c r="P982" s="109"/>
      <c r="Q982" s="109"/>
      <c r="R982" s="109"/>
      <c r="S982" s="109"/>
      <c r="T982" s="109"/>
      <c r="U982" s="109"/>
      <c r="V982" s="109"/>
      <c r="W982" s="109"/>
      <c r="X982" s="109"/>
      <c r="Y982" s="109"/>
      <c r="Z982" s="109"/>
    </row>
    <row r="983" ht="39.75" customHeight="1">
      <c r="A983" s="109"/>
      <c r="B983" s="109"/>
      <c r="C983" s="109"/>
      <c r="D983" s="109"/>
      <c r="E983" s="109"/>
      <c r="F983" s="109"/>
      <c r="G983" s="109"/>
      <c r="H983" s="109"/>
      <c r="I983" s="109"/>
      <c r="J983" s="109"/>
      <c r="K983" s="317"/>
      <c r="L983" s="109"/>
      <c r="M983" s="109"/>
      <c r="N983" s="109"/>
      <c r="O983" s="109"/>
      <c r="P983" s="109"/>
      <c r="Q983" s="109"/>
      <c r="R983" s="109"/>
      <c r="S983" s="109"/>
      <c r="T983" s="109"/>
      <c r="U983" s="109"/>
      <c r="V983" s="109"/>
      <c r="W983" s="109"/>
      <c r="X983" s="109"/>
      <c r="Y983" s="109"/>
      <c r="Z983" s="109"/>
    </row>
    <row r="984" ht="39.75" customHeight="1">
      <c r="A984" s="109"/>
      <c r="B984" s="109"/>
      <c r="C984" s="109"/>
      <c r="D984" s="109"/>
      <c r="E984" s="109"/>
      <c r="F984" s="109"/>
      <c r="G984" s="109"/>
      <c r="H984" s="109"/>
      <c r="I984" s="109"/>
      <c r="J984" s="109"/>
      <c r="K984" s="317"/>
      <c r="L984" s="109"/>
      <c r="M984" s="109"/>
      <c r="N984" s="109"/>
      <c r="O984" s="109"/>
      <c r="P984" s="109"/>
      <c r="Q984" s="109"/>
      <c r="R984" s="109"/>
      <c r="S984" s="109"/>
      <c r="T984" s="109"/>
      <c r="U984" s="109"/>
      <c r="V984" s="109"/>
      <c r="W984" s="109"/>
      <c r="X984" s="109"/>
      <c r="Y984" s="109"/>
      <c r="Z984" s="109"/>
    </row>
    <row r="985" ht="39.75" customHeight="1">
      <c r="A985" s="109"/>
      <c r="B985" s="109"/>
      <c r="C985" s="109"/>
      <c r="D985" s="109"/>
      <c r="E985" s="109"/>
      <c r="F985" s="109"/>
      <c r="G985" s="109"/>
      <c r="H985" s="109"/>
      <c r="I985" s="109"/>
      <c r="J985" s="109"/>
      <c r="K985" s="317"/>
      <c r="L985" s="109"/>
      <c r="M985" s="109"/>
      <c r="N985" s="109"/>
      <c r="O985" s="109"/>
      <c r="P985" s="109"/>
      <c r="Q985" s="109"/>
      <c r="R985" s="109"/>
      <c r="S985" s="109"/>
      <c r="T985" s="109"/>
      <c r="U985" s="109"/>
      <c r="V985" s="109"/>
      <c r="W985" s="109"/>
      <c r="X985" s="109"/>
      <c r="Y985" s="109"/>
      <c r="Z985" s="109"/>
    </row>
    <row r="986" ht="39.75" customHeight="1">
      <c r="A986" s="109"/>
      <c r="B986" s="109"/>
      <c r="C986" s="109"/>
      <c r="D986" s="109"/>
      <c r="E986" s="109"/>
      <c r="F986" s="109"/>
      <c r="G986" s="109"/>
      <c r="H986" s="109"/>
      <c r="I986" s="109"/>
      <c r="J986" s="109"/>
      <c r="K986" s="317"/>
      <c r="L986" s="109"/>
      <c r="M986" s="109"/>
      <c r="N986" s="109"/>
      <c r="O986" s="109"/>
      <c r="P986" s="109"/>
      <c r="Q986" s="109"/>
      <c r="R986" s="109"/>
      <c r="S986" s="109"/>
      <c r="T986" s="109"/>
      <c r="U986" s="109"/>
      <c r="V986" s="109"/>
      <c r="W986" s="109"/>
      <c r="X986" s="109"/>
      <c r="Y986" s="109"/>
      <c r="Z986" s="109"/>
    </row>
    <row r="987" ht="39.75" customHeight="1">
      <c r="A987" s="109"/>
      <c r="B987" s="109"/>
      <c r="C987" s="109"/>
      <c r="D987" s="109"/>
      <c r="E987" s="109"/>
      <c r="F987" s="109"/>
      <c r="G987" s="109"/>
      <c r="H987" s="109"/>
      <c r="I987" s="109"/>
      <c r="J987" s="109"/>
      <c r="K987" s="317"/>
      <c r="L987" s="109"/>
      <c r="M987" s="109"/>
      <c r="N987" s="109"/>
      <c r="O987" s="109"/>
      <c r="P987" s="109"/>
      <c r="Q987" s="109"/>
      <c r="R987" s="109"/>
      <c r="S987" s="109"/>
      <c r="T987" s="109"/>
      <c r="U987" s="109"/>
      <c r="V987" s="109"/>
      <c r="W987" s="109"/>
      <c r="X987" s="109"/>
      <c r="Y987" s="109"/>
      <c r="Z987" s="109"/>
    </row>
    <row r="988" ht="39.75" customHeight="1">
      <c r="A988" s="109"/>
      <c r="B988" s="109"/>
      <c r="C988" s="109"/>
      <c r="D988" s="109"/>
      <c r="E988" s="109"/>
      <c r="F988" s="109"/>
      <c r="G988" s="109"/>
      <c r="H988" s="109"/>
      <c r="I988" s="109"/>
      <c r="J988" s="109"/>
      <c r="K988" s="317"/>
      <c r="L988" s="109"/>
      <c r="M988" s="109"/>
      <c r="N988" s="109"/>
      <c r="O988" s="109"/>
      <c r="P988" s="109"/>
      <c r="Q988" s="109"/>
      <c r="R988" s="109"/>
      <c r="S988" s="109"/>
      <c r="T988" s="109"/>
      <c r="U988" s="109"/>
      <c r="V988" s="109"/>
      <c r="W988" s="109"/>
      <c r="X988" s="109"/>
      <c r="Y988" s="109"/>
      <c r="Z988" s="109"/>
    </row>
    <row r="989" ht="39.75" customHeight="1">
      <c r="A989" s="109"/>
      <c r="B989" s="109"/>
      <c r="C989" s="109"/>
      <c r="D989" s="109"/>
      <c r="E989" s="109"/>
      <c r="F989" s="109"/>
      <c r="G989" s="109"/>
      <c r="H989" s="109"/>
      <c r="I989" s="109"/>
      <c r="J989" s="109"/>
      <c r="K989" s="317"/>
      <c r="L989" s="109"/>
      <c r="M989" s="109"/>
      <c r="N989" s="109"/>
      <c r="O989" s="109"/>
      <c r="P989" s="109"/>
      <c r="Q989" s="109"/>
      <c r="R989" s="109"/>
      <c r="S989" s="109"/>
      <c r="T989" s="109"/>
      <c r="U989" s="109"/>
      <c r="V989" s="109"/>
      <c r="W989" s="109"/>
      <c r="X989" s="109"/>
      <c r="Y989" s="109"/>
      <c r="Z989" s="109"/>
    </row>
    <row r="990" ht="39.75" customHeight="1">
      <c r="A990" s="109"/>
      <c r="B990" s="109"/>
      <c r="C990" s="109"/>
      <c r="D990" s="109"/>
      <c r="E990" s="109"/>
      <c r="F990" s="109"/>
      <c r="G990" s="109"/>
      <c r="H990" s="109"/>
      <c r="I990" s="109"/>
      <c r="J990" s="109"/>
      <c r="K990" s="317"/>
      <c r="L990" s="109"/>
      <c r="M990" s="109"/>
      <c r="N990" s="109"/>
      <c r="O990" s="109"/>
      <c r="P990" s="109"/>
      <c r="Q990" s="109"/>
      <c r="R990" s="109"/>
      <c r="S990" s="109"/>
      <c r="T990" s="109"/>
      <c r="U990" s="109"/>
      <c r="V990" s="109"/>
      <c r="W990" s="109"/>
      <c r="X990" s="109"/>
      <c r="Y990" s="109"/>
      <c r="Z990" s="109"/>
    </row>
    <row r="991" ht="39.75" customHeight="1">
      <c r="A991" s="109"/>
      <c r="B991" s="109"/>
      <c r="C991" s="109"/>
      <c r="D991" s="109"/>
      <c r="E991" s="109"/>
      <c r="F991" s="109"/>
      <c r="G991" s="109"/>
      <c r="H991" s="109"/>
      <c r="I991" s="109"/>
      <c r="J991" s="109"/>
      <c r="K991" s="317"/>
      <c r="L991" s="109"/>
      <c r="M991" s="109"/>
      <c r="N991" s="109"/>
      <c r="O991" s="109"/>
      <c r="P991" s="109"/>
      <c r="Q991" s="109"/>
      <c r="R991" s="109"/>
      <c r="S991" s="109"/>
      <c r="T991" s="109"/>
      <c r="U991" s="109"/>
      <c r="V991" s="109"/>
      <c r="W991" s="109"/>
      <c r="X991" s="109"/>
      <c r="Y991" s="109"/>
      <c r="Z991" s="109"/>
    </row>
    <row r="992" ht="39.75" customHeight="1">
      <c r="A992" s="109"/>
      <c r="B992" s="109"/>
      <c r="C992" s="109"/>
      <c r="D992" s="109"/>
      <c r="E992" s="109"/>
      <c r="F992" s="109"/>
      <c r="G992" s="109"/>
      <c r="H992" s="109"/>
      <c r="I992" s="109"/>
      <c r="J992" s="109"/>
      <c r="K992" s="317"/>
      <c r="L992" s="109"/>
      <c r="M992" s="109"/>
      <c r="N992" s="109"/>
      <c r="O992" s="109"/>
      <c r="P992" s="109"/>
      <c r="Q992" s="109"/>
      <c r="R992" s="109"/>
      <c r="S992" s="109"/>
      <c r="T992" s="109"/>
      <c r="U992" s="109"/>
      <c r="V992" s="109"/>
      <c r="W992" s="109"/>
      <c r="X992" s="109"/>
      <c r="Y992" s="109"/>
      <c r="Z992" s="109"/>
    </row>
    <row r="993" ht="39.75" customHeight="1">
      <c r="A993" s="109"/>
      <c r="B993" s="109"/>
      <c r="C993" s="109"/>
      <c r="D993" s="109"/>
      <c r="E993" s="109"/>
      <c r="F993" s="109"/>
      <c r="G993" s="109"/>
      <c r="H993" s="109"/>
      <c r="I993" s="109"/>
      <c r="J993" s="109"/>
      <c r="K993" s="317"/>
      <c r="L993" s="109"/>
      <c r="M993" s="109"/>
      <c r="N993" s="109"/>
      <c r="O993" s="109"/>
      <c r="P993" s="109"/>
      <c r="Q993" s="109"/>
      <c r="R993" s="109"/>
      <c r="S993" s="109"/>
      <c r="T993" s="109"/>
      <c r="U993" s="109"/>
      <c r="V993" s="109"/>
      <c r="W993" s="109"/>
      <c r="X993" s="109"/>
      <c r="Y993" s="109"/>
      <c r="Z993" s="109"/>
    </row>
    <row r="994" ht="39.75" customHeight="1">
      <c r="A994" s="109"/>
      <c r="B994" s="109"/>
      <c r="C994" s="109"/>
      <c r="D994" s="109"/>
      <c r="E994" s="109"/>
      <c r="F994" s="109"/>
      <c r="G994" s="109"/>
      <c r="H994" s="109"/>
      <c r="I994" s="109"/>
      <c r="J994" s="109"/>
      <c r="K994" s="317"/>
      <c r="L994" s="109"/>
      <c r="M994" s="109"/>
      <c r="N994" s="109"/>
      <c r="O994" s="109"/>
      <c r="P994" s="109"/>
      <c r="Q994" s="109"/>
      <c r="R994" s="109"/>
      <c r="S994" s="109"/>
      <c r="T994" s="109"/>
      <c r="U994" s="109"/>
      <c r="V994" s="109"/>
      <c r="W994" s="109"/>
      <c r="X994" s="109"/>
      <c r="Y994" s="109"/>
      <c r="Z994" s="109"/>
    </row>
    <row r="995" ht="39.75" customHeight="1">
      <c r="A995" s="109"/>
      <c r="B995" s="109"/>
      <c r="C995" s="109"/>
      <c r="D995" s="109"/>
      <c r="E995" s="109"/>
      <c r="F995" s="109"/>
      <c r="G995" s="109"/>
      <c r="H995" s="109"/>
      <c r="I995" s="109"/>
      <c r="J995" s="109"/>
      <c r="K995" s="317"/>
      <c r="L995" s="109"/>
      <c r="M995" s="109"/>
      <c r="N995" s="109"/>
      <c r="O995" s="109"/>
      <c r="P995" s="109"/>
      <c r="Q995" s="109"/>
      <c r="R995" s="109"/>
      <c r="S995" s="109"/>
      <c r="T995" s="109"/>
      <c r="U995" s="109"/>
      <c r="V995" s="109"/>
      <c r="W995" s="109"/>
      <c r="X995" s="109"/>
      <c r="Y995" s="109"/>
      <c r="Z995" s="109"/>
    </row>
    <row r="996" ht="39.75" customHeight="1">
      <c r="A996" s="109"/>
      <c r="B996" s="109"/>
      <c r="C996" s="109"/>
      <c r="D996" s="109"/>
      <c r="E996" s="109"/>
      <c r="F996" s="109"/>
      <c r="G996" s="109"/>
      <c r="H996" s="109"/>
      <c r="I996" s="109"/>
      <c r="J996" s="109"/>
      <c r="K996" s="317"/>
      <c r="L996" s="109"/>
      <c r="M996" s="109"/>
      <c r="N996" s="109"/>
      <c r="O996" s="109"/>
      <c r="P996" s="109"/>
      <c r="Q996" s="109"/>
      <c r="R996" s="109"/>
      <c r="S996" s="109"/>
      <c r="T996" s="109"/>
      <c r="U996" s="109"/>
      <c r="V996" s="109"/>
      <c r="W996" s="109"/>
      <c r="X996" s="109"/>
      <c r="Y996" s="109"/>
      <c r="Z996" s="109"/>
    </row>
    <row r="997" ht="39.75" customHeight="1">
      <c r="A997" s="109"/>
      <c r="B997" s="109"/>
      <c r="C997" s="109"/>
      <c r="D997" s="109"/>
      <c r="E997" s="109"/>
      <c r="F997" s="109"/>
      <c r="G997" s="109"/>
      <c r="H997" s="109"/>
      <c r="I997" s="109"/>
      <c r="J997" s="109"/>
      <c r="K997" s="317"/>
      <c r="L997" s="109"/>
      <c r="M997" s="109"/>
      <c r="N997" s="109"/>
      <c r="O997" s="109"/>
      <c r="P997" s="109"/>
      <c r="Q997" s="109"/>
      <c r="R997" s="109"/>
      <c r="S997" s="109"/>
      <c r="T997" s="109"/>
      <c r="U997" s="109"/>
      <c r="V997" s="109"/>
      <c r="W997" s="109"/>
      <c r="X997" s="109"/>
      <c r="Y997" s="109"/>
      <c r="Z997" s="109"/>
    </row>
    <row r="998" ht="39.75" customHeight="1">
      <c r="A998" s="109"/>
      <c r="B998" s="109"/>
      <c r="C998" s="109"/>
      <c r="D998" s="109"/>
      <c r="E998" s="109"/>
      <c r="F998" s="109"/>
      <c r="G998" s="109"/>
      <c r="H998" s="109"/>
      <c r="I998" s="109"/>
      <c r="J998" s="109"/>
      <c r="K998" s="317"/>
      <c r="L998" s="109"/>
      <c r="M998" s="109"/>
      <c r="N998" s="109"/>
      <c r="O998" s="109"/>
      <c r="P998" s="109"/>
      <c r="Q998" s="109"/>
      <c r="R998" s="109"/>
      <c r="S998" s="109"/>
      <c r="T998" s="109"/>
      <c r="U998" s="109"/>
      <c r="V998" s="109"/>
      <c r="W998" s="109"/>
      <c r="X998" s="109"/>
      <c r="Y998" s="109"/>
      <c r="Z998" s="109"/>
    </row>
    <row r="999" ht="39.75" customHeight="1">
      <c r="A999" s="109"/>
      <c r="B999" s="109"/>
      <c r="C999" s="109"/>
      <c r="D999" s="109"/>
      <c r="E999" s="109"/>
      <c r="F999" s="109"/>
      <c r="G999" s="109"/>
      <c r="H999" s="109"/>
      <c r="I999" s="109"/>
      <c r="J999" s="109"/>
      <c r="K999" s="317"/>
      <c r="L999" s="109"/>
      <c r="M999" s="109"/>
      <c r="N999" s="109"/>
      <c r="O999" s="109"/>
      <c r="P999" s="109"/>
      <c r="Q999" s="109"/>
      <c r="R999" s="109"/>
      <c r="S999" s="109"/>
      <c r="T999" s="109"/>
      <c r="U999" s="109"/>
      <c r="V999" s="109"/>
      <c r="W999" s="109"/>
      <c r="X999" s="109"/>
      <c r="Y999" s="109"/>
      <c r="Z999" s="109"/>
    </row>
    <row r="1000" ht="39.75" customHeight="1">
      <c r="A1000" s="109"/>
      <c r="B1000" s="109"/>
      <c r="C1000" s="109"/>
      <c r="D1000" s="109"/>
      <c r="E1000" s="109"/>
      <c r="F1000" s="109"/>
      <c r="G1000" s="109"/>
      <c r="H1000" s="109"/>
      <c r="I1000" s="109"/>
      <c r="J1000" s="109"/>
      <c r="K1000" s="317"/>
      <c r="L1000" s="109"/>
      <c r="M1000" s="109"/>
      <c r="N1000" s="109"/>
      <c r="O1000" s="109"/>
      <c r="P1000" s="109"/>
      <c r="Q1000" s="109"/>
      <c r="R1000" s="109"/>
      <c r="S1000" s="109"/>
      <c r="T1000" s="109"/>
      <c r="U1000" s="109"/>
      <c r="V1000" s="109"/>
      <c r="W1000" s="109"/>
      <c r="X1000" s="109"/>
      <c r="Y1000" s="109"/>
      <c r="Z1000" s="109"/>
    </row>
  </sheetData>
  <hyperlinks>
    <hyperlink r:id="rId1" ref="Q4"/>
    <hyperlink r:id="rId2" ref="Q5"/>
    <hyperlink r:id="rId3" ref="Q6"/>
    <hyperlink r:id="rId4" ref="Q8"/>
    <hyperlink r:id="rId5" ref="Q9"/>
    <hyperlink r:id="rId6" ref="Q11"/>
    <hyperlink r:id="rId7" ref="J13"/>
    <hyperlink r:id="rId8" ref="Q13"/>
    <hyperlink r:id="rId9" ref="Q15"/>
    <hyperlink r:id="rId10" ref="Q16"/>
    <hyperlink r:id="rId11" ref="Q17"/>
    <hyperlink r:id="rId12" ref="Q18"/>
    <hyperlink r:id="rId13" ref="Q21"/>
    <hyperlink r:id="rId14" ref="I23"/>
    <hyperlink r:id="rId15" ref="Q26"/>
    <hyperlink r:id="rId16" ref="Q27"/>
    <hyperlink r:id="rId17" ref="Q33"/>
    <hyperlink r:id="rId18" ref="Q34"/>
    <hyperlink r:id="rId19" ref="Q37"/>
    <hyperlink r:id="rId20" ref="Q39"/>
    <hyperlink r:id="rId21" ref="Q40"/>
    <hyperlink r:id="rId22" ref="Q51"/>
    <hyperlink r:id="rId23" ref="Q55"/>
    <hyperlink r:id="rId24" ref="Q58"/>
    <hyperlink r:id="rId25" ref="Q59"/>
    <hyperlink r:id="rId26" ref="Q63"/>
    <hyperlink r:id="rId27" ref="Q69"/>
    <hyperlink r:id="rId28" ref="Q71"/>
    <hyperlink r:id="rId29" ref="Q74"/>
    <hyperlink r:id="rId30" ref="Q78"/>
    <hyperlink r:id="rId31" ref="Q79"/>
    <hyperlink r:id="rId32" ref="Q84"/>
    <hyperlink r:id="rId33" ref="Q90"/>
    <hyperlink r:id="rId34" ref="Q91"/>
    <hyperlink r:id="rId35" ref="Q92"/>
    <hyperlink r:id="rId36" ref="Q94"/>
    <hyperlink r:id="rId37" ref="Q95"/>
    <hyperlink r:id="rId38" ref="Q96"/>
    <hyperlink r:id="rId39" ref="Q101"/>
    <hyperlink r:id="rId40" ref="Q102"/>
    <hyperlink r:id="rId41" ref="Q104"/>
    <hyperlink r:id="rId42" ref="Q107"/>
    <hyperlink r:id="rId43" ref="Q114"/>
    <hyperlink r:id="rId44" ref="Q115"/>
    <hyperlink r:id="rId45" ref="Q116"/>
    <hyperlink r:id="rId46" ref="Q117"/>
    <hyperlink r:id="rId47" ref="Q119"/>
    <hyperlink r:id="rId48" ref="Q123"/>
    <hyperlink r:id="rId49" ref="H129"/>
  </hyperlinks>
  <drawing r:id="rId50"/>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3.44" defaultRowHeight="15.0"/>
  <cols>
    <col customWidth="1" min="1" max="1" width="40.33"/>
    <col customWidth="1" min="2" max="7" width="15.44"/>
    <col customWidth="1" min="8" max="26" width="40.33"/>
  </cols>
  <sheetData>
    <row r="1" ht="168.75" customHeight="1">
      <c r="A1" s="288" t="s">
        <v>7166</v>
      </c>
      <c r="B1" s="289" t="s">
        <v>8495</v>
      </c>
      <c r="C1" s="289" t="s">
        <v>8496</v>
      </c>
      <c r="D1" s="289" t="s">
        <v>8497</v>
      </c>
      <c r="E1" s="289" t="s">
        <v>8498</v>
      </c>
      <c r="F1" s="289" t="s">
        <v>8499</v>
      </c>
      <c r="G1" s="289" t="s">
        <v>67</v>
      </c>
      <c r="H1" s="289" t="s">
        <v>24</v>
      </c>
      <c r="I1" s="289"/>
      <c r="J1" s="289"/>
      <c r="K1" s="289"/>
      <c r="L1" s="290"/>
      <c r="M1" s="291"/>
      <c r="N1" s="292"/>
      <c r="O1" s="293"/>
      <c r="P1" s="289"/>
      <c r="Q1" s="288"/>
      <c r="R1" s="288"/>
      <c r="S1" s="288"/>
      <c r="T1" s="288"/>
      <c r="U1" s="288"/>
      <c r="V1" s="288"/>
      <c r="W1" s="288"/>
      <c r="X1" s="288"/>
      <c r="Y1" s="288"/>
      <c r="Z1" s="288"/>
    </row>
    <row r="2" ht="29.25" customHeight="1">
      <c r="A2" s="109" t="s">
        <v>8500</v>
      </c>
      <c r="B2" s="109" t="s">
        <v>8501</v>
      </c>
      <c r="C2" s="339"/>
      <c r="D2" s="112">
        <v>41792.0</v>
      </c>
      <c r="E2" s="109" t="s">
        <v>8502</v>
      </c>
      <c r="F2" s="109"/>
      <c r="G2" s="109"/>
      <c r="H2" s="131" t="str">
        <f>HYPERLINK("http://bx2014.org/","http://bx2014.org/")</f>
        <v>http://bx2014.org/</v>
      </c>
      <c r="I2" s="109"/>
      <c r="J2" s="109"/>
      <c r="K2" s="109"/>
      <c r="L2" s="109"/>
      <c r="M2" s="109"/>
      <c r="N2" s="109"/>
      <c r="O2" s="109"/>
      <c r="P2" s="109"/>
      <c r="Q2" s="109"/>
      <c r="R2" s="109"/>
      <c r="S2" s="109"/>
      <c r="T2" s="109"/>
      <c r="U2" s="109"/>
      <c r="V2" s="109"/>
      <c r="W2" s="109"/>
      <c r="X2" s="109"/>
      <c r="Y2" s="109"/>
      <c r="Z2" s="109"/>
    </row>
    <row r="3" ht="29.25" customHeight="1">
      <c r="A3" s="109" t="s">
        <v>8505</v>
      </c>
      <c r="B3" s="109" t="s">
        <v>8501</v>
      </c>
      <c r="C3" s="109" t="s">
        <v>8506</v>
      </c>
      <c r="D3" s="112" t="s">
        <v>8507</v>
      </c>
      <c r="E3" s="109" t="s">
        <v>8508</v>
      </c>
      <c r="F3" s="109"/>
      <c r="G3" s="109"/>
      <c r="H3" s="131" t="str">
        <f>HYPERLINK("http://frank.jou.ufl.edu/","http://frank.jou.ufl.edu/")</f>
        <v>http://frank.jou.ufl.edu/</v>
      </c>
      <c r="I3" s="109"/>
      <c r="J3" s="109"/>
      <c r="K3" s="109"/>
      <c r="L3" s="109"/>
      <c r="M3" s="109"/>
      <c r="N3" s="109"/>
      <c r="O3" s="109"/>
      <c r="P3" s="109"/>
      <c r="Q3" s="109"/>
      <c r="R3" s="109"/>
      <c r="S3" s="109"/>
      <c r="T3" s="109"/>
      <c r="U3" s="109"/>
      <c r="V3" s="109"/>
      <c r="W3" s="109"/>
      <c r="X3" s="109"/>
      <c r="Y3" s="109"/>
      <c r="Z3" s="109"/>
    </row>
    <row r="4" ht="29.25" customHeight="1">
      <c r="A4" s="109" t="s">
        <v>8512</v>
      </c>
      <c r="B4" s="109" t="s">
        <v>8501</v>
      </c>
      <c r="C4" s="339" t="s">
        <v>8513</v>
      </c>
      <c r="D4" s="112">
        <v>42524.0</v>
      </c>
      <c r="E4" s="109" t="s">
        <v>8514</v>
      </c>
      <c r="F4" s="109"/>
      <c r="G4" s="109"/>
      <c r="H4" s="131" t="s">
        <v>8515</v>
      </c>
      <c r="I4" s="109"/>
      <c r="J4" s="109"/>
      <c r="K4" s="109"/>
      <c r="L4" s="109"/>
      <c r="M4" s="109"/>
      <c r="N4" s="109"/>
      <c r="O4" s="109"/>
      <c r="P4" s="109"/>
      <c r="Q4" s="109"/>
      <c r="R4" s="109"/>
      <c r="S4" s="109"/>
      <c r="T4" s="109"/>
      <c r="U4" s="109"/>
      <c r="V4" s="109"/>
      <c r="W4" s="109"/>
      <c r="X4" s="109"/>
      <c r="Y4" s="109"/>
      <c r="Z4" s="109"/>
    </row>
    <row r="5" ht="29.25" customHeight="1">
      <c r="A5" s="109" t="s">
        <v>8516</v>
      </c>
      <c r="B5" s="109" t="s">
        <v>8501</v>
      </c>
      <c r="C5" s="109" t="s">
        <v>8517</v>
      </c>
      <c r="D5" s="112" t="s">
        <v>8518</v>
      </c>
      <c r="E5" s="109" t="s">
        <v>8519</v>
      </c>
      <c r="F5" s="109"/>
      <c r="G5" s="109"/>
      <c r="H5" s="131" t="s">
        <v>8520</v>
      </c>
      <c r="I5" s="109"/>
      <c r="J5" s="109"/>
      <c r="K5" s="109"/>
      <c r="L5" s="109"/>
      <c r="M5" s="109"/>
      <c r="N5" s="109"/>
      <c r="O5" s="109"/>
      <c r="P5" s="109"/>
      <c r="Q5" s="109"/>
      <c r="R5" s="109"/>
      <c r="S5" s="109"/>
      <c r="T5" s="109"/>
      <c r="U5" s="109"/>
      <c r="V5" s="109"/>
      <c r="W5" s="109"/>
      <c r="X5" s="109"/>
      <c r="Y5" s="109"/>
      <c r="Z5" s="109"/>
    </row>
    <row r="6" ht="29.25" customHeight="1">
      <c r="A6" s="109" t="s">
        <v>8521</v>
      </c>
      <c r="B6" s="109" t="s">
        <v>8501</v>
      </c>
      <c r="C6" s="339"/>
      <c r="D6" s="112" t="s">
        <v>8522</v>
      </c>
      <c r="E6" s="109" t="s">
        <v>8523</v>
      </c>
      <c r="F6" s="109"/>
      <c r="G6" s="109"/>
      <c r="H6" s="131" t="s">
        <v>8524</v>
      </c>
      <c r="I6" s="109"/>
      <c r="J6" s="109"/>
      <c r="K6" s="109"/>
      <c r="L6" s="109"/>
      <c r="M6" s="109"/>
      <c r="N6" s="109"/>
      <c r="O6" s="109"/>
      <c r="P6" s="109"/>
      <c r="Q6" s="109"/>
      <c r="R6" s="109"/>
      <c r="S6" s="109"/>
      <c r="T6" s="109"/>
      <c r="U6" s="109"/>
      <c r="V6" s="109"/>
      <c r="W6" s="109"/>
      <c r="X6" s="109"/>
      <c r="Y6" s="109"/>
      <c r="Z6" s="109"/>
    </row>
    <row r="7" ht="29.25" customHeight="1">
      <c r="A7" s="124" t="s">
        <v>8525</v>
      </c>
      <c r="B7" s="109" t="s">
        <v>8501</v>
      </c>
      <c r="C7" s="109" t="s">
        <v>8526</v>
      </c>
      <c r="D7" s="109" t="s">
        <v>8527</v>
      </c>
      <c r="E7" s="109" t="s">
        <v>8528</v>
      </c>
      <c r="F7" s="109"/>
      <c r="G7" s="317" t="s">
        <v>8529</v>
      </c>
      <c r="H7" s="131" t="s">
        <v>8530</v>
      </c>
      <c r="I7" s="109"/>
      <c r="J7" s="109"/>
      <c r="K7" s="109"/>
      <c r="L7" s="109"/>
      <c r="M7" s="109"/>
      <c r="N7" s="109"/>
      <c r="O7" s="109"/>
      <c r="P7" s="109"/>
      <c r="Q7" s="109"/>
      <c r="R7" s="109"/>
      <c r="S7" s="109"/>
      <c r="T7" s="109"/>
      <c r="U7" s="109"/>
      <c r="V7" s="109"/>
      <c r="W7" s="109"/>
      <c r="X7" s="109"/>
      <c r="Y7" s="109"/>
      <c r="Z7" s="109"/>
    </row>
    <row r="8" ht="29.25" customHeight="1">
      <c r="A8" s="109" t="s">
        <v>8531</v>
      </c>
      <c r="B8" s="109" t="s">
        <v>8501</v>
      </c>
      <c r="C8" s="109" t="s">
        <v>8531</v>
      </c>
      <c r="D8" s="109" t="s">
        <v>8532</v>
      </c>
      <c r="E8" s="109" t="s">
        <v>8533</v>
      </c>
      <c r="F8" s="109"/>
      <c r="G8" s="109"/>
      <c r="H8" s="131" t="str">
        <f>HYPERLINK("http://www.humanitariansummerschool.com/games-workshop.html","http://www.humanitariansummerschool.com/games-workshop.html")</f>
        <v>http://www.humanitariansummerschool.com/games-workshop.html</v>
      </c>
      <c r="I8" s="109"/>
      <c r="J8" s="109"/>
      <c r="K8" s="109"/>
      <c r="L8" s="109"/>
      <c r="M8" s="109"/>
      <c r="N8" s="109"/>
      <c r="O8" s="109"/>
      <c r="P8" s="109"/>
      <c r="Q8" s="109"/>
      <c r="R8" s="109"/>
      <c r="S8" s="109"/>
      <c r="T8" s="109"/>
      <c r="U8" s="109"/>
      <c r="V8" s="109"/>
      <c r="W8" s="109"/>
      <c r="X8" s="109"/>
      <c r="Y8" s="109"/>
      <c r="Z8" s="109"/>
    </row>
    <row r="9" ht="29.25" customHeight="1">
      <c r="A9" s="109" t="s">
        <v>8534</v>
      </c>
      <c r="B9" s="109" t="s">
        <v>8501</v>
      </c>
      <c r="C9" s="109" t="s">
        <v>2841</v>
      </c>
      <c r="D9" s="109" t="s">
        <v>8535</v>
      </c>
      <c r="E9" s="109" t="s">
        <v>8536</v>
      </c>
      <c r="F9" s="109"/>
      <c r="G9" s="109" t="s">
        <v>8537</v>
      </c>
      <c r="H9" s="131" t="str">
        <f>HYPERLINK("http://scholar.harvard.edu/laibson/rsfcamp","http://scholar.harvard.edu/laibson/rsfcamp")</f>
        <v>http://scholar.harvard.edu/laibson/rsfcamp</v>
      </c>
      <c r="I9" s="109"/>
      <c r="J9" s="109"/>
      <c r="K9" s="109"/>
      <c r="L9" s="109"/>
      <c r="M9" s="109"/>
      <c r="N9" s="109"/>
      <c r="O9" s="109"/>
      <c r="P9" s="109"/>
      <c r="Q9" s="109"/>
      <c r="R9" s="109"/>
      <c r="S9" s="109"/>
      <c r="T9" s="109"/>
      <c r="U9" s="109"/>
      <c r="V9" s="109"/>
      <c r="W9" s="109"/>
      <c r="X9" s="109"/>
      <c r="Y9" s="109"/>
      <c r="Z9" s="109"/>
    </row>
    <row r="10" ht="29.25" customHeight="1">
      <c r="A10" s="109" t="s">
        <v>8538</v>
      </c>
      <c r="B10" s="109" t="s">
        <v>8501</v>
      </c>
      <c r="C10" s="109" t="s">
        <v>8539</v>
      </c>
      <c r="D10" s="109" t="s">
        <v>8540</v>
      </c>
      <c r="E10" s="109" t="s">
        <v>4236</v>
      </c>
      <c r="F10" s="109"/>
      <c r="G10" s="109" t="s">
        <v>8541</v>
      </c>
      <c r="H10" s="131" t="s">
        <v>8542</v>
      </c>
      <c r="I10" s="109"/>
      <c r="J10" s="109"/>
      <c r="K10" s="109"/>
      <c r="L10" s="109"/>
      <c r="M10" s="109"/>
      <c r="N10" s="109"/>
      <c r="O10" s="109"/>
      <c r="P10" s="109"/>
      <c r="Q10" s="109"/>
      <c r="R10" s="109"/>
      <c r="S10" s="109"/>
      <c r="T10" s="109"/>
      <c r="U10" s="109"/>
      <c r="V10" s="109"/>
      <c r="W10" s="109"/>
      <c r="X10" s="109"/>
      <c r="Y10" s="109"/>
      <c r="Z10" s="109"/>
    </row>
    <row r="11" ht="29.25" customHeight="1">
      <c r="A11" s="109" t="s">
        <v>8543</v>
      </c>
      <c r="B11" s="109" t="s">
        <v>8501</v>
      </c>
      <c r="C11" s="109" t="s">
        <v>8544</v>
      </c>
      <c r="D11" s="339"/>
      <c r="E11" s="109" t="s">
        <v>8545</v>
      </c>
      <c r="F11" s="109"/>
      <c r="G11" s="109" t="s">
        <v>8546</v>
      </c>
      <c r="H11" s="111" t="str">
        <f>HYPERLINK("http://www.sesync.org/","http://www.sesync.org/")</f>
        <v>http://www.sesync.org/</v>
      </c>
      <c r="I11" s="109"/>
      <c r="J11" s="109"/>
      <c r="K11" s="109"/>
      <c r="L11" s="109"/>
      <c r="M11" s="109"/>
      <c r="N11" s="109"/>
      <c r="O11" s="109"/>
      <c r="P11" s="109"/>
      <c r="Q11" s="109"/>
      <c r="R11" s="109"/>
      <c r="S11" s="109"/>
      <c r="T11" s="109"/>
      <c r="U11" s="109"/>
      <c r="V11" s="109"/>
      <c r="W11" s="109"/>
      <c r="X11" s="109"/>
      <c r="Y11" s="109"/>
      <c r="Z11" s="109"/>
    </row>
    <row r="12" ht="29.25" customHeight="1">
      <c r="A12" s="109" t="s">
        <v>8547</v>
      </c>
      <c r="B12" s="109" t="s">
        <v>8501</v>
      </c>
      <c r="C12" s="339"/>
      <c r="D12" s="339"/>
      <c r="E12" s="339"/>
      <c r="F12" s="109"/>
      <c r="G12" s="109"/>
      <c r="H12" s="131" t="str">
        <f>HYPERLINK("http://www.garrisoninstitute.org/climate-and-behavior/climate-mind-and-behavior-project","http://www.garrisoninstitute.org/climate-and-behavior/climate-mind-and-behavior-project")</f>
        <v>http://www.garrisoninstitute.org/climate-and-behavior/climate-mind-and-behavior-project</v>
      </c>
      <c r="I12" s="109"/>
      <c r="J12" s="109"/>
      <c r="K12" s="109"/>
      <c r="L12" s="109"/>
      <c r="M12" s="109"/>
      <c r="N12" s="109"/>
      <c r="O12" s="109"/>
      <c r="P12" s="109"/>
      <c r="Q12" s="109"/>
      <c r="R12" s="109"/>
      <c r="S12" s="109"/>
      <c r="T12" s="109"/>
      <c r="U12" s="109"/>
      <c r="V12" s="109"/>
      <c r="W12" s="109"/>
      <c r="X12" s="109"/>
      <c r="Y12" s="109"/>
      <c r="Z12" s="109"/>
    </row>
    <row r="13" ht="29.25" customHeight="1">
      <c r="A13" s="109" t="s">
        <v>8548</v>
      </c>
      <c r="B13" s="109" t="s">
        <v>8501</v>
      </c>
      <c r="C13" s="339"/>
      <c r="D13" s="339"/>
      <c r="E13" s="339"/>
      <c r="F13" s="109"/>
      <c r="G13" s="109"/>
      <c r="H13" s="339"/>
      <c r="I13" s="109"/>
      <c r="J13" s="109"/>
      <c r="K13" s="109"/>
      <c r="L13" s="109"/>
      <c r="M13" s="109"/>
      <c r="N13" s="109"/>
      <c r="O13" s="109"/>
      <c r="P13" s="109"/>
      <c r="Q13" s="109"/>
      <c r="R13" s="109"/>
      <c r="S13" s="109"/>
      <c r="T13" s="109"/>
      <c r="U13" s="109"/>
      <c r="V13" s="109"/>
      <c r="W13" s="109"/>
      <c r="X13" s="109"/>
      <c r="Y13" s="109"/>
      <c r="Z13" s="109"/>
    </row>
    <row r="14" ht="29.25" customHeight="1">
      <c r="A14" s="109" t="s">
        <v>8549</v>
      </c>
      <c r="B14" s="109" t="s">
        <v>8501</v>
      </c>
      <c r="C14" s="339"/>
      <c r="D14" s="339"/>
      <c r="E14" s="339"/>
      <c r="F14" s="109"/>
      <c r="G14" s="109"/>
      <c r="H14" s="339"/>
      <c r="I14" s="109"/>
      <c r="J14" s="109"/>
      <c r="K14" s="109"/>
      <c r="L14" s="109"/>
      <c r="M14" s="109"/>
      <c r="N14" s="109"/>
      <c r="O14" s="109"/>
      <c r="P14" s="109"/>
      <c r="Q14" s="109"/>
      <c r="R14" s="109"/>
      <c r="S14" s="109"/>
      <c r="T14" s="109"/>
      <c r="U14" s="109"/>
      <c r="V14" s="109"/>
      <c r="W14" s="109"/>
      <c r="X14" s="109"/>
      <c r="Y14" s="109"/>
      <c r="Z14" s="109"/>
    </row>
    <row r="15" ht="29.25" customHeight="1">
      <c r="A15" s="109" t="s">
        <v>8550</v>
      </c>
      <c r="B15" s="109" t="s">
        <v>8551</v>
      </c>
      <c r="C15" s="109" t="s">
        <v>8552</v>
      </c>
      <c r="D15" s="109" t="s">
        <v>8553</v>
      </c>
      <c r="E15" s="109" t="s">
        <v>8554</v>
      </c>
      <c r="F15" s="109"/>
      <c r="G15" s="109" t="s">
        <v>8555</v>
      </c>
      <c r="H15" s="109" t="s">
        <v>8556</v>
      </c>
      <c r="I15" s="109"/>
      <c r="J15" s="109"/>
      <c r="K15" s="109"/>
      <c r="L15" s="109"/>
      <c r="M15" s="109"/>
      <c r="N15" s="109"/>
      <c r="O15" s="109"/>
      <c r="P15" s="109"/>
      <c r="Q15" s="109"/>
      <c r="R15" s="109"/>
      <c r="S15" s="109"/>
      <c r="T15" s="109"/>
      <c r="U15" s="109"/>
      <c r="V15" s="109"/>
      <c r="W15" s="109"/>
      <c r="X15" s="109"/>
      <c r="Y15" s="109"/>
      <c r="Z15" s="109"/>
    </row>
    <row r="16" ht="29.25" customHeight="1">
      <c r="A16" s="109" t="s">
        <v>8557</v>
      </c>
      <c r="B16" s="109" t="s">
        <v>8551</v>
      </c>
      <c r="C16" s="109" t="s">
        <v>8558</v>
      </c>
      <c r="D16" s="342" t="s">
        <v>8559</v>
      </c>
      <c r="E16" s="109" t="s">
        <v>8560</v>
      </c>
      <c r="F16" s="109"/>
      <c r="G16" s="317"/>
      <c r="H16" s="109" t="s">
        <v>8561</v>
      </c>
      <c r="I16" s="109"/>
      <c r="J16" s="109"/>
      <c r="K16" s="109"/>
      <c r="L16" s="109"/>
      <c r="M16" s="109"/>
      <c r="N16" s="109"/>
      <c r="O16" s="109"/>
      <c r="P16" s="109"/>
      <c r="Q16" s="109"/>
      <c r="R16" s="109"/>
      <c r="S16" s="109"/>
      <c r="T16" s="109"/>
      <c r="U16" s="109"/>
      <c r="V16" s="109"/>
      <c r="W16" s="109"/>
      <c r="X16" s="109"/>
      <c r="Y16" s="109"/>
      <c r="Z16" s="109"/>
    </row>
    <row r="17" ht="29.25" customHeight="1">
      <c r="A17" s="109" t="s">
        <v>8562</v>
      </c>
      <c r="B17" s="109" t="s">
        <v>8551</v>
      </c>
      <c r="C17" s="109" t="s">
        <v>8563</v>
      </c>
      <c r="D17" s="109" t="s">
        <v>8564</v>
      </c>
      <c r="E17" s="109" t="s">
        <v>8565</v>
      </c>
      <c r="F17" s="109"/>
      <c r="G17" s="109" t="s">
        <v>8566</v>
      </c>
      <c r="H17" s="109" t="s">
        <v>8567</v>
      </c>
      <c r="I17" s="109"/>
      <c r="J17" s="109"/>
      <c r="K17" s="109"/>
      <c r="L17" s="109"/>
      <c r="M17" s="109"/>
      <c r="N17" s="109"/>
      <c r="O17" s="109"/>
      <c r="P17" s="109"/>
      <c r="Q17" s="109"/>
      <c r="R17" s="109"/>
      <c r="S17" s="109"/>
      <c r="T17" s="109"/>
      <c r="U17" s="109"/>
      <c r="V17" s="109"/>
      <c r="W17" s="109"/>
      <c r="X17" s="109"/>
      <c r="Y17" s="109"/>
      <c r="Z17" s="109"/>
    </row>
    <row r="18" ht="29.25" customHeight="1">
      <c r="A18" s="109" t="s">
        <v>8568</v>
      </c>
      <c r="B18" s="109" t="s">
        <v>8569</v>
      </c>
      <c r="C18" s="109" t="s">
        <v>8570</v>
      </c>
      <c r="D18" s="109" t="s">
        <v>8571</v>
      </c>
      <c r="E18" s="109" t="s">
        <v>8572</v>
      </c>
      <c r="F18" s="109"/>
      <c r="G18" s="109" t="s">
        <v>8573</v>
      </c>
      <c r="H18" s="109" t="s">
        <v>8574</v>
      </c>
      <c r="I18" s="109"/>
      <c r="J18" s="109"/>
      <c r="K18" s="109"/>
      <c r="L18" s="109"/>
      <c r="M18" s="109"/>
      <c r="N18" s="109"/>
      <c r="O18" s="109"/>
      <c r="P18" s="109"/>
      <c r="Q18" s="109"/>
      <c r="R18" s="109"/>
      <c r="S18" s="109"/>
      <c r="T18" s="109"/>
      <c r="U18" s="109"/>
      <c r="V18" s="109"/>
      <c r="W18" s="109"/>
      <c r="X18" s="109"/>
      <c r="Y18" s="109"/>
      <c r="Z18" s="109"/>
    </row>
    <row r="19" ht="29.25" customHeight="1">
      <c r="A19" s="109" t="s">
        <v>8575</v>
      </c>
      <c r="B19" s="109" t="s">
        <v>8551</v>
      </c>
      <c r="C19" s="109" t="s">
        <v>8576</v>
      </c>
      <c r="D19" s="109" t="s">
        <v>8577</v>
      </c>
      <c r="E19" s="109" t="s">
        <v>7037</v>
      </c>
      <c r="F19" s="109"/>
      <c r="G19" s="109"/>
      <c r="H19" s="109" t="s">
        <v>8578</v>
      </c>
      <c r="I19" s="109"/>
      <c r="J19" s="109"/>
      <c r="K19" s="109"/>
      <c r="L19" s="109"/>
      <c r="M19" s="109"/>
      <c r="N19" s="109"/>
      <c r="O19" s="109"/>
      <c r="P19" s="109"/>
      <c r="Q19" s="109"/>
      <c r="R19" s="109"/>
      <c r="S19" s="109"/>
      <c r="T19" s="109"/>
      <c r="U19" s="109"/>
      <c r="V19" s="109"/>
      <c r="W19" s="109"/>
      <c r="X19" s="109"/>
      <c r="Y19" s="109"/>
      <c r="Z19" s="109"/>
    </row>
    <row r="20" ht="29.25" customHeight="1">
      <c r="A20" s="109" t="s">
        <v>8579</v>
      </c>
      <c r="B20" s="109" t="s">
        <v>8569</v>
      </c>
      <c r="C20" s="109" t="s">
        <v>8580</v>
      </c>
      <c r="D20" s="109" t="s">
        <v>8581</v>
      </c>
      <c r="E20" s="343" t="s">
        <v>8582</v>
      </c>
      <c r="F20" s="109"/>
      <c r="G20" s="109"/>
      <c r="H20" s="344" t="str">
        <f>HYPERLINK("http://www.bayareascience.org/","http://www.bayareascience.org/")</f>
        <v>http://www.bayareascience.org/</v>
      </c>
      <c r="I20" s="109"/>
      <c r="J20" s="109"/>
      <c r="K20" s="109"/>
      <c r="L20" s="109"/>
      <c r="M20" s="109"/>
      <c r="N20" s="109"/>
      <c r="O20" s="109"/>
      <c r="P20" s="109"/>
      <c r="Q20" s="109"/>
      <c r="R20" s="109"/>
      <c r="S20" s="109"/>
      <c r="T20" s="109"/>
      <c r="U20" s="109"/>
      <c r="V20" s="109"/>
      <c r="W20" s="109"/>
      <c r="X20" s="109"/>
      <c r="Y20" s="109"/>
      <c r="Z20" s="109"/>
    </row>
    <row r="21" ht="29.25" customHeight="1">
      <c r="A21" s="109" t="s">
        <v>8583</v>
      </c>
      <c r="B21" s="109" t="s">
        <v>8551</v>
      </c>
      <c r="C21" s="109" t="s">
        <v>8563</v>
      </c>
      <c r="D21" s="109" t="s">
        <v>8584</v>
      </c>
      <c r="E21" s="109" t="s">
        <v>8585</v>
      </c>
      <c r="F21" s="109"/>
      <c r="G21" s="109"/>
      <c r="H21" s="109" t="s">
        <v>8586</v>
      </c>
      <c r="I21" s="109"/>
      <c r="J21" s="109"/>
      <c r="K21" s="109"/>
      <c r="L21" s="109"/>
      <c r="M21" s="109"/>
      <c r="N21" s="109"/>
      <c r="O21" s="109"/>
      <c r="P21" s="109"/>
      <c r="Q21" s="109"/>
      <c r="R21" s="109"/>
      <c r="S21" s="109"/>
      <c r="T21" s="109"/>
      <c r="U21" s="109"/>
      <c r="V21" s="109"/>
      <c r="W21" s="109"/>
      <c r="X21" s="109"/>
      <c r="Y21" s="109"/>
      <c r="Z21" s="109"/>
    </row>
    <row r="22" ht="29.25" customHeight="1">
      <c r="A22" s="109" t="s">
        <v>8587</v>
      </c>
      <c r="B22" s="109" t="s">
        <v>8551</v>
      </c>
      <c r="C22" s="109" t="s">
        <v>8588</v>
      </c>
      <c r="D22" s="109" t="s">
        <v>8589</v>
      </c>
      <c r="E22" s="109" t="s">
        <v>8590</v>
      </c>
      <c r="F22" s="109"/>
      <c r="G22" s="109"/>
      <c r="H22" s="109" t="s">
        <v>8591</v>
      </c>
      <c r="I22" s="109"/>
      <c r="J22" s="109"/>
      <c r="K22" s="109"/>
      <c r="L22" s="109"/>
      <c r="M22" s="109"/>
      <c r="N22" s="109"/>
      <c r="O22" s="109"/>
      <c r="P22" s="109"/>
      <c r="Q22" s="109"/>
      <c r="R22" s="109"/>
      <c r="S22" s="109"/>
      <c r="T22" s="109"/>
      <c r="U22" s="109"/>
      <c r="V22" s="109"/>
      <c r="W22" s="109"/>
      <c r="X22" s="109"/>
      <c r="Y22" s="109"/>
      <c r="Z22" s="109"/>
    </row>
    <row r="23" ht="29.25" customHeight="1">
      <c r="A23" s="109" t="s">
        <v>8592</v>
      </c>
      <c r="B23" s="109" t="s">
        <v>8551</v>
      </c>
      <c r="C23" s="109" t="s">
        <v>8593</v>
      </c>
      <c r="D23" s="345">
        <v>42539.0</v>
      </c>
      <c r="E23" s="109" t="s">
        <v>8594</v>
      </c>
      <c r="F23" s="109"/>
      <c r="G23" s="109"/>
      <c r="H23" s="109" t="s">
        <v>8595</v>
      </c>
      <c r="I23" s="109"/>
      <c r="J23" s="109"/>
      <c r="K23" s="109"/>
      <c r="L23" s="109"/>
      <c r="M23" s="109"/>
      <c r="N23" s="109"/>
      <c r="O23" s="109"/>
      <c r="P23" s="109"/>
      <c r="Q23" s="109"/>
      <c r="R23" s="109"/>
      <c r="S23" s="109"/>
      <c r="T23" s="109"/>
      <c r="U23" s="109"/>
      <c r="V23" s="109"/>
      <c r="W23" s="109"/>
      <c r="X23" s="109"/>
      <c r="Y23" s="109"/>
      <c r="Z23" s="109"/>
    </row>
    <row r="24" ht="29.25" customHeight="1">
      <c r="A24" s="109" t="s">
        <v>8596</v>
      </c>
      <c r="B24" s="109" t="s">
        <v>8551</v>
      </c>
      <c r="C24" s="109" t="s">
        <v>8597</v>
      </c>
      <c r="D24" s="109" t="s">
        <v>8598</v>
      </c>
      <c r="E24" s="109" t="s">
        <v>8599</v>
      </c>
      <c r="F24" s="109"/>
      <c r="G24" s="317"/>
      <c r="H24" s="109" t="s">
        <v>8600</v>
      </c>
      <c r="I24" s="109"/>
      <c r="J24" s="109"/>
      <c r="K24" s="109"/>
      <c r="L24" s="109"/>
      <c r="M24" s="109"/>
      <c r="N24" s="109"/>
      <c r="O24" s="109"/>
      <c r="P24" s="109"/>
      <c r="Q24" s="109"/>
      <c r="R24" s="109"/>
      <c r="S24" s="109"/>
      <c r="T24" s="109"/>
      <c r="U24" s="109"/>
      <c r="V24" s="109"/>
      <c r="W24" s="109"/>
      <c r="X24" s="109"/>
      <c r="Y24" s="109"/>
      <c r="Z24" s="109"/>
    </row>
    <row r="25" ht="29.25" customHeight="1">
      <c r="A25" s="109" t="s">
        <v>8601</v>
      </c>
      <c r="B25" s="109" t="s">
        <v>8551</v>
      </c>
      <c r="C25" s="109" t="s">
        <v>8602</v>
      </c>
      <c r="D25" s="109" t="s">
        <v>8603</v>
      </c>
      <c r="E25" s="109" t="s">
        <v>1255</v>
      </c>
      <c r="F25" s="109"/>
      <c r="G25" s="109"/>
      <c r="H25" s="109" t="s">
        <v>8604</v>
      </c>
      <c r="I25" s="109"/>
      <c r="J25" s="109"/>
      <c r="K25" s="109"/>
      <c r="L25" s="109"/>
      <c r="M25" s="109"/>
      <c r="N25" s="109"/>
      <c r="O25" s="109"/>
      <c r="P25" s="109"/>
      <c r="Q25" s="109"/>
      <c r="R25" s="109"/>
      <c r="S25" s="109"/>
      <c r="T25" s="109"/>
      <c r="U25" s="109"/>
      <c r="V25" s="109"/>
      <c r="W25" s="109"/>
      <c r="X25" s="109"/>
      <c r="Y25" s="109"/>
      <c r="Z25" s="109"/>
    </row>
    <row r="26" ht="29.25" customHeight="1">
      <c r="A26" s="109" t="s">
        <v>8605</v>
      </c>
      <c r="B26" s="109" t="s">
        <v>8551</v>
      </c>
      <c r="C26" s="109" t="s">
        <v>8606</v>
      </c>
      <c r="D26" s="109" t="s">
        <v>8598</v>
      </c>
      <c r="E26" s="346" t="s">
        <v>8607</v>
      </c>
      <c r="F26" s="109"/>
      <c r="G26" s="317"/>
      <c r="H26" s="109" t="s">
        <v>8608</v>
      </c>
      <c r="I26" s="109"/>
      <c r="J26" s="109"/>
      <c r="K26" s="109"/>
      <c r="L26" s="109"/>
      <c r="M26" s="109"/>
      <c r="N26" s="109"/>
      <c r="O26" s="109"/>
      <c r="P26" s="109"/>
      <c r="Q26" s="109"/>
      <c r="R26" s="109"/>
      <c r="S26" s="109"/>
      <c r="T26" s="109"/>
      <c r="U26" s="109"/>
      <c r="V26" s="109"/>
      <c r="W26" s="109"/>
      <c r="X26" s="109"/>
      <c r="Y26" s="109"/>
      <c r="Z26" s="109"/>
    </row>
    <row r="27" ht="29.25" customHeight="1">
      <c r="A27" s="109" t="s">
        <v>8609</v>
      </c>
      <c r="B27" s="109" t="s">
        <v>8551</v>
      </c>
      <c r="C27" s="109" t="s">
        <v>8610</v>
      </c>
      <c r="D27" s="109" t="s">
        <v>8611</v>
      </c>
      <c r="E27" s="109" t="s">
        <v>5152</v>
      </c>
      <c r="F27" s="109"/>
      <c r="G27" s="317"/>
      <c r="H27" s="109" t="s">
        <v>8612</v>
      </c>
      <c r="I27" s="109"/>
      <c r="J27" s="109"/>
      <c r="K27" s="109"/>
      <c r="L27" s="109"/>
      <c r="M27" s="109"/>
      <c r="N27" s="109"/>
      <c r="O27" s="109"/>
      <c r="P27" s="109"/>
      <c r="Q27" s="109"/>
      <c r="R27" s="109"/>
      <c r="S27" s="109"/>
      <c r="T27" s="109"/>
      <c r="U27" s="109"/>
      <c r="V27" s="109"/>
      <c r="W27" s="109"/>
      <c r="X27" s="109"/>
      <c r="Y27" s="109"/>
      <c r="Z27" s="109"/>
    </row>
    <row r="28" ht="29.25" customHeight="1">
      <c r="A28" s="109" t="s">
        <v>8613</v>
      </c>
      <c r="B28" s="109" t="s">
        <v>8569</v>
      </c>
      <c r="C28" s="109" t="s">
        <v>8614</v>
      </c>
      <c r="D28" s="345">
        <v>42507.0</v>
      </c>
      <c r="E28" s="109" t="s">
        <v>8615</v>
      </c>
      <c r="F28" s="109"/>
      <c r="G28" s="317"/>
      <c r="H28" s="109" t="s">
        <v>8616</v>
      </c>
      <c r="I28" s="109"/>
      <c r="J28" s="109"/>
      <c r="K28" s="109"/>
      <c r="L28" s="109"/>
      <c r="M28" s="109"/>
      <c r="N28" s="109"/>
      <c r="O28" s="109"/>
      <c r="P28" s="109"/>
      <c r="Q28" s="109"/>
      <c r="R28" s="109"/>
      <c r="S28" s="109"/>
      <c r="T28" s="109"/>
      <c r="U28" s="109"/>
      <c r="V28" s="109"/>
      <c r="W28" s="109"/>
      <c r="X28" s="109"/>
      <c r="Y28" s="109"/>
      <c r="Z28" s="109"/>
    </row>
    <row r="29" ht="29.25" customHeight="1">
      <c r="A29" s="109" t="s">
        <v>8617</v>
      </c>
      <c r="B29" s="109" t="s">
        <v>8551</v>
      </c>
      <c r="C29" s="109" t="s">
        <v>8618</v>
      </c>
      <c r="D29" s="345">
        <v>42509.0</v>
      </c>
      <c r="E29" s="109" t="s">
        <v>8572</v>
      </c>
      <c r="F29" s="109"/>
      <c r="G29" s="317"/>
      <c r="H29" s="109" t="s">
        <v>8619</v>
      </c>
      <c r="I29" s="109"/>
      <c r="J29" s="109"/>
      <c r="K29" s="109"/>
      <c r="L29" s="109"/>
      <c r="M29" s="109"/>
      <c r="N29" s="109"/>
      <c r="O29" s="109"/>
      <c r="P29" s="109"/>
      <c r="Q29" s="109"/>
      <c r="R29" s="109"/>
      <c r="S29" s="109"/>
      <c r="T29" s="109"/>
      <c r="U29" s="109"/>
      <c r="V29" s="109"/>
      <c r="W29" s="109"/>
      <c r="X29" s="109"/>
      <c r="Y29" s="109"/>
      <c r="Z29" s="109"/>
    </row>
    <row r="30" ht="29.25" customHeight="1">
      <c r="A30" s="109" t="s">
        <v>8620</v>
      </c>
      <c r="B30" s="109" t="s">
        <v>8551</v>
      </c>
      <c r="C30" s="109" t="s">
        <v>8621</v>
      </c>
      <c r="D30" s="345" t="s">
        <v>8622</v>
      </c>
      <c r="E30" s="109" t="s">
        <v>8623</v>
      </c>
      <c r="F30" s="109"/>
      <c r="G30" s="317"/>
      <c r="H30" s="109" t="s">
        <v>8624</v>
      </c>
      <c r="I30" s="109"/>
      <c r="J30" s="109"/>
      <c r="K30" s="109"/>
      <c r="L30" s="109"/>
      <c r="M30" s="109"/>
      <c r="N30" s="109"/>
      <c r="O30" s="109"/>
      <c r="P30" s="109"/>
      <c r="Q30" s="109"/>
      <c r="R30" s="109"/>
      <c r="S30" s="109"/>
      <c r="T30" s="109"/>
      <c r="U30" s="109"/>
      <c r="V30" s="109"/>
      <c r="W30" s="109"/>
      <c r="X30" s="109"/>
      <c r="Y30" s="109"/>
      <c r="Z30" s="109"/>
    </row>
    <row r="31" ht="29.25" customHeight="1">
      <c r="A31" s="109" t="s">
        <v>8625</v>
      </c>
      <c r="B31" s="109" t="s">
        <v>8551</v>
      </c>
      <c r="C31" s="109" t="s">
        <v>8626</v>
      </c>
      <c r="D31" s="345">
        <v>42544.0</v>
      </c>
      <c r="E31" s="109" t="s">
        <v>8627</v>
      </c>
      <c r="F31" s="109"/>
      <c r="G31" s="317"/>
      <c r="H31" s="109" t="s">
        <v>8628</v>
      </c>
      <c r="I31" s="109"/>
      <c r="J31" s="109"/>
      <c r="K31" s="344"/>
      <c r="L31" s="109"/>
      <c r="M31" s="109"/>
      <c r="N31" s="109"/>
      <c r="O31" s="109"/>
      <c r="P31" s="109"/>
      <c r="Q31" s="109"/>
      <c r="R31" s="109"/>
      <c r="S31" s="109"/>
      <c r="T31" s="109"/>
      <c r="U31" s="109"/>
      <c r="V31" s="109"/>
      <c r="W31" s="109"/>
      <c r="X31" s="109"/>
      <c r="Y31" s="109"/>
      <c r="Z31" s="109"/>
    </row>
    <row r="32" ht="29.25" customHeight="1">
      <c r="A32" s="109" t="s">
        <v>8629</v>
      </c>
      <c r="B32" s="109" t="s">
        <v>8551</v>
      </c>
      <c r="C32" s="109" t="s">
        <v>8630</v>
      </c>
      <c r="D32" s="109" t="s">
        <v>8631</v>
      </c>
      <c r="E32" s="109" t="s">
        <v>8632</v>
      </c>
      <c r="F32" s="109"/>
      <c r="G32" s="317"/>
      <c r="H32" s="109" t="s">
        <v>8633</v>
      </c>
      <c r="I32" s="109"/>
      <c r="J32" s="109"/>
      <c r="K32" s="109"/>
      <c r="L32" s="109"/>
      <c r="M32" s="109"/>
      <c r="N32" s="109"/>
      <c r="O32" s="109"/>
      <c r="P32" s="109"/>
      <c r="Q32" s="109"/>
      <c r="R32" s="109"/>
      <c r="S32" s="109"/>
      <c r="T32" s="109"/>
      <c r="U32" s="109"/>
      <c r="V32" s="109"/>
      <c r="W32" s="109"/>
      <c r="X32" s="109"/>
      <c r="Y32" s="109"/>
      <c r="Z32" s="109"/>
    </row>
    <row r="33" ht="29.25" customHeight="1">
      <c r="A33" s="109" t="s">
        <v>8634</v>
      </c>
      <c r="B33" s="109" t="s">
        <v>8569</v>
      </c>
      <c r="C33" s="109" t="s">
        <v>8635</v>
      </c>
      <c r="D33" s="109" t="s">
        <v>8636</v>
      </c>
      <c r="E33" s="109" t="s">
        <v>8637</v>
      </c>
      <c r="F33" s="109"/>
      <c r="G33" s="317"/>
      <c r="H33" s="109" t="s">
        <v>8638</v>
      </c>
      <c r="I33" s="109"/>
      <c r="J33" s="109"/>
      <c r="K33" s="109"/>
      <c r="L33" s="109"/>
      <c r="M33" s="109"/>
      <c r="N33" s="109"/>
      <c r="O33" s="109"/>
      <c r="P33" s="109"/>
      <c r="Q33" s="109"/>
      <c r="R33" s="109"/>
      <c r="S33" s="109"/>
      <c r="T33" s="109"/>
      <c r="U33" s="109"/>
      <c r="V33" s="109"/>
      <c r="W33" s="109"/>
      <c r="X33" s="109"/>
      <c r="Y33" s="109"/>
      <c r="Z33" s="109"/>
    </row>
    <row r="34" ht="29.25" customHeight="1">
      <c r="A34" s="109" t="s">
        <v>8639</v>
      </c>
      <c r="B34" s="109" t="s">
        <v>8551</v>
      </c>
      <c r="C34" s="109" t="s">
        <v>8640</v>
      </c>
      <c r="D34" s="109">
        <v>2016.0</v>
      </c>
      <c r="E34" s="109" t="s">
        <v>8641</v>
      </c>
      <c r="F34" s="109"/>
      <c r="G34" s="317"/>
      <c r="H34" s="109" t="s">
        <v>8642</v>
      </c>
      <c r="I34" s="109"/>
      <c r="J34" s="109"/>
      <c r="K34" s="109"/>
      <c r="L34" s="109"/>
      <c r="M34" s="109"/>
      <c r="N34" s="109"/>
      <c r="O34" s="109"/>
      <c r="P34" s="109"/>
      <c r="Q34" s="109"/>
      <c r="R34" s="109"/>
      <c r="S34" s="109"/>
      <c r="T34" s="109"/>
      <c r="U34" s="109"/>
      <c r="V34" s="109"/>
      <c r="W34" s="109"/>
      <c r="X34" s="109"/>
      <c r="Y34" s="109"/>
      <c r="Z34" s="109"/>
    </row>
    <row r="35" ht="29.25" customHeight="1">
      <c r="A35" s="109" t="s">
        <v>8643</v>
      </c>
      <c r="B35" s="109" t="s">
        <v>8551</v>
      </c>
      <c r="C35" s="109" t="s">
        <v>8644</v>
      </c>
      <c r="D35" s="109" t="s">
        <v>1255</v>
      </c>
      <c r="E35" s="109" t="s">
        <v>1255</v>
      </c>
      <c r="F35" s="109"/>
      <c r="G35" s="317" t="s">
        <v>8645</v>
      </c>
      <c r="H35" s="109" t="s">
        <v>8646</v>
      </c>
      <c r="I35" s="109"/>
      <c r="J35" s="109"/>
      <c r="K35" s="109"/>
      <c r="L35" s="109"/>
      <c r="M35" s="109"/>
      <c r="N35" s="109"/>
      <c r="O35" s="109"/>
      <c r="P35" s="109"/>
      <c r="Q35" s="109"/>
      <c r="R35" s="109"/>
      <c r="S35" s="109"/>
      <c r="T35" s="109"/>
      <c r="U35" s="109"/>
      <c r="V35" s="109"/>
      <c r="W35" s="109"/>
      <c r="X35" s="109"/>
      <c r="Y35" s="109"/>
      <c r="Z35" s="109"/>
    </row>
    <row r="36" ht="29.25" customHeight="1">
      <c r="A36" s="109" t="s">
        <v>8647</v>
      </c>
      <c r="B36" s="109" t="s">
        <v>8551</v>
      </c>
      <c r="C36" s="109" t="s">
        <v>8635</v>
      </c>
      <c r="D36" s="109" t="s">
        <v>8648</v>
      </c>
      <c r="E36" s="109" t="s">
        <v>8649</v>
      </c>
      <c r="F36" s="109"/>
      <c r="G36" s="317"/>
      <c r="H36" s="109" t="s">
        <v>8650</v>
      </c>
      <c r="I36" s="109"/>
      <c r="J36" s="109"/>
      <c r="K36" s="109"/>
      <c r="L36" s="109"/>
      <c r="M36" s="109"/>
      <c r="N36" s="109"/>
      <c r="O36" s="109"/>
      <c r="P36" s="109"/>
      <c r="Q36" s="109"/>
      <c r="R36" s="109"/>
      <c r="S36" s="109"/>
      <c r="T36" s="109"/>
      <c r="U36" s="109"/>
      <c r="V36" s="109"/>
      <c r="W36" s="109"/>
      <c r="X36" s="109"/>
      <c r="Y36" s="109"/>
      <c r="Z36" s="109"/>
    </row>
    <row r="37" ht="29.25" customHeight="1">
      <c r="A37" s="109" t="s">
        <v>8651</v>
      </c>
      <c r="B37" s="109" t="s">
        <v>8551</v>
      </c>
      <c r="C37" s="109" t="s">
        <v>8652</v>
      </c>
      <c r="D37" s="109">
        <v>2016.0</v>
      </c>
      <c r="E37" s="109" t="s">
        <v>1255</v>
      </c>
      <c r="F37" s="109"/>
      <c r="G37" s="317" t="s">
        <v>8653</v>
      </c>
      <c r="H37" s="109" t="s">
        <v>8654</v>
      </c>
      <c r="I37" s="109"/>
      <c r="J37" s="109"/>
      <c r="K37" s="109"/>
      <c r="L37" s="109"/>
      <c r="M37" s="109"/>
      <c r="N37" s="109"/>
      <c r="O37" s="109"/>
      <c r="P37" s="109"/>
      <c r="Q37" s="109"/>
      <c r="R37" s="109"/>
      <c r="S37" s="109"/>
      <c r="T37" s="109"/>
      <c r="U37" s="109"/>
      <c r="V37" s="109"/>
      <c r="W37" s="109"/>
      <c r="X37" s="109"/>
      <c r="Y37" s="109"/>
      <c r="Z37" s="109"/>
    </row>
    <row r="38" ht="29.25" customHeight="1">
      <c r="A38" s="109" t="s">
        <v>8655</v>
      </c>
      <c r="B38" s="109" t="s">
        <v>8551</v>
      </c>
      <c r="C38" s="109" t="s">
        <v>8635</v>
      </c>
      <c r="D38" s="109" t="s">
        <v>8656</v>
      </c>
      <c r="E38" s="109" t="s">
        <v>8657</v>
      </c>
      <c r="F38" s="109"/>
      <c r="G38" s="317"/>
      <c r="H38" s="109" t="s">
        <v>8658</v>
      </c>
      <c r="I38" s="109"/>
      <c r="J38" s="109"/>
      <c r="K38" s="109"/>
      <c r="L38" s="109"/>
      <c r="M38" s="109"/>
      <c r="N38" s="109"/>
      <c r="O38" s="109"/>
      <c r="P38" s="109"/>
      <c r="Q38" s="109"/>
      <c r="R38" s="109"/>
      <c r="S38" s="109"/>
      <c r="T38" s="109"/>
      <c r="U38" s="109"/>
      <c r="V38" s="109"/>
      <c r="W38" s="109"/>
      <c r="X38" s="109"/>
      <c r="Y38" s="109"/>
      <c r="Z38" s="109"/>
    </row>
    <row r="39" ht="29.25" customHeight="1">
      <c r="A39" s="109" t="s">
        <v>8659</v>
      </c>
      <c r="B39" s="109" t="s">
        <v>8569</v>
      </c>
      <c r="C39" s="109" t="s">
        <v>8660</v>
      </c>
      <c r="D39" s="109" t="s">
        <v>8661</v>
      </c>
      <c r="E39" s="347" t="s">
        <v>8662</v>
      </c>
      <c r="F39" s="109"/>
      <c r="G39" s="317" t="s">
        <v>8663</v>
      </c>
      <c r="H39" s="109" t="s">
        <v>8664</v>
      </c>
      <c r="I39" s="109"/>
      <c r="J39" s="109"/>
      <c r="K39" s="109"/>
      <c r="L39" s="109"/>
      <c r="M39" s="109"/>
      <c r="N39" s="109"/>
      <c r="O39" s="109"/>
      <c r="P39" s="109"/>
      <c r="Q39" s="109"/>
      <c r="R39" s="109"/>
      <c r="S39" s="109"/>
      <c r="T39" s="109"/>
      <c r="U39" s="109"/>
      <c r="V39" s="109"/>
      <c r="W39" s="109"/>
      <c r="X39" s="109"/>
      <c r="Y39" s="109"/>
      <c r="Z39" s="109"/>
    </row>
    <row r="40" ht="29.25" customHeight="1">
      <c r="A40" s="109" t="s">
        <v>8665</v>
      </c>
      <c r="B40" s="109" t="s">
        <v>8551</v>
      </c>
      <c r="C40" s="109" t="s">
        <v>8666</v>
      </c>
      <c r="D40" s="109" t="s">
        <v>8667</v>
      </c>
      <c r="E40" s="109" t="s">
        <v>8668</v>
      </c>
      <c r="F40" s="109"/>
      <c r="G40" s="317" t="s">
        <v>8669</v>
      </c>
      <c r="H40" s="109" t="s">
        <v>8670</v>
      </c>
      <c r="I40" s="109"/>
      <c r="J40" s="109"/>
      <c r="K40" s="109"/>
      <c r="L40" s="109"/>
      <c r="M40" s="109"/>
      <c r="N40" s="109"/>
      <c r="O40" s="109"/>
      <c r="P40" s="109"/>
      <c r="Q40" s="109"/>
      <c r="R40" s="109"/>
      <c r="S40" s="109"/>
      <c r="T40" s="109"/>
      <c r="U40" s="109"/>
      <c r="V40" s="109"/>
      <c r="W40" s="109"/>
      <c r="X40" s="109"/>
      <c r="Y40" s="109"/>
      <c r="Z40" s="109"/>
    </row>
    <row r="41" ht="29.25" customHeight="1">
      <c r="A41" s="109" t="s">
        <v>8671</v>
      </c>
      <c r="B41" s="109" t="s">
        <v>8569</v>
      </c>
      <c r="C41" s="109" t="s">
        <v>8672</v>
      </c>
      <c r="D41" s="109" t="s">
        <v>8673</v>
      </c>
      <c r="E41" s="109" t="s">
        <v>8674</v>
      </c>
      <c r="F41" s="109"/>
      <c r="G41" s="317"/>
      <c r="H41" s="109" t="s">
        <v>8676</v>
      </c>
      <c r="I41" s="109"/>
      <c r="J41" s="109"/>
      <c r="K41" s="109"/>
      <c r="L41" s="109"/>
      <c r="M41" s="109"/>
      <c r="N41" s="109"/>
      <c r="O41" s="109"/>
      <c r="P41" s="109"/>
      <c r="Q41" s="109"/>
      <c r="R41" s="109"/>
      <c r="S41" s="109"/>
      <c r="T41" s="109"/>
      <c r="U41" s="109"/>
      <c r="V41" s="109"/>
      <c r="W41" s="109"/>
      <c r="X41" s="109"/>
      <c r="Y41" s="109"/>
      <c r="Z41" s="109"/>
    </row>
    <row r="42" ht="29.25" customHeight="1">
      <c r="A42" s="109"/>
      <c r="B42" s="109"/>
      <c r="C42" s="109"/>
      <c r="D42" s="109"/>
      <c r="E42" s="109"/>
      <c r="F42" s="109"/>
      <c r="G42" s="317"/>
      <c r="H42" s="109"/>
      <c r="I42" s="109"/>
      <c r="J42" s="109"/>
      <c r="K42" s="109"/>
      <c r="L42" s="109"/>
      <c r="M42" s="109"/>
      <c r="N42" s="109"/>
      <c r="O42" s="109"/>
      <c r="P42" s="109"/>
      <c r="Q42" s="109"/>
      <c r="R42" s="109"/>
      <c r="S42" s="109"/>
      <c r="T42" s="109"/>
      <c r="U42" s="109"/>
      <c r="V42" s="109"/>
      <c r="W42" s="109"/>
      <c r="X42" s="109"/>
      <c r="Y42" s="109"/>
      <c r="Z42" s="109"/>
    </row>
    <row r="43" ht="29.25" customHeight="1">
      <c r="A43" s="109"/>
      <c r="B43" s="109"/>
      <c r="C43" s="109"/>
      <c r="D43" s="109"/>
      <c r="E43" s="109"/>
      <c r="F43" s="109"/>
      <c r="G43" s="317"/>
      <c r="H43" s="109"/>
      <c r="I43" s="109"/>
      <c r="J43" s="109"/>
      <c r="K43" s="109"/>
      <c r="L43" s="109"/>
      <c r="M43" s="109"/>
      <c r="N43" s="109"/>
      <c r="O43" s="109"/>
      <c r="P43" s="109"/>
      <c r="Q43" s="109"/>
      <c r="R43" s="109"/>
      <c r="S43" s="109"/>
      <c r="T43" s="109"/>
      <c r="U43" s="109"/>
      <c r="V43" s="109"/>
      <c r="W43" s="109"/>
      <c r="X43" s="109"/>
      <c r="Y43" s="109"/>
      <c r="Z43" s="109"/>
    </row>
    <row r="44" ht="29.25" customHeight="1">
      <c r="A44" s="109"/>
      <c r="B44" s="109"/>
      <c r="C44" s="109"/>
      <c r="D44" s="109"/>
      <c r="E44" s="109"/>
      <c r="F44" s="109"/>
      <c r="G44" s="317"/>
      <c r="H44" s="109"/>
      <c r="I44" s="109"/>
      <c r="J44" s="109"/>
      <c r="K44" s="109"/>
      <c r="L44" s="109"/>
      <c r="M44" s="109"/>
      <c r="N44" s="109"/>
      <c r="O44" s="109"/>
      <c r="P44" s="109"/>
      <c r="Q44" s="109"/>
      <c r="R44" s="109"/>
      <c r="S44" s="109"/>
      <c r="T44" s="109"/>
      <c r="U44" s="109"/>
      <c r="V44" s="109"/>
      <c r="W44" s="109"/>
      <c r="X44" s="109"/>
      <c r="Y44" s="109"/>
      <c r="Z44" s="109"/>
    </row>
    <row r="45" ht="29.25" customHeight="1">
      <c r="A45" s="109"/>
      <c r="B45" s="109"/>
      <c r="C45" s="109"/>
      <c r="D45" s="109"/>
      <c r="E45" s="109"/>
      <c r="F45" s="109"/>
      <c r="G45" s="317"/>
      <c r="H45" s="109"/>
      <c r="I45" s="109"/>
      <c r="J45" s="109"/>
      <c r="K45" s="109"/>
      <c r="L45" s="109"/>
      <c r="M45" s="109"/>
      <c r="N45" s="109"/>
      <c r="O45" s="109"/>
      <c r="P45" s="109"/>
      <c r="Q45" s="109"/>
      <c r="R45" s="109"/>
      <c r="S45" s="109"/>
      <c r="T45" s="109"/>
      <c r="U45" s="109"/>
      <c r="V45" s="109"/>
      <c r="W45" s="109"/>
      <c r="X45" s="109"/>
      <c r="Y45" s="109"/>
      <c r="Z45" s="109"/>
    </row>
    <row r="46" ht="29.25" customHeight="1">
      <c r="A46" s="109"/>
      <c r="B46" s="109"/>
      <c r="C46" s="109"/>
      <c r="D46" s="109"/>
      <c r="E46" s="109"/>
      <c r="F46" s="109"/>
      <c r="G46" s="317"/>
      <c r="H46" s="109"/>
      <c r="I46" s="109"/>
      <c r="J46" s="109"/>
      <c r="K46" s="109"/>
      <c r="L46" s="109"/>
      <c r="M46" s="109"/>
      <c r="N46" s="109"/>
      <c r="O46" s="109"/>
      <c r="P46" s="109"/>
      <c r="Q46" s="109"/>
      <c r="R46" s="109"/>
      <c r="S46" s="109"/>
      <c r="T46" s="109"/>
      <c r="U46" s="109"/>
      <c r="V46" s="109"/>
      <c r="W46" s="109"/>
      <c r="X46" s="109"/>
      <c r="Y46" s="109"/>
      <c r="Z46" s="109"/>
    </row>
    <row r="47" ht="29.25" customHeight="1">
      <c r="A47" s="109"/>
      <c r="B47" s="109"/>
      <c r="C47" s="109"/>
      <c r="D47" s="109"/>
      <c r="E47" s="109"/>
      <c r="F47" s="109"/>
      <c r="G47" s="317"/>
      <c r="H47" s="109"/>
      <c r="I47" s="109"/>
      <c r="J47" s="109"/>
      <c r="K47" s="109"/>
      <c r="L47" s="109"/>
      <c r="M47" s="109"/>
      <c r="N47" s="109"/>
      <c r="O47" s="109"/>
      <c r="P47" s="109"/>
      <c r="Q47" s="109"/>
      <c r="R47" s="109"/>
      <c r="S47" s="109"/>
      <c r="T47" s="109"/>
      <c r="U47" s="109"/>
      <c r="V47" s="109"/>
      <c r="W47" s="109"/>
      <c r="X47" s="109"/>
      <c r="Y47" s="109"/>
      <c r="Z47" s="109"/>
    </row>
    <row r="48" ht="29.25" customHeight="1">
      <c r="A48" s="109"/>
      <c r="B48" s="109"/>
      <c r="C48" s="109"/>
      <c r="D48" s="109"/>
      <c r="E48" s="109"/>
      <c r="F48" s="109"/>
      <c r="G48" s="109"/>
      <c r="H48" s="109"/>
      <c r="I48" s="109"/>
      <c r="J48" s="109"/>
      <c r="K48" s="109"/>
      <c r="L48" s="109"/>
      <c r="M48" s="109"/>
      <c r="N48" s="109"/>
      <c r="O48" s="109"/>
      <c r="P48" s="109"/>
      <c r="Q48" s="109"/>
      <c r="R48" s="109"/>
      <c r="S48" s="109"/>
      <c r="T48" s="109"/>
      <c r="U48" s="109"/>
      <c r="V48" s="109"/>
      <c r="W48" s="109"/>
      <c r="X48" s="109"/>
      <c r="Y48" s="109"/>
      <c r="Z48" s="109"/>
    </row>
    <row r="49" ht="29.25" customHeight="1">
      <c r="A49" s="109"/>
      <c r="B49" s="109"/>
      <c r="C49" s="109"/>
      <c r="D49" s="109"/>
      <c r="E49" s="109"/>
      <c r="F49" s="109"/>
      <c r="G49" s="109"/>
      <c r="H49" s="109"/>
      <c r="I49" s="109"/>
      <c r="J49" s="109"/>
      <c r="K49" s="109"/>
      <c r="L49" s="109"/>
      <c r="M49" s="109"/>
      <c r="N49" s="109"/>
      <c r="O49" s="109"/>
      <c r="P49" s="109"/>
      <c r="Q49" s="109"/>
      <c r="R49" s="109"/>
      <c r="S49" s="109"/>
      <c r="T49" s="109"/>
      <c r="U49" s="109"/>
      <c r="V49" s="109"/>
      <c r="W49" s="109"/>
      <c r="X49" s="109"/>
      <c r="Y49" s="109"/>
      <c r="Z49" s="109"/>
    </row>
    <row r="50" ht="29.25" customHeight="1">
      <c r="A50" s="109"/>
      <c r="B50" s="109"/>
      <c r="C50" s="109"/>
      <c r="D50" s="109"/>
      <c r="E50" s="109"/>
      <c r="F50" s="109"/>
      <c r="G50" s="109"/>
      <c r="H50" s="109"/>
      <c r="I50" s="109"/>
      <c r="J50" s="109"/>
      <c r="K50" s="109"/>
      <c r="L50" s="109"/>
      <c r="M50" s="109"/>
      <c r="N50" s="109"/>
      <c r="O50" s="109"/>
      <c r="P50" s="109"/>
      <c r="Q50" s="109"/>
      <c r="R50" s="109"/>
      <c r="S50" s="109"/>
      <c r="T50" s="109"/>
      <c r="U50" s="109"/>
      <c r="V50" s="109"/>
      <c r="W50" s="109"/>
      <c r="X50" s="109"/>
      <c r="Y50" s="109"/>
      <c r="Z50" s="109"/>
    </row>
    <row r="51" ht="29.25" customHeight="1">
      <c r="A51" s="109"/>
      <c r="B51" s="109"/>
      <c r="C51" s="109"/>
      <c r="D51" s="109"/>
      <c r="E51" s="109"/>
      <c r="F51" s="109"/>
      <c r="G51" s="109"/>
      <c r="H51" s="109"/>
      <c r="I51" s="109"/>
      <c r="J51" s="109"/>
      <c r="K51" s="109"/>
      <c r="L51" s="109"/>
      <c r="M51" s="109"/>
      <c r="N51" s="109"/>
      <c r="O51" s="109"/>
      <c r="P51" s="109"/>
      <c r="Q51" s="109"/>
      <c r="R51" s="109"/>
      <c r="S51" s="109"/>
      <c r="T51" s="109"/>
      <c r="U51" s="109"/>
      <c r="V51" s="109"/>
      <c r="W51" s="109"/>
      <c r="X51" s="109"/>
      <c r="Y51" s="109"/>
      <c r="Z51" s="109"/>
    </row>
    <row r="52" ht="29.25" customHeight="1">
      <c r="A52" s="109"/>
      <c r="B52" s="109"/>
      <c r="C52" s="109"/>
      <c r="D52" s="109"/>
      <c r="E52" s="109"/>
      <c r="F52" s="109"/>
      <c r="G52" s="109"/>
      <c r="H52" s="109"/>
      <c r="I52" s="109"/>
      <c r="J52" s="109"/>
      <c r="K52" s="109"/>
      <c r="L52" s="109"/>
      <c r="M52" s="109"/>
      <c r="N52" s="109"/>
      <c r="O52" s="109"/>
      <c r="P52" s="109"/>
      <c r="Q52" s="109"/>
      <c r="R52" s="109"/>
      <c r="S52" s="109"/>
      <c r="T52" s="109"/>
      <c r="U52" s="109"/>
      <c r="V52" s="109"/>
      <c r="W52" s="109"/>
      <c r="X52" s="109"/>
      <c r="Y52" s="109"/>
      <c r="Z52" s="109"/>
    </row>
    <row r="53" ht="29.25" customHeight="1">
      <c r="A53" s="109"/>
      <c r="B53" s="109"/>
      <c r="C53" s="109"/>
      <c r="D53" s="109"/>
      <c r="E53" s="109"/>
      <c r="F53" s="109"/>
      <c r="G53" s="109"/>
      <c r="H53" s="109"/>
      <c r="I53" s="109"/>
      <c r="J53" s="109"/>
      <c r="K53" s="109"/>
      <c r="L53" s="109"/>
      <c r="M53" s="109"/>
      <c r="N53" s="109"/>
      <c r="O53" s="109"/>
      <c r="P53" s="109"/>
      <c r="Q53" s="109"/>
      <c r="R53" s="109"/>
      <c r="S53" s="109"/>
      <c r="T53" s="109"/>
      <c r="U53" s="109"/>
      <c r="V53" s="109"/>
      <c r="W53" s="109"/>
      <c r="X53" s="109"/>
      <c r="Y53" s="109"/>
      <c r="Z53" s="109"/>
    </row>
    <row r="54" ht="29.25" customHeight="1">
      <c r="A54" s="109"/>
      <c r="B54" s="109"/>
      <c r="C54" s="109"/>
      <c r="D54" s="109"/>
      <c r="E54" s="109"/>
      <c r="F54" s="109"/>
      <c r="G54" s="109"/>
      <c r="H54" s="109"/>
      <c r="I54" s="109"/>
      <c r="J54" s="109"/>
      <c r="K54" s="109"/>
      <c r="L54" s="109"/>
      <c r="M54" s="109"/>
      <c r="N54" s="109"/>
      <c r="O54" s="109"/>
      <c r="P54" s="109"/>
      <c r="Q54" s="109"/>
      <c r="R54" s="109"/>
      <c r="S54" s="109"/>
      <c r="T54" s="109"/>
      <c r="U54" s="109"/>
      <c r="V54" s="109"/>
      <c r="W54" s="109"/>
      <c r="X54" s="109"/>
      <c r="Y54" s="109"/>
      <c r="Z54" s="109"/>
    </row>
    <row r="55" ht="29.25" customHeight="1">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c r="Y55" s="109"/>
      <c r="Z55" s="109"/>
    </row>
    <row r="56" ht="29.25" customHeight="1">
      <c r="A56" s="109"/>
      <c r="B56" s="109"/>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row>
    <row r="57" ht="29.25" customHeight="1">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c r="Y57" s="109"/>
      <c r="Z57" s="109"/>
    </row>
    <row r="58" ht="29.25" customHeight="1">
      <c r="A58" s="109"/>
      <c r="B58" s="109"/>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row>
    <row r="59" ht="29.25" customHeight="1">
      <c r="A59" s="109"/>
      <c r="B59" s="109"/>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row>
    <row r="60" ht="29.25" customHeight="1">
      <c r="A60" s="109"/>
      <c r="B60" s="109"/>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row>
    <row r="61" ht="29.25" customHeight="1">
      <c r="A61" s="109"/>
      <c r="B61" s="109"/>
      <c r="C61" s="109"/>
      <c r="D61" s="109"/>
      <c r="E61" s="109"/>
      <c r="F61" s="109"/>
      <c r="G61" s="109"/>
      <c r="H61" s="109"/>
      <c r="I61" s="109"/>
      <c r="J61" s="109"/>
      <c r="K61" s="109"/>
      <c r="L61" s="109"/>
      <c r="M61" s="109"/>
      <c r="N61" s="109"/>
      <c r="O61" s="109"/>
      <c r="P61" s="109"/>
      <c r="Q61" s="109"/>
      <c r="R61" s="109"/>
      <c r="S61" s="109"/>
      <c r="T61" s="109"/>
      <c r="U61" s="109"/>
      <c r="V61" s="109"/>
      <c r="W61" s="109"/>
      <c r="X61" s="109"/>
      <c r="Y61" s="109"/>
      <c r="Z61" s="109"/>
    </row>
    <row r="62" ht="29.25" customHeight="1">
      <c r="A62" s="109"/>
      <c r="B62" s="109"/>
      <c r="C62" s="109"/>
      <c r="D62" s="109"/>
      <c r="E62" s="109"/>
      <c r="F62" s="109"/>
      <c r="G62" s="109"/>
      <c r="H62" s="109"/>
      <c r="I62" s="109"/>
      <c r="J62" s="109"/>
      <c r="K62" s="109"/>
      <c r="L62" s="109"/>
      <c r="M62" s="109"/>
      <c r="N62" s="109"/>
      <c r="O62" s="109"/>
      <c r="P62" s="109"/>
      <c r="Q62" s="109"/>
      <c r="R62" s="109"/>
      <c r="S62" s="109"/>
      <c r="T62" s="109"/>
      <c r="U62" s="109"/>
      <c r="V62" s="109"/>
      <c r="W62" s="109"/>
      <c r="X62" s="109"/>
      <c r="Y62" s="109"/>
      <c r="Z62" s="109"/>
    </row>
    <row r="63" ht="29.25" customHeight="1">
      <c r="A63" s="109"/>
      <c r="B63" s="109"/>
      <c r="C63" s="109"/>
      <c r="D63" s="109"/>
      <c r="E63" s="109"/>
      <c r="F63" s="109"/>
      <c r="G63" s="317"/>
      <c r="H63" s="109"/>
      <c r="I63" s="109"/>
      <c r="J63" s="109"/>
      <c r="K63" s="109"/>
      <c r="L63" s="109"/>
      <c r="M63" s="109"/>
      <c r="N63" s="109"/>
      <c r="O63" s="109"/>
      <c r="P63" s="109"/>
      <c r="Q63" s="109"/>
      <c r="R63" s="109"/>
      <c r="S63" s="109"/>
      <c r="T63" s="109"/>
      <c r="U63" s="109"/>
      <c r="V63" s="109"/>
      <c r="W63" s="109"/>
      <c r="X63" s="109"/>
      <c r="Y63" s="109"/>
      <c r="Z63" s="109"/>
    </row>
    <row r="64" ht="29.25" customHeight="1">
      <c r="A64" s="109"/>
      <c r="B64" s="109"/>
      <c r="C64" s="109"/>
      <c r="D64" s="109"/>
      <c r="E64" s="109"/>
      <c r="F64" s="109"/>
      <c r="G64" s="317"/>
      <c r="H64" s="109"/>
      <c r="I64" s="109"/>
      <c r="J64" s="109"/>
      <c r="K64" s="109"/>
      <c r="L64" s="109"/>
      <c r="M64" s="109"/>
      <c r="N64" s="109"/>
      <c r="O64" s="109"/>
      <c r="P64" s="109"/>
      <c r="Q64" s="109"/>
      <c r="R64" s="109"/>
      <c r="S64" s="109"/>
      <c r="T64" s="109"/>
      <c r="U64" s="109"/>
      <c r="V64" s="109"/>
      <c r="W64" s="109"/>
      <c r="X64" s="109"/>
      <c r="Y64" s="109"/>
      <c r="Z64" s="109"/>
    </row>
    <row r="65" ht="29.25" customHeight="1">
      <c r="A65" s="109"/>
      <c r="B65" s="109"/>
      <c r="C65" s="109"/>
      <c r="D65" s="109"/>
      <c r="E65" s="109"/>
      <c r="F65" s="109"/>
      <c r="G65" s="317"/>
      <c r="H65" s="109"/>
      <c r="I65" s="109"/>
      <c r="J65" s="109"/>
      <c r="K65" s="109"/>
      <c r="L65" s="109"/>
      <c r="M65" s="109"/>
      <c r="N65" s="109"/>
      <c r="O65" s="109"/>
      <c r="P65" s="109"/>
      <c r="Q65" s="109"/>
      <c r="R65" s="109"/>
      <c r="S65" s="109"/>
      <c r="T65" s="109"/>
      <c r="U65" s="109"/>
      <c r="V65" s="109"/>
      <c r="W65" s="109"/>
      <c r="X65" s="109"/>
      <c r="Y65" s="109"/>
      <c r="Z65" s="109"/>
    </row>
    <row r="66" ht="29.25" customHeight="1">
      <c r="A66" s="109"/>
      <c r="B66" s="109"/>
      <c r="C66" s="109"/>
      <c r="D66" s="109"/>
      <c r="E66" s="109"/>
      <c r="F66" s="109"/>
      <c r="G66" s="317"/>
      <c r="H66" s="109"/>
      <c r="I66" s="109"/>
      <c r="J66" s="109"/>
      <c r="K66" s="109"/>
      <c r="L66" s="109"/>
      <c r="M66" s="109"/>
      <c r="N66" s="109"/>
      <c r="O66" s="109"/>
      <c r="P66" s="109"/>
      <c r="Q66" s="109"/>
      <c r="R66" s="109"/>
      <c r="S66" s="109"/>
      <c r="T66" s="109"/>
      <c r="U66" s="109"/>
      <c r="V66" s="109"/>
      <c r="W66" s="109"/>
      <c r="X66" s="109"/>
      <c r="Y66" s="109"/>
      <c r="Z66" s="109"/>
    </row>
    <row r="67" ht="29.25" customHeight="1">
      <c r="A67" s="109"/>
      <c r="B67" s="109"/>
      <c r="C67" s="109"/>
      <c r="D67" s="109"/>
      <c r="E67" s="109"/>
      <c r="F67" s="109"/>
      <c r="G67" s="317"/>
      <c r="H67" s="109"/>
      <c r="I67" s="109"/>
      <c r="J67" s="109"/>
      <c r="K67" s="109"/>
      <c r="L67" s="109"/>
      <c r="M67" s="109"/>
      <c r="N67" s="109"/>
      <c r="O67" s="109"/>
      <c r="P67" s="109"/>
      <c r="Q67" s="109"/>
      <c r="R67" s="109"/>
      <c r="S67" s="109"/>
      <c r="T67" s="109"/>
      <c r="U67" s="109"/>
      <c r="V67" s="109"/>
      <c r="W67" s="109"/>
      <c r="X67" s="109"/>
      <c r="Y67" s="109"/>
      <c r="Z67" s="109"/>
    </row>
    <row r="68" ht="29.25" customHeight="1">
      <c r="A68" s="109"/>
      <c r="B68" s="109"/>
      <c r="C68" s="109"/>
      <c r="D68" s="109"/>
      <c r="E68" s="109"/>
      <c r="F68" s="109"/>
      <c r="G68" s="317"/>
      <c r="H68" s="109"/>
      <c r="I68" s="109"/>
      <c r="J68" s="109"/>
      <c r="K68" s="109"/>
      <c r="L68" s="109"/>
      <c r="M68" s="109"/>
      <c r="N68" s="109"/>
      <c r="O68" s="109"/>
      <c r="P68" s="109"/>
      <c r="Q68" s="109"/>
      <c r="R68" s="109"/>
      <c r="S68" s="109"/>
      <c r="T68" s="109"/>
      <c r="U68" s="109"/>
      <c r="V68" s="109"/>
      <c r="W68" s="109"/>
      <c r="X68" s="109"/>
      <c r="Y68" s="109"/>
      <c r="Z68" s="109"/>
    </row>
    <row r="69" ht="29.25" customHeight="1">
      <c r="A69" s="109"/>
      <c r="B69" s="109"/>
      <c r="C69" s="109"/>
      <c r="D69" s="109"/>
      <c r="E69" s="109"/>
      <c r="F69" s="109"/>
      <c r="G69" s="317"/>
      <c r="H69" s="109"/>
      <c r="I69" s="109"/>
      <c r="J69" s="109"/>
      <c r="K69" s="109"/>
      <c r="L69" s="109"/>
      <c r="M69" s="109"/>
      <c r="N69" s="109"/>
      <c r="O69" s="109"/>
      <c r="P69" s="109"/>
      <c r="Q69" s="109"/>
      <c r="R69" s="109"/>
      <c r="S69" s="109"/>
      <c r="T69" s="109"/>
      <c r="U69" s="109"/>
      <c r="V69" s="109"/>
      <c r="W69" s="109"/>
      <c r="X69" s="109"/>
      <c r="Y69" s="109"/>
      <c r="Z69" s="109"/>
    </row>
    <row r="70" ht="29.25" customHeight="1">
      <c r="A70" s="109"/>
      <c r="B70" s="109"/>
      <c r="C70" s="109"/>
      <c r="D70" s="109"/>
      <c r="E70" s="109"/>
      <c r="F70" s="109"/>
      <c r="G70" s="317"/>
      <c r="H70" s="109"/>
      <c r="I70" s="109"/>
      <c r="J70" s="109"/>
      <c r="K70" s="109"/>
      <c r="L70" s="109"/>
      <c r="M70" s="109"/>
      <c r="N70" s="109"/>
      <c r="O70" s="109"/>
      <c r="P70" s="109"/>
      <c r="Q70" s="109"/>
      <c r="R70" s="109"/>
      <c r="S70" s="109"/>
      <c r="T70" s="109"/>
      <c r="U70" s="109"/>
      <c r="V70" s="109"/>
      <c r="W70" s="109"/>
      <c r="X70" s="109"/>
      <c r="Y70" s="109"/>
      <c r="Z70" s="109"/>
    </row>
    <row r="71" ht="29.25" customHeight="1">
      <c r="A71" s="109"/>
      <c r="B71" s="109"/>
      <c r="C71" s="109"/>
      <c r="D71" s="109"/>
      <c r="E71" s="109"/>
      <c r="F71" s="109"/>
      <c r="G71" s="317"/>
      <c r="H71" s="109"/>
      <c r="I71" s="109"/>
      <c r="J71" s="109"/>
      <c r="K71" s="109"/>
      <c r="L71" s="109"/>
      <c r="M71" s="109"/>
      <c r="N71" s="109"/>
      <c r="O71" s="109"/>
      <c r="P71" s="109"/>
      <c r="Q71" s="109"/>
      <c r="R71" s="109"/>
      <c r="S71" s="109"/>
      <c r="T71" s="109"/>
      <c r="U71" s="109"/>
      <c r="V71" s="109"/>
      <c r="W71" s="109"/>
      <c r="X71" s="109"/>
      <c r="Y71" s="109"/>
      <c r="Z71" s="109"/>
    </row>
    <row r="72" ht="29.25" customHeight="1">
      <c r="A72" s="109"/>
      <c r="B72" s="109"/>
      <c r="C72" s="109"/>
      <c r="D72" s="109"/>
      <c r="E72" s="109"/>
      <c r="F72" s="109"/>
      <c r="G72" s="317"/>
      <c r="H72" s="109"/>
      <c r="I72" s="109"/>
      <c r="J72" s="109"/>
      <c r="K72" s="109"/>
      <c r="L72" s="109"/>
      <c r="M72" s="109"/>
      <c r="N72" s="109"/>
      <c r="O72" s="109"/>
      <c r="P72" s="109"/>
      <c r="Q72" s="109"/>
      <c r="R72" s="109"/>
      <c r="S72" s="109"/>
      <c r="T72" s="109"/>
      <c r="U72" s="109"/>
      <c r="V72" s="109"/>
      <c r="W72" s="109"/>
      <c r="X72" s="109"/>
      <c r="Y72" s="109"/>
      <c r="Z72" s="109"/>
    </row>
    <row r="73" ht="29.25" customHeight="1">
      <c r="A73" s="109"/>
      <c r="B73" s="109"/>
      <c r="C73" s="109"/>
      <c r="D73" s="109"/>
      <c r="E73" s="109"/>
      <c r="F73" s="109"/>
      <c r="G73" s="317"/>
      <c r="H73" s="109"/>
      <c r="I73" s="109"/>
      <c r="J73" s="109"/>
      <c r="K73" s="109"/>
      <c r="L73" s="109"/>
      <c r="M73" s="109"/>
      <c r="N73" s="109"/>
      <c r="O73" s="109"/>
      <c r="P73" s="109"/>
      <c r="Q73" s="109"/>
      <c r="R73" s="109"/>
      <c r="S73" s="109"/>
      <c r="T73" s="109"/>
      <c r="U73" s="109"/>
      <c r="V73" s="109"/>
      <c r="W73" s="109"/>
      <c r="X73" s="109"/>
      <c r="Y73" s="109"/>
      <c r="Z73" s="109"/>
    </row>
    <row r="74" ht="29.25" customHeight="1">
      <c r="A74" s="109"/>
      <c r="B74" s="109"/>
      <c r="C74" s="109"/>
      <c r="D74" s="109"/>
      <c r="E74" s="109"/>
      <c r="F74" s="109"/>
      <c r="G74" s="317"/>
      <c r="H74" s="109"/>
      <c r="I74" s="109"/>
      <c r="J74" s="109"/>
      <c r="K74" s="109"/>
      <c r="L74" s="109"/>
      <c r="M74" s="109"/>
      <c r="N74" s="109"/>
      <c r="O74" s="109"/>
      <c r="P74" s="109"/>
      <c r="Q74" s="109"/>
      <c r="R74" s="109"/>
      <c r="S74" s="109"/>
      <c r="T74" s="109"/>
      <c r="U74" s="109"/>
      <c r="V74" s="109"/>
      <c r="W74" s="109"/>
      <c r="X74" s="109"/>
      <c r="Y74" s="109"/>
      <c r="Z74" s="109"/>
    </row>
    <row r="75" ht="29.25" customHeight="1">
      <c r="A75" s="109"/>
      <c r="B75" s="109"/>
      <c r="C75" s="109"/>
      <c r="D75" s="109"/>
      <c r="E75" s="109"/>
      <c r="F75" s="109"/>
      <c r="G75" s="317"/>
      <c r="H75" s="109"/>
      <c r="I75" s="109"/>
      <c r="J75" s="109"/>
      <c r="K75" s="109"/>
      <c r="L75" s="109"/>
      <c r="M75" s="109"/>
      <c r="N75" s="109"/>
      <c r="O75" s="109"/>
      <c r="P75" s="109"/>
      <c r="Q75" s="109"/>
      <c r="R75" s="109"/>
      <c r="S75" s="109"/>
      <c r="T75" s="109"/>
      <c r="U75" s="109"/>
      <c r="V75" s="109"/>
      <c r="W75" s="109"/>
      <c r="X75" s="109"/>
      <c r="Y75" s="109"/>
      <c r="Z75" s="109"/>
    </row>
    <row r="76" ht="29.25" customHeight="1">
      <c r="A76" s="109"/>
      <c r="B76" s="109"/>
      <c r="C76" s="109"/>
      <c r="D76" s="109"/>
      <c r="E76" s="109"/>
      <c r="F76" s="109"/>
      <c r="G76" s="317"/>
      <c r="H76" s="109"/>
      <c r="I76" s="109"/>
      <c r="J76" s="109"/>
      <c r="K76" s="109"/>
      <c r="L76" s="109"/>
      <c r="M76" s="109"/>
      <c r="N76" s="109"/>
      <c r="O76" s="109"/>
      <c r="P76" s="109"/>
      <c r="Q76" s="109"/>
      <c r="R76" s="109"/>
      <c r="S76" s="109"/>
      <c r="T76" s="109"/>
      <c r="U76" s="109"/>
      <c r="V76" s="109"/>
      <c r="W76" s="109"/>
      <c r="X76" s="109"/>
      <c r="Y76" s="109"/>
      <c r="Z76" s="109"/>
    </row>
    <row r="77" ht="29.25" customHeight="1">
      <c r="A77" s="109"/>
      <c r="B77" s="109"/>
      <c r="C77" s="109"/>
      <c r="D77" s="109"/>
      <c r="E77" s="109"/>
      <c r="F77" s="109"/>
      <c r="G77" s="317"/>
      <c r="H77" s="109"/>
      <c r="I77" s="109"/>
      <c r="J77" s="109"/>
      <c r="K77" s="109"/>
      <c r="L77" s="109"/>
      <c r="M77" s="109"/>
      <c r="N77" s="109"/>
      <c r="O77" s="109"/>
      <c r="P77" s="109"/>
      <c r="Q77" s="109"/>
      <c r="R77" s="109"/>
      <c r="S77" s="109"/>
      <c r="T77" s="109"/>
      <c r="U77" s="109"/>
      <c r="V77" s="109"/>
      <c r="W77" s="109"/>
      <c r="X77" s="109"/>
      <c r="Y77" s="109"/>
      <c r="Z77" s="109"/>
    </row>
    <row r="78" ht="29.25" customHeight="1">
      <c r="A78" s="109"/>
      <c r="B78" s="109"/>
      <c r="C78" s="109"/>
      <c r="D78" s="109"/>
      <c r="E78" s="109"/>
      <c r="F78" s="109"/>
      <c r="G78" s="317"/>
      <c r="H78" s="109"/>
      <c r="I78" s="109"/>
      <c r="J78" s="109"/>
      <c r="K78" s="109"/>
      <c r="L78" s="109"/>
      <c r="M78" s="109"/>
      <c r="N78" s="109"/>
      <c r="O78" s="109"/>
      <c r="P78" s="109"/>
      <c r="Q78" s="109"/>
      <c r="R78" s="109"/>
      <c r="S78" s="109"/>
      <c r="T78" s="109"/>
      <c r="U78" s="109"/>
      <c r="V78" s="109"/>
      <c r="W78" s="109"/>
      <c r="X78" s="109"/>
      <c r="Y78" s="109"/>
      <c r="Z78" s="109"/>
    </row>
    <row r="79" ht="29.25" customHeight="1">
      <c r="A79" s="109"/>
      <c r="B79" s="109"/>
      <c r="C79" s="109"/>
      <c r="D79" s="109"/>
      <c r="E79" s="109"/>
      <c r="F79" s="109"/>
      <c r="G79" s="317"/>
      <c r="H79" s="109"/>
      <c r="I79" s="109"/>
      <c r="J79" s="109"/>
      <c r="K79" s="109"/>
      <c r="L79" s="109"/>
      <c r="M79" s="109"/>
      <c r="N79" s="109"/>
      <c r="O79" s="109"/>
      <c r="P79" s="109"/>
      <c r="Q79" s="109"/>
      <c r="R79" s="109"/>
      <c r="S79" s="109"/>
      <c r="T79" s="109"/>
      <c r="U79" s="109"/>
      <c r="V79" s="109"/>
      <c r="W79" s="109"/>
      <c r="X79" s="109"/>
      <c r="Y79" s="109"/>
      <c r="Z79" s="109"/>
    </row>
    <row r="80" ht="29.25" customHeight="1">
      <c r="A80" s="109"/>
      <c r="B80" s="109"/>
      <c r="C80" s="109"/>
      <c r="D80" s="109"/>
      <c r="E80" s="109"/>
      <c r="F80" s="109"/>
      <c r="G80" s="317"/>
      <c r="H80" s="109"/>
      <c r="I80" s="109"/>
      <c r="J80" s="109"/>
      <c r="K80" s="109"/>
      <c r="L80" s="109"/>
      <c r="M80" s="109"/>
      <c r="N80" s="109"/>
      <c r="O80" s="109"/>
      <c r="P80" s="109"/>
      <c r="Q80" s="109"/>
      <c r="R80" s="109"/>
      <c r="S80" s="109"/>
      <c r="T80" s="109"/>
      <c r="U80" s="109"/>
      <c r="V80" s="109"/>
      <c r="W80" s="109"/>
      <c r="X80" s="109"/>
      <c r="Y80" s="109"/>
      <c r="Z80" s="109"/>
    </row>
    <row r="81" ht="29.25" customHeight="1">
      <c r="A81" s="109"/>
      <c r="B81" s="109"/>
      <c r="C81" s="109"/>
      <c r="D81" s="109"/>
      <c r="E81" s="109"/>
      <c r="F81" s="109"/>
      <c r="G81" s="317"/>
      <c r="H81" s="109"/>
      <c r="I81" s="109"/>
      <c r="J81" s="109"/>
      <c r="K81" s="109"/>
      <c r="L81" s="109"/>
      <c r="M81" s="109"/>
      <c r="N81" s="109"/>
      <c r="O81" s="109"/>
      <c r="P81" s="109"/>
      <c r="Q81" s="109"/>
      <c r="R81" s="109"/>
      <c r="S81" s="109"/>
      <c r="T81" s="109"/>
      <c r="U81" s="109"/>
      <c r="V81" s="109"/>
      <c r="W81" s="109"/>
      <c r="X81" s="109"/>
      <c r="Y81" s="109"/>
      <c r="Z81" s="109"/>
    </row>
    <row r="82" ht="29.25" customHeight="1">
      <c r="A82" s="109"/>
      <c r="B82" s="109"/>
      <c r="C82" s="109"/>
      <c r="D82" s="109"/>
      <c r="E82" s="109"/>
      <c r="F82" s="109"/>
      <c r="G82" s="317"/>
      <c r="H82" s="109"/>
      <c r="I82" s="109"/>
      <c r="J82" s="109"/>
      <c r="K82" s="109"/>
      <c r="L82" s="109"/>
      <c r="M82" s="109"/>
      <c r="N82" s="109"/>
      <c r="O82" s="109"/>
      <c r="P82" s="109"/>
      <c r="Q82" s="109"/>
      <c r="R82" s="109"/>
      <c r="S82" s="109"/>
      <c r="T82" s="109"/>
      <c r="U82" s="109"/>
      <c r="V82" s="109"/>
      <c r="W82" s="109"/>
      <c r="X82" s="109"/>
      <c r="Y82" s="109"/>
      <c r="Z82" s="109"/>
    </row>
    <row r="83" ht="29.25" customHeight="1">
      <c r="A83" s="109"/>
      <c r="B83" s="109"/>
      <c r="C83" s="109"/>
      <c r="D83" s="109"/>
      <c r="E83" s="109"/>
      <c r="F83" s="109"/>
      <c r="G83" s="317"/>
      <c r="H83" s="109"/>
      <c r="I83" s="109"/>
      <c r="J83" s="109"/>
      <c r="K83" s="109"/>
      <c r="L83" s="109"/>
      <c r="M83" s="109"/>
      <c r="N83" s="109"/>
      <c r="O83" s="109"/>
      <c r="P83" s="109"/>
      <c r="Q83" s="109"/>
      <c r="R83" s="109"/>
      <c r="S83" s="109"/>
      <c r="T83" s="109"/>
      <c r="U83" s="109"/>
      <c r="V83" s="109"/>
      <c r="W83" s="109"/>
      <c r="X83" s="109"/>
      <c r="Y83" s="109"/>
      <c r="Z83" s="109"/>
    </row>
    <row r="84" ht="29.25" customHeight="1">
      <c r="A84" s="109"/>
      <c r="B84" s="109"/>
      <c r="C84" s="109"/>
      <c r="D84" s="109"/>
      <c r="E84" s="109"/>
      <c r="F84" s="109"/>
      <c r="G84" s="317"/>
      <c r="H84" s="109"/>
      <c r="I84" s="109"/>
      <c r="J84" s="109"/>
      <c r="K84" s="109"/>
      <c r="L84" s="109"/>
      <c r="M84" s="109"/>
      <c r="N84" s="109"/>
      <c r="O84" s="109"/>
      <c r="P84" s="109"/>
      <c r="Q84" s="109"/>
      <c r="R84" s="109"/>
      <c r="S84" s="109"/>
      <c r="T84" s="109"/>
      <c r="U84" s="109"/>
      <c r="V84" s="109"/>
      <c r="W84" s="109"/>
      <c r="X84" s="109"/>
      <c r="Y84" s="109"/>
      <c r="Z84" s="109"/>
    </row>
    <row r="85" ht="29.25" customHeight="1">
      <c r="A85" s="109"/>
      <c r="B85" s="109"/>
      <c r="C85" s="109"/>
      <c r="D85" s="109"/>
      <c r="E85" s="109"/>
      <c r="F85" s="109"/>
      <c r="G85" s="317"/>
      <c r="H85" s="109"/>
      <c r="I85" s="109"/>
      <c r="J85" s="109"/>
      <c r="K85" s="109"/>
      <c r="L85" s="109"/>
      <c r="M85" s="109"/>
      <c r="N85" s="109"/>
      <c r="O85" s="109"/>
      <c r="P85" s="109"/>
      <c r="Q85" s="109"/>
      <c r="R85" s="109"/>
      <c r="S85" s="109"/>
      <c r="T85" s="109"/>
      <c r="U85" s="109"/>
      <c r="V85" s="109"/>
      <c r="W85" s="109"/>
      <c r="X85" s="109"/>
      <c r="Y85" s="109"/>
      <c r="Z85" s="109"/>
    </row>
    <row r="86" ht="29.25" customHeight="1">
      <c r="A86" s="109"/>
      <c r="B86" s="109"/>
      <c r="C86" s="109"/>
      <c r="D86" s="109"/>
      <c r="E86" s="109"/>
      <c r="F86" s="109"/>
      <c r="G86" s="317"/>
      <c r="H86" s="109"/>
      <c r="I86" s="109"/>
      <c r="J86" s="109"/>
      <c r="K86" s="109"/>
      <c r="L86" s="109"/>
      <c r="M86" s="109"/>
      <c r="N86" s="109"/>
      <c r="O86" s="109"/>
      <c r="P86" s="109"/>
      <c r="Q86" s="109"/>
      <c r="R86" s="109"/>
      <c r="S86" s="109"/>
      <c r="T86" s="109"/>
      <c r="U86" s="109"/>
      <c r="V86" s="109"/>
      <c r="W86" s="109"/>
      <c r="X86" s="109"/>
      <c r="Y86" s="109"/>
      <c r="Z86" s="109"/>
    </row>
    <row r="87" ht="29.25" customHeight="1">
      <c r="A87" s="109"/>
      <c r="B87" s="109"/>
      <c r="C87" s="109"/>
      <c r="D87" s="109"/>
      <c r="E87" s="109"/>
      <c r="F87" s="109"/>
      <c r="G87" s="317"/>
      <c r="H87" s="109"/>
      <c r="I87" s="109"/>
      <c r="J87" s="109"/>
      <c r="K87" s="109"/>
      <c r="L87" s="109"/>
      <c r="M87" s="109"/>
      <c r="N87" s="109"/>
      <c r="O87" s="109"/>
      <c r="P87" s="109"/>
      <c r="Q87" s="109"/>
      <c r="R87" s="109"/>
      <c r="S87" s="109"/>
      <c r="T87" s="109"/>
      <c r="U87" s="109"/>
      <c r="V87" s="109"/>
      <c r="W87" s="109"/>
      <c r="X87" s="109"/>
      <c r="Y87" s="109"/>
      <c r="Z87" s="109"/>
    </row>
    <row r="88" ht="29.25" customHeight="1">
      <c r="A88" s="109"/>
      <c r="B88" s="109"/>
      <c r="C88" s="109"/>
      <c r="D88" s="109"/>
      <c r="E88" s="109"/>
      <c r="F88" s="109"/>
      <c r="G88" s="317"/>
      <c r="H88" s="109"/>
      <c r="I88" s="109"/>
      <c r="J88" s="109"/>
      <c r="K88" s="109"/>
      <c r="L88" s="109"/>
      <c r="M88" s="109"/>
      <c r="N88" s="109"/>
      <c r="O88" s="109"/>
      <c r="P88" s="109"/>
      <c r="Q88" s="109"/>
      <c r="R88" s="109"/>
      <c r="S88" s="109"/>
      <c r="T88" s="109"/>
      <c r="U88" s="109"/>
      <c r="V88" s="109"/>
      <c r="W88" s="109"/>
      <c r="X88" s="109"/>
      <c r="Y88" s="109"/>
      <c r="Z88" s="109"/>
    </row>
    <row r="89" ht="29.25" customHeight="1">
      <c r="A89" s="109"/>
      <c r="B89" s="109"/>
      <c r="C89" s="109"/>
      <c r="D89" s="109"/>
      <c r="E89" s="109"/>
      <c r="F89" s="109"/>
      <c r="G89" s="317"/>
      <c r="H89" s="109"/>
      <c r="I89" s="109"/>
      <c r="J89" s="109"/>
      <c r="K89" s="109"/>
      <c r="L89" s="109"/>
      <c r="M89" s="109"/>
      <c r="N89" s="109"/>
      <c r="O89" s="109"/>
      <c r="P89" s="109"/>
      <c r="Q89" s="109"/>
      <c r="R89" s="109"/>
      <c r="S89" s="109"/>
      <c r="T89" s="109"/>
      <c r="U89" s="109"/>
      <c r="V89" s="109"/>
      <c r="W89" s="109"/>
      <c r="X89" s="109"/>
      <c r="Y89" s="109"/>
      <c r="Z89" s="109"/>
    </row>
    <row r="90" ht="29.25" customHeight="1">
      <c r="A90" s="109"/>
      <c r="B90" s="109"/>
      <c r="C90" s="109"/>
      <c r="D90" s="109"/>
      <c r="E90" s="109"/>
      <c r="F90" s="109"/>
      <c r="G90" s="317"/>
      <c r="H90" s="109"/>
      <c r="I90" s="109"/>
      <c r="J90" s="109"/>
      <c r="K90" s="109"/>
      <c r="L90" s="109"/>
      <c r="M90" s="109"/>
      <c r="N90" s="109"/>
      <c r="O90" s="109"/>
      <c r="P90" s="109"/>
      <c r="Q90" s="109"/>
      <c r="R90" s="109"/>
      <c r="S90" s="109"/>
      <c r="T90" s="109"/>
      <c r="U90" s="109"/>
      <c r="V90" s="109"/>
      <c r="W90" s="109"/>
      <c r="X90" s="109"/>
      <c r="Y90" s="109"/>
      <c r="Z90" s="109"/>
    </row>
    <row r="91" ht="29.25" customHeight="1">
      <c r="A91" s="109"/>
      <c r="B91" s="109"/>
      <c r="C91" s="109"/>
      <c r="D91" s="109"/>
      <c r="E91" s="109"/>
      <c r="F91" s="109"/>
      <c r="G91" s="317"/>
      <c r="H91" s="109"/>
      <c r="I91" s="109"/>
      <c r="J91" s="109"/>
      <c r="K91" s="109"/>
      <c r="L91" s="109"/>
      <c r="M91" s="109"/>
      <c r="N91" s="109"/>
      <c r="O91" s="109"/>
      <c r="P91" s="109"/>
      <c r="Q91" s="109"/>
      <c r="R91" s="109"/>
      <c r="S91" s="109"/>
      <c r="T91" s="109"/>
      <c r="U91" s="109"/>
      <c r="V91" s="109"/>
      <c r="W91" s="109"/>
      <c r="X91" s="109"/>
      <c r="Y91" s="109"/>
      <c r="Z91" s="109"/>
    </row>
    <row r="92" ht="29.25" customHeight="1">
      <c r="A92" s="109"/>
      <c r="B92" s="109"/>
      <c r="C92" s="109"/>
      <c r="D92" s="109"/>
      <c r="E92" s="109"/>
      <c r="F92" s="109"/>
      <c r="G92" s="317"/>
      <c r="H92" s="109"/>
      <c r="I92" s="109"/>
      <c r="J92" s="109"/>
      <c r="K92" s="109"/>
      <c r="L92" s="109"/>
      <c r="M92" s="109"/>
      <c r="N92" s="109"/>
      <c r="O92" s="109"/>
      <c r="P92" s="109"/>
      <c r="Q92" s="109"/>
      <c r="R92" s="109"/>
      <c r="S92" s="109"/>
      <c r="T92" s="109"/>
      <c r="U92" s="109"/>
      <c r="V92" s="109"/>
      <c r="W92" s="109"/>
      <c r="X92" s="109"/>
      <c r="Y92" s="109"/>
      <c r="Z92" s="109"/>
    </row>
    <row r="93" ht="29.25" customHeight="1">
      <c r="A93" s="109"/>
      <c r="B93" s="109"/>
      <c r="C93" s="109"/>
      <c r="D93" s="109"/>
      <c r="E93" s="109"/>
      <c r="F93" s="109"/>
      <c r="G93" s="317"/>
      <c r="H93" s="109"/>
      <c r="I93" s="109"/>
      <c r="J93" s="109"/>
      <c r="K93" s="109"/>
      <c r="L93" s="109"/>
      <c r="M93" s="109"/>
      <c r="N93" s="109"/>
      <c r="O93" s="109"/>
      <c r="P93" s="109"/>
      <c r="Q93" s="109"/>
      <c r="R93" s="109"/>
      <c r="S93" s="109"/>
      <c r="T93" s="109"/>
      <c r="U93" s="109"/>
      <c r="V93" s="109"/>
      <c r="W93" s="109"/>
      <c r="X93" s="109"/>
      <c r="Y93" s="109"/>
      <c r="Z93" s="109"/>
    </row>
    <row r="94" ht="29.25" customHeight="1">
      <c r="A94" s="109"/>
      <c r="B94" s="109"/>
      <c r="C94" s="109"/>
      <c r="D94" s="109"/>
      <c r="E94" s="109"/>
      <c r="F94" s="109"/>
      <c r="G94" s="317"/>
      <c r="H94" s="109"/>
      <c r="I94" s="109"/>
      <c r="J94" s="109"/>
      <c r="K94" s="109"/>
      <c r="L94" s="109"/>
      <c r="M94" s="109"/>
      <c r="N94" s="109"/>
      <c r="O94" s="109"/>
      <c r="P94" s="109"/>
      <c r="Q94" s="109"/>
      <c r="R94" s="109"/>
      <c r="S94" s="109"/>
      <c r="T94" s="109"/>
      <c r="U94" s="109"/>
      <c r="V94" s="109"/>
      <c r="W94" s="109"/>
      <c r="X94" s="109"/>
      <c r="Y94" s="109"/>
      <c r="Z94" s="109"/>
    </row>
    <row r="95" ht="29.25" customHeight="1">
      <c r="A95" s="109"/>
      <c r="B95" s="109"/>
      <c r="C95" s="109"/>
      <c r="D95" s="109"/>
      <c r="E95" s="109"/>
      <c r="F95" s="109"/>
      <c r="G95" s="317"/>
      <c r="H95" s="109"/>
      <c r="I95" s="109"/>
      <c r="J95" s="109"/>
      <c r="K95" s="109"/>
      <c r="L95" s="109"/>
      <c r="M95" s="109"/>
      <c r="N95" s="109"/>
      <c r="O95" s="109"/>
      <c r="P95" s="109"/>
      <c r="Q95" s="109"/>
      <c r="R95" s="109"/>
      <c r="S95" s="109"/>
      <c r="T95" s="109"/>
      <c r="U95" s="109"/>
      <c r="V95" s="109"/>
      <c r="W95" s="109"/>
      <c r="X95" s="109"/>
      <c r="Y95" s="109"/>
      <c r="Z95" s="109"/>
    </row>
    <row r="96" ht="29.25" customHeight="1">
      <c r="A96" s="109"/>
      <c r="B96" s="109"/>
      <c r="C96" s="109"/>
      <c r="D96" s="109"/>
      <c r="E96" s="109"/>
      <c r="F96" s="109"/>
      <c r="G96" s="317"/>
      <c r="H96" s="109"/>
      <c r="I96" s="109"/>
      <c r="J96" s="109"/>
      <c r="K96" s="109"/>
      <c r="L96" s="109"/>
      <c r="M96" s="109"/>
      <c r="N96" s="109"/>
      <c r="O96" s="109"/>
      <c r="P96" s="109"/>
      <c r="Q96" s="109"/>
      <c r="R96" s="109"/>
      <c r="S96" s="109"/>
      <c r="T96" s="109"/>
      <c r="U96" s="109"/>
      <c r="V96" s="109"/>
      <c r="W96" s="109"/>
      <c r="X96" s="109"/>
      <c r="Y96" s="109"/>
      <c r="Z96" s="109"/>
    </row>
    <row r="97" ht="29.25" customHeight="1">
      <c r="A97" s="109"/>
      <c r="B97" s="109"/>
      <c r="C97" s="109"/>
      <c r="D97" s="109"/>
      <c r="E97" s="109"/>
      <c r="F97" s="109"/>
      <c r="G97" s="317"/>
      <c r="H97" s="109"/>
      <c r="I97" s="109"/>
      <c r="J97" s="109"/>
      <c r="K97" s="109"/>
      <c r="L97" s="109"/>
      <c r="M97" s="109"/>
      <c r="N97" s="109"/>
      <c r="O97" s="109"/>
      <c r="P97" s="109"/>
      <c r="Q97" s="109"/>
      <c r="R97" s="109"/>
      <c r="S97" s="109"/>
      <c r="T97" s="109"/>
      <c r="U97" s="109"/>
      <c r="V97" s="109"/>
      <c r="W97" s="109"/>
      <c r="X97" s="109"/>
      <c r="Y97" s="109"/>
      <c r="Z97" s="109"/>
    </row>
    <row r="98" ht="29.25" customHeight="1">
      <c r="A98" s="109"/>
      <c r="B98" s="109"/>
      <c r="C98" s="109"/>
      <c r="D98" s="109"/>
      <c r="E98" s="109"/>
      <c r="F98" s="109"/>
      <c r="G98" s="317"/>
      <c r="H98" s="109"/>
      <c r="I98" s="109"/>
      <c r="J98" s="109"/>
      <c r="K98" s="109"/>
      <c r="L98" s="109"/>
      <c r="M98" s="109"/>
      <c r="N98" s="109"/>
      <c r="O98" s="109"/>
      <c r="P98" s="109"/>
      <c r="Q98" s="109"/>
      <c r="R98" s="109"/>
      <c r="S98" s="109"/>
      <c r="T98" s="109"/>
      <c r="U98" s="109"/>
      <c r="V98" s="109"/>
      <c r="W98" s="109"/>
      <c r="X98" s="109"/>
      <c r="Y98" s="109"/>
      <c r="Z98" s="109"/>
    </row>
    <row r="99" ht="29.25" customHeight="1">
      <c r="A99" s="109"/>
      <c r="B99" s="109"/>
      <c r="C99" s="109"/>
      <c r="D99" s="109"/>
      <c r="E99" s="109"/>
      <c r="F99" s="109"/>
      <c r="G99" s="317"/>
      <c r="H99" s="109"/>
      <c r="I99" s="109"/>
      <c r="J99" s="109"/>
      <c r="K99" s="109"/>
      <c r="L99" s="109"/>
      <c r="M99" s="109"/>
      <c r="N99" s="109"/>
      <c r="O99" s="109"/>
      <c r="P99" s="109"/>
      <c r="Q99" s="109"/>
      <c r="R99" s="109"/>
      <c r="S99" s="109"/>
      <c r="T99" s="109"/>
      <c r="U99" s="109"/>
      <c r="V99" s="109"/>
      <c r="W99" s="109"/>
      <c r="X99" s="109"/>
      <c r="Y99" s="109"/>
      <c r="Z99" s="109"/>
    </row>
    <row r="100" ht="29.25" customHeight="1">
      <c r="A100" s="109"/>
      <c r="B100" s="109"/>
      <c r="C100" s="109"/>
      <c r="D100" s="109"/>
      <c r="E100" s="109"/>
      <c r="F100" s="109"/>
      <c r="G100" s="317"/>
      <c r="H100" s="109"/>
      <c r="I100" s="109"/>
      <c r="J100" s="109"/>
      <c r="K100" s="109"/>
      <c r="L100" s="109"/>
      <c r="M100" s="109"/>
      <c r="N100" s="109"/>
      <c r="O100" s="109"/>
      <c r="P100" s="109"/>
      <c r="Q100" s="109"/>
      <c r="R100" s="109"/>
      <c r="S100" s="109"/>
      <c r="T100" s="109"/>
      <c r="U100" s="109"/>
      <c r="V100" s="109"/>
      <c r="W100" s="109"/>
      <c r="X100" s="109"/>
      <c r="Y100" s="109"/>
      <c r="Z100" s="109"/>
    </row>
    <row r="101" ht="29.25" customHeight="1">
      <c r="A101" s="109"/>
      <c r="B101" s="109"/>
      <c r="C101" s="109"/>
      <c r="D101" s="109"/>
      <c r="E101" s="109"/>
      <c r="F101" s="109"/>
      <c r="G101" s="317"/>
      <c r="H101" s="109"/>
      <c r="I101" s="109"/>
      <c r="J101" s="109"/>
      <c r="K101" s="109"/>
      <c r="L101" s="109"/>
      <c r="M101" s="109"/>
      <c r="N101" s="109"/>
      <c r="O101" s="109"/>
      <c r="P101" s="109"/>
      <c r="Q101" s="109"/>
      <c r="R101" s="109"/>
      <c r="S101" s="109"/>
      <c r="T101" s="109"/>
      <c r="U101" s="109"/>
      <c r="V101" s="109"/>
      <c r="W101" s="109"/>
      <c r="X101" s="109"/>
      <c r="Y101" s="109"/>
      <c r="Z101" s="109"/>
    </row>
    <row r="102" ht="29.25" customHeight="1">
      <c r="A102" s="109"/>
      <c r="B102" s="109"/>
      <c r="C102" s="109"/>
      <c r="D102" s="109"/>
      <c r="E102" s="109"/>
      <c r="F102" s="109"/>
      <c r="G102" s="317"/>
      <c r="H102" s="109"/>
      <c r="I102" s="109"/>
      <c r="J102" s="109"/>
      <c r="K102" s="109"/>
      <c r="L102" s="109"/>
      <c r="M102" s="109"/>
      <c r="N102" s="109"/>
      <c r="O102" s="109"/>
      <c r="P102" s="109"/>
      <c r="Q102" s="109"/>
      <c r="R102" s="109"/>
      <c r="S102" s="109"/>
      <c r="T102" s="109"/>
      <c r="U102" s="109"/>
      <c r="V102" s="109"/>
      <c r="W102" s="109"/>
      <c r="X102" s="109"/>
      <c r="Y102" s="109"/>
      <c r="Z102" s="109"/>
    </row>
    <row r="103" ht="29.25" customHeight="1">
      <c r="A103" s="109"/>
      <c r="B103" s="109"/>
      <c r="C103" s="109"/>
      <c r="D103" s="109"/>
      <c r="E103" s="109"/>
      <c r="F103" s="109"/>
      <c r="G103" s="317"/>
      <c r="H103" s="109"/>
      <c r="I103" s="109"/>
      <c r="J103" s="109"/>
      <c r="K103" s="109"/>
      <c r="L103" s="109"/>
      <c r="M103" s="109"/>
      <c r="N103" s="109"/>
      <c r="O103" s="109"/>
      <c r="P103" s="109"/>
      <c r="Q103" s="109"/>
      <c r="R103" s="109"/>
      <c r="S103" s="109"/>
      <c r="T103" s="109"/>
      <c r="U103" s="109"/>
      <c r="V103" s="109"/>
      <c r="W103" s="109"/>
      <c r="X103" s="109"/>
      <c r="Y103" s="109"/>
      <c r="Z103" s="109"/>
    </row>
    <row r="104" ht="29.25" customHeight="1">
      <c r="A104" s="109"/>
      <c r="B104" s="109"/>
      <c r="C104" s="109"/>
      <c r="D104" s="109"/>
      <c r="E104" s="109"/>
      <c r="F104" s="109"/>
      <c r="G104" s="317"/>
      <c r="H104" s="109"/>
      <c r="I104" s="109"/>
      <c r="J104" s="109"/>
      <c r="K104" s="109"/>
      <c r="L104" s="109"/>
      <c r="M104" s="109"/>
      <c r="N104" s="109"/>
      <c r="O104" s="109"/>
      <c r="P104" s="109"/>
      <c r="Q104" s="109"/>
      <c r="R104" s="109"/>
      <c r="S104" s="109"/>
      <c r="T104" s="109"/>
      <c r="U104" s="109"/>
      <c r="V104" s="109"/>
      <c r="W104" s="109"/>
      <c r="X104" s="109"/>
      <c r="Y104" s="109"/>
      <c r="Z104" s="109"/>
    </row>
    <row r="105" ht="29.25" customHeight="1">
      <c r="A105" s="109"/>
      <c r="B105" s="109"/>
      <c r="C105" s="109"/>
      <c r="D105" s="109"/>
      <c r="E105" s="109"/>
      <c r="F105" s="109"/>
      <c r="G105" s="317"/>
      <c r="H105" s="109"/>
      <c r="I105" s="109"/>
      <c r="J105" s="109"/>
      <c r="K105" s="109"/>
      <c r="L105" s="109"/>
      <c r="M105" s="109"/>
      <c r="N105" s="109"/>
      <c r="O105" s="109"/>
      <c r="P105" s="109"/>
      <c r="Q105" s="109"/>
      <c r="R105" s="109"/>
      <c r="S105" s="109"/>
      <c r="T105" s="109"/>
      <c r="U105" s="109"/>
      <c r="V105" s="109"/>
      <c r="W105" s="109"/>
      <c r="X105" s="109"/>
      <c r="Y105" s="109"/>
      <c r="Z105" s="109"/>
    </row>
    <row r="106" ht="29.25" customHeight="1">
      <c r="A106" s="109"/>
      <c r="B106" s="109"/>
      <c r="C106" s="109"/>
      <c r="D106" s="109"/>
      <c r="E106" s="109"/>
      <c r="F106" s="109"/>
      <c r="G106" s="317"/>
      <c r="H106" s="109"/>
      <c r="I106" s="109"/>
      <c r="J106" s="109"/>
      <c r="K106" s="109"/>
      <c r="L106" s="109"/>
      <c r="M106" s="109"/>
      <c r="N106" s="109"/>
      <c r="O106" s="109"/>
      <c r="P106" s="109"/>
      <c r="Q106" s="109"/>
      <c r="R106" s="109"/>
      <c r="S106" s="109"/>
      <c r="T106" s="109"/>
      <c r="U106" s="109"/>
      <c r="V106" s="109"/>
      <c r="W106" s="109"/>
      <c r="X106" s="109"/>
      <c r="Y106" s="109"/>
      <c r="Z106" s="109"/>
    </row>
    <row r="107" ht="29.25" customHeight="1">
      <c r="A107" s="109"/>
      <c r="B107" s="109"/>
      <c r="C107" s="109"/>
      <c r="D107" s="109"/>
      <c r="E107" s="109"/>
      <c r="F107" s="109"/>
      <c r="G107" s="317"/>
      <c r="H107" s="109"/>
      <c r="I107" s="109"/>
      <c r="J107" s="109"/>
      <c r="K107" s="109"/>
      <c r="L107" s="109"/>
      <c r="M107" s="109"/>
      <c r="N107" s="109"/>
      <c r="O107" s="109"/>
      <c r="P107" s="109"/>
      <c r="Q107" s="109"/>
      <c r="R107" s="109"/>
      <c r="S107" s="109"/>
      <c r="T107" s="109"/>
      <c r="U107" s="109"/>
      <c r="V107" s="109"/>
      <c r="W107" s="109"/>
      <c r="X107" s="109"/>
      <c r="Y107" s="109"/>
      <c r="Z107" s="109"/>
    </row>
    <row r="108" ht="29.25" customHeight="1">
      <c r="A108" s="109"/>
      <c r="B108" s="109"/>
      <c r="C108" s="109"/>
      <c r="D108" s="109"/>
      <c r="E108" s="109"/>
      <c r="F108" s="109"/>
      <c r="G108" s="317"/>
      <c r="H108" s="109"/>
      <c r="I108" s="109"/>
      <c r="J108" s="109"/>
      <c r="K108" s="109"/>
      <c r="L108" s="109"/>
      <c r="M108" s="109"/>
      <c r="N108" s="109"/>
      <c r="O108" s="109"/>
      <c r="P108" s="109"/>
      <c r="Q108" s="109"/>
      <c r="R108" s="109"/>
      <c r="S108" s="109"/>
      <c r="T108" s="109"/>
      <c r="U108" s="109"/>
      <c r="V108" s="109"/>
      <c r="W108" s="109"/>
      <c r="X108" s="109"/>
      <c r="Y108" s="109"/>
      <c r="Z108" s="109"/>
    </row>
    <row r="109" ht="29.25" customHeight="1">
      <c r="A109" s="109"/>
      <c r="B109" s="109"/>
      <c r="C109" s="109"/>
      <c r="D109" s="109"/>
      <c r="E109" s="109"/>
      <c r="F109" s="109"/>
      <c r="G109" s="317"/>
      <c r="H109" s="109"/>
      <c r="I109" s="109"/>
      <c r="J109" s="109"/>
      <c r="K109" s="109"/>
      <c r="L109" s="109"/>
      <c r="M109" s="109"/>
      <c r="N109" s="109"/>
      <c r="O109" s="109"/>
      <c r="P109" s="109"/>
      <c r="Q109" s="109"/>
      <c r="R109" s="109"/>
      <c r="S109" s="109"/>
      <c r="T109" s="109"/>
      <c r="U109" s="109"/>
      <c r="V109" s="109"/>
      <c r="W109" s="109"/>
      <c r="X109" s="109"/>
      <c r="Y109" s="109"/>
      <c r="Z109" s="109"/>
    </row>
    <row r="110" ht="29.25" customHeight="1">
      <c r="A110" s="109"/>
      <c r="B110" s="109"/>
      <c r="C110" s="109"/>
      <c r="D110" s="109"/>
      <c r="E110" s="109"/>
      <c r="F110" s="109"/>
      <c r="G110" s="317"/>
      <c r="H110" s="109"/>
      <c r="I110" s="109"/>
      <c r="J110" s="109"/>
      <c r="K110" s="109"/>
      <c r="L110" s="109"/>
      <c r="M110" s="109"/>
      <c r="N110" s="109"/>
      <c r="O110" s="109"/>
      <c r="P110" s="109"/>
      <c r="Q110" s="109"/>
      <c r="R110" s="109"/>
      <c r="S110" s="109"/>
      <c r="T110" s="109"/>
      <c r="U110" s="109"/>
      <c r="V110" s="109"/>
      <c r="W110" s="109"/>
      <c r="X110" s="109"/>
      <c r="Y110" s="109"/>
      <c r="Z110" s="109"/>
    </row>
    <row r="111" ht="29.25" customHeight="1">
      <c r="A111" s="109"/>
      <c r="B111" s="109"/>
      <c r="C111" s="109"/>
      <c r="D111" s="109"/>
      <c r="E111" s="109"/>
      <c r="F111" s="109"/>
      <c r="G111" s="317"/>
      <c r="H111" s="109"/>
      <c r="I111" s="109"/>
      <c r="J111" s="109"/>
      <c r="K111" s="109"/>
      <c r="L111" s="109"/>
      <c r="M111" s="109"/>
      <c r="N111" s="109"/>
      <c r="O111" s="109"/>
      <c r="P111" s="109"/>
      <c r="Q111" s="109"/>
      <c r="R111" s="109"/>
      <c r="S111" s="109"/>
      <c r="T111" s="109"/>
      <c r="U111" s="109"/>
      <c r="V111" s="109"/>
      <c r="W111" s="109"/>
      <c r="X111" s="109"/>
      <c r="Y111" s="109"/>
      <c r="Z111" s="109"/>
    </row>
    <row r="112" ht="29.25" customHeight="1">
      <c r="A112" s="109"/>
      <c r="B112" s="109"/>
      <c r="C112" s="109"/>
      <c r="D112" s="109"/>
      <c r="E112" s="109"/>
      <c r="F112" s="109"/>
      <c r="G112" s="317"/>
      <c r="H112" s="109"/>
      <c r="I112" s="109"/>
      <c r="J112" s="109"/>
      <c r="K112" s="109"/>
      <c r="L112" s="109"/>
      <c r="M112" s="109"/>
      <c r="N112" s="109"/>
      <c r="O112" s="109"/>
      <c r="P112" s="109"/>
      <c r="Q112" s="109"/>
      <c r="R112" s="109"/>
      <c r="S112" s="109"/>
      <c r="T112" s="109"/>
      <c r="U112" s="109"/>
      <c r="V112" s="109"/>
      <c r="W112" s="109"/>
      <c r="X112" s="109"/>
      <c r="Y112" s="109"/>
      <c r="Z112" s="109"/>
    </row>
    <row r="113" ht="29.25" customHeight="1">
      <c r="A113" s="109"/>
      <c r="B113" s="109"/>
      <c r="C113" s="109"/>
      <c r="D113" s="109"/>
      <c r="E113" s="109"/>
      <c r="F113" s="109"/>
      <c r="G113" s="317"/>
      <c r="H113" s="109"/>
      <c r="I113" s="109"/>
      <c r="J113" s="109"/>
      <c r="K113" s="109"/>
      <c r="L113" s="109"/>
      <c r="M113" s="109"/>
      <c r="N113" s="109"/>
      <c r="O113" s="109"/>
      <c r="P113" s="109"/>
      <c r="Q113" s="109"/>
      <c r="R113" s="109"/>
      <c r="S113" s="109"/>
      <c r="T113" s="109"/>
      <c r="U113" s="109"/>
      <c r="V113" s="109"/>
      <c r="W113" s="109"/>
      <c r="X113" s="109"/>
      <c r="Y113" s="109"/>
      <c r="Z113" s="109"/>
    </row>
    <row r="114" ht="29.25" customHeight="1">
      <c r="A114" s="109"/>
      <c r="B114" s="109"/>
      <c r="C114" s="109"/>
      <c r="D114" s="109"/>
      <c r="E114" s="109"/>
      <c r="F114" s="109"/>
      <c r="G114" s="317"/>
      <c r="H114" s="109"/>
      <c r="I114" s="109"/>
      <c r="J114" s="109"/>
      <c r="K114" s="109"/>
      <c r="L114" s="109"/>
      <c r="M114" s="109"/>
      <c r="N114" s="109"/>
      <c r="O114" s="109"/>
      <c r="P114" s="109"/>
      <c r="Q114" s="109"/>
      <c r="R114" s="109"/>
      <c r="S114" s="109"/>
      <c r="T114" s="109"/>
      <c r="U114" s="109"/>
      <c r="V114" s="109"/>
      <c r="W114" s="109"/>
      <c r="X114" s="109"/>
      <c r="Y114" s="109"/>
      <c r="Z114" s="109"/>
    </row>
    <row r="115" ht="29.25" customHeight="1">
      <c r="A115" s="109"/>
      <c r="B115" s="109"/>
      <c r="C115" s="109"/>
      <c r="D115" s="109"/>
      <c r="E115" s="109"/>
      <c r="F115" s="109"/>
      <c r="G115" s="317"/>
      <c r="H115" s="109"/>
      <c r="I115" s="109"/>
      <c r="J115" s="109"/>
      <c r="K115" s="109"/>
      <c r="L115" s="109"/>
      <c r="M115" s="109"/>
      <c r="N115" s="109"/>
      <c r="O115" s="109"/>
      <c r="P115" s="109"/>
      <c r="Q115" s="109"/>
      <c r="R115" s="109"/>
      <c r="S115" s="109"/>
      <c r="T115" s="109"/>
      <c r="U115" s="109"/>
      <c r="V115" s="109"/>
      <c r="W115" s="109"/>
      <c r="X115" s="109"/>
      <c r="Y115" s="109"/>
      <c r="Z115" s="109"/>
    </row>
    <row r="116" ht="29.25" customHeight="1">
      <c r="A116" s="109"/>
      <c r="B116" s="109"/>
      <c r="C116" s="109"/>
      <c r="D116" s="109"/>
      <c r="E116" s="109"/>
      <c r="F116" s="109"/>
      <c r="G116" s="317"/>
      <c r="H116" s="109"/>
      <c r="I116" s="109"/>
      <c r="J116" s="109"/>
      <c r="K116" s="109"/>
      <c r="L116" s="109"/>
      <c r="M116" s="109"/>
      <c r="N116" s="109"/>
      <c r="O116" s="109"/>
      <c r="P116" s="109"/>
      <c r="Q116" s="109"/>
      <c r="R116" s="109"/>
      <c r="S116" s="109"/>
      <c r="T116" s="109"/>
      <c r="U116" s="109"/>
      <c r="V116" s="109"/>
      <c r="W116" s="109"/>
      <c r="X116" s="109"/>
      <c r="Y116" s="109"/>
      <c r="Z116" s="109"/>
    </row>
    <row r="117" ht="29.25" customHeight="1">
      <c r="A117" s="109"/>
      <c r="B117" s="109"/>
      <c r="C117" s="109"/>
      <c r="D117" s="109"/>
      <c r="E117" s="109"/>
      <c r="F117" s="109"/>
      <c r="G117" s="317"/>
      <c r="H117" s="109"/>
      <c r="I117" s="109"/>
      <c r="J117" s="109"/>
      <c r="K117" s="109"/>
      <c r="L117" s="109"/>
      <c r="M117" s="109"/>
      <c r="N117" s="109"/>
      <c r="O117" s="109"/>
      <c r="P117" s="109"/>
      <c r="Q117" s="109"/>
      <c r="R117" s="109"/>
      <c r="S117" s="109"/>
      <c r="T117" s="109"/>
      <c r="U117" s="109"/>
      <c r="V117" s="109"/>
      <c r="W117" s="109"/>
      <c r="X117" s="109"/>
      <c r="Y117" s="109"/>
      <c r="Z117" s="109"/>
    </row>
    <row r="118" ht="29.25" customHeight="1">
      <c r="A118" s="109"/>
      <c r="B118" s="109"/>
      <c r="C118" s="109"/>
      <c r="D118" s="109"/>
      <c r="E118" s="109"/>
      <c r="F118" s="109"/>
      <c r="G118" s="317"/>
      <c r="H118" s="109"/>
      <c r="I118" s="109"/>
      <c r="J118" s="109"/>
      <c r="K118" s="109"/>
      <c r="L118" s="109"/>
      <c r="M118" s="109"/>
      <c r="N118" s="109"/>
      <c r="O118" s="109"/>
      <c r="P118" s="109"/>
      <c r="Q118" s="109"/>
      <c r="R118" s="109"/>
      <c r="S118" s="109"/>
      <c r="T118" s="109"/>
      <c r="U118" s="109"/>
      <c r="V118" s="109"/>
      <c r="W118" s="109"/>
      <c r="X118" s="109"/>
      <c r="Y118" s="109"/>
      <c r="Z118" s="109"/>
    </row>
    <row r="119" ht="29.25" customHeight="1">
      <c r="A119" s="109"/>
      <c r="B119" s="109"/>
      <c r="C119" s="109"/>
      <c r="D119" s="109"/>
      <c r="E119" s="109"/>
      <c r="F119" s="109"/>
      <c r="G119" s="317"/>
      <c r="H119" s="109"/>
      <c r="I119" s="109"/>
      <c r="J119" s="109"/>
      <c r="K119" s="109"/>
      <c r="L119" s="109"/>
      <c r="M119" s="109"/>
      <c r="N119" s="109"/>
      <c r="O119" s="109"/>
      <c r="P119" s="109"/>
      <c r="Q119" s="109"/>
      <c r="R119" s="109"/>
      <c r="S119" s="109"/>
      <c r="T119" s="109"/>
      <c r="U119" s="109"/>
      <c r="V119" s="109"/>
      <c r="W119" s="109"/>
      <c r="X119" s="109"/>
      <c r="Y119" s="109"/>
      <c r="Z119" s="109"/>
    </row>
    <row r="120" ht="29.25" customHeight="1">
      <c r="A120" s="109"/>
      <c r="B120" s="109"/>
      <c r="C120" s="109"/>
      <c r="D120" s="109"/>
      <c r="E120" s="109"/>
      <c r="F120" s="109"/>
      <c r="G120" s="317"/>
      <c r="H120" s="109"/>
      <c r="I120" s="109"/>
      <c r="J120" s="109"/>
      <c r="K120" s="109"/>
      <c r="L120" s="109"/>
      <c r="M120" s="109"/>
      <c r="N120" s="109"/>
      <c r="O120" s="109"/>
      <c r="P120" s="109"/>
      <c r="Q120" s="109"/>
      <c r="R120" s="109"/>
      <c r="S120" s="109"/>
      <c r="T120" s="109"/>
      <c r="U120" s="109"/>
      <c r="V120" s="109"/>
      <c r="W120" s="109"/>
      <c r="X120" s="109"/>
      <c r="Y120" s="109"/>
      <c r="Z120" s="109"/>
    </row>
    <row r="121" ht="29.25" customHeight="1">
      <c r="A121" s="109"/>
      <c r="B121" s="109"/>
      <c r="C121" s="109"/>
      <c r="D121" s="109"/>
      <c r="E121" s="109"/>
      <c r="F121" s="109"/>
      <c r="G121" s="317"/>
      <c r="H121" s="109"/>
      <c r="I121" s="109"/>
      <c r="J121" s="109"/>
      <c r="K121" s="109"/>
      <c r="L121" s="109"/>
      <c r="M121" s="109"/>
      <c r="N121" s="109"/>
      <c r="O121" s="109"/>
      <c r="P121" s="109"/>
      <c r="Q121" s="109"/>
      <c r="R121" s="109"/>
      <c r="S121" s="109"/>
      <c r="T121" s="109"/>
      <c r="U121" s="109"/>
      <c r="V121" s="109"/>
      <c r="W121" s="109"/>
      <c r="X121" s="109"/>
      <c r="Y121" s="109"/>
      <c r="Z121" s="109"/>
    </row>
    <row r="122" ht="29.25" customHeight="1">
      <c r="A122" s="109"/>
      <c r="B122" s="109"/>
      <c r="C122" s="109"/>
      <c r="D122" s="109"/>
      <c r="E122" s="109"/>
      <c r="F122" s="109"/>
      <c r="G122" s="317"/>
      <c r="H122" s="109"/>
      <c r="I122" s="109"/>
      <c r="J122" s="109"/>
      <c r="K122" s="109"/>
      <c r="L122" s="109"/>
      <c r="M122" s="109"/>
      <c r="N122" s="109"/>
      <c r="O122" s="109"/>
      <c r="P122" s="109"/>
      <c r="Q122" s="109"/>
      <c r="R122" s="109"/>
      <c r="S122" s="109"/>
      <c r="T122" s="109"/>
      <c r="U122" s="109"/>
      <c r="V122" s="109"/>
      <c r="W122" s="109"/>
      <c r="X122" s="109"/>
      <c r="Y122" s="109"/>
      <c r="Z122" s="109"/>
    </row>
    <row r="123" ht="29.25" customHeight="1">
      <c r="A123" s="109"/>
      <c r="B123" s="109"/>
      <c r="C123" s="109"/>
      <c r="D123" s="109"/>
      <c r="E123" s="109"/>
      <c r="F123" s="109"/>
      <c r="G123" s="317"/>
      <c r="H123" s="109"/>
      <c r="I123" s="109"/>
      <c r="J123" s="109"/>
      <c r="K123" s="109"/>
      <c r="L123" s="109"/>
      <c r="M123" s="109"/>
      <c r="N123" s="109"/>
      <c r="O123" s="109"/>
      <c r="P123" s="109"/>
      <c r="Q123" s="109"/>
      <c r="R123" s="109"/>
      <c r="S123" s="109"/>
      <c r="T123" s="109"/>
      <c r="U123" s="109"/>
      <c r="V123" s="109"/>
      <c r="W123" s="109"/>
      <c r="X123" s="109"/>
      <c r="Y123" s="109"/>
      <c r="Z123" s="109"/>
    </row>
    <row r="124" ht="29.25" customHeight="1">
      <c r="A124" s="109"/>
      <c r="B124" s="109"/>
      <c r="C124" s="109"/>
      <c r="D124" s="109"/>
      <c r="E124" s="109"/>
      <c r="F124" s="109"/>
      <c r="G124" s="317"/>
      <c r="H124" s="109"/>
      <c r="I124" s="109"/>
      <c r="J124" s="109"/>
      <c r="K124" s="109"/>
      <c r="L124" s="109"/>
      <c r="M124" s="109"/>
      <c r="N124" s="109"/>
      <c r="O124" s="109"/>
      <c r="P124" s="109"/>
      <c r="Q124" s="109"/>
      <c r="R124" s="109"/>
      <c r="S124" s="109"/>
      <c r="T124" s="109"/>
      <c r="U124" s="109"/>
      <c r="V124" s="109"/>
      <c r="W124" s="109"/>
      <c r="X124" s="109"/>
      <c r="Y124" s="109"/>
      <c r="Z124" s="109"/>
    </row>
    <row r="125" ht="29.25" customHeight="1">
      <c r="A125" s="109"/>
      <c r="B125" s="109"/>
      <c r="C125" s="109"/>
      <c r="D125" s="109"/>
      <c r="E125" s="109"/>
      <c r="F125" s="109"/>
      <c r="G125" s="317"/>
      <c r="H125" s="109"/>
      <c r="I125" s="109"/>
      <c r="J125" s="109"/>
      <c r="K125" s="109"/>
      <c r="L125" s="109"/>
      <c r="M125" s="109"/>
      <c r="N125" s="109"/>
      <c r="O125" s="109"/>
      <c r="P125" s="109"/>
      <c r="Q125" s="109"/>
      <c r="R125" s="109"/>
      <c r="S125" s="109"/>
      <c r="T125" s="109"/>
      <c r="U125" s="109"/>
      <c r="V125" s="109"/>
      <c r="W125" s="109"/>
      <c r="X125" s="109"/>
      <c r="Y125" s="109"/>
      <c r="Z125" s="109"/>
    </row>
    <row r="126" ht="29.25" customHeight="1">
      <c r="A126" s="109"/>
      <c r="B126" s="109"/>
      <c r="C126" s="109"/>
      <c r="D126" s="109"/>
      <c r="E126" s="109"/>
      <c r="F126" s="109"/>
      <c r="G126" s="317"/>
      <c r="H126" s="109"/>
      <c r="I126" s="109"/>
      <c r="J126" s="109"/>
      <c r="K126" s="109"/>
      <c r="L126" s="109"/>
      <c r="M126" s="109"/>
      <c r="N126" s="109"/>
      <c r="O126" s="109"/>
      <c r="P126" s="109"/>
      <c r="Q126" s="109"/>
      <c r="R126" s="109"/>
      <c r="S126" s="109"/>
      <c r="T126" s="109"/>
      <c r="U126" s="109"/>
      <c r="V126" s="109"/>
      <c r="W126" s="109"/>
      <c r="X126" s="109"/>
      <c r="Y126" s="109"/>
      <c r="Z126" s="109"/>
    </row>
    <row r="127" ht="29.25" customHeight="1">
      <c r="A127" s="109"/>
      <c r="B127" s="109"/>
      <c r="C127" s="109"/>
      <c r="D127" s="109"/>
      <c r="E127" s="109"/>
      <c r="F127" s="109"/>
      <c r="G127" s="317"/>
      <c r="H127" s="109"/>
      <c r="I127" s="109"/>
      <c r="J127" s="109"/>
      <c r="K127" s="109"/>
      <c r="L127" s="109"/>
      <c r="M127" s="109"/>
      <c r="N127" s="109"/>
      <c r="O127" s="109"/>
      <c r="P127" s="109"/>
      <c r="Q127" s="109"/>
      <c r="R127" s="109"/>
      <c r="S127" s="109"/>
      <c r="T127" s="109"/>
      <c r="U127" s="109"/>
      <c r="V127" s="109"/>
      <c r="W127" s="109"/>
      <c r="X127" s="109"/>
      <c r="Y127" s="109"/>
      <c r="Z127" s="109"/>
    </row>
    <row r="128" ht="29.25" customHeight="1">
      <c r="A128" s="109"/>
      <c r="B128" s="109"/>
      <c r="C128" s="109"/>
      <c r="D128" s="109"/>
      <c r="E128" s="109"/>
      <c r="F128" s="109"/>
      <c r="G128" s="317"/>
      <c r="H128" s="109"/>
      <c r="I128" s="109"/>
      <c r="J128" s="109"/>
      <c r="K128" s="109"/>
      <c r="L128" s="109"/>
      <c r="M128" s="109"/>
      <c r="N128" s="109"/>
      <c r="O128" s="109"/>
      <c r="P128" s="109"/>
      <c r="Q128" s="109"/>
      <c r="R128" s="109"/>
      <c r="S128" s="109"/>
      <c r="T128" s="109"/>
      <c r="U128" s="109"/>
      <c r="V128" s="109"/>
      <c r="W128" s="109"/>
      <c r="X128" s="109"/>
      <c r="Y128" s="109"/>
      <c r="Z128" s="109"/>
    </row>
    <row r="129" ht="29.25" customHeight="1">
      <c r="A129" s="109"/>
      <c r="B129" s="109"/>
      <c r="C129" s="109"/>
      <c r="D129" s="109"/>
      <c r="E129" s="109"/>
      <c r="F129" s="109"/>
      <c r="G129" s="317"/>
      <c r="H129" s="109"/>
      <c r="I129" s="109"/>
      <c r="J129" s="109"/>
      <c r="K129" s="109"/>
      <c r="L129" s="109"/>
      <c r="M129" s="109"/>
      <c r="N129" s="109"/>
      <c r="O129" s="109"/>
      <c r="P129" s="109"/>
      <c r="Q129" s="109"/>
      <c r="R129" s="109"/>
      <c r="S129" s="109"/>
      <c r="T129" s="109"/>
      <c r="U129" s="109"/>
      <c r="V129" s="109"/>
      <c r="W129" s="109"/>
      <c r="X129" s="109"/>
      <c r="Y129" s="109"/>
      <c r="Z129" s="109"/>
    </row>
    <row r="130" ht="29.25" customHeight="1">
      <c r="A130" s="109"/>
      <c r="B130" s="109"/>
      <c r="C130" s="109"/>
      <c r="D130" s="109"/>
      <c r="E130" s="109"/>
      <c r="F130" s="109"/>
      <c r="G130" s="317"/>
      <c r="H130" s="109"/>
      <c r="I130" s="109"/>
      <c r="J130" s="109"/>
      <c r="K130" s="109"/>
      <c r="L130" s="109"/>
      <c r="M130" s="109"/>
      <c r="N130" s="109"/>
      <c r="O130" s="109"/>
      <c r="P130" s="109"/>
      <c r="Q130" s="109"/>
      <c r="R130" s="109"/>
      <c r="S130" s="109"/>
      <c r="T130" s="109"/>
      <c r="U130" s="109"/>
      <c r="V130" s="109"/>
      <c r="W130" s="109"/>
      <c r="X130" s="109"/>
      <c r="Y130" s="109"/>
      <c r="Z130" s="109"/>
    </row>
    <row r="131" ht="29.25" customHeight="1">
      <c r="A131" s="109"/>
      <c r="B131" s="109"/>
      <c r="C131" s="109"/>
      <c r="D131" s="109"/>
      <c r="E131" s="109"/>
      <c r="F131" s="109"/>
      <c r="G131" s="317"/>
      <c r="H131" s="109"/>
      <c r="I131" s="109"/>
      <c r="J131" s="109"/>
      <c r="K131" s="109"/>
      <c r="L131" s="109"/>
      <c r="M131" s="109"/>
      <c r="N131" s="109"/>
      <c r="O131" s="109"/>
      <c r="P131" s="109"/>
      <c r="Q131" s="109"/>
      <c r="R131" s="109"/>
      <c r="S131" s="109"/>
      <c r="T131" s="109"/>
      <c r="U131" s="109"/>
      <c r="V131" s="109"/>
      <c r="W131" s="109"/>
      <c r="X131" s="109"/>
      <c r="Y131" s="109"/>
      <c r="Z131" s="109"/>
    </row>
    <row r="132" ht="29.25" customHeight="1">
      <c r="A132" s="109"/>
      <c r="B132" s="109"/>
      <c r="C132" s="109"/>
      <c r="D132" s="109"/>
      <c r="E132" s="109"/>
      <c r="F132" s="109"/>
      <c r="G132" s="317"/>
      <c r="H132" s="109"/>
      <c r="I132" s="109"/>
      <c r="J132" s="109"/>
      <c r="K132" s="109"/>
      <c r="L132" s="109"/>
      <c r="M132" s="109"/>
      <c r="N132" s="109"/>
      <c r="O132" s="109"/>
      <c r="P132" s="109"/>
      <c r="Q132" s="109"/>
      <c r="R132" s="109"/>
      <c r="S132" s="109"/>
      <c r="T132" s="109"/>
      <c r="U132" s="109"/>
      <c r="V132" s="109"/>
      <c r="W132" s="109"/>
      <c r="X132" s="109"/>
      <c r="Y132" s="109"/>
      <c r="Z132" s="109"/>
    </row>
    <row r="133" ht="29.25" customHeight="1">
      <c r="A133" s="109"/>
      <c r="B133" s="109"/>
      <c r="C133" s="109"/>
      <c r="D133" s="109"/>
      <c r="E133" s="109"/>
      <c r="F133" s="109"/>
      <c r="G133" s="317"/>
      <c r="H133" s="109"/>
      <c r="I133" s="109"/>
      <c r="J133" s="109"/>
      <c r="K133" s="109"/>
      <c r="L133" s="109"/>
      <c r="M133" s="109"/>
      <c r="N133" s="109"/>
      <c r="O133" s="109"/>
      <c r="P133" s="109"/>
      <c r="Q133" s="109"/>
      <c r="R133" s="109"/>
      <c r="S133" s="109"/>
      <c r="T133" s="109"/>
      <c r="U133" s="109"/>
      <c r="V133" s="109"/>
      <c r="W133" s="109"/>
      <c r="X133" s="109"/>
      <c r="Y133" s="109"/>
      <c r="Z133" s="109"/>
    </row>
    <row r="134" ht="29.25" customHeight="1">
      <c r="A134" s="109"/>
      <c r="B134" s="109"/>
      <c r="C134" s="109"/>
      <c r="D134" s="109"/>
      <c r="E134" s="109"/>
      <c r="F134" s="109"/>
      <c r="G134" s="317"/>
      <c r="H134" s="109"/>
      <c r="I134" s="109"/>
      <c r="J134" s="109"/>
      <c r="K134" s="109"/>
      <c r="L134" s="109"/>
      <c r="M134" s="109"/>
      <c r="N134" s="109"/>
      <c r="O134" s="109"/>
      <c r="P134" s="109"/>
      <c r="Q134" s="109"/>
      <c r="R134" s="109"/>
      <c r="S134" s="109"/>
      <c r="T134" s="109"/>
      <c r="U134" s="109"/>
      <c r="V134" s="109"/>
      <c r="W134" s="109"/>
      <c r="X134" s="109"/>
      <c r="Y134" s="109"/>
      <c r="Z134" s="109"/>
    </row>
    <row r="135" ht="29.25" customHeight="1">
      <c r="A135" s="109"/>
      <c r="B135" s="109"/>
      <c r="C135" s="109"/>
      <c r="D135" s="109"/>
      <c r="E135" s="109"/>
      <c r="F135" s="109"/>
      <c r="G135" s="317"/>
      <c r="H135" s="109"/>
      <c r="I135" s="109"/>
      <c r="J135" s="109"/>
      <c r="K135" s="109"/>
      <c r="L135" s="109"/>
      <c r="M135" s="109"/>
      <c r="N135" s="109"/>
      <c r="O135" s="109"/>
      <c r="P135" s="109"/>
      <c r="Q135" s="109"/>
      <c r="R135" s="109"/>
      <c r="S135" s="109"/>
      <c r="T135" s="109"/>
      <c r="U135" s="109"/>
      <c r="V135" s="109"/>
      <c r="W135" s="109"/>
      <c r="X135" s="109"/>
      <c r="Y135" s="109"/>
      <c r="Z135" s="109"/>
    </row>
    <row r="136" ht="29.25" customHeight="1">
      <c r="A136" s="109"/>
      <c r="B136" s="109"/>
      <c r="C136" s="109"/>
      <c r="D136" s="109"/>
      <c r="E136" s="109"/>
      <c r="F136" s="109"/>
      <c r="G136" s="317"/>
      <c r="H136" s="109"/>
      <c r="I136" s="109"/>
      <c r="J136" s="109"/>
      <c r="K136" s="109"/>
      <c r="L136" s="109"/>
      <c r="M136" s="109"/>
      <c r="N136" s="109"/>
      <c r="O136" s="109"/>
      <c r="P136" s="109"/>
      <c r="Q136" s="109"/>
      <c r="R136" s="109"/>
      <c r="S136" s="109"/>
      <c r="T136" s="109"/>
      <c r="U136" s="109"/>
      <c r="V136" s="109"/>
      <c r="W136" s="109"/>
      <c r="X136" s="109"/>
      <c r="Y136" s="109"/>
      <c r="Z136" s="109"/>
    </row>
    <row r="137" ht="29.25" customHeight="1">
      <c r="A137" s="109"/>
      <c r="B137" s="109"/>
      <c r="C137" s="109"/>
      <c r="D137" s="109"/>
      <c r="E137" s="109"/>
      <c r="F137" s="109"/>
      <c r="G137" s="317"/>
      <c r="H137" s="109"/>
      <c r="I137" s="109"/>
      <c r="J137" s="109"/>
      <c r="K137" s="109"/>
      <c r="L137" s="109"/>
      <c r="M137" s="109"/>
      <c r="N137" s="109"/>
      <c r="O137" s="109"/>
      <c r="P137" s="109"/>
      <c r="Q137" s="109"/>
      <c r="R137" s="109"/>
      <c r="S137" s="109"/>
      <c r="T137" s="109"/>
      <c r="U137" s="109"/>
      <c r="V137" s="109"/>
      <c r="W137" s="109"/>
      <c r="X137" s="109"/>
      <c r="Y137" s="109"/>
      <c r="Z137" s="109"/>
    </row>
    <row r="138" ht="29.25" customHeight="1">
      <c r="A138" s="109"/>
      <c r="B138" s="109"/>
      <c r="C138" s="109"/>
      <c r="D138" s="109"/>
      <c r="E138" s="109"/>
      <c r="F138" s="109"/>
      <c r="G138" s="317"/>
      <c r="H138" s="109"/>
      <c r="I138" s="109"/>
      <c r="J138" s="109"/>
      <c r="K138" s="109"/>
      <c r="L138" s="109"/>
      <c r="M138" s="109"/>
      <c r="N138" s="109"/>
      <c r="O138" s="109"/>
      <c r="P138" s="109"/>
      <c r="Q138" s="109"/>
      <c r="R138" s="109"/>
      <c r="S138" s="109"/>
      <c r="T138" s="109"/>
      <c r="U138" s="109"/>
      <c r="V138" s="109"/>
      <c r="W138" s="109"/>
      <c r="X138" s="109"/>
      <c r="Y138" s="109"/>
      <c r="Z138" s="109"/>
    </row>
    <row r="139" ht="29.25" customHeight="1">
      <c r="A139" s="109"/>
      <c r="B139" s="109"/>
      <c r="C139" s="109"/>
      <c r="D139" s="109"/>
      <c r="E139" s="109"/>
      <c r="F139" s="109"/>
      <c r="G139" s="317"/>
      <c r="H139" s="109"/>
      <c r="I139" s="109"/>
      <c r="J139" s="109"/>
      <c r="K139" s="109"/>
      <c r="L139" s="109"/>
      <c r="M139" s="109"/>
      <c r="N139" s="109"/>
      <c r="O139" s="109"/>
      <c r="P139" s="109"/>
      <c r="Q139" s="109"/>
      <c r="R139" s="109"/>
      <c r="S139" s="109"/>
      <c r="T139" s="109"/>
      <c r="U139" s="109"/>
      <c r="V139" s="109"/>
      <c r="W139" s="109"/>
      <c r="X139" s="109"/>
      <c r="Y139" s="109"/>
      <c r="Z139" s="109"/>
    </row>
    <row r="140" ht="29.25" customHeight="1">
      <c r="A140" s="109"/>
      <c r="B140" s="109"/>
      <c r="C140" s="109"/>
      <c r="D140" s="109"/>
      <c r="E140" s="109"/>
      <c r="F140" s="109"/>
      <c r="G140" s="317"/>
      <c r="H140" s="109"/>
      <c r="I140" s="109"/>
      <c r="J140" s="109"/>
      <c r="K140" s="109"/>
      <c r="L140" s="109"/>
      <c r="M140" s="109"/>
      <c r="N140" s="109"/>
      <c r="O140" s="109"/>
      <c r="P140" s="109"/>
      <c r="Q140" s="109"/>
      <c r="R140" s="109"/>
      <c r="S140" s="109"/>
      <c r="T140" s="109"/>
      <c r="U140" s="109"/>
      <c r="V140" s="109"/>
      <c r="W140" s="109"/>
      <c r="X140" s="109"/>
      <c r="Y140" s="109"/>
      <c r="Z140" s="109"/>
    </row>
    <row r="141" ht="29.25" customHeight="1">
      <c r="A141" s="109"/>
      <c r="B141" s="109"/>
      <c r="C141" s="109"/>
      <c r="D141" s="109"/>
      <c r="E141" s="109"/>
      <c r="F141" s="109"/>
      <c r="G141" s="317"/>
      <c r="H141" s="109"/>
      <c r="I141" s="109"/>
      <c r="J141" s="109"/>
      <c r="K141" s="109"/>
      <c r="L141" s="109"/>
      <c r="M141" s="109"/>
      <c r="N141" s="109"/>
      <c r="O141" s="109"/>
      <c r="P141" s="109"/>
      <c r="Q141" s="109"/>
      <c r="R141" s="109"/>
      <c r="S141" s="109"/>
      <c r="T141" s="109"/>
      <c r="U141" s="109"/>
      <c r="V141" s="109"/>
      <c r="W141" s="109"/>
      <c r="X141" s="109"/>
      <c r="Y141" s="109"/>
      <c r="Z141" s="109"/>
    </row>
    <row r="142" ht="29.25" customHeight="1">
      <c r="A142" s="109"/>
      <c r="B142" s="109"/>
      <c r="C142" s="109"/>
      <c r="D142" s="109"/>
      <c r="E142" s="109"/>
      <c r="F142" s="109"/>
      <c r="G142" s="317"/>
      <c r="H142" s="109"/>
      <c r="I142" s="109"/>
      <c r="J142" s="109"/>
      <c r="K142" s="109"/>
      <c r="L142" s="109"/>
      <c r="M142" s="109"/>
      <c r="N142" s="109"/>
      <c r="O142" s="109"/>
      <c r="P142" s="109"/>
      <c r="Q142" s="109"/>
      <c r="R142" s="109"/>
      <c r="S142" s="109"/>
      <c r="T142" s="109"/>
      <c r="U142" s="109"/>
      <c r="V142" s="109"/>
      <c r="W142" s="109"/>
      <c r="X142" s="109"/>
      <c r="Y142" s="109"/>
      <c r="Z142" s="109"/>
    </row>
    <row r="143" ht="29.25" customHeight="1">
      <c r="A143" s="109"/>
      <c r="B143" s="109"/>
      <c r="C143" s="109"/>
      <c r="D143" s="109"/>
      <c r="E143" s="109"/>
      <c r="F143" s="109"/>
      <c r="G143" s="317"/>
      <c r="H143" s="109"/>
      <c r="I143" s="109"/>
      <c r="J143" s="109"/>
      <c r="K143" s="109"/>
      <c r="L143" s="109"/>
      <c r="M143" s="109"/>
      <c r="N143" s="109"/>
      <c r="O143" s="109"/>
      <c r="P143" s="109"/>
      <c r="Q143" s="109"/>
      <c r="R143" s="109"/>
      <c r="S143" s="109"/>
      <c r="T143" s="109"/>
      <c r="U143" s="109"/>
      <c r="V143" s="109"/>
      <c r="W143" s="109"/>
      <c r="X143" s="109"/>
      <c r="Y143" s="109"/>
      <c r="Z143" s="109"/>
    </row>
    <row r="144" ht="29.25" customHeight="1">
      <c r="A144" s="109"/>
      <c r="B144" s="109"/>
      <c r="C144" s="109"/>
      <c r="D144" s="109"/>
      <c r="E144" s="109"/>
      <c r="F144" s="109"/>
      <c r="G144" s="317"/>
      <c r="H144" s="109"/>
      <c r="I144" s="109"/>
      <c r="J144" s="109"/>
      <c r="K144" s="109"/>
      <c r="L144" s="109"/>
      <c r="M144" s="109"/>
      <c r="N144" s="109"/>
      <c r="O144" s="109"/>
      <c r="P144" s="109"/>
      <c r="Q144" s="109"/>
      <c r="R144" s="109"/>
      <c r="S144" s="109"/>
      <c r="T144" s="109"/>
      <c r="U144" s="109"/>
      <c r="V144" s="109"/>
      <c r="W144" s="109"/>
      <c r="X144" s="109"/>
      <c r="Y144" s="109"/>
      <c r="Z144" s="109"/>
    </row>
    <row r="145" ht="29.25" customHeight="1">
      <c r="A145" s="109"/>
      <c r="B145" s="109"/>
      <c r="C145" s="109"/>
      <c r="D145" s="109"/>
      <c r="E145" s="109"/>
      <c r="F145" s="109"/>
      <c r="G145" s="317"/>
      <c r="H145" s="109"/>
      <c r="I145" s="109"/>
      <c r="J145" s="109"/>
      <c r="K145" s="109"/>
      <c r="L145" s="109"/>
      <c r="M145" s="109"/>
      <c r="N145" s="109"/>
      <c r="O145" s="109"/>
      <c r="P145" s="109"/>
      <c r="Q145" s="109"/>
      <c r="R145" s="109"/>
      <c r="S145" s="109"/>
      <c r="T145" s="109"/>
      <c r="U145" s="109"/>
      <c r="V145" s="109"/>
      <c r="W145" s="109"/>
      <c r="X145" s="109"/>
      <c r="Y145" s="109"/>
      <c r="Z145" s="109"/>
    </row>
    <row r="146" ht="29.25" customHeight="1">
      <c r="A146" s="109"/>
      <c r="B146" s="109"/>
      <c r="C146" s="109"/>
      <c r="D146" s="109"/>
      <c r="E146" s="109"/>
      <c r="F146" s="109"/>
      <c r="G146" s="317"/>
      <c r="H146" s="109"/>
      <c r="I146" s="109"/>
      <c r="J146" s="109"/>
      <c r="K146" s="109"/>
      <c r="L146" s="109"/>
      <c r="M146" s="109"/>
      <c r="N146" s="109"/>
      <c r="O146" s="109"/>
      <c r="P146" s="109"/>
      <c r="Q146" s="109"/>
      <c r="R146" s="109"/>
      <c r="S146" s="109"/>
      <c r="T146" s="109"/>
      <c r="U146" s="109"/>
      <c r="V146" s="109"/>
      <c r="W146" s="109"/>
      <c r="X146" s="109"/>
      <c r="Y146" s="109"/>
      <c r="Z146" s="109"/>
    </row>
    <row r="147" ht="29.25" customHeight="1">
      <c r="A147" s="109"/>
      <c r="B147" s="109"/>
      <c r="C147" s="109"/>
      <c r="D147" s="109"/>
      <c r="E147" s="109"/>
      <c r="F147" s="109"/>
      <c r="G147" s="317"/>
      <c r="H147" s="109"/>
      <c r="I147" s="109"/>
      <c r="J147" s="109"/>
      <c r="K147" s="109"/>
      <c r="L147" s="109"/>
      <c r="M147" s="109"/>
      <c r="N147" s="109"/>
      <c r="O147" s="109"/>
      <c r="P147" s="109"/>
      <c r="Q147" s="109"/>
      <c r="R147" s="109"/>
      <c r="S147" s="109"/>
      <c r="T147" s="109"/>
      <c r="U147" s="109"/>
      <c r="V147" s="109"/>
      <c r="W147" s="109"/>
      <c r="X147" s="109"/>
      <c r="Y147" s="109"/>
      <c r="Z147" s="109"/>
    </row>
    <row r="148" ht="29.25" customHeight="1">
      <c r="A148" s="109"/>
      <c r="B148" s="109"/>
      <c r="C148" s="109"/>
      <c r="D148" s="109"/>
      <c r="E148" s="109"/>
      <c r="F148" s="109"/>
      <c r="G148" s="317"/>
      <c r="H148" s="109"/>
      <c r="I148" s="109"/>
      <c r="J148" s="109"/>
      <c r="K148" s="109"/>
      <c r="L148" s="109"/>
      <c r="M148" s="109"/>
      <c r="N148" s="109"/>
      <c r="O148" s="109"/>
      <c r="P148" s="109"/>
      <c r="Q148" s="109"/>
      <c r="R148" s="109"/>
      <c r="S148" s="109"/>
      <c r="T148" s="109"/>
      <c r="U148" s="109"/>
      <c r="V148" s="109"/>
      <c r="W148" s="109"/>
      <c r="X148" s="109"/>
      <c r="Y148" s="109"/>
      <c r="Z148" s="109"/>
    </row>
    <row r="149" ht="29.25" customHeight="1">
      <c r="A149" s="109"/>
      <c r="B149" s="109"/>
      <c r="C149" s="109"/>
      <c r="D149" s="109"/>
      <c r="E149" s="109"/>
      <c r="F149" s="109"/>
      <c r="G149" s="317"/>
      <c r="H149" s="109"/>
      <c r="I149" s="109"/>
      <c r="J149" s="109"/>
      <c r="K149" s="109"/>
      <c r="L149" s="109"/>
      <c r="M149" s="109"/>
      <c r="N149" s="109"/>
      <c r="O149" s="109"/>
      <c r="P149" s="109"/>
      <c r="Q149" s="109"/>
      <c r="R149" s="109"/>
      <c r="S149" s="109"/>
      <c r="T149" s="109"/>
      <c r="U149" s="109"/>
      <c r="V149" s="109"/>
      <c r="W149" s="109"/>
      <c r="X149" s="109"/>
      <c r="Y149" s="109"/>
      <c r="Z149" s="109"/>
    </row>
    <row r="150" ht="29.25" customHeight="1">
      <c r="A150" s="109"/>
      <c r="B150" s="109"/>
      <c r="C150" s="109"/>
      <c r="D150" s="109"/>
      <c r="E150" s="109"/>
      <c r="F150" s="109"/>
      <c r="G150" s="317"/>
      <c r="H150" s="109"/>
      <c r="I150" s="109"/>
      <c r="J150" s="109"/>
      <c r="K150" s="109"/>
      <c r="L150" s="109"/>
      <c r="M150" s="109"/>
      <c r="N150" s="109"/>
      <c r="O150" s="109"/>
      <c r="P150" s="109"/>
      <c r="Q150" s="109"/>
      <c r="R150" s="109"/>
      <c r="S150" s="109"/>
      <c r="T150" s="109"/>
      <c r="U150" s="109"/>
      <c r="V150" s="109"/>
      <c r="W150" s="109"/>
      <c r="X150" s="109"/>
      <c r="Y150" s="109"/>
      <c r="Z150" s="109"/>
    </row>
    <row r="151" ht="29.25" customHeight="1">
      <c r="A151" s="109"/>
      <c r="B151" s="109"/>
      <c r="C151" s="109"/>
      <c r="D151" s="109"/>
      <c r="E151" s="109"/>
      <c r="F151" s="109"/>
      <c r="G151" s="317"/>
      <c r="H151" s="109"/>
      <c r="I151" s="109"/>
      <c r="J151" s="109"/>
      <c r="K151" s="109"/>
      <c r="L151" s="109"/>
      <c r="M151" s="109"/>
      <c r="N151" s="109"/>
      <c r="O151" s="109"/>
      <c r="P151" s="109"/>
      <c r="Q151" s="109"/>
      <c r="R151" s="109"/>
      <c r="S151" s="109"/>
      <c r="T151" s="109"/>
      <c r="U151" s="109"/>
      <c r="V151" s="109"/>
      <c r="W151" s="109"/>
      <c r="X151" s="109"/>
      <c r="Y151" s="109"/>
      <c r="Z151" s="109"/>
    </row>
    <row r="152" ht="29.25" customHeight="1">
      <c r="A152" s="109"/>
      <c r="B152" s="109"/>
      <c r="C152" s="109"/>
      <c r="D152" s="109"/>
      <c r="E152" s="109"/>
      <c r="F152" s="109"/>
      <c r="G152" s="317"/>
      <c r="H152" s="109"/>
      <c r="I152" s="109"/>
      <c r="J152" s="109"/>
      <c r="K152" s="109"/>
      <c r="L152" s="109"/>
      <c r="M152" s="109"/>
      <c r="N152" s="109"/>
      <c r="O152" s="109"/>
      <c r="P152" s="109"/>
      <c r="Q152" s="109"/>
      <c r="R152" s="109"/>
      <c r="S152" s="109"/>
      <c r="T152" s="109"/>
      <c r="U152" s="109"/>
      <c r="V152" s="109"/>
      <c r="W152" s="109"/>
      <c r="X152" s="109"/>
      <c r="Y152" s="109"/>
      <c r="Z152" s="109"/>
    </row>
    <row r="153" ht="29.25" customHeight="1">
      <c r="A153" s="109"/>
      <c r="B153" s="109"/>
      <c r="C153" s="109"/>
      <c r="D153" s="109"/>
      <c r="E153" s="109"/>
      <c r="F153" s="109"/>
      <c r="G153" s="317"/>
      <c r="H153" s="109"/>
      <c r="I153" s="109"/>
      <c r="J153" s="109"/>
      <c r="K153" s="109"/>
      <c r="L153" s="109"/>
      <c r="M153" s="109"/>
      <c r="N153" s="109"/>
      <c r="O153" s="109"/>
      <c r="P153" s="109"/>
      <c r="Q153" s="109"/>
      <c r="R153" s="109"/>
      <c r="S153" s="109"/>
      <c r="T153" s="109"/>
      <c r="U153" s="109"/>
      <c r="V153" s="109"/>
      <c r="W153" s="109"/>
      <c r="X153" s="109"/>
      <c r="Y153" s="109"/>
      <c r="Z153" s="109"/>
    </row>
    <row r="154" ht="29.25" customHeight="1">
      <c r="A154" s="109"/>
      <c r="B154" s="109"/>
      <c r="C154" s="109"/>
      <c r="D154" s="109"/>
      <c r="E154" s="109"/>
      <c r="F154" s="109"/>
      <c r="G154" s="317"/>
      <c r="H154" s="109"/>
      <c r="I154" s="109"/>
      <c r="J154" s="109"/>
      <c r="K154" s="109"/>
      <c r="L154" s="109"/>
      <c r="M154" s="109"/>
      <c r="N154" s="109"/>
      <c r="O154" s="109"/>
      <c r="P154" s="109"/>
      <c r="Q154" s="109"/>
      <c r="R154" s="109"/>
      <c r="S154" s="109"/>
      <c r="T154" s="109"/>
      <c r="U154" s="109"/>
      <c r="V154" s="109"/>
      <c r="W154" s="109"/>
      <c r="X154" s="109"/>
      <c r="Y154" s="109"/>
      <c r="Z154" s="109"/>
    </row>
    <row r="155" ht="29.25" customHeight="1">
      <c r="A155" s="109"/>
      <c r="B155" s="109"/>
      <c r="C155" s="109"/>
      <c r="D155" s="109"/>
      <c r="E155" s="109"/>
      <c r="F155" s="109"/>
      <c r="G155" s="317"/>
      <c r="H155" s="109"/>
      <c r="I155" s="109"/>
      <c r="J155" s="109"/>
      <c r="K155" s="109"/>
      <c r="L155" s="109"/>
      <c r="M155" s="109"/>
      <c r="N155" s="109"/>
      <c r="O155" s="109"/>
      <c r="P155" s="109"/>
      <c r="Q155" s="109"/>
      <c r="R155" s="109"/>
      <c r="S155" s="109"/>
      <c r="T155" s="109"/>
      <c r="U155" s="109"/>
      <c r="V155" s="109"/>
      <c r="W155" s="109"/>
      <c r="X155" s="109"/>
      <c r="Y155" s="109"/>
      <c r="Z155" s="109"/>
    </row>
    <row r="156" ht="29.25" customHeight="1">
      <c r="A156" s="109"/>
      <c r="B156" s="109"/>
      <c r="C156" s="109"/>
      <c r="D156" s="109"/>
      <c r="E156" s="109"/>
      <c r="F156" s="109"/>
      <c r="G156" s="317"/>
      <c r="H156" s="109"/>
      <c r="I156" s="109"/>
      <c r="J156" s="109"/>
      <c r="K156" s="109"/>
      <c r="L156" s="109"/>
      <c r="M156" s="109"/>
      <c r="N156" s="109"/>
      <c r="O156" s="109"/>
      <c r="P156" s="109"/>
      <c r="Q156" s="109"/>
      <c r="R156" s="109"/>
      <c r="S156" s="109"/>
      <c r="T156" s="109"/>
      <c r="U156" s="109"/>
      <c r="V156" s="109"/>
      <c r="W156" s="109"/>
      <c r="X156" s="109"/>
      <c r="Y156" s="109"/>
      <c r="Z156" s="109"/>
    </row>
    <row r="157" ht="29.25" customHeight="1">
      <c r="A157" s="109"/>
      <c r="B157" s="109"/>
      <c r="C157" s="109"/>
      <c r="D157" s="109"/>
      <c r="E157" s="109"/>
      <c r="F157" s="109"/>
      <c r="G157" s="317"/>
      <c r="H157" s="109"/>
      <c r="I157" s="109"/>
      <c r="J157" s="109"/>
      <c r="K157" s="109"/>
      <c r="L157" s="109"/>
      <c r="M157" s="109"/>
      <c r="N157" s="109"/>
      <c r="O157" s="109"/>
      <c r="P157" s="109"/>
      <c r="Q157" s="109"/>
      <c r="R157" s="109"/>
      <c r="S157" s="109"/>
      <c r="T157" s="109"/>
      <c r="U157" s="109"/>
      <c r="V157" s="109"/>
      <c r="W157" s="109"/>
      <c r="X157" s="109"/>
      <c r="Y157" s="109"/>
      <c r="Z157" s="109"/>
    </row>
    <row r="158" ht="29.25" customHeight="1">
      <c r="A158" s="109"/>
      <c r="B158" s="109"/>
      <c r="C158" s="109"/>
      <c r="D158" s="109"/>
      <c r="E158" s="109"/>
      <c r="F158" s="109"/>
      <c r="G158" s="317"/>
      <c r="H158" s="109"/>
      <c r="I158" s="109"/>
      <c r="J158" s="109"/>
      <c r="K158" s="109"/>
      <c r="L158" s="109"/>
      <c r="M158" s="109"/>
      <c r="N158" s="109"/>
      <c r="O158" s="109"/>
      <c r="P158" s="109"/>
      <c r="Q158" s="109"/>
      <c r="R158" s="109"/>
      <c r="S158" s="109"/>
      <c r="T158" s="109"/>
      <c r="U158" s="109"/>
      <c r="V158" s="109"/>
      <c r="W158" s="109"/>
      <c r="X158" s="109"/>
      <c r="Y158" s="109"/>
      <c r="Z158" s="109"/>
    </row>
    <row r="159" ht="29.25" customHeight="1">
      <c r="A159" s="109"/>
      <c r="B159" s="109"/>
      <c r="C159" s="109"/>
      <c r="D159" s="109"/>
      <c r="E159" s="109"/>
      <c r="F159" s="109"/>
      <c r="G159" s="317"/>
      <c r="H159" s="109"/>
      <c r="I159" s="109"/>
      <c r="J159" s="109"/>
      <c r="K159" s="109"/>
      <c r="L159" s="109"/>
      <c r="M159" s="109"/>
      <c r="N159" s="109"/>
      <c r="O159" s="109"/>
      <c r="P159" s="109"/>
      <c r="Q159" s="109"/>
      <c r="R159" s="109"/>
      <c r="S159" s="109"/>
      <c r="T159" s="109"/>
      <c r="U159" s="109"/>
      <c r="V159" s="109"/>
      <c r="W159" s="109"/>
      <c r="X159" s="109"/>
      <c r="Y159" s="109"/>
      <c r="Z159" s="109"/>
    </row>
    <row r="160" ht="29.25" customHeight="1">
      <c r="A160" s="109"/>
      <c r="B160" s="109"/>
      <c r="C160" s="109"/>
      <c r="D160" s="109"/>
      <c r="E160" s="109"/>
      <c r="F160" s="109"/>
      <c r="G160" s="317"/>
      <c r="H160" s="109"/>
      <c r="I160" s="109"/>
      <c r="J160" s="109"/>
      <c r="K160" s="109"/>
      <c r="L160" s="109"/>
      <c r="M160" s="109"/>
      <c r="N160" s="109"/>
      <c r="O160" s="109"/>
      <c r="P160" s="109"/>
      <c r="Q160" s="109"/>
      <c r="R160" s="109"/>
      <c r="S160" s="109"/>
      <c r="T160" s="109"/>
      <c r="U160" s="109"/>
      <c r="V160" s="109"/>
      <c r="W160" s="109"/>
      <c r="X160" s="109"/>
      <c r="Y160" s="109"/>
      <c r="Z160" s="109"/>
    </row>
    <row r="161" ht="29.25" customHeight="1">
      <c r="A161" s="109"/>
      <c r="B161" s="109"/>
      <c r="C161" s="109"/>
      <c r="D161" s="109"/>
      <c r="E161" s="109"/>
      <c r="F161" s="109"/>
      <c r="G161" s="317"/>
      <c r="H161" s="109"/>
      <c r="I161" s="109"/>
      <c r="J161" s="109"/>
      <c r="K161" s="109"/>
      <c r="L161" s="109"/>
      <c r="M161" s="109"/>
      <c r="N161" s="109"/>
      <c r="O161" s="109"/>
      <c r="P161" s="109"/>
      <c r="Q161" s="109"/>
      <c r="R161" s="109"/>
      <c r="S161" s="109"/>
      <c r="T161" s="109"/>
      <c r="U161" s="109"/>
      <c r="V161" s="109"/>
      <c r="W161" s="109"/>
      <c r="X161" s="109"/>
      <c r="Y161" s="109"/>
      <c r="Z161" s="109"/>
    </row>
    <row r="162" ht="29.25" customHeight="1">
      <c r="A162" s="109"/>
      <c r="B162" s="109"/>
      <c r="C162" s="109"/>
      <c r="D162" s="109"/>
      <c r="E162" s="109"/>
      <c r="F162" s="109"/>
      <c r="G162" s="317"/>
      <c r="H162" s="109"/>
      <c r="I162" s="109"/>
      <c r="J162" s="109"/>
      <c r="K162" s="109"/>
      <c r="L162" s="109"/>
      <c r="M162" s="109"/>
      <c r="N162" s="109"/>
      <c r="O162" s="109"/>
      <c r="P162" s="109"/>
      <c r="Q162" s="109"/>
      <c r="R162" s="109"/>
      <c r="S162" s="109"/>
      <c r="T162" s="109"/>
      <c r="U162" s="109"/>
      <c r="V162" s="109"/>
      <c r="W162" s="109"/>
      <c r="X162" s="109"/>
      <c r="Y162" s="109"/>
      <c r="Z162" s="109"/>
    </row>
    <row r="163" ht="29.25" customHeight="1">
      <c r="A163" s="109"/>
      <c r="B163" s="109"/>
      <c r="C163" s="109"/>
      <c r="D163" s="109"/>
      <c r="E163" s="109"/>
      <c r="F163" s="109"/>
      <c r="G163" s="317"/>
      <c r="H163" s="109"/>
      <c r="I163" s="109"/>
      <c r="J163" s="109"/>
      <c r="K163" s="109"/>
      <c r="L163" s="109"/>
      <c r="M163" s="109"/>
      <c r="N163" s="109"/>
      <c r="O163" s="109"/>
      <c r="P163" s="109"/>
      <c r="Q163" s="109"/>
      <c r="R163" s="109"/>
      <c r="S163" s="109"/>
      <c r="T163" s="109"/>
      <c r="U163" s="109"/>
      <c r="V163" s="109"/>
      <c r="W163" s="109"/>
      <c r="X163" s="109"/>
      <c r="Y163" s="109"/>
      <c r="Z163" s="109"/>
    </row>
    <row r="164" ht="29.25" customHeight="1">
      <c r="A164" s="109"/>
      <c r="B164" s="109"/>
      <c r="C164" s="109"/>
      <c r="D164" s="109"/>
      <c r="E164" s="109"/>
      <c r="F164" s="109"/>
      <c r="G164" s="317"/>
      <c r="H164" s="109"/>
      <c r="I164" s="109"/>
      <c r="J164" s="109"/>
      <c r="K164" s="109"/>
      <c r="L164" s="109"/>
      <c r="M164" s="109"/>
      <c r="N164" s="109"/>
      <c r="O164" s="109"/>
      <c r="P164" s="109"/>
      <c r="Q164" s="109"/>
      <c r="R164" s="109"/>
      <c r="S164" s="109"/>
      <c r="T164" s="109"/>
      <c r="U164" s="109"/>
      <c r="V164" s="109"/>
      <c r="W164" s="109"/>
      <c r="X164" s="109"/>
      <c r="Y164" s="109"/>
      <c r="Z164" s="109"/>
    </row>
    <row r="165" ht="29.25" customHeight="1">
      <c r="A165" s="109"/>
      <c r="B165" s="109"/>
      <c r="C165" s="109"/>
      <c r="D165" s="109"/>
      <c r="E165" s="109"/>
      <c r="F165" s="109"/>
      <c r="G165" s="317"/>
      <c r="H165" s="109"/>
      <c r="I165" s="109"/>
      <c r="J165" s="109"/>
      <c r="K165" s="109"/>
      <c r="L165" s="109"/>
      <c r="M165" s="109"/>
      <c r="N165" s="109"/>
      <c r="O165" s="109"/>
      <c r="P165" s="109"/>
      <c r="Q165" s="109"/>
      <c r="R165" s="109"/>
      <c r="S165" s="109"/>
      <c r="T165" s="109"/>
      <c r="U165" s="109"/>
      <c r="V165" s="109"/>
      <c r="W165" s="109"/>
      <c r="X165" s="109"/>
      <c r="Y165" s="109"/>
      <c r="Z165" s="109"/>
    </row>
    <row r="166" ht="29.25" customHeight="1">
      <c r="A166" s="109"/>
      <c r="B166" s="109"/>
      <c r="C166" s="109"/>
      <c r="D166" s="109"/>
      <c r="E166" s="109"/>
      <c r="F166" s="109"/>
      <c r="G166" s="317"/>
      <c r="H166" s="109"/>
      <c r="I166" s="109"/>
      <c r="J166" s="109"/>
      <c r="K166" s="109"/>
      <c r="L166" s="109"/>
      <c r="M166" s="109"/>
      <c r="N166" s="109"/>
      <c r="O166" s="109"/>
      <c r="P166" s="109"/>
      <c r="Q166" s="109"/>
      <c r="R166" s="109"/>
      <c r="S166" s="109"/>
      <c r="T166" s="109"/>
      <c r="U166" s="109"/>
      <c r="V166" s="109"/>
      <c r="W166" s="109"/>
      <c r="X166" s="109"/>
      <c r="Y166" s="109"/>
      <c r="Z166" s="109"/>
    </row>
    <row r="167" ht="29.25" customHeight="1">
      <c r="A167" s="109"/>
      <c r="B167" s="109"/>
      <c r="C167" s="109"/>
      <c r="D167" s="109"/>
      <c r="E167" s="109"/>
      <c r="F167" s="109"/>
      <c r="G167" s="317"/>
      <c r="H167" s="109"/>
      <c r="I167" s="109"/>
      <c r="J167" s="109"/>
      <c r="K167" s="109"/>
      <c r="L167" s="109"/>
      <c r="M167" s="109"/>
      <c r="N167" s="109"/>
      <c r="O167" s="109"/>
      <c r="P167" s="109"/>
      <c r="Q167" s="109"/>
      <c r="R167" s="109"/>
      <c r="S167" s="109"/>
      <c r="T167" s="109"/>
      <c r="U167" s="109"/>
      <c r="V167" s="109"/>
      <c r="W167" s="109"/>
      <c r="X167" s="109"/>
      <c r="Y167" s="109"/>
      <c r="Z167" s="109"/>
    </row>
    <row r="168" ht="29.25" customHeight="1">
      <c r="A168" s="109"/>
      <c r="B168" s="109"/>
      <c r="C168" s="109"/>
      <c r="D168" s="109"/>
      <c r="E168" s="109"/>
      <c r="F168" s="109"/>
      <c r="G168" s="317"/>
      <c r="H168" s="109"/>
      <c r="I168" s="109"/>
      <c r="J168" s="109"/>
      <c r="K168" s="109"/>
      <c r="L168" s="109"/>
      <c r="M168" s="109"/>
      <c r="N168" s="109"/>
      <c r="O168" s="109"/>
      <c r="P168" s="109"/>
      <c r="Q168" s="109"/>
      <c r="R168" s="109"/>
      <c r="S168" s="109"/>
      <c r="T168" s="109"/>
      <c r="U168" s="109"/>
      <c r="V168" s="109"/>
      <c r="W168" s="109"/>
      <c r="X168" s="109"/>
      <c r="Y168" s="109"/>
      <c r="Z168" s="109"/>
    </row>
    <row r="169" ht="29.25" customHeight="1">
      <c r="A169" s="109"/>
      <c r="B169" s="109"/>
      <c r="C169" s="109"/>
      <c r="D169" s="109"/>
      <c r="E169" s="109"/>
      <c r="F169" s="109"/>
      <c r="G169" s="317"/>
      <c r="H169" s="109"/>
      <c r="I169" s="109"/>
      <c r="J169" s="109"/>
      <c r="K169" s="109"/>
      <c r="L169" s="109"/>
      <c r="M169" s="109"/>
      <c r="N169" s="109"/>
      <c r="O169" s="109"/>
      <c r="P169" s="109"/>
      <c r="Q169" s="109"/>
      <c r="R169" s="109"/>
      <c r="S169" s="109"/>
      <c r="T169" s="109"/>
      <c r="U169" s="109"/>
      <c r="V169" s="109"/>
      <c r="W169" s="109"/>
      <c r="X169" s="109"/>
      <c r="Y169" s="109"/>
      <c r="Z169" s="109"/>
    </row>
    <row r="170" ht="29.25" customHeight="1">
      <c r="A170" s="109"/>
      <c r="B170" s="109"/>
      <c r="C170" s="109"/>
      <c r="D170" s="109"/>
      <c r="E170" s="109"/>
      <c r="F170" s="109"/>
      <c r="G170" s="317"/>
      <c r="H170" s="109"/>
      <c r="I170" s="109"/>
      <c r="J170" s="109"/>
      <c r="K170" s="109"/>
      <c r="L170" s="109"/>
      <c r="M170" s="109"/>
      <c r="N170" s="109"/>
      <c r="O170" s="109"/>
      <c r="P170" s="109"/>
      <c r="Q170" s="109"/>
      <c r="R170" s="109"/>
      <c r="S170" s="109"/>
      <c r="T170" s="109"/>
      <c r="U170" s="109"/>
      <c r="V170" s="109"/>
      <c r="W170" s="109"/>
      <c r="X170" s="109"/>
      <c r="Y170" s="109"/>
      <c r="Z170" s="109"/>
    </row>
    <row r="171" ht="29.25" customHeight="1">
      <c r="A171" s="109"/>
      <c r="B171" s="109"/>
      <c r="C171" s="109"/>
      <c r="D171" s="109"/>
      <c r="E171" s="109"/>
      <c r="F171" s="109"/>
      <c r="G171" s="317"/>
      <c r="H171" s="109"/>
      <c r="I171" s="109"/>
      <c r="J171" s="109"/>
      <c r="K171" s="109"/>
      <c r="L171" s="109"/>
      <c r="M171" s="109"/>
      <c r="N171" s="109"/>
      <c r="O171" s="109"/>
      <c r="P171" s="109"/>
      <c r="Q171" s="109"/>
      <c r="R171" s="109"/>
      <c r="S171" s="109"/>
      <c r="T171" s="109"/>
      <c r="U171" s="109"/>
      <c r="V171" s="109"/>
      <c r="W171" s="109"/>
      <c r="X171" s="109"/>
      <c r="Y171" s="109"/>
      <c r="Z171" s="109"/>
    </row>
    <row r="172" ht="29.25" customHeight="1">
      <c r="A172" s="109"/>
      <c r="B172" s="109"/>
      <c r="C172" s="109"/>
      <c r="D172" s="109"/>
      <c r="E172" s="109"/>
      <c r="F172" s="109"/>
      <c r="G172" s="317"/>
      <c r="H172" s="109"/>
      <c r="I172" s="109"/>
      <c r="J172" s="109"/>
      <c r="K172" s="109"/>
      <c r="L172" s="109"/>
      <c r="M172" s="109"/>
      <c r="N172" s="109"/>
      <c r="O172" s="109"/>
      <c r="P172" s="109"/>
      <c r="Q172" s="109"/>
      <c r="R172" s="109"/>
      <c r="S172" s="109"/>
      <c r="T172" s="109"/>
      <c r="U172" s="109"/>
      <c r="V172" s="109"/>
      <c r="W172" s="109"/>
      <c r="X172" s="109"/>
      <c r="Y172" s="109"/>
      <c r="Z172" s="109"/>
    </row>
    <row r="173" ht="29.25" customHeight="1">
      <c r="A173" s="109"/>
      <c r="B173" s="109"/>
      <c r="C173" s="109"/>
      <c r="D173" s="109"/>
      <c r="E173" s="109"/>
      <c r="F173" s="109"/>
      <c r="G173" s="317"/>
      <c r="H173" s="109"/>
      <c r="I173" s="109"/>
      <c r="J173" s="109"/>
      <c r="K173" s="109"/>
      <c r="L173" s="109"/>
      <c r="M173" s="109"/>
      <c r="N173" s="109"/>
      <c r="O173" s="109"/>
      <c r="P173" s="109"/>
      <c r="Q173" s="109"/>
      <c r="R173" s="109"/>
      <c r="S173" s="109"/>
      <c r="T173" s="109"/>
      <c r="U173" s="109"/>
      <c r="V173" s="109"/>
      <c r="W173" s="109"/>
      <c r="X173" s="109"/>
      <c r="Y173" s="109"/>
      <c r="Z173" s="109"/>
    </row>
    <row r="174" ht="29.25" customHeight="1">
      <c r="A174" s="109"/>
      <c r="B174" s="109"/>
      <c r="C174" s="109"/>
      <c r="D174" s="109"/>
      <c r="E174" s="109"/>
      <c r="F174" s="109"/>
      <c r="G174" s="317"/>
      <c r="H174" s="109"/>
      <c r="I174" s="109"/>
      <c r="J174" s="109"/>
      <c r="K174" s="109"/>
      <c r="L174" s="109"/>
      <c r="M174" s="109"/>
      <c r="N174" s="109"/>
      <c r="O174" s="109"/>
      <c r="P174" s="109"/>
      <c r="Q174" s="109"/>
      <c r="R174" s="109"/>
      <c r="S174" s="109"/>
      <c r="T174" s="109"/>
      <c r="U174" s="109"/>
      <c r="V174" s="109"/>
      <c r="W174" s="109"/>
      <c r="X174" s="109"/>
      <c r="Y174" s="109"/>
      <c r="Z174" s="109"/>
    </row>
    <row r="175" ht="29.25" customHeight="1">
      <c r="A175" s="109"/>
      <c r="B175" s="109"/>
      <c r="C175" s="109"/>
      <c r="D175" s="109"/>
      <c r="E175" s="109"/>
      <c r="F175" s="109"/>
      <c r="G175" s="317"/>
      <c r="H175" s="109"/>
      <c r="I175" s="109"/>
      <c r="J175" s="109"/>
      <c r="K175" s="109"/>
      <c r="L175" s="109"/>
      <c r="M175" s="109"/>
      <c r="N175" s="109"/>
      <c r="O175" s="109"/>
      <c r="P175" s="109"/>
      <c r="Q175" s="109"/>
      <c r="R175" s="109"/>
      <c r="S175" s="109"/>
      <c r="T175" s="109"/>
      <c r="U175" s="109"/>
      <c r="V175" s="109"/>
      <c r="W175" s="109"/>
      <c r="X175" s="109"/>
      <c r="Y175" s="109"/>
      <c r="Z175" s="109"/>
    </row>
    <row r="176" ht="29.25" customHeight="1">
      <c r="A176" s="109"/>
      <c r="B176" s="109"/>
      <c r="C176" s="109"/>
      <c r="D176" s="109"/>
      <c r="E176" s="109"/>
      <c r="F176" s="109"/>
      <c r="G176" s="317"/>
      <c r="H176" s="109"/>
      <c r="I176" s="109"/>
      <c r="J176" s="109"/>
      <c r="K176" s="109"/>
      <c r="L176" s="109"/>
      <c r="M176" s="109"/>
      <c r="N176" s="109"/>
      <c r="O176" s="109"/>
      <c r="P176" s="109"/>
      <c r="Q176" s="109"/>
      <c r="R176" s="109"/>
      <c r="S176" s="109"/>
      <c r="T176" s="109"/>
      <c r="U176" s="109"/>
      <c r="V176" s="109"/>
      <c r="W176" s="109"/>
      <c r="X176" s="109"/>
      <c r="Y176" s="109"/>
      <c r="Z176" s="109"/>
    </row>
    <row r="177" ht="29.25" customHeight="1">
      <c r="A177" s="109"/>
      <c r="B177" s="109"/>
      <c r="C177" s="109"/>
      <c r="D177" s="109"/>
      <c r="E177" s="109"/>
      <c r="F177" s="109"/>
      <c r="G177" s="317"/>
      <c r="H177" s="109"/>
      <c r="I177" s="109"/>
      <c r="J177" s="109"/>
      <c r="K177" s="109"/>
      <c r="L177" s="109"/>
      <c r="M177" s="109"/>
      <c r="N177" s="109"/>
      <c r="O177" s="109"/>
      <c r="P177" s="109"/>
      <c r="Q177" s="109"/>
      <c r="R177" s="109"/>
      <c r="S177" s="109"/>
      <c r="T177" s="109"/>
      <c r="U177" s="109"/>
      <c r="V177" s="109"/>
      <c r="W177" s="109"/>
      <c r="X177" s="109"/>
      <c r="Y177" s="109"/>
      <c r="Z177" s="109"/>
    </row>
    <row r="178" ht="29.25" customHeight="1">
      <c r="A178" s="109"/>
      <c r="B178" s="109"/>
      <c r="C178" s="109"/>
      <c r="D178" s="109"/>
      <c r="E178" s="109"/>
      <c r="F178" s="109"/>
      <c r="G178" s="317"/>
      <c r="H178" s="109"/>
      <c r="I178" s="109"/>
      <c r="J178" s="109"/>
      <c r="K178" s="109"/>
      <c r="L178" s="109"/>
      <c r="M178" s="109"/>
      <c r="N178" s="109"/>
      <c r="O178" s="109"/>
      <c r="P178" s="109"/>
      <c r="Q178" s="109"/>
      <c r="R178" s="109"/>
      <c r="S178" s="109"/>
      <c r="T178" s="109"/>
      <c r="U178" s="109"/>
      <c r="V178" s="109"/>
      <c r="W178" s="109"/>
      <c r="X178" s="109"/>
      <c r="Y178" s="109"/>
      <c r="Z178" s="109"/>
    </row>
    <row r="179" ht="29.25" customHeight="1">
      <c r="A179" s="109"/>
      <c r="B179" s="109"/>
      <c r="C179" s="109"/>
      <c r="D179" s="109"/>
      <c r="E179" s="109"/>
      <c r="F179" s="109"/>
      <c r="G179" s="317"/>
      <c r="H179" s="109"/>
      <c r="I179" s="109"/>
      <c r="J179" s="109"/>
      <c r="K179" s="109"/>
      <c r="L179" s="109"/>
      <c r="M179" s="109"/>
      <c r="N179" s="109"/>
      <c r="O179" s="109"/>
      <c r="P179" s="109"/>
      <c r="Q179" s="109"/>
      <c r="R179" s="109"/>
      <c r="S179" s="109"/>
      <c r="T179" s="109"/>
      <c r="U179" s="109"/>
      <c r="V179" s="109"/>
      <c r="W179" s="109"/>
      <c r="X179" s="109"/>
      <c r="Y179" s="109"/>
      <c r="Z179" s="109"/>
    </row>
    <row r="180" ht="29.25" customHeight="1">
      <c r="A180" s="109"/>
      <c r="B180" s="109"/>
      <c r="C180" s="109"/>
      <c r="D180" s="109"/>
      <c r="E180" s="109"/>
      <c r="F180" s="109"/>
      <c r="G180" s="317"/>
      <c r="H180" s="109"/>
      <c r="I180" s="109"/>
      <c r="J180" s="109"/>
      <c r="K180" s="109"/>
      <c r="L180" s="109"/>
      <c r="M180" s="109"/>
      <c r="N180" s="109"/>
      <c r="O180" s="109"/>
      <c r="P180" s="109"/>
      <c r="Q180" s="109"/>
      <c r="R180" s="109"/>
      <c r="S180" s="109"/>
      <c r="T180" s="109"/>
      <c r="U180" s="109"/>
      <c r="V180" s="109"/>
      <c r="W180" s="109"/>
      <c r="X180" s="109"/>
      <c r="Y180" s="109"/>
      <c r="Z180" s="109"/>
    </row>
    <row r="181" ht="29.25" customHeight="1">
      <c r="A181" s="109"/>
      <c r="B181" s="109"/>
      <c r="C181" s="109"/>
      <c r="D181" s="109"/>
      <c r="E181" s="109"/>
      <c r="F181" s="109"/>
      <c r="G181" s="317"/>
      <c r="H181" s="109"/>
      <c r="I181" s="109"/>
      <c r="J181" s="109"/>
      <c r="K181" s="109"/>
      <c r="L181" s="109"/>
      <c r="M181" s="109"/>
      <c r="N181" s="109"/>
      <c r="O181" s="109"/>
      <c r="P181" s="109"/>
      <c r="Q181" s="109"/>
      <c r="R181" s="109"/>
      <c r="S181" s="109"/>
      <c r="T181" s="109"/>
      <c r="U181" s="109"/>
      <c r="V181" s="109"/>
      <c r="W181" s="109"/>
      <c r="X181" s="109"/>
      <c r="Y181" s="109"/>
      <c r="Z181" s="109"/>
    </row>
    <row r="182" ht="29.25" customHeight="1">
      <c r="A182" s="109"/>
      <c r="B182" s="109"/>
      <c r="C182" s="109"/>
      <c r="D182" s="109"/>
      <c r="E182" s="109"/>
      <c r="F182" s="109"/>
      <c r="G182" s="317"/>
      <c r="H182" s="109"/>
      <c r="I182" s="109"/>
      <c r="J182" s="109"/>
      <c r="K182" s="109"/>
      <c r="L182" s="109"/>
      <c r="M182" s="109"/>
      <c r="N182" s="109"/>
      <c r="O182" s="109"/>
      <c r="P182" s="109"/>
      <c r="Q182" s="109"/>
      <c r="R182" s="109"/>
      <c r="S182" s="109"/>
      <c r="T182" s="109"/>
      <c r="U182" s="109"/>
      <c r="V182" s="109"/>
      <c r="W182" s="109"/>
      <c r="X182" s="109"/>
      <c r="Y182" s="109"/>
      <c r="Z182" s="109"/>
    </row>
    <row r="183" ht="29.25" customHeight="1">
      <c r="A183" s="109"/>
      <c r="B183" s="109"/>
      <c r="C183" s="109"/>
      <c r="D183" s="109"/>
      <c r="E183" s="109"/>
      <c r="F183" s="109"/>
      <c r="G183" s="317"/>
      <c r="H183" s="109"/>
      <c r="I183" s="109"/>
      <c r="J183" s="109"/>
      <c r="K183" s="109"/>
      <c r="L183" s="109"/>
      <c r="M183" s="109"/>
      <c r="N183" s="109"/>
      <c r="O183" s="109"/>
      <c r="P183" s="109"/>
      <c r="Q183" s="109"/>
      <c r="R183" s="109"/>
      <c r="S183" s="109"/>
      <c r="T183" s="109"/>
      <c r="U183" s="109"/>
      <c r="V183" s="109"/>
      <c r="W183" s="109"/>
      <c r="X183" s="109"/>
      <c r="Y183" s="109"/>
      <c r="Z183" s="109"/>
    </row>
    <row r="184" ht="29.25" customHeight="1">
      <c r="A184" s="109"/>
      <c r="B184" s="109"/>
      <c r="C184" s="109"/>
      <c r="D184" s="109"/>
      <c r="E184" s="109"/>
      <c r="F184" s="109"/>
      <c r="G184" s="317"/>
      <c r="H184" s="109"/>
      <c r="I184" s="109"/>
      <c r="J184" s="109"/>
      <c r="K184" s="109"/>
      <c r="L184" s="109"/>
      <c r="M184" s="109"/>
      <c r="N184" s="109"/>
      <c r="O184" s="109"/>
      <c r="P184" s="109"/>
      <c r="Q184" s="109"/>
      <c r="R184" s="109"/>
      <c r="S184" s="109"/>
      <c r="T184" s="109"/>
      <c r="U184" s="109"/>
      <c r="V184" s="109"/>
      <c r="W184" s="109"/>
      <c r="X184" s="109"/>
      <c r="Y184" s="109"/>
      <c r="Z184" s="109"/>
    </row>
    <row r="185" ht="29.25" customHeight="1">
      <c r="A185" s="109"/>
      <c r="B185" s="109"/>
      <c r="C185" s="109"/>
      <c r="D185" s="109"/>
      <c r="E185" s="109"/>
      <c r="F185" s="109"/>
      <c r="G185" s="317"/>
      <c r="H185" s="109"/>
      <c r="I185" s="109"/>
      <c r="J185" s="109"/>
      <c r="K185" s="109"/>
      <c r="L185" s="109"/>
      <c r="M185" s="109"/>
      <c r="N185" s="109"/>
      <c r="O185" s="109"/>
      <c r="P185" s="109"/>
      <c r="Q185" s="109"/>
      <c r="R185" s="109"/>
      <c r="S185" s="109"/>
      <c r="T185" s="109"/>
      <c r="U185" s="109"/>
      <c r="V185" s="109"/>
      <c r="W185" s="109"/>
      <c r="X185" s="109"/>
      <c r="Y185" s="109"/>
      <c r="Z185" s="109"/>
    </row>
    <row r="186" ht="29.25" customHeight="1">
      <c r="A186" s="109"/>
      <c r="B186" s="109"/>
      <c r="C186" s="109"/>
      <c r="D186" s="109"/>
      <c r="E186" s="109"/>
      <c r="F186" s="109"/>
      <c r="G186" s="317"/>
      <c r="H186" s="109"/>
      <c r="I186" s="109"/>
      <c r="J186" s="109"/>
      <c r="K186" s="109"/>
      <c r="L186" s="109"/>
      <c r="M186" s="109"/>
      <c r="N186" s="109"/>
      <c r="O186" s="109"/>
      <c r="P186" s="109"/>
      <c r="Q186" s="109"/>
      <c r="R186" s="109"/>
      <c r="S186" s="109"/>
      <c r="T186" s="109"/>
      <c r="U186" s="109"/>
      <c r="V186" s="109"/>
      <c r="W186" s="109"/>
      <c r="X186" s="109"/>
      <c r="Y186" s="109"/>
      <c r="Z186" s="109"/>
    </row>
    <row r="187" ht="29.25" customHeight="1">
      <c r="A187" s="109"/>
      <c r="B187" s="109"/>
      <c r="C187" s="109"/>
      <c r="D187" s="109"/>
      <c r="E187" s="109"/>
      <c r="F187" s="109"/>
      <c r="G187" s="317"/>
      <c r="H187" s="109"/>
      <c r="I187" s="109"/>
      <c r="J187" s="109"/>
      <c r="K187" s="109"/>
      <c r="L187" s="109"/>
      <c r="M187" s="109"/>
      <c r="N187" s="109"/>
      <c r="O187" s="109"/>
      <c r="P187" s="109"/>
      <c r="Q187" s="109"/>
      <c r="R187" s="109"/>
      <c r="S187" s="109"/>
      <c r="T187" s="109"/>
      <c r="U187" s="109"/>
      <c r="V187" s="109"/>
      <c r="W187" s="109"/>
      <c r="X187" s="109"/>
      <c r="Y187" s="109"/>
      <c r="Z187" s="109"/>
    </row>
    <row r="188" ht="29.25" customHeight="1">
      <c r="A188" s="109"/>
      <c r="B188" s="109"/>
      <c r="C188" s="109"/>
      <c r="D188" s="109"/>
      <c r="E188" s="109"/>
      <c r="F188" s="109"/>
      <c r="G188" s="317"/>
      <c r="H188" s="109"/>
      <c r="I188" s="109"/>
      <c r="J188" s="109"/>
      <c r="K188" s="109"/>
      <c r="L188" s="109"/>
      <c r="M188" s="109"/>
      <c r="N188" s="109"/>
      <c r="O188" s="109"/>
      <c r="P188" s="109"/>
      <c r="Q188" s="109"/>
      <c r="R188" s="109"/>
      <c r="S188" s="109"/>
      <c r="T188" s="109"/>
      <c r="U188" s="109"/>
      <c r="V188" s="109"/>
      <c r="W188" s="109"/>
      <c r="X188" s="109"/>
      <c r="Y188" s="109"/>
      <c r="Z188" s="109"/>
    </row>
    <row r="189" ht="29.25" customHeight="1">
      <c r="A189" s="109"/>
      <c r="B189" s="109"/>
      <c r="C189" s="109"/>
      <c r="D189" s="109"/>
      <c r="E189" s="109"/>
      <c r="F189" s="109"/>
      <c r="G189" s="317"/>
      <c r="H189" s="109"/>
      <c r="I189" s="109"/>
      <c r="J189" s="109"/>
      <c r="K189" s="109"/>
      <c r="L189" s="109"/>
      <c r="M189" s="109"/>
      <c r="N189" s="109"/>
      <c r="O189" s="109"/>
      <c r="P189" s="109"/>
      <c r="Q189" s="109"/>
      <c r="R189" s="109"/>
      <c r="S189" s="109"/>
      <c r="T189" s="109"/>
      <c r="U189" s="109"/>
      <c r="V189" s="109"/>
      <c r="W189" s="109"/>
      <c r="X189" s="109"/>
      <c r="Y189" s="109"/>
      <c r="Z189" s="109"/>
    </row>
    <row r="190" ht="29.25" customHeight="1">
      <c r="A190" s="109"/>
      <c r="B190" s="109"/>
      <c r="C190" s="109"/>
      <c r="D190" s="109"/>
      <c r="E190" s="109"/>
      <c r="F190" s="109"/>
      <c r="G190" s="317"/>
      <c r="H190" s="109"/>
      <c r="I190" s="109"/>
      <c r="J190" s="109"/>
      <c r="K190" s="109"/>
      <c r="L190" s="109"/>
      <c r="M190" s="109"/>
      <c r="N190" s="109"/>
      <c r="O190" s="109"/>
      <c r="P190" s="109"/>
      <c r="Q190" s="109"/>
      <c r="R190" s="109"/>
      <c r="S190" s="109"/>
      <c r="T190" s="109"/>
      <c r="U190" s="109"/>
      <c r="V190" s="109"/>
      <c r="W190" s="109"/>
      <c r="X190" s="109"/>
      <c r="Y190" s="109"/>
      <c r="Z190" s="109"/>
    </row>
    <row r="191" ht="29.25" customHeight="1">
      <c r="A191" s="109"/>
      <c r="B191" s="109"/>
      <c r="C191" s="109"/>
      <c r="D191" s="109"/>
      <c r="E191" s="109"/>
      <c r="F191" s="109"/>
      <c r="G191" s="317"/>
      <c r="H191" s="109"/>
      <c r="I191" s="109"/>
      <c r="J191" s="109"/>
      <c r="K191" s="109"/>
      <c r="L191" s="109"/>
      <c r="M191" s="109"/>
      <c r="N191" s="109"/>
      <c r="O191" s="109"/>
      <c r="P191" s="109"/>
      <c r="Q191" s="109"/>
      <c r="R191" s="109"/>
      <c r="S191" s="109"/>
      <c r="T191" s="109"/>
      <c r="U191" s="109"/>
      <c r="V191" s="109"/>
      <c r="W191" s="109"/>
      <c r="X191" s="109"/>
      <c r="Y191" s="109"/>
      <c r="Z191" s="109"/>
    </row>
    <row r="192" ht="29.25" customHeight="1">
      <c r="A192" s="109"/>
      <c r="B192" s="109"/>
      <c r="C192" s="109"/>
      <c r="D192" s="109"/>
      <c r="E192" s="109"/>
      <c r="F192" s="109"/>
      <c r="G192" s="317"/>
      <c r="H192" s="109"/>
      <c r="I192" s="109"/>
      <c r="J192" s="109"/>
      <c r="K192" s="109"/>
      <c r="L192" s="109"/>
      <c r="M192" s="109"/>
      <c r="N192" s="109"/>
      <c r="O192" s="109"/>
      <c r="P192" s="109"/>
      <c r="Q192" s="109"/>
      <c r="R192" s="109"/>
      <c r="S192" s="109"/>
      <c r="T192" s="109"/>
      <c r="U192" s="109"/>
      <c r="V192" s="109"/>
      <c r="W192" s="109"/>
      <c r="X192" s="109"/>
      <c r="Y192" s="109"/>
      <c r="Z192" s="109"/>
    </row>
    <row r="193" ht="29.25" customHeight="1">
      <c r="A193" s="109"/>
      <c r="B193" s="109"/>
      <c r="C193" s="109"/>
      <c r="D193" s="109"/>
      <c r="E193" s="109"/>
      <c r="F193" s="109"/>
      <c r="G193" s="317"/>
      <c r="H193" s="109"/>
      <c r="I193" s="109"/>
      <c r="J193" s="109"/>
      <c r="K193" s="109"/>
      <c r="L193" s="109"/>
      <c r="M193" s="109"/>
      <c r="N193" s="109"/>
      <c r="O193" s="109"/>
      <c r="P193" s="109"/>
      <c r="Q193" s="109"/>
      <c r="R193" s="109"/>
      <c r="S193" s="109"/>
      <c r="T193" s="109"/>
      <c r="U193" s="109"/>
      <c r="V193" s="109"/>
      <c r="W193" s="109"/>
      <c r="X193" s="109"/>
      <c r="Y193" s="109"/>
      <c r="Z193" s="109"/>
    </row>
    <row r="194" ht="29.25" customHeight="1">
      <c r="A194" s="109"/>
      <c r="B194" s="109"/>
      <c r="C194" s="109"/>
      <c r="D194" s="109"/>
      <c r="E194" s="109"/>
      <c r="F194" s="109"/>
      <c r="G194" s="317"/>
      <c r="H194" s="109"/>
      <c r="I194" s="109"/>
      <c r="J194" s="109"/>
      <c r="K194" s="109"/>
      <c r="L194" s="109"/>
      <c r="M194" s="109"/>
      <c r="N194" s="109"/>
      <c r="O194" s="109"/>
      <c r="P194" s="109"/>
      <c r="Q194" s="109"/>
      <c r="R194" s="109"/>
      <c r="S194" s="109"/>
      <c r="T194" s="109"/>
      <c r="U194" s="109"/>
      <c r="V194" s="109"/>
      <c r="W194" s="109"/>
      <c r="X194" s="109"/>
      <c r="Y194" s="109"/>
      <c r="Z194" s="109"/>
    </row>
    <row r="195" ht="29.25" customHeight="1">
      <c r="A195" s="109"/>
      <c r="B195" s="109"/>
      <c r="C195" s="109"/>
      <c r="D195" s="109"/>
      <c r="E195" s="109"/>
      <c r="F195" s="109"/>
      <c r="G195" s="317"/>
      <c r="H195" s="109"/>
      <c r="I195" s="109"/>
      <c r="J195" s="109"/>
      <c r="K195" s="109"/>
      <c r="L195" s="109"/>
      <c r="M195" s="109"/>
      <c r="N195" s="109"/>
      <c r="O195" s="109"/>
      <c r="P195" s="109"/>
      <c r="Q195" s="109"/>
      <c r="R195" s="109"/>
      <c r="S195" s="109"/>
      <c r="T195" s="109"/>
      <c r="U195" s="109"/>
      <c r="V195" s="109"/>
      <c r="W195" s="109"/>
      <c r="X195" s="109"/>
      <c r="Y195" s="109"/>
      <c r="Z195" s="109"/>
    </row>
    <row r="196" ht="29.25" customHeight="1">
      <c r="A196" s="109"/>
      <c r="B196" s="109"/>
      <c r="C196" s="109"/>
      <c r="D196" s="109"/>
      <c r="E196" s="109"/>
      <c r="F196" s="109"/>
      <c r="G196" s="317"/>
      <c r="H196" s="109"/>
      <c r="I196" s="109"/>
      <c r="J196" s="109"/>
      <c r="K196" s="109"/>
      <c r="L196" s="109"/>
      <c r="M196" s="109"/>
      <c r="N196" s="109"/>
      <c r="O196" s="109"/>
      <c r="P196" s="109"/>
      <c r="Q196" s="109"/>
      <c r="R196" s="109"/>
      <c r="S196" s="109"/>
      <c r="T196" s="109"/>
      <c r="U196" s="109"/>
      <c r="V196" s="109"/>
      <c r="W196" s="109"/>
      <c r="X196" s="109"/>
      <c r="Y196" s="109"/>
      <c r="Z196" s="109"/>
    </row>
    <row r="197" ht="29.25" customHeight="1">
      <c r="A197" s="109"/>
      <c r="B197" s="109"/>
      <c r="C197" s="109"/>
      <c r="D197" s="109"/>
      <c r="E197" s="109"/>
      <c r="F197" s="109"/>
      <c r="G197" s="317"/>
      <c r="H197" s="109"/>
      <c r="I197" s="109"/>
      <c r="J197" s="109"/>
      <c r="K197" s="109"/>
      <c r="L197" s="109"/>
      <c r="M197" s="109"/>
      <c r="N197" s="109"/>
      <c r="O197" s="109"/>
      <c r="P197" s="109"/>
      <c r="Q197" s="109"/>
      <c r="R197" s="109"/>
      <c r="S197" s="109"/>
      <c r="T197" s="109"/>
      <c r="U197" s="109"/>
      <c r="V197" s="109"/>
      <c r="W197" s="109"/>
      <c r="X197" s="109"/>
      <c r="Y197" s="109"/>
      <c r="Z197" s="109"/>
    </row>
    <row r="198" ht="29.25" customHeight="1">
      <c r="A198" s="109"/>
      <c r="B198" s="109"/>
      <c r="C198" s="109"/>
      <c r="D198" s="109"/>
      <c r="E198" s="109"/>
      <c r="F198" s="109"/>
      <c r="G198" s="317"/>
      <c r="H198" s="109"/>
      <c r="I198" s="109"/>
      <c r="J198" s="109"/>
      <c r="K198" s="109"/>
      <c r="L198" s="109"/>
      <c r="M198" s="109"/>
      <c r="N198" s="109"/>
      <c r="O198" s="109"/>
      <c r="P198" s="109"/>
      <c r="Q198" s="109"/>
      <c r="R198" s="109"/>
      <c r="S198" s="109"/>
      <c r="T198" s="109"/>
      <c r="U198" s="109"/>
      <c r="V198" s="109"/>
      <c r="W198" s="109"/>
      <c r="X198" s="109"/>
      <c r="Y198" s="109"/>
      <c r="Z198" s="109"/>
    </row>
    <row r="199" ht="29.25" customHeight="1">
      <c r="A199" s="109"/>
      <c r="B199" s="109"/>
      <c r="C199" s="109"/>
      <c r="D199" s="109"/>
      <c r="E199" s="109"/>
      <c r="F199" s="109"/>
      <c r="G199" s="317"/>
      <c r="H199" s="109"/>
      <c r="I199" s="109"/>
      <c r="J199" s="109"/>
      <c r="K199" s="109"/>
      <c r="L199" s="109"/>
      <c r="M199" s="109"/>
      <c r="N199" s="109"/>
      <c r="O199" s="109"/>
      <c r="P199" s="109"/>
      <c r="Q199" s="109"/>
      <c r="R199" s="109"/>
      <c r="S199" s="109"/>
      <c r="T199" s="109"/>
      <c r="U199" s="109"/>
      <c r="V199" s="109"/>
      <c r="W199" s="109"/>
      <c r="X199" s="109"/>
      <c r="Y199" s="109"/>
      <c r="Z199" s="109"/>
    </row>
    <row r="200" ht="29.25" customHeight="1">
      <c r="A200" s="109"/>
      <c r="B200" s="109"/>
      <c r="C200" s="109"/>
      <c r="D200" s="109"/>
      <c r="E200" s="109"/>
      <c r="F200" s="109"/>
      <c r="G200" s="317"/>
      <c r="H200" s="109"/>
      <c r="I200" s="109"/>
      <c r="J200" s="109"/>
      <c r="K200" s="109"/>
      <c r="L200" s="109"/>
      <c r="M200" s="109"/>
      <c r="N200" s="109"/>
      <c r="O200" s="109"/>
      <c r="P200" s="109"/>
      <c r="Q200" s="109"/>
      <c r="R200" s="109"/>
      <c r="S200" s="109"/>
      <c r="T200" s="109"/>
      <c r="U200" s="109"/>
      <c r="V200" s="109"/>
      <c r="W200" s="109"/>
      <c r="X200" s="109"/>
      <c r="Y200" s="109"/>
      <c r="Z200" s="109"/>
    </row>
    <row r="201" ht="29.25" customHeight="1">
      <c r="A201" s="109"/>
      <c r="B201" s="109"/>
      <c r="C201" s="109"/>
      <c r="D201" s="109"/>
      <c r="E201" s="109"/>
      <c r="F201" s="109"/>
      <c r="G201" s="317"/>
      <c r="H201" s="109"/>
      <c r="I201" s="109"/>
      <c r="J201" s="109"/>
      <c r="K201" s="109"/>
      <c r="L201" s="109"/>
      <c r="M201" s="109"/>
      <c r="N201" s="109"/>
      <c r="O201" s="109"/>
      <c r="P201" s="109"/>
      <c r="Q201" s="109"/>
      <c r="R201" s="109"/>
      <c r="S201" s="109"/>
      <c r="T201" s="109"/>
      <c r="U201" s="109"/>
      <c r="V201" s="109"/>
      <c r="W201" s="109"/>
      <c r="X201" s="109"/>
      <c r="Y201" s="109"/>
      <c r="Z201" s="109"/>
    </row>
    <row r="202" ht="29.25" customHeight="1">
      <c r="A202" s="109"/>
      <c r="B202" s="109"/>
      <c r="C202" s="109"/>
      <c r="D202" s="109"/>
      <c r="E202" s="109"/>
      <c r="F202" s="109"/>
      <c r="G202" s="317"/>
      <c r="H202" s="109"/>
      <c r="I202" s="109"/>
      <c r="J202" s="109"/>
      <c r="K202" s="109"/>
      <c r="L202" s="109"/>
      <c r="M202" s="109"/>
      <c r="N202" s="109"/>
      <c r="O202" s="109"/>
      <c r="P202" s="109"/>
      <c r="Q202" s="109"/>
      <c r="R202" s="109"/>
      <c r="S202" s="109"/>
      <c r="T202" s="109"/>
      <c r="U202" s="109"/>
      <c r="V202" s="109"/>
      <c r="W202" s="109"/>
      <c r="X202" s="109"/>
      <c r="Y202" s="109"/>
      <c r="Z202" s="109"/>
    </row>
    <row r="203" ht="29.25" customHeight="1">
      <c r="A203" s="109"/>
      <c r="B203" s="109"/>
      <c r="C203" s="109"/>
      <c r="D203" s="109"/>
      <c r="E203" s="109"/>
      <c r="F203" s="109"/>
      <c r="G203" s="317"/>
      <c r="H203" s="109"/>
      <c r="I203" s="109"/>
      <c r="J203" s="109"/>
      <c r="K203" s="109"/>
      <c r="L203" s="109"/>
      <c r="M203" s="109"/>
      <c r="N203" s="109"/>
      <c r="O203" s="109"/>
      <c r="P203" s="109"/>
      <c r="Q203" s="109"/>
      <c r="R203" s="109"/>
      <c r="S203" s="109"/>
      <c r="T203" s="109"/>
      <c r="U203" s="109"/>
      <c r="V203" s="109"/>
      <c r="W203" s="109"/>
      <c r="X203" s="109"/>
      <c r="Y203" s="109"/>
      <c r="Z203" s="109"/>
    </row>
    <row r="204" ht="29.25" customHeight="1">
      <c r="A204" s="109"/>
      <c r="B204" s="109"/>
      <c r="C204" s="109"/>
      <c r="D204" s="109"/>
      <c r="E204" s="109"/>
      <c r="F204" s="109"/>
      <c r="G204" s="317"/>
      <c r="H204" s="109"/>
      <c r="I204" s="109"/>
      <c r="J204" s="109"/>
      <c r="K204" s="109"/>
      <c r="L204" s="109"/>
      <c r="M204" s="109"/>
      <c r="N204" s="109"/>
      <c r="O204" s="109"/>
      <c r="P204" s="109"/>
      <c r="Q204" s="109"/>
      <c r="R204" s="109"/>
      <c r="S204" s="109"/>
      <c r="T204" s="109"/>
      <c r="U204" s="109"/>
      <c r="V204" s="109"/>
      <c r="W204" s="109"/>
      <c r="X204" s="109"/>
      <c r="Y204" s="109"/>
      <c r="Z204" s="109"/>
    </row>
    <row r="205" ht="29.25" customHeight="1">
      <c r="A205" s="109"/>
      <c r="B205" s="109"/>
      <c r="C205" s="109"/>
      <c r="D205" s="109"/>
      <c r="E205" s="109"/>
      <c r="F205" s="109"/>
      <c r="G205" s="317"/>
      <c r="H205" s="109"/>
      <c r="I205" s="109"/>
      <c r="J205" s="109"/>
      <c r="K205" s="109"/>
      <c r="L205" s="109"/>
      <c r="M205" s="109"/>
      <c r="N205" s="109"/>
      <c r="O205" s="109"/>
      <c r="P205" s="109"/>
      <c r="Q205" s="109"/>
      <c r="R205" s="109"/>
      <c r="S205" s="109"/>
      <c r="T205" s="109"/>
      <c r="U205" s="109"/>
      <c r="V205" s="109"/>
      <c r="W205" s="109"/>
      <c r="X205" s="109"/>
      <c r="Y205" s="109"/>
      <c r="Z205" s="109"/>
    </row>
    <row r="206" ht="29.25" customHeight="1">
      <c r="A206" s="109"/>
      <c r="B206" s="109"/>
      <c r="C206" s="109"/>
      <c r="D206" s="109"/>
      <c r="E206" s="109"/>
      <c r="F206" s="109"/>
      <c r="G206" s="317"/>
      <c r="H206" s="109"/>
      <c r="I206" s="109"/>
      <c r="J206" s="109"/>
      <c r="K206" s="109"/>
      <c r="L206" s="109"/>
      <c r="M206" s="109"/>
      <c r="N206" s="109"/>
      <c r="O206" s="109"/>
      <c r="P206" s="109"/>
      <c r="Q206" s="109"/>
      <c r="R206" s="109"/>
      <c r="S206" s="109"/>
      <c r="T206" s="109"/>
      <c r="U206" s="109"/>
      <c r="V206" s="109"/>
      <c r="W206" s="109"/>
      <c r="X206" s="109"/>
      <c r="Y206" s="109"/>
      <c r="Z206" s="109"/>
    </row>
    <row r="207" ht="29.25" customHeight="1">
      <c r="A207" s="109"/>
      <c r="B207" s="109"/>
      <c r="C207" s="109"/>
      <c r="D207" s="109"/>
      <c r="E207" s="109"/>
      <c r="F207" s="109"/>
      <c r="G207" s="317"/>
      <c r="H207" s="109"/>
      <c r="I207" s="109"/>
      <c r="J207" s="109"/>
      <c r="K207" s="109"/>
      <c r="L207" s="109"/>
      <c r="M207" s="109"/>
      <c r="N207" s="109"/>
      <c r="O207" s="109"/>
      <c r="P207" s="109"/>
      <c r="Q207" s="109"/>
      <c r="R207" s="109"/>
      <c r="S207" s="109"/>
      <c r="T207" s="109"/>
      <c r="U207" s="109"/>
      <c r="V207" s="109"/>
      <c r="W207" s="109"/>
      <c r="X207" s="109"/>
      <c r="Y207" s="109"/>
      <c r="Z207" s="109"/>
    </row>
    <row r="208" ht="29.25" customHeight="1">
      <c r="A208" s="109"/>
      <c r="B208" s="109"/>
      <c r="C208" s="109"/>
      <c r="D208" s="109"/>
      <c r="E208" s="109"/>
      <c r="F208" s="109"/>
      <c r="G208" s="317"/>
      <c r="H208" s="109"/>
      <c r="I208" s="109"/>
      <c r="J208" s="109"/>
      <c r="K208" s="109"/>
      <c r="L208" s="109"/>
      <c r="M208" s="109"/>
      <c r="N208" s="109"/>
      <c r="O208" s="109"/>
      <c r="P208" s="109"/>
      <c r="Q208" s="109"/>
      <c r="R208" s="109"/>
      <c r="S208" s="109"/>
      <c r="T208" s="109"/>
      <c r="U208" s="109"/>
      <c r="V208" s="109"/>
      <c r="W208" s="109"/>
      <c r="X208" s="109"/>
      <c r="Y208" s="109"/>
      <c r="Z208" s="109"/>
    </row>
    <row r="209" ht="29.25" customHeight="1">
      <c r="A209" s="109"/>
      <c r="B209" s="109"/>
      <c r="C209" s="109"/>
      <c r="D209" s="109"/>
      <c r="E209" s="109"/>
      <c r="F209" s="109"/>
      <c r="G209" s="317"/>
      <c r="H209" s="109"/>
      <c r="I209" s="109"/>
      <c r="J209" s="109"/>
      <c r="K209" s="109"/>
      <c r="L209" s="109"/>
      <c r="M209" s="109"/>
      <c r="N209" s="109"/>
      <c r="O209" s="109"/>
      <c r="P209" s="109"/>
      <c r="Q209" s="109"/>
      <c r="R209" s="109"/>
      <c r="S209" s="109"/>
      <c r="T209" s="109"/>
      <c r="U209" s="109"/>
      <c r="V209" s="109"/>
      <c r="W209" s="109"/>
      <c r="X209" s="109"/>
      <c r="Y209" s="109"/>
      <c r="Z209" s="109"/>
    </row>
    <row r="210" ht="29.25" customHeight="1">
      <c r="A210" s="109"/>
      <c r="B210" s="109"/>
      <c r="C210" s="109"/>
      <c r="D210" s="109"/>
      <c r="E210" s="109"/>
      <c r="F210" s="109"/>
      <c r="G210" s="317"/>
      <c r="H210" s="109"/>
      <c r="I210" s="109"/>
      <c r="J210" s="109"/>
      <c r="K210" s="109"/>
      <c r="L210" s="109"/>
      <c r="M210" s="109"/>
      <c r="N210" s="109"/>
      <c r="O210" s="109"/>
      <c r="P210" s="109"/>
      <c r="Q210" s="109"/>
      <c r="R210" s="109"/>
      <c r="S210" s="109"/>
      <c r="T210" s="109"/>
      <c r="U210" s="109"/>
      <c r="V210" s="109"/>
      <c r="W210" s="109"/>
      <c r="X210" s="109"/>
      <c r="Y210" s="109"/>
      <c r="Z210" s="109"/>
    </row>
    <row r="211" ht="29.25" customHeight="1">
      <c r="A211" s="109"/>
      <c r="B211" s="109"/>
      <c r="C211" s="109"/>
      <c r="D211" s="109"/>
      <c r="E211" s="109"/>
      <c r="F211" s="109"/>
      <c r="G211" s="317"/>
      <c r="H211" s="109"/>
      <c r="I211" s="109"/>
      <c r="J211" s="109"/>
      <c r="K211" s="109"/>
      <c r="L211" s="109"/>
      <c r="M211" s="109"/>
      <c r="N211" s="109"/>
      <c r="O211" s="109"/>
      <c r="P211" s="109"/>
      <c r="Q211" s="109"/>
      <c r="R211" s="109"/>
      <c r="S211" s="109"/>
      <c r="T211" s="109"/>
      <c r="U211" s="109"/>
      <c r="V211" s="109"/>
      <c r="W211" s="109"/>
      <c r="X211" s="109"/>
      <c r="Y211" s="109"/>
      <c r="Z211" s="109"/>
    </row>
    <row r="212" ht="29.25" customHeight="1">
      <c r="A212" s="109"/>
      <c r="B212" s="109"/>
      <c r="C212" s="109"/>
      <c r="D212" s="109"/>
      <c r="E212" s="109"/>
      <c r="F212" s="109"/>
      <c r="G212" s="317"/>
      <c r="H212" s="109"/>
      <c r="I212" s="109"/>
      <c r="J212" s="109"/>
      <c r="K212" s="109"/>
      <c r="L212" s="109"/>
      <c r="M212" s="109"/>
      <c r="N212" s="109"/>
      <c r="O212" s="109"/>
      <c r="P212" s="109"/>
      <c r="Q212" s="109"/>
      <c r="R212" s="109"/>
      <c r="S212" s="109"/>
      <c r="T212" s="109"/>
      <c r="U212" s="109"/>
      <c r="V212" s="109"/>
      <c r="W212" s="109"/>
      <c r="X212" s="109"/>
      <c r="Y212" s="109"/>
      <c r="Z212" s="109"/>
    </row>
    <row r="213" ht="29.25" customHeight="1">
      <c r="A213" s="109"/>
      <c r="B213" s="109"/>
      <c r="C213" s="109"/>
      <c r="D213" s="109"/>
      <c r="E213" s="109"/>
      <c r="F213" s="109"/>
      <c r="G213" s="317"/>
      <c r="H213" s="109"/>
      <c r="I213" s="109"/>
      <c r="J213" s="109"/>
      <c r="K213" s="109"/>
      <c r="L213" s="109"/>
      <c r="M213" s="109"/>
      <c r="N213" s="109"/>
      <c r="O213" s="109"/>
      <c r="P213" s="109"/>
      <c r="Q213" s="109"/>
      <c r="R213" s="109"/>
      <c r="S213" s="109"/>
      <c r="T213" s="109"/>
      <c r="U213" s="109"/>
      <c r="V213" s="109"/>
      <c r="W213" s="109"/>
      <c r="X213" s="109"/>
      <c r="Y213" s="109"/>
      <c r="Z213" s="109"/>
    </row>
    <row r="214" ht="29.25" customHeight="1">
      <c r="A214" s="109"/>
      <c r="B214" s="109"/>
      <c r="C214" s="109"/>
      <c r="D214" s="109"/>
      <c r="E214" s="109"/>
      <c r="F214" s="109"/>
      <c r="G214" s="317"/>
      <c r="H214" s="109"/>
      <c r="I214" s="109"/>
      <c r="J214" s="109"/>
      <c r="K214" s="109"/>
      <c r="L214" s="109"/>
      <c r="M214" s="109"/>
      <c r="N214" s="109"/>
      <c r="O214" s="109"/>
      <c r="P214" s="109"/>
      <c r="Q214" s="109"/>
      <c r="R214" s="109"/>
      <c r="S214" s="109"/>
      <c r="T214" s="109"/>
      <c r="U214" s="109"/>
      <c r="V214" s="109"/>
      <c r="W214" s="109"/>
      <c r="X214" s="109"/>
      <c r="Y214" s="109"/>
      <c r="Z214" s="109"/>
    </row>
    <row r="215" ht="29.25" customHeight="1">
      <c r="A215" s="109"/>
      <c r="B215" s="109"/>
      <c r="C215" s="109"/>
      <c r="D215" s="109"/>
      <c r="E215" s="109"/>
      <c r="F215" s="109"/>
      <c r="G215" s="317"/>
      <c r="H215" s="109"/>
      <c r="I215" s="109"/>
      <c r="J215" s="109"/>
      <c r="K215" s="109"/>
      <c r="L215" s="109"/>
      <c r="M215" s="109"/>
      <c r="N215" s="109"/>
      <c r="O215" s="109"/>
      <c r="P215" s="109"/>
      <c r="Q215" s="109"/>
      <c r="R215" s="109"/>
      <c r="S215" s="109"/>
      <c r="T215" s="109"/>
      <c r="U215" s="109"/>
      <c r="V215" s="109"/>
      <c r="W215" s="109"/>
      <c r="X215" s="109"/>
      <c r="Y215" s="109"/>
      <c r="Z215" s="109"/>
    </row>
    <row r="216" ht="29.25" customHeight="1">
      <c r="A216" s="109"/>
      <c r="B216" s="109"/>
      <c r="C216" s="109"/>
      <c r="D216" s="109"/>
      <c r="E216" s="109"/>
      <c r="F216" s="109"/>
      <c r="G216" s="317"/>
      <c r="H216" s="109"/>
      <c r="I216" s="109"/>
      <c r="J216" s="109"/>
      <c r="K216" s="109"/>
      <c r="L216" s="109"/>
      <c r="M216" s="109"/>
      <c r="N216" s="109"/>
      <c r="O216" s="109"/>
      <c r="P216" s="109"/>
      <c r="Q216" s="109"/>
      <c r="R216" s="109"/>
      <c r="S216" s="109"/>
      <c r="T216" s="109"/>
      <c r="U216" s="109"/>
      <c r="V216" s="109"/>
      <c r="W216" s="109"/>
      <c r="X216" s="109"/>
      <c r="Y216" s="109"/>
      <c r="Z216" s="109"/>
    </row>
    <row r="217" ht="29.25" customHeight="1">
      <c r="A217" s="109"/>
      <c r="B217" s="109"/>
      <c r="C217" s="109"/>
      <c r="D217" s="109"/>
      <c r="E217" s="109"/>
      <c r="F217" s="109"/>
      <c r="G217" s="317"/>
      <c r="H217" s="109"/>
      <c r="I217" s="109"/>
      <c r="J217" s="109"/>
      <c r="K217" s="109"/>
      <c r="L217" s="109"/>
      <c r="M217" s="109"/>
      <c r="N217" s="109"/>
      <c r="O217" s="109"/>
      <c r="P217" s="109"/>
      <c r="Q217" s="109"/>
      <c r="R217" s="109"/>
      <c r="S217" s="109"/>
      <c r="T217" s="109"/>
      <c r="U217" s="109"/>
      <c r="V217" s="109"/>
      <c r="W217" s="109"/>
      <c r="X217" s="109"/>
      <c r="Y217" s="109"/>
      <c r="Z217" s="109"/>
    </row>
    <row r="218" ht="29.25" customHeight="1">
      <c r="A218" s="109"/>
      <c r="B218" s="109"/>
      <c r="C218" s="109"/>
      <c r="D218" s="109"/>
      <c r="E218" s="109"/>
      <c r="F218" s="109"/>
      <c r="G218" s="317"/>
      <c r="H218" s="109"/>
      <c r="I218" s="109"/>
      <c r="J218" s="109"/>
      <c r="K218" s="109"/>
      <c r="L218" s="109"/>
      <c r="M218" s="109"/>
      <c r="N218" s="109"/>
      <c r="O218" s="109"/>
      <c r="P218" s="109"/>
      <c r="Q218" s="109"/>
      <c r="R218" s="109"/>
      <c r="S218" s="109"/>
      <c r="T218" s="109"/>
      <c r="U218" s="109"/>
      <c r="V218" s="109"/>
      <c r="W218" s="109"/>
      <c r="X218" s="109"/>
      <c r="Y218" s="109"/>
      <c r="Z218" s="109"/>
    </row>
    <row r="219" ht="29.25" customHeight="1">
      <c r="A219" s="109"/>
      <c r="B219" s="109"/>
      <c r="C219" s="109"/>
      <c r="D219" s="109"/>
      <c r="E219" s="109"/>
      <c r="F219" s="109"/>
      <c r="G219" s="317"/>
      <c r="H219" s="109"/>
      <c r="I219" s="109"/>
      <c r="J219" s="109"/>
      <c r="K219" s="109"/>
      <c r="L219" s="109"/>
      <c r="M219" s="109"/>
      <c r="N219" s="109"/>
      <c r="O219" s="109"/>
      <c r="P219" s="109"/>
      <c r="Q219" s="109"/>
      <c r="R219" s="109"/>
      <c r="S219" s="109"/>
      <c r="T219" s="109"/>
      <c r="U219" s="109"/>
      <c r="V219" s="109"/>
      <c r="W219" s="109"/>
      <c r="X219" s="109"/>
      <c r="Y219" s="109"/>
      <c r="Z219" s="109"/>
    </row>
    <row r="220" ht="29.25" customHeight="1">
      <c r="A220" s="109"/>
      <c r="B220" s="109"/>
      <c r="C220" s="109"/>
      <c r="D220" s="109"/>
      <c r="E220" s="109"/>
      <c r="F220" s="109"/>
      <c r="G220" s="317"/>
      <c r="H220" s="109"/>
      <c r="I220" s="109"/>
      <c r="J220" s="109"/>
      <c r="K220" s="109"/>
      <c r="L220" s="109"/>
      <c r="M220" s="109"/>
      <c r="N220" s="109"/>
      <c r="O220" s="109"/>
      <c r="P220" s="109"/>
      <c r="Q220" s="109"/>
      <c r="R220" s="109"/>
      <c r="S220" s="109"/>
      <c r="T220" s="109"/>
      <c r="U220" s="109"/>
      <c r="V220" s="109"/>
      <c r="W220" s="109"/>
      <c r="X220" s="109"/>
      <c r="Y220" s="109"/>
      <c r="Z220" s="109"/>
    </row>
    <row r="221" ht="29.25" customHeight="1">
      <c r="A221" s="109"/>
      <c r="B221" s="109"/>
      <c r="C221" s="109"/>
      <c r="D221" s="109"/>
      <c r="E221" s="109"/>
      <c r="F221" s="109"/>
      <c r="G221" s="317"/>
      <c r="H221" s="109"/>
      <c r="I221" s="109"/>
      <c r="J221" s="109"/>
      <c r="K221" s="109"/>
      <c r="L221" s="109"/>
      <c r="M221" s="109"/>
      <c r="N221" s="109"/>
      <c r="O221" s="109"/>
      <c r="P221" s="109"/>
      <c r="Q221" s="109"/>
      <c r="R221" s="109"/>
      <c r="S221" s="109"/>
      <c r="T221" s="109"/>
      <c r="U221" s="109"/>
      <c r="V221" s="109"/>
      <c r="W221" s="109"/>
      <c r="X221" s="109"/>
      <c r="Y221" s="109"/>
      <c r="Z221" s="109"/>
    </row>
    <row r="222" ht="29.25" customHeight="1">
      <c r="A222" s="109"/>
      <c r="B222" s="109"/>
      <c r="C222" s="109"/>
      <c r="D222" s="109"/>
      <c r="E222" s="109"/>
      <c r="F222" s="109"/>
      <c r="G222" s="317"/>
      <c r="H222" s="109"/>
      <c r="I222" s="109"/>
      <c r="J222" s="109"/>
      <c r="K222" s="109"/>
      <c r="L222" s="109"/>
      <c r="M222" s="109"/>
      <c r="N222" s="109"/>
      <c r="O222" s="109"/>
      <c r="P222" s="109"/>
      <c r="Q222" s="109"/>
      <c r="R222" s="109"/>
      <c r="S222" s="109"/>
      <c r="T222" s="109"/>
      <c r="U222" s="109"/>
      <c r="V222" s="109"/>
      <c r="W222" s="109"/>
      <c r="X222" s="109"/>
      <c r="Y222" s="109"/>
      <c r="Z222" s="109"/>
    </row>
    <row r="223" ht="29.25" customHeight="1">
      <c r="A223" s="109"/>
      <c r="B223" s="109"/>
      <c r="C223" s="109"/>
      <c r="D223" s="109"/>
      <c r="E223" s="109"/>
      <c r="F223" s="109"/>
      <c r="G223" s="317"/>
      <c r="H223" s="109"/>
      <c r="I223" s="109"/>
      <c r="J223" s="109"/>
      <c r="K223" s="109"/>
      <c r="L223" s="109"/>
      <c r="M223" s="109"/>
      <c r="N223" s="109"/>
      <c r="O223" s="109"/>
      <c r="P223" s="109"/>
      <c r="Q223" s="109"/>
      <c r="R223" s="109"/>
      <c r="S223" s="109"/>
      <c r="T223" s="109"/>
      <c r="U223" s="109"/>
      <c r="V223" s="109"/>
      <c r="W223" s="109"/>
      <c r="X223" s="109"/>
      <c r="Y223" s="109"/>
      <c r="Z223" s="109"/>
    </row>
    <row r="224" ht="29.25" customHeight="1">
      <c r="A224" s="109"/>
      <c r="B224" s="109"/>
      <c r="C224" s="109"/>
      <c r="D224" s="109"/>
      <c r="E224" s="109"/>
      <c r="F224" s="109"/>
      <c r="G224" s="317"/>
      <c r="H224" s="109"/>
      <c r="I224" s="109"/>
      <c r="J224" s="109"/>
      <c r="K224" s="109"/>
      <c r="L224" s="109"/>
      <c r="M224" s="109"/>
      <c r="N224" s="109"/>
      <c r="O224" s="109"/>
      <c r="P224" s="109"/>
      <c r="Q224" s="109"/>
      <c r="R224" s="109"/>
      <c r="S224" s="109"/>
      <c r="T224" s="109"/>
      <c r="U224" s="109"/>
      <c r="V224" s="109"/>
      <c r="W224" s="109"/>
      <c r="X224" s="109"/>
      <c r="Y224" s="109"/>
      <c r="Z224" s="109"/>
    </row>
    <row r="225" ht="29.25" customHeight="1">
      <c r="A225" s="109"/>
      <c r="B225" s="109"/>
      <c r="C225" s="109"/>
      <c r="D225" s="109"/>
      <c r="E225" s="109"/>
      <c r="F225" s="109"/>
      <c r="G225" s="317"/>
      <c r="H225" s="109"/>
      <c r="I225" s="109"/>
      <c r="J225" s="109"/>
      <c r="K225" s="109"/>
      <c r="L225" s="109"/>
      <c r="M225" s="109"/>
      <c r="N225" s="109"/>
      <c r="O225" s="109"/>
      <c r="P225" s="109"/>
      <c r="Q225" s="109"/>
      <c r="R225" s="109"/>
      <c r="S225" s="109"/>
      <c r="T225" s="109"/>
      <c r="U225" s="109"/>
      <c r="V225" s="109"/>
      <c r="W225" s="109"/>
      <c r="X225" s="109"/>
      <c r="Y225" s="109"/>
      <c r="Z225" s="109"/>
    </row>
    <row r="226" ht="29.25" customHeight="1">
      <c r="A226" s="109"/>
      <c r="B226" s="109"/>
      <c r="C226" s="109"/>
      <c r="D226" s="109"/>
      <c r="E226" s="109"/>
      <c r="F226" s="109"/>
      <c r="G226" s="317"/>
      <c r="H226" s="109"/>
      <c r="I226" s="109"/>
      <c r="J226" s="109"/>
      <c r="K226" s="109"/>
      <c r="L226" s="109"/>
      <c r="M226" s="109"/>
      <c r="N226" s="109"/>
      <c r="O226" s="109"/>
      <c r="P226" s="109"/>
      <c r="Q226" s="109"/>
      <c r="R226" s="109"/>
      <c r="S226" s="109"/>
      <c r="T226" s="109"/>
      <c r="U226" s="109"/>
      <c r="V226" s="109"/>
      <c r="W226" s="109"/>
      <c r="X226" s="109"/>
      <c r="Y226" s="109"/>
      <c r="Z226" s="109"/>
    </row>
    <row r="227" ht="29.25" customHeight="1">
      <c r="A227" s="109"/>
      <c r="B227" s="109"/>
      <c r="C227" s="109"/>
      <c r="D227" s="109"/>
      <c r="E227" s="109"/>
      <c r="F227" s="109"/>
      <c r="G227" s="317"/>
      <c r="H227" s="109"/>
      <c r="I227" s="109"/>
      <c r="J227" s="109"/>
      <c r="K227" s="109"/>
      <c r="L227" s="109"/>
      <c r="M227" s="109"/>
      <c r="N227" s="109"/>
      <c r="O227" s="109"/>
      <c r="P227" s="109"/>
      <c r="Q227" s="109"/>
      <c r="R227" s="109"/>
      <c r="S227" s="109"/>
      <c r="T227" s="109"/>
      <c r="U227" s="109"/>
      <c r="V227" s="109"/>
      <c r="W227" s="109"/>
      <c r="X227" s="109"/>
      <c r="Y227" s="109"/>
      <c r="Z227" s="109"/>
    </row>
    <row r="228" ht="29.25" customHeight="1">
      <c r="A228" s="109"/>
      <c r="B228" s="109"/>
      <c r="C228" s="109"/>
      <c r="D228" s="109"/>
      <c r="E228" s="109"/>
      <c r="F228" s="109"/>
      <c r="G228" s="317"/>
      <c r="H228" s="109"/>
      <c r="I228" s="109"/>
      <c r="J228" s="109"/>
      <c r="K228" s="109"/>
      <c r="L228" s="109"/>
      <c r="M228" s="109"/>
      <c r="N228" s="109"/>
      <c r="O228" s="109"/>
      <c r="P228" s="109"/>
      <c r="Q228" s="109"/>
      <c r="R228" s="109"/>
      <c r="S228" s="109"/>
      <c r="T228" s="109"/>
      <c r="U228" s="109"/>
      <c r="V228" s="109"/>
      <c r="W228" s="109"/>
      <c r="X228" s="109"/>
      <c r="Y228" s="109"/>
      <c r="Z228" s="109"/>
    </row>
    <row r="229" ht="29.25" customHeight="1">
      <c r="A229" s="109"/>
      <c r="B229" s="109"/>
      <c r="C229" s="109"/>
      <c r="D229" s="109"/>
      <c r="E229" s="109"/>
      <c r="F229" s="109"/>
      <c r="G229" s="317"/>
      <c r="H229" s="109"/>
      <c r="I229" s="109"/>
      <c r="J229" s="109"/>
      <c r="K229" s="109"/>
      <c r="L229" s="109"/>
      <c r="M229" s="109"/>
      <c r="N229" s="109"/>
      <c r="O229" s="109"/>
      <c r="P229" s="109"/>
      <c r="Q229" s="109"/>
      <c r="R229" s="109"/>
      <c r="S229" s="109"/>
      <c r="T229" s="109"/>
      <c r="U229" s="109"/>
      <c r="V229" s="109"/>
      <c r="W229" s="109"/>
      <c r="X229" s="109"/>
      <c r="Y229" s="109"/>
      <c r="Z229" s="109"/>
    </row>
    <row r="230" ht="29.25" customHeight="1">
      <c r="A230" s="109"/>
      <c r="B230" s="109"/>
      <c r="C230" s="109"/>
      <c r="D230" s="109"/>
      <c r="E230" s="109"/>
      <c r="F230" s="109"/>
      <c r="G230" s="317"/>
      <c r="H230" s="109"/>
      <c r="I230" s="109"/>
      <c r="J230" s="109"/>
      <c r="K230" s="109"/>
      <c r="L230" s="109"/>
      <c r="M230" s="109"/>
      <c r="N230" s="109"/>
      <c r="O230" s="109"/>
      <c r="P230" s="109"/>
      <c r="Q230" s="109"/>
      <c r="R230" s="109"/>
      <c r="S230" s="109"/>
      <c r="T230" s="109"/>
      <c r="U230" s="109"/>
      <c r="V230" s="109"/>
      <c r="W230" s="109"/>
      <c r="X230" s="109"/>
      <c r="Y230" s="109"/>
      <c r="Z230" s="109"/>
    </row>
    <row r="231" ht="29.25" customHeight="1">
      <c r="A231" s="109"/>
      <c r="B231" s="109"/>
      <c r="C231" s="109"/>
      <c r="D231" s="109"/>
      <c r="E231" s="109"/>
      <c r="F231" s="109"/>
      <c r="G231" s="317"/>
      <c r="H231" s="109"/>
      <c r="I231" s="109"/>
      <c r="J231" s="109"/>
      <c r="K231" s="109"/>
      <c r="L231" s="109"/>
      <c r="M231" s="109"/>
      <c r="N231" s="109"/>
      <c r="O231" s="109"/>
      <c r="P231" s="109"/>
      <c r="Q231" s="109"/>
      <c r="R231" s="109"/>
      <c r="S231" s="109"/>
      <c r="T231" s="109"/>
      <c r="U231" s="109"/>
      <c r="V231" s="109"/>
      <c r="W231" s="109"/>
      <c r="X231" s="109"/>
      <c r="Y231" s="109"/>
      <c r="Z231" s="109"/>
    </row>
    <row r="232" ht="29.25" customHeight="1">
      <c r="A232" s="109"/>
      <c r="B232" s="109"/>
      <c r="C232" s="109"/>
      <c r="D232" s="109"/>
      <c r="E232" s="109"/>
      <c r="F232" s="109"/>
      <c r="G232" s="317"/>
      <c r="H232" s="109"/>
      <c r="I232" s="109"/>
      <c r="J232" s="109"/>
      <c r="K232" s="109"/>
      <c r="L232" s="109"/>
      <c r="M232" s="109"/>
      <c r="N232" s="109"/>
      <c r="O232" s="109"/>
      <c r="P232" s="109"/>
      <c r="Q232" s="109"/>
      <c r="R232" s="109"/>
      <c r="S232" s="109"/>
      <c r="T232" s="109"/>
      <c r="U232" s="109"/>
      <c r="V232" s="109"/>
      <c r="W232" s="109"/>
      <c r="X232" s="109"/>
      <c r="Y232" s="109"/>
      <c r="Z232" s="109"/>
    </row>
    <row r="233" ht="29.25" customHeight="1">
      <c r="A233" s="109"/>
      <c r="B233" s="109"/>
      <c r="C233" s="109"/>
      <c r="D233" s="109"/>
      <c r="E233" s="109"/>
      <c r="F233" s="109"/>
      <c r="G233" s="317"/>
      <c r="H233" s="109"/>
      <c r="I233" s="109"/>
      <c r="J233" s="109"/>
      <c r="K233" s="109"/>
      <c r="L233" s="109"/>
      <c r="M233" s="109"/>
      <c r="N233" s="109"/>
      <c r="O233" s="109"/>
      <c r="P233" s="109"/>
      <c r="Q233" s="109"/>
      <c r="R233" s="109"/>
      <c r="S233" s="109"/>
      <c r="T233" s="109"/>
      <c r="U233" s="109"/>
      <c r="V233" s="109"/>
      <c r="W233" s="109"/>
      <c r="X233" s="109"/>
      <c r="Y233" s="109"/>
      <c r="Z233" s="109"/>
    </row>
    <row r="234" ht="29.25" customHeight="1">
      <c r="A234" s="109"/>
      <c r="B234" s="109"/>
      <c r="C234" s="109"/>
      <c r="D234" s="109"/>
      <c r="E234" s="109"/>
      <c r="F234" s="109"/>
      <c r="G234" s="317"/>
      <c r="H234" s="109"/>
      <c r="I234" s="109"/>
      <c r="J234" s="109"/>
      <c r="K234" s="109"/>
      <c r="L234" s="109"/>
      <c r="M234" s="109"/>
      <c r="N234" s="109"/>
      <c r="O234" s="109"/>
      <c r="P234" s="109"/>
      <c r="Q234" s="109"/>
      <c r="R234" s="109"/>
      <c r="S234" s="109"/>
      <c r="T234" s="109"/>
      <c r="U234" s="109"/>
      <c r="V234" s="109"/>
      <c r="W234" s="109"/>
      <c r="X234" s="109"/>
      <c r="Y234" s="109"/>
      <c r="Z234" s="109"/>
    </row>
    <row r="235" ht="29.25" customHeight="1">
      <c r="A235" s="109"/>
      <c r="B235" s="109"/>
      <c r="C235" s="109"/>
      <c r="D235" s="109"/>
      <c r="E235" s="109"/>
      <c r="F235" s="109"/>
      <c r="G235" s="317"/>
      <c r="H235" s="109"/>
      <c r="I235" s="109"/>
      <c r="J235" s="109"/>
      <c r="K235" s="109"/>
      <c r="L235" s="109"/>
      <c r="M235" s="109"/>
      <c r="N235" s="109"/>
      <c r="O235" s="109"/>
      <c r="P235" s="109"/>
      <c r="Q235" s="109"/>
      <c r="R235" s="109"/>
      <c r="S235" s="109"/>
      <c r="T235" s="109"/>
      <c r="U235" s="109"/>
      <c r="V235" s="109"/>
      <c r="W235" s="109"/>
      <c r="X235" s="109"/>
      <c r="Y235" s="109"/>
      <c r="Z235" s="109"/>
    </row>
    <row r="236" ht="29.25" customHeight="1">
      <c r="A236" s="109"/>
      <c r="B236" s="109"/>
      <c r="C236" s="109"/>
      <c r="D236" s="109"/>
      <c r="E236" s="109"/>
      <c r="F236" s="109"/>
      <c r="G236" s="317"/>
      <c r="H236" s="109"/>
      <c r="I236" s="109"/>
      <c r="J236" s="109"/>
      <c r="K236" s="109"/>
      <c r="L236" s="109"/>
      <c r="M236" s="109"/>
      <c r="N236" s="109"/>
      <c r="O236" s="109"/>
      <c r="P236" s="109"/>
      <c r="Q236" s="109"/>
      <c r="R236" s="109"/>
      <c r="S236" s="109"/>
      <c r="T236" s="109"/>
      <c r="U236" s="109"/>
      <c r="V236" s="109"/>
      <c r="W236" s="109"/>
      <c r="X236" s="109"/>
      <c r="Y236" s="109"/>
      <c r="Z236" s="109"/>
    </row>
    <row r="237" ht="29.25" customHeight="1">
      <c r="A237" s="109"/>
      <c r="B237" s="109"/>
      <c r="C237" s="109"/>
      <c r="D237" s="109"/>
      <c r="E237" s="109"/>
      <c r="F237" s="109"/>
      <c r="G237" s="317"/>
      <c r="H237" s="109"/>
      <c r="I237" s="109"/>
      <c r="J237" s="109"/>
      <c r="K237" s="109"/>
      <c r="L237" s="109"/>
      <c r="M237" s="109"/>
      <c r="N237" s="109"/>
      <c r="O237" s="109"/>
      <c r="P237" s="109"/>
      <c r="Q237" s="109"/>
      <c r="R237" s="109"/>
      <c r="S237" s="109"/>
      <c r="T237" s="109"/>
      <c r="U237" s="109"/>
      <c r="V237" s="109"/>
      <c r="W237" s="109"/>
      <c r="X237" s="109"/>
      <c r="Y237" s="109"/>
      <c r="Z237" s="109"/>
    </row>
    <row r="238" ht="29.25" customHeight="1">
      <c r="A238" s="109"/>
      <c r="B238" s="109"/>
      <c r="C238" s="109"/>
      <c r="D238" s="109"/>
      <c r="E238" s="109"/>
      <c r="F238" s="109"/>
      <c r="G238" s="317"/>
      <c r="H238" s="109"/>
      <c r="I238" s="109"/>
      <c r="J238" s="109"/>
      <c r="K238" s="109"/>
      <c r="L238" s="109"/>
      <c r="M238" s="109"/>
      <c r="N238" s="109"/>
      <c r="O238" s="109"/>
      <c r="P238" s="109"/>
      <c r="Q238" s="109"/>
      <c r="R238" s="109"/>
      <c r="S238" s="109"/>
      <c r="T238" s="109"/>
      <c r="U238" s="109"/>
      <c r="V238" s="109"/>
      <c r="W238" s="109"/>
      <c r="X238" s="109"/>
      <c r="Y238" s="109"/>
      <c r="Z238" s="109"/>
    </row>
    <row r="239" ht="29.25" customHeight="1">
      <c r="A239" s="109"/>
      <c r="B239" s="109"/>
      <c r="C239" s="109"/>
      <c r="D239" s="109"/>
      <c r="E239" s="109"/>
      <c r="F239" s="109"/>
      <c r="G239" s="317"/>
      <c r="H239" s="109"/>
      <c r="I239" s="109"/>
      <c r="J239" s="109"/>
      <c r="K239" s="109"/>
      <c r="L239" s="109"/>
      <c r="M239" s="109"/>
      <c r="N239" s="109"/>
      <c r="O239" s="109"/>
      <c r="P239" s="109"/>
      <c r="Q239" s="109"/>
      <c r="R239" s="109"/>
      <c r="S239" s="109"/>
      <c r="T239" s="109"/>
      <c r="U239" s="109"/>
      <c r="V239" s="109"/>
      <c r="W239" s="109"/>
      <c r="X239" s="109"/>
      <c r="Y239" s="109"/>
      <c r="Z239" s="109"/>
    </row>
    <row r="240" ht="29.25" customHeight="1">
      <c r="A240" s="109"/>
      <c r="B240" s="109"/>
      <c r="C240" s="109"/>
      <c r="D240" s="109"/>
      <c r="E240" s="109"/>
      <c r="F240" s="109"/>
      <c r="G240" s="317"/>
      <c r="H240" s="109"/>
      <c r="I240" s="109"/>
      <c r="J240" s="109"/>
      <c r="K240" s="109"/>
      <c r="L240" s="109"/>
      <c r="M240" s="109"/>
      <c r="N240" s="109"/>
      <c r="O240" s="109"/>
      <c r="P240" s="109"/>
      <c r="Q240" s="109"/>
      <c r="R240" s="109"/>
      <c r="S240" s="109"/>
      <c r="T240" s="109"/>
      <c r="U240" s="109"/>
      <c r="V240" s="109"/>
      <c r="W240" s="109"/>
      <c r="X240" s="109"/>
      <c r="Y240" s="109"/>
      <c r="Z240" s="109"/>
    </row>
    <row r="241" ht="29.25" customHeight="1">
      <c r="A241" s="109"/>
      <c r="B241" s="109"/>
      <c r="C241" s="109"/>
      <c r="D241" s="109"/>
      <c r="E241" s="109"/>
      <c r="F241" s="109"/>
      <c r="G241" s="317"/>
      <c r="H241" s="109"/>
      <c r="I241" s="109"/>
      <c r="J241" s="109"/>
      <c r="K241" s="109"/>
      <c r="L241" s="109"/>
      <c r="M241" s="109"/>
      <c r="N241" s="109"/>
      <c r="O241" s="109"/>
      <c r="P241" s="109"/>
      <c r="Q241" s="109"/>
      <c r="R241" s="109"/>
      <c r="S241" s="109"/>
      <c r="T241" s="109"/>
      <c r="U241" s="109"/>
      <c r="V241" s="109"/>
      <c r="W241" s="109"/>
      <c r="X241" s="109"/>
      <c r="Y241" s="109"/>
      <c r="Z241" s="109"/>
    </row>
    <row r="242" ht="29.25" customHeight="1">
      <c r="A242" s="109"/>
      <c r="B242" s="109"/>
      <c r="C242" s="109"/>
      <c r="D242" s="109"/>
      <c r="E242" s="109"/>
      <c r="F242" s="109"/>
      <c r="G242" s="317"/>
      <c r="H242" s="109"/>
      <c r="I242" s="109"/>
      <c r="J242" s="109"/>
      <c r="K242" s="109"/>
      <c r="L242" s="109"/>
      <c r="M242" s="109"/>
      <c r="N242" s="109"/>
      <c r="O242" s="109"/>
      <c r="P242" s="109"/>
      <c r="Q242" s="109"/>
      <c r="R242" s="109"/>
      <c r="S242" s="109"/>
      <c r="T242" s="109"/>
      <c r="U242" s="109"/>
      <c r="V242" s="109"/>
      <c r="W242" s="109"/>
      <c r="X242" s="109"/>
      <c r="Y242" s="109"/>
      <c r="Z242" s="109"/>
    </row>
    <row r="243" ht="29.25" customHeight="1">
      <c r="A243" s="109"/>
      <c r="B243" s="109"/>
      <c r="C243" s="109"/>
      <c r="D243" s="109"/>
      <c r="E243" s="109"/>
      <c r="F243" s="109"/>
      <c r="G243" s="317"/>
      <c r="H243" s="109"/>
      <c r="I243" s="109"/>
      <c r="J243" s="109"/>
      <c r="K243" s="109"/>
      <c r="L243" s="109"/>
      <c r="M243" s="109"/>
      <c r="N243" s="109"/>
      <c r="O243" s="109"/>
      <c r="P243" s="109"/>
      <c r="Q243" s="109"/>
      <c r="R243" s="109"/>
      <c r="S243" s="109"/>
      <c r="T243" s="109"/>
      <c r="U243" s="109"/>
      <c r="V243" s="109"/>
      <c r="W243" s="109"/>
      <c r="X243" s="109"/>
      <c r="Y243" s="109"/>
      <c r="Z243" s="109"/>
    </row>
    <row r="244" ht="29.25" customHeight="1">
      <c r="A244" s="109"/>
      <c r="B244" s="109"/>
      <c r="C244" s="109"/>
      <c r="D244" s="109"/>
      <c r="E244" s="109"/>
      <c r="F244" s="109"/>
      <c r="G244" s="317"/>
      <c r="H244" s="109"/>
      <c r="I244" s="109"/>
      <c r="J244" s="109"/>
      <c r="K244" s="109"/>
      <c r="L244" s="109"/>
      <c r="M244" s="109"/>
      <c r="N244" s="109"/>
      <c r="O244" s="109"/>
      <c r="P244" s="109"/>
      <c r="Q244" s="109"/>
      <c r="R244" s="109"/>
      <c r="S244" s="109"/>
      <c r="T244" s="109"/>
      <c r="U244" s="109"/>
      <c r="V244" s="109"/>
      <c r="W244" s="109"/>
      <c r="X244" s="109"/>
      <c r="Y244" s="109"/>
      <c r="Z244" s="109"/>
    </row>
    <row r="245" ht="29.25" customHeight="1">
      <c r="A245" s="109"/>
      <c r="B245" s="109"/>
      <c r="C245" s="109"/>
      <c r="D245" s="109"/>
      <c r="E245" s="109"/>
      <c r="F245" s="109"/>
      <c r="G245" s="317"/>
      <c r="H245" s="109"/>
      <c r="I245" s="109"/>
      <c r="J245" s="109"/>
      <c r="K245" s="109"/>
      <c r="L245" s="109"/>
      <c r="M245" s="109"/>
      <c r="N245" s="109"/>
      <c r="O245" s="109"/>
      <c r="P245" s="109"/>
      <c r="Q245" s="109"/>
      <c r="R245" s="109"/>
      <c r="S245" s="109"/>
      <c r="T245" s="109"/>
      <c r="U245" s="109"/>
      <c r="V245" s="109"/>
      <c r="W245" s="109"/>
      <c r="X245" s="109"/>
      <c r="Y245" s="109"/>
      <c r="Z245" s="109"/>
    </row>
    <row r="246" ht="29.25" customHeight="1">
      <c r="A246" s="109"/>
      <c r="B246" s="109"/>
      <c r="C246" s="109"/>
      <c r="D246" s="109"/>
      <c r="E246" s="109"/>
      <c r="F246" s="109"/>
      <c r="G246" s="317"/>
      <c r="H246" s="109"/>
      <c r="I246" s="109"/>
      <c r="J246" s="109"/>
      <c r="K246" s="109"/>
      <c r="L246" s="109"/>
      <c r="M246" s="109"/>
      <c r="N246" s="109"/>
      <c r="O246" s="109"/>
      <c r="P246" s="109"/>
      <c r="Q246" s="109"/>
      <c r="R246" s="109"/>
      <c r="S246" s="109"/>
      <c r="T246" s="109"/>
      <c r="U246" s="109"/>
      <c r="V246" s="109"/>
      <c r="W246" s="109"/>
      <c r="X246" s="109"/>
      <c r="Y246" s="109"/>
      <c r="Z246" s="109"/>
    </row>
    <row r="247" ht="29.25" customHeight="1">
      <c r="A247" s="109"/>
      <c r="B247" s="109"/>
      <c r="C247" s="109"/>
      <c r="D247" s="109"/>
      <c r="E247" s="109"/>
      <c r="F247" s="109"/>
      <c r="G247" s="317"/>
      <c r="H247" s="109"/>
      <c r="I247" s="109"/>
      <c r="J247" s="109"/>
      <c r="K247" s="109"/>
      <c r="L247" s="109"/>
      <c r="M247" s="109"/>
      <c r="N247" s="109"/>
      <c r="O247" s="109"/>
      <c r="P247" s="109"/>
      <c r="Q247" s="109"/>
      <c r="R247" s="109"/>
      <c r="S247" s="109"/>
      <c r="T247" s="109"/>
      <c r="U247" s="109"/>
      <c r="V247" s="109"/>
      <c r="W247" s="109"/>
      <c r="X247" s="109"/>
      <c r="Y247" s="109"/>
      <c r="Z247" s="109"/>
    </row>
    <row r="248" ht="29.25" customHeight="1">
      <c r="A248" s="109"/>
      <c r="B248" s="109"/>
      <c r="C248" s="109"/>
      <c r="D248" s="109"/>
      <c r="E248" s="109"/>
      <c r="F248" s="109"/>
      <c r="G248" s="317"/>
      <c r="H248" s="109"/>
      <c r="I248" s="109"/>
      <c r="J248" s="109"/>
      <c r="K248" s="109"/>
      <c r="L248" s="109"/>
      <c r="M248" s="109"/>
      <c r="N248" s="109"/>
      <c r="O248" s="109"/>
      <c r="P248" s="109"/>
      <c r="Q248" s="109"/>
      <c r="R248" s="109"/>
      <c r="S248" s="109"/>
      <c r="T248" s="109"/>
      <c r="U248" s="109"/>
      <c r="V248" s="109"/>
      <c r="W248" s="109"/>
      <c r="X248" s="109"/>
      <c r="Y248" s="109"/>
      <c r="Z248" s="109"/>
    </row>
    <row r="249" ht="29.25" customHeight="1">
      <c r="A249" s="109"/>
      <c r="B249" s="109"/>
      <c r="C249" s="109"/>
      <c r="D249" s="109"/>
      <c r="E249" s="109"/>
      <c r="F249" s="109"/>
      <c r="G249" s="317"/>
      <c r="H249" s="109"/>
      <c r="I249" s="109"/>
      <c r="J249" s="109"/>
      <c r="K249" s="109"/>
      <c r="L249" s="109"/>
      <c r="M249" s="109"/>
      <c r="N249" s="109"/>
      <c r="O249" s="109"/>
      <c r="P249" s="109"/>
      <c r="Q249" s="109"/>
      <c r="R249" s="109"/>
      <c r="S249" s="109"/>
      <c r="T249" s="109"/>
      <c r="U249" s="109"/>
      <c r="V249" s="109"/>
      <c r="W249" s="109"/>
      <c r="X249" s="109"/>
      <c r="Y249" s="109"/>
      <c r="Z249" s="109"/>
    </row>
    <row r="250" ht="29.25" customHeight="1">
      <c r="A250" s="109"/>
      <c r="B250" s="109"/>
      <c r="C250" s="109"/>
      <c r="D250" s="109"/>
      <c r="E250" s="109"/>
      <c r="F250" s="109"/>
      <c r="G250" s="317"/>
      <c r="H250" s="109"/>
      <c r="I250" s="109"/>
      <c r="J250" s="109"/>
      <c r="K250" s="109"/>
      <c r="L250" s="109"/>
      <c r="M250" s="109"/>
      <c r="N250" s="109"/>
      <c r="O250" s="109"/>
      <c r="P250" s="109"/>
      <c r="Q250" s="109"/>
      <c r="R250" s="109"/>
      <c r="S250" s="109"/>
      <c r="T250" s="109"/>
      <c r="U250" s="109"/>
      <c r="V250" s="109"/>
      <c r="W250" s="109"/>
      <c r="X250" s="109"/>
      <c r="Y250" s="109"/>
      <c r="Z250" s="109"/>
    </row>
    <row r="251" ht="29.25" customHeight="1">
      <c r="A251" s="109"/>
      <c r="B251" s="109"/>
      <c r="C251" s="109"/>
      <c r="D251" s="109"/>
      <c r="E251" s="109"/>
      <c r="F251" s="109"/>
      <c r="G251" s="317"/>
      <c r="H251" s="109"/>
      <c r="I251" s="109"/>
      <c r="J251" s="109"/>
      <c r="K251" s="109"/>
      <c r="L251" s="109"/>
      <c r="M251" s="109"/>
      <c r="N251" s="109"/>
      <c r="O251" s="109"/>
      <c r="P251" s="109"/>
      <c r="Q251" s="109"/>
      <c r="R251" s="109"/>
      <c r="S251" s="109"/>
      <c r="T251" s="109"/>
      <c r="U251" s="109"/>
      <c r="V251" s="109"/>
      <c r="W251" s="109"/>
      <c r="X251" s="109"/>
      <c r="Y251" s="109"/>
      <c r="Z251" s="109"/>
    </row>
    <row r="252" ht="29.25" customHeight="1">
      <c r="A252" s="109"/>
      <c r="B252" s="109"/>
      <c r="C252" s="109"/>
      <c r="D252" s="109"/>
      <c r="E252" s="109"/>
      <c r="F252" s="109"/>
      <c r="G252" s="317"/>
      <c r="H252" s="109"/>
      <c r="I252" s="109"/>
      <c r="J252" s="109"/>
      <c r="K252" s="109"/>
      <c r="L252" s="109"/>
      <c r="M252" s="109"/>
      <c r="N252" s="109"/>
      <c r="O252" s="109"/>
      <c r="P252" s="109"/>
      <c r="Q252" s="109"/>
      <c r="R252" s="109"/>
      <c r="S252" s="109"/>
      <c r="T252" s="109"/>
      <c r="U252" s="109"/>
      <c r="V252" s="109"/>
      <c r="W252" s="109"/>
      <c r="X252" s="109"/>
      <c r="Y252" s="109"/>
      <c r="Z252" s="109"/>
    </row>
    <row r="253" ht="29.25" customHeight="1">
      <c r="A253" s="109"/>
      <c r="B253" s="109"/>
      <c r="C253" s="109"/>
      <c r="D253" s="109"/>
      <c r="E253" s="109"/>
      <c r="F253" s="109"/>
      <c r="G253" s="317"/>
      <c r="H253" s="109"/>
      <c r="I253" s="109"/>
      <c r="J253" s="109"/>
      <c r="K253" s="109"/>
      <c r="L253" s="109"/>
      <c r="M253" s="109"/>
      <c r="N253" s="109"/>
      <c r="O253" s="109"/>
      <c r="P253" s="109"/>
      <c r="Q253" s="109"/>
      <c r="R253" s="109"/>
      <c r="S253" s="109"/>
      <c r="T253" s="109"/>
      <c r="U253" s="109"/>
      <c r="V253" s="109"/>
      <c r="W253" s="109"/>
      <c r="X253" s="109"/>
      <c r="Y253" s="109"/>
      <c r="Z253" s="109"/>
    </row>
    <row r="254" ht="29.25" customHeight="1">
      <c r="A254" s="109"/>
      <c r="B254" s="109"/>
      <c r="C254" s="109"/>
      <c r="D254" s="109"/>
      <c r="E254" s="109"/>
      <c r="F254" s="109"/>
      <c r="G254" s="317"/>
      <c r="H254" s="109"/>
      <c r="I254" s="109"/>
      <c r="J254" s="109"/>
      <c r="K254" s="109"/>
      <c r="L254" s="109"/>
      <c r="M254" s="109"/>
      <c r="N254" s="109"/>
      <c r="O254" s="109"/>
      <c r="P254" s="109"/>
      <c r="Q254" s="109"/>
      <c r="R254" s="109"/>
      <c r="S254" s="109"/>
      <c r="T254" s="109"/>
      <c r="U254" s="109"/>
      <c r="V254" s="109"/>
      <c r="W254" s="109"/>
      <c r="X254" s="109"/>
      <c r="Y254" s="109"/>
      <c r="Z254" s="109"/>
    </row>
    <row r="255" ht="29.25" customHeight="1">
      <c r="A255" s="109"/>
      <c r="B255" s="109"/>
      <c r="C255" s="109"/>
      <c r="D255" s="109"/>
      <c r="E255" s="109"/>
      <c r="F255" s="109"/>
      <c r="G255" s="317"/>
      <c r="H255" s="109"/>
      <c r="I255" s="109"/>
      <c r="J255" s="109"/>
      <c r="K255" s="109"/>
      <c r="L255" s="109"/>
      <c r="M255" s="109"/>
      <c r="N255" s="109"/>
      <c r="O255" s="109"/>
      <c r="P255" s="109"/>
      <c r="Q255" s="109"/>
      <c r="R255" s="109"/>
      <c r="S255" s="109"/>
      <c r="T255" s="109"/>
      <c r="U255" s="109"/>
      <c r="V255" s="109"/>
      <c r="W255" s="109"/>
      <c r="X255" s="109"/>
      <c r="Y255" s="109"/>
      <c r="Z255" s="109"/>
    </row>
    <row r="256" ht="29.25" customHeight="1">
      <c r="A256" s="109"/>
      <c r="B256" s="109"/>
      <c r="C256" s="109"/>
      <c r="D256" s="109"/>
      <c r="E256" s="109"/>
      <c r="F256" s="109"/>
      <c r="G256" s="317"/>
      <c r="H256" s="109"/>
      <c r="I256" s="109"/>
      <c r="J256" s="109"/>
      <c r="K256" s="109"/>
      <c r="L256" s="109"/>
      <c r="M256" s="109"/>
      <c r="N256" s="109"/>
      <c r="O256" s="109"/>
      <c r="P256" s="109"/>
      <c r="Q256" s="109"/>
      <c r="R256" s="109"/>
      <c r="S256" s="109"/>
      <c r="T256" s="109"/>
      <c r="U256" s="109"/>
      <c r="V256" s="109"/>
      <c r="W256" s="109"/>
      <c r="X256" s="109"/>
      <c r="Y256" s="109"/>
      <c r="Z256" s="109"/>
    </row>
    <row r="257" ht="29.25" customHeight="1">
      <c r="A257" s="109"/>
      <c r="B257" s="109"/>
      <c r="C257" s="109"/>
      <c r="D257" s="109"/>
      <c r="E257" s="109"/>
      <c r="F257" s="109"/>
      <c r="G257" s="317"/>
      <c r="H257" s="109"/>
      <c r="I257" s="109"/>
      <c r="J257" s="109"/>
      <c r="K257" s="109"/>
      <c r="L257" s="109"/>
      <c r="M257" s="109"/>
      <c r="N257" s="109"/>
      <c r="O257" s="109"/>
      <c r="P257" s="109"/>
      <c r="Q257" s="109"/>
      <c r="R257" s="109"/>
      <c r="S257" s="109"/>
      <c r="T257" s="109"/>
      <c r="U257" s="109"/>
      <c r="V257" s="109"/>
      <c r="W257" s="109"/>
      <c r="X257" s="109"/>
      <c r="Y257" s="109"/>
      <c r="Z257" s="109"/>
    </row>
    <row r="258" ht="29.25" customHeight="1">
      <c r="A258" s="109"/>
      <c r="B258" s="109"/>
      <c r="C258" s="109"/>
      <c r="D258" s="109"/>
      <c r="E258" s="109"/>
      <c r="F258" s="109"/>
      <c r="G258" s="317"/>
      <c r="H258" s="109"/>
      <c r="I258" s="109"/>
      <c r="J258" s="109"/>
      <c r="K258" s="109"/>
      <c r="L258" s="109"/>
      <c r="M258" s="109"/>
      <c r="N258" s="109"/>
      <c r="O258" s="109"/>
      <c r="P258" s="109"/>
      <c r="Q258" s="109"/>
      <c r="R258" s="109"/>
      <c r="S258" s="109"/>
      <c r="T258" s="109"/>
      <c r="U258" s="109"/>
      <c r="V258" s="109"/>
      <c r="W258" s="109"/>
      <c r="X258" s="109"/>
      <c r="Y258" s="109"/>
      <c r="Z258" s="109"/>
    </row>
    <row r="259" ht="29.25" customHeight="1">
      <c r="A259" s="109"/>
      <c r="B259" s="109"/>
      <c r="C259" s="109"/>
      <c r="D259" s="109"/>
      <c r="E259" s="109"/>
      <c r="F259" s="109"/>
      <c r="G259" s="317"/>
      <c r="H259" s="109"/>
      <c r="I259" s="109"/>
      <c r="J259" s="109"/>
      <c r="K259" s="109"/>
      <c r="L259" s="109"/>
      <c r="M259" s="109"/>
      <c r="N259" s="109"/>
      <c r="O259" s="109"/>
      <c r="P259" s="109"/>
      <c r="Q259" s="109"/>
      <c r="R259" s="109"/>
      <c r="S259" s="109"/>
      <c r="T259" s="109"/>
      <c r="U259" s="109"/>
      <c r="V259" s="109"/>
      <c r="W259" s="109"/>
      <c r="X259" s="109"/>
      <c r="Y259" s="109"/>
      <c r="Z259" s="109"/>
    </row>
    <row r="260" ht="29.25" customHeight="1">
      <c r="A260" s="109"/>
      <c r="B260" s="109"/>
      <c r="C260" s="109"/>
      <c r="D260" s="109"/>
      <c r="E260" s="109"/>
      <c r="F260" s="109"/>
      <c r="G260" s="317"/>
      <c r="H260" s="109"/>
      <c r="I260" s="109"/>
      <c r="J260" s="109"/>
      <c r="K260" s="109"/>
      <c r="L260" s="109"/>
      <c r="M260" s="109"/>
      <c r="N260" s="109"/>
      <c r="O260" s="109"/>
      <c r="P260" s="109"/>
      <c r="Q260" s="109"/>
      <c r="R260" s="109"/>
      <c r="S260" s="109"/>
      <c r="T260" s="109"/>
      <c r="U260" s="109"/>
      <c r="V260" s="109"/>
      <c r="W260" s="109"/>
      <c r="X260" s="109"/>
      <c r="Y260" s="109"/>
      <c r="Z260" s="109"/>
    </row>
    <row r="261" ht="29.25" customHeight="1">
      <c r="A261" s="109"/>
      <c r="B261" s="109"/>
      <c r="C261" s="109"/>
      <c r="D261" s="109"/>
      <c r="E261" s="109"/>
      <c r="F261" s="109"/>
      <c r="G261" s="317"/>
      <c r="H261" s="109"/>
      <c r="I261" s="109"/>
      <c r="J261" s="109"/>
      <c r="K261" s="109"/>
      <c r="L261" s="109"/>
      <c r="M261" s="109"/>
      <c r="N261" s="109"/>
      <c r="O261" s="109"/>
      <c r="P261" s="109"/>
      <c r="Q261" s="109"/>
      <c r="R261" s="109"/>
      <c r="S261" s="109"/>
      <c r="T261" s="109"/>
      <c r="U261" s="109"/>
      <c r="V261" s="109"/>
      <c r="W261" s="109"/>
      <c r="X261" s="109"/>
      <c r="Y261" s="109"/>
      <c r="Z261" s="109"/>
    </row>
    <row r="262" ht="29.25" customHeight="1">
      <c r="A262" s="109"/>
      <c r="B262" s="109"/>
      <c r="C262" s="109"/>
      <c r="D262" s="109"/>
      <c r="E262" s="109"/>
      <c r="F262" s="109"/>
      <c r="G262" s="317"/>
      <c r="H262" s="109"/>
      <c r="I262" s="109"/>
      <c r="J262" s="109"/>
      <c r="K262" s="109"/>
      <c r="L262" s="109"/>
      <c r="M262" s="109"/>
      <c r="N262" s="109"/>
      <c r="O262" s="109"/>
      <c r="P262" s="109"/>
      <c r="Q262" s="109"/>
      <c r="R262" s="109"/>
      <c r="S262" s="109"/>
      <c r="T262" s="109"/>
      <c r="U262" s="109"/>
      <c r="V262" s="109"/>
      <c r="W262" s="109"/>
      <c r="X262" s="109"/>
      <c r="Y262" s="109"/>
      <c r="Z262" s="109"/>
    </row>
    <row r="263" ht="29.25" customHeight="1">
      <c r="A263" s="109"/>
      <c r="B263" s="109"/>
      <c r="C263" s="109"/>
      <c r="D263" s="109"/>
      <c r="E263" s="109"/>
      <c r="F263" s="109"/>
      <c r="G263" s="317"/>
      <c r="H263" s="109"/>
      <c r="I263" s="109"/>
      <c r="J263" s="109"/>
      <c r="K263" s="109"/>
      <c r="L263" s="109"/>
      <c r="M263" s="109"/>
      <c r="N263" s="109"/>
      <c r="O263" s="109"/>
      <c r="P263" s="109"/>
      <c r="Q263" s="109"/>
      <c r="R263" s="109"/>
      <c r="S263" s="109"/>
      <c r="T263" s="109"/>
      <c r="U263" s="109"/>
      <c r="V263" s="109"/>
      <c r="W263" s="109"/>
      <c r="X263" s="109"/>
      <c r="Y263" s="109"/>
      <c r="Z263" s="109"/>
    </row>
    <row r="264" ht="29.25" customHeight="1">
      <c r="A264" s="109"/>
      <c r="B264" s="109"/>
      <c r="C264" s="109"/>
      <c r="D264" s="109"/>
      <c r="E264" s="109"/>
      <c r="F264" s="109"/>
      <c r="G264" s="317"/>
      <c r="H264" s="109"/>
      <c r="I264" s="109"/>
      <c r="J264" s="109"/>
      <c r="K264" s="109"/>
      <c r="L264" s="109"/>
      <c r="M264" s="109"/>
      <c r="N264" s="109"/>
      <c r="O264" s="109"/>
      <c r="P264" s="109"/>
      <c r="Q264" s="109"/>
      <c r="R264" s="109"/>
      <c r="S264" s="109"/>
      <c r="T264" s="109"/>
      <c r="U264" s="109"/>
      <c r="V264" s="109"/>
      <c r="W264" s="109"/>
      <c r="X264" s="109"/>
      <c r="Y264" s="109"/>
      <c r="Z264" s="109"/>
    </row>
    <row r="265" ht="29.25" customHeight="1">
      <c r="A265" s="109"/>
      <c r="B265" s="109"/>
      <c r="C265" s="109"/>
      <c r="D265" s="109"/>
      <c r="E265" s="109"/>
      <c r="F265" s="109"/>
      <c r="G265" s="317"/>
      <c r="H265" s="109"/>
      <c r="I265" s="109"/>
      <c r="J265" s="109"/>
      <c r="K265" s="109"/>
      <c r="L265" s="109"/>
      <c r="M265" s="109"/>
      <c r="N265" s="109"/>
      <c r="O265" s="109"/>
      <c r="P265" s="109"/>
      <c r="Q265" s="109"/>
      <c r="R265" s="109"/>
      <c r="S265" s="109"/>
      <c r="T265" s="109"/>
      <c r="U265" s="109"/>
      <c r="V265" s="109"/>
      <c r="W265" s="109"/>
      <c r="X265" s="109"/>
      <c r="Y265" s="109"/>
      <c r="Z265" s="109"/>
    </row>
    <row r="266" ht="29.25" customHeight="1">
      <c r="A266" s="109"/>
      <c r="B266" s="109"/>
      <c r="C266" s="109"/>
      <c r="D266" s="109"/>
      <c r="E266" s="109"/>
      <c r="F266" s="109"/>
      <c r="G266" s="317"/>
      <c r="H266" s="109"/>
      <c r="I266" s="109"/>
      <c r="J266" s="109"/>
      <c r="K266" s="109"/>
      <c r="L266" s="109"/>
      <c r="M266" s="109"/>
      <c r="N266" s="109"/>
      <c r="O266" s="109"/>
      <c r="P266" s="109"/>
      <c r="Q266" s="109"/>
      <c r="R266" s="109"/>
      <c r="S266" s="109"/>
      <c r="T266" s="109"/>
      <c r="U266" s="109"/>
      <c r="V266" s="109"/>
      <c r="W266" s="109"/>
      <c r="X266" s="109"/>
      <c r="Y266" s="109"/>
      <c r="Z266" s="109"/>
    </row>
    <row r="267" ht="29.25" customHeight="1">
      <c r="A267" s="109"/>
      <c r="B267" s="109"/>
      <c r="C267" s="109"/>
      <c r="D267" s="109"/>
      <c r="E267" s="109"/>
      <c r="F267" s="109"/>
      <c r="G267" s="317"/>
      <c r="H267" s="109"/>
      <c r="I267" s="109"/>
      <c r="J267" s="109"/>
      <c r="K267" s="109"/>
      <c r="L267" s="109"/>
      <c r="M267" s="109"/>
      <c r="N267" s="109"/>
      <c r="O267" s="109"/>
      <c r="P267" s="109"/>
      <c r="Q267" s="109"/>
      <c r="R267" s="109"/>
      <c r="S267" s="109"/>
      <c r="T267" s="109"/>
      <c r="U267" s="109"/>
      <c r="V267" s="109"/>
      <c r="W267" s="109"/>
      <c r="X267" s="109"/>
      <c r="Y267" s="109"/>
      <c r="Z267" s="109"/>
    </row>
    <row r="268" ht="29.25" customHeight="1">
      <c r="A268" s="109"/>
      <c r="B268" s="109"/>
      <c r="C268" s="109"/>
      <c r="D268" s="109"/>
      <c r="E268" s="109"/>
      <c r="F268" s="109"/>
      <c r="G268" s="317"/>
      <c r="H268" s="109"/>
      <c r="I268" s="109"/>
      <c r="J268" s="109"/>
      <c r="K268" s="109"/>
      <c r="L268" s="109"/>
      <c r="M268" s="109"/>
      <c r="N268" s="109"/>
      <c r="O268" s="109"/>
      <c r="P268" s="109"/>
      <c r="Q268" s="109"/>
      <c r="R268" s="109"/>
      <c r="S268" s="109"/>
      <c r="T268" s="109"/>
      <c r="U268" s="109"/>
      <c r="V268" s="109"/>
      <c r="W268" s="109"/>
      <c r="X268" s="109"/>
      <c r="Y268" s="109"/>
      <c r="Z268" s="109"/>
    </row>
    <row r="269" ht="29.25" customHeight="1">
      <c r="A269" s="109"/>
      <c r="B269" s="109"/>
      <c r="C269" s="109"/>
      <c r="D269" s="109"/>
      <c r="E269" s="109"/>
      <c r="F269" s="109"/>
      <c r="G269" s="317"/>
      <c r="H269" s="109"/>
      <c r="I269" s="109"/>
      <c r="J269" s="109"/>
      <c r="K269" s="109"/>
      <c r="L269" s="109"/>
      <c r="M269" s="109"/>
      <c r="N269" s="109"/>
      <c r="O269" s="109"/>
      <c r="P269" s="109"/>
      <c r="Q269" s="109"/>
      <c r="R269" s="109"/>
      <c r="S269" s="109"/>
      <c r="T269" s="109"/>
      <c r="U269" s="109"/>
      <c r="V269" s="109"/>
      <c r="W269" s="109"/>
      <c r="X269" s="109"/>
      <c r="Y269" s="109"/>
      <c r="Z269" s="109"/>
    </row>
    <row r="270" ht="29.25" customHeight="1">
      <c r="A270" s="109"/>
      <c r="B270" s="109"/>
      <c r="C270" s="109"/>
      <c r="D270" s="109"/>
      <c r="E270" s="109"/>
      <c r="F270" s="109"/>
      <c r="G270" s="317"/>
      <c r="H270" s="109"/>
      <c r="I270" s="109"/>
      <c r="J270" s="109"/>
      <c r="K270" s="109"/>
      <c r="L270" s="109"/>
      <c r="M270" s="109"/>
      <c r="N270" s="109"/>
      <c r="O270" s="109"/>
      <c r="P270" s="109"/>
      <c r="Q270" s="109"/>
      <c r="R270" s="109"/>
      <c r="S270" s="109"/>
      <c r="T270" s="109"/>
      <c r="U270" s="109"/>
      <c r="V270" s="109"/>
      <c r="W270" s="109"/>
      <c r="X270" s="109"/>
      <c r="Y270" s="109"/>
      <c r="Z270" s="109"/>
    </row>
    <row r="271" ht="29.25" customHeight="1">
      <c r="A271" s="109"/>
      <c r="B271" s="109"/>
      <c r="C271" s="109"/>
      <c r="D271" s="109"/>
      <c r="E271" s="109"/>
      <c r="F271" s="109"/>
      <c r="G271" s="317"/>
      <c r="H271" s="109"/>
      <c r="I271" s="109"/>
      <c r="J271" s="109"/>
      <c r="K271" s="109"/>
      <c r="L271" s="109"/>
      <c r="M271" s="109"/>
      <c r="N271" s="109"/>
      <c r="O271" s="109"/>
      <c r="P271" s="109"/>
      <c r="Q271" s="109"/>
      <c r="R271" s="109"/>
      <c r="S271" s="109"/>
      <c r="T271" s="109"/>
      <c r="U271" s="109"/>
      <c r="V271" s="109"/>
      <c r="W271" s="109"/>
      <c r="X271" s="109"/>
      <c r="Y271" s="109"/>
      <c r="Z271" s="109"/>
    </row>
    <row r="272" ht="29.25" customHeight="1">
      <c r="A272" s="109"/>
      <c r="B272" s="109"/>
      <c r="C272" s="109"/>
      <c r="D272" s="109"/>
      <c r="E272" s="109"/>
      <c r="F272" s="109"/>
      <c r="G272" s="317"/>
      <c r="H272" s="109"/>
      <c r="I272" s="109"/>
      <c r="J272" s="109"/>
      <c r="K272" s="109"/>
      <c r="L272" s="109"/>
      <c r="M272" s="109"/>
      <c r="N272" s="109"/>
      <c r="O272" s="109"/>
      <c r="P272" s="109"/>
      <c r="Q272" s="109"/>
      <c r="R272" s="109"/>
      <c r="S272" s="109"/>
      <c r="T272" s="109"/>
      <c r="U272" s="109"/>
      <c r="V272" s="109"/>
      <c r="W272" s="109"/>
      <c r="X272" s="109"/>
      <c r="Y272" s="109"/>
      <c r="Z272" s="109"/>
    </row>
    <row r="273" ht="29.25" customHeight="1">
      <c r="A273" s="109"/>
      <c r="B273" s="109"/>
      <c r="C273" s="109"/>
      <c r="D273" s="109"/>
      <c r="E273" s="109"/>
      <c r="F273" s="109"/>
      <c r="G273" s="317"/>
      <c r="H273" s="109"/>
      <c r="I273" s="109"/>
      <c r="J273" s="109"/>
      <c r="K273" s="109"/>
      <c r="L273" s="109"/>
      <c r="M273" s="109"/>
      <c r="N273" s="109"/>
      <c r="O273" s="109"/>
      <c r="P273" s="109"/>
      <c r="Q273" s="109"/>
      <c r="R273" s="109"/>
      <c r="S273" s="109"/>
      <c r="T273" s="109"/>
      <c r="U273" s="109"/>
      <c r="V273" s="109"/>
      <c r="W273" s="109"/>
      <c r="X273" s="109"/>
      <c r="Y273" s="109"/>
      <c r="Z273" s="109"/>
    </row>
    <row r="274" ht="29.25" customHeight="1">
      <c r="A274" s="109"/>
      <c r="B274" s="109"/>
      <c r="C274" s="109"/>
      <c r="D274" s="109"/>
      <c r="E274" s="109"/>
      <c r="F274" s="109"/>
      <c r="G274" s="317"/>
      <c r="H274" s="109"/>
      <c r="I274" s="109"/>
      <c r="J274" s="109"/>
      <c r="K274" s="109"/>
      <c r="L274" s="109"/>
      <c r="M274" s="109"/>
      <c r="N274" s="109"/>
      <c r="O274" s="109"/>
      <c r="P274" s="109"/>
      <c r="Q274" s="109"/>
      <c r="R274" s="109"/>
      <c r="S274" s="109"/>
      <c r="T274" s="109"/>
      <c r="U274" s="109"/>
      <c r="V274" s="109"/>
      <c r="W274" s="109"/>
      <c r="X274" s="109"/>
      <c r="Y274" s="109"/>
      <c r="Z274" s="109"/>
    </row>
    <row r="275" ht="29.25" customHeight="1">
      <c r="A275" s="109"/>
      <c r="B275" s="109"/>
      <c r="C275" s="109"/>
      <c r="D275" s="109"/>
      <c r="E275" s="109"/>
      <c r="F275" s="109"/>
      <c r="G275" s="317"/>
      <c r="H275" s="109"/>
      <c r="I275" s="109"/>
      <c r="J275" s="109"/>
      <c r="K275" s="109"/>
      <c r="L275" s="109"/>
      <c r="M275" s="109"/>
      <c r="N275" s="109"/>
      <c r="O275" s="109"/>
      <c r="P275" s="109"/>
      <c r="Q275" s="109"/>
      <c r="R275" s="109"/>
      <c r="S275" s="109"/>
      <c r="T275" s="109"/>
      <c r="U275" s="109"/>
      <c r="V275" s="109"/>
      <c r="W275" s="109"/>
      <c r="X275" s="109"/>
      <c r="Y275" s="109"/>
      <c r="Z275" s="109"/>
    </row>
    <row r="276" ht="29.25" customHeight="1">
      <c r="A276" s="109"/>
      <c r="B276" s="109"/>
      <c r="C276" s="109"/>
      <c r="D276" s="109"/>
      <c r="E276" s="109"/>
      <c r="F276" s="109"/>
      <c r="G276" s="317"/>
      <c r="H276" s="109"/>
      <c r="I276" s="109"/>
      <c r="J276" s="109"/>
      <c r="K276" s="109"/>
      <c r="L276" s="109"/>
      <c r="M276" s="109"/>
      <c r="N276" s="109"/>
      <c r="O276" s="109"/>
      <c r="P276" s="109"/>
      <c r="Q276" s="109"/>
      <c r="R276" s="109"/>
      <c r="S276" s="109"/>
      <c r="T276" s="109"/>
      <c r="U276" s="109"/>
      <c r="V276" s="109"/>
      <c r="W276" s="109"/>
      <c r="X276" s="109"/>
      <c r="Y276" s="109"/>
      <c r="Z276" s="109"/>
    </row>
    <row r="277" ht="29.25" customHeight="1">
      <c r="A277" s="109"/>
      <c r="B277" s="109"/>
      <c r="C277" s="109"/>
      <c r="D277" s="109"/>
      <c r="E277" s="109"/>
      <c r="F277" s="109"/>
      <c r="G277" s="317"/>
      <c r="H277" s="109"/>
      <c r="I277" s="109"/>
      <c r="J277" s="109"/>
      <c r="K277" s="109"/>
      <c r="L277" s="109"/>
      <c r="M277" s="109"/>
      <c r="N277" s="109"/>
      <c r="O277" s="109"/>
      <c r="P277" s="109"/>
      <c r="Q277" s="109"/>
      <c r="R277" s="109"/>
      <c r="S277" s="109"/>
      <c r="T277" s="109"/>
      <c r="U277" s="109"/>
      <c r="V277" s="109"/>
      <c r="W277" s="109"/>
      <c r="X277" s="109"/>
      <c r="Y277" s="109"/>
      <c r="Z277" s="109"/>
    </row>
    <row r="278" ht="29.25" customHeight="1">
      <c r="A278" s="109"/>
      <c r="B278" s="109"/>
      <c r="C278" s="109"/>
      <c r="D278" s="109"/>
      <c r="E278" s="109"/>
      <c r="F278" s="109"/>
      <c r="G278" s="317"/>
      <c r="H278" s="109"/>
      <c r="I278" s="109"/>
      <c r="J278" s="109"/>
      <c r="K278" s="109"/>
      <c r="L278" s="109"/>
      <c r="M278" s="109"/>
      <c r="N278" s="109"/>
      <c r="O278" s="109"/>
      <c r="P278" s="109"/>
      <c r="Q278" s="109"/>
      <c r="R278" s="109"/>
      <c r="S278" s="109"/>
      <c r="T278" s="109"/>
      <c r="U278" s="109"/>
      <c r="V278" s="109"/>
      <c r="W278" s="109"/>
      <c r="X278" s="109"/>
      <c r="Y278" s="109"/>
      <c r="Z278" s="109"/>
    </row>
    <row r="279" ht="29.25" customHeight="1">
      <c r="A279" s="109"/>
      <c r="B279" s="109"/>
      <c r="C279" s="109"/>
      <c r="D279" s="109"/>
      <c r="E279" s="109"/>
      <c r="F279" s="109"/>
      <c r="G279" s="317"/>
      <c r="H279" s="109"/>
      <c r="I279" s="109"/>
      <c r="J279" s="109"/>
      <c r="K279" s="109"/>
      <c r="L279" s="109"/>
      <c r="M279" s="109"/>
      <c r="N279" s="109"/>
      <c r="O279" s="109"/>
      <c r="P279" s="109"/>
      <c r="Q279" s="109"/>
      <c r="R279" s="109"/>
      <c r="S279" s="109"/>
      <c r="T279" s="109"/>
      <c r="U279" s="109"/>
      <c r="V279" s="109"/>
      <c r="W279" s="109"/>
      <c r="X279" s="109"/>
      <c r="Y279" s="109"/>
      <c r="Z279" s="109"/>
    </row>
    <row r="280" ht="29.25" customHeight="1">
      <c r="A280" s="109"/>
      <c r="B280" s="109"/>
      <c r="C280" s="109"/>
      <c r="D280" s="109"/>
      <c r="E280" s="109"/>
      <c r="F280" s="109"/>
      <c r="G280" s="317"/>
      <c r="H280" s="109"/>
      <c r="I280" s="109"/>
      <c r="J280" s="109"/>
      <c r="K280" s="109"/>
      <c r="L280" s="109"/>
      <c r="M280" s="109"/>
      <c r="N280" s="109"/>
      <c r="O280" s="109"/>
      <c r="P280" s="109"/>
      <c r="Q280" s="109"/>
      <c r="R280" s="109"/>
      <c r="S280" s="109"/>
      <c r="T280" s="109"/>
      <c r="U280" s="109"/>
      <c r="V280" s="109"/>
      <c r="W280" s="109"/>
      <c r="X280" s="109"/>
      <c r="Y280" s="109"/>
      <c r="Z280" s="109"/>
    </row>
    <row r="281" ht="29.25" customHeight="1">
      <c r="A281" s="109"/>
      <c r="B281" s="109"/>
      <c r="C281" s="109"/>
      <c r="D281" s="109"/>
      <c r="E281" s="109"/>
      <c r="F281" s="109"/>
      <c r="G281" s="317"/>
      <c r="H281" s="109"/>
      <c r="I281" s="109"/>
      <c r="J281" s="109"/>
      <c r="K281" s="109"/>
      <c r="L281" s="109"/>
      <c r="M281" s="109"/>
      <c r="N281" s="109"/>
      <c r="O281" s="109"/>
      <c r="P281" s="109"/>
      <c r="Q281" s="109"/>
      <c r="R281" s="109"/>
      <c r="S281" s="109"/>
      <c r="T281" s="109"/>
      <c r="U281" s="109"/>
      <c r="V281" s="109"/>
      <c r="W281" s="109"/>
      <c r="X281" s="109"/>
      <c r="Y281" s="109"/>
      <c r="Z281" s="109"/>
    </row>
    <row r="282" ht="29.25" customHeight="1">
      <c r="A282" s="109"/>
      <c r="B282" s="109"/>
      <c r="C282" s="109"/>
      <c r="D282" s="109"/>
      <c r="E282" s="109"/>
      <c r="F282" s="109"/>
      <c r="G282" s="317"/>
      <c r="H282" s="109"/>
      <c r="I282" s="109"/>
      <c r="J282" s="109"/>
      <c r="K282" s="109"/>
      <c r="L282" s="109"/>
      <c r="M282" s="109"/>
      <c r="N282" s="109"/>
      <c r="O282" s="109"/>
      <c r="P282" s="109"/>
      <c r="Q282" s="109"/>
      <c r="R282" s="109"/>
      <c r="S282" s="109"/>
      <c r="T282" s="109"/>
      <c r="U282" s="109"/>
      <c r="V282" s="109"/>
      <c r="W282" s="109"/>
      <c r="X282" s="109"/>
      <c r="Y282" s="109"/>
      <c r="Z282" s="109"/>
    </row>
    <row r="283" ht="29.25" customHeight="1">
      <c r="A283" s="109"/>
      <c r="B283" s="109"/>
      <c r="C283" s="109"/>
      <c r="D283" s="109"/>
      <c r="E283" s="109"/>
      <c r="F283" s="109"/>
      <c r="G283" s="317"/>
      <c r="H283" s="109"/>
      <c r="I283" s="109"/>
      <c r="J283" s="109"/>
      <c r="K283" s="109"/>
      <c r="L283" s="109"/>
      <c r="M283" s="109"/>
      <c r="N283" s="109"/>
      <c r="O283" s="109"/>
      <c r="P283" s="109"/>
      <c r="Q283" s="109"/>
      <c r="R283" s="109"/>
      <c r="S283" s="109"/>
      <c r="T283" s="109"/>
      <c r="U283" s="109"/>
      <c r="V283" s="109"/>
      <c r="W283" s="109"/>
      <c r="X283" s="109"/>
      <c r="Y283" s="109"/>
      <c r="Z283" s="109"/>
    </row>
    <row r="284" ht="29.25" customHeight="1">
      <c r="A284" s="109"/>
      <c r="B284" s="109"/>
      <c r="C284" s="109"/>
      <c r="D284" s="109"/>
      <c r="E284" s="109"/>
      <c r="F284" s="109"/>
      <c r="G284" s="317"/>
      <c r="H284" s="109"/>
      <c r="I284" s="109"/>
      <c r="J284" s="109"/>
      <c r="K284" s="109"/>
      <c r="L284" s="109"/>
      <c r="M284" s="109"/>
      <c r="N284" s="109"/>
      <c r="O284" s="109"/>
      <c r="P284" s="109"/>
      <c r="Q284" s="109"/>
      <c r="R284" s="109"/>
      <c r="S284" s="109"/>
      <c r="T284" s="109"/>
      <c r="U284" s="109"/>
      <c r="V284" s="109"/>
      <c r="W284" s="109"/>
      <c r="X284" s="109"/>
      <c r="Y284" s="109"/>
      <c r="Z284" s="109"/>
    </row>
    <row r="285" ht="29.25" customHeight="1">
      <c r="A285" s="109"/>
      <c r="B285" s="109"/>
      <c r="C285" s="109"/>
      <c r="D285" s="109"/>
      <c r="E285" s="109"/>
      <c r="F285" s="109"/>
      <c r="G285" s="317"/>
      <c r="H285" s="109"/>
      <c r="I285" s="109"/>
      <c r="J285" s="109"/>
      <c r="K285" s="109"/>
      <c r="L285" s="109"/>
      <c r="M285" s="109"/>
      <c r="N285" s="109"/>
      <c r="O285" s="109"/>
      <c r="P285" s="109"/>
      <c r="Q285" s="109"/>
      <c r="R285" s="109"/>
      <c r="S285" s="109"/>
      <c r="T285" s="109"/>
      <c r="U285" s="109"/>
      <c r="V285" s="109"/>
      <c r="W285" s="109"/>
      <c r="X285" s="109"/>
      <c r="Y285" s="109"/>
      <c r="Z285" s="109"/>
    </row>
    <row r="286" ht="29.25" customHeight="1">
      <c r="A286" s="109"/>
      <c r="B286" s="109"/>
      <c r="C286" s="109"/>
      <c r="D286" s="109"/>
      <c r="E286" s="109"/>
      <c r="F286" s="109"/>
      <c r="G286" s="317"/>
      <c r="H286" s="109"/>
      <c r="I286" s="109"/>
      <c r="J286" s="109"/>
      <c r="K286" s="109"/>
      <c r="L286" s="109"/>
      <c r="M286" s="109"/>
      <c r="N286" s="109"/>
      <c r="O286" s="109"/>
      <c r="P286" s="109"/>
      <c r="Q286" s="109"/>
      <c r="R286" s="109"/>
      <c r="S286" s="109"/>
      <c r="T286" s="109"/>
      <c r="U286" s="109"/>
      <c r="V286" s="109"/>
      <c r="W286" s="109"/>
      <c r="X286" s="109"/>
      <c r="Y286" s="109"/>
      <c r="Z286" s="109"/>
    </row>
    <row r="287" ht="29.25" customHeight="1">
      <c r="A287" s="109"/>
      <c r="B287" s="109"/>
      <c r="C287" s="109"/>
      <c r="D287" s="109"/>
      <c r="E287" s="109"/>
      <c r="F287" s="109"/>
      <c r="G287" s="317"/>
      <c r="H287" s="109"/>
      <c r="I287" s="109"/>
      <c r="J287" s="109"/>
      <c r="K287" s="109"/>
      <c r="L287" s="109"/>
      <c r="M287" s="109"/>
      <c r="N287" s="109"/>
      <c r="O287" s="109"/>
      <c r="P287" s="109"/>
      <c r="Q287" s="109"/>
      <c r="R287" s="109"/>
      <c r="S287" s="109"/>
      <c r="T287" s="109"/>
      <c r="U287" s="109"/>
      <c r="V287" s="109"/>
      <c r="W287" s="109"/>
      <c r="X287" s="109"/>
      <c r="Y287" s="109"/>
      <c r="Z287" s="109"/>
    </row>
    <row r="288" ht="29.25" customHeight="1">
      <c r="A288" s="109"/>
      <c r="B288" s="109"/>
      <c r="C288" s="109"/>
      <c r="D288" s="109"/>
      <c r="E288" s="109"/>
      <c r="F288" s="109"/>
      <c r="G288" s="317"/>
      <c r="H288" s="109"/>
      <c r="I288" s="109"/>
      <c r="J288" s="109"/>
      <c r="K288" s="109"/>
      <c r="L288" s="109"/>
      <c r="M288" s="109"/>
      <c r="N288" s="109"/>
      <c r="O288" s="109"/>
      <c r="P288" s="109"/>
      <c r="Q288" s="109"/>
      <c r="R288" s="109"/>
      <c r="S288" s="109"/>
      <c r="T288" s="109"/>
      <c r="U288" s="109"/>
      <c r="V288" s="109"/>
      <c r="W288" s="109"/>
      <c r="X288" s="109"/>
      <c r="Y288" s="109"/>
      <c r="Z288" s="109"/>
    </row>
    <row r="289" ht="29.25" customHeight="1">
      <c r="A289" s="109"/>
      <c r="B289" s="109"/>
      <c r="C289" s="109"/>
      <c r="D289" s="109"/>
      <c r="E289" s="109"/>
      <c r="F289" s="109"/>
      <c r="G289" s="317"/>
      <c r="H289" s="109"/>
      <c r="I289" s="109"/>
      <c r="J289" s="109"/>
      <c r="K289" s="109"/>
      <c r="L289" s="109"/>
      <c r="M289" s="109"/>
      <c r="N289" s="109"/>
      <c r="O289" s="109"/>
      <c r="P289" s="109"/>
      <c r="Q289" s="109"/>
      <c r="R289" s="109"/>
      <c r="S289" s="109"/>
      <c r="T289" s="109"/>
      <c r="U289" s="109"/>
      <c r="V289" s="109"/>
      <c r="W289" s="109"/>
      <c r="X289" s="109"/>
      <c r="Y289" s="109"/>
      <c r="Z289" s="109"/>
    </row>
    <row r="290" ht="29.25" customHeight="1">
      <c r="A290" s="109"/>
      <c r="B290" s="109"/>
      <c r="C290" s="109"/>
      <c r="D290" s="109"/>
      <c r="E290" s="109"/>
      <c r="F290" s="109"/>
      <c r="G290" s="317"/>
      <c r="H290" s="109"/>
      <c r="I290" s="109"/>
      <c r="J290" s="109"/>
      <c r="K290" s="109"/>
      <c r="L290" s="109"/>
      <c r="M290" s="109"/>
      <c r="N290" s="109"/>
      <c r="O290" s="109"/>
      <c r="P290" s="109"/>
      <c r="Q290" s="109"/>
      <c r="R290" s="109"/>
      <c r="S290" s="109"/>
      <c r="T290" s="109"/>
      <c r="U290" s="109"/>
      <c r="V290" s="109"/>
      <c r="W290" s="109"/>
      <c r="X290" s="109"/>
      <c r="Y290" s="109"/>
      <c r="Z290" s="109"/>
    </row>
    <row r="291" ht="29.25" customHeight="1">
      <c r="A291" s="109"/>
      <c r="B291" s="109"/>
      <c r="C291" s="109"/>
      <c r="D291" s="109"/>
      <c r="E291" s="109"/>
      <c r="F291" s="109"/>
      <c r="G291" s="317"/>
      <c r="H291" s="109"/>
      <c r="I291" s="109"/>
      <c r="J291" s="109"/>
      <c r="K291" s="109"/>
      <c r="L291" s="109"/>
      <c r="M291" s="109"/>
      <c r="N291" s="109"/>
      <c r="O291" s="109"/>
      <c r="P291" s="109"/>
      <c r="Q291" s="109"/>
      <c r="R291" s="109"/>
      <c r="S291" s="109"/>
      <c r="T291" s="109"/>
      <c r="U291" s="109"/>
      <c r="V291" s="109"/>
      <c r="W291" s="109"/>
      <c r="X291" s="109"/>
      <c r="Y291" s="109"/>
      <c r="Z291" s="109"/>
    </row>
    <row r="292" ht="29.25" customHeight="1">
      <c r="A292" s="109"/>
      <c r="B292" s="109"/>
      <c r="C292" s="109"/>
      <c r="D292" s="109"/>
      <c r="E292" s="109"/>
      <c r="F292" s="109"/>
      <c r="G292" s="317"/>
      <c r="H292" s="109"/>
      <c r="I292" s="109"/>
      <c r="J292" s="109"/>
      <c r="K292" s="109"/>
      <c r="L292" s="109"/>
      <c r="M292" s="109"/>
      <c r="N292" s="109"/>
      <c r="O292" s="109"/>
      <c r="P292" s="109"/>
      <c r="Q292" s="109"/>
      <c r="R292" s="109"/>
      <c r="S292" s="109"/>
      <c r="T292" s="109"/>
      <c r="U292" s="109"/>
      <c r="V292" s="109"/>
      <c r="W292" s="109"/>
      <c r="X292" s="109"/>
      <c r="Y292" s="109"/>
      <c r="Z292" s="109"/>
    </row>
    <row r="293" ht="29.25" customHeight="1">
      <c r="A293" s="109"/>
      <c r="B293" s="109"/>
      <c r="C293" s="109"/>
      <c r="D293" s="109"/>
      <c r="E293" s="109"/>
      <c r="F293" s="109"/>
      <c r="G293" s="317"/>
      <c r="H293" s="109"/>
      <c r="I293" s="109"/>
      <c r="J293" s="109"/>
      <c r="K293" s="109"/>
      <c r="L293" s="109"/>
      <c r="M293" s="109"/>
      <c r="N293" s="109"/>
      <c r="O293" s="109"/>
      <c r="P293" s="109"/>
      <c r="Q293" s="109"/>
      <c r="R293" s="109"/>
      <c r="S293" s="109"/>
      <c r="T293" s="109"/>
      <c r="U293" s="109"/>
      <c r="V293" s="109"/>
      <c r="W293" s="109"/>
      <c r="X293" s="109"/>
      <c r="Y293" s="109"/>
      <c r="Z293" s="109"/>
    </row>
    <row r="294" ht="29.25" customHeight="1">
      <c r="A294" s="109"/>
      <c r="B294" s="109"/>
      <c r="C294" s="109"/>
      <c r="D294" s="109"/>
      <c r="E294" s="109"/>
      <c r="F294" s="109"/>
      <c r="G294" s="317"/>
      <c r="H294" s="109"/>
      <c r="I294" s="109"/>
      <c r="J294" s="109"/>
      <c r="K294" s="109"/>
      <c r="L294" s="109"/>
      <c r="M294" s="109"/>
      <c r="N294" s="109"/>
      <c r="O294" s="109"/>
      <c r="P294" s="109"/>
      <c r="Q294" s="109"/>
      <c r="R294" s="109"/>
      <c r="S294" s="109"/>
      <c r="T294" s="109"/>
      <c r="U294" s="109"/>
      <c r="V294" s="109"/>
      <c r="W294" s="109"/>
      <c r="X294" s="109"/>
      <c r="Y294" s="109"/>
      <c r="Z294" s="109"/>
    </row>
    <row r="295" ht="29.25" customHeight="1">
      <c r="A295" s="109"/>
      <c r="B295" s="109"/>
      <c r="C295" s="109"/>
      <c r="D295" s="109"/>
      <c r="E295" s="109"/>
      <c r="F295" s="109"/>
      <c r="G295" s="317"/>
      <c r="H295" s="109"/>
      <c r="I295" s="109"/>
      <c r="J295" s="109"/>
      <c r="K295" s="109"/>
      <c r="L295" s="109"/>
      <c r="M295" s="109"/>
      <c r="N295" s="109"/>
      <c r="O295" s="109"/>
      <c r="P295" s="109"/>
      <c r="Q295" s="109"/>
      <c r="R295" s="109"/>
      <c r="S295" s="109"/>
      <c r="T295" s="109"/>
      <c r="U295" s="109"/>
      <c r="V295" s="109"/>
      <c r="W295" s="109"/>
      <c r="X295" s="109"/>
      <c r="Y295" s="109"/>
      <c r="Z295" s="109"/>
    </row>
    <row r="296" ht="29.25" customHeight="1">
      <c r="A296" s="109"/>
      <c r="B296" s="109"/>
      <c r="C296" s="109"/>
      <c r="D296" s="109"/>
      <c r="E296" s="109"/>
      <c r="F296" s="109"/>
      <c r="G296" s="317"/>
      <c r="H296" s="109"/>
      <c r="I296" s="109"/>
      <c r="J296" s="109"/>
      <c r="K296" s="109"/>
      <c r="L296" s="109"/>
      <c r="M296" s="109"/>
      <c r="N296" s="109"/>
      <c r="O296" s="109"/>
      <c r="P296" s="109"/>
      <c r="Q296" s="109"/>
      <c r="R296" s="109"/>
      <c r="S296" s="109"/>
      <c r="T296" s="109"/>
      <c r="U296" s="109"/>
      <c r="V296" s="109"/>
      <c r="W296" s="109"/>
      <c r="X296" s="109"/>
      <c r="Y296" s="109"/>
      <c r="Z296" s="109"/>
    </row>
    <row r="297" ht="29.25" customHeight="1">
      <c r="A297" s="109"/>
      <c r="B297" s="109"/>
      <c r="C297" s="109"/>
      <c r="D297" s="109"/>
      <c r="E297" s="109"/>
      <c r="F297" s="109"/>
      <c r="G297" s="317"/>
      <c r="H297" s="109"/>
      <c r="I297" s="109"/>
      <c r="J297" s="109"/>
      <c r="K297" s="109"/>
      <c r="L297" s="109"/>
      <c r="M297" s="109"/>
      <c r="N297" s="109"/>
      <c r="O297" s="109"/>
      <c r="P297" s="109"/>
      <c r="Q297" s="109"/>
      <c r="R297" s="109"/>
      <c r="S297" s="109"/>
      <c r="T297" s="109"/>
      <c r="U297" s="109"/>
      <c r="V297" s="109"/>
      <c r="W297" s="109"/>
      <c r="X297" s="109"/>
      <c r="Y297" s="109"/>
      <c r="Z297" s="109"/>
    </row>
    <row r="298" ht="29.25" customHeight="1">
      <c r="A298" s="109"/>
      <c r="B298" s="109"/>
      <c r="C298" s="109"/>
      <c r="D298" s="109"/>
      <c r="E298" s="109"/>
      <c r="F298" s="109"/>
      <c r="G298" s="317"/>
      <c r="H298" s="109"/>
      <c r="I298" s="109"/>
      <c r="J298" s="109"/>
      <c r="K298" s="109"/>
      <c r="L298" s="109"/>
      <c r="M298" s="109"/>
      <c r="N298" s="109"/>
      <c r="O298" s="109"/>
      <c r="P298" s="109"/>
      <c r="Q298" s="109"/>
      <c r="R298" s="109"/>
      <c r="S298" s="109"/>
      <c r="T298" s="109"/>
      <c r="U298" s="109"/>
      <c r="V298" s="109"/>
      <c r="W298" s="109"/>
      <c r="X298" s="109"/>
      <c r="Y298" s="109"/>
      <c r="Z298" s="109"/>
    </row>
    <row r="299" ht="29.25" customHeight="1">
      <c r="A299" s="109"/>
      <c r="B299" s="109"/>
      <c r="C299" s="109"/>
      <c r="D299" s="109"/>
      <c r="E299" s="109"/>
      <c r="F299" s="109"/>
      <c r="G299" s="317"/>
      <c r="H299" s="109"/>
      <c r="I299" s="109"/>
      <c r="J299" s="109"/>
      <c r="K299" s="109"/>
      <c r="L299" s="109"/>
      <c r="M299" s="109"/>
      <c r="N299" s="109"/>
      <c r="O299" s="109"/>
      <c r="P299" s="109"/>
      <c r="Q299" s="109"/>
      <c r="R299" s="109"/>
      <c r="S299" s="109"/>
      <c r="T299" s="109"/>
      <c r="U299" s="109"/>
      <c r="V299" s="109"/>
      <c r="W299" s="109"/>
      <c r="X299" s="109"/>
      <c r="Y299" s="109"/>
      <c r="Z299" s="109"/>
    </row>
    <row r="300" ht="29.25" customHeight="1">
      <c r="A300" s="109"/>
      <c r="B300" s="109"/>
      <c r="C300" s="109"/>
      <c r="D300" s="109"/>
      <c r="E300" s="109"/>
      <c r="F300" s="109"/>
      <c r="G300" s="317"/>
      <c r="H300" s="109"/>
      <c r="I300" s="109"/>
      <c r="J300" s="109"/>
      <c r="K300" s="109"/>
      <c r="L300" s="109"/>
      <c r="M300" s="109"/>
      <c r="N300" s="109"/>
      <c r="O300" s="109"/>
      <c r="P300" s="109"/>
      <c r="Q300" s="109"/>
      <c r="R300" s="109"/>
      <c r="S300" s="109"/>
      <c r="T300" s="109"/>
      <c r="U300" s="109"/>
      <c r="V300" s="109"/>
      <c r="W300" s="109"/>
      <c r="X300" s="109"/>
      <c r="Y300" s="109"/>
      <c r="Z300" s="109"/>
    </row>
    <row r="301" ht="29.25" customHeight="1">
      <c r="A301" s="109"/>
      <c r="B301" s="109"/>
      <c r="C301" s="109"/>
      <c r="D301" s="109"/>
      <c r="E301" s="109"/>
      <c r="F301" s="109"/>
      <c r="G301" s="317"/>
      <c r="H301" s="109"/>
      <c r="I301" s="109"/>
      <c r="J301" s="109"/>
      <c r="K301" s="109"/>
      <c r="L301" s="109"/>
      <c r="M301" s="109"/>
      <c r="N301" s="109"/>
      <c r="O301" s="109"/>
      <c r="P301" s="109"/>
      <c r="Q301" s="109"/>
      <c r="R301" s="109"/>
      <c r="S301" s="109"/>
      <c r="T301" s="109"/>
      <c r="U301" s="109"/>
      <c r="V301" s="109"/>
      <c r="W301" s="109"/>
      <c r="X301" s="109"/>
      <c r="Y301" s="109"/>
      <c r="Z301" s="109"/>
    </row>
    <row r="302" ht="29.25" customHeight="1">
      <c r="A302" s="109"/>
      <c r="B302" s="109"/>
      <c r="C302" s="109"/>
      <c r="D302" s="109"/>
      <c r="E302" s="109"/>
      <c r="F302" s="109"/>
      <c r="G302" s="317"/>
      <c r="H302" s="109"/>
      <c r="I302" s="109"/>
      <c r="J302" s="109"/>
      <c r="K302" s="109"/>
      <c r="L302" s="109"/>
      <c r="M302" s="109"/>
      <c r="N302" s="109"/>
      <c r="O302" s="109"/>
      <c r="P302" s="109"/>
      <c r="Q302" s="109"/>
      <c r="R302" s="109"/>
      <c r="S302" s="109"/>
      <c r="T302" s="109"/>
      <c r="U302" s="109"/>
      <c r="V302" s="109"/>
      <c r="W302" s="109"/>
      <c r="X302" s="109"/>
      <c r="Y302" s="109"/>
      <c r="Z302" s="109"/>
    </row>
    <row r="303" ht="29.25" customHeight="1">
      <c r="A303" s="109"/>
      <c r="B303" s="109"/>
      <c r="C303" s="109"/>
      <c r="D303" s="109"/>
      <c r="E303" s="109"/>
      <c r="F303" s="109"/>
      <c r="G303" s="317"/>
      <c r="H303" s="109"/>
      <c r="I303" s="109"/>
      <c r="J303" s="109"/>
      <c r="K303" s="109"/>
      <c r="L303" s="109"/>
      <c r="M303" s="109"/>
      <c r="N303" s="109"/>
      <c r="O303" s="109"/>
      <c r="P303" s="109"/>
      <c r="Q303" s="109"/>
      <c r="R303" s="109"/>
      <c r="S303" s="109"/>
      <c r="T303" s="109"/>
      <c r="U303" s="109"/>
      <c r="V303" s="109"/>
      <c r="W303" s="109"/>
      <c r="X303" s="109"/>
      <c r="Y303" s="109"/>
      <c r="Z303" s="109"/>
    </row>
    <row r="304" ht="29.25" customHeight="1">
      <c r="A304" s="109"/>
      <c r="B304" s="109"/>
      <c r="C304" s="109"/>
      <c r="D304" s="109"/>
      <c r="E304" s="109"/>
      <c r="F304" s="109"/>
      <c r="G304" s="317"/>
      <c r="H304" s="109"/>
      <c r="I304" s="109"/>
      <c r="J304" s="109"/>
      <c r="K304" s="109"/>
      <c r="L304" s="109"/>
      <c r="M304" s="109"/>
      <c r="N304" s="109"/>
      <c r="O304" s="109"/>
      <c r="P304" s="109"/>
      <c r="Q304" s="109"/>
      <c r="R304" s="109"/>
      <c r="S304" s="109"/>
      <c r="T304" s="109"/>
      <c r="U304" s="109"/>
      <c r="V304" s="109"/>
      <c r="W304" s="109"/>
      <c r="X304" s="109"/>
      <c r="Y304" s="109"/>
      <c r="Z304" s="109"/>
    </row>
    <row r="305" ht="29.25" customHeight="1">
      <c r="A305" s="109"/>
      <c r="B305" s="109"/>
      <c r="C305" s="109"/>
      <c r="D305" s="109"/>
      <c r="E305" s="109"/>
      <c r="F305" s="109"/>
      <c r="G305" s="317"/>
      <c r="H305" s="109"/>
      <c r="I305" s="109"/>
      <c r="J305" s="109"/>
      <c r="K305" s="109"/>
      <c r="L305" s="109"/>
      <c r="M305" s="109"/>
      <c r="N305" s="109"/>
      <c r="O305" s="109"/>
      <c r="P305" s="109"/>
      <c r="Q305" s="109"/>
      <c r="R305" s="109"/>
      <c r="S305" s="109"/>
      <c r="T305" s="109"/>
      <c r="U305" s="109"/>
      <c r="V305" s="109"/>
      <c r="W305" s="109"/>
      <c r="X305" s="109"/>
      <c r="Y305" s="109"/>
      <c r="Z305" s="109"/>
    </row>
    <row r="306" ht="29.25" customHeight="1">
      <c r="A306" s="109"/>
      <c r="B306" s="109"/>
      <c r="C306" s="109"/>
      <c r="D306" s="109"/>
      <c r="E306" s="109"/>
      <c r="F306" s="109"/>
      <c r="G306" s="317"/>
      <c r="H306" s="109"/>
      <c r="I306" s="109"/>
      <c r="J306" s="109"/>
      <c r="K306" s="109"/>
      <c r="L306" s="109"/>
      <c r="M306" s="109"/>
      <c r="N306" s="109"/>
      <c r="O306" s="109"/>
      <c r="P306" s="109"/>
      <c r="Q306" s="109"/>
      <c r="R306" s="109"/>
      <c r="S306" s="109"/>
      <c r="T306" s="109"/>
      <c r="U306" s="109"/>
      <c r="V306" s="109"/>
      <c r="W306" s="109"/>
      <c r="X306" s="109"/>
      <c r="Y306" s="109"/>
      <c r="Z306" s="109"/>
    </row>
    <row r="307" ht="29.25" customHeight="1">
      <c r="A307" s="109"/>
      <c r="B307" s="109"/>
      <c r="C307" s="109"/>
      <c r="D307" s="109"/>
      <c r="E307" s="109"/>
      <c r="F307" s="109"/>
      <c r="G307" s="317"/>
      <c r="H307" s="109"/>
      <c r="I307" s="109"/>
      <c r="J307" s="109"/>
      <c r="K307" s="109"/>
      <c r="L307" s="109"/>
      <c r="M307" s="109"/>
      <c r="N307" s="109"/>
      <c r="O307" s="109"/>
      <c r="P307" s="109"/>
      <c r="Q307" s="109"/>
      <c r="R307" s="109"/>
      <c r="S307" s="109"/>
      <c r="T307" s="109"/>
      <c r="U307" s="109"/>
      <c r="V307" s="109"/>
      <c r="W307" s="109"/>
      <c r="X307" s="109"/>
      <c r="Y307" s="109"/>
      <c r="Z307" s="109"/>
    </row>
    <row r="308" ht="29.25" customHeight="1">
      <c r="A308" s="109"/>
      <c r="B308" s="109"/>
      <c r="C308" s="109"/>
      <c r="D308" s="109"/>
      <c r="E308" s="109"/>
      <c r="F308" s="109"/>
      <c r="G308" s="317"/>
      <c r="H308" s="109"/>
      <c r="I308" s="109"/>
      <c r="J308" s="109"/>
      <c r="K308" s="109"/>
      <c r="L308" s="109"/>
      <c r="M308" s="109"/>
      <c r="N308" s="109"/>
      <c r="O308" s="109"/>
      <c r="P308" s="109"/>
      <c r="Q308" s="109"/>
      <c r="R308" s="109"/>
      <c r="S308" s="109"/>
      <c r="T308" s="109"/>
      <c r="U308" s="109"/>
      <c r="V308" s="109"/>
      <c r="W308" s="109"/>
      <c r="X308" s="109"/>
      <c r="Y308" s="109"/>
      <c r="Z308" s="109"/>
    </row>
    <row r="309" ht="29.25" customHeight="1">
      <c r="A309" s="109"/>
      <c r="B309" s="109"/>
      <c r="C309" s="109"/>
      <c r="D309" s="109"/>
      <c r="E309" s="109"/>
      <c r="F309" s="109"/>
      <c r="G309" s="317"/>
      <c r="H309" s="109"/>
      <c r="I309" s="109"/>
      <c r="J309" s="109"/>
      <c r="K309" s="109"/>
      <c r="L309" s="109"/>
      <c r="M309" s="109"/>
      <c r="N309" s="109"/>
      <c r="O309" s="109"/>
      <c r="P309" s="109"/>
      <c r="Q309" s="109"/>
      <c r="R309" s="109"/>
      <c r="S309" s="109"/>
      <c r="T309" s="109"/>
      <c r="U309" s="109"/>
      <c r="V309" s="109"/>
      <c r="W309" s="109"/>
      <c r="X309" s="109"/>
      <c r="Y309" s="109"/>
      <c r="Z309" s="109"/>
    </row>
    <row r="310" ht="29.25" customHeight="1">
      <c r="A310" s="109"/>
      <c r="B310" s="109"/>
      <c r="C310" s="109"/>
      <c r="D310" s="109"/>
      <c r="E310" s="109"/>
      <c r="F310" s="109"/>
      <c r="G310" s="317"/>
      <c r="H310" s="109"/>
      <c r="I310" s="109"/>
      <c r="J310" s="109"/>
      <c r="K310" s="109"/>
      <c r="L310" s="109"/>
      <c r="M310" s="109"/>
      <c r="N310" s="109"/>
      <c r="O310" s="109"/>
      <c r="P310" s="109"/>
      <c r="Q310" s="109"/>
      <c r="R310" s="109"/>
      <c r="S310" s="109"/>
      <c r="T310" s="109"/>
      <c r="U310" s="109"/>
      <c r="V310" s="109"/>
      <c r="W310" s="109"/>
      <c r="X310" s="109"/>
      <c r="Y310" s="109"/>
      <c r="Z310" s="109"/>
    </row>
    <row r="311" ht="29.25" customHeight="1">
      <c r="A311" s="109"/>
      <c r="B311" s="109"/>
      <c r="C311" s="109"/>
      <c r="D311" s="109"/>
      <c r="E311" s="109"/>
      <c r="F311" s="109"/>
      <c r="G311" s="317"/>
      <c r="H311" s="109"/>
      <c r="I311" s="109"/>
      <c r="J311" s="109"/>
      <c r="K311" s="109"/>
      <c r="L311" s="109"/>
      <c r="M311" s="109"/>
      <c r="N311" s="109"/>
      <c r="O311" s="109"/>
      <c r="P311" s="109"/>
      <c r="Q311" s="109"/>
      <c r="R311" s="109"/>
      <c r="S311" s="109"/>
      <c r="T311" s="109"/>
      <c r="U311" s="109"/>
      <c r="V311" s="109"/>
      <c r="W311" s="109"/>
      <c r="X311" s="109"/>
      <c r="Y311" s="109"/>
      <c r="Z311" s="109"/>
    </row>
    <row r="312" ht="29.25" customHeight="1">
      <c r="A312" s="109"/>
      <c r="B312" s="109"/>
      <c r="C312" s="109"/>
      <c r="D312" s="109"/>
      <c r="E312" s="109"/>
      <c r="F312" s="109"/>
      <c r="G312" s="317"/>
      <c r="H312" s="109"/>
      <c r="I312" s="109"/>
      <c r="J312" s="109"/>
      <c r="K312" s="109"/>
      <c r="L312" s="109"/>
      <c r="M312" s="109"/>
      <c r="N312" s="109"/>
      <c r="O312" s="109"/>
      <c r="P312" s="109"/>
      <c r="Q312" s="109"/>
      <c r="R312" s="109"/>
      <c r="S312" s="109"/>
      <c r="T312" s="109"/>
      <c r="U312" s="109"/>
      <c r="V312" s="109"/>
      <c r="W312" s="109"/>
      <c r="X312" s="109"/>
      <c r="Y312" s="109"/>
      <c r="Z312" s="109"/>
    </row>
    <row r="313" ht="29.25" customHeight="1">
      <c r="A313" s="109"/>
      <c r="B313" s="109"/>
      <c r="C313" s="109"/>
      <c r="D313" s="109"/>
      <c r="E313" s="109"/>
      <c r="F313" s="109"/>
      <c r="G313" s="317"/>
      <c r="H313" s="109"/>
      <c r="I313" s="109"/>
      <c r="J313" s="109"/>
      <c r="K313" s="109"/>
      <c r="L313" s="109"/>
      <c r="M313" s="109"/>
      <c r="N313" s="109"/>
      <c r="O313" s="109"/>
      <c r="P313" s="109"/>
      <c r="Q313" s="109"/>
      <c r="R313" s="109"/>
      <c r="S313" s="109"/>
      <c r="T313" s="109"/>
      <c r="U313" s="109"/>
      <c r="V313" s="109"/>
      <c r="W313" s="109"/>
      <c r="X313" s="109"/>
      <c r="Y313" s="109"/>
      <c r="Z313" s="109"/>
    </row>
    <row r="314" ht="29.25" customHeight="1">
      <c r="A314" s="109"/>
      <c r="B314" s="109"/>
      <c r="C314" s="109"/>
      <c r="D314" s="109"/>
      <c r="E314" s="109"/>
      <c r="F314" s="109"/>
      <c r="G314" s="317"/>
      <c r="H314" s="109"/>
      <c r="I314" s="109"/>
      <c r="J314" s="109"/>
      <c r="K314" s="109"/>
      <c r="L314" s="109"/>
      <c r="M314" s="109"/>
      <c r="N314" s="109"/>
      <c r="O314" s="109"/>
      <c r="P314" s="109"/>
      <c r="Q314" s="109"/>
      <c r="R314" s="109"/>
      <c r="S314" s="109"/>
      <c r="T314" s="109"/>
      <c r="U314" s="109"/>
      <c r="V314" s="109"/>
      <c r="W314" s="109"/>
      <c r="X314" s="109"/>
      <c r="Y314" s="109"/>
      <c r="Z314" s="109"/>
    </row>
    <row r="315" ht="29.25" customHeight="1">
      <c r="A315" s="109"/>
      <c r="B315" s="109"/>
      <c r="C315" s="109"/>
      <c r="D315" s="109"/>
      <c r="E315" s="109"/>
      <c r="F315" s="109"/>
      <c r="G315" s="317"/>
      <c r="H315" s="109"/>
      <c r="I315" s="109"/>
      <c r="J315" s="109"/>
      <c r="K315" s="109"/>
      <c r="L315" s="109"/>
      <c r="M315" s="109"/>
      <c r="N315" s="109"/>
      <c r="O315" s="109"/>
      <c r="P315" s="109"/>
      <c r="Q315" s="109"/>
      <c r="R315" s="109"/>
      <c r="S315" s="109"/>
      <c r="T315" s="109"/>
      <c r="U315" s="109"/>
      <c r="V315" s="109"/>
      <c r="W315" s="109"/>
      <c r="X315" s="109"/>
      <c r="Y315" s="109"/>
      <c r="Z315" s="109"/>
    </row>
    <row r="316" ht="29.25" customHeight="1">
      <c r="A316" s="109"/>
      <c r="B316" s="109"/>
      <c r="C316" s="109"/>
      <c r="D316" s="109"/>
      <c r="E316" s="109"/>
      <c r="F316" s="109"/>
      <c r="G316" s="317"/>
      <c r="H316" s="109"/>
      <c r="I316" s="109"/>
      <c r="J316" s="109"/>
      <c r="K316" s="109"/>
      <c r="L316" s="109"/>
      <c r="M316" s="109"/>
      <c r="N316" s="109"/>
      <c r="O316" s="109"/>
      <c r="P316" s="109"/>
      <c r="Q316" s="109"/>
      <c r="R316" s="109"/>
      <c r="S316" s="109"/>
      <c r="T316" s="109"/>
      <c r="U316" s="109"/>
      <c r="V316" s="109"/>
      <c r="W316" s="109"/>
      <c r="X316" s="109"/>
      <c r="Y316" s="109"/>
      <c r="Z316" s="109"/>
    </row>
    <row r="317" ht="29.25" customHeight="1">
      <c r="A317" s="109"/>
      <c r="B317" s="109"/>
      <c r="C317" s="109"/>
      <c r="D317" s="109"/>
      <c r="E317" s="109"/>
      <c r="F317" s="109"/>
      <c r="G317" s="317"/>
      <c r="H317" s="109"/>
      <c r="I317" s="109"/>
      <c r="J317" s="109"/>
      <c r="K317" s="109"/>
      <c r="L317" s="109"/>
      <c r="M317" s="109"/>
      <c r="N317" s="109"/>
      <c r="O317" s="109"/>
      <c r="P317" s="109"/>
      <c r="Q317" s="109"/>
      <c r="R317" s="109"/>
      <c r="S317" s="109"/>
      <c r="T317" s="109"/>
      <c r="U317" s="109"/>
      <c r="V317" s="109"/>
      <c r="W317" s="109"/>
      <c r="X317" s="109"/>
      <c r="Y317" s="109"/>
      <c r="Z317" s="109"/>
    </row>
    <row r="318" ht="29.25" customHeight="1">
      <c r="A318" s="109"/>
      <c r="B318" s="109"/>
      <c r="C318" s="109"/>
      <c r="D318" s="109"/>
      <c r="E318" s="109"/>
      <c r="F318" s="109"/>
      <c r="G318" s="317"/>
      <c r="H318" s="109"/>
      <c r="I318" s="109"/>
      <c r="J318" s="109"/>
      <c r="K318" s="109"/>
      <c r="L318" s="109"/>
      <c r="M318" s="109"/>
      <c r="N318" s="109"/>
      <c r="O318" s="109"/>
      <c r="P318" s="109"/>
      <c r="Q318" s="109"/>
      <c r="R318" s="109"/>
      <c r="S318" s="109"/>
      <c r="T318" s="109"/>
      <c r="U318" s="109"/>
      <c r="V318" s="109"/>
      <c r="W318" s="109"/>
      <c r="X318" s="109"/>
      <c r="Y318" s="109"/>
      <c r="Z318" s="109"/>
    </row>
    <row r="319" ht="29.25" customHeight="1">
      <c r="A319" s="109"/>
      <c r="B319" s="109"/>
      <c r="C319" s="109"/>
      <c r="D319" s="109"/>
      <c r="E319" s="109"/>
      <c r="F319" s="109"/>
      <c r="G319" s="317"/>
      <c r="H319" s="109"/>
      <c r="I319" s="109"/>
      <c r="J319" s="109"/>
      <c r="K319" s="109"/>
      <c r="L319" s="109"/>
      <c r="M319" s="109"/>
      <c r="N319" s="109"/>
      <c r="O319" s="109"/>
      <c r="P319" s="109"/>
      <c r="Q319" s="109"/>
      <c r="R319" s="109"/>
      <c r="S319" s="109"/>
      <c r="T319" s="109"/>
      <c r="U319" s="109"/>
      <c r="V319" s="109"/>
      <c r="W319" s="109"/>
      <c r="X319" s="109"/>
      <c r="Y319" s="109"/>
      <c r="Z319" s="109"/>
    </row>
    <row r="320" ht="29.25" customHeight="1">
      <c r="A320" s="109"/>
      <c r="B320" s="109"/>
      <c r="C320" s="109"/>
      <c r="D320" s="109"/>
      <c r="E320" s="109"/>
      <c r="F320" s="109"/>
      <c r="G320" s="317"/>
      <c r="H320" s="109"/>
      <c r="I320" s="109"/>
      <c r="J320" s="109"/>
      <c r="K320" s="109"/>
      <c r="L320" s="109"/>
      <c r="M320" s="109"/>
      <c r="N320" s="109"/>
      <c r="O320" s="109"/>
      <c r="P320" s="109"/>
      <c r="Q320" s="109"/>
      <c r="R320" s="109"/>
      <c r="S320" s="109"/>
      <c r="T320" s="109"/>
      <c r="U320" s="109"/>
      <c r="V320" s="109"/>
      <c r="W320" s="109"/>
      <c r="X320" s="109"/>
      <c r="Y320" s="109"/>
      <c r="Z320" s="109"/>
    </row>
    <row r="321" ht="29.25" customHeight="1">
      <c r="A321" s="109"/>
      <c r="B321" s="109"/>
      <c r="C321" s="109"/>
      <c r="D321" s="109"/>
      <c r="E321" s="109"/>
      <c r="F321" s="109"/>
      <c r="G321" s="317"/>
      <c r="H321" s="109"/>
      <c r="I321" s="109"/>
      <c r="J321" s="109"/>
      <c r="K321" s="109"/>
      <c r="L321" s="109"/>
      <c r="M321" s="109"/>
      <c r="N321" s="109"/>
      <c r="O321" s="109"/>
      <c r="P321" s="109"/>
      <c r="Q321" s="109"/>
      <c r="R321" s="109"/>
      <c r="S321" s="109"/>
      <c r="T321" s="109"/>
      <c r="U321" s="109"/>
      <c r="V321" s="109"/>
      <c r="W321" s="109"/>
      <c r="X321" s="109"/>
      <c r="Y321" s="109"/>
      <c r="Z321" s="109"/>
    </row>
    <row r="322" ht="29.25" customHeight="1">
      <c r="A322" s="109"/>
      <c r="B322" s="109"/>
      <c r="C322" s="109"/>
      <c r="D322" s="109"/>
      <c r="E322" s="109"/>
      <c r="F322" s="109"/>
      <c r="G322" s="317"/>
      <c r="H322" s="109"/>
      <c r="I322" s="109"/>
      <c r="J322" s="109"/>
      <c r="K322" s="109"/>
      <c r="L322" s="109"/>
      <c r="M322" s="109"/>
      <c r="N322" s="109"/>
      <c r="O322" s="109"/>
      <c r="P322" s="109"/>
      <c r="Q322" s="109"/>
      <c r="R322" s="109"/>
      <c r="S322" s="109"/>
      <c r="T322" s="109"/>
      <c r="U322" s="109"/>
      <c r="V322" s="109"/>
      <c r="W322" s="109"/>
      <c r="X322" s="109"/>
      <c r="Y322" s="109"/>
      <c r="Z322" s="109"/>
    </row>
    <row r="323" ht="29.25" customHeight="1">
      <c r="A323" s="109"/>
      <c r="B323" s="109"/>
      <c r="C323" s="109"/>
      <c r="D323" s="109"/>
      <c r="E323" s="109"/>
      <c r="F323" s="109"/>
      <c r="G323" s="317"/>
      <c r="H323" s="109"/>
      <c r="I323" s="109"/>
      <c r="J323" s="109"/>
      <c r="K323" s="109"/>
      <c r="L323" s="109"/>
      <c r="M323" s="109"/>
      <c r="N323" s="109"/>
      <c r="O323" s="109"/>
      <c r="P323" s="109"/>
      <c r="Q323" s="109"/>
      <c r="R323" s="109"/>
      <c r="S323" s="109"/>
      <c r="T323" s="109"/>
      <c r="U323" s="109"/>
      <c r="V323" s="109"/>
      <c r="W323" s="109"/>
      <c r="X323" s="109"/>
      <c r="Y323" s="109"/>
      <c r="Z323" s="109"/>
    </row>
    <row r="324" ht="29.25" customHeight="1">
      <c r="A324" s="109"/>
      <c r="B324" s="109"/>
      <c r="C324" s="109"/>
      <c r="D324" s="109"/>
      <c r="E324" s="109"/>
      <c r="F324" s="109"/>
      <c r="G324" s="317"/>
      <c r="H324" s="109"/>
      <c r="I324" s="109"/>
      <c r="J324" s="109"/>
      <c r="K324" s="109"/>
      <c r="L324" s="109"/>
      <c r="M324" s="109"/>
      <c r="N324" s="109"/>
      <c r="O324" s="109"/>
      <c r="P324" s="109"/>
      <c r="Q324" s="109"/>
      <c r="R324" s="109"/>
      <c r="S324" s="109"/>
      <c r="T324" s="109"/>
      <c r="U324" s="109"/>
      <c r="V324" s="109"/>
      <c r="W324" s="109"/>
      <c r="X324" s="109"/>
      <c r="Y324" s="109"/>
      <c r="Z324" s="109"/>
    </row>
    <row r="325" ht="29.25" customHeight="1">
      <c r="A325" s="109"/>
      <c r="B325" s="109"/>
      <c r="C325" s="109"/>
      <c r="D325" s="109"/>
      <c r="E325" s="109"/>
      <c r="F325" s="109"/>
      <c r="G325" s="317"/>
      <c r="H325" s="109"/>
      <c r="I325" s="109"/>
      <c r="J325" s="109"/>
      <c r="K325" s="109"/>
      <c r="L325" s="109"/>
      <c r="M325" s="109"/>
      <c r="N325" s="109"/>
      <c r="O325" s="109"/>
      <c r="P325" s="109"/>
      <c r="Q325" s="109"/>
      <c r="R325" s="109"/>
      <c r="S325" s="109"/>
      <c r="T325" s="109"/>
      <c r="U325" s="109"/>
      <c r="V325" s="109"/>
      <c r="W325" s="109"/>
      <c r="X325" s="109"/>
      <c r="Y325" s="109"/>
      <c r="Z325" s="109"/>
    </row>
    <row r="326" ht="29.25" customHeight="1">
      <c r="A326" s="109"/>
      <c r="B326" s="109"/>
      <c r="C326" s="109"/>
      <c r="D326" s="109"/>
      <c r="E326" s="109"/>
      <c r="F326" s="109"/>
      <c r="G326" s="317"/>
      <c r="H326" s="109"/>
      <c r="I326" s="109"/>
      <c r="J326" s="109"/>
      <c r="K326" s="109"/>
      <c r="L326" s="109"/>
      <c r="M326" s="109"/>
      <c r="N326" s="109"/>
      <c r="O326" s="109"/>
      <c r="P326" s="109"/>
      <c r="Q326" s="109"/>
      <c r="R326" s="109"/>
      <c r="S326" s="109"/>
      <c r="T326" s="109"/>
      <c r="U326" s="109"/>
      <c r="V326" s="109"/>
      <c r="W326" s="109"/>
      <c r="X326" s="109"/>
      <c r="Y326" s="109"/>
      <c r="Z326" s="109"/>
    </row>
    <row r="327" ht="29.25" customHeight="1">
      <c r="A327" s="109"/>
      <c r="B327" s="109"/>
      <c r="C327" s="109"/>
      <c r="D327" s="109"/>
      <c r="E327" s="109"/>
      <c r="F327" s="109"/>
      <c r="G327" s="317"/>
      <c r="H327" s="109"/>
      <c r="I327" s="109"/>
      <c r="J327" s="109"/>
      <c r="K327" s="109"/>
      <c r="L327" s="109"/>
      <c r="M327" s="109"/>
      <c r="N327" s="109"/>
      <c r="O327" s="109"/>
      <c r="P327" s="109"/>
      <c r="Q327" s="109"/>
      <c r="R327" s="109"/>
      <c r="S327" s="109"/>
      <c r="T327" s="109"/>
      <c r="U327" s="109"/>
      <c r="V327" s="109"/>
      <c r="W327" s="109"/>
      <c r="X327" s="109"/>
      <c r="Y327" s="109"/>
      <c r="Z327" s="109"/>
    </row>
    <row r="328" ht="29.25" customHeight="1">
      <c r="A328" s="109"/>
      <c r="B328" s="109"/>
      <c r="C328" s="109"/>
      <c r="D328" s="109"/>
      <c r="E328" s="109"/>
      <c r="F328" s="109"/>
      <c r="G328" s="317"/>
      <c r="H328" s="109"/>
      <c r="I328" s="109"/>
      <c r="J328" s="109"/>
      <c r="K328" s="109"/>
      <c r="L328" s="109"/>
      <c r="M328" s="109"/>
      <c r="N328" s="109"/>
      <c r="O328" s="109"/>
      <c r="P328" s="109"/>
      <c r="Q328" s="109"/>
      <c r="R328" s="109"/>
      <c r="S328" s="109"/>
      <c r="T328" s="109"/>
      <c r="U328" s="109"/>
      <c r="V328" s="109"/>
      <c r="W328" s="109"/>
      <c r="X328" s="109"/>
      <c r="Y328" s="109"/>
      <c r="Z328" s="109"/>
    </row>
    <row r="329" ht="29.25" customHeight="1">
      <c r="A329" s="109"/>
      <c r="B329" s="109"/>
      <c r="C329" s="109"/>
      <c r="D329" s="109"/>
      <c r="E329" s="109"/>
      <c r="F329" s="109"/>
      <c r="G329" s="317"/>
      <c r="H329" s="109"/>
      <c r="I329" s="109"/>
      <c r="J329" s="109"/>
      <c r="K329" s="109"/>
      <c r="L329" s="109"/>
      <c r="M329" s="109"/>
      <c r="N329" s="109"/>
      <c r="O329" s="109"/>
      <c r="P329" s="109"/>
      <c r="Q329" s="109"/>
      <c r="R329" s="109"/>
      <c r="S329" s="109"/>
      <c r="T329" s="109"/>
      <c r="U329" s="109"/>
      <c r="V329" s="109"/>
      <c r="W329" s="109"/>
      <c r="X329" s="109"/>
      <c r="Y329" s="109"/>
      <c r="Z329" s="109"/>
    </row>
    <row r="330" ht="29.25" customHeight="1">
      <c r="A330" s="109"/>
      <c r="B330" s="109"/>
      <c r="C330" s="109"/>
      <c r="D330" s="109"/>
      <c r="E330" s="109"/>
      <c r="F330" s="109"/>
      <c r="G330" s="317"/>
      <c r="H330" s="109"/>
      <c r="I330" s="109"/>
      <c r="J330" s="109"/>
      <c r="K330" s="109"/>
      <c r="L330" s="109"/>
      <c r="M330" s="109"/>
      <c r="N330" s="109"/>
      <c r="O330" s="109"/>
      <c r="P330" s="109"/>
      <c r="Q330" s="109"/>
      <c r="R330" s="109"/>
      <c r="S330" s="109"/>
      <c r="T330" s="109"/>
      <c r="U330" s="109"/>
      <c r="V330" s="109"/>
      <c r="W330" s="109"/>
      <c r="X330" s="109"/>
      <c r="Y330" s="109"/>
      <c r="Z330" s="109"/>
    </row>
    <row r="331" ht="29.25" customHeight="1">
      <c r="A331" s="109"/>
      <c r="B331" s="109"/>
      <c r="C331" s="109"/>
      <c r="D331" s="109"/>
      <c r="E331" s="109"/>
      <c r="F331" s="109"/>
      <c r="G331" s="317"/>
      <c r="H331" s="109"/>
      <c r="I331" s="109"/>
      <c r="J331" s="109"/>
      <c r="K331" s="109"/>
      <c r="L331" s="109"/>
      <c r="M331" s="109"/>
      <c r="N331" s="109"/>
      <c r="O331" s="109"/>
      <c r="P331" s="109"/>
      <c r="Q331" s="109"/>
      <c r="R331" s="109"/>
      <c r="S331" s="109"/>
      <c r="T331" s="109"/>
      <c r="U331" s="109"/>
      <c r="V331" s="109"/>
      <c r="W331" s="109"/>
      <c r="X331" s="109"/>
      <c r="Y331" s="109"/>
      <c r="Z331" s="109"/>
    </row>
    <row r="332" ht="29.25" customHeight="1">
      <c r="A332" s="109"/>
      <c r="B332" s="109"/>
      <c r="C332" s="109"/>
      <c r="D332" s="109"/>
      <c r="E332" s="109"/>
      <c r="F332" s="109"/>
      <c r="G332" s="317"/>
      <c r="H332" s="109"/>
      <c r="I332" s="109"/>
      <c r="J332" s="109"/>
      <c r="K332" s="109"/>
      <c r="L332" s="109"/>
      <c r="M332" s="109"/>
      <c r="N332" s="109"/>
      <c r="O332" s="109"/>
      <c r="P332" s="109"/>
      <c r="Q332" s="109"/>
      <c r="R332" s="109"/>
      <c r="S332" s="109"/>
      <c r="T332" s="109"/>
      <c r="U332" s="109"/>
      <c r="V332" s="109"/>
      <c r="W332" s="109"/>
      <c r="X332" s="109"/>
      <c r="Y332" s="109"/>
      <c r="Z332" s="109"/>
    </row>
    <row r="333" ht="29.25" customHeight="1">
      <c r="A333" s="109"/>
      <c r="B333" s="109"/>
      <c r="C333" s="109"/>
      <c r="D333" s="109"/>
      <c r="E333" s="109"/>
      <c r="F333" s="109"/>
      <c r="G333" s="317"/>
      <c r="H333" s="109"/>
      <c r="I333" s="109"/>
      <c r="J333" s="109"/>
      <c r="K333" s="109"/>
      <c r="L333" s="109"/>
      <c r="M333" s="109"/>
      <c r="N333" s="109"/>
      <c r="O333" s="109"/>
      <c r="P333" s="109"/>
      <c r="Q333" s="109"/>
      <c r="R333" s="109"/>
      <c r="S333" s="109"/>
      <c r="T333" s="109"/>
      <c r="U333" s="109"/>
      <c r="V333" s="109"/>
      <c r="W333" s="109"/>
      <c r="X333" s="109"/>
      <c r="Y333" s="109"/>
      <c r="Z333" s="109"/>
    </row>
    <row r="334" ht="29.25" customHeight="1">
      <c r="A334" s="109"/>
      <c r="B334" s="109"/>
      <c r="C334" s="109"/>
      <c r="D334" s="109"/>
      <c r="E334" s="109"/>
      <c r="F334" s="109"/>
      <c r="G334" s="317"/>
      <c r="H334" s="109"/>
      <c r="I334" s="109"/>
      <c r="J334" s="109"/>
      <c r="K334" s="109"/>
      <c r="L334" s="109"/>
      <c r="M334" s="109"/>
      <c r="N334" s="109"/>
      <c r="O334" s="109"/>
      <c r="P334" s="109"/>
      <c r="Q334" s="109"/>
      <c r="R334" s="109"/>
      <c r="S334" s="109"/>
      <c r="T334" s="109"/>
      <c r="U334" s="109"/>
      <c r="V334" s="109"/>
      <c r="W334" s="109"/>
      <c r="X334" s="109"/>
      <c r="Y334" s="109"/>
      <c r="Z334" s="109"/>
    </row>
    <row r="335" ht="29.25" customHeight="1">
      <c r="A335" s="109"/>
      <c r="B335" s="109"/>
      <c r="C335" s="109"/>
      <c r="D335" s="109"/>
      <c r="E335" s="109"/>
      <c r="F335" s="109"/>
      <c r="G335" s="317"/>
      <c r="H335" s="109"/>
      <c r="I335" s="109"/>
      <c r="J335" s="109"/>
      <c r="K335" s="109"/>
      <c r="L335" s="109"/>
      <c r="M335" s="109"/>
      <c r="N335" s="109"/>
      <c r="O335" s="109"/>
      <c r="P335" s="109"/>
      <c r="Q335" s="109"/>
      <c r="R335" s="109"/>
      <c r="S335" s="109"/>
      <c r="T335" s="109"/>
      <c r="U335" s="109"/>
      <c r="V335" s="109"/>
      <c r="W335" s="109"/>
      <c r="X335" s="109"/>
      <c r="Y335" s="109"/>
      <c r="Z335" s="109"/>
    </row>
    <row r="336" ht="29.25" customHeight="1">
      <c r="A336" s="109"/>
      <c r="B336" s="109"/>
      <c r="C336" s="109"/>
      <c r="D336" s="109"/>
      <c r="E336" s="109"/>
      <c r="F336" s="109"/>
      <c r="G336" s="317"/>
      <c r="H336" s="109"/>
      <c r="I336" s="109"/>
      <c r="J336" s="109"/>
      <c r="K336" s="109"/>
      <c r="L336" s="109"/>
      <c r="M336" s="109"/>
      <c r="N336" s="109"/>
      <c r="O336" s="109"/>
      <c r="P336" s="109"/>
      <c r="Q336" s="109"/>
      <c r="R336" s="109"/>
      <c r="S336" s="109"/>
      <c r="T336" s="109"/>
      <c r="U336" s="109"/>
      <c r="V336" s="109"/>
      <c r="W336" s="109"/>
      <c r="X336" s="109"/>
      <c r="Y336" s="109"/>
      <c r="Z336" s="109"/>
    </row>
    <row r="337" ht="29.25" customHeight="1">
      <c r="A337" s="109"/>
      <c r="B337" s="109"/>
      <c r="C337" s="109"/>
      <c r="D337" s="109"/>
      <c r="E337" s="109"/>
      <c r="F337" s="109"/>
      <c r="G337" s="317"/>
      <c r="H337" s="109"/>
      <c r="I337" s="109"/>
      <c r="J337" s="109"/>
      <c r="K337" s="109"/>
      <c r="L337" s="109"/>
      <c r="M337" s="109"/>
      <c r="N337" s="109"/>
      <c r="O337" s="109"/>
      <c r="P337" s="109"/>
      <c r="Q337" s="109"/>
      <c r="R337" s="109"/>
      <c r="S337" s="109"/>
      <c r="T337" s="109"/>
      <c r="U337" s="109"/>
      <c r="V337" s="109"/>
      <c r="W337" s="109"/>
      <c r="X337" s="109"/>
      <c r="Y337" s="109"/>
      <c r="Z337" s="109"/>
    </row>
    <row r="338" ht="29.25" customHeight="1">
      <c r="A338" s="109"/>
      <c r="B338" s="109"/>
      <c r="C338" s="109"/>
      <c r="D338" s="109"/>
      <c r="E338" s="109"/>
      <c r="F338" s="109"/>
      <c r="G338" s="317"/>
      <c r="H338" s="109"/>
      <c r="I338" s="109"/>
      <c r="J338" s="109"/>
      <c r="K338" s="109"/>
      <c r="L338" s="109"/>
      <c r="M338" s="109"/>
      <c r="N338" s="109"/>
      <c r="O338" s="109"/>
      <c r="P338" s="109"/>
      <c r="Q338" s="109"/>
      <c r="R338" s="109"/>
      <c r="S338" s="109"/>
      <c r="T338" s="109"/>
      <c r="U338" s="109"/>
      <c r="V338" s="109"/>
      <c r="W338" s="109"/>
      <c r="X338" s="109"/>
      <c r="Y338" s="109"/>
      <c r="Z338" s="109"/>
    </row>
    <row r="339" ht="29.25" customHeight="1">
      <c r="A339" s="109"/>
      <c r="B339" s="109"/>
      <c r="C339" s="109"/>
      <c r="D339" s="109"/>
      <c r="E339" s="109"/>
      <c r="F339" s="109"/>
      <c r="G339" s="317"/>
      <c r="H339" s="109"/>
      <c r="I339" s="109"/>
      <c r="J339" s="109"/>
      <c r="K339" s="109"/>
      <c r="L339" s="109"/>
      <c r="M339" s="109"/>
      <c r="N339" s="109"/>
      <c r="O339" s="109"/>
      <c r="P339" s="109"/>
      <c r="Q339" s="109"/>
      <c r="R339" s="109"/>
      <c r="S339" s="109"/>
      <c r="T339" s="109"/>
      <c r="U339" s="109"/>
      <c r="V339" s="109"/>
      <c r="W339" s="109"/>
      <c r="X339" s="109"/>
      <c r="Y339" s="109"/>
      <c r="Z339" s="109"/>
    </row>
    <row r="340" ht="29.25" customHeight="1">
      <c r="A340" s="109"/>
      <c r="B340" s="109"/>
      <c r="C340" s="109"/>
      <c r="D340" s="109"/>
      <c r="E340" s="109"/>
      <c r="F340" s="109"/>
      <c r="G340" s="317"/>
      <c r="H340" s="109"/>
      <c r="I340" s="109"/>
      <c r="J340" s="109"/>
      <c r="K340" s="109"/>
      <c r="L340" s="109"/>
      <c r="M340" s="109"/>
      <c r="N340" s="109"/>
      <c r="O340" s="109"/>
      <c r="P340" s="109"/>
      <c r="Q340" s="109"/>
      <c r="R340" s="109"/>
      <c r="S340" s="109"/>
      <c r="T340" s="109"/>
      <c r="U340" s="109"/>
      <c r="V340" s="109"/>
      <c r="W340" s="109"/>
      <c r="X340" s="109"/>
      <c r="Y340" s="109"/>
      <c r="Z340" s="109"/>
    </row>
    <row r="341" ht="29.25" customHeight="1">
      <c r="A341" s="109"/>
      <c r="B341" s="109"/>
      <c r="C341" s="109"/>
      <c r="D341" s="109"/>
      <c r="E341" s="109"/>
      <c r="F341" s="109"/>
      <c r="G341" s="317"/>
      <c r="H341" s="109"/>
      <c r="I341" s="109"/>
      <c r="J341" s="109"/>
      <c r="K341" s="109"/>
      <c r="L341" s="109"/>
      <c r="M341" s="109"/>
      <c r="N341" s="109"/>
      <c r="O341" s="109"/>
      <c r="P341" s="109"/>
      <c r="Q341" s="109"/>
      <c r="R341" s="109"/>
      <c r="S341" s="109"/>
      <c r="T341" s="109"/>
      <c r="U341" s="109"/>
      <c r="V341" s="109"/>
      <c r="W341" s="109"/>
      <c r="X341" s="109"/>
      <c r="Y341" s="109"/>
      <c r="Z341" s="109"/>
    </row>
    <row r="342" ht="29.25" customHeight="1">
      <c r="A342" s="109"/>
      <c r="B342" s="109"/>
      <c r="C342" s="109"/>
      <c r="D342" s="109"/>
      <c r="E342" s="109"/>
      <c r="F342" s="109"/>
      <c r="G342" s="317"/>
      <c r="H342" s="109"/>
      <c r="I342" s="109"/>
      <c r="J342" s="109"/>
      <c r="K342" s="109"/>
      <c r="L342" s="109"/>
      <c r="M342" s="109"/>
      <c r="N342" s="109"/>
      <c r="O342" s="109"/>
      <c r="P342" s="109"/>
      <c r="Q342" s="109"/>
      <c r="R342" s="109"/>
      <c r="S342" s="109"/>
      <c r="T342" s="109"/>
      <c r="U342" s="109"/>
      <c r="V342" s="109"/>
      <c r="W342" s="109"/>
      <c r="X342" s="109"/>
      <c r="Y342" s="109"/>
      <c r="Z342" s="109"/>
    </row>
    <row r="343" ht="29.25" customHeight="1">
      <c r="A343" s="109"/>
      <c r="B343" s="109"/>
      <c r="C343" s="109"/>
      <c r="D343" s="109"/>
      <c r="E343" s="109"/>
      <c r="F343" s="109"/>
      <c r="G343" s="317"/>
      <c r="H343" s="109"/>
      <c r="I343" s="109"/>
      <c r="J343" s="109"/>
      <c r="K343" s="109"/>
      <c r="L343" s="109"/>
      <c r="M343" s="109"/>
      <c r="N343" s="109"/>
      <c r="O343" s="109"/>
      <c r="P343" s="109"/>
      <c r="Q343" s="109"/>
      <c r="R343" s="109"/>
      <c r="S343" s="109"/>
      <c r="T343" s="109"/>
      <c r="U343" s="109"/>
      <c r="V343" s="109"/>
      <c r="W343" s="109"/>
      <c r="X343" s="109"/>
      <c r="Y343" s="109"/>
      <c r="Z343" s="109"/>
    </row>
    <row r="344" ht="29.25" customHeight="1">
      <c r="A344" s="109"/>
      <c r="B344" s="109"/>
      <c r="C344" s="109"/>
      <c r="D344" s="109"/>
      <c r="E344" s="109"/>
      <c r="F344" s="109"/>
      <c r="G344" s="317"/>
      <c r="H344" s="109"/>
      <c r="I344" s="109"/>
      <c r="J344" s="109"/>
      <c r="K344" s="109"/>
      <c r="L344" s="109"/>
      <c r="M344" s="109"/>
      <c r="N344" s="109"/>
      <c r="O344" s="109"/>
      <c r="P344" s="109"/>
      <c r="Q344" s="109"/>
      <c r="R344" s="109"/>
      <c r="S344" s="109"/>
      <c r="T344" s="109"/>
      <c r="U344" s="109"/>
      <c r="V344" s="109"/>
      <c r="W344" s="109"/>
      <c r="X344" s="109"/>
      <c r="Y344" s="109"/>
      <c r="Z344" s="109"/>
    </row>
    <row r="345" ht="29.25" customHeight="1">
      <c r="A345" s="109"/>
      <c r="B345" s="109"/>
      <c r="C345" s="109"/>
      <c r="D345" s="109"/>
      <c r="E345" s="109"/>
      <c r="F345" s="109"/>
      <c r="G345" s="317"/>
      <c r="H345" s="109"/>
      <c r="I345" s="109"/>
      <c r="J345" s="109"/>
      <c r="K345" s="109"/>
      <c r="L345" s="109"/>
      <c r="M345" s="109"/>
      <c r="N345" s="109"/>
      <c r="O345" s="109"/>
      <c r="P345" s="109"/>
      <c r="Q345" s="109"/>
      <c r="R345" s="109"/>
      <c r="S345" s="109"/>
      <c r="T345" s="109"/>
      <c r="U345" s="109"/>
      <c r="V345" s="109"/>
      <c r="W345" s="109"/>
      <c r="X345" s="109"/>
      <c r="Y345" s="109"/>
      <c r="Z345" s="109"/>
    </row>
    <row r="346" ht="29.25" customHeight="1">
      <c r="A346" s="109"/>
      <c r="B346" s="109"/>
      <c r="C346" s="109"/>
      <c r="D346" s="109"/>
      <c r="E346" s="109"/>
      <c r="F346" s="109"/>
      <c r="G346" s="317"/>
      <c r="H346" s="109"/>
      <c r="I346" s="109"/>
      <c r="J346" s="109"/>
      <c r="K346" s="109"/>
      <c r="L346" s="109"/>
      <c r="M346" s="109"/>
      <c r="N346" s="109"/>
      <c r="O346" s="109"/>
      <c r="P346" s="109"/>
      <c r="Q346" s="109"/>
      <c r="R346" s="109"/>
      <c r="S346" s="109"/>
      <c r="T346" s="109"/>
      <c r="U346" s="109"/>
      <c r="V346" s="109"/>
      <c r="W346" s="109"/>
      <c r="X346" s="109"/>
      <c r="Y346" s="109"/>
      <c r="Z346" s="109"/>
    </row>
    <row r="347" ht="29.25" customHeight="1">
      <c r="A347" s="109"/>
      <c r="B347" s="109"/>
      <c r="C347" s="109"/>
      <c r="D347" s="109"/>
      <c r="E347" s="109"/>
      <c r="F347" s="109"/>
      <c r="G347" s="317"/>
      <c r="H347" s="109"/>
      <c r="I347" s="109"/>
      <c r="J347" s="109"/>
      <c r="K347" s="109"/>
      <c r="L347" s="109"/>
      <c r="M347" s="109"/>
      <c r="N347" s="109"/>
      <c r="O347" s="109"/>
      <c r="P347" s="109"/>
      <c r="Q347" s="109"/>
      <c r="R347" s="109"/>
      <c r="S347" s="109"/>
      <c r="T347" s="109"/>
      <c r="U347" s="109"/>
      <c r="V347" s="109"/>
      <c r="W347" s="109"/>
      <c r="X347" s="109"/>
      <c r="Y347" s="109"/>
      <c r="Z347" s="109"/>
    </row>
    <row r="348" ht="29.25" customHeight="1">
      <c r="A348" s="109"/>
      <c r="B348" s="109"/>
      <c r="C348" s="109"/>
      <c r="D348" s="109"/>
      <c r="E348" s="109"/>
      <c r="F348" s="109"/>
      <c r="G348" s="317"/>
      <c r="H348" s="109"/>
      <c r="I348" s="109"/>
      <c r="J348" s="109"/>
      <c r="K348" s="109"/>
      <c r="L348" s="109"/>
      <c r="M348" s="109"/>
      <c r="N348" s="109"/>
      <c r="O348" s="109"/>
      <c r="P348" s="109"/>
      <c r="Q348" s="109"/>
      <c r="R348" s="109"/>
      <c r="S348" s="109"/>
      <c r="T348" s="109"/>
      <c r="U348" s="109"/>
      <c r="V348" s="109"/>
      <c r="W348" s="109"/>
      <c r="X348" s="109"/>
      <c r="Y348" s="109"/>
      <c r="Z348" s="109"/>
    </row>
    <row r="349" ht="29.25" customHeight="1">
      <c r="A349" s="109"/>
      <c r="B349" s="109"/>
      <c r="C349" s="109"/>
      <c r="D349" s="109"/>
      <c r="E349" s="109"/>
      <c r="F349" s="109"/>
      <c r="G349" s="317"/>
      <c r="H349" s="109"/>
      <c r="I349" s="109"/>
      <c r="J349" s="109"/>
      <c r="K349" s="109"/>
      <c r="L349" s="109"/>
      <c r="M349" s="109"/>
      <c r="N349" s="109"/>
      <c r="O349" s="109"/>
      <c r="P349" s="109"/>
      <c r="Q349" s="109"/>
      <c r="R349" s="109"/>
      <c r="S349" s="109"/>
      <c r="T349" s="109"/>
      <c r="U349" s="109"/>
      <c r="V349" s="109"/>
      <c r="W349" s="109"/>
      <c r="X349" s="109"/>
      <c r="Y349" s="109"/>
      <c r="Z349" s="109"/>
    </row>
    <row r="350" ht="29.25" customHeight="1">
      <c r="A350" s="109"/>
      <c r="B350" s="109"/>
      <c r="C350" s="109"/>
      <c r="D350" s="109"/>
      <c r="E350" s="109"/>
      <c r="F350" s="109"/>
      <c r="G350" s="317"/>
      <c r="H350" s="109"/>
      <c r="I350" s="109"/>
      <c r="J350" s="109"/>
      <c r="K350" s="109"/>
      <c r="L350" s="109"/>
      <c r="M350" s="109"/>
      <c r="N350" s="109"/>
      <c r="O350" s="109"/>
      <c r="P350" s="109"/>
      <c r="Q350" s="109"/>
      <c r="R350" s="109"/>
      <c r="S350" s="109"/>
      <c r="T350" s="109"/>
      <c r="U350" s="109"/>
      <c r="V350" s="109"/>
      <c r="W350" s="109"/>
      <c r="X350" s="109"/>
      <c r="Y350" s="109"/>
      <c r="Z350" s="109"/>
    </row>
    <row r="351" ht="29.25" customHeight="1">
      <c r="A351" s="109"/>
      <c r="B351" s="109"/>
      <c r="C351" s="109"/>
      <c r="D351" s="109"/>
      <c r="E351" s="109"/>
      <c r="F351" s="109"/>
      <c r="G351" s="317"/>
      <c r="H351" s="109"/>
      <c r="I351" s="109"/>
      <c r="J351" s="109"/>
      <c r="K351" s="109"/>
      <c r="L351" s="109"/>
      <c r="M351" s="109"/>
      <c r="N351" s="109"/>
      <c r="O351" s="109"/>
      <c r="P351" s="109"/>
      <c r="Q351" s="109"/>
      <c r="R351" s="109"/>
      <c r="S351" s="109"/>
      <c r="T351" s="109"/>
      <c r="U351" s="109"/>
      <c r="V351" s="109"/>
      <c r="W351" s="109"/>
      <c r="X351" s="109"/>
      <c r="Y351" s="109"/>
      <c r="Z351" s="109"/>
    </row>
    <row r="352" ht="29.25" customHeight="1">
      <c r="A352" s="109"/>
      <c r="B352" s="109"/>
      <c r="C352" s="109"/>
      <c r="D352" s="109"/>
      <c r="E352" s="109"/>
      <c r="F352" s="109"/>
      <c r="G352" s="317"/>
      <c r="H352" s="109"/>
      <c r="I352" s="109"/>
      <c r="J352" s="109"/>
      <c r="K352" s="109"/>
      <c r="L352" s="109"/>
      <c r="M352" s="109"/>
      <c r="N352" s="109"/>
      <c r="O352" s="109"/>
      <c r="P352" s="109"/>
      <c r="Q352" s="109"/>
      <c r="R352" s="109"/>
      <c r="S352" s="109"/>
      <c r="T352" s="109"/>
      <c r="U352" s="109"/>
      <c r="V352" s="109"/>
      <c r="W352" s="109"/>
      <c r="X352" s="109"/>
      <c r="Y352" s="109"/>
      <c r="Z352" s="109"/>
    </row>
    <row r="353" ht="29.25" customHeight="1">
      <c r="A353" s="109"/>
      <c r="B353" s="109"/>
      <c r="C353" s="109"/>
      <c r="D353" s="109"/>
      <c r="E353" s="109"/>
      <c r="F353" s="109"/>
      <c r="G353" s="317"/>
      <c r="H353" s="109"/>
      <c r="I353" s="109"/>
      <c r="J353" s="109"/>
      <c r="K353" s="109"/>
      <c r="L353" s="109"/>
      <c r="M353" s="109"/>
      <c r="N353" s="109"/>
      <c r="O353" s="109"/>
      <c r="P353" s="109"/>
      <c r="Q353" s="109"/>
      <c r="R353" s="109"/>
      <c r="S353" s="109"/>
      <c r="T353" s="109"/>
      <c r="U353" s="109"/>
      <c r="V353" s="109"/>
      <c r="W353" s="109"/>
      <c r="X353" s="109"/>
      <c r="Y353" s="109"/>
      <c r="Z353" s="109"/>
    </row>
    <row r="354" ht="29.25" customHeight="1">
      <c r="A354" s="109"/>
      <c r="B354" s="109"/>
      <c r="C354" s="109"/>
      <c r="D354" s="109"/>
      <c r="E354" s="109"/>
      <c r="F354" s="109"/>
      <c r="G354" s="317"/>
      <c r="H354" s="109"/>
      <c r="I354" s="109"/>
      <c r="J354" s="109"/>
      <c r="K354" s="109"/>
      <c r="L354" s="109"/>
      <c r="M354" s="109"/>
      <c r="N354" s="109"/>
      <c r="O354" s="109"/>
      <c r="P354" s="109"/>
      <c r="Q354" s="109"/>
      <c r="R354" s="109"/>
      <c r="S354" s="109"/>
      <c r="T354" s="109"/>
      <c r="U354" s="109"/>
      <c r="V354" s="109"/>
      <c r="W354" s="109"/>
      <c r="X354" s="109"/>
      <c r="Y354" s="109"/>
      <c r="Z354" s="109"/>
    </row>
    <row r="355" ht="29.25" customHeight="1">
      <c r="A355" s="109"/>
      <c r="B355" s="109"/>
      <c r="C355" s="109"/>
      <c r="D355" s="109"/>
      <c r="E355" s="109"/>
      <c r="F355" s="109"/>
      <c r="G355" s="317"/>
      <c r="H355" s="109"/>
      <c r="I355" s="109"/>
      <c r="J355" s="109"/>
      <c r="K355" s="109"/>
      <c r="L355" s="109"/>
      <c r="M355" s="109"/>
      <c r="N355" s="109"/>
      <c r="O355" s="109"/>
      <c r="P355" s="109"/>
      <c r="Q355" s="109"/>
      <c r="R355" s="109"/>
      <c r="S355" s="109"/>
      <c r="T355" s="109"/>
      <c r="U355" s="109"/>
      <c r="V355" s="109"/>
      <c r="W355" s="109"/>
      <c r="X355" s="109"/>
      <c r="Y355" s="109"/>
      <c r="Z355" s="109"/>
    </row>
    <row r="356" ht="29.25" customHeight="1">
      <c r="A356" s="109"/>
      <c r="B356" s="109"/>
      <c r="C356" s="109"/>
      <c r="D356" s="109"/>
      <c r="E356" s="109"/>
      <c r="F356" s="109"/>
      <c r="G356" s="317"/>
      <c r="H356" s="109"/>
      <c r="I356" s="109"/>
      <c r="J356" s="109"/>
      <c r="K356" s="109"/>
      <c r="L356" s="109"/>
      <c r="M356" s="109"/>
      <c r="N356" s="109"/>
      <c r="O356" s="109"/>
      <c r="P356" s="109"/>
      <c r="Q356" s="109"/>
      <c r="R356" s="109"/>
      <c r="S356" s="109"/>
      <c r="T356" s="109"/>
      <c r="U356" s="109"/>
      <c r="V356" s="109"/>
      <c r="W356" s="109"/>
      <c r="X356" s="109"/>
      <c r="Y356" s="109"/>
      <c r="Z356" s="109"/>
    </row>
    <row r="357" ht="29.25" customHeight="1">
      <c r="A357" s="109"/>
      <c r="B357" s="109"/>
      <c r="C357" s="109"/>
      <c r="D357" s="109"/>
      <c r="E357" s="109"/>
      <c r="F357" s="109"/>
      <c r="G357" s="317"/>
      <c r="H357" s="109"/>
      <c r="I357" s="109"/>
      <c r="J357" s="109"/>
      <c r="K357" s="109"/>
      <c r="L357" s="109"/>
      <c r="M357" s="109"/>
      <c r="N357" s="109"/>
      <c r="O357" s="109"/>
      <c r="P357" s="109"/>
      <c r="Q357" s="109"/>
      <c r="R357" s="109"/>
      <c r="S357" s="109"/>
      <c r="T357" s="109"/>
      <c r="U357" s="109"/>
      <c r="V357" s="109"/>
      <c r="W357" s="109"/>
      <c r="X357" s="109"/>
      <c r="Y357" s="109"/>
      <c r="Z357" s="109"/>
    </row>
    <row r="358" ht="29.25" customHeight="1">
      <c r="A358" s="109"/>
      <c r="B358" s="109"/>
      <c r="C358" s="109"/>
      <c r="D358" s="109"/>
      <c r="E358" s="109"/>
      <c r="F358" s="109"/>
      <c r="G358" s="317"/>
      <c r="H358" s="109"/>
      <c r="I358" s="109"/>
      <c r="J358" s="109"/>
      <c r="K358" s="109"/>
      <c r="L358" s="109"/>
      <c r="M358" s="109"/>
      <c r="N358" s="109"/>
      <c r="O358" s="109"/>
      <c r="P358" s="109"/>
      <c r="Q358" s="109"/>
      <c r="R358" s="109"/>
      <c r="S358" s="109"/>
      <c r="T358" s="109"/>
      <c r="U358" s="109"/>
      <c r="V358" s="109"/>
      <c r="W358" s="109"/>
      <c r="X358" s="109"/>
      <c r="Y358" s="109"/>
      <c r="Z358" s="109"/>
    </row>
    <row r="359" ht="29.25" customHeight="1">
      <c r="A359" s="109"/>
      <c r="B359" s="109"/>
      <c r="C359" s="109"/>
      <c r="D359" s="109"/>
      <c r="E359" s="109"/>
      <c r="F359" s="109"/>
      <c r="G359" s="317"/>
      <c r="H359" s="109"/>
      <c r="I359" s="109"/>
      <c r="J359" s="109"/>
      <c r="K359" s="109"/>
      <c r="L359" s="109"/>
      <c r="M359" s="109"/>
      <c r="N359" s="109"/>
      <c r="O359" s="109"/>
      <c r="P359" s="109"/>
      <c r="Q359" s="109"/>
      <c r="R359" s="109"/>
      <c r="S359" s="109"/>
      <c r="T359" s="109"/>
      <c r="U359" s="109"/>
      <c r="V359" s="109"/>
      <c r="W359" s="109"/>
      <c r="X359" s="109"/>
      <c r="Y359" s="109"/>
      <c r="Z359" s="109"/>
    </row>
    <row r="360" ht="29.25" customHeight="1">
      <c r="A360" s="109"/>
      <c r="B360" s="109"/>
      <c r="C360" s="109"/>
      <c r="D360" s="109"/>
      <c r="E360" s="109"/>
      <c r="F360" s="109"/>
      <c r="G360" s="317"/>
      <c r="H360" s="109"/>
      <c r="I360" s="109"/>
      <c r="J360" s="109"/>
      <c r="K360" s="109"/>
      <c r="L360" s="109"/>
      <c r="M360" s="109"/>
      <c r="N360" s="109"/>
      <c r="O360" s="109"/>
      <c r="P360" s="109"/>
      <c r="Q360" s="109"/>
      <c r="R360" s="109"/>
      <c r="S360" s="109"/>
      <c r="T360" s="109"/>
      <c r="U360" s="109"/>
      <c r="V360" s="109"/>
      <c r="W360" s="109"/>
      <c r="X360" s="109"/>
      <c r="Y360" s="109"/>
      <c r="Z360" s="109"/>
    </row>
    <row r="361" ht="29.25" customHeight="1">
      <c r="A361" s="109"/>
      <c r="B361" s="109"/>
      <c r="C361" s="109"/>
      <c r="D361" s="109"/>
      <c r="E361" s="109"/>
      <c r="F361" s="109"/>
      <c r="G361" s="317"/>
      <c r="H361" s="109"/>
      <c r="I361" s="109"/>
      <c r="J361" s="109"/>
      <c r="K361" s="109"/>
      <c r="L361" s="109"/>
      <c r="M361" s="109"/>
      <c r="N361" s="109"/>
      <c r="O361" s="109"/>
      <c r="P361" s="109"/>
      <c r="Q361" s="109"/>
      <c r="R361" s="109"/>
      <c r="S361" s="109"/>
      <c r="T361" s="109"/>
      <c r="U361" s="109"/>
      <c r="V361" s="109"/>
      <c r="W361" s="109"/>
      <c r="X361" s="109"/>
      <c r="Y361" s="109"/>
      <c r="Z361" s="109"/>
    </row>
    <row r="362" ht="29.25" customHeight="1">
      <c r="A362" s="109"/>
      <c r="B362" s="109"/>
      <c r="C362" s="109"/>
      <c r="D362" s="109"/>
      <c r="E362" s="109"/>
      <c r="F362" s="109"/>
      <c r="G362" s="317"/>
      <c r="H362" s="109"/>
      <c r="I362" s="109"/>
      <c r="J362" s="109"/>
      <c r="K362" s="109"/>
      <c r="L362" s="109"/>
      <c r="M362" s="109"/>
      <c r="N362" s="109"/>
      <c r="O362" s="109"/>
      <c r="P362" s="109"/>
      <c r="Q362" s="109"/>
      <c r="R362" s="109"/>
      <c r="S362" s="109"/>
      <c r="T362" s="109"/>
      <c r="U362" s="109"/>
      <c r="V362" s="109"/>
      <c r="W362" s="109"/>
      <c r="X362" s="109"/>
      <c r="Y362" s="109"/>
      <c r="Z362" s="109"/>
    </row>
    <row r="363" ht="29.25" customHeight="1">
      <c r="A363" s="109"/>
      <c r="B363" s="109"/>
      <c r="C363" s="109"/>
      <c r="D363" s="109"/>
      <c r="E363" s="109"/>
      <c r="F363" s="109"/>
      <c r="G363" s="317"/>
      <c r="H363" s="109"/>
      <c r="I363" s="109"/>
      <c r="J363" s="109"/>
      <c r="K363" s="109"/>
      <c r="L363" s="109"/>
      <c r="M363" s="109"/>
      <c r="N363" s="109"/>
      <c r="O363" s="109"/>
      <c r="P363" s="109"/>
      <c r="Q363" s="109"/>
      <c r="R363" s="109"/>
      <c r="S363" s="109"/>
      <c r="T363" s="109"/>
      <c r="U363" s="109"/>
      <c r="V363" s="109"/>
      <c r="W363" s="109"/>
      <c r="X363" s="109"/>
      <c r="Y363" s="109"/>
      <c r="Z363" s="109"/>
    </row>
    <row r="364" ht="29.25" customHeight="1">
      <c r="A364" s="109"/>
      <c r="B364" s="109"/>
      <c r="C364" s="109"/>
      <c r="D364" s="109"/>
      <c r="E364" s="109"/>
      <c r="F364" s="109"/>
      <c r="G364" s="317"/>
      <c r="H364" s="109"/>
      <c r="I364" s="109"/>
      <c r="J364" s="109"/>
      <c r="K364" s="109"/>
      <c r="L364" s="109"/>
      <c r="M364" s="109"/>
      <c r="N364" s="109"/>
      <c r="O364" s="109"/>
      <c r="P364" s="109"/>
      <c r="Q364" s="109"/>
      <c r="R364" s="109"/>
      <c r="S364" s="109"/>
      <c r="T364" s="109"/>
      <c r="U364" s="109"/>
      <c r="V364" s="109"/>
      <c r="W364" s="109"/>
      <c r="X364" s="109"/>
      <c r="Y364" s="109"/>
      <c r="Z364" s="109"/>
    </row>
    <row r="365" ht="29.25" customHeight="1">
      <c r="A365" s="109"/>
      <c r="B365" s="109"/>
      <c r="C365" s="109"/>
      <c r="D365" s="109"/>
      <c r="E365" s="109"/>
      <c r="F365" s="109"/>
      <c r="G365" s="317"/>
      <c r="H365" s="109"/>
      <c r="I365" s="109"/>
      <c r="J365" s="109"/>
      <c r="K365" s="109"/>
      <c r="L365" s="109"/>
      <c r="M365" s="109"/>
      <c r="N365" s="109"/>
      <c r="O365" s="109"/>
      <c r="P365" s="109"/>
      <c r="Q365" s="109"/>
      <c r="R365" s="109"/>
      <c r="S365" s="109"/>
      <c r="T365" s="109"/>
      <c r="U365" s="109"/>
      <c r="V365" s="109"/>
      <c r="W365" s="109"/>
      <c r="X365" s="109"/>
      <c r="Y365" s="109"/>
      <c r="Z365" s="109"/>
    </row>
    <row r="366" ht="29.25" customHeight="1">
      <c r="A366" s="109"/>
      <c r="B366" s="109"/>
      <c r="C366" s="109"/>
      <c r="D366" s="109"/>
      <c r="E366" s="109"/>
      <c r="F366" s="109"/>
      <c r="G366" s="317"/>
      <c r="H366" s="109"/>
      <c r="I366" s="109"/>
      <c r="J366" s="109"/>
      <c r="K366" s="109"/>
      <c r="L366" s="109"/>
      <c r="M366" s="109"/>
      <c r="N366" s="109"/>
      <c r="O366" s="109"/>
      <c r="P366" s="109"/>
      <c r="Q366" s="109"/>
      <c r="R366" s="109"/>
      <c r="S366" s="109"/>
      <c r="T366" s="109"/>
      <c r="U366" s="109"/>
      <c r="V366" s="109"/>
      <c r="W366" s="109"/>
      <c r="X366" s="109"/>
      <c r="Y366" s="109"/>
      <c r="Z366" s="109"/>
    </row>
    <row r="367" ht="29.25" customHeight="1">
      <c r="A367" s="109"/>
      <c r="B367" s="109"/>
      <c r="C367" s="109"/>
      <c r="D367" s="109"/>
      <c r="E367" s="109"/>
      <c r="F367" s="109"/>
      <c r="G367" s="317"/>
      <c r="H367" s="109"/>
      <c r="I367" s="109"/>
      <c r="J367" s="109"/>
      <c r="K367" s="109"/>
      <c r="L367" s="109"/>
      <c r="M367" s="109"/>
      <c r="N367" s="109"/>
      <c r="O367" s="109"/>
      <c r="P367" s="109"/>
      <c r="Q367" s="109"/>
      <c r="R367" s="109"/>
      <c r="S367" s="109"/>
      <c r="T367" s="109"/>
      <c r="U367" s="109"/>
      <c r="V367" s="109"/>
      <c r="W367" s="109"/>
      <c r="X367" s="109"/>
      <c r="Y367" s="109"/>
      <c r="Z367" s="109"/>
    </row>
    <row r="368" ht="29.25" customHeight="1">
      <c r="A368" s="109"/>
      <c r="B368" s="109"/>
      <c r="C368" s="109"/>
      <c r="D368" s="109"/>
      <c r="E368" s="109"/>
      <c r="F368" s="109"/>
      <c r="G368" s="317"/>
      <c r="H368" s="109"/>
      <c r="I368" s="109"/>
      <c r="J368" s="109"/>
      <c r="K368" s="109"/>
      <c r="L368" s="109"/>
      <c r="M368" s="109"/>
      <c r="N368" s="109"/>
      <c r="O368" s="109"/>
      <c r="P368" s="109"/>
      <c r="Q368" s="109"/>
      <c r="R368" s="109"/>
      <c r="S368" s="109"/>
      <c r="T368" s="109"/>
      <c r="U368" s="109"/>
      <c r="V368" s="109"/>
      <c r="W368" s="109"/>
      <c r="X368" s="109"/>
      <c r="Y368" s="109"/>
      <c r="Z368" s="109"/>
    </row>
    <row r="369" ht="29.25" customHeight="1">
      <c r="A369" s="109"/>
      <c r="B369" s="109"/>
      <c r="C369" s="109"/>
      <c r="D369" s="109"/>
      <c r="E369" s="109"/>
      <c r="F369" s="109"/>
      <c r="G369" s="317"/>
      <c r="H369" s="109"/>
      <c r="I369" s="109"/>
      <c r="J369" s="109"/>
      <c r="K369" s="109"/>
      <c r="L369" s="109"/>
      <c r="M369" s="109"/>
      <c r="N369" s="109"/>
      <c r="O369" s="109"/>
      <c r="P369" s="109"/>
      <c r="Q369" s="109"/>
      <c r="R369" s="109"/>
      <c r="S369" s="109"/>
      <c r="T369" s="109"/>
      <c r="U369" s="109"/>
      <c r="V369" s="109"/>
      <c r="W369" s="109"/>
      <c r="X369" s="109"/>
      <c r="Y369" s="109"/>
      <c r="Z369" s="109"/>
    </row>
    <row r="370" ht="29.25" customHeight="1">
      <c r="A370" s="109"/>
      <c r="B370" s="109"/>
      <c r="C370" s="109"/>
      <c r="D370" s="109"/>
      <c r="E370" s="109"/>
      <c r="F370" s="109"/>
      <c r="G370" s="317"/>
      <c r="H370" s="109"/>
      <c r="I370" s="109"/>
      <c r="J370" s="109"/>
      <c r="K370" s="109"/>
      <c r="L370" s="109"/>
      <c r="M370" s="109"/>
      <c r="N370" s="109"/>
      <c r="O370" s="109"/>
      <c r="P370" s="109"/>
      <c r="Q370" s="109"/>
      <c r="R370" s="109"/>
      <c r="S370" s="109"/>
      <c r="T370" s="109"/>
      <c r="U370" s="109"/>
      <c r="V370" s="109"/>
      <c r="W370" s="109"/>
      <c r="X370" s="109"/>
      <c r="Y370" s="109"/>
      <c r="Z370" s="109"/>
    </row>
    <row r="371" ht="29.25" customHeight="1">
      <c r="A371" s="109"/>
      <c r="B371" s="109"/>
      <c r="C371" s="109"/>
      <c r="D371" s="109"/>
      <c r="E371" s="109"/>
      <c r="F371" s="109"/>
      <c r="G371" s="317"/>
      <c r="H371" s="109"/>
      <c r="I371" s="109"/>
      <c r="J371" s="109"/>
      <c r="K371" s="109"/>
      <c r="L371" s="109"/>
      <c r="M371" s="109"/>
      <c r="N371" s="109"/>
      <c r="O371" s="109"/>
      <c r="P371" s="109"/>
      <c r="Q371" s="109"/>
      <c r="R371" s="109"/>
      <c r="S371" s="109"/>
      <c r="T371" s="109"/>
      <c r="U371" s="109"/>
      <c r="V371" s="109"/>
      <c r="W371" s="109"/>
      <c r="X371" s="109"/>
      <c r="Y371" s="109"/>
      <c r="Z371" s="109"/>
    </row>
    <row r="372" ht="29.25" customHeight="1">
      <c r="A372" s="109"/>
      <c r="B372" s="109"/>
      <c r="C372" s="109"/>
      <c r="D372" s="109"/>
      <c r="E372" s="109"/>
      <c r="F372" s="109"/>
      <c r="G372" s="317"/>
      <c r="H372" s="109"/>
      <c r="I372" s="109"/>
      <c r="J372" s="109"/>
      <c r="K372" s="109"/>
      <c r="L372" s="109"/>
      <c r="M372" s="109"/>
      <c r="N372" s="109"/>
      <c r="O372" s="109"/>
      <c r="P372" s="109"/>
      <c r="Q372" s="109"/>
      <c r="R372" s="109"/>
      <c r="S372" s="109"/>
      <c r="T372" s="109"/>
      <c r="U372" s="109"/>
      <c r="V372" s="109"/>
      <c r="W372" s="109"/>
      <c r="X372" s="109"/>
      <c r="Y372" s="109"/>
      <c r="Z372" s="109"/>
    </row>
    <row r="373" ht="29.25" customHeight="1">
      <c r="A373" s="109"/>
      <c r="B373" s="109"/>
      <c r="C373" s="109"/>
      <c r="D373" s="109"/>
      <c r="E373" s="109"/>
      <c r="F373" s="109"/>
      <c r="G373" s="317"/>
      <c r="H373" s="109"/>
      <c r="I373" s="109"/>
      <c r="J373" s="109"/>
      <c r="K373" s="109"/>
      <c r="L373" s="109"/>
      <c r="M373" s="109"/>
      <c r="N373" s="109"/>
      <c r="O373" s="109"/>
      <c r="P373" s="109"/>
      <c r="Q373" s="109"/>
      <c r="R373" s="109"/>
      <c r="S373" s="109"/>
      <c r="T373" s="109"/>
      <c r="U373" s="109"/>
      <c r="V373" s="109"/>
      <c r="W373" s="109"/>
      <c r="X373" s="109"/>
      <c r="Y373" s="109"/>
      <c r="Z373" s="109"/>
    </row>
    <row r="374" ht="29.25" customHeight="1">
      <c r="A374" s="109"/>
      <c r="B374" s="109"/>
      <c r="C374" s="109"/>
      <c r="D374" s="109"/>
      <c r="E374" s="109"/>
      <c r="F374" s="109"/>
      <c r="G374" s="317"/>
      <c r="H374" s="109"/>
      <c r="I374" s="109"/>
      <c r="J374" s="109"/>
      <c r="K374" s="109"/>
      <c r="L374" s="109"/>
      <c r="M374" s="109"/>
      <c r="N374" s="109"/>
      <c r="O374" s="109"/>
      <c r="P374" s="109"/>
      <c r="Q374" s="109"/>
      <c r="R374" s="109"/>
      <c r="S374" s="109"/>
      <c r="T374" s="109"/>
      <c r="U374" s="109"/>
      <c r="V374" s="109"/>
      <c r="W374" s="109"/>
      <c r="X374" s="109"/>
      <c r="Y374" s="109"/>
      <c r="Z374" s="109"/>
    </row>
    <row r="375" ht="29.25" customHeight="1">
      <c r="A375" s="109"/>
      <c r="B375" s="109"/>
      <c r="C375" s="109"/>
      <c r="D375" s="109"/>
      <c r="E375" s="109"/>
      <c r="F375" s="109"/>
      <c r="G375" s="317"/>
      <c r="H375" s="109"/>
      <c r="I375" s="109"/>
      <c r="J375" s="109"/>
      <c r="K375" s="109"/>
      <c r="L375" s="109"/>
      <c r="M375" s="109"/>
      <c r="N375" s="109"/>
      <c r="O375" s="109"/>
      <c r="P375" s="109"/>
      <c r="Q375" s="109"/>
      <c r="R375" s="109"/>
      <c r="S375" s="109"/>
      <c r="T375" s="109"/>
      <c r="U375" s="109"/>
      <c r="V375" s="109"/>
      <c r="W375" s="109"/>
      <c r="X375" s="109"/>
      <c r="Y375" s="109"/>
      <c r="Z375" s="109"/>
    </row>
    <row r="376" ht="29.25" customHeight="1">
      <c r="A376" s="109"/>
      <c r="B376" s="109"/>
      <c r="C376" s="109"/>
      <c r="D376" s="109"/>
      <c r="E376" s="109"/>
      <c r="F376" s="109"/>
      <c r="G376" s="317"/>
      <c r="H376" s="109"/>
      <c r="I376" s="109"/>
      <c r="J376" s="109"/>
      <c r="K376" s="109"/>
      <c r="L376" s="109"/>
      <c r="M376" s="109"/>
      <c r="N376" s="109"/>
      <c r="O376" s="109"/>
      <c r="P376" s="109"/>
      <c r="Q376" s="109"/>
      <c r="R376" s="109"/>
      <c r="S376" s="109"/>
      <c r="T376" s="109"/>
      <c r="U376" s="109"/>
      <c r="V376" s="109"/>
      <c r="W376" s="109"/>
      <c r="X376" s="109"/>
      <c r="Y376" s="109"/>
      <c r="Z376" s="109"/>
    </row>
    <row r="377" ht="29.25" customHeight="1">
      <c r="A377" s="109"/>
      <c r="B377" s="109"/>
      <c r="C377" s="109"/>
      <c r="D377" s="109"/>
      <c r="E377" s="109"/>
      <c r="F377" s="109"/>
      <c r="G377" s="317"/>
      <c r="H377" s="109"/>
      <c r="I377" s="109"/>
      <c r="J377" s="109"/>
      <c r="K377" s="109"/>
      <c r="L377" s="109"/>
      <c r="M377" s="109"/>
      <c r="N377" s="109"/>
      <c r="O377" s="109"/>
      <c r="P377" s="109"/>
      <c r="Q377" s="109"/>
      <c r="R377" s="109"/>
      <c r="S377" s="109"/>
      <c r="T377" s="109"/>
      <c r="U377" s="109"/>
      <c r="V377" s="109"/>
      <c r="W377" s="109"/>
      <c r="X377" s="109"/>
      <c r="Y377" s="109"/>
      <c r="Z377" s="109"/>
    </row>
    <row r="378" ht="29.25" customHeight="1">
      <c r="A378" s="109"/>
      <c r="B378" s="109"/>
      <c r="C378" s="109"/>
      <c r="D378" s="109"/>
      <c r="E378" s="109"/>
      <c r="F378" s="109"/>
      <c r="G378" s="317"/>
      <c r="H378" s="109"/>
      <c r="I378" s="109"/>
      <c r="J378" s="109"/>
      <c r="K378" s="109"/>
      <c r="L378" s="109"/>
      <c r="M378" s="109"/>
      <c r="N378" s="109"/>
      <c r="O378" s="109"/>
      <c r="P378" s="109"/>
      <c r="Q378" s="109"/>
      <c r="R378" s="109"/>
      <c r="S378" s="109"/>
      <c r="T378" s="109"/>
      <c r="U378" s="109"/>
      <c r="V378" s="109"/>
      <c r="W378" s="109"/>
      <c r="X378" s="109"/>
      <c r="Y378" s="109"/>
      <c r="Z378" s="109"/>
    </row>
    <row r="379" ht="29.25" customHeight="1">
      <c r="A379" s="109"/>
      <c r="B379" s="109"/>
      <c r="C379" s="109"/>
      <c r="D379" s="109"/>
      <c r="E379" s="109"/>
      <c r="F379" s="109"/>
      <c r="G379" s="317"/>
      <c r="H379" s="109"/>
      <c r="I379" s="109"/>
      <c r="J379" s="109"/>
      <c r="K379" s="109"/>
      <c r="L379" s="109"/>
      <c r="M379" s="109"/>
      <c r="N379" s="109"/>
      <c r="O379" s="109"/>
      <c r="P379" s="109"/>
      <c r="Q379" s="109"/>
      <c r="R379" s="109"/>
      <c r="S379" s="109"/>
      <c r="T379" s="109"/>
      <c r="U379" s="109"/>
      <c r="V379" s="109"/>
      <c r="W379" s="109"/>
      <c r="X379" s="109"/>
      <c r="Y379" s="109"/>
      <c r="Z379" s="109"/>
    </row>
    <row r="380" ht="29.25" customHeight="1">
      <c r="A380" s="109"/>
      <c r="B380" s="109"/>
      <c r="C380" s="109"/>
      <c r="D380" s="109"/>
      <c r="E380" s="109"/>
      <c r="F380" s="109"/>
      <c r="G380" s="317"/>
      <c r="H380" s="109"/>
      <c r="I380" s="109"/>
      <c r="J380" s="109"/>
      <c r="K380" s="109"/>
      <c r="L380" s="109"/>
      <c r="M380" s="109"/>
      <c r="N380" s="109"/>
      <c r="O380" s="109"/>
      <c r="P380" s="109"/>
      <c r="Q380" s="109"/>
      <c r="R380" s="109"/>
      <c r="S380" s="109"/>
      <c r="T380" s="109"/>
      <c r="U380" s="109"/>
      <c r="V380" s="109"/>
      <c r="W380" s="109"/>
      <c r="X380" s="109"/>
      <c r="Y380" s="109"/>
      <c r="Z380" s="109"/>
    </row>
    <row r="381" ht="29.25" customHeight="1">
      <c r="A381" s="109"/>
      <c r="B381" s="109"/>
      <c r="C381" s="109"/>
      <c r="D381" s="109"/>
      <c r="E381" s="109"/>
      <c r="F381" s="109"/>
      <c r="G381" s="317"/>
      <c r="H381" s="109"/>
      <c r="I381" s="109"/>
      <c r="J381" s="109"/>
      <c r="K381" s="109"/>
      <c r="L381" s="109"/>
      <c r="M381" s="109"/>
      <c r="N381" s="109"/>
      <c r="O381" s="109"/>
      <c r="P381" s="109"/>
      <c r="Q381" s="109"/>
      <c r="R381" s="109"/>
      <c r="S381" s="109"/>
      <c r="T381" s="109"/>
      <c r="U381" s="109"/>
      <c r="V381" s="109"/>
      <c r="W381" s="109"/>
      <c r="X381" s="109"/>
      <c r="Y381" s="109"/>
      <c r="Z381" s="109"/>
    </row>
    <row r="382" ht="29.25" customHeight="1">
      <c r="A382" s="109"/>
      <c r="B382" s="109"/>
      <c r="C382" s="109"/>
      <c r="D382" s="109"/>
      <c r="E382" s="109"/>
      <c r="F382" s="109"/>
      <c r="G382" s="317"/>
      <c r="H382" s="109"/>
      <c r="I382" s="109"/>
      <c r="J382" s="109"/>
      <c r="K382" s="109"/>
      <c r="L382" s="109"/>
      <c r="M382" s="109"/>
      <c r="N382" s="109"/>
      <c r="O382" s="109"/>
      <c r="P382" s="109"/>
      <c r="Q382" s="109"/>
      <c r="R382" s="109"/>
      <c r="S382" s="109"/>
      <c r="T382" s="109"/>
      <c r="U382" s="109"/>
      <c r="V382" s="109"/>
      <c r="W382" s="109"/>
      <c r="X382" s="109"/>
      <c r="Y382" s="109"/>
      <c r="Z382" s="109"/>
    </row>
    <row r="383" ht="29.25" customHeight="1">
      <c r="A383" s="109"/>
      <c r="B383" s="109"/>
      <c r="C383" s="109"/>
      <c r="D383" s="109"/>
      <c r="E383" s="109"/>
      <c r="F383" s="109"/>
      <c r="G383" s="317"/>
      <c r="H383" s="109"/>
      <c r="I383" s="109"/>
      <c r="J383" s="109"/>
      <c r="K383" s="109"/>
      <c r="L383" s="109"/>
      <c r="M383" s="109"/>
      <c r="N383" s="109"/>
      <c r="O383" s="109"/>
      <c r="P383" s="109"/>
      <c r="Q383" s="109"/>
      <c r="R383" s="109"/>
      <c r="S383" s="109"/>
      <c r="T383" s="109"/>
      <c r="U383" s="109"/>
      <c r="V383" s="109"/>
      <c r="W383" s="109"/>
      <c r="X383" s="109"/>
      <c r="Y383" s="109"/>
      <c r="Z383" s="109"/>
    </row>
    <row r="384" ht="29.25" customHeight="1">
      <c r="A384" s="109"/>
      <c r="B384" s="109"/>
      <c r="C384" s="109"/>
      <c r="D384" s="109"/>
      <c r="E384" s="109"/>
      <c r="F384" s="109"/>
      <c r="G384" s="317"/>
      <c r="H384" s="109"/>
      <c r="I384" s="109"/>
      <c r="J384" s="109"/>
      <c r="K384" s="109"/>
      <c r="L384" s="109"/>
      <c r="M384" s="109"/>
      <c r="N384" s="109"/>
      <c r="O384" s="109"/>
      <c r="P384" s="109"/>
      <c r="Q384" s="109"/>
      <c r="R384" s="109"/>
      <c r="S384" s="109"/>
      <c r="T384" s="109"/>
      <c r="U384" s="109"/>
      <c r="V384" s="109"/>
      <c r="W384" s="109"/>
      <c r="X384" s="109"/>
      <c r="Y384" s="109"/>
      <c r="Z384" s="109"/>
    </row>
    <row r="385" ht="29.25" customHeight="1">
      <c r="A385" s="109"/>
      <c r="B385" s="109"/>
      <c r="C385" s="109"/>
      <c r="D385" s="109"/>
      <c r="E385" s="109"/>
      <c r="F385" s="109"/>
      <c r="G385" s="317"/>
      <c r="H385" s="109"/>
      <c r="I385" s="109"/>
      <c r="J385" s="109"/>
      <c r="K385" s="109"/>
      <c r="L385" s="109"/>
      <c r="M385" s="109"/>
      <c r="N385" s="109"/>
      <c r="O385" s="109"/>
      <c r="P385" s="109"/>
      <c r="Q385" s="109"/>
      <c r="R385" s="109"/>
      <c r="S385" s="109"/>
      <c r="T385" s="109"/>
      <c r="U385" s="109"/>
      <c r="V385" s="109"/>
      <c r="W385" s="109"/>
      <c r="X385" s="109"/>
      <c r="Y385" s="109"/>
      <c r="Z385" s="109"/>
    </row>
    <row r="386" ht="29.25" customHeight="1">
      <c r="A386" s="109"/>
      <c r="B386" s="109"/>
      <c r="C386" s="109"/>
      <c r="D386" s="109"/>
      <c r="E386" s="109"/>
      <c r="F386" s="109"/>
      <c r="G386" s="317"/>
      <c r="H386" s="109"/>
      <c r="I386" s="109"/>
      <c r="J386" s="109"/>
      <c r="K386" s="109"/>
      <c r="L386" s="109"/>
      <c r="M386" s="109"/>
      <c r="N386" s="109"/>
      <c r="O386" s="109"/>
      <c r="P386" s="109"/>
      <c r="Q386" s="109"/>
      <c r="R386" s="109"/>
      <c r="S386" s="109"/>
      <c r="T386" s="109"/>
      <c r="U386" s="109"/>
      <c r="V386" s="109"/>
      <c r="W386" s="109"/>
      <c r="X386" s="109"/>
      <c r="Y386" s="109"/>
      <c r="Z386" s="109"/>
    </row>
    <row r="387" ht="29.25" customHeight="1">
      <c r="A387" s="109"/>
      <c r="B387" s="109"/>
      <c r="C387" s="109"/>
      <c r="D387" s="109"/>
      <c r="E387" s="109"/>
      <c r="F387" s="109"/>
      <c r="G387" s="317"/>
      <c r="H387" s="109"/>
      <c r="I387" s="109"/>
      <c r="J387" s="109"/>
      <c r="K387" s="109"/>
      <c r="L387" s="109"/>
      <c r="M387" s="109"/>
      <c r="N387" s="109"/>
      <c r="O387" s="109"/>
      <c r="P387" s="109"/>
      <c r="Q387" s="109"/>
      <c r="R387" s="109"/>
      <c r="S387" s="109"/>
      <c r="T387" s="109"/>
      <c r="U387" s="109"/>
      <c r="V387" s="109"/>
      <c r="W387" s="109"/>
      <c r="X387" s="109"/>
      <c r="Y387" s="109"/>
      <c r="Z387" s="109"/>
    </row>
    <row r="388" ht="29.25" customHeight="1">
      <c r="A388" s="109"/>
      <c r="B388" s="109"/>
      <c r="C388" s="109"/>
      <c r="D388" s="109"/>
      <c r="E388" s="109"/>
      <c r="F388" s="109"/>
      <c r="G388" s="317"/>
      <c r="H388" s="109"/>
      <c r="I388" s="109"/>
      <c r="J388" s="109"/>
      <c r="K388" s="109"/>
      <c r="L388" s="109"/>
      <c r="M388" s="109"/>
      <c r="N388" s="109"/>
      <c r="O388" s="109"/>
      <c r="P388" s="109"/>
      <c r="Q388" s="109"/>
      <c r="R388" s="109"/>
      <c r="S388" s="109"/>
      <c r="T388" s="109"/>
      <c r="U388" s="109"/>
      <c r="V388" s="109"/>
      <c r="W388" s="109"/>
      <c r="X388" s="109"/>
      <c r="Y388" s="109"/>
      <c r="Z388" s="109"/>
    </row>
    <row r="389" ht="29.25" customHeight="1">
      <c r="A389" s="109"/>
      <c r="B389" s="109"/>
      <c r="C389" s="109"/>
      <c r="D389" s="109"/>
      <c r="E389" s="109"/>
      <c r="F389" s="109"/>
      <c r="G389" s="317"/>
      <c r="H389" s="109"/>
      <c r="I389" s="109"/>
      <c r="J389" s="109"/>
      <c r="K389" s="109"/>
      <c r="L389" s="109"/>
      <c r="M389" s="109"/>
      <c r="N389" s="109"/>
      <c r="O389" s="109"/>
      <c r="P389" s="109"/>
      <c r="Q389" s="109"/>
      <c r="R389" s="109"/>
      <c r="S389" s="109"/>
      <c r="T389" s="109"/>
      <c r="U389" s="109"/>
      <c r="V389" s="109"/>
      <c r="W389" s="109"/>
      <c r="X389" s="109"/>
      <c r="Y389" s="109"/>
      <c r="Z389" s="109"/>
    </row>
    <row r="390" ht="29.25" customHeight="1">
      <c r="A390" s="109"/>
      <c r="B390" s="109"/>
      <c r="C390" s="109"/>
      <c r="D390" s="109"/>
      <c r="E390" s="109"/>
      <c r="F390" s="109"/>
      <c r="G390" s="317"/>
      <c r="H390" s="109"/>
      <c r="I390" s="109"/>
      <c r="J390" s="109"/>
      <c r="K390" s="109"/>
      <c r="L390" s="109"/>
      <c r="M390" s="109"/>
      <c r="N390" s="109"/>
      <c r="O390" s="109"/>
      <c r="P390" s="109"/>
      <c r="Q390" s="109"/>
      <c r="R390" s="109"/>
      <c r="S390" s="109"/>
      <c r="T390" s="109"/>
      <c r="U390" s="109"/>
      <c r="V390" s="109"/>
      <c r="W390" s="109"/>
      <c r="X390" s="109"/>
      <c r="Y390" s="109"/>
      <c r="Z390" s="109"/>
    </row>
    <row r="391" ht="29.25" customHeight="1">
      <c r="A391" s="109"/>
      <c r="B391" s="109"/>
      <c r="C391" s="109"/>
      <c r="D391" s="109"/>
      <c r="E391" s="109"/>
      <c r="F391" s="109"/>
      <c r="G391" s="317"/>
      <c r="H391" s="109"/>
      <c r="I391" s="109"/>
      <c r="J391" s="109"/>
      <c r="K391" s="109"/>
      <c r="L391" s="109"/>
      <c r="M391" s="109"/>
      <c r="N391" s="109"/>
      <c r="O391" s="109"/>
      <c r="P391" s="109"/>
      <c r="Q391" s="109"/>
      <c r="R391" s="109"/>
      <c r="S391" s="109"/>
      <c r="T391" s="109"/>
      <c r="U391" s="109"/>
      <c r="V391" s="109"/>
      <c r="W391" s="109"/>
      <c r="X391" s="109"/>
      <c r="Y391" s="109"/>
      <c r="Z391" s="109"/>
    </row>
    <row r="392" ht="29.25" customHeight="1">
      <c r="A392" s="109"/>
      <c r="B392" s="109"/>
      <c r="C392" s="109"/>
      <c r="D392" s="109"/>
      <c r="E392" s="109"/>
      <c r="F392" s="109"/>
      <c r="G392" s="317"/>
      <c r="H392" s="109"/>
      <c r="I392" s="109"/>
      <c r="J392" s="109"/>
      <c r="K392" s="109"/>
      <c r="L392" s="109"/>
      <c r="M392" s="109"/>
      <c r="N392" s="109"/>
      <c r="O392" s="109"/>
      <c r="P392" s="109"/>
      <c r="Q392" s="109"/>
      <c r="R392" s="109"/>
      <c r="S392" s="109"/>
      <c r="T392" s="109"/>
      <c r="U392" s="109"/>
      <c r="V392" s="109"/>
      <c r="W392" s="109"/>
      <c r="X392" s="109"/>
      <c r="Y392" s="109"/>
      <c r="Z392" s="109"/>
    </row>
    <row r="393" ht="29.25" customHeight="1">
      <c r="A393" s="109"/>
      <c r="B393" s="109"/>
      <c r="C393" s="109"/>
      <c r="D393" s="109"/>
      <c r="E393" s="109"/>
      <c r="F393" s="109"/>
      <c r="G393" s="317"/>
      <c r="H393" s="109"/>
      <c r="I393" s="109"/>
      <c r="J393" s="109"/>
      <c r="K393" s="109"/>
      <c r="L393" s="109"/>
      <c r="M393" s="109"/>
      <c r="N393" s="109"/>
      <c r="O393" s="109"/>
      <c r="P393" s="109"/>
      <c r="Q393" s="109"/>
      <c r="R393" s="109"/>
      <c r="S393" s="109"/>
      <c r="T393" s="109"/>
      <c r="U393" s="109"/>
      <c r="V393" s="109"/>
      <c r="W393" s="109"/>
      <c r="X393" s="109"/>
      <c r="Y393" s="109"/>
      <c r="Z393" s="109"/>
    </row>
    <row r="394" ht="29.25" customHeight="1">
      <c r="A394" s="109"/>
      <c r="B394" s="109"/>
      <c r="C394" s="109"/>
      <c r="D394" s="109"/>
      <c r="E394" s="109"/>
      <c r="F394" s="109"/>
      <c r="G394" s="317"/>
      <c r="H394" s="109"/>
      <c r="I394" s="109"/>
      <c r="J394" s="109"/>
      <c r="K394" s="109"/>
      <c r="L394" s="109"/>
      <c r="M394" s="109"/>
      <c r="N394" s="109"/>
      <c r="O394" s="109"/>
      <c r="P394" s="109"/>
      <c r="Q394" s="109"/>
      <c r="R394" s="109"/>
      <c r="S394" s="109"/>
      <c r="T394" s="109"/>
      <c r="U394" s="109"/>
      <c r="V394" s="109"/>
      <c r="W394" s="109"/>
      <c r="X394" s="109"/>
      <c r="Y394" s="109"/>
      <c r="Z394" s="109"/>
    </row>
    <row r="395" ht="29.25" customHeight="1">
      <c r="A395" s="109"/>
      <c r="B395" s="109"/>
      <c r="C395" s="109"/>
      <c r="D395" s="109"/>
      <c r="E395" s="109"/>
      <c r="F395" s="109"/>
      <c r="G395" s="317"/>
      <c r="H395" s="109"/>
      <c r="I395" s="109"/>
      <c r="J395" s="109"/>
      <c r="K395" s="109"/>
      <c r="L395" s="109"/>
      <c r="M395" s="109"/>
      <c r="N395" s="109"/>
      <c r="O395" s="109"/>
      <c r="P395" s="109"/>
      <c r="Q395" s="109"/>
      <c r="R395" s="109"/>
      <c r="S395" s="109"/>
      <c r="T395" s="109"/>
      <c r="U395" s="109"/>
      <c r="V395" s="109"/>
      <c r="W395" s="109"/>
      <c r="X395" s="109"/>
      <c r="Y395" s="109"/>
      <c r="Z395" s="109"/>
    </row>
    <row r="396" ht="29.25" customHeight="1">
      <c r="A396" s="109"/>
      <c r="B396" s="109"/>
      <c r="C396" s="109"/>
      <c r="D396" s="109"/>
      <c r="E396" s="109"/>
      <c r="F396" s="109"/>
      <c r="G396" s="317"/>
      <c r="H396" s="109"/>
      <c r="I396" s="109"/>
      <c r="J396" s="109"/>
      <c r="K396" s="109"/>
      <c r="L396" s="109"/>
      <c r="M396" s="109"/>
      <c r="N396" s="109"/>
      <c r="O396" s="109"/>
      <c r="P396" s="109"/>
      <c r="Q396" s="109"/>
      <c r="R396" s="109"/>
      <c r="S396" s="109"/>
      <c r="T396" s="109"/>
      <c r="U396" s="109"/>
      <c r="V396" s="109"/>
      <c r="W396" s="109"/>
      <c r="X396" s="109"/>
      <c r="Y396" s="109"/>
      <c r="Z396" s="109"/>
    </row>
    <row r="397" ht="29.25" customHeight="1">
      <c r="A397" s="109"/>
      <c r="B397" s="109"/>
      <c r="C397" s="109"/>
      <c r="D397" s="109"/>
      <c r="E397" s="109"/>
      <c r="F397" s="109"/>
      <c r="G397" s="317"/>
      <c r="H397" s="109"/>
      <c r="I397" s="109"/>
      <c r="J397" s="109"/>
      <c r="K397" s="109"/>
      <c r="L397" s="109"/>
      <c r="M397" s="109"/>
      <c r="N397" s="109"/>
      <c r="O397" s="109"/>
      <c r="P397" s="109"/>
      <c r="Q397" s="109"/>
      <c r="R397" s="109"/>
      <c r="S397" s="109"/>
      <c r="T397" s="109"/>
      <c r="U397" s="109"/>
      <c r="V397" s="109"/>
      <c r="W397" s="109"/>
      <c r="X397" s="109"/>
      <c r="Y397" s="109"/>
      <c r="Z397" s="109"/>
    </row>
    <row r="398" ht="29.25" customHeight="1">
      <c r="A398" s="109"/>
      <c r="B398" s="109"/>
      <c r="C398" s="109"/>
      <c r="D398" s="109"/>
      <c r="E398" s="109"/>
      <c r="F398" s="109"/>
      <c r="G398" s="317"/>
      <c r="H398" s="109"/>
      <c r="I398" s="109"/>
      <c r="J398" s="109"/>
      <c r="K398" s="109"/>
      <c r="L398" s="109"/>
      <c r="M398" s="109"/>
      <c r="N398" s="109"/>
      <c r="O398" s="109"/>
      <c r="P398" s="109"/>
      <c r="Q398" s="109"/>
      <c r="R398" s="109"/>
      <c r="S398" s="109"/>
      <c r="T398" s="109"/>
      <c r="U398" s="109"/>
      <c r="V398" s="109"/>
      <c r="W398" s="109"/>
      <c r="X398" s="109"/>
      <c r="Y398" s="109"/>
      <c r="Z398" s="109"/>
    </row>
    <row r="399" ht="29.25" customHeight="1">
      <c r="A399" s="109"/>
      <c r="B399" s="109"/>
      <c r="C399" s="109"/>
      <c r="D399" s="109"/>
      <c r="E399" s="109"/>
      <c r="F399" s="109"/>
      <c r="G399" s="317"/>
      <c r="H399" s="109"/>
      <c r="I399" s="109"/>
      <c r="J399" s="109"/>
      <c r="K399" s="109"/>
      <c r="L399" s="109"/>
      <c r="M399" s="109"/>
      <c r="N399" s="109"/>
      <c r="O399" s="109"/>
      <c r="P399" s="109"/>
      <c r="Q399" s="109"/>
      <c r="R399" s="109"/>
      <c r="S399" s="109"/>
      <c r="T399" s="109"/>
      <c r="U399" s="109"/>
      <c r="V399" s="109"/>
      <c r="W399" s="109"/>
      <c r="X399" s="109"/>
      <c r="Y399" s="109"/>
      <c r="Z399" s="109"/>
    </row>
    <row r="400" ht="29.25" customHeight="1">
      <c r="A400" s="109"/>
      <c r="B400" s="109"/>
      <c r="C400" s="109"/>
      <c r="D400" s="109"/>
      <c r="E400" s="109"/>
      <c r="F400" s="109"/>
      <c r="G400" s="317"/>
      <c r="H400" s="109"/>
      <c r="I400" s="109"/>
      <c r="J400" s="109"/>
      <c r="K400" s="109"/>
      <c r="L400" s="109"/>
      <c r="M400" s="109"/>
      <c r="N400" s="109"/>
      <c r="O400" s="109"/>
      <c r="P400" s="109"/>
      <c r="Q400" s="109"/>
      <c r="R400" s="109"/>
      <c r="S400" s="109"/>
      <c r="T400" s="109"/>
      <c r="U400" s="109"/>
      <c r="V400" s="109"/>
      <c r="W400" s="109"/>
      <c r="X400" s="109"/>
      <c r="Y400" s="109"/>
      <c r="Z400" s="109"/>
    </row>
    <row r="401" ht="29.25" customHeight="1">
      <c r="A401" s="109"/>
      <c r="B401" s="109"/>
      <c r="C401" s="109"/>
      <c r="D401" s="109"/>
      <c r="E401" s="109"/>
      <c r="F401" s="109"/>
      <c r="G401" s="317"/>
      <c r="H401" s="109"/>
      <c r="I401" s="109"/>
      <c r="J401" s="109"/>
      <c r="K401" s="109"/>
      <c r="L401" s="109"/>
      <c r="M401" s="109"/>
      <c r="N401" s="109"/>
      <c r="O401" s="109"/>
      <c r="P401" s="109"/>
      <c r="Q401" s="109"/>
      <c r="R401" s="109"/>
      <c r="S401" s="109"/>
      <c r="T401" s="109"/>
      <c r="U401" s="109"/>
      <c r="V401" s="109"/>
      <c r="W401" s="109"/>
      <c r="X401" s="109"/>
      <c r="Y401" s="109"/>
      <c r="Z401" s="109"/>
    </row>
    <row r="402" ht="29.25" customHeight="1">
      <c r="A402" s="109"/>
      <c r="B402" s="109"/>
      <c r="C402" s="109"/>
      <c r="D402" s="109"/>
      <c r="E402" s="109"/>
      <c r="F402" s="109"/>
      <c r="G402" s="317"/>
      <c r="H402" s="109"/>
      <c r="I402" s="109"/>
      <c r="J402" s="109"/>
      <c r="K402" s="109"/>
      <c r="L402" s="109"/>
      <c r="M402" s="109"/>
      <c r="N402" s="109"/>
      <c r="O402" s="109"/>
      <c r="P402" s="109"/>
      <c r="Q402" s="109"/>
      <c r="R402" s="109"/>
      <c r="S402" s="109"/>
      <c r="T402" s="109"/>
      <c r="U402" s="109"/>
      <c r="V402" s="109"/>
      <c r="W402" s="109"/>
      <c r="X402" s="109"/>
      <c r="Y402" s="109"/>
      <c r="Z402" s="109"/>
    </row>
    <row r="403" ht="29.25" customHeight="1">
      <c r="A403" s="109"/>
      <c r="B403" s="109"/>
      <c r="C403" s="109"/>
      <c r="D403" s="109"/>
      <c r="E403" s="109"/>
      <c r="F403" s="109"/>
      <c r="G403" s="317"/>
      <c r="H403" s="109"/>
      <c r="I403" s="109"/>
      <c r="J403" s="109"/>
      <c r="K403" s="109"/>
      <c r="L403" s="109"/>
      <c r="M403" s="109"/>
      <c r="N403" s="109"/>
      <c r="O403" s="109"/>
      <c r="P403" s="109"/>
      <c r="Q403" s="109"/>
      <c r="R403" s="109"/>
      <c r="S403" s="109"/>
      <c r="T403" s="109"/>
      <c r="U403" s="109"/>
      <c r="V403" s="109"/>
      <c r="W403" s="109"/>
      <c r="X403" s="109"/>
      <c r="Y403" s="109"/>
      <c r="Z403" s="109"/>
    </row>
    <row r="404" ht="29.25" customHeight="1">
      <c r="A404" s="109"/>
      <c r="B404" s="109"/>
      <c r="C404" s="109"/>
      <c r="D404" s="109"/>
      <c r="E404" s="109"/>
      <c r="F404" s="109"/>
      <c r="G404" s="317"/>
      <c r="H404" s="109"/>
      <c r="I404" s="109"/>
      <c r="J404" s="109"/>
      <c r="K404" s="109"/>
      <c r="L404" s="109"/>
      <c r="M404" s="109"/>
      <c r="N404" s="109"/>
      <c r="O404" s="109"/>
      <c r="P404" s="109"/>
      <c r="Q404" s="109"/>
      <c r="R404" s="109"/>
      <c r="S404" s="109"/>
      <c r="T404" s="109"/>
      <c r="U404" s="109"/>
      <c r="V404" s="109"/>
      <c r="W404" s="109"/>
      <c r="X404" s="109"/>
      <c r="Y404" s="109"/>
      <c r="Z404" s="109"/>
    </row>
    <row r="405" ht="29.25" customHeight="1">
      <c r="A405" s="109"/>
      <c r="B405" s="109"/>
      <c r="C405" s="109"/>
      <c r="D405" s="109"/>
      <c r="E405" s="109"/>
      <c r="F405" s="109"/>
      <c r="G405" s="317"/>
      <c r="H405" s="109"/>
      <c r="I405" s="109"/>
      <c r="J405" s="109"/>
      <c r="K405" s="109"/>
      <c r="L405" s="109"/>
      <c r="M405" s="109"/>
      <c r="N405" s="109"/>
      <c r="O405" s="109"/>
      <c r="P405" s="109"/>
      <c r="Q405" s="109"/>
      <c r="R405" s="109"/>
      <c r="S405" s="109"/>
      <c r="T405" s="109"/>
      <c r="U405" s="109"/>
      <c r="V405" s="109"/>
      <c r="W405" s="109"/>
      <c r="X405" s="109"/>
      <c r="Y405" s="109"/>
      <c r="Z405" s="109"/>
    </row>
    <row r="406" ht="29.25" customHeight="1">
      <c r="A406" s="109"/>
      <c r="B406" s="109"/>
      <c r="C406" s="109"/>
      <c r="D406" s="109"/>
      <c r="E406" s="109"/>
      <c r="F406" s="109"/>
      <c r="G406" s="317"/>
      <c r="H406" s="109"/>
      <c r="I406" s="109"/>
      <c r="J406" s="109"/>
      <c r="K406" s="109"/>
      <c r="L406" s="109"/>
      <c r="M406" s="109"/>
      <c r="N406" s="109"/>
      <c r="O406" s="109"/>
      <c r="P406" s="109"/>
      <c r="Q406" s="109"/>
      <c r="R406" s="109"/>
      <c r="S406" s="109"/>
      <c r="T406" s="109"/>
      <c r="U406" s="109"/>
      <c r="V406" s="109"/>
      <c r="W406" s="109"/>
      <c r="X406" s="109"/>
      <c r="Y406" s="109"/>
      <c r="Z406" s="109"/>
    </row>
    <row r="407" ht="29.25" customHeight="1">
      <c r="A407" s="109"/>
      <c r="B407" s="109"/>
      <c r="C407" s="109"/>
      <c r="D407" s="109"/>
      <c r="E407" s="109"/>
      <c r="F407" s="109"/>
      <c r="G407" s="317"/>
      <c r="H407" s="109"/>
      <c r="I407" s="109"/>
      <c r="J407" s="109"/>
      <c r="K407" s="109"/>
      <c r="L407" s="109"/>
      <c r="M407" s="109"/>
      <c r="N407" s="109"/>
      <c r="O407" s="109"/>
      <c r="P407" s="109"/>
      <c r="Q407" s="109"/>
      <c r="R407" s="109"/>
      <c r="S407" s="109"/>
      <c r="T407" s="109"/>
      <c r="U407" s="109"/>
      <c r="V407" s="109"/>
      <c r="W407" s="109"/>
      <c r="X407" s="109"/>
      <c r="Y407" s="109"/>
      <c r="Z407" s="109"/>
    </row>
    <row r="408" ht="29.25" customHeight="1">
      <c r="A408" s="109"/>
      <c r="B408" s="109"/>
      <c r="C408" s="109"/>
      <c r="D408" s="109"/>
      <c r="E408" s="109"/>
      <c r="F408" s="109"/>
      <c r="G408" s="317"/>
      <c r="H408" s="109"/>
      <c r="I408" s="109"/>
      <c r="J408" s="109"/>
      <c r="K408" s="109"/>
      <c r="L408" s="109"/>
      <c r="M408" s="109"/>
      <c r="N408" s="109"/>
      <c r="O408" s="109"/>
      <c r="P408" s="109"/>
      <c r="Q408" s="109"/>
      <c r="R408" s="109"/>
      <c r="S408" s="109"/>
      <c r="T408" s="109"/>
      <c r="U408" s="109"/>
      <c r="V408" s="109"/>
      <c r="W408" s="109"/>
      <c r="X408" s="109"/>
      <c r="Y408" s="109"/>
      <c r="Z408" s="109"/>
    </row>
    <row r="409" ht="29.25" customHeight="1">
      <c r="A409" s="109"/>
      <c r="B409" s="109"/>
      <c r="C409" s="109"/>
      <c r="D409" s="109"/>
      <c r="E409" s="109"/>
      <c r="F409" s="109"/>
      <c r="G409" s="317"/>
      <c r="H409" s="109"/>
      <c r="I409" s="109"/>
      <c r="J409" s="109"/>
      <c r="K409" s="109"/>
      <c r="L409" s="109"/>
      <c r="M409" s="109"/>
      <c r="N409" s="109"/>
      <c r="O409" s="109"/>
      <c r="P409" s="109"/>
      <c r="Q409" s="109"/>
      <c r="R409" s="109"/>
      <c r="S409" s="109"/>
      <c r="T409" s="109"/>
      <c r="U409" s="109"/>
      <c r="V409" s="109"/>
      <c r="W409" s="109"/>
      <c r="X409" s="109"/>
      <c r="Y409" s="109"/>
      <c r="Z409" s="109"/>
    </row>
    <row r="410" ht="29.25" customHeight="1">
      <c r="A410" s="109"/>
      <c r="B410" s="109"/>
      <c r="C410" s="109"/>
      <c r="D410" s="109"/>
      <c r="E410" s="109"/>
      <c r="F410" s="109"/>
      <c r="G410" s="317"/>
      <c r="H410" s="109"/>
      <c r="I410" s="109"/>
      <c r="J410" s="109"/>
      <c r="K410" s="109"/>
      <c r="L410" s="109"/>
      <c r="M410" s="109"/>
      <c r="N410" s="109"/>
      <c r="O410" s="109"/>
      <c r="P410" s="109"/>
      <c r="Q410" s="109"/>
      <c r="R410" s="109"/>
      <c r="S410" s="109"/>
      <c r="T410" s="109"/>
      <c r="U410" s="109"/>
      <c r="V410" s="109"/>
      <c r="W410" s="109"/>
      <c r="X410" s="109"/>
      <c r="Y410" s="109"/>
      <c r="Z410" s="109"/>
    </row>
    <row r="411" ht="29.25" customHeight="1">
      <c r="A411" s="109"/>
      <c r="B411" s="109"/>
      <c r="C411" s="109"/>
      <c r="D411" s="109"/>
      <c r="E411" s="109"/>
      <c r="F411" s="109"/>
      <c r="G411" s="317"/>
      <c r="H411" s="109"/>
      <c r="I411" s="109"/>
      <c r="J411" s="109"/>
      <c r="K411" s="109"/>
      <c r="L411" s="109"/>
      <c r="M411" s="109"/>
      <c r="N411" s="109"/>
      <c r="O411" s="109"/>
      <c r="P411" s="109"/>
      <c r="Q411" s="109"/>
      <c r="R411" s="109"/>
      <c r="S411" s="109"/>
      <c r="T411" s="109"/>
      <c r="U411" s="109"/>
      <c r="V411" s="109"/>
      <c r="W411" s="109"/>
      <c r="X411" s="109"/>
      <c r="Y411" s="109"/>
      <c r="Z411" s="109"/>
    </row>
    <row r="412" ht="29.25" customHeight="1">
      <c r="A412" s="109"/>
      <c r="B412" s="109"/>
      <c r="C412" s="109"/>
      <c r="D412" s="109"/>
      <c r="E412" s="109"/>
      <c r="F412" s="109"/>
      <c r="G412" s="317"/>
      <c r="H412" s="109"/>
      <c r="I412" s="109"/>
      <c r="J412" s="109"/>
      <c r="K412" s="109"/>
      <c r="L412" s="109"/>
      <c r="M412" s="109"/>
      <c r="N412" s="109"/>
      <c r="O412" s="109"/>
      <c r="P412" s="109"/>
      <c r="Q412" s="109"/>
      <c r="R412" s="109"/>
      <c r="S412" s="109"/>
      <c r="T412" s="109"/>
      <c r="U412" s="109"/>
      <c r="V412" s="109"/>
      <c r="W412" s="109"/>
      <c r="X412" s="109"/>
      <c r="Y412" s="109"/>
      <c r="Z412" s="109"/>
    </row>
    <row r="413" ht="29.25" customHeight="1">
      <c r="A413" s="109"/>
      <c r="B413" s="109"/>
      <c r="C413" s="109"/>
      <c r="D413" s="109"/>
      <c r="E413" s="109"/>
      <c r="F413" s="109"/>
      <c r="G413" s="317"/>
      <c r="H413" s="109"/>
      <c r="I413" s="109"/>
      <c r="J413" s="109"/>
      <c r="K413" s="109"/>
      <c r="L413" s="109"/>
      <c r="M413" s="109"/>
      <c r="N413" s="109"/>
      <c r="O413" s="109"/>
      <c r="P413" s="109"/>
      <c r="Q413" s="109"/>
      <c r="R413" s="109"/>
      <c r="S413" s="109"/>
      <c r="T413" s="109"/>
      <c r="U413" s="109"/>
      <c r="V413" s="109"/>
      <c r="W413" s="109"/>
      <c r="X413" s="109"/>
      <c r="Y413" s="109"/>
      <c r="Z413" s="109"/>
    </row>
    <row r="414" ht="29.25" customHeight="1">
      <c r="A414" s="109"/>
      <c r="B414" s="109"/>
      <c r="C414" s="109"/>
      <c r="D414" s="109"/>
      <c r="E414" s="109"/>
      <c r="F414" s="109"/>
      <c r="G414" s="317"/>
      <c r="H414" s="109"/>
      <c r="I414" s="109"/>
      <c r="J414" s="109"/>
      <c r="K414" s="109"/>
      <c r="L414" s="109"/>
      <c r="M414" s="109"/>
      <c r="N414" s="109"/>
      <c r="O414" s="109"/>
      <c r="P414" s="109"/>
      <c r="Q414" s="109"/>
      <c r="R414" s="109"/>
      <c r="S414" s="109"/>
      <c r="T414" s="109"/>
      <c r="U414" s="109"/>
      <c r="V414" s="109"/>
      <c r="W414" s="109"/>
      <c r="X414" s="109"/>
      <c r="Y414" s="109"/>
      <c r="Z414" s="109"/>
    </row>
    <row r="415" ht="29.25" customHeight="1">
      <c r="A415" s="109"/>
      <c r="B415" s="109"/>
      <c r="C415" s="109"/>
      <c r="D415" s="109"/>
      <c r="E415" s="109"/>
      <c r="F415" s="109"/>
      <c r="G415" s="317"/>
      <c r="H415" s="109"/>
      <c r="I415" s="109"/>
      <c r="J415" s="109"/>
      <c r="K415" s="109"/>
      <c r="L415" s="109"/>
      <c r="M415" s="109"/>
      <c r="N415" s="109"/>
      <c r="O415" s="109"/>
      <c r="P415" s="109"/>
      <c r="Q415" s="109"/>
      <c r="R415" s="109"/>
      <c r="S415" s="109"/>
      <c r="T415" s="109"/>
      <c r="U415" s="109"/>
      <c r="V415" s="109"/>
      <c r="W415" s="109"/>
      <c r="X415" s="109"/>
      <c r="Y415" s="109"/>
      <c r="Z415" s="109"/>
    </row>
    <row r="416" ht="29.25" customHeight="1">
      <c r="A416" s="109"/>
      <c r="B416" s="109"/>
      <c r="C416" s="109"/>
      <c r="D416" s="109"/>
      <c r="E416" s="109"/>
      <c r="F416" s="109"/>
      <c r="G416" s="317"/>
      <c r="H416" s="109"/>
      <c r="I416" s="109"/>
      <c r="J416" s="109"/>
      <c r="K416" s="109"/>
      <c r="L416" s="109"/>
      <c r="M416" s="109"/>
      <c r="N416" s="109"/>
      <c r="O416" s="109"/>
      <c r="P416" s="109"/>
      <c r="Q416" s="109"/>
      <c r="R416" s="109"/>
      <c r="S416" s="109"/>
      <c r="T416" s="109"/>
      <c r="U416" s="109"/>
      <c r="V416" s="109"/>
      <c r="W416" s="109"/>
      <c r="X416" s="109"/>
      <c r="Y416" s="109"/>
      <c r="Z416" s="109"/>
    </row>
    <row r="417" ht="29.25" customHeight="1">
      <c r="A417" s="109"/>
      <c r="B417" s="109"/>
      <c r="C417" s="109"/>
      <c r="D417" s="109"/>
      <c r="E417" s="109"/>
      <c r="F417" s="109"/>
      <c r="G417" s="317"/>
      <c r="H417" s="109"/>
      <c r="I417" s="109"/>
      <c r="J417" s="109"/>
      <c r="K417" s="109"/>
      <c r="L417" s="109"/>
      <c r="M417" s="109"/>
      <c r="N417" s="109"/>
      <c r="O417" s="109"/>
      <c r="P417" s="109"/>
      <c r="Q417" s="109"/>
      <c r="R417" s="109"/>
      <c r="S417" s="109"/>
      <c r="T417" s="109"/>
      <c r="U417" s="109"/>
      <c r="V417" s="109"/>
      <c r="W417" s="109"/>
      <c r="X417" s="109"/>
      <c r="Y417" s="109"/>
      <c r="Z417" s="109"/>
    </row>
    <row r="418" ht="29.25" customHeight="1">
      <c r="A418" s="109"/>
      <c r="B418" s="109"/>
      <c r="C418" s="109"/>
      <c r="D418" s="109"/>
      <c r="E418" s="109"/>
      <c r="F418" s="109"/>
      <c r="G418" s="317"/>
      <c r="H418" s="109"/>
      <c r="I418" s="109"/>
      <c r="J418" s="109"/>
      <c r="K418" s="109"/>
      <c r="L418" s="109"/>
      <c r="M418" s="109"/>
      <c r="N418" s="109"/>
      <c r="O418" s="109"/>
      <c r="P418" s="109"/>
      <c r="Q418" s="109"/>
      <c r="R418" s="109"/>
      <c r="S418" s="109"/>
      <c r="T418" s="109"/>
      <c r="U418" s="109"/>
      <c r="V418" s="109"/>
      <c r="W418" s="109"/>
      <c r="X418" s="109"/>
      <c r="Y418" s="109"/>
      <c r="Z418" s="109"/>
    </row>
    <row r="419" ht="29.25" customHeight="1">
      <c r="A419" s="109"/>
      <c r="B419" s="109"/>
      <c r="C419" s="109"/>
      <c r="D419" s="109"/>
      <c r="E419" s="109"/>
      <c r="F419" s="109"/>
      <c r="G419" s="317"/>
      <c r="H419" s="109"/>
      <c r="I419" s="109"/>
      <c r="J419" s="109"/>
      <c r="K419" s="109"/>
      <c r="L419" s="109"/>
      <c r="M419" s="109"/>
      <c r="N419" s="109"/>
      <c r="O419" s="109"/>
      <c r="P419" s="109"/>
      <c r="Q419" s="109"/>
      <c r="R419" s="109"/>
      <c r="S419" s="109"/>
      <c r="T419" s="109"/>
      <c r="U419" s="109"/>
      <c r="V419" s="109"/>
      <c r="W419" s="109"/>
      <c r="X419" s="109"/>
      <c r="Y419" s="109"/>
      <c r="Z419" s="109"/>
    </row>
    <row r="420" ht="29.25" customHeight="1">
      <c r="A420" s="109"/>
      <c r="B420" s="109"/>
      <c r="C420" s="109"/>
      <c r="D420" s="109"/>
      <c r="E420" s="109"/>
      <c r="F420" s="109"/>
      <c r="G420" s="317"/>
      <c r="H420" s="109"/>
      <c r="I420" s="109"/>
      <c r="J420" s="109"/>
      <c r="K420" s="109"/>
      <c r="L420" s="109"/>
      <c r="M420" s="109"/>
      <c r="N420" s="109"/>
      <c r="O420" s="109"/>
      <c r="P420" s="109"/>
      <c r="Q420" s="109"/>
      <c r="R420" s="109"/>
      <c r="S420" s="109"/>
      <c r="T420" s="109"/>
      <c r="U420" s="109"/>
      <c r="V420" s="109"/>
      <c r="W420" s="109"/>
      <c r="X420" s="109"/>
      <c r="Y420" s="109"/>
      <c r="Z420" s="109"/>
    </row>
    <row r="421" ht="29.25" customHeight="1">
      <c r="A421" s="109"/>
      <c r="B421" s="109"/>
      <c r="C421" s="109"/>
      <c r="D421" s="109"/>
      <c r="E421" s="109"/>
      <c r="F421" s="109"/>
      <c r="G421" s="317"/>
      <c r="H421" s="109"/>
      <c r="I421" s="109"/>
      <c r="J421" s="109"/>
      <c r="K421" s="109"/>
      <c r="L421" s="109"/>
      <c r="M421" s="109"/>
      <c r="N421" s="109"/>
      <c r="O421" s="109"/>
      <c r="P421" s="109"/>
      <c r="Q421" s="109"/>
      <c r="R421" s="109"/>
      <c r="S421" s="109"/>
      <c r="T421" s="109"/>
      <c r="U421" s="109"/>
      <c r="V421" s="109"/>
      <c r="W421" s="109"/>
      <c r="X421" s="109"/>
      <c r="Y421" s="109"/>
      <c r="Z421" s="109"/>
    </row>
    <row r="422" ht="29.25" customHeight="1">
      <c r="A422" s="109"/>
      <c r="B422" s="109"/>
      <c r="C422" s="109"/>
      <c r="D422" s="109"/>
      <c r="E422" s="109"/>
      <c r="F422" s="109"/>
      <c r="G422" s="317"/>
      <c r="H422" s="109"/>
      <c r="I422" s="109"/>
      <c r="J422" s="109"/>
      <c r="K422" s="109"/>
      <c r="L422" s="109"/>
      <c r="M422" s="109"/>
      <c r="N422" s="109"/>
      <c r="O422" s="109"/>
      <c r="P422" s="109"/>
      <c r="Q422" s="109"/>
      <c r="R422" s="109"/>
      <c r="S422" s="109"/>
      <c r="T422" s="109"/>
      <c r="U422" s="109"/>
      <c r="V422" s="109"/>
      <c r="W422" s="109"/>
      <c r="X422" s="109"/>
      <c r="Y422" s="109"/>
      <c r="Z422" s="109"/>
    </row>
    <row r="423" ht="29.25" customHeight="1">
      <c r="A423" s="109"/>
      <c r="B423" s="109"/>
      <c r="C423" s="109"/>
      <c r="D423" s="109"/>
      <c r="E423" s="109"/>
      <c r="F423" s="109"/>
      <c r="G423" s="317"/>
      <c r="H423" s="109"/>
      <c r="I423" s="109"/>
      <c r="J423" s="109"/>
      <c r="K423" s="109"/>
      <c r="L423" s="109"/>
      <c r="M423" s="109"/>
      <c r="N423" s="109"/>
      <c r="O423" s="109"/>
      <c r="P423" s="109"/>
      <c r="Q423" s="109"/>
      <c r="R423" s="109"/>
      <c r="S423" s="109"/>
      <c r="T423" s="109"/>
      <c r="U423" s="109"/>
      <c r="V423" s="109"/>
      <c r="W423" s="109"/>
      <c r="X423" s="109"/>
      <c r="Y423" s="109"/>
      <c r="Z423" s="109"/>
    </row>
    <row r="424" ht="29.25" customHeight="1">
      <c r="A424" s="109"/>
      <c r="B424" s="109"/>
      <c r="C424" s="109"/>
      <c r="D424" s="109"/>
      <c r="E424" s="109"/>
      <c r="F424" s="109"/>
      <c r="G424" s="317"/>
      <c r="H424" s="109"/>
      <c r="I424" s="109"/>
      <c r="J424" s="109"/>
      <c r="K424" s="109"/>
      <c r="L424" s="109"/>
      <c r="M424" s="109"/>
      <c r="N424" s="109"/>
      <c r="O424" s="109"/>
      <c r="P424" s="109"/>
      <c r="Q424" s="109"/>
      <c r="R424" s="109"/>
      <c r="S424" s="109"/>
      <c r="T424" s="109"/>
      <c r="U424" s="109"/>
      <c r="V424" s="109"/>
      <c r="W424" s="109"/>
      <c r="X424" s="109"/>
      <c r="Y424" s="109"/>
      <c r="Z424" s="109"/>
    </row>
    <row r="425" ht="29.25" customHeight="1">
      <c r="A425" s="109"/>
      <c r="B425" s="109"/>
      <c r="C425" s="109"/>
      <c r="D425" s="109"/>
      <c r="E425" s="109"/>
      <c r="F425" s="109"/>
      <c r="G425" s="317"/>
      <c r="H425" s="109"/>
      <c r="I425" s="109"/>
      <c r="J425" s="109"/>
      <c r="K425" s="109"/>
      <c r="L425" s="109"/>
      <c r="M425" s="109"/>
      <c r="N425" s="109"/>
      <c r="O425" s="109"/>
      <c r="P425" s="109"/>
      <c r="Q425" s="109"/>
      <c r="R425" s="109"/>
      <c r="S425" s="109"/>
      <c r="T425" s="109"/>
      <c r="U425" s="109"/>
      <c r="V425" s="109"/>
      <c r="W425" s="109"/>
      <c r="X425" s="109"/>
      <c r="Y425" s="109"/>
      <c r="Z425" s="109"/>
    </row>
    <row r="426" ht="29.25" customHeight="1">
      <c r="A426" s="109"/>
      <c r="B426" s="109"/>
      <c r="C426" s="109"/>
      <c r="D426" s="109"/>
      <c r="E426" s="109"/>
      <c r="F426" s="109"/>
      <c r="G426" s="317"/>
      <c r="H426" s="109"/>
      <c r="I426" s="109"/>
      <c r="J426" s="109"/>
      <c r="K426" s="109"/>
      <c r="L426" s="109"/>
      <c r="M426" s="109"/>
      <c r="N426" s="109"/>
      <c r="O426" s="109"/>
      <c r="P426" s="109"/>
      <c r="Q426" s="109"/>
      <c r="R426" s="109"/>
      <c r="S426" s="109"/>
      <c r="T426" s="109"/>
      <c r="U426" s="109"/>
      <c r="V426" s="109"/>
      <c r="W426" s="109"/>
      <c r="X426" s="109"/>
      <c r="Y426" s="109"/>
      <c r="Z426" s="109"/>
    </row>
    <row r="427" ht="29.25" customHeight="1">
      <c r="A427" s="109"/>
      <c r="B427" s="109"/>
      <c r="C427" s="109"/>
      <c r="D427" s="109"/>
      <c r="E427" s="109"/>
      <c r="F427" s="109"/>
      <c r="G427" s="317"/>
      <c r="H427" s="109"/>
      <c r="I427" s="109"/>
      <c r="J427" s="109"/>
      <c r="K427" s="109"/>
      <c r="L427" s="109"/>
      <c r="M427" s="109"/>
      <c r="N427" s="109"/>
      <c r="O427" s="109"/>
      <c r="P427" s="109"/>
      <c r="Q427" s="109"/>
      <c r="R427" s="109"/>
      <c r="S427" s="109"/>
      <c r="T427" s="109"/>
      <c r="U427" s="109"/>
      <c r="V427" s="109"/>
      <c r="W427" s="109"/>
      <c r="X427" s="109"/>
      <c r="Y427" s="109"/>
      <c r="Z427" s="109"/>
    </row>
    <row r="428" ht="29.25" customHeight="1">
      <c r="A428" s="109"/>
      <c r="B428" s="109"/>
      <c r="C428" s="109"/>
      <c r="D428" s="109"/>
      <c r="E428" s="109"/>
      <c r="F428" s="109"/>
      <c r="G428" s="317"/>
      <c r="H428" s="109"/>
      <c r="I428" s="109"/>
      <c r="J428" s="109"/>
      <c r="K428" s="109"/>
      <c r="L428" s="109"/>
      <c r="M428" s="109"/>
      <c r="N428" s="109"/>
      <c r="O428" s="109"/>
      <c r="P428" s="109"/>
      <c r="Q428" s="109"/>
      <c r="R428" s="109"/>
      <c r="S428" s="109"/>
      <c r="T428" s="109"/>
      <c r="U428" s="109"/>
      <c r="V428" s="109"/>
      <c r="W428" s="109"/>
      <c r="X428" s="109"/>
      <c r="Y428" s="109"/>
      <c r="Z428" s="109"/>
    </row>
    <row r="429" ht="29.25" customHeight="1">
      <c r="A429" s="109"/>
      <c r="B429" s="109"/>
      <c r="C429" s="109"/>
      <c r="D429" s="109"/>
      <c r="E429" s="109"/>
      <c r="F429" s="109"/>
      <c r="G429" s="317"/>
      <c r="H429" s="109"/>
      <c r="I429" s="109"/>
      <c r="J429" s="109"/>
      <c r="K429" s="109"/>
      <c r="L429" s="109"/>
      <c r="M429" s="109"/>
      <c r="N429" s="109"/>
      <c r="O429" s="109"/>
      <c r="P429" s="109"/>
      <c r="Q429" s="109"/>
      <c r="R429" s="109"/>
      <c r="S429" s="109"/>
      <c r="T429" s="109"/>
      <c r="U429" s="109"/>
      <c r="V429" s="109"/>
      <c r="W429" s="109"/>
      <c r="X429" s="109"/>
      <c r="Y429" s="109"/>
      <c r="Z429" s="109"/>
    </row>
    <row r="430" ht="29.25" customHeight="1">
      <c r="A430" s="109"/>
      <c r="B430" s="109"/>
      <c r="C430" s="109"/>
      <c r="D430" s="109"/>
      <c r="E430" s="109"/>
      <c r="F430" s="109"/>
      <c r="G430" s="317"/>
      <c r="H430" s="109"/>
      <c r="I430" s="109"/>
      <c r="J430" s="109"/>
      <c r="K430" s="109"/>
      <c r="L430" s="109"/>
      <c r="M430" s="109"/>
      <c r="N430" s="109"/>
      <c r="O430" s="109"/>
      <c r="P430" s="109"/>
      <c r="Q430" s="109"/>
      <c r="R430" s="109"/>
      <c r="S430" s="109"/>
      <c r="T430" s="109"/>
      <c r="U430" s="109"/>
      <c r="V430" s="109"/>
      <c r="W430" s="109"/>
      <c r="X430" s="109"/>
      <c r="Y430" s="109"/>
      <c r="Z430" s="109"/>
    </row>
    <row r="431" ht="29.25" customHeight="1">
      <c r="A431" s="109"/>
      <c r="B431" s="109"/>
      <c r="C431" s="109"/>
      <c r="D431" s="109"/>
      <c r="E431" s="109"/>
      <c r="F431" s="109"/>
      <c r="G431" s="317"/>
      <c r="H431" s="109"/>
      <c r="I431" s="109"/>
      <c r="J431" s="109"/>
      <c r="K431" s="109"/>
      <c r="L431" s="109"/>
      <c r="M431" s="109"/>
      <c r="N431" s="109"/>
      <c r="O431" s="109"/>
      <c r="P431" s="109"/>
      <c r="Q431" s="109"/>
      <c r="R431" s="109"/>
      <c r="S431" s="109"/>
      <c r="T431" s="109"/>
      <c r="U431" s="109"/>
      <c r="V431" s="109"/>
      <c r="W431" s="109"/>
      <c r="X431" s="109"/>
      <c r="Y431" s="109"/>
      <c r="Z431" s="109"/>
    </row>
    <row r="432" ht="29.25" customHeight="1">
      <c r="A432" s="109"/>
      <c r="B432" s="109"/>
      <c r="C432" s="109"/>
      <c r="D432" s="109"/>
      <c r="E432" s="109"/>
      <c r="F432" s="109"/>
      <c r="G432" s="317"/>
      <c r="H432" s="109"/>
      <c r="I432" s="109"/>
      <c r="J432" s="109"/>
      <c r="K432" s="109"/>
      <c r="L432" s="109"/>
      <c r="M432" s="109"/>
      <c r="N432" s="109"/>
      <c r="O432" s="109"/>
      <c r="P432" s="109"/>
      <c r="Q432" s="109"/>
      <c r="R432" s="109"/>
      <c r="S432" s="109"/>
      <c r="T432" s="109"/>
      <c r="U432" s="109"/>
      <c r="V432" s="109"/>
      <c r="W432" s="109"/>
      <c r="X432" s="109"/>
      <c r="Y432" s="109"/>
      <c r="Z432" s="109"/>
    </row>
    <row r="433" ht="29.25" customHeight="1">
      <c r="A433" s="109"/>
      <c r="B433" s="109"/>
      <c r="C433" s="109"/>
      <c r="D433" s="109"/>
      <c r="E433" s="109"/>
      <c r="F433" s="109"/>
      <c r="G433" s="317"/>
      <c r="H433" s="109"/>
      <c r="I433" s="109"/>
      <c r="J433" s="109"/>
      <c r="K433" s="109"/>
      <c r="L433" s="109"/>
      <c r="M433" s="109"/>
      <c r="N433" s="109"/>
      <c r="O433" s="109"/>
      <c r="P433" s="109"/>
      <c r="Q433" s="109"/>
      <c r="R433" s="109"/>
      <c r="S433" s="109"/>
      <c r="T433" s="109"/>
      <c r="U433" s="109"/>
      <c r="V433" s="109"/>
      <c r="W433" s="109"/>
      <c r="X433" s="109"/>
      <c r="Y433" s="109"/>
      <c r="Z433" s="109"/>
    </row>
    <row r="434" ht="29.25" customHeight="1">
      <c r="A434" s="109"/>
      <c r="B434" s="109"/>
      <c r="C434" s="109"/>
      <c r="D434" s="109"/>
      <c r="E434" s="109"/>
      <c r="F434" s="109"/>
      <c r="G434" s="317"/>
      <c r="H434" s="109"/>
      <c r="I434" s="109"/>
      <c r="J434" s="109"/>
      <c r="K434" s="109"/>
      <c r="L434" s="109"/>
      <c r="M434" s="109"/>
      <c r="N434" s="109"/>
      <c r="O434" s="109"/>
      <c r="P434" s="109"/>
      <c r="Q434" s="109"/>
      <c r="R434" s="109"/>
      <c r="S434" s="109"/>
      <c r="T434" s="109"/>
      <c r="U434" s="109"/>
      <c r="V434" s="109"/>
      <c r="W434" s="109"/>
      <c r="X434" s="109"/>
      <c r="Y434" s="109"/>
      <c r="Z434" s="109"/>
    </row>
    <row r="435" ht="29.25" customHeight="1">
      <c r="A435" s="109"/>
      <c r="B435" s="109"/>
      <c r="C435" s="109"/>
      <c r="D435" s="109"/>
      <c r="E435" s="109"/>
      <c r="F435" s="109"/>
      <c r="G435" s="317"/>
      <c r="H435" s="109"/>
      <c r="I435" s="109"/>
      <c r="J435" s="109"/>
      <c r="K435" s="109"/>
      <c r="L435" s="109"/>
      <c r="M435" s="109"/>
      <c r="N435" s="109"/>
      <c r="O435" s="109"/>
      <c r="P435" s="109"/>
      <c r="Q435" s="109"/>
      <c r="R435" s="109"/>
      <c r="S435" s="109"/>
      <c r="T435" s="109"/>
      <c r="U435" s="109"/>
      <c r="V435" s="109"/>
      <c r="W435" s="109"/>
      <c r="X435" s="109"/>
      <c r="Y435" s="109"/>
      <c r="Z435" s="109"/>
    </row>
    <row r="436" ht="29.25" customHeight="1">
      <c r="A436" s="109"/>
      <c r="B436" s="109"/>
      <c r="C436" s="109"/>
      <c r="D436" s="109"/>
      <c r="E436" s="109"/>
      <c r="F436" s="109"/>
      <c r="G436" s="317"/>
      <c r="H436" s="109"/>
      <c r="I436" s="109"/>
      <c r="J436" s="109"/>
      <c r="K436" s="109"/>
      <c r="L436" s="109"/>
      <c r="M436" s="109"/>
      <c r="N436" s="109"/>
      <c r="O436" s="109"/>
      <c r="P436" s="109"/>
      <c r="Q436" s="109"/>
      <c r="R436" s="109"/>
      <c r="S436" s="109"/>
      <c r="T436" s="109"/>
      <c r="U436" s="109"/>
      <c r="V436" s="109"/>
      <c r="W436" s="109"/>
      <c r="X436" s="109"/>
      <c r="Y436" s="109"/>
      <c r="Z436" s="109"/>
    </row>
    <row r="437" ht="29.25" customHeight="1">
      <c r="A437" s="109"/>
      <c r="B437" s="109"/>
      <c r="C437" s="109"/>
      <c r="D437" s="109"/>
      <c r="E437" s="109"/>
      <c r="F437" s="109"/>
      <c r="G437" s="317"/>
      <c r="H437" s="109"/>
      <c r="I437" s="109"/>
      <c r="J437" s="109"/>
      <c r="K437" s="109"/>
      <c r="L437" s="109"/>
      <c r="M437" s="109"/>
      <c r="N437" s="109"/>
      <c r="O437" s="109"/>
      <c r="P437" s="109"/>
      <c r="Q437" s="109"/>
      <c r="R437" s="109"/>
      <c r="S437" s="109"/>
      <c r="T437" s="109"/>
      <c r="U437" s="109"/>
      <c r="V437" s="109"/>
      <c r="W437" s="109"/>
      <c r="X437" s="109"/>
      <c r="Y437" s="109"/>
      <c r="Z437" s="109"/>
    </row>
    <row r="438" ht="29.25" customHeight="1">
      <c r="A438" s="109"/>
      <c r="B438" s="109"/>
      <c r="C438" s="109"/>
      <c r="D438" s="109"/>
      <c r="E438" s="109"/>
      <c r="F438" s="109"/>
      <c r="G438" s="317"/>
      <c r="H438" s="109"/>
      <c r="I438" s="109"/>
      <c r="J438" s="109"/>
      <c r="K438" s="109"/>
      <c r="L438" s="109"/>
      <c r="M438" s="109"/>
      <c r="N438" s="109"/>
      <c r="O438" s="109"/>
      <c r="P438" s="109"/>
      <c r="Q438" s="109"/>
      <c r="R438" s="109"/>
      <c r="S438" s="109"/>
      <c r="T438" s="109"/>
      <c r="U438" s="109"/>
      <c r="V438" s="109"/>
      <c r="W438" s="109"/>
      <c r="X438" s="109"/>
      <c r="Y438" s="109"/>
      <c r="Z438" s="109"/>
    </row>
    <row r="439" ht="29.25" customHeight="1">
      <c r="A439" s="109"/>
      <c r="B439" s="109"/>
      <c r="C439" s="109"/>
      <c r="D439" s="109"/>
      <c r="E439" s="109"/>
      <c r="F439" s="109"/>
      <c r="G439" s="317"/>
      <c r="H439" s="109"/>
      <c r="I439" s="109"/>
      <c r="J439" s="109"/>
      <c r="K439" s="109"/>
      <c r="L439" s="109"/>
      <c r="M439" s="109"/>
      <c r="N439" s="109"/>
      <c r="O439" s="109"/>
      <c r="P439" s="109"/>
      <c r="Q439" s="109"/>
      <c r="R439" s="109"/>
      <c r="S439" s="109"/>
      <c r="T439" s="109"/>
      <c r="U439" s="109"/>
      <c r="V439" s="109"/>
      <c r="W439" s="109"/>
      <c r="X439" s="109"/>
      <c r="Y439" s="109"/>
      <c r="Z439" s="109"/>
    </row>
    <row r="440" ht="29.25" customHeight="1">
      <c r="A440" s="109"/>
      <c r="B440" s="109"/>
      <c r="C440" s="109"/>
      <c r="D440" s="109"/>
      <c r="E440" s="109"/>
      <c r="F440" s="109"/>
      <c r="G440" s="317"/>
      <c r="H440" s="109"/>
      <c r="I440" s="109"/>
      <c r="J440" s="109"/>
      <c r="K440" s="109"/>
      <c r="L440" s="109"/>
      <c r="M440" s="109"/>
      <c r="N440" s="109"/>
      <c r="O440" s="109"/>
      <c r="P440" s="109"/>
      <c r="Q440" s="109"/>
      <c r="R440" s="109"/>
      <c r="S440" s="109"/>
      <c r="T440" s="109"/>
      <c r="U440" s="109"/>
      <c r="V440" s="109"/>
      <c r="W440" s="109"/>
      <c r="X440" s="109"/>
      <c r="Y440" s="109"/>
      <c r="Z440" s="109"/>
    </row>
    <row r="441" ht="29.25" customHeight="1">
      <c r="A441" s="109"/>
      <c r="B441" s="109"/>
      <c r="C441" s="109"/>
      <c r="D441" s="109"/>
      <c r="E441" s="109"/>
      <c r="F441" s="109"/>
      <c r="G441" s="317"/>
      <c r="H441" s="109"/>
      <c r="I441" s="109"/>
      <c r="J441" s="109"/>
      <c r="K441" s="109"/>
      <c r="L441" s="109"/>
      <c r="M441" s="109"/>
      <c r="N441" s="109"/>
      <c r="O441" s="109"/>
      <c r="P441" s="109"/>
      <c r="Q441" s="109"/>
      <c r="R441" s="109"/>
      <c r="S441" s="109"/>
      <c r="T441" s="109"/>
      <c r="U441" s="109"/>
      <c r="V441" s="109"/>
      <c r="W441" s="109"/>
      <c r="X441" s="109"/>
      <c r="Y441" s="109"/>
      <c r="Z441" s="109"/>
    </row>
    <row r="442" ht="29.25" customHeight="1">
      <c r="A442" s="109"/>
      <c r="B442" s="109"/>
      <c r="C442" s="109"/>
      <c r="D442" s="109"/>
      <c r="E442" s="109"/>
      <c r="F442" s="109"/>
      <c r="G442" s="317"/>
      <c r="H442" s="109"/>
      <c r="I442" s="109"/>
      <c r="J442" s="109"/>
      <c r="K442" s="109"/>
      <c r="L442" s="109"/>
      <c r="M442" s="109"/>
      <c r="N442" s="109"/>
      <c r="O442" s="109"/>
      <c r="P442" s="109"/>
      <c r="Q442" s="109"/>
      <c r="R442" s="109"/>
      <c r="S442" s="109"/>
      <c r="T442" s="109"/>
      <c r="U442" s="109"/>
      <c r="V442" s="109"/>
      <c r="W442" s="109"/>
      <c r="X442" s="109"/>
      <c r="Y442" s="109"/>
      <c r="Z442" s="109"/>
    </row>
    <row r="443" ht="29.25" customHeight="1">
      <c r="A443" s="109"/>
      <c r="B443" s="109"/>
      <c r="C443" s="109"/>
      <c r="D443" s="109"/>
      <c r="E443" s="109"/>
      <c r="F443" s="109"/>
      <c r="G443" s="317"/>
      <c r="H443" s="109"/>
      <c r="I443" s="109"/>
      <c r="J443" s="109"/>
      <c r="K443" s="109"/>
      <c r="L443" s="109"/>
      <c r="M443" s="109"/>
      <c r="N443" s="109"/>
      <c r="O443" s="109"/>
      <c r="P443" s="109"/>
      <c r="Q443" s="109"/>
      <c r="R443" s="109"/>
      <c r="S443" s="109"/>
      <c r="T443" s="109"/>
      <c r="U443" s="109"/>
      <c r="V443" s="109"/>
      <c r="W443" s="109"/>
      <c r="X443" s="109"/>
      <c r="Y443" s="109"/>
      <c r="Z443" s="109"/>
    </row>
    <row r="444" ht="29.25" customHeight="1">
      <c r="A444" s="109"/>
      <c r="B444" s="109"/>
      <c r="C444" s="109"/>
      <c r="D444" s="109"/>
      <c r="E444" s="109"/>
      <c r="F444" s="109"/>
      <c r="G444" s="317"/>
      <c r="H444" s="109"/>
      <c r="I444" s="109"/>
      <c r="J444" s="109"/>
      <c r="K444" s="109"/>
      <c r="L444" s="109"/>
      <c r="M444" s="109"/>
      <c r="N444" s="109"/>
      <c r="O444" s="109"/>
      <c r="P444" s="109"/>
      <c r="Q444" s="109"/>
      <c r="R444" s="109"/>
      <c r="S444" s="109"/>
      <c r="T444" s="109"/>
      <c r="U444" s="109"/>
      <c r="V444" s="109"/>
      <c r="W444" s="109"/>
      <c r="X444" s="109"/>
      <c r="Y444" s="109"/>
      <c r="Z444" s="109"/>
    </row>
    <row r="445" ht="29.25" customHeight="1">
      <c r="A445" s="109"/>
      <c r="B445" s="109"/>
      <c r="C445" s="109"/>
      <c r="D445" s="109"/>
      <c r="E445" s="109"/>
      <c r="F445" s="109"/>
      <c r="G445" s="317"/>
      <c r="H445" s="109"/>
      <c r="I445" s="109"/>
      <c r="J445" s="109"/>
      <c r="K445" s="109"/>
      <c r="L445" s="109"/>
      <c r="M445" s="109"/>
      <c r="N445" s="109"/>
      <c r="O445" s="109"/>
      <c r="P445" s="109"/>
      <c r="Q445" s="109"/>
      <c r="R445" s="109"/>
      <c r="S445" s="109"/>
      <c r="T445" s="109"/>
      <c r="U445" s="109"/>
      <c r="V445" s="109"/>
      <c r="W445" s="109"/>
      <c r="X445" s="109"/>
      <c r="Y445" s="109"/>
      <c r="Z445" s="109"/>
    </row>
    <row r="446" ht="29.25" customHeight="1">
      <c r="A446" s="109"/>
      <c r="B446" s="109"/>
      <c r="C446" s="109"/>
      <c r="D446" s="109"/>
      <c r="E446" s="109"/>
      <c r="F446" s="109"/>
      <c r="G446" s="317"/>
      <c r="H446" s="109"/>
      <c r="I446" s="109"/>
      <c r="J446" s="109"/>
      <c r="K446" s="109"/>
      <c r="L446" s="109"/>
      <c r="M446" s="109"/>
      <c r="N446" s="109"/>
      <c r="O446" s="109"/>
      <c r="P446" s="109"/>
      <c r="Q446" s="109"/>
      <c r="R446" s="109"/>
      <c r="S446" s="109"/>
      <c r="T446" s="109"/>
      <c r="U446" s="109"/>
      <c r="V446" s="109"/>
      <c r="W446" s="109"/>
      <c r="X446" s="109"/>
      <c r="Y446" s="109"/>
      <c r="Z446" s="109"/>
    </row>
    <row r="447" ht="29.25" customHeight="1">
      <c r="A447" s="109"/>
      <c r="B447" s="109"/>
      <c r="C447" s="109"/>
      <c r="D447" s="109"/>
      <c r="E447" s="109"/>
      <c r="F447" s="109"/>
      <c r="G447" s="317"/>
      <c r="H447" s="109"/>
      <c r="I447" s="109"/>
      <c r="J447" s="109"/>
      <c r="K447" s="109"/>
      <c r="L447" s="109"/>
      <c r="M447" s="109"/>
      <c r="N447" s="109"/>
      <c r="O447" s="109"/>
      <c r="P447" s="109"/>
      <c r="Q447" s="109"/>
      <c r="R447" s="109"/>
      <c r="S447" s="109"/>
      <c r="T447" s="109"/>
      <c r="U447" s="109"/>
      <c r="V447" s="109"/>
      <c r="W447" s="109"/>
      <c r="X447" s="109"/>
      <c r="Y447" s="109"/>
      <c r="Z447" s="109"/>
    </row>
    <row r="448" ht="29.25" customHeight="1">
      <c r="A448" s="109"/>
      <c r="B448" s="109"/>
      <c r="C448" s="109"/>
      <c r="D448" s="109"/>
      <c r="E448" s="109"/>
      <c r="F448" s="109"/>
      <c r="G448" s="317"/>
      <c r="H448" s="109"/>
      <c r="I448" s="109"/>
      <c r="J448" s="109"/>
      <c r="K448" s="109"/>
      <c r="L448" s="109"/>
      <c r="M448" s="109"/>
      <c r="N448" s="109"/>
      <c r="O448" s="109"/>
      <c r="P448" s="109"/>
      <c r="Q448" s="109"/>
      <c r="R448" s="109"/>
      <c r="S448" s="109"/>
      <c r="T448" s="109"/>
      <c r="U448" s="109"/>
      <c r="V448" s="109"/>
      <c r="W448" s="109"/>
      <c r="X448" s="109"/>
      <c r="Y448" s="109"/>
      <c r="Z448" s="109"/>
    </row>
    <row r="449" ht="29.25" customHeight="1">
      <c r="A449" s="109"/>
      <c r="B449" s="109"/>
      <c r="C449" s="109"/>
      <c r="D449" s="109"/>
      <c r="E449" s="109"/>
      <c r="F449" s="109"/>
      <c r="G449" s="317"/>
      <c r="H449" s="109"/>
      <c r="I449" s="109"/>
      <c r="J449" s="109"/>
      <c r="K449" s="109"/>
      <c r="L449" s="109"/>
      <c r="M449" s="109"/>
      <c r="N449" s="109"/>
      <c r="O449" s="109"/>
      <c r="P449" s="109"/>
      <c r="Q449" s="109"/>
      <c r="R449" s="109"/>
      <c r="S449" s="109"/>
      <c r="T449" s="109"/>
      <c r="U449" s="109"/>
      <c r="V449" s="109"/>
      <c r="W449" s="109"/>
      <c r="X449" s="109"/>
      <c r="Y449" s="109"/>
      <c r="Z449" s="109"/>
    </row>
    <row r="450" ht="29.25" customHeight="1">
      <c r="A450" s="109"/>
      <c r="B450" s="109"/>
      <c r="C450" s="109"/>
      <c r="D450" s="109"/>
      <c r="E450" s="109"/>
      <c r="F450" s="109"/>
      <c r="G450" s="317"/>
      <c r="H450" s="109"/>
      <c r="I450" s="109"/>
      <c r="J450" s="109"/>
      <c r="K450" s="109"/>
      <c r="L450" s="109"/>
      <c r="M450" s="109"/>
      <c r="N450" s="109"/>
      <c r="O450" s="109"/>
      <c r="P450" s="109"/>
      <c r="Q450" s="109"/>
      <c r="R450" s="109"/>
      <c r="S450" s="109"/>
      <c r="T450" s="109"/>
      <c r="U450" s="109"/>
      <c r="V450" s="109"/>
      <c r="W450" s="109"/>
      <c r="X450" s="109"/>
      <c r="Y450" s="109"/>
      <c r="Z450" s="109"/>
    </row>
    <row r="451" ht="29.25" customHeight="1">
      <c r="A451" s="109"/>
      <c r="B451" s="109"/>
      <c r="C451" s="109"/>
      <c r="D451" s="109"/>
      <c r="E451" s="109"/>
      <c r="F451" s="109"/>
      <c r="G451" s="317"/>
      <c r="H451" s="109"/>
      <c r="I451" s="109"/>
      <c r="J451" s="109"/>
      <c r="K451" s="109"/>
      <c r="L451" s="109"/>
      <c r="M451" s="109"/>
      <c r="N451" s="109"/>
      <c r="O451" s="109"/>
      <c r="P451" s="109"/>
      <c r="Q451" s="109"/>
      <c r="R451" s="109"/>
      <c r="S451" s="109"/>
      <c r="T451" s="109"/>
      <c r="U451" s="109"/>
      <c r="V451" s="109"/>
      <c r="W451" s="109"/>
      <c r="X451" s="109"/>
      <c r="Y451" s="109"/>
      <c r="Z451" s="109"/>
    </row>
    <row r="452" ht="29.25" customHeight="1">
      <c r="A452" s="109"/>
      <c r="B452" s="109"/>
      <c r="C452" s="109"/>
      <c r="D452" s="109"/>
      <c r="E452" s="109"/>
      <c r="F452" s="109"/>
      <c r="G452" s="317"/>
      <c r="H452" s="109"/>
      <c r="I452" s="109"/>
      <c r="J452" s="109"/>
      <c r="K452" s="109"/>
      <c r="L452" s="109"/>
      <c r="M452" s="109"/>
      <c r="N452" s="109"/>
      <c r="O452" s="109"/>
      <c r="P452" s="109"/>
      <c r="Q452" s="109"/>
      <c r="R452" s="109"/>
      <c r="S452" s="109"/>
      <c r="T452" s="109"/>
      <c r="U452" s="109"/>
      <c r="V452" s="109"/>
      <c r="W452" s="109"/>
      <c r="X452" s="109"/>
      <c r="Y452" s="109"/>
      <c r="Z452" s="109"/>
    </row>
    <row r="453" ht="29.25" customHeight="1">
      <c r="A453" s="109"/>
      <c r="B453" s="109"/>
      <c r="C453" s="109"/>
      <c r="D453" s="109"/>
      <c r="E453" s="109"/>
      <c r="F453" s="109"/>
      <c r="G453" s="317"/>
      <c r="H453" s="109"/>
      <c r="I453" s="109"/>
      <c r="J453" s="109"/>
      <c r="K453" s="109"/>
      <c r="L453" s="109"/>
      <c r="M453" s="109"/>
      <c r="N453" s="109"/>
      <c r="O453" s="109"/>
      <c r="P453" s="109"/>
      <c r="Q453" s="109"/>
      <c r="R453" s="109"/>
      <c r="S453" s="109"/>
      <c r="T453" s="109"/>
      <c r="U453" s="109"/>
      <c r="V453" s="109"/>
      <c r="W453" s="109"/>
      <c r="X453" s="109"/>
      <c r="Y453" s="109"/>
      <c r="Z453" s="109"/>
    </row>
    <row r="454" ht="29.25" customHeight="1">
      <c r="A454" s="109"/>
      <c r="B454" s="109"/>
      <c r="C454" s="109"/>
      <c r="D454" s="109"/>
      <c r="E454" s="109"/>
      <c r="F454" s="109"/>
      <c r="G454" s="317"/>
      <c r="H454" s="109"/>
      <c r="I454" s="109"/>
      <c r="J454" s="109"/>
      <c r="K454" s="109"/>
      <c r="L454" s="109"/>
      <c r="M454" s="109"/>
      <c r="N454" s="109"/>
      <c r="O454" s="109"/>
      <c r="P454" s="109"/>
      <c r="Q454" s="109"/>
      <c r="R454" s="109"/>
      <c r="S454" s="109"/>
      <c r="T454" s="109"/>
      <c r="U454" s="109"/>
      <c r="V454" s="109"/>
      <c r="W454" s="109"/>
      <c r="X454" s="109"/>
      <c r="Y454" s="109"/>
      <c r="Z454" s="109"/>
    </row>
    <row r="455" ht="29.25" customHeight="1">
      <c r="A455" s="109"/>
      <c r="B455" s="109"/>
      <c r="C455" s="109"/>
      <c r="D455" s="109"/>
      <c r="E455" s="109"/>
      <c r="F455" s="109"/>
      <c r="G455" s="317"/>
      <c r="H455" s="109"/>
      <c r="I455" s="109"/>
      <c r="J455" s="109"/>
      <c r="K455" s="109"/>
      <c r="L455" s="109"/>
      <c r="M455" s="109"/>
      <c r="N455" s="109"/>
      <c r="O455" s="109"/>
      <c r="P455" s="109"/>
      <c r="Q455" s="109"/>
      <c r="R455" s="109"/>
      <c r="S455" s="109"/>
      <c r="T455" s="109"/>
      <c r="U455" s="109"/>
      <c r="V455" s="109"/>
      <c r="W455" s="109"/>
      <c r="X455" s="109"/>
      <c r="Y455" s="109"/>
      <c r="Z455" s="109"/>
    </row>
    <row r="456" ht="29.25" customHeight="1">
      <c r="A456" s="109"/>
      <c r="B456" s="109"/>
      <c r="C456" s="109"/>
      <c r="D456" s="109"/>
      <c r="E456" s="109"/>
      <c r="F456" s="109"/>
      <c r="G456" s="317"/>
      <c r="H456" s="109"/>
      <c r="I456" s="109"/>
      <c r="J456" s="109"/>
      <c r="K456" s="109"/>
      <c r="L456" s="109"/>
      <c r="M456" s="109"/>
      <c r="N456" s="109"/>
      <c r="O456" s="109"/>
      <c r="P456" s="109"/>
      <c r="Q456" s="109"/>
      <c r="R456" s="109"/>
      <c r="S456" s="109"/>
      <c r="T456" s="109"/>
      <c r="U456" s="109"/>
      <c r="V456" s="109"/>
      <c r="W456" s="109"/>
      <c r="X456" s="109"/>
      <c r="Y456" s="109"/>
      <c r="Z456" s="109"/>
    </row>
    <row r="457" ht="29.25" customHeight="1">
      <c r="A457" s="109"/>
      <c r="B457" s="109"/>
      <c r="C457" s="109"/>
      <c r="D457" s="109"/>
      <c r="E457" s="109"/>
      <c r="F457" s="109"/>
      <c r="G457" s="317"/>
      <c r="H457" s="109"/>
      <c r="I457" s="109"/>
      <c r="J457" s="109"/>
      <c r="K457" s="109"/>
      <c r="L457" s="109"/>
      <c r="M457" s="109"/>
      <c r="N457" s="109"/>
      <c r="O457" s="109"/>
      <c r="P457" s="109"/>
      <c r="Q457" s="109"/>
      <c r="R457" s="109"/>
      <c r="S457" s="109"/>
      <c r="T457" s="109"/>
      <c r="U457" s="109"/>
      <c r="V457" s="109"/>
      <c r="W457" s="109"/>
      <c r="X457" s="109"/>
      <c r="Y457" s="109"/>
      <c r="Z457" s="109"/>
    </row>
    <row r="458" ht="29.25" customHeight="1">
      <c r="A458" s="109"/>
      <c r="B458" s="109"/>
      <c r="C458" s="109"/>
      <c r="D458" s="109"/>
      <c r="E458" s="109"/>
      <c r="F458" s="109"/>
      <c r="G458" s="317"/>
      <c r="H458" s="109"/>
      <c r="I458" s="109"/>
      <c r="J458" s="109"/>
      <c r="K458" s="109"/>
      <c r="L458" s="109"/>
      <c r="M458" s="109"/>
      <c r="N458" s="109"/>
      <c r="O458" s="109"/>
      <c r="P458" s="109"/>
      <c r="Q458" s="109"/>
      <c r="R458" s="109"/>
      <c r="S458" s="109"/>
      <c r="T458" s="109"/>
      <c r="U458" s="109"/>
      <c r="V458" s="109"/>
      <c r="W458" s="109"/>
      <c r="X458" s="109"/>
      <c r="Y458" s="109"/>
      <c r="Z458" s="109"/>
    </row>
    <row r="459" ht="29.25" customHeight="1">
      <c r="A459" s="109"/>
      <c r="B459" s="109"/>
      <c r="C459" s="109"/>
      <c r="D459" s="109"/>
      <c r="E459" s="109"/>
      <c r="F459" s="109"/>
      <c r="G459" s="317"/>
      <c r="H459" s="109"/>
      <c r="I459" s="109"/>
      <c r="J459" s="109"/>
      <c r="K459" s="109"/>
      <c r="L459" s="109"/>
      <c r="M459" s="109"/>
      <c r="N459" s="109"/>
      <c r="O459" s="109"/>
      <c r="P459" s="109"/>
      <c r="Q459" s="109"/>
      <c r="R459" s="109"/>
      <c r="S459" s="109"/>
      <c r="T459" s="109"/>
      <c r="U459" s="109"/>
      <c r="V459" s="109"/>
      <c r="W459" s="109"/>
      <c r="X459" s="109"/>
      <c r="Y459" s="109"/>
      <c r="Z459" s="109"/>
    </row>
    <row r="460" ht="29.25" customHeight="1">
      <c r="A460" s="109"/>
      <c r="B460" s="109"/>
      <c r="C460" s="109"/>
      <c r="D460" s="109"/>
      <c r="E460" s="109"/>
      <c r="F460" s="109"/>
      <c r="G460" s="317"/>
      <c r="H460" s="109"/>
      <c r="I460" s="109"/>
      <c r="J460" s="109"/>
      <c r="K460" s="109"/>
      <c r="L460" s="109"/>
      <c r="M460" s="109"/>
      <c r="N460" s="109"/>
      <c r="O460" s="109"/>
      <c r="P460" s="109"/>
      <c r="Q460" s="109"/>
      <c r="R460" s="109"/>
      <c r="S460" s="109"/>
      <c r="T460" s="109"/>
      <c r="U460" s="109"/>
      <c r="V460" s="109"/>
      <c r="W460" s="109"/>
      <c r="X460" s="109"/>
      <c r="Y460" s="109"/>
      <c r="Z460" s="109"/>
    </row>
    <row r="461" ht="29.25" customHeight="1">
      <c r="A461" s="109"/>
      <c r="B461" s="109"/>
      <c r="C461" s="109"/>
      <c r="D461" s="109"/>
      <c r="E461" s="109"/>
      <c r="F461" s="109"/>
      <c r="G461" s="317"/>
      <c r="H461" s="109"/>
      <c r="I461" s="109"/>
      <c r="J461" s="109"/>
      <c r="K461" s="109"/>
      <c r="L461" s="109"/>
      <c r="M461" s="109"/>
      <c r="N461" s="109"/>
      <c r="O461" s="109"/>
      <c r="P461" s="109"/>
      <c r="Q461" s="109"/>
      <c r="R461" s="109"/>
      <c r="S461" s="109"/>
      <c r="T461" s="109"/>
      <c r="U461" s="109"/>
      <c r="V461" s="109"/>
      <c r="W461" s="109"/>
      <c r="X461" s="109"/>
      <c r="Y461" s="109"/>
      <c r="Z461" s="109"/>
    </row>
    <row r="462" ht="29.25" customHeight="1">
      <c r="A462" s="109"/>
      <c r="B462" s="109"/>
      <c r="C462" s="109"/>
      <c r="D462" s="109"/>
      <c r="E462" s="109"/>
      <c r="F462" s="109"/>
      <c r="G462" s="317"/>
      <c r="H462" s="109"/>
      <c r="I462" s="109"/>
      <c r="J462" s="109"/>
      <c r="K462" s="109"/>
      <c r="L462" s="109"/>
      <c r="M462" s="109"/>
      <c r="N462" s="109"/>
      <c r="O462" s="109"/>
      <c r="P462" s="109"/>
      <c r="Q462" s="109"/>
      <c r="R462" s="109"/>
      <c r="S462" s="109"/>
      <c r="T462" s="109"/>
      <c r="U462" s="109"/>
      <c r="V462" s="109"/>
      <c r="W462" s="109"/>
      <c r="X462" s="109"/>
      <c r="Y462" s="109"/>
      <c r="Z462" s="109"/>
    </row>
    <row r="463" ht="29.25" customHeight="1">
      <c r="A463" s="109"/>
      <c r="B463" s="109"/>
      <c r="C463" s="109"/>
      <c r="D463" s="109"/>
      <c r="E463" s="109"/>
      <c r="F463" s="109"/>
      <c r="G463" s="317"/>
      <c r="H463" s="109"/>
      <c r="I463" s="109"/>
      <c r="J463" s="109"/>
      <c r="K463" s="109"/>
      <c r="L463" s="109"/>
      <c r="M463" s="109"/>
      <c r="N463" s="109"/>
      <c r="O463" s="109"/>
      <c r="P463" s="109"/>
      <c r="Q463" s="109"/>
      <c r="R463" s="109"/>
      <c r="S463" s="109"/>
      <c r="T463" s="109"/>
      <c r="U463" s="109"/>
      <c r="V463" s="109"/>
      <c r="W463" s="109"/>
      <c r="X463" s="109"/>
      <c r="Y463" s="109"/>
      <c r="Z463" s="109"/>
    </row>
    <row r="464" ht="29.25" customHeight="1">
      <c r="A464" s="109"/>
      <c r="B464" s="109"/>
      <c r="C464" s="109"/>
      <c r="D464" s="109"/>
      <c r="E464" s="109"/>
      <c r="F464" s="109"/>
      <c r="G464" s="317"/>
      <c r="H464" s="109"/>
      <c r="I464" s="109"/>
      <c r="J464" s="109"/>
      <c r="K464" s="109"/>
      <c r="L464" s="109"/>
      <c r="M464" s="109"/>
      <c r="N464" s="109"/>
      <c r="O464" s="109"/>
      <c r="P464" s="109"/>
      <c r="Q464" s="109"/>
      <c r="R464" s="109"/>
      <c r="S464" s="109"/>
      <c r="T464" s="109"/>
      <c r="U464" s="109"/>
      <c r="V464" s="109"/>
      <c r="W464" s="109"/>
      <c r="X464" s="109"/>
      <c r="Y464" s="109"/>
      <c r="Z464" s="109"/>
    </row>
    <row r="465" ht="29.25" customHeight="1">
      <c r="A465" s="109"/>
      <c r="B465" s="109"/>
      <c r="C465" s="109"/>
      <c r="D465" s="109"/>
      <c r="E465" s="109"/>
      <c r="F465" s="109"/>
      <c r="G465" s="317"/>
      <c r="H465" s="109"/>
      <c r="I465" s="109"/>
      <c r="J465" s="109"/>
      <c r="K465" s="109"/>
      <c r="L465" s="109"/>
      <c r="M465" s="109"/>
      <c r="N465" s="109"/>
      <c r="O465" s="109"/>
      <c r="P465" s="109"/>
      <c r="Q465" s="109"/>
      <c r="R465" s="109"/>
      <c r="S465" s="109"/>
      <c r="T465" s="109"/>
      <c r="U465" s="109"/>
      <c r="V465" s="109"/>
      <c r="W465" s="109"/>
      <c r="X465" s="109"/>
      <c r="Y465" s="109"/>
      <c r="Z465" s="109"/>
    </row>
    <row r="466" ht="29.25" customHeight="1">
      <c r="A466" s="109"/>
      <c r="B466" s="109"/>
      <c r="C466" s="109"/>
      <c r="D466" s="109"/>
      <c r="E466" s="109"/>
      <c r="F466" s="109"/>
      <c r="G466" s="317"/>
      <c r="H466" s="109"/>
      <c r="I466" s="109"/>
      <c r="J466" s="109"/>
      <c r="K466" s="109"/>
      <c r="L466" s="109"/>
      <c r="M466" s="109"/>
      <c r="N466" s="109"/>
      <c r="O466" s="109"/>
      <c r="P466" s="109"/>
      <c r="Q466" s="109"/>
      <c r="R466" s="109"/>
      <c r="S466" s="109"/>
      <c r="T466" s="109"/>
      <c r="U466" s="109"/>
      <c r="V466" s="109"/>
      <c r="W466" s="109"/>
      <c r="X466" s="109"/>
      <c r="Y466" s="109"/>
      <c r="Z466" s="109"/>
    </row>
    <row r="467" ht="29.25" customHeight="1">
      <c r="A467" s="109"/>
      <c r="B467" s="109"/>
      <c r="C467" s="109"/>
      <c r="D467" s="109"/>
      <c r="E467" s="109"/>
      <c r="F467" s="109"/>
      <c r="G467" s="317"/>
      <c r="H467" s="109"/>
      <c r="I467" s="109"/>
      <c r="J467" s="109"/>
      <c r="K467" s="109"/>
      <c r="L467" s="109"/>
      <c r="M467" s="109"/>
      <c r="N467" s="109"/>
      <c r="O467" s="109"/>
      <c r="P467" s="109"/>
      <c r="Q467" s="109"/>
      <c r="R467" s="109"/>
      <c r="S467" s="109"/>
      <c r="T467" s="109"/>
      <c r="U467" s="109"/>
      <c r="V467" s="109"/>
      <c r="W467" s="109"/>
      <c r="X467" s="109"/>
      <c r="Y467" s="109"/>
      <c r="Z467" s="109"/>
    </row>
    <row r="468" ht="29.25" customHeight="1">
      <c r="A468" s="109"/>
      <c r="B468" s="109"/>
      <c r="C468" s="109"/>
      <c r="D468" s="109"/>
      <c r="E468" s="109"/>
      <c r="F468" s="109"/>
      <c r="G468" s="317"/>
      <c r="H468" s="109"/>
      <c r="I468" s="109"/>
      <c r="J468" s="109"/>
      <c r="K468" s="109"/>
      <c r="L468" s="109"/>
      <c r="M468" s="109"/>
      <c r="N468" s="109"/>
      <c r="O468" s="109"/>
      <c r="P468" s="109"/>
      <c r="Q468" s="109"/>
      <c r="R468" s="109"/>
      <c r="S468" s="109"/>
      <c r="T468" s="109"/>
      <c r="U468" s="109"/>
      <c r="V468" s="109"/>
      <c r="W468" s="109"/>
      <c r="X468" s="109"/>
      <c r="Y468" s="109"/>
      <c r="Z468" s="109"/>
    </row>
    <row r="469" ht="29.25" customHeight="1">
      <c r="A469" s="109"/>
      <c r="B469" s="109"/>
      <c r="C469" s="109"/>
      <c r="D469" s="109"/>
      <c r="E469" s="109"/>
      <c r="F469" s="109"/>
      <c r="G469" s="317"/>
      <c r="H469" s="109"/>
      <c r="I469" s="109"/>
      <c r="J469" s="109"/>
      <c r="K469" s="109"/>
      <c r="L469" s="109"/>
      <c r="M469" s="109"/>
      <c r="N469" s="109"/>
      <c r="O469" s="109"/>
      <c r="P469" s="109"/>
      <c r="Q469" s="109"/>
      <c r="R469" s="109"/>
      <c r="S469" s="109"/>
      <c r="T469" s="109"/>
      <c r="U469" s="109"/>
      <c r="V469" s="109"/>
      <c r="W469" s="109"/>
      <c r="X469" s="109"/>
      <c r="Y469" s="109"/>
      <c r="Z469" s="109"/>
    </row>
    <row r="470" ht="29.25" customHeight="1">
      <c r="A470" s="109"/>
      <c r="B470" s="109"/>
      <c r="C470" s="109"/>
      <c r="D470" s="109"/>
      <c r="E470" s="109"/>
      <c r="F470" s="109"/>
      <c r="G470" s="317"/>
      <c r="H470" s="109"/>
      <c r="I470" s="109"/>
      <c r="J470" s="109"/>
      <c r="K470" s="109"/>
      <c r="L470" s="109"/>
      <c r="M470" s="109"/>
      <c r="N470" s="109"/>
      <c r="O470" s="109"/>
      <c r="P470" s="109"/>
      <c r="Q470" s="109"/>
      <c r="R470" s="109"/>
      <c r="S470" s="109"/>
      <c r="T470" s="109"/>
      <c r="U470" s="109"/>
      <c r="V470" s="109"/>
      <c r="W470" s="109"/>
      <c r="X470" s="109"/>
      <c r="Y470" s="109"/>
      <c r="Z470" s="109"/>
    </row>
    <row r="471" ht="29.25" customHeight="1">
      <c r="A471" s="109"/>
      <c r="B471" s="109"/>
      <c r="C471" s="109"/>
      <c r="D471" s="109"/>
      <c r="E471" s="109"/>
      <c r="F471" s="109"/>
      <c r="G471" s="317"/>
      <c r="H471" s="109"/>
      <c r="I471" s="109"/>
      <c r="J471" s="109"/>
      <c r="K471" s="109"/>
      <c r="L471" s="109"/>
      <c r="M471" s="109"/>
      <c r="N471" s="109"/>
      <c r="O471" s="109"/>
      <c r="P471" s="109"/>
      <c r="Q471" s="109"/>
      <c r="R471" s="109"/>
      <c r="S471" s="109"/>
      <c r="T471" s="109"/>
      <c r="U471" s="109"/>
      <c r="V471" s="109"/>
      <c r="W471" s="109"/>
      <c r="X471" s="109"/>
      <c r="Y471" s="109"/>
      <c r="Z471" s="109"/>
    </row>
    <row r="472" ht="29.25" customHeight="1">
      <c r="A472" s="109"/>
      <c r="B472" s="109"/>
      <c r="C472" s="109"/>
      <c r="D472" s="109"/>
      <c r="E472" s="109"/>
      <c r="F472" s="109"/>
      <c r="G472" s="317"/>
      <c r="H472" s="109"/>
      <c r="I472" s="109"/>
      <c r="J472" s="109"/>
      <c r="K472" s="109"/>
      <c r="L472" s="109"/>
      <c r="M472" s="109"/>
      <c r="N472" s="109"/>
      <c r="O472" s="109"/>
      <c r="P472" s="109"/>
      <c r="Q472" s="109"/>
      <c r="R472" s="109"/>
      <c r="S472" s="109"/>
      <c r="T472" s="109"/>
      <c r="U472" s="109"/>
      <c r="V472" s="109"/>
      <c r="W472" s="109"/>
      <c r="X472" s="109"/>
      <c r="Y472" s="109"/>
      <c r="Z472" s="109"/>
    </row>
    <row r="473" ht="29.25" customHeight="1">
      <c r="A473" s="109"/>
      <c r="B473" s="109"/>
      <c r="C473" s="109"/>
      <c r="D473" s="109"/>
      <c r="E473" s="109"/>
      <c r="F473" s="109"/>
      <c r="G473" s="317"/>
      <c r="H473" s="109"/>
      <c r="I473" s="109"/>
      <c r="J473" s="109"/>
      <c r="K473" s="109"/>
      <c r="L473" s="109"/>
      <c r="M473" s="109"/>
      <c r="N473" s="109"/>
      <c r="O473" s="109"/>
      <c r="P473" s="109"/>
      <c r="Q473" s="109"/>
      <c r="R473" s="109"/>
      <c r="S473" s="109"/>
      <c r="T473" s="109"/>
      <c r="U473" s="109"/>
      <c r="V473" s="109"/>
      <c r="W473" s="109"/>
      <c r="X473" s="109"/>
      <c r="Y473" s="109"/>
      <c r="Z473" s="109"/>
    </row>
    <row r="474" ht="29.25" customHeight="1">
      <c r="A474" s="109"/>
      <c r="B474" s="109"/>
      <c r="C474" s="109"/>
      <c r="D474" s="109"/>
      <c r="E474" s="109"/>
      <c r="F474" s="109"/>
      <c r="G474" s="317"/>
      <c r="H474" s="109"/>
      <c r="I474" s="109"/>
      <c r="J474" s="109"/>
      <c r="K474" s="109"/>
      <c r="L474" s="109"/>
      <c r="M474" s="109"/>
      <c r="N474" s="109"/>
      <c r="O474" s="109"/>
      <c r="P474" s="109"/>
      <c r="Q474" s="109"/>
      <c r="R474" s="109"/>
      <c r="S474" s="109"/>
      <c r="T474" s="109"/>
      <c r="U474" s="109"/>
      <c r="V474" s="109"/>
      <c r="W474" s="109"/>
      <c r="X474" s="109"/>
      <c r="Y474" s="109"/>
      <c r="Z474" s="109"/>
    </row>
    <row r="475" ht="29.25" customHeight="1">
      <c r="A475" s="109"/>
      <c r="B475" s="109"/>
      <c r="C475" s="109"/>
      <c r="D475" s="109"/>
      <c r="E475" s="109"/>
      <c r="F475" s="109"/>
      <c r="G475" s="317"/>
      <c r="H475" s="109"/>
      <c r="I475" s="109"/>
      <c r="J475" s="109"/>
      <c r="K475" s="109"/>
      <c r="L475" s="109"/>
      <c r="M475" s="109"/>
      <c r="N475" s="109"/>
      <c r="O475" s="109"/>
      <c r="P475" s="109"/>
      <c r="Q475" s="109"/>
      <c r="R475" s="109"/>
      <c r="S475" s="109"/>
      <c r="T475" s="109"/>
      <c r="U475" s="109"/>
      <c r="V475" s="109"/>
      <c r="W475" s="109"/>
      <c r="X475" s="109"/>
      <c r="Y475" s="109"/>
      <c r="Z475" s="109"/>
    </row>
    <row r="476" ht="29.25" customHeight="1">
      <c r="A476" s="109"/>
      <c r="B476" s="109"/>
      <c r="C476" s="109"/>
      <c r="D476" s="109"/>
      <c r="E476" s="109"/>
      <c r="F476" s="109"/>
      <c r="G476" s="317"/>
      <c r="H476" s="109"/>
      <c r="I476" s="109"/>
      <c r="J476" s="109"/>
      <c r="K476" s="109"/>
      <c r="L476" s="109"/>
      <c r="M476" s="109"/>
      <c r="N476" s="109"/>
      <c r="O476" s="109"/>
      <c r="P476" s="109"/>
      <c r="Q476" s="109"/>
      <c r="R476" s="109"/>
      <c r="S476" s="109"/>
      <c r="T476" s="109"/>
      <c r="U476" s="109"/>
      <c r="V476" s="109"/>
      <c r="W476" s="109"/>
      <c r="X476" s="109"/>
      <c r="Y476" s="109"/>
      <c r="Z476" s="109"/>
    </row>
    <row r="477" ht="29.25" customHeight="1">
      <c r="A477" s="109"/>
      <c r="B477" s="109"/>
      <c r="C477" s="109"/>
      <c r="D477" s="109"/>
      <c r="E477" s="109"/>
      <c r="F477" s="109"/>
      <c r="G477" s="317"/>
      <c r="H477" s="109"/>
      <c r="I477" s="109"/>
      <c r="J477" s="109"/>
      <c r="K477" s="109"/>
      <c r="L477" s="109"/>
      <c r="M477" s="109"/>
      <c r="N477" s="109"/>
      <c r="O477" s="109"/>
      <c r="P477" s="109"/>
      <c r="Q477" s="109"/>
      <c r="R477" s="109"/>
      <c r="S477" s="109"/>
      <c r="T477" s="109"/>
      <c r="U477" s="109"/>
      <c r="V477" s="109"/>
      <c r="W477" s="109"/>
      <c r="X477" s="109"/>
      <c r="Y477" s="109"/>
      <c r="Z477" s="109"/>
    </row>
    <row r="478" ht="29.25" customHeight="1">
      <c r="A478" s="109"/>
      <c r="B478" s="109"/>
      <c r="C478" s="109"/>
      <c r="D478" s="109"/>
      <c r="E478" s="109"/>
      <c r="F478" s="109"/>
      <c r="G478" s="317"/>
      <c r="H478" s="109"/>
      <c r="I478" s="109"/>
      <c r="J478" s="109"/>
      <c r="K478" s="109"/>
      <c r="L478" s="109"/>
      <c r="M478" s="109"/>
      <c r="N478" s="109"/>
      <c r="O478" s="109"/>
      <c r="P478" s="109"/>
      <c r="Q478" s="109"/>
      <c r="R478" s="109"/>
      <c r="S478" s="109"/>
      <c r="T478" s="109"/>
      <c r="U478" s="109"/>
      <c r="V478" s="109"/>
      <c r="W478" s="109"/>
      <c r="X478" s="109"/>
      <c r="Y478" s="109"/>
      <c r="Z478" s="109"/>
    </row>
    <row r="479" ht="29.25" customHeight="1">
      <c r="A479" s="109"/>
      <c r="B479" s="109"/>
      <c r="C479" s="109"/>
      <c r="D479" s="109"/>
      <c r="E479" s="109"/>
      <c r="F479" s="109"/>
      <c r="G479" s="317"/>
      <c r="H479" s="109"/>
      <c r="I479" s="109"/>
      <c r="J479" s="109"/>
      <c r="K479" s="109"/>
      <c r="L479" s="109"/>
      <c r="M479" s="109"/>
      <c r="N479" s="109"/>
      <c r="O479" s="109"/>
      <c r="P479" s="109"/>
      <c r="Q479" s="109"/>
      <c r="R479" s="109"/>
      <c r="S479" s="109"/>
      <c r="T479" s="109"/>
      <c r="U479" s="109"/>
      <c r="V479" s="109"/>
      <c r="W479" s="109"/>
      <c r="X479" s="109"/>
      <c r="Y479" s="109"/>
      <c r="Z479" s="109"/>
    </row>
    <row r="480" ht="29.25" customHeight="1">
      <c r="A480" s="109"/>
      <c r="B480" s="109"/>
      <c r="C480" s="109"/>
      <c r="D480" s="109"/>
      <c r="E480" s="109"/>
      <c r="F480" s="109"/>
      <c r="G480" s="317"/>
      <c r="H480" s="109"/>
      <c r="I480" s="109"/>
      <c r="J480" s="109"/>
      <c r="K480" s="109"/>
      <c r="L480" s="109"/>
      <c r="M480" s="109"/>
      <c r="N480" s="109"/>
      <c r="O480" s="109"/>
      <c r="P480" s="109"/>
      <c r="Q480" s="109"/>
      <c r="R480" s="109"/>
      <c r="S480" s="109"/>
      <c r="T480" s="109"/>
      <c r="U480" s="109"/>
      <c r="V480" s="109"/>
      <c r="W480" s="109"/>
      <c r="X480" s="109"/>
      <c r="Y480" s="109"/>
      <c r="Z480" s="109"/>
    </row>
    <row r="481" ht="29.25" customHeight="1">
      <c r="A481" s="109"/>
      <c r="B481" s="109"/>
      <c r="C481" s="109"/>
      <c r="D481" s="109"/>
      <c r="E481" s="109"/>
      <c r="F481" s="109"/>
      <c r="G481" s="317"/>
      <c r="H481" s="109"/>
      <c r="I481" s="109"/>
      <c r="J481" s="109"/>
      <c r="K481" s="109"/>
      <c r="L481" s="109"/>
      <c r="M481" s="109"/>
      <c r="N481" s="109"/>
      <c r="O481" s="109"/>
      <c r="P481" s="109"/>
      <c r="Q481" s="109"/>
      <c r="R481" s="109"/>
      <c r="S481" s="109"/>
      <c r="T481" s="109"/>
      <c r="U481" s="109"/>
      <c r="V481" s="109"/>
      <c r="W481" s="109"/>
      <c r="X481" s="109"/>
      <c r="Y481" s="109"/>
      <c r="Z481" s="109"/>
    </row>
    <row r="482" ht="29.25" customHeight="1">
      <c r="A482" s="109"/>
      <c r="B482" s="109"/>
      <c r="C482" s="109"/>
      <c r="D482" s="109"/>
      <c r="E482" s="109"/>
      <c r="F482" s="109"/>
      <c r="G482" s="317"/>
      <c r="H482" s="109"/>
      <c r="I482" s="109"/>
      <c r="J482" s="109"/>
      <c r="K482" s="109"/>
      <c r="L482" s="109"/>
      <c r="M482" s="109"/>
      <c r="N482" s="109"/>
      <c r="O482" s="109"/>
      <c r="P482" s="109"/>
      <c r="Q482" s="109"/>
      <c r="R482" s="109"/>
      <c r="S482" s="109"/>
      <c r="T482" s="109"/>
      <c r="U482" s="109"/>
      <c r="V482" s="109"/>
      <c r="W482" s="109"/>
      <c r="X482" s="109"/>
      <c r="Y482" s="109"/>
      <c r="Z482" s="109"/>
    </row>
    <row r="483" ht="29.25" customHeight="1">
      <c r="A483" s="109"/>
      <c r="B483" s="109"/>
      <c r="C483" s="109"/>
      <c r="D483" s="109"/>
      <c r="E483" s="109"/>
      <c r="F483" s="109"/>
      <c r="G483" s="317"/>
      <c r="H483" s="109"/>
      <c r="I483" s="109"/>
      <c r="J483" s="109"/>
      <c r="K483" s="109"/>
      <c r="L483" s="109"/>
      <c r="M483" s="109"/>
      <c r="N483" s="109"/>
      <c r="O483" s="109"/>
      <c r="P483" s="109"/>
      <c r="Q483" s="109"/>
      <c r="R483" s="109"/>
      <c r="S483" s="109"/>
      <c r="T483" s="109"/>
      <c r="U483" s="109"/>
      <c r="V483" s="109"/>
      <c r="W483" s="109"/>
      <c r="X483" s="109"/>
      <c r="Y483" s="109"/>
      <c r="Z483" s="109"/>
    </row>
    <row r="484" ht="29.25" customHeight="1">
      <c r="A484" s="109"/>
      <c r="B484" s="109"/>
      <c r="C484" s="109"/>
      <c r="D484" s="109"/>
      <c r="E484" s="109"/>
      <c r="F484" s="109"/>
      <c r="G484" s="317"/>
      <c r="H484" s="109"/>
      <c r="I484" s="109"/>
      <c r="J484" s="109"/>
      <c r="K484" s="109"/>
      <c r="L484" s="109"/>
      <c r="M484" s="109"/>
      <c r="N484" s="109"/>
      <c r="O484" s="109"/>
      <c r="P484" s="109"/>
      <c r="Q484" s="109"/>
      <c r="R484" s="109"/>
      <c r="S484" s="109"/>
      <c r="T484" s="109"/>
      <c r="U484" s="109"/>
      <c r="V484" s="109"/>
      <c r="W484" s="109"/>
      <c r="X484" s="109"/>
      <c r="Y484" s="109"/>
      <c r="Z484" s="109"/>
    </row>
    <row r="485" ht="29.25" customHeight="1">
      <c r="A485" s="109"/>
      <c r="B485" s="109"/>
      <c r="C485" s="109"/>
      <c r="D485" s="109"/>
      <c r="E485" s="109"/>
      <c r="F485" s="109"/>
      <c r="G485" s="317"/>
      <c r="H485" s="109"/>
      <c r="I485" s="109"/>
      <c r="J485" s="109"/>
      <c r="K485" s="109"/>
      <c r="L485" s="109"/>
      <c r="M485" s="109"/>
      <c r="N485" s="109"/>
      <c r="O485" s="109"/>
      <c r="P485" s="109"/>
      <c r="Q485" s="109"/>
      <c r="R485" s="109"/>
      <c r="S485" s="109"/>
      <c r="T485" s="109"/>
      <c r="U485" s="109"/>
      <c r="V485" s="109"/>
      <c r="W485" s="109"/>
      <c r="X485" s="109"/>
      <c r="Y485" s="109"/>
      <c r="Z485" s="109"/>
    </row>
    <row r="486" ht="29.25" customHeight="1">
      <c r="A486" s="109"/>
      <c r="B486" s="109"/>
      <c r="C486" s="109"/>
      <c r="D486" s="109"/>
      <c r="E486" s="109"/>
      <c r="F486" s="109"/>
      <c r="G486" s="317"/>
      <c r="H486" s="109"/>
      <c r="I486" s="109"/>
      <c r="J486" s="109"/>
      <c r="K486" s="109"/>
      <c r="L486" s="109"/>
      <c r="M486" s="109"/>
      <c r="N486" s="109"/>
      <c r="O486" s="109"/>
      <c r="P486" s="109"/>
      <c r="Q486" s="109"/>
      <c r="R486" s="109"/>
      <c r="S486" s="109"/>
      <c r="T486" s="109"/>
      <c r="U486" s="109"/>
      <c r="V486" s="109"/>
      <c r="W486" s="109"/>
      <c r="X486" s="109"/>
      <c r="Y486" s="109"/>
      <c r="Z486" s="109"/>
    </row>
    <row r="487" ht="29.25" customHeight="1">
      <c r="A487" s="109"/>
      <c r="B487" s="109"/>
      <c r="C487" s="109"/>
      <c r="D487" s="109"/>
      <c r="E487" s="109"/>
      <c r="F487" s="109"/>
      <c r="G487" s="317"/>
      <c r="H487" s="109"/>
      <c r="I487" s="109"/>
      <c r="J487" s="109"/>
      <c r="K487" s="109"/>
      <c r="L487" s="109"/>
      <c r="M487" s="109"/>
      <c r="N487" s="109"/>
      <c r="O487" s="109"/>
      <c r="P487" s="109"/>
      <c r="Q487" s="109"/>
      <c r="R487" s="109"/>
      <c r="S487" s="109"/>
      <c r="T487" s="109"/>
      <c r="U487" s="109"/>
      <c r="V487" s="109"/>
      <c r="W487" s="109"/>
      <c r="X487" s="109"/>
      <c r="Y487" s="109"/>
      <c r="Z487" s="109"/>
    </row>
    <row r="488" ht="29.25" customHeight="1">
      <c r="A488" s="109"/>
      <c r="B488" s="109"/>
      <c r="C488" s="109"/>
      <c r="D488" s="109"/>
      <c r="E488" s="109"/>
      <c r="F488" s="109"/>
      <c r="G488" s="317"/>
      <c r="H488" s="109"/>
      <c r="I488" s="109"/>
      <c r="J488" s="109"/>
      <c r="K488" s="109"/>
      <c r="L488" s="109"/>
      <c r="M488" s="109"/>
      <c r="N488" s="109"/>
      <c r="O488" s="109"/>
      <c r="P488" s="109"/>
      <c r="Q488" s="109"/>
      <c r="R488" s="109"/>
      <c r="S488" s="109"/>
      <c r="T488" s="109"/>
      <c r="U488" s="109"/>
      <c r="V488" s="109"/>
      <c r="W488" s="109"/>
      <c r="X488" s="109"/>
      <c r="Y488" s="109"/>
      <c r="Z488" s="109"/>
    </row>
    <row r="489" ht="29.25" customHeight="1">
      <c r="A489" s="109"/>
      <c r="B489" s="109"/>
      <c r="C489" s="109"/>
      <c r="D489" s="109"/>
      <c r="E489" s="109"/>
      <c r="F489" s="109"/>
      <c r="G489" s="317"/>
      <c r="H489" s="109"/>
      <c r="I489" s="109"/>
      <c r="J489" s="109"/>
      <c r="K489" s="109"/>
      <c r="L489" s="109"/>
      <c r="M489" s="109"/>
      <c r="N489" s="109"/>
      <c r="O489" s="109"/>
      <c r="P489" s="109"/>
      <c r="Q489" s="109"/>
      <c r="R489" s="109"/>
      <c r="S489" s="109"/>
      <c r="T489" s="109"/>
      <c r="U489" s="109"/>
      <c r="V489" s="109"/>
      <c r="W489" s="109"/>
      <c r="X489" s="109"/>
      <c r="Y489" s="109"/>
      <c r="Z489" s="109"/>
    </row>
    <row r="490" ht="29.25" customHeight="1">
      <c r="A490" s="109"/>
      <c r="B490" s="109"/>
      <c r="C490" s="109"/>
      <c r="D490" s="109"/>
      <c r="E490" s="109"/>
      <c r="F490" s="109"/>
      <c r="G490" s="317"/>
      <c r="H490" s="109"/>
      <c r="I490" s="109"/>
      <c r="J490" s="109"/>
      <c r="K490" s="109"/>
      <c r="L490" s="109"/>
      <c r="M490" s="109"/>
      <c r="N490" s="109"/>
      <c r="O490" s="109"/>
      <c r="P490" s="109"/>
      <c r="Q490" s="109"/>
      <c r="R490" s="109"/>
      <c r="S490" s="109"/>
      <c r="T490" s="109"/>
      <c r="U490" s="109"/>
      <c r="V490" s="109"/>
      <c r="W490" s="109"/>
      <c r="X490" s="109"/>
      <c r="Y490" s="109"/>
      <c r="Z490" s="109"/>
    </row>
    <row r="491" ht="29.25" customHeight="1">
      <c r="A491" s="109"/>
      <c r="B491" s="109"/>
      <c r="C491" s="109"/>
      <c r="D491" s="109"/>
      <c r="E491" s="109"/>
      <c r="F491" s="109"/>
      <c r="G491" s="317"/>
      <c r="H491" s="109"/>
      <c r="I491" s="109"/>
      <c r="J491" s="109"/>
      <c r="K491" s="109"/>
      <c r="L491" s="109"/>
      <c r="M491" s="109"/>
      <c r="N491" s="109"/>
      <c r="O491" s="109"/>
      <c r="P491" s="109"/>
      <c r="Q491" s="109"/>
      <c r="R491" s="109"/>
      <c r="S491" s="109"/>
      <c r="T491" s="109"/>
      <c r="U491" s="109"/>
      <c r="V491" s="109"/>
      <c r="W491" s="109"/>
      <c r="X491" s="109"/>
      <c r="Y491" s="109"/>
      <c r="Z491" s="109"/>
    </row>
    <row r="492" ht="29.25" customHeight="1">
      <c r="A492" s="109"/>
      <c r="B492" s="109"/>
      <c r="C492" s="109"/>
      <c r="D492" s="109"/>
      <c r="E492" s="109"/>
      <c r="F492" s="109"/>
      <c r="G492" s="317"/>
      <c r="H492" s="109"/>
      <c r="I492" s="109"/>
      <c r="J492" s="109"/>
      <c r="K492" s="109"/>
      <c r="L492" s="109"/>
      <c r="M492" s="109"/>
      <c r="N492" s="109"/>
      <c r="O492" s="109"/>
      <c r="P492" s="109"/>
      <c r="Q492" s="109"/>
      <c r="R492" s="109"/>
      <c r="S492" s="109"/>
      <c r="T492" s="109"/>
      <c r="U492" s="109"/>
      <c r="V492" s="109"/>
      <c r="W492" s="109"/>
      <c r="X492" s="109"/>
      <c r="Y492" s="109"/>
      <c r="Z492" s="109"/>
    </row>
    <row r="493" ht="29.25" customHeight="1">
      <c r="A493" s="109"/>
      <c r="B493" s="109"/>
      <c r="C493" s="109"/>
      <c r="D493" s="109"/>
      <c r="E493" s="109"/>
      <c r="F493" s="109"/>
      <c r="G493" s="317"/>
      <c r="H493" s="109"/>
      <c r="I493" s="109"/>
      <c r="J493" s="109"/>
      <c r="K493" s="109"/>
      <c r="L493" s="109"/>
      <c r="M493" s="109"/>
      <c r="N493" s="109"/>
      <c r="O493" s="109"/>
      <c r="P493" s="109"/>
      <c r="Q493" s="109"/>
      <c r="R493" s="109"/>
      <c r="S493" s="109"/>
      <c r="T493" s="109"/>
      <c r="U493" s="109"/>
      <c r="V493" s="109"/>
      <c r="W493" s="109"/>
      <c r="X493" s="109"/>
      <c r="Y493" s="109"/>
      <c r="Z493" s="109"/>
    </row>
    <row r="494" ht="29.25" customHeight="1">
      <c r="A494" s="109"/>
      <c r="B494" s="109"/>
      <c r="C494" s="109"/>
      <c r="D494" s="109"/>
      <c r="E494" s="109"/>
      <c r="F494" s="109"/>
      <c r="G494" s="317"/>
      <c r="H494" s="109"/>
      <c r="I494" s="109"/>
      <c r="J494" s="109"/>
      <c r="K494" s="109"/>
      <c r="L494" s="109"/>
      <c r="M494" s="109"/>
      <c r="N494" s="109"/>
      <c r="O494" s="109"/>
      <c r="P494" s="109"/>
      <c r="Q494" s="109"/>
      <c r="R494" s="109"/>
      <c r="S494" s="109"/>
      <c r="T494" s="109"/>
      <c r="U494" s="109"/>
      <c r="V494" s="109"/>
      <c r="W494" s="109"/>
      <c r="X494" s="109"/>
      <c r="Y494" s="109"/>
      <c r="Z494" s="109"/>
    </row>
    <row r="495" ht="29.25" customHeight="1">
      <c r="A495" s="109"/>
      <c r="B495" s="109"/>
      <c r="C495" s="109"/>
      <c r="D495" s="109"/>
      <c r="E495" s="109"/>
      <c r="F495" s="109"/>
      <c r="G495" s="317"/>
      <c r="H495" s="109"/>
      <c r="I495" s="109"/>
      <c r="J495" s="109"/>
      <c r="K495" s="109"/>
      <c r="L495" s="109"/>
      <c r="M495" s="109"/>
      <c r="N495" s="109"/>
      <c r="O495" s="109"/>
      <c r="P495" s="109"/>
      <c r="Q495" s="109"/>
      <c r="R495" s="109"/>
      <c r="S495" s="109"/>
      <c r="T495" s="109"/>
      <c r="U495" s="109"/>
      <c r="V495" s="109"/>
      <c r="W495" s="109"/>
      <c r="X495" s="109"/>
      <c r="Y495" s="109"/>
      <c r="Z495" s="109"/>
    </row>
    <row r="496" ht="29.25" customHeight="1">
      <c r="A496" s="109"/>
      <c r="B496" s="109"/>
      <c r="C496" s="109"/>
      <c r="D496" s="109"/>
      <c r="E496" s="109"/>
      <c r="F496" s="109"/>
      <c r="G496" s="317"/>
      <c r="H496" s="109"/>
      <c r="I496" s="109"/>
      <c r="J496" s="109"/>
      <c r="K496" s="109"/>
      <c r="L496" s="109"/>
      <c r="M496" s="109"/>
      <c r="N496" s="109"/>
      <c r="O496" s="109"/>
      <c r="P496" s="109"/>
      <c r="Q496" s="109"/>
      <c r="R496" s="109"/>
      <c r="S496" s="109"/>
      <c r="T496" s="109"/>
      <c r="U496" s="109"/>
      <c r="V496" s="109"/>
      <c r="W496" s="109"/>
      <c r="X496" s="109"/>
      <c r="Y496" s="109"/>
      <c r="Z496" s="109"/>
    </row>
    <row r="497" ht="29.25" customHeight="1">
      <c r="A497" s="109"/>
      <c r="B497" s="109"/>
      <c r="C497" s="109"/>
      <c r="D497" s="109"/>
      <c r="E497" s="109"/>
      <c r="F497" s="109"/>
      <c r="G497" s="317"/>
      <c r="H497" s="109"/>
      <c r="I497" s="109"/>
      <c r="J497" s="109"/>
      <c r="K497" s="109"/>
      <c r="L497" s="109"/>
      <c r="M497" s="109"/>
      <c r="N497" s="109"/>
      <c r="O497" s="109"/>
      <c r="P497" s="109"/>
      <c r="Q497" s="109"/>
      <c r="R497" s="109"/>
      <c r="S497" s="109"/>
      <c r="T497" s="109"/>
      <c r="U497" s="109"/>
      <c r="V497" s="109"/>
      <c r="W497" s="109"/>
      <c r="X497" s="109"/>
      <c r="Y497" s="109"/>
      <c r="Z497" s="109"/>
    </row>
    <row r="498" ht="29.25" customHeight="1">
      <c r="A498" s="109"/>
      <c r="B498" s="109"/>
      <c r="C498" s="109"/>
      <c r="D498" s="109"/>
      <c r="E498" s="109"/>
      <c r="F498" s="109"/>
      <c r="G498" s="317"/>
      <c r="H498" s="109"/>
      <c r="I498" s="109"/>
      <c r="J498" s="109"/>
      <c r="K498" s="109"/>
      <c r="L498" s="109"/>
      <c r="M498" s="109"/>
      <c r="N498" s="109"/>
      <c r="O498" s="109"/>
      <c r="P498" s="109"/>
      <c r="Q498" s="109"/>
      <c r="R498" s="109"/>
      <c r="S498" s="109"/>
      <c r="T498" s="109"/>
      <c r="U498" s="109"/>
      <c r="V498" s="109"/>
      <c r="W498" s="109"/>
      <c r="X498" s="109"/>
      <c r="Y498" s="109"/>
      <c r="Z498" s="109"/>
    </row>
    <row r="499" ht="29.25" customHeight="1">
      <c r="A499" s="109"/>
      <c r="B499" s="109"/>
      <c r="C499" s="109"/>
      <c r="D499" s="109"/>
      <c r="E499" s="109"/>
      <c r="F499" s="109"/>
      <c r="G499" s="317"/>
      <c r="H499" s="109"/>
      <c r="I499" s="109"/>
      <c r="J499" s="109"/>
      <c r="K499" s="109"/>
      <c r="L499" s="109"/>
      <c r="M499" s="109"/>
      <c r="N499" s="109"/>
      <c r="O499" s="109"/>
      <c r="P499" s="109"/>
      <c r="Q499" s="109"/>
      <c r="R499" s="109"/>
      <c r="S499" s="109"/>
      <c r="T499" s="109"/>
      <c r="U499" s="109"/>
      <c r="V499" s="109"/>
      <c r="W499" s="109"/>
      <c r="X499" s="109"/>
      <c r="Y499" s="109"/>
      <c r="Z499" s="109"/>
    </row>
    <row r="500" ht="29.25" customHeight="1">
      <c r="A500" s="109"/>
      <c r="B500" s="109"/>
      <c r="C500" s="109"/>
      <c r="D500" s="109"/>
      <c r="E500" s="109"/>
      <c r="F500" s="109"/>
      <c r="G500" s="317"/>
      <c r="H500" s="109"/>
      <c r="I500" s="109"/>
      <c r="J500" s="109"/>
      <c r="K500" s="109"/>
      <c r="L500" s="109"/>
      <c r="M500" s="109"/>
      <c r="N500" s="109"/>
      <c r="O500" s="109"/>
      <c r="P500" s="109"/>
      <c r="Q500" s="109"/>
      <c r="R500" s="109"/>
      <c r="S500" s="109"/>
      <c r="T500" s="109"/>
      <c r="U500" s="109"/>
      <c r="V500" s="109"/>
      <c r="W500" s="109"/>
      <c r="X500" s="109"/>
      <c r="Y500" s="109"/>
      <c r="Z500" s="109"/>
    </row>
    <row r="501" ht="29.25" customHeight="1">
      <c r="A501" s="109"/>
      <c r="B501" s="109"/>
      <c r="C501" s="109"/>
      <c r="D501" s="109"/>
      <c r="E501" s="109"/>
      <c r="F501" s="109"/>
      <c r="G501" s="317"/>
      <c r="H501" s="109"/>
      <c r="I501" s="109"/>
      <c r="J501" s="109"/>
      <c r="K501" s="109"/>
      <c r="L501" s="109"/>
      <c r="M501" s="109"/>
      <c r="N501" s="109"/>
      <c r="O501" s="109"/>
      <c r="P501" s="109"/>
      <c r="Q501" s="109"/>
      <c r="R501" s="109"/>
      <c r="S501" s="109"/>
      <c r="T501" s="109"/>
      <c r="U501" s="109"/>
      <c r="V501" s="109"/>
      <c r="W501" s="109"/>
      <c r="X501" s="109"/>
      <c r="Y501" s="109"/>
      <c r="Z501" s="109"/>
    </row>
    <row r="502" ht="29.25" customHeight="1">
      <c r="A502" s="109"/>
      <c r="B502" s="109"/>
      <c r="C502" s="109"/>
      <c r="D502" s="109"/>
      <c r="E502" s="109"/>
      <c r="F502" s="109"/>
      <c r="G502" s="317"/>
      <c r="H502" s="109"/>
      <c r="I502" s="109"/>
      <c r="J502" s="109"/>
      <c r="K502" s="109"/>
      <c r="L502" s="109"/>
      <c r="M502" s="109"/>
      <c r="N502" s="109"/>
      <c r="O502" s="109"/>
      <c r="P502" s="109"/>
      <c r="Q502" s="109"/>
      <c r="R502" s="109"/>
      <c r="S502" s="109"/>
      <c r="T502" s="109"/>
      <c r="U502" s="109"/>
      <c r="V502" s="109"/>
      <c r="W502" s="109"/>
      <c r="X502" s="109"/>
      <c r="Y502" s="109"/>
      <c r="Z502" s="109"/>
    </row>
    <row r="503" ht="29.25" customHeight="1">
      <c r="A503" s="109"/>
      <c r="B503" s="109"/>
      <c r="C503" s="109"/>
      <c r="D503" s="109"/>
      <c r="E503" s="109"/>
      <c r="F503" s="109"/>
      <c r="G503" s="317"/>
      <c r="H503" s="109"/>
      <c r="I503" s="109"/>
      <c r="J503" s="109"/>
      <c r="K503" s="109"/>
      <c r="L503" s="109"/>
      <c r="M503" s="109"/>
      <c r="N503" s="109"/>
      <c r="O503" s="109"/>
      <c r="P503" s="109"/>
      <c r="Q503" s="109"/>
      <c r="R503" s="109"/>
      <c r="S503" s="109"/>
      <c r="T503" s="109"/>
      <c r="U503" s="109"/>
      <c r="V503" s="109"/>
      <c r="W503" s="109"/>
      <c r="X503" s="109"/>
      <c r="Y503" s="109"/>
      <c r="Z503" s="109"/>
    </row>
    <row r="504" ht="29.25" customHeight="1">
      <c r="A504" s="109"/>
      <c r="B504" s="109"/>
      <c r="C504" s="109"/>
      <c r="D504" s="109"/>
      <c r="E504" s="109"/>
      <c r="F504" s="109"/>
      <c r="G504" s="317"/>
      <c r="H504" s="109"/>
      <c r="I504" s="109"/>
      <c r="J504" s="109"/>
      <c r="K504" s="109"/>
      <c r="L504" s="109"/>
      <c r="M504" s="109"/>
      <c r="N504" s="109"/>
      <c r="O504" s="109"/>
      <c r="P504" s="109"/>
      <c r="Q504" s="109"/>
      <c r="R504" s="109"/>
      <c r="S504" s="109"/>
      <c r="T504" s="109"/>
      <c r="U504" s="109"/>
      <c r="V504" s="109"/>
      <c r="W504" s="109"/>
      <c r="X504" s="109"/>
      <c r="Y504" s="109"/>
      <c r="Z504" s="109"/>
    </row>
    <row r="505" ht="29.25" customHeight="1">
      <c r="A505" s="109"/>
      <c r="B505" s="109"/>
      <c r="C505" s="109"/>
      <c r="D505" s="109"/>
      <c r="E505" s="109"/>
      <c r="F505" s="109"/>
      <c r="G505" s="317"/>
      <c r="H505" s="109"/>
      <c r="I505" s="109"/>
      <c r="J505" s="109"/>
      <c r="K505" s="109"/>
      <c r="L505" s="109"/>
      <c r="M505" s="109"/>
      <c r="N505" s="109"/>
      <c r="O505" s="109"/>
      <c r="P505" s="109"/>
      <c r="Q505" s="109"/>
      <c r="R505" s="109"/>
      <c r="S505" s="109"/>
      <c r="T505" s="109"/>
      <c r="U505" s="109"/>
      <c r="V505" s="109"/>
      <c r="W505" s="109"/>
      <c r="X505" s="109"/>
      <c r="Y505" s="109"/>
      <c r="Z505" s="109"/>
    </row>
    <row r="506" ht="29.25" customHeight="1">
      <c r="A506" s="109"/>
      <c r="B506" s="109"/>
      <c r="C506" s="109"/>
      <c r="D506" s="109"/>
      <c r="E506" s="109"/>
      <c r="F506" s="109"/>
      <c r="G506" s="317"/>
      <c r="H506" s="109"/>
      <c r="I506" s="109"/>
      <c r="J506" s="109"/>
      <c r="K506" s="109"/>
      <c r="L506" s="109"/>
      <c r="M506" s="109"/>
      <c r="N506" s="109"/>
      <c r="O506" s="109"/>
      <c r="P506" s="109"/>
      <c r="Q506" s="109"/>
      <c r="R506" s="109"/>
      <c r="S506" s="109"/>
      <c r="T506" s="109"/>
      <c r="U506" s="109"/>
      <c r="V506" s="109"/>
      <c r="W506" s="109"/>
      <c r="X506" s="109"/>
      <c r="Y506" s="109"/>
      <c r="Z506" s="109"/>
    </row>
    <row r="507" ht="29.25" customHeight="1">
      <c r="A507" s="109"/>
      <c r="B507" s="109"/>
      <c r="C507" s="109"/>
      <c r="D507" s="109"/>
      <c r="E507" s="109"/>
      <c r="F507" s="109"/>
      <c r="G507" s="317"/>
      <c r="H507" s="109"/>
      <c r="I507" s="109"/>
      <c r="J507" s="109"/>
      <c r="K507" s="109"/>
      <c r="L507" s="109"/>
      <c r="M507" s="109"/>
      <c r="N507" s="109"/>
      <c r="O507" s="109"/>
      <c r="P507" s="109"/>
      <c r="Q507" s="109"/>
      <c r="R507" s="109"/>
      <c r="S507" s="109"/>
      <c r="T507" s="109"/>
      <c r="U507" s="109"/>
      <c r="V507" s="109"/>
      <c r="W507" s="109"/>
      <c r="X507" s="109"/>
      <c r="Y507" s="109"/>
      <c r="Z507" s="109"/>
    </row>
    <row r="508" ht="29.25" customHeight="1">
      <c r="A508" s="109"/>
      <c r="B508" s="109"/>
      <c r="C508" s="109"/>
      <c r="D508" s="109"/>
      <c r="E508" s="109"/>
      <c r="F508" s="109"/>
      <c r="G508" s="317"/>
      <c r="H508" s="109"/>
      <c r="I508" s="109"/>
      <c r="J508" s="109"/>
      <c r="K508" s="109"/>
      <c r="L508" s="109"/>
      <c r="M508" s="109"/>
      <c r="N508" s="109"/>
      <c r="O508" s="109"/>
      <c r="P508" s="109"/>
      <c r="Q508" s="109"/>
      <c r="R508" s="109"/>
      <c r="S508" s="109"/>
      <c r="T508" s="109"/>
      <c r="U508" s="109"/>
      <c r="V508" s="109"/>
      <c r="W508" s="109"/>
      <c r="X508" s="109"/>
      <c r="Y508" s="109"/>
      <c r="Z508" s="109"/>
    </row>
    <row r="509" ht="29.25" customHeight="1">
      <c r="A509" s="109"/>
      <c r="B509" s="109"/>
      <c r="C509" s="109"/>
      <c r="D509" s="109"/>
      <c r="E509" s="109"/>
      <c r="F509" s="109"/>
      <c r="G509" s="317"/>
      <c r="H509" s="109"/>
      <c r="I509" s="109"/>
      <c r="J509" s="109"/>
      <c r="K509" s="109"/>
      <c r="L509" s="109"/>
      <c r="M509" s="109"/>
      <c r="N509" s="109"/>
      <c r="O509" s="109"/>
      <c r="P509" s="109"/>
      <c r="Q509" s="109"/>
      <c r="R509" s="109"/>
      <c r="S509" s="109"/>
      <c r="T509" s="109"/>
      <c r="U509" s="109"/>
      <c r="V509" s="109"/>
      <c r="W509" s="109"/>
      <c r="X509" s="109"/>
      <c r="Y509" s="109"/>
      <c r="Z509" s="109"/>
    </row>
    <row r="510" ht="29.25" customHeight="1">
      <c r="A510" s="109"/>
      <c r="B510" s="109"/>
      <c r="C510" s="109"/>
      <c r="D510" s="109"/>
      <c r="E510" s="109"/>
      <c r="F510" s="109"/>
      <c r="G510" s="317"/>
      <c r="H510" s="109"/>
      <c r="I510" s="109"/>
      <c r="J510" s="109"/>
      <c r="K510" s="109"/>
      <c r="L510" s="109"/>
      <c r="M510" s="109"/>
      <c r="N510" s="109"/>
      <c r="O510" s="109"/>
      <c r="P510" s="109"/>
      <c r="Q510" s="109"/>
      <c r="R510" s="109"/>
      <c r="S510" s="109"/>
      <c r="T510" s="109"/>
      <c r="U510" s="109"/>
      <c r="V510" s="109"/>
      <c r="W510" s="109"/>
      <c r="X510" s="109"/>
      <c r="Y510" s="109"/>
      <c r="Z510" s="109"/>
    </row>
    <row r="511" ht="29.25" customHeight="1">
      <c r="A511" s="109"/>
      <c r="B511" s="109"/>
      <c r="C511" s="109"/>
      <c r="D511" s="109"/>
      <c r="E511" s="109"/>
      <c r="F511" s="109"/>
      <c r="G511" s="317"/>
      <c r="H511" s="109"/>
      <c r="I511" s="109"/>
      <c r="J511" s="109"/>
      <c r="K511" s="109"/>
      <c r="L511" s="109"/>
      <c r="M511" s="109"/>
      <c r="N511" s="109"/>
      <c r="O511" s="109"/>
      <c r="P511" s="109"/>
      <c r="Q511" s="109"/>
      <c r="R511" s="109"/>
      <c r="S511" s="109"/>
      <c r="T511" s="109"/>
      <c r="U511" s="109"/>
      <c r="V511" s="109"/>
      <c r="W511" s="109"/>
      <c r="X511" s="109"/>
      <c r="Y511" s="109"/>
      <c r="Z511" s="109"/>
    </row>
    <row r="512" ht="29.25" customHeight="1">
      <c r="A512" s="109"/>
      <c r="B512" s="109"/>
      <c r="C512" s="109"/>
      <c r="D512" s="109"/>
      <c r="E512" s="109"/>
      <c r="F512" s="109"/>
      <c r="G512" s="317"/>
      <c r="H512" s="109"/>
      <c r="I512" s="109"/>
      <c r="J512" s="109"/>
      <c r="K512" s="109"/>
      <c r="L512" s="109"/>
      <c r="M512" s="109"/>
      <c r="N512" s="109"/>
      <c r="O512" s="109"/>
      <c r="P512" s="109"/>
      <c r="Q512" s="109"/>
      <c r="R512" s="109"/>
      <c r="S512" s="109"/>
      <c r="T512" s="109"/>
      <c r="U512" s="109"/>
      <c r="V512" s="109"/>
      <c r="W512" s="109"/>
      <c r="X512" s="109"/>
      <c r="Y512" s="109"/>
      <c r="Z512" s="109"/>
    </row>
    <row r="513" ht="29.25" customHeight="1">
      <c r="A513" s="109"/>
      <c r="B513" s="109"/>
      <c r="C513" s="109"/>
      <c r="D513" s="109"/>
      <c r="E513" s="109"/>
      <c r="F513" s="109"/>
      <c r="G513" s="317"/>
      <c r="H513" s="109"/>
      <c r="I513" s="109"/>
      <c r="J513" s="109"/>
      <c r="K513" s="109"/>
      <c r="L513" s="109"/>
      <c r="M513" s="109"/>
      <c r="N513" s="109"/>
      <c r="O513" s="109"/>
      <c r="P513" s="109"/>
      <c r="Q513" s="109"/>
      <c r="R513" s="109"/>
      <c r="S513" s="109"/>
      <c r="T513" s="109"/>
      <c r="U513" s="109"/>
      <c r="V513" s="109"/>
      <c r="W513" s="109"/>
      <c r="X513" s="109"/>
      <c r="Y513" s="109"/>
      <c r="Z513" s="109"/>
    </row>
    <row r="514" ht="29.25" customHeight="1">
      <c r="A514" s="109"/>
      <c r="B514" s="109"/>
      <c r="C514" s="109"/>
      <c r="D514" s="109"/>
      <c r="E514" s="109"/>
      <c r="F514" s="109"/>
      <c r="G514" s="317"/>
      <c r="H514" s="109"/>
      <c r="I514" s="109"/>
      <c r="J514" s="109"/>
      <c r="K514" s="109"/>
      <c r="L514" s="109"/>
      <c r="M514" s="109"/>
      <c r="N514" s="109"/>
      <c r="O514" s="109"/>
      <c r="P514" s="109"/>
      <c r="Q514" s="109"/>
      <c r="R514" s="109"/>
      <c r="S514" s="109"/>
      <c r="T514" s="109"/>
      <c r="U514" s="109"/>
      <c r="V514" s="109"/>
      <c r="W514" s="109"/>
      <c r="X514" s="109"/>
      <c r="Y514" s="109"/>
      <c r="Z514" s="109"/>
    </row>
    <row r="515" ht="29.25" customHeight="1">
      <c r="A515" s="109"/>
      <c r="B515" s="109"/>
      <c r="C515" s="109"/>
      <c r="D515" s="109"/>
      <c r="E515" s="109"/>
      <c r="F515" s="109"/>
      <c r="G515" s="317"/>
      <c r="H515" s="109"/>
      <c r="I515" s="109"/>
      <c r="J515" s="109"/>
      <c r="K515" s="109"/>
      <c r="L515" s="109"/>
      <c r="M515" s="109"/>
      <c r="N515" s="109"/>
      <c r="O515" s="109"/>
      <c r="P515" s="109"/>
      <c r="Q515" s="109"/>
      <c r="R515" s="109"/>
      <c r="S515" s="109"/>
      <c r="T515" s="109"/>
      <c r="U515" s="109"/>
      <c r="V515" s="109"/>
      <c r="W515" s="109"/>
      <c r="X515" s="109"/>
      <c r="Y515" s="109"/>
      <c r="Z515" s="109"/>
    </row>
    <row r="516" ht="29.25" customHeight="1">
      <c r="A516" s="109"/>
      <c r="B516" s="109"/>
      <c r="C516" s="109"/>
      <c r="D516" s="109"/>
      <c r="E516" s="109"/>
      <c r="F516" s="109"/>
      <c r="G516" s="317"/>
      <c r="H516" s="109"/>
      <c r="I516" s="109"/>
      <c r="J516" s="109"/>
      <c r="K516" s="109"/>
      <c r="L516" s="109"/>
      <c r="M516" s="109"/>
      <c r="N516" s="109"/>
      <c r="O516" s="109"/>
      <c r="P516" s="109"/>
      <c r="Q516" s="109"/>
      <c r="R516" s="109"/>
      <c r="S516" s="109"/>
      <c r="T516" s="109"/>
      <c r="U516" s="109"/>
      <c r="V516" s="109"/>
      <c r="W516" s="109"/>
      <c r="X516" s="109"/>
      <c r="Y516" s="109"/>
      <c r="Z516" s="109"/>
    </row>
    <row r="517" ht="29.25" customHeight="1">
      <c r="A517" s="109"/>
      <c r="B517" s="109"/>
      <c r="C517" s="109"/>
      <c r="D517" s="109"/>
      <c r="E517" s="109"/>
      <c r="F517" s="109"/>
      <c r="G517" s="317"/>
      <c r="H517" s="109"/>
      <c r="I517" s="109"/>
      <c r="J517" s="109"/>
      <c r="K517" s="109"/>
      <c r="L517" s="109"/>
      <c r="M517" s="109"/>
      <c r="N517" s="109"/>
      <c r="O517" s="109"/>
      <c r="P517" s="109"/>
      <c r="Q517" s="109"/>
      <c r="R517" s="109"/>
      <c r="S517" s="109"/>
      <c r="T517" s="109"/>
      <c r="U517" s="109"/>
      <c r="V517" s="109"/>
      <c r="W517" s="109"/>
      <c r="X517" s="109"/>
      <c r="Y517" s="109"/>
      <c r="Z517" s="109"/>
    </row>
    <row r="518" ht="29.25" customHeight="1">
      <c r="A518" s="109"/>
      <c r="B518" s="109"/>
      <c r="C518" s="109"/>
      <c r="D518" s="109"/>
      <c r="E518" s="109"/>
      <c r="F518" s="109"/>
      <c r="G518" s="317"/>
      <c r="H518" s="109"/>
      <c r="I518" s="109"/>
      <c r="J518" s="109"/>
      <c r="K518" s="109"/>
      <c r="L518" s="109"/>
      <c r="M518" s="109"/>
      <c r="N518" s="109"/>
      <c r="O518" s="109"/>
      <c r="P518" s="109"/>
      <c r="Q518" s="109"/>
      <c r="R518" s="109"/>
      <c r="S518" s="109"/>
      <c r="T518" s="109"/>
      <c r="U518" s="109"/>
      <c r="V518" s="109"/>
      <c r="W518" s="109"/>
      <c r="X518" s="109"/>
      <c r="Y518" s="109"/>
      <c r="Z518" s="109"/>
    </row>
    <row r="519" ht="29.25" customHeight="1">
      <c r="A519" s="109"/>
      <c r="B519" s="109"/>
      <c r="C519" s="109"/>
      <c r="D519" s="109"/>
      <c r="E519" s="109"/>
      <c r="F519" s="109"/>
      <c r="G519" s="317"/>
      <c r="H519" s="109"/>
      <c r="I519" s="109"/>
      <c r="J519" s="109"/>
      <c r="K519" s="109"/>
      <c r="L519" s="109"/>
      <c r="M519" s="109"/>
      <c r="N519" s="109"/>
      <c r="O519" s="109"/>
      <c r="P519" s="109"/>
      <c r="Q519" s="109"/>
      <c r="R519" s="109"/>
      <c r="S519" s="109"/>
      <c r="T519" s="109"/>
      <c r="U519" s="109"/>
      <c r="V519" s="109"/>
      <c r="W519" s="109"/>
      <c r="X519" s="109"/>
      <c r="Y519" s="109"/>
      <c r="Z519" s="109"/>
    </row>
    <row r="520" ht="29.25" customHeight="1">
      <c r="A520" s="109"/>
      <c r="B520" s="109"/>
      <c r="C520" s="109"/>
      <c r="D520" s="109"/>
      <c r="E520" s="109"/>
      <c r="F520" s="109"/>
      <c r="G520" s="317"/>
      <c r="H520" s="109"/>
      <c r="I520" s="109"/>
      <c r="J520" s="109"/>
      <c r="K520" s="109"/>
      <c r="L520" s="109"/>
      <c r="M520" s="109"/>
      <c r="N520" s="109"/>
      <c r="O520" s="109"/>
      <c r="P520" s="109"/>
      <c r="Q520" s="109"/>
      <c r="R520" s="109"/>
      <c r="S520" s="109"/>
      <c r="T520" s="109"/>
      <c r="U520" s="109"/>
      <c r="V520" s="109"/>
      <c r="W520" s="109"/>
      <c r="X520" s="109"/>
      <c r="Y520" s="109"/>
      <c r="Z520" s="109"/>
    </row>
    <row r="521" ht="29.25" customHeight="1">
      <c r="A521" s="109"/>
      <c r="B521" s="109"/>
      <c r="C521" s="109"/>
      <c r="D521" s="109"/>
      <c r="E521" s="109"/>
      <c r="F521" s="109"/>
      <c r="G521" s="317"/>
      <c r="H521" s="109"/>
      <c r="I521" s="109"/>
      <c r="J521" s="109"/>
      <c r="K521" s="109"/>
      <c r="L521" s="109"/>
      <c r="M521" s="109"/>
      <c r="N521" s="109"/>
      <c r="O521" s="109"/>
      <c r="P521" s="109"/>
      <c r="Q521" s="109"/>
      <c r="R521" s="109"/>
      <c r="S521" s="109"/>
      <c r="T521" s="109"/>
      <c r="U521" s="109"/>
      <c r="V521" s="109"/>
      <c r="W521" s="109"/>
      <c r="X521" s="109"/>
      <c r="Y521" s="109"/>
      <c r="Z521" s="109"/>
    </row>
    <row r="522" ht="29.25" customHeight="1">
      <c r="A522" s="109"/>
      <c r="B522" s="109"/>
      <c r="C522" s="109"/>
      <c r="D522" s="109"/>
      <c r="E522" s="109"/>
      <c r="F522" s="109"/>
      <c r="G522" s="317"/>
      <c r="H522" s="109"/>
      <c r="I522" s="109"/>
      <c r="J522" s="109"/>
      <c r="K522" s="109"/>
      <c r="L522" s="109"/>
      <c r="M522" s="109"/>
      <c r="N522" s="109"/>
      <c r="O522" s="109"/>
      <c r="P522" s="109"/>
      <c r="Q522" s="109"/>
      <c r="R522" s="109"/>
      <c r="S522" s="109"/>
      <c r="T522" s="109"/>
      <c r="U522" s="109"/>
      <c r="V522" s="109"/>
      <c r="W522" s="109"/>
      <c r="X522" s="109"/>
      <c r="Y522" s="109"/>
      <c r="Z522" s="109"/>
    </row>
    <row r="523" ht="29.25" customHeight="1">
      <c r="A523" s="109"/>
      <c r="B523" s="109"/>
      <c r="C523" s="109"/>
      <c r="D523" s="109"/>
      <c r="E523" s="109"/>
      <c r="F523" s="109"/>
      <c r="G523" s="317"/>
      <c r="H523" s="109"/>
      <c r="I523" s="109"/>
      <c r="J523" s="109"/>
      <c r="K523" s="109"/>
      <c r="L523" s="109"/>
      <c r="M523" s="109"/>
      <c r="N523" s="109"/>
      <c r="O523" s="109"/>
      <c r="P523" s="109"/>
      <c r="Q523" s="109"/>
      <c r="R523" s="109"/>
      <c r="S523" s="109"/>
      <c r="T523" s="109"/>
      <c r="U523" s="109"/>
      <c r="V523" s="109"/>
      <c r="W523" s="109"/>
      <c r="X523" s="109"/>
      <c r="Y523" s="109"/>
      <c r="Z523" s="109"/>
    </row>
    <row r="524" ht="29.25" customHeight="1">
      <c r="A524" s="109"/>
      <c r="B524" s="109"/>
      <c r="C524" s="109"/>
      <c r="D524" s="109"/>
      <c r="E524" s="109"/>
      <c r="F524" s="109"/>
      <c r="G524" s="317"/>
      <c r="H524" s="109"/>
      <c r="I524" s="109"/>
      <c r="J524" s="109"/>
      <c r="K524" s="109"/>
      <c r="L524" s="109"/>
      <c r="M524" s="109"/>
      <c r="N524" s="109"/>
      <c r="O524" s="109"/>
      <c r="P524" s="109"/>
      <c r="Q524" s="109"/>
      <c r="R524" s="109"/>
      <c r="S524" s="109"/>
      <c r="T524" s="109"/>
      <c r="U524" s="109"/>
      <c r="V524" s="109"/>
      <c r="W524" s="109"/>
      <c r="X524" s="109"/>
      <c r="Y524" s="109"/>
      <c r="Z524" s="109"/>
    </row>
    <row r="525" ht="29.25" customHeight="1">
      <c r="A525" s="109"/>
      <c r="B525" s="109"/>
      <c r="C525" s="109"/>
      <c r="D525" s="109"/>
      <c r="E525" s="109"/>
      <c r="F525" s="109"/>
      <c r="G525" s="317"/>
      <c r="H525" s="109"/>
      <c r="I525" s="109"/>
      <c r="J525" s="109"/>
      <c r="K525" s="109"/>
      <c r="L525" s="109"/>
      <c r="M525" s="109"/>
      <c r="N525" s="109"/>
      <c r="O525" s="109"/>
      <c r="P525" s="109"/>
      <c r="Q525" s="109"/>
      <c r="R525" s="109"/>
      <c r="S525" s="109"/>
      <c r="T525" s="109"/>
      <c r="U525" s="109"/>
      <c r="V525" s="109"/>
      <c r="W525" s="109"/>
      <c r="X525" s="109"/>
      <c r="Y525" s="109"/>
      <c r="Z525" s="109"/>
    </row>
    <row r="526" ht="29.25" customHeight="1">
      <c r="A526" s="109"/>
      <c r="B526" s="109"/>
      <c r="C526" s="109"/>
      <c r="D526" s="109"/>
      <c r="E526" s="109"/>
      <c r="F526" s="109"/>
      <c r="G526" s="317"/>
      <c r="H526" s="109"/>
      <c r="I526" s="109"/>
      <c r="J526" s="109"/>
      <c r="K526" s="109"/>
      <c r="L526" s="109"/>
      <c r="M526" s="109"/>
      <c r="N526" s="109"/>
      <c r="O526" s="109"/>
      <c r="P526" s="109"/>
      <c r="Q526" s="109"/>
      <c r="R526" s="109"/>
      <c r="S526" s="109"/>
      <c r="T526" s="109"/>
      <c r="U526" s="109"/>
      <c r="V526" s="109"/>
      <c r="W526" s="109"/>
      <c r="X526" s="109"/>
      <c r="Y526" s="109"/>
      <c r="Z526" s="109"/>
    </row>
    <row r="527" ht="29.25" customHeight="1">
      <c r="A527" s="109"/>
      <c r="B527" s="109"/>
      <c r="C527" s="109"/>
      <c r="D527" s="109"/>
      <c r="E527" s="109"/>
      <c r="F527" s="109"/>
      <c r="G527" s="317"/>
      <c r="H527" s="109"/>
      <c r="I527" s="109"/>
      <c r="J527" s="109"/>
      <c r="K527" s="109"/>
      <c r="L527" s="109"/>
      <c r="M527" s="109"/>
      <c r="N527" s="109"/>
      <c r="O527" s="109"/>
      <c r="P527" s="109"/>
      <c r="Q527" s="109"/>
      <c r="R527" s="109"/>
      <c r="S527" s="109"/>
      <c r="T527" s="109"/>
      <c r="U527" s="109"/>
      <c r="V527" s="109"/>
      <c r="W527" s="109"/>
      <c r="X527" s="109"/>
      <c r="Y527" s="109"/>
      <c r="Z527" s="109"/>
    </row>
    <row r="528" ht="29.25" customHeight="1">
      <c r="A528" s="109"/>
      <c r="B528" s="109"/>
      <c r="C528" s="109"/>
      <c r="D528" s="109"/>
      <c r="E528" s="109"/>
      <c r="F528" s="109"/>
      <c r="G528" s="317"/>
      <c r="H528" s="109"/>
      <c r="I528" s="109"/>
      <c r="J528" s="109"/>
      <c r="K528" s="109"/>
      <c r="L528" s="109"/>
      <c r="M528" s="109"/>
      <c r="N528" s="109"/>
      <c r="O528" s="109"/>
      <c r="P528" s="109"/>
      <c r="Q528" s="109"/>
      <c r="R528" s="109"/>
      <c r="S528" s="109"/>
      <c r="T528" s="109"/>
      <c r="U528" s="109"/>
      <c r="V528" s="109"/>
      <c r="W528" s="109"/>
      <c r="X528" s="109"/>
      <c r="Y528" s="109"/>
      <c r="Z528" s="109"/>
    </row>
    <row r="529" ht="29.25" customHeight="1">
      <c r="A529" s="109"/>
      <c r="B529" s="109"/>
      <c r="C529" s="109"/>
      <c r="D529" s="109"/>
      <c r="E529" s="109"/>
      <c r="F529" s="109"/>
      <c r="G529" s="317"/>
      <c r="H529" s="109"/>
      <c r="I529" s="109"/>
      <c r="J529" s="109"/>
      <c r="K529" s="109"/>
      <c r="L529" s="109"/>
      <c r="M529" s="109"/>
      <c r="N529" s="109"/>
      <c r="O529" s="109"/>
      <c r="P529" s="109"/>
      <c r="Q529" s="109"/>
      <c r="R529" s="109"/>
      <c r="S529" s="109"/>
      <c r="T529" s="109"/>
      <c r="U529" s="109"/>
      <c r="V529" s="109"/>
      <c r="W529" s="109"/>
      <c r="X529" s="109"/>
      <c r="Y529" s="109"/>
      <c r="Z529" s="109"/>
    </row>
    <row r="530" ht="29.25" customHeight="1">
      <c r="A530" s="109"/>
      <c r="B530" s="109"/>
      <c r="C530" s="109"/>
      <c r="D530" s="109"/>
      <c r="E530" s="109"/>
      <c r="F530" s="109"/>
      <c r="G530" s="317"/>
      <c r="H530" s="109"/>
      <c r="I530" s="109"/>
      <c r="J530" s="109"/>
      <c r="K530" s="109"/>
      <c r="L530" s="109"/>
      <c r="M530" s="109"/>
      <c r="N530" s="109"/>
      <c r="O530" s="109"/>
      <c r="P530" s="109"/>
      <c r="Q530" s="109"/>
      <c r="R530" s="109"/>
      <c r="S530" s="109"/>
      <c r="T530" s="109"/>
      <c r="U530" s="109"/>
      <c r="V530" s="109"/>
      <c r="W530" s="109"/>
      <c r="X530" s="109"/>
      <c r="Y530" s="109"/>
      <c r="Z530" s="109"/>
    </row>
    <row r="531" ht="29.25" customHeight="1">
      <c r="A531" s="109"/>
      <c r="B531" s="109"/>
      <c r="C531" s="109"/>
      <c r="D531" s="109"/>
      <c r="E531" s="109"/>
      <c r="F531" s="109"/>
      <c r="G531" s="317"/>
      <c r="H531" s="109"/>
      <c r="I531" s="109"/>
      <c r="J531" s="109"/>
      <c r="K531" s="109"/>
      <c r="L531" s="109"/>
      <c r="M531" s="109"/>
      <c r="N531" s="109"/>
      <c r="O531" s="109"/>
      <c r="P531" s="109"/>
      <c r="Q531" s="109"/>
      <c r="R531" s="109"/>
      <c r="S531" s="109"/>
      <c r="T531" s="109"/>
      <c r="U531" s="109"/>
      <c r="V531" s="109"/>
      <c r="W531" s="109"/>
      <c r="X531" s="109"/>
      <c r="Y531" s="109"/>
      <c r="Z531" s="109"/>
    </row>
    <row r="532" ht="29.25" customHeight="1">
      <c r="A532" s="109"/>
      <c r="B532" s="109"/>
      <c r="C532" s="109"/>
      <c r="D532" s="109"/>
      <c r="E532" s="109"/>
      <c r="F532" s="109"/>
      <c r="G532" s="317"/>
      <c r="H532" s="109"/>
      <c r="I532" s="109"/>
      <c r="J532" s="109"/>
      <c r="K532" s="109"/>
      <c r="L532" s="109"/>
      <c r="M532" s="109"/>
      <c r="N532" s="109"/>
      <c r="O532" s="109"/>
      <c r="P532" s="109"/>
      <c r="Q532" s="109"/>
      <c r="R532" s="109"/>
      <c r="S532" s="109"/>
      <c r="T532" s="109"/>
      <c r="U532" s="109"/>
      <c r="V532" s="109"/>
      <c r="W532" s="109"/>
      <c r="X532" s="109"/>
      <c r="Y532" s="109"/>
      <c r="Z532" s="109"/>
    </row>
    <row r="533" ht="29.25" customHeight="1">
      <c r="A533" s="109"/>
      <c r="B533" s="109"/>
      <c r="C533" s="109"/>
      <c r="D533" s="109"/>
      <c r="E533" s="109"/>
      <c r="F533" s="109"/>
      <c r="G533" s="317"/>
      <c r="H533" s="109"/>
      <c r="I533" s="109"/>
      <c r="J533" s="109"/>
      <c r="K533" s="109"/>
      <c r="L533" s="109"/>
      <c r="M533" s="109"/>
      <c r="N533" s="109"/>
      <c r="O533" s="109"/>
      <c r="P533" s="109"/>
      <c r="Q533" s="109"/>
      <c r="R533" s="109"/>
      <c r="S533" s="109"/>
      <c r="T533" s="109"/>
      <c r="U533" s="109"/>
      <c r="V533" s="109"/>
      <c r="W533" s="109"/>
      <c r="X533" s="109"/>
      <c r="Y533" s="109"/>
      <c r="Z533" s="109"/>
    </row>
    <row r="534" ht="29.25" customHeight="1">
      <c r="A534" s="109"/>
      <c r="B534" s="109"/>
      <c r="C534" s="109"/>
      <c r="D534" s="109"/>
      <c r="E534" s="109"/>
      <c r="F534" s="109"/>
      <c r="G534" s="317"/>
      <c r="H534" s="109"/>
      <c r="I534" s="109"/>
      <c r="J534" s="109"/>
      <c r="K534" s="109"/>
      <c r="L534" s="109"/>
      <c r="M534" s="109"/>
      <c r="N534" s="109"/>
      <c r="O534" s="109"/>
      <c r="P534" s="109"/>
      <c r="Q534" s="109"/>
      <c r="R534" s="109"/>
      <c r="S534" s="109"/>
      <c r="T534" s="109"/>
      <c r="U534" s="109"/>
      <c r="V534" s="109"/>
      <c r="W534" s="109"/>
      <c r="X534" s="109"/>
      <c r="Y534" s="109"/>
      <c r="Z534" s="109"/>
    </row>
    <row r="535" ht="29.25" customHeight="1">
      <c r="A535" s="109"/>
      <c r="B535" s="109"/>
      <c r="C535" s="109"/>
      <c r="D535" s="109"/>
      <c r="E535" s="109"/>
      <c r="F535" s="109"/>
      <c r="G535" s="317"/>
      <c r="H535" s="109"/>
      <c r="I535" s="109"/>
      <c r="J535" s="109"/>
      <c r="K535" s="109"/>
      <c r="L535" s="109"/>
      <c r="M535" s="109"/>
      <c r="N535" s="109"/>
      <c r="O535" s="109"/>
      <c r="P535" s="109"/>
      <c r="Q535" s="109"/>
      <c r="R535" s="109"/>
      <c r="S535" s="109"/>
      <c r="T535" s="109"/>
      <c r="U535" s="109"/>
      <c r="V535" s="109"/>
      <c r="W535" s="109"/>
      <c r="X535" s="109"/>
      <c r="Y535" s="109"/>
      <c r="Z535" s="109"/>
    </row>
    <row r="536" ht="29.25" customHeight="1">
      <c r="A536" s="109"/>
      <c r="B536" s="109"/>
      <c r="C536" s="109"/>
      <c r="D536" s="109"/>
      <c r="E536" s="109"/>
      <c r="F536" s="109"/>
      <c r="G536" s="317"/>
      <c r="H536" s="109"/>
      <c r="I536" s="109"/>
      <c r="J536" s="109"/>
      <c r="K536" s="109"/>
      <c r="L536" s="109"/>
      <c r="M536" s="109"/>
      <c r="N536" s="109"/>
      <c r="O536" s="109"/>
      <c r="P536" s="109"/>
      <c r="Q536" s="109"/>
      <c r="R536" s="109"/>
      <c r="S536" s="109"/>
      <c r="T536" s="109"/>
      <c r="U536" s="109"/>
      <c r="V536" s="109"/>
      <c r="W536" s="109"/>
      <c r="X536" s="109"/>
      <c r="Y536" s="109"/>
      <c r="Z536" s="109"/>
    </row>
    <row r="537" ht="29.25" customHeight="1">
      <c r="A537" s="109"/>
      <c r="B537" s="109"/>
      <c r="C537" s="109"/>
      <c r="D537" s="109"/>
      <c r="E537" s="109"/>
      <c r="F537" s="109"/>
      <c r="G537" s="317"/>
      <c r="H537" s="109"/>
      <c r="I537" s="109"/>
      <c r="J537" s="109"/>
      <c r="K537" s="109"/>
      <c r="L537" s="109"/>
      <c r="M537" s="109"/>
      <c r="N537" s="109"/>
      <c r="O537" s="109"/>
      <c r="P537" s="109"/>
      <c r="Q537" s="109"/>
      <c r="R537" s="109"/>
      <c r="S537" s="109"/>
      <c r="T537" s="109"/>
      <c r="U537" s="109"/>
      <c r="V537" s="109"/>
      <c r="W537" s="109"/>
      <c r="X537" s="109"/>
      <c r="Y537" s="109"/>
      <c r="Z537" s="109"/>
    </row>
    <row r="538" ht="29.25" customHeight="1">
      <c r="A538" s="109"/>
      <c r="B538" s="109"/>
      <c r="C538" s="109"/>
      <c r="D538" s="109"/>
      <c r="E538" s="109"/>
      <c r="F538" s="109"/>
      <c r="G538" s="317"/>
      <c r="H538" s="109"/>
      <c r="I538" s="109"/>
      <c r="J538" s="109"/>
      <c r="K538" s="109"/>
      <c r="L538" s="109"/>
      <c r="M538" s="109"/>
      <c r="N538" s="109"/>
      <c r="O538" s="109"/>
      <c r="P538" s="109"/>
      <c r="Q538" s="109"/>
      <c r="R538" s="109"/>
      <c r="S538" s="109"/>
      <c r="T538" s="109"/>
      <c r="U538" s="109"/>
      <c r="V538" s="109"/>
      <c r="W538" s="109"/>
      <c r="X538" s="109"/>
      <c r="Y538" s="109"/>
      <c r="Z538" s="109"/>
    </row>
    <row r="539" ht="29.25" customHeight="1">
      <c r="A539" s="109"/>
      <c r="B539" s="109"/>
      <c r="C539" s="109"/>
      <c r="D539" s="109"/>
      <c r="E539" s="109"/>
      <c r="F539" s="109"/>
      <c r="G539" s="317"/>
      <c r="H539" s="109"/>
      <c r="I539" s="109"/>
      <c r="J539" s="109"/>
      <c r="K539" s="109"/>
      <c r="L539" s="109"/>
      <c r="M539" s="109"/>
      <c r="N539" s="109"/>
      <c r="O539" s="109"/>
      <c r="P539" s="109"/>
      <c r="Q539" s="109"/>
      <c r="R539" s="109"/>
      <c r="S539" s="109"/>
      <c r="T539" s="109"/>
      <c r="U539" s="109"/>
      <c r="V539" s="109"/>
      <c r="W539" s="109"/>
      <c r="X539" s="109"/>
      <c r="Y539" s="109"/>
      <c r="Z539" s="109"/>
    </row>
    <row r="540" ht="29.25" customHeight="1">
      <c r="A540" s="109"/>
      <c r="B540" s="109"/>
      <c r="C540" s="109"/>
      <c r="D540" s="109"/>
      <c r="E540" s="109"/>
      <c r="F540" s="109"/>
      <c r="G540" s="317"/>
      <c r="H540" s="109"/>
      <c r="I540" s="109"/>
      <c r="J540" s="109"/>
      <c r="K540" s="109"/>
      <c r="L540" s="109"/>
      <c r="M540" s="109"/>
      <c r="N540" s="109"/>
      <c r="O540" s="109"/>
      <c r="P540" s="109"/>
      <c r="Q540" s="109"/>
      <c r="R540" s="109"/>
      <c r="S540" s="109"/>
      <c r="T540" s="109"/>
      <c r="U540" s="109"/>
      <c r="V540" s="109"/>
      <c r="W540" s="109"/>
      <c r="X540" s="109"/>
      <c r="Y540" s="109"/>
      <c r="Z540" s="109"/>
    </row>
    <row r="541" ht="29.25" customHeight="1">
      <c r="A541" s="109"/>
      <c r="B541" s="109"/>
      <c r="C541" s="109"/>
      <c r="D541" s="109"/>
      <c r="E541" s="109"/>
      <c r="F541" s="109"/>
      <c r="G541" s="317"/>
      <c r="H541" s="109"/>
      <c r="I541" s="109"/>
      <c r="J541" s="109"/>
      <c r="K541" s="109"/>
      <c r="L541" s="109"/>
      <c r="M541" s="109"/>
      <c r="N541" s="109"/>
      <c r="O541" s="109"/>
      <c r="P541" s="109"/>
      <c r="Q541" s="109"/>
      <c r="R541" s="109"/>
      <c r="S541" s="109"/>
      <c r="T541" s="109"/>
      <c r="U541" s="109"/>
      <c r="V541" s="109"/>
      <c r="W541" s="109"/>
      <c r="X541" s="109"/>
      <c r="Y541" s="109"/>
      <c r="Z541" s="109"/>
    </row>
    <row r="542" ht="29.25" customHeight="1">
      <c r="A542" s="109"/>
      <c r="B542" s="109"/>
      <c r="C542" s="109"/>
      <c r="D542" s="109"/>
      <c r="E542" s="109"/>
      <c r="F542" s="109"/>
      <c r="G542" s="317"/>
      <c r="H542" s="109"/>
      <c r="I542" s="109"/>
      <c r="J542" s="109"/>
      <c r="K542" s="109"/>
      <c r="L542" s="109"/>
      <c r="M542" s="109"/>
      <c r="N542" s="109"/>
      <c r="O542" s="109"/>
      <c r="P542" s="109"/>
      <c r="Q542" s="109"/>
      <c r="R542" s="109"/>
      <c r="S542" s="109"/>
      <c r="T542" s="109"/>
      <c r="U542" s="109"/>
      <c r="V542" s="109"/>
      <c r="W542" s="109"/>
      <c r="X542" s="109"/>
      <c r="Y542" s="109"/>
      <c r="Z542" s="109"/>
    </row>
    <row r="543" ht="29.25" customHeight="1">
      <c r="A543" s="109"/>
      <c r="B543" s="109"/>
      <c r="C543" s="109"/>
      <c r="D543" s="109"/>
      <c r="E543" s="109"/>
      <c r="F543" s="109"/>
      <c r="G543" s="317"/>
      <c r="H543" s="109"/>
      <c r="I543" s="109"/>
      <c r="J543" s="109"/>
      <c r="K543" s="109"/>
      <c r="L543" s="109"/>
      <c r="M543" s="109"/>
      <c r="N543" s="109"/>
      <c r="O543" s="109"/>
      <c r="P543" s="109"/>
      <c r="Q543" s="109"/>
      <c r="R543" s="109"/>
      <c r="S543" s="109"/>
      <c r="T543" s="109"/>
      <c r="U543" s="109"/>
      <c r="V543" s="109"/>
      <c r="W543" s="109"/>
      <c r="X543" s="109"/>
      <c r="Y543" s="109"/>
      <c r="Z543" s="109"/>
    </row>
    <row r="544" ht="29.25" customHeight="1">
      <c r="A544" s="109"/>
      <c r="B544" s="109"/>
      <c r="C544" s="109"/>
      <c r="D544" s="109"/>
      <c r="E544" s="109"/>
      <c r="F544" s="109"/>
      <c r="G544" s="317"/>
      <c r="H544" s="109"/>
      <c r="I544" s="109"/>
      <c r="J544" s="109"/>
      <c r="K544" s="109"/>
      <c r="L544" s="109"/>
      <c r="M544" s="109"/>
      <c r="N544" s="109"/>
      <c r="O544" s="109"/>
      <c r="P544" s="109"/>
      <c r="Q544" s="109"/>
      <c r="R544" s="109"/>
      <c r="S544" s="109"/>
      <c r="T544" s="109"/>
      <c r="U544" s="109"/>
      <c r="V544" s="109"/>
      <c r="W544" s="109"/>
      <c r="X544" s="109"/>
      <c r="Y544" s="109"/>
      <c r="Z544" s="109"/>
    </row>
    <row r="545" ht="29.25" customHeight="1">
      <c r="A545" s="109"/>
      <c r="B545" s="109"/>
      <c r="C545" s="109"/>
      <c r="D545" s="109"/>
      <c r="E545" s="109"/>
      <c r="F545" s="109"/>
      <c r="G545" s="317"/>
      <c r="H545" s="109"/>
      <c r="I545" s="109"/>
      <c r="J545" s="109"/>
      <c r="K545" s="109"/>
      <c r="L545" s="109"/>
      <c r="M545" s="109"/>
      <c r="N545" s="109"/>
      <c r="O545" s="109"/>
      <c r="P545" s="109"/>
      <c r="Q545" s="109"/>
      <c r="R545" s="109"/>
      <c r="S545" s="109"/>
      <c r="T545" s="109"/>
      <c r="U545" s="109"/>
      <c r="V545" s="109"/>
      <c r="W545" s="109"/>
      <c r="X545" s="109"/>
      <c r="Y545" s="109"/>
      <c r="Z545" s="109"/>
    </row>
    <row r="546" ht="29.25" customHeight="1">
      <c r="A546" s="109"/>
      <c r="B546" s="109"/>
      <c r="C546" s="109"/>
      <c r="D546" s="109"/>
      <c r="E546" s="109"/>
      <c r="F546" s="109"/>
      <c r="G546" s="317"/>
      <c r="H546" s="109"/>
      <c r="I546" s="109"/>
      <c r="J546" s="109"/>
      <c r="K546" s="109"/>
      <c r="L546" s="109"/>
      <c r="M546" s="109"/>
      <c r="N546" s="109"/>
      <c r="O546" s="109"/>
      <c r="P546" s="109"/>
      <c r="Q546" s="109"/>
      <c r="R546" s="109"/>
      <c r="S546" s="109"/>
      <c r="T546" s="109"/>
      <c r="U546" s="109"/>
      <c r="V546" s="109"/>
      <c r="W546" s="109"/>
      <c r="X546" s="109"/>
      <c r="Y546" s="109"/>
      <c r="Z546" s="109"/>
    </row>
    <row r="547" ht="29.25" customHeight="1">
      <c r="A547" s="109"/>
      <c r="B547" s="109"/>
      <c r="C547" s="109"/>
      <c r="D547" s="109"/>
      <c r="E547" s="109"/>
      <c r="F547" s="109"/>
      <c r="G547" s="317"/>
      <c r="H547" s="109"/>
      <c r="I547" s="109"/>
      <c r="J547" s="109"/>
      <c r="K547" s="109"/>
      <c r="L547" s="109"/>
      <c r="M547" s="109"/>
      <c r="N547" s="109"/>
      <c r="O547" s="109"/>
      <c r="P547" s="109"/>
      <c r="Q547" s="109"/>
      <c r="R547" s="109"/>
      <c r="S547" s="109"/>
      <c r="T547" s="109"/>
      <c r="U547" s="109"/>
      <c r="V547" s="109"/>
      <c r="W547" s="109"/>
      <c r="X547" s="109"/>
      <c r="Y547" s="109"/>
      <c r="Z547" s="109"/>
    </row>
    <row r="548" ht="29.25" customHeight="1">
      <c r="A548" s="109"/>
      <c r="B548" s="109"/>
      <c r="C548" s="109"/>
      <c r="D548" s="109"/>
      <c r="E548" s="109"/>
      <c r="F548" s="109"/>
      <c r="G548" s="317"/>
      <c r="H548" s="109"/>
      <c r="I548" s="109"/>
      <c r="J548" s="109"/>
      <c r="K548" s="109"/>
      <c r="L548" s="109"/>
      <c r="M548" s="109"/>
      <c r="N548" s="109"/>
      <c r="O548" s="109"/>
      <c r="P548" s="109"/>
      <c r="Q548" s="109"/>
      <c r="R548" s="109"/>
      <c r="S548" s="109"/>
      <c r="T548" s="109"/>
      <c r="U548" s="109"/>
      <c r="V548" s="109"/>
      <c r="W548" s="109"/>
      <c r="X548" s="109"/>
      <c r="Y548" s="109"/>
      <c r="Z548" s="109"/>
    </row>
    <row r="549" ht="29.25" customHeight="1">
      <c r="A549" s="109"/>
      <c r="B549" s="109"/>
      <c r="C549" s="109"/>
      <c r="D549" s="109"/>
      <c r="E549" s="109"/>
      <c r="F549" s="109"/>
      <c r="G549" s="317"/>
      <c r="H549" s="109"/>
      <c r="I549" s="109"/>
      <c r="J549" s="109"/>
      <c r="K549" s="109"/>
      <c r="L549" s="109"/>
      <c r="M549" s="109"/>
      <c r="N549" s="109"/>
      <c r="O549" s="109"/>
      <c r="P549" s="109"/>
      <c r="Q549" s="109"/>
      <c r="R549" s="109"/>
      <c r="S549" s="109"/>
      <c r="T549" s="109"/>
      <c r="U549" s="109"/>
      <c r="V549" s="109"/>
      <c r="W549" s="109"/>
      <c r="X549" s="109"/>
      <c r="Y549" s="109"/>
      <c r="Z549" s="109"/>
    </row>
    <row r="550" ht="29.25" customHeight="1">
      <c r="A550" s="109"/>
      <c r="B550" s="109"/>
      <c r="C550" s="109"/>
      <c r="D550" s="109"/>
      <c r="E550" s="109"/>
      <c r="F550" s="109"/>
      <c r="G550" s="317"/>
      <c r="H550" s="109"/>
      <c r="I550" s="109"/>
      <c r="J550" s="109"/>
      <c r="K550" s="109"/>
      <c r="L550" s="109"/>
      <c r="M550" s="109"/>
      <c r="N550" s="109"/>
      <c r="O550" s="109"/>
      <c r="P550" s="109"/>
      <c r="Q550" s="109"/>
      <c r="R550" s="109"/>
      <c r="S550" s="109"/>
      <c r="T550" s="109"/>
      <c r="U550" s="109"/>
      <c r="V550" s="109"/>
      <c r="W550" s="109"/>
      <c r="X550" s="109"/>
      <c r="Y550" s="109"/>
      <c r="Z550" s="109"/>
    </row>
    <row r="551" ht="29.25" customHeight="1">
      <c r="A551" s="109"/>
      <c r="B551" s="109"/>
      <c r="C551" s="109"/>
      <c r="D551" s="109"/>
      <c r="E551" s="109"/>
      <c r="F551" s="109"/>
      <c r="G551" s="317"/>
      <c r="H551" s="109"/>
      <c r="I551" s="109"/>
      <c r="J551" s="109"/>
      <c r="K551" s="109"/>
      <c r="L551" s="109"/>
      <c r="M551" s="109"/>
      <c r="N551" s="109"/>
      <c r="O551" s="109"/>
      <c r="P551" s="109"/>
      <c r="Q551" s="109"/>
      <c r="R551" s="109"/>
      <c r="S551" s="109"/>
      <c r="T551" s="109"/>
      <c r="U551" s="109"/>
      <c r="V551" s="109"/>
      <c r="W551" s="109"/>
      <c r="X551" s="109"/>
      <c r="Y551" s="109"/>
      <c r="Z551" s="109"/>
    </row>
    <row r="552" ht="29.25" customHeight="1">
      <c r="A552" s="109"/>
      <c r="B552" s="109"/>
      <c r="C552" s="109"/>
      <c r="D552" s="109"/>
      <c r="E552" s="109"/>
      <c r="F552" s="109"/>
      <c r="G552" s="317"/>
      <c r="H552" s="109"/>
      <c r="I552" s="109"/>
      <c r="J552" s="109"/>
      <c r="K552" s="109"/>
      <c r="L552" s="109"/>
      <c r="M552" s="109"/>
      <c r="N552" s="109"/>
      <c r="O552" s="109"/>
      <c r="P552" s="109"/>
      <c r="Q552" s="109"/>
      <c r="R552" s="109"/>
      <c r="S552" s="109"/>
      <c r="T552" s="109"/>
      <c r="U552" s="109"/>
      <c r="V552" s="109"/>
      <c r="W552" s="109"/>
      <c r="X552" s="109"/>
      <c r="Y552" s="109"/>
      <c r="Z552" s="109"/>
    </row>
    <row r="553" ht="29.25" customHeight="1">
      <c r="A553" s="109"/>
      <c r="B553" s="109"/>
      <c r="C553" s="109"/>
      <c r="D553" s="109"/>
      <c r="E553" s="109"/>
      <c r="F553" s="109"/>
      <c r="G553" s="317"/>
      <c r="H553" s="109"/>
      <c r="I553" s="109"/>
      <c r="J553" s="109"/>
      <c r="K553" s="109"/>
      <c r="L553" s="109"/>
      <c r="M553" s="109"/>
      <c r="N553" s="109"/>
      <c r="O553" s="109"/>
      <c r="P553" s="109"/>
      <c r="Q553" s="109"/>
      <c r="R553" s="109"/>
      <c r="S553" s="109"/>
      <c r="T553" s="109"/>
      <c r="U553" s="109"/>
      <c r="V553" s="109"/>
      <c r="W553" s="109"/>
      <c r="X553" s="109"/>
      <c r="Y553" s="109"/>
      <c r="Z553" s="109"/>
    </row>
    <row r="554" ht="29.25" customHeight="1">
      <c r="A554" s="109"/>
      <c r="B554" s="109"/>
      <c r="C554" s="109"/>
      <c r="D554" s="109"/>
      <c r="E554" s="109"/>
      <c r="F554" s="109"/>
      <c r="G554" s="317"/>
      <c r="H554" s="109"/>
      <c r="I554" s="109"/>
      <c r="J554" s="109"/>
      <c r="K554" s="109"/>
      <c r="L554" s="109"/>
      <c r="M554" s="109"/>
      <c r="N554" s="109"/>
      <c r="O554" s="109"/>
      <c r="P554" s="109"/>
      <c r="Q554" s="109"/>
      <c r="R554" s="109"/>
      <c r="S554" s="109"/>
      <c r="T554" s="109"/>
      <c r="U554" s="109"/>
      <c r="V554" s="109"/>
      <c r="W554" s="109"/>
      <c r="X554" s="109"/>
      <c r="Y554" s="109"/>
      <c r="Z554" s="109"/>
    </row>
    <row r="555" ht="29.25" customHeight="1">
      <c r="A555" s="109"/>
      <c r="B555" s="109"/>
      <c r="C555" s="109"/>
      <c r="D555" s="109"/>
      <c r="E555" s="109"/>
      <c r="F555" s="109"/>
      <c r="G555" s="317"/>
      <c r="H555" s="109"/>
      <c r="I555" s="109"/>
      <c r="J555" s="109"/>
      <c r="K555" s="109"/>
      <c r="L555" s="109"/>
      <c r="M555" s="109"/>
      <c r="N555" s="109"/>
      <c r="O555" s="109"/>
      <c r="P555" s="109"/>
      <c r="Q555" s="109"/>
      <c r="R555" s="109"/>
      <c r="S555" s="109"/>
      <c r="T555" s="109"/>
      <c r="U555" s="109"/>
      <c r="V555" s="109"/>
      <c r="W555" s="109"/>
      <c r="X555" s="109"/>
      <c r="Y555" s="109"/>
      <c r="Z555" s="109"/>
    </row>
    <row r="556" ht="29.25" customHeight="1">
      <c r="A556" s="109"/>
      <c r="B556" s="109"/>
      <c r="C556" s="109"/>
      <c r="D556" s="109"/>
      <c r="E556" s="109"/>
      <c r="F556" s="109"/>
      <c r="G556" s="317"/>
      <c r="H556" s="109"/>
      <c r="I556" s="109"/>
      <c r="J556" s="109"/>
      <c r="K556" s="109"/>
      <c r="L556" s="109"/>
      <c r="M556" s="109"/>
      <c r="N556" s="109"/>
      <c r="O556" s="109"/>
      <c r="P556" s="109"/>
      <c r="Q556" s="109"/>
      <c r="R556" s="109"/>
      <c r="S556" s="109"/>
      <c r="T556" s="109"/>
      <c r="U556" s="109"/>
      <c r="V556" s="109"/>
      <c r="W556" s="109"/>
      <c r="X556" s="109"/>
      <c r="Y556" s="109"/>
      <c r="Z556" s="109"/>
    </row>
    <row r="557" ht="29.25" customHeight="1">
      <c r="A557" s="109"/>
      <c r="B557" s="109"/>
      <c r="C557" s="109"/>
      <c r="D557" s="109"/>
      <c r="E557" s="109"/>
      <c r="F557" s="109"/>
      <c r="G557" s="317"/>
      <c r="H557" s="109"/>
      <c r="I557" s="109"/>
      <c r="J557" s="109"/>
      <c r="K557" s="109"/>
      <c r="L557" s="109"/>
      <c r="M557" s="109"/>
      <c r="N557" s="109"/>
      <c r="O557" s="109"/>
      <c r="P557" s="109"/>
      <c r="Q557" s="109"/>
      <c r="R557" s="109"/>
      <c r="S557" s="109"/>
      <c r="T557" s="109"/>
      <c r="U557" s="109"/>
      <c r="V557" s="109"/>
      <c r="W557" s="109"/>
      <c r="X557" s="109"/>
      <c r="Y557" s="109"/>
      <c r="Z557" s="109"/>
    </row>
    <row r="558" ht="29.25" customHeight="1">
      <c r="A558" s="109"/>
      <c r="B558" s="109"/>
      <c r="C558" s="109"/>
      <c r="D558" s="109"/>
      <c r="E558" s="109"/>
      <c r="F558" s="109"/>
      <c r="G558" s="317"/>
      <c r="H558" s="109"/>
      <c r="I558" s="109"/>
      <c r="J558" s="109"/>
      <c r="K558" s="109"/>
      <c r="L558" s="109"/>
      <c r="M558" s="109"/>
      <c r="N558" s="109"/>
      <c r="O558" s="109"/>
      <c r="P558" s="109"/>
      <c r="Q558" s="109"/>
      <c r="R558" s="109"/>
      <c r="S558" s="109"/>
      <c r="T558" s="109"/>
      <c r="U558" s="109"/>
      <c r="V558" s="109"/>
      <c r="W558" s="109"/>
      <c r="X558" s="109"/>
      <c r="Y558" s="109"/>
      <c r="Z558" s="109"/>
    </row>
    <row r="559" ht="29.25" customHeight="1">
      <c r="A559" s="109"/>
      <c r="B559" s="109"/>
      <c r="C559" s="109"/>
      <c r="D559" s="109"/>
      <c r="E559" s="109"/>
      <c r="F559" s="109"/>
      <c r="G559" s="317"/>
      <c r="H559" s="109"/>
      <c r="I559" s="109"/>
      <c r="J559" s="109"/>
      <c r="K559" s="109"/>
      <c r="L559" s="109"/>
      <c r="M559" s="109"/>
      <c r="N559" s="109"/>
      <c r="O559" s="109"/>
      <c r="P559" s="109"/>
      <c r="Q559" s="109"/>
      <c r="R559" s="109"/>
      <c r="S559" s="109"/>
      <c r="T559" s="109"/>
      <c r="U559" s="109"/>
      <c r="V559" s="109"/>
      <c r="W559" s="109"/>
      <c r="X559" s="109"/>
      <c r="Y559" s="109"/>
      <c r="Z559" s="109"/>
    </row>
    <row r="560" ht="29.25" customHeight="1">
      <c r="A560" s="109"/>
      <c r="B560" s="109"/>
      <c r="C560" s="109"/>
      <c r="D560" s="109"/>
      <c r="E560" s="109"/>
      <c r="F560" s="109"/>
      <c r="G560" s="317"/>
      <c r="H560" s="109"/>
      <c r="I560" s="109"/>
      <c r="J560" s="109"/>
      <c r="K560" s="109"/>
      <c r="L560" s="109"/>
      <c r="M560" s="109"/>
      <c r="N560" s="109"/>
      <c r="O560" s="109"/>
      <c r="P560" s="109"/>
      <c r="Q560" s="109"/>
      <c r="R560" s="109"/>
      <c r="S560" s="109"/>
      <c r="T560" s="109"/>
      <c r="U560" s="109"/>
      <c r="V560" s="109"/>
      <c r="W560" s="109"/>
      <c r="X560" s="109"/>
      <c r="Y560" s="109"/>
      <c r="Z560" s="109"/>
    </row>
    <row r="561" ht="29.25" customHeight="1">
      <c r="A561" s="109"/>
      <c r="B561" s="109"/>
      <c r="C561" s="109"/>
      <c r="D561" s="109"/>
      <c r="E561" s="109"/>
      <c r="F561" s="109"/>
      <c r="G561" s="317"/>
      <c r="H561" s="109"/>
      <c r="I561" s="109"/>
      <c r="J561" s="109"/>
      <c r="K561" s="109"/>
      <c r="L561" s="109"/>
      <c r="M561" s="109"/>
      <c r="N561" s="109"/>
      <c r="O561" s="109"/>
      <c r="P561" s="109"/>
      <c r="Q561" s="109"/>
      <c r="R561" s="109"/>
      <c r="S561" s="109"/>
      <c r="T561" s="109"/>
      <c r="U561" s="109"/>
      <c r="V561" s="109"/>
      <c r="W561" s="109"/>
      <c r="X561" s="109"/>
      <c r="Y561" s="109"/>
      <c r="Z561" s="109"/>
    </row>
    <row r="562" ht="29.25" customHeight="1">
      <c r="A562" s="109"/>
      <c r="B562" s="109"/>
      <c r="C562" s="109"/>
      <c r="D562" s="109"/>
      <c r="E562" s="109"/>
      <c r="F562" s="109"/>
      <c r="G562" s="317"/>
      <c r="H562" s="109"/>
      <c r="I562" s="109"/>
      <c r="J562" s="109"/>
      <c r="K562" s="109"/>
      <c r="L562" s="109"/>
      <c r="M562" s="109"/>
      <c r="N562" s="109"/>
      <c r="O562" s="109"/>
      <c r="P562" s="109"/>
      <c r="Q562" s="109"/>
      <c r="R562" s="109"/>
      <c r="S562" s="109"/>
      <c r="T562" s="109"/>
      <c r="U562" s="109"/>
      <c r="V562" s="109"/>
      <c r="W562" s="109"/>
      <c r="X562" s="109"/>
      <c r="Y562" s="109"/>
      <c r="Z562" s="109"/>
    </row>
    <row r="563" ht="29.25" customHeight="1">
      <c r="A563" s="109"/>
      <c r="B563" s="109"/>
      <c r="C563" s="109"/>
      <c r="D563" s="109"/>
      <c r="E563" s="109"/>
      <c r="F563" s="109"/>
      <c r="G563" s="317"/>
      <c r="H563" s="109"/>
      <c r="I563" s="109"/>
      <c r="J563" s="109"/>
      <c r="K563" s="109"/>
      <c r="L563" s="109"/>
      <c r="M563" s="109"/>
      <c r="N563" s="109"/>
      <c r="O563" s="109"/>
      <c r="P563" s="109"/>
      <c r="Q563" s="109"/>
      <c r="R563" s="109"/>
      <c r="S563" s="109"/>
      <c r="T563" s="109"/>
      <c r="U563" s="109"/>
      <c r="V563" s="109"/>
      <c r="W563" s="109"/>
      <c r="X563" s="109"/>
      <c r="Y563" s="109"/>
      <c r="Z563" s="109"/>
    </row>
    <row r="564" ht="29.25" customHeight="1">
      <c r="A564" s="109"/>
      <c r="B564" s="109"/>
      <c r="C564" s="109"/>
      <c r="D564" s="109"/>
      <c r="E564" s="109"/>
      <c r="F564" s="109"/>
      <c r="G564" s="317"/>
      <c r="H564" s="109"/>
      <c r="I564" s="109"/>
      <c r="J564" s="109"/>
      <c r="K564" s="109"/>
      <c r="L564" s="109"/>
      <c r="M564" s="109"/>
      <c r="N564" s="109"/>
      <c r="O564" s="109"/>
      <c r="P564" s="109"/>
      <c r="Q564" s="109"/>
      <c r="R564" s="109"/>
      <c r="S564" s="109"/>
      <c r="T564" s="109"/>
      <c r="U564" s="109"/>
      <c r="V564" s="109"/>
      <c r="W564" s="109"/>
      <c r="X564" s="109"/>
      <c r="Y564" s="109"/>
      <c r="Z564" s="109"/>
    </row>
    <row r="565" ht="29.25" customHeight="1">
      <c r="A565" s="109"/>
      <c r="B565" s="109"/>
      <c r="C565" s="109"/>
      <c r="D565" s="109"/>
      <c r="E565" s="109"/>
      <c r="F565" s="109"/>
      <c r="G565" s="317"/>
      <c r="H565" s="109"/>
      <c r="I565" s="109"/>
      <c r="J565" s="109"/>
      <c r="K565" s="109"/>
      <c r="L565" s="109"/>
      <c r="M565" s="109"/>
      <c r="N565" s="109"/>
      <c r="O565" s="109"/>
      <c r="P565" s="109"/>
      <c r="Q565" s="109"/>
      <c r="R565" s="109"/>
      <c r="S565" s="109"/>
      <c r="T565" s="109"/>
      <c r="U565" s="109"/>
      <c r="V565" s="109"/>
      <c r="W565" s="109"/>
      <c r="X565" s="109"/>
      <c r="Y565" s="109"/>
      <c r="Z565" s="109"/>
    </row>
    <row r="566" ht="29.25" customHeight="1">
      <c r="A566" s="109"/>
      <c r="B566" s="109"/>
      <c r="C566" s="109"/>
      <c r="D566" s="109"/>
      <c r="E566" s="109"/>
      <c r="F566" s="109"/>
      <c r="G566" s="317"/>
      <c r="H566" s="109"/>
      <c r="I566" s="109"/>
      <c r="J566" s="109"/>
      <c r="K566" s="109"/>
      <c r="L566" s="109"/>
      <c r="M566" s="109"/>
      <c r="N566" s="109"/>
      <c r="O566" s="109"/>
      <c r="P566" s="109"/>
      <c r="Q566" s="109"/>
      <c r="R566" s="109"/>
      <c r="S566" s="109"/>
      <c r="T566" s="109"/>
      <c r="U566" s="109"/>
      <c r="V566" s="109"/>
      <c r="W566" s="109"/>
      <c r="X566" s="109"/>
      <c r="Y566" s="109"/>
      <c r="Z566" s="109"/>
    </row>
    <row r="567" ht="29.25" customHeight="1">
      <c r="A567" s="109"/>
      <c r="B567" s="109"/>
      <c r="C567" s="109"/>
      <c r="D567" s="109"/>
      <c r="E567" s="109"/>
      <c r="F567" s="109"/>
      <c r="G567" s="317"/>
      <c r="H567" s="109"/>
      <c r="I567" s="109"/>
      <c r="J567" s="109"/>
      <c r="K567" s="109"/>
      <c r="L567" s="109"/>
      <c r="M567" s="109"/>
      <c r="N567" s="109"/>
      <c r="O567" s="109"/>
      <c r="P567" s="109"/>
      <c r="Q567" s="109"/>
      <c r="R567" s="109"/>
      <c r="S567" s="109"/>
      <c r="T567" s="109"/>
      <c r="U567" s="109"/>
      <c r="V567" s="109"/>
      <c r="W567" s="109"/>
      <c r="X567" s="109"/>
      <c r="Y567" s="109"/>
      <c r="Z567" s="109"/>
    </row>
    <row r="568" ht="29.25" customHeight="1">
      <c r="A568" s="109"/>
      <c r="B568" s="109"/>
      <c r="C568" s="109"/>
      <c r="D568" s="109"/>
      <c r="E568" s="109"/>
      <c r="F568" s="109"/>
      <c r="G568" s="317"/>
      <c r="H568" s="109"/>
      <c r="I568" s="109"/>
      <c r="J568" s="109"/>
      <c r="K568" s="109"/>
      <c r="L568" s="109"/>
      <c r="M568" s="109"/>
      <c r="N568" s="109"/>
      <c r="O568" s="109"/>
      <c r="P568" s="109"/>
      <c r="Q568" s="109"/>
      <c r="R568" s="109"/>
      <c r="S568" s="109"/>
      <c r="T568" s="109"/>
      <c r="U568" s="109"/>
      <c r="V568" s="109"/>
      <c r="W568" s="109"/>
      <c r="X568" s="109"/>
      <c r="Y568" s="109"/>
      <c r="Z568" s="109"/>
    </row>
    <row r="569" ht="29.25" customHeight="1">
      <c r="A569" s="109"/>
      <c r="B569" s="109"/>
      <c r="C569" s="109"/>
      <c r="D569" s="109"/>
      <c r="E569" s="109"/>
      <c r="F569" s="109"/>
      <c r="G569" s="317"/>
      <c r="H569" s="109"/>
      <c r="I569" s="109"/>
      <c r="J569" s="109"/>
      <c r="K569" s="109"/>
      <c r="L569" s="109"/>
      <c r="M569" s="109"/>
      <c r="N569" s="109"/>
      <c r="O569" s="109"/>
      <c r="P569" s="109"/>
      <c r="Q569" s="109"/>
      <c r="R569" s="109"/>
      <c r="S569" s="109"/>
      <c r="T569" s="109"/>
      <c r="U569" s="109"/>
      <c r="V569" s="109"/>
      <c r="W569" s="109"/>
      <c r="X569" s="109"/>
      <c r="Y569" s="109"/>
      <c r="Z569" s="109"/>
    </row>
    <row r="570" ht="29.25" customHeight="1">
      <c r="A570" s="109"/>
      <c r="B570" s="109"/>
      <c r="C570" s="109"/>
      <c r="D570" s="109"/>
      <c r="E570" s="109"/>
      <c r="F570" s="109"/>
      <c r="G570" s="317"/>
      <c r="H570" s="109"/>
      <c r="I570" s="109"/>
      <c r="J570" s="109"/>
      <c r="K570" s="109"/>
      <c r="L570" s="109"/>
      <c r="M570" s="109"/>
      <c r="N570" s="109"/>
      <c r="O570" s="109"/>
      <c r="P570" s="109"/>
      <c r="Q570" s="109"/>
      <c r="R570" s="109"/>
      <c r="S570" s="109"/>
      <c r="T570" s="109"/>
      <c r="U570" s="109"/>
      <c r="V570" s="109"/>
      <c r="W570" s="109"/>
      <c r="X570" s="109"/>
      <c r="Y570" s="109"/>
      <c r="Z570" s="109"/>
    </row>
    <row r="571" ht="29.25" customHeight="1">
      <c r="A571" s="109"/>
      <c r="B571" s="109"/>
      <c r="C571" s="109"/>
      <c r="D571" s="109"/>
      <c r="E571" s="109"/>
      <c r="F571" s="109"/>
      <c r="G571" s="317"/>
      <c r="H571" s="109"/>
      <c r="I571" s="109"/>
      <c r="J571" s="109"/>
      <c r="K571" s="109"/>
      <c r="L571" s="109"/>
      <c r="M571" s="109"/>
      <c r="N571" s="109"/>
      <c r="O571" s="109"/>
      <c r="P571" s="109"/>
      <c r="Q571" s="109"/>
      <c r="R571" s="109"/>
      <c r="S571" s="109"/>
      <c r="T571" s="109"/>
      <c r="U571" s="109"/>
      <c r="V571" s="109"/>
      <c r="W571" s="109"/>
      <c r="X571" s="109"/>
      <c r="Y571" s="109"/>
      <c r="Z571" s="109"/>
    </row>
    <row r="572" ht="29.25" customHeight="1">
      <c r="A572" s="109"/>
      <c r="B572" s="109"/>
      <c r="C572" s="109"/>
      <c r="D572" s="109"/>
      <c r="E572" s="109"/>
      <c r="F572" s="109"/>
      <c r="G572" s="317"/>
      <c r="H572" s="109"/>
      <c r="I572" s="109"/>
      <c r="J572" s="109"/>
      <c r="K572" s="109"/>
      <c r="L572" s="109"/>
      <c r="M572" s="109"/>
      <c r="N572" s="109"/>
      <c r="O572" s="109"/>
      <c r="P572" s="109"/>
      <c r="Q572" s="109"/>
      <c r="R572" s="109"/>
      <c r="S572" s="109"/>
      <c r="T572" s="109"/>
      <c r="U572" s="109"/>
      <c r="V572" s="109"/>
      <c r="W572" s="109"/>
      <c r="X572" s="109"/>
      <c r="Y572" s="109"/>
      <c r="Z572" s="109"/>
    </row>
    <row r="573" ht="29.25" customHeight="1">
      <c r="A573" s="109"/>
      <c r="B573" s="109"/>
      <c r="C573" s="109"/>
      <c r="D573" s="109"/>
      <c r="E573" s="109"/>
      <c r="F573" s="109"/>
      <c r="G573" s="317"/>
      <c r="H573" s="109"/>
      <c r="I573" s="109"/>
      <c r="J573" s="109"/>
      <c r="K573" s="109"/>
      <c r="L573" s="109"/>
      <c r="M573" s="109"/>
      <c r="N573" s="109"/>
      <c r="O573" s="109"/>
      <c r="P573" s="109"/>
      <c r="Q573" s="109"/>
      <c r="R573" s="109"/>
      <c r="S573" s="109"/>
      <c r="T573" s="109"/>
      <c r="U573" s="109"/>
      <c r="V573" s="109"/>
      <c r="W573" s="109"/>
      <c r="X573" s="109"/>
      <c r="Y573" s="109"/>
      <c r="Z573" s="109"/>
    </row>
    <row r="574" ht="29.25" customHeight="1">
      <c r="A574" s="109"/>
      <c r="B574" s="109"/>
      <c r="C574" s="109"/>
      <c r="D574" s="109"/>
      <c r="E574" s="109"/>
      <c r="F574" s="109"/>
      <c r="G574" s="317"/>
      <c r="H574" s="109"/>
      <c r="I574" s="109"/>
      <c r="J574" s="109"/>
      <c r="K574" s="109"/>
      <c r="L574" s="109"/>
      <c r="M574" s="109"/>
      <c r="N574" s="109"/>
      <c r="O574" s="109"/>
      <c r="P574" s="109"/>
      <c r="Q574" s="109"/>
      <c r="R574" s="109"/>
      <c r="S574" s="109"/>
      <c r="T574" s="109"/>
      <c r="U574" s="109"/>
      <c r="V574" s="109"/>
      <c r="W574" s="109"/>
      <c r="X574" s="109"/>
      <c r="Y574" s="109"/>
      <c r="Z574" s="109"/>
    </row>
    <row r="575" ht="29.25" customHeight="1">
      <c r="A575" s="109"/>
      <c r="B575" s="109"/>
      <c r="C575" s="109"/>
      <c r="D575" s="109"/>
      <c r="E575" s="109"/>
      <c r="F575" s="109"/>
      <c r="G575" s="317"/>
      <c r="H575" s="109"/>
      <c r="I575" s="109"/>
      <c r="J575" s="109"/>
      <c r="K575" s="109"/>
      <c r="L575" s="109"/>
      <c r="M575" s="109"/>
      <c r="N575" s="109"/>
      <c r="O575" s="109"/>
      <c r="P575" s="109"/>
      <c r="Q575" s="109"/>
      <c r="R575" s="109"/>
      <c r="S575" s="109"/>
      <c r="T575" s="109"/>
      <c r="U575" s="109"/>
      <c r="V575" s="109"/>
      <c r="W575" s="109"/>
      <c r="X575" s="109"/>
      <c r="Y575" s="109"/>
      <c r="Z575" s="109"/>
    </row>
    <row r="576" ht="29.25" customHeight="1">
      <c r="A576" s="109"/>
      <c r="B576" s="109"/>
      <c r="C576" s="109"/>
      <c r="D576" s="109"/>
      <c r="E576" s="109"/>
      <c r="F576" s="109"/>
      <c r="G576" s="317"/>
      <c r="H576" s="109"/>
      <c r="I576" s="109"/>
      <c r="J576" s="109"/>
      <c r="K576" s="109"/>
      <c r="L576" s="109"/>
      <c r="M576" s="109"/>
      <c r="N576" s="109"/>
      <c r="O576" s="109"/>
      <c r="P576" s="109"/>
      <c r="Q576" s="109"/>
      <c r="R576" s="109"/>
      <c r="S576" s="109"/>
      <c r="T576" s="109"/>
      <c r="U576" s="109"/>
      <c r="V576" s="109"/>
      <c r="W576" s="109"/>
      <c r="X576" s="109"/>
      <c r="Y576" s="109"/>
      <c r="Z576" s="109"/>
    </row>
    <row r="577" ht="29.25" customHeight="1">
      <c r="A577" s="109"/>
      <c r="B577" s="109"/>
      <c r="C577" s="109"/>
      <c r="D577" s="109"/>
      <c r="E577" s="109"/>
      <c r="F577" s="109"/>
      <c r="G577" s="317"/>
      <c r="H577" s="109"/>
      <c r="I577" s="109"/>
      <c r="J577" s="109"/>
      <c r="K577" s="109"/>
      <c r="L577" s="109"/>
      <c r="M577" s="109"/>
      <c r="N577" s="109"/>
      <c r="O577" s="109"/>
      <c r="P577" s="109"/>
      <c r="Q577" s="109"/>
      <c r="R577" s="109"/>
      <c r="S577" s="109"/>
      <c r="T577" s="109"/>
      <c r="U577" s="109"/>
      <c r="V577" s="109"/>
      <c r="W577" s="109"/>
      <c r="X577" s="109"/>
      <c r="Y577" s="109"/>
      <c r="Z577" s="109"/>
    </row>
    <row r="578" ht="29.25" customHeight="1">
      <c r="A578" s="109"/>
      <c r="B578" s="109"/>
      <c r="C578" s="109"/>
      <c r="D578" s="109"/>
      <c r="E578" s="109"/>
      <c r="F578" s="109"/>
      <c r="G578" s="317"/>
      <c r="H578" s="109"/>
      <c r="I578" s="109"/>
      <c r="J578" s="109"/>
      <c r="K578" s="109"/>
      <c r="L578" s="109"/>
      <c r="M578" s="109"/>
      <c r="N578" s="109"/>
      <c r="O578" s="109"/>
      <c r="P578" s="109"/>
      <c r="Q578" s="109"/>
      <c r="R578" s="109"/>
      <c r="S578" s="109"/>
      <c r="T578" s="109"/>
      <c r="U578" s="109"/>
      <c r="V578" s="109"/>
      <c r="W578" s="109"/>
      <c r="X578" s="109"/>
      <c r="Y578" s="109"/>
      <c r="Z578" s="109"/>
    </row>
    <row r="579" ht="29.25" customHeight="1">
      <c r="A579" s="109"/>
      <c r="B579" s="109"/>
      <c r="C579" s="109"/>
      <c r="D579" s="109"/>
      <c r="E579" s="109"/>
      <c r="F579" s="109"/>
      <c r="G579" s="317"/>
      <c r="H579" s="109"/>
      <c r="I579" s="109"/>
      <c r="J579" s="109"/>
      <c r="K579" s="109"/>
      <c r="L579" s="109"/>
      <c r="M579" s="109"/>
      <c r="N579" s="109"/>
      <c r="O579" s="109"/>
      <c r="P579" s="109"/>
      <c r="Q579" s="109"/>
      <c r="R579" s="109"/>
      <c r="S579" s="109"/>
      <c r="T579" s="109"/>
      <c r="U579" s="109"/>
      <c r="V579" s="109"/>
      <c r="W579" s="109"/>
      <c r="X579" s="109"/>
      <c r="Y579" s="109"/>
      <c r="Z579" s="109"/>
    </row>
    <row r="580" ht="29.25" customHeight="1">
      <c r="A580" s="109"/>
      <c r="B580" s="109"/>
      <c r="C580" s="109"/>
      <c r="D580" s="109"/>
      <c r="E580" s="109"/>
      <c r="F580" s="109"/>
      <c r="G580" s="317"/>
      <c r="H580" s="109"/>
      <c r="I580" s="109"/>
      <c r="J580" s="109"/>
      <c r="K580" s="109"/>
      <c r="L580" s="109"/>
      <c r="M580" s="109"/>
      <c r="N580" s="109"/>
      <c r="O580" s="109"/>
      <c r="P580" s="109"/>
      <c r="Q580" s="109"/>
      <c r="R580" s="109"/>
      <c r="S580" s="109"/>
      <c r="T580" s="109"/>
      <c r="U580" s="109"/>
      <c r="V580" s="109"/>
      <c r="W580" s="109"/>
      <c r="X580" s="109"/>
      <c r="Y580" s="109"/>
      <c r="Z580" s="109"/>
    </row>
    <row r="581" ht="29.25" customHeight="1">
      <c r="A581" s="109"/>
      <c r="B581" s="109"/>
      <c r="C581" s="109"/>
      <c r="D581" s="109"/>
      <c r="E581" s="109"/>
      <c r="F581" s="109"/>
      <c r="G581" s="317"/>
      <c r="H581" s="109"/>
      <c r="I581" s="109"/>
      <c r="J581" s="109"/>
      <c r="K581" s="109"/>
      <c r="L581" s="109"/>
      <c r="M581" s="109"/>
      <c r="N581" s="109"/>
      <c r="O581" s="109"/>
      <c r="P581" s="109"/>
      <c r="Q581" s="109"/>
      <c r="R581" s="109"/>
      <c r="S581" s="109"/>
      <c r="T581" s="109"/>
      <c r="U581" s="109"/>
      <c r="V581" s="109"/>
      <c r="W581" s="109"/>
      <c r="X581" s="109"/>
      <c r="Y581" s="109"/>
      <c r="Z581" s="109"/>
    </row>
    <row r="582" ht="29.25" customHeight="1">
      <c r="A582" s="109"/>
      <c r="B582" s="109"/>
      <c r="C582" s="109"/>
      <c r="D582" s="109"/>
      <c r="E582" s="109"/>
      <c r="F582" s="109"/>
      <c r="G582" s="317"/>
      <c r="H582" s="109"/>
      <c r="I582" s="109"/>
      <c r="J582" s="109"/>
      <c r="K582" s="109"/>
      <c r="L582" s="109"/>
      <c r="M582" s="109"/>
      <c r="N582" s="109"/>
      <c r="O582" s="109"/>
      <c r="P582" s="109"/>
      <c r="Q582" s="109"/>
      <c r="R582" s="109"/>
      <c r="S582" s="109"/>
      <c r="T582" s="109"/>
      <c r="U582" s="109"/>
      <c r="V582" s="109"/>
      <c r="W582" s="109"/>
      <c r="X582" s="109"/>
      <c r="Y582" s="109"/>
      <c r="Z582" s="109"/>
    </row>
    <row r="583" ht="29.25" customHeight="1">
      <c r="A583" s="109"/>
      <c r="B583" s="109"/>
      <c r="C583" s="109"/>
      <c r="D583" s="109"/>
      <c r="E583" s="109"/>
      <c r="F583" s="109"/>
      <c r="G583" s="317"/>
      <c r="H583" s="109"/>
      <c r="I583" s="109"/>
      <c r="J583" s="109"/>
      <c r="K583" s="109"/>
      <c r="L583" s="109"/>
      <c r="M583" s="109"/>
      <c r="N583" s="109"/>
      <c r="O583" s="109"/>
      <c r="P583" s="109"/>
      <c r="Q583" s="109"/>
      <c r="R583" s="109"/>
      <c r="S583" s="109"/>
      <c r="T583" s="109"/>
      <c r="U583" s="109"/>
      <c r="V583" s="109"/>
      <c r="W583" s="109"/>
      <c r="X583" s="109"/>
      <c r="Y583" s="109"/>
      <c r="Z583" s="109"/>
    </row>
    <row r="584" ht="29.25" customHeight="1">
      <c r="A584" s="109"/>
      <c r="B584" s="109"/>
      <c r="C584" s="109"/>
      <c r="D584" s="109"/>
      <c r="E584" s="109"/>
      <c r="F584" s="109"/>
      <c r="G584" s="317"/>
      <c r="H584" s="109"/>
      <c r="I584" s="109"/>
      <c r="J584" s="109"/>
      <c r="K584" s="109"/>
      <c r="L584" s="109"/>
      <c r="M584" s="109"/>
      <c r="N584" s="109"/>
      <c r="O584" s="109"/>
      <c r="P584" s="109"/>
      <c r="Q584" s="109"/>
      <c r="R584" s="109"/>
      <c r="S584" s="109"/>
      <c r="T584" s="109"/>
      <c r="U584" s="109"/>
      <c r="V584" s="109"/>
      <c r="W584" s="109"/>
      <c r="X584" s="109"/>
      <c r="Y584" s="109"/>
      <c r="Z584" s="109"/>
    </row>
    <row r="585" ht="29.25" customHeight="1">
      <c r="A585" s="109"/>
      <c r="B585" s="109"/>
      <c r="C585" s="109"/>
      <c r="D585" s="109"/>
      <c r="E585" s="109"/>
      <c r="F585" s="109"/>
      <c r="G585" s="317"/>
      <c r="H585" s="109"/>
      <c r="I585" s="109"/>
      <c r="J585" s="109"/>
      <c r="K585" s="109"/>
      <c r="L585" s="109"/>
      <c r="M585" s="109"/>
      <c r="N585" s="109"/>
      <c r="O585" s="109"/>
      <c r="P585" s="109"/>
      <c r="Q585" s="109"/>
      <c r="R585" s="109"/>
      <c r="S585" s="109"/>
      <c r="T585" s="109"/>
      <c r="U585" s="109"/>
      <c r="V585" s="109"/>
      <c r="W585" s="109"/>
      <c r="X585" s="109"/>
      <c r="Y585" s="109"/>
      <c r="Z585" s="109"/>
    </row>
    <row r="586" ht="29.25" customHeight="1">
      <c r="A586" s="109"/>
      <c r="B586" s="109"/>
      <c r="C586" s="109"/>
      <c r="D586" s="109"/>
      <c r="E586" s="109"/>
      <c r="F586" s="109"/>
      <c r="G586" s="317"/>
      <c r="H586" s="109"/>
      <c r="I586" s="109"/>
      <c r="J586" s="109"/>
      <c r="K586" s="109"/>
      <c r="L586" s="109"/>
      <c r="M586" s="109"/>
      <c r="N586" s="109"/>
      <c r="O586" s="109"/>
      <c r="P586" s="109"/>
      <c r="Q586" s="109"/>
      <c r="R586" s="109"/>
      <c r="S586" s="109"/>
      <c r="T586" s="109"/>
      <c r="U586" s="109"/>
      <c r="V586" s="109"/>
      <c r="W586" s="109"/>
      <c r="X586" s="109"/>
      <c r="Y586" s="109"/>
      <c r="Z586" s="109"/>
    </row>
    <row r="587" ht="29.25" customHeight="1">
      <c r="A587" s="109"/>
      <c r="B587" s="109"/>
      <c r="C587" s="109"/>
      <c r="D587" s="109"/>
      <c r="E587" s="109"/>
      <c r="F587" s="109"/>
      <c r="G587" s="317"/>
      <c r="H587" s="109"/>
      <c r="I587" s="109"/>
      <c r="J587" s="109"/>
      <c r="K587" s="109"/>
      <c r="L587" s="109"/>
      <c r="M587" s="109"/>
      <c r="N587" s="109"/>
      <c r="O587" s="109"/>
      <c r="P587" s="109"/>
      <c r="Q587" s="109"/>
      <c r="R587" s="109"/>
      <c r="S587" s="109"/>
      <c r="T587" s="109"/>
      <c r="U587" s="109"/>
      <c r="V587" s="109"/>
      <c r="W587" s="109"/>
      <c r="X587" s="109"/>
      <c r="Y587" s="109"/>
      <c r="Z587" s="109"/>
    </row>
    <row r="588" ht="29.25" customHeight="1">
      <c r="A588" s="109"/>
      <c r="B588" s="109"/>
      <c r="C588" s="109"/>
      <c r="D588" s="109"/>
      <c r="E588" s="109"/>
      <c r="F588" s="109"/>
      <c r="G588" s="317"/>
      <c r="H588" s="109"/>
      <c r="I588" s="109"/>
      <c r="J588" s="109"/>
      <c r="K588" s="109"/>
      <c r="L588" s="109"/>
      <c r="M588" s="109"/>
      <c r="N588" s="109"/>
      <c r="O588" s="109"/>
      <c r="P588" s="109"/>
      <c r="Q588" s="109"/>
      <c r="R588" s="109"/>
      <c r="S588" s="109"/>
      <c r="T588" s="109"/>
      <c r="U588" s="109"/>
      <c r="V588" s="109"/>
      <c r="W588" s="109"/>
      <c r="X588" s="109"/>
      <c r="Y588" s="109"/>
      <c r="Z588" s="109"/>
    </row>
    <row r="589" ht="29.25" customHeight="1">
      <c r="A589" s="109"/>
      <c r="B589" s="109"/>
      <c r="C589" s="109"/>
      <c r="D589" s="109"/>
      <c r="E589" s="109"/>
      <c r="F589" s="109"/>
      <c r="G589" s="317"/>
      <c r="H589" s="109"/>
      <c r="I589" s="109"/>
      <c r="J589" s="109"/>
      <c r="K589" s="109"/>
      <c r="L589" s="109"/>
      <c r="M589" s="109"/>
      <c r="N589" s="109"/>
      <c r="O589" s="109"/>
      <c r="P589" s="109"/>
      <c r="Q589" s="109"/>
      <c r="R589" s="109"/>
      <c r="S589" s="109"/>
      <c r="T589" s="109"/>
      <c r="U589" s="109"/>
      <c r="V589" s="109"/>
      <c r="W589" s="109"/>
      <c r="X589" s="109"/>
      <c r="Y589" s="109"/>
      <c r="Z589" s="109"/>
    </row>
    <row r="590" ht="29.25" customHeight="1">
      <c r="A590" s="109"/>
      <c r="B590" s="109"/>
      <c r="C590" s="109"/>
      <c r="D590" s="109"/>
      <c r="E590" s="109"/>
      <c r="F590" s="109"/>
      <c r="G590" s="317"/>
      <c r="H590" s="109"/>
      <c r="I590" s="109"/>
      <c r="J590" s="109"/>
      <c r="K590" s="109"/>
      <c r="L590" s="109"/>
      <c r="M590" s="109"/>
      <c r="N590" s="109"/>
      <c r="O590" s="109"/>
      <c r="P590" s="109"/>
      <c r="Q590" s="109"/>
      <c r="R590" s="109"/>
      <c r="S590" s="109"/>
      <c r="T590" s="109"/>
      <c r="U590" s="109"/>
      <c r="V590" s="109"/>
      <c r="W590" s="109"/>
      <c r="X590" s="109"/>
      <c r="Y590" s="109"/>
      <c r="Z590" s="109"/>
    </row>
    <row r="591" ht="29.25" customHeight="1">
      <c r="A591" s="109"/>
      <c r="B591" s="109"/>
      <c r="C591" s="109"/>
      <c r="D591" s="109"/>
      <c r="E591" s="109"/>
      <c r="F591" s="109"/>
      <c r="G591" s="317"/>
      <c r="H591" s="109"/>
      <c r="I591" s="109"/>
      <c r="J591" s="109"/>
      <c r="K591" s="109"/>
      <c r="L591" s="109"/>
      <c r="M591" s="109"/>
      <c r="N591" s="109"/>
      <c r="O591" s="109"/>
      <c r="P591" s="109"/>
      <c r="Q591" s="109"/>
      <c r="R591" s="109"/>
      <c r="S591" s="109"/>
      <c r="T591" s="109"/>
      <c r="U591" s="109"/>
      <c r="V591" s="109"/>
      <c r="W591" s="109"/>
      <c r="X591" s="109"/>
      <c r="Y591" s="109"/>
      <c r="Z591" s="109"/>
    </row>
    <row r="592" ht="29.25" customHeight="1">
      <c r="A592" s="109"/>
      <c r="B592" s="109"/>
      <c r="C592" s="109"/>
      <c r="D592" s="109"/>
      <c r="E592" s="109"/>
      <c r="F592" s="109"/>
      <c r="G592" s="317"/>
      <c r="H592" s="109"/>
      <c r="I592" s="109"/>
      <c r="J592" s="109"/>
      <c r="K592" s="109"/>
      <c r="L592" s="109"/>
      <c r="M592" s="109"/>
      <c r="N592" s="109"/>
      <c r="O592" s="109"/>
      <c r="P592" s="109"/>
      <c r="Q592" s="109"/>
      <c r="R592" s="109"/>
      <c r="S592" s="109"/>
      <c r="T592" s="109"/>
      <c r="U592" s="109"/>
      <c r="V592" s="109"/>
      <c r="W592" s="109"/>
      <c r="X592" s="109"/>
      <c r="Y592" s="109"/>
      <c r="Z592" s="109"/>
    </row>
    <row r="593" ht="29.25" customHeight="1">
      <c r="A593" s="109"/>
      <c r="B593" s="109"/>
      <c r="C593" s="109"/>
      <c r="D593" s="109"/>
      <c r="E593" s="109"/>
      <c r="F593" s="109"/>
      <c r="G593" s="317"/>
      <c r="H593" s="109"/>
      <c r="I593" s="109"/>
      <c r="J593" s="109"/>
      <c r="K593" s="109"/>
      <c r="L593" s="109"/>
      <c r="M593" s="109"/>
      <c r="N593" s="109"/>
      <c r="O593" s="109"/>
      <c r="P593" s="109"/>
      <c r="Q593" s="109"/>
      <c r="R593" s="109"/>
      <c r="S593" s="109"/>
      <c r="T593" s="109"/>
      <c r="U593" s="109"/>
      <c r="V593" s="109"/>
      <c r="W593" s="109"/>
      <c r="X593" s="109"/>
      <c r="Y593" s="109"/>
      <c r="Z593" s="109"/>
    </row>
    <row r="594" ht="29.25" customHeight="1">
      <c r="A594" s="109"/>
      <c r="B594" s="109"/>
      <c r="C594" s="109"/>
      <c r="D594" s="109"/>
      <c r="E594" s="109"/>
      <c r="F594" s="109"/>
      <c r="G594" s="317"/>
      <c r="H594" s="109"/>
      <c r="I594" s="109"/>
      <c r="J594" s="109"/>
      <c r="K594" s="109"/>
      <c r="L594" s="109"/>
      <c r="M594" s="109"/>
      <c r="N594" s="109"/>
      <c r="O594" s="109"/>
      <c r="P594" s="109"/>
      <c r="Q594" s="109"/>
      <c r="R594" s="109"/>
      <c r="S594" s="109"/>
      <c r="T594" s="109"/>
      <c r="U594" s="109"/>
      <c r="V594" s="109"/>
      <c r="W594" s="109"/>
      <c r="X594" s="109"/>
      <c r="Y594" s="109"/>
      <c r="Z594" s="109"/>
    </row>
    <row r="595" ht="29.25" customHeight="1">
      <c r="A595" s="109"/>
      <c r="B595" s="109"/>
      <c r="C595" s="109"/>
      <c r="D595" s="109"/>
      <c r="E595" s="109"/>
      <c r="F595" s="109"/>
      <c r="G595" s="317"/>
      <c r="H595" s="109"/>
      <c r="I595" s="109"/>
      <c r="J595" s="109"/>
      <c r="K595" s="109"/>
      <c r="L595" s="109"/>
      <c r="M595" s="109"/>
      <c r="N595" s="109"/>
      <c r="O595" s="109"/>
      <c r="P595" s="109"/>
      <c r="Q595" s="109"/>
      <c r="R595" s="109"/>
      <c r="S595" s="109"/>
      <c r="T595" s="109"/>
      <c r="U595" s="109"/>
      <c r="V595" s="109"/>
      <c r="W595" s="109"/>
      <c r="X595" s="109"/>
      <c r="Y595" s="109"/>
      <c r="Z595" s="109"/>
    </row>
    <row r="596" ht="29.25" customHeight="1">
      <c r="A596" s="109"/>
      <c r="B596" s="109"/>
      <c r="C596" s="109"/>
      <c r="D596" s="109"/>
      <c r="E596" s="109"/>
      <c r="F596" s="109"/>
      <c r="G596" s="317"/>
      <c r="H596" s="109"/>
      <c r="I596" s="109"/>
      <c r="J596" s="109"/>
      <c r="K596" s="109"/>
      <c r="L596" s="109"/>
      <c r="M596" s="109"/>
      <c r="N596" s="109"/>
      <c r="O596" s="109"/>
      <c r="P596" s="109"/>
      <c r="Q596" s="109"/>
      <c r="R596" s="109"/>
      <c r="S596" s="109"/>
      <c r="T596" s="109"/>
      <c r="U596" s="109"/>
      <c r="V596" s="109"/>
      <c r="W596" s="109"/>
      <c r="X596" s="109"/>
      <c r="Y596" s="109"/>
      <c r="Z596" s="109"/>
    </row>
    <row r="597" ht="29.25" customHeight="1">
      <c r="A597" s="109"/>
      <c r="B597" s="109"/>
      <c r="C597" s="109"/>
      <c r="D597" s="109"/>
      <c r="E597" s="109"/>
      <c r="F597" s="109"/>
      <c r="G597" s="317"/>
      <c r="H597" s="109"/>
      <c r="I597" s="109"/>
      <c r="J597" s="109"/>
      <c r="K597" s="109"/>
      <c r="L597" s="109"/>
      <c r="M597" s="109"/>
      <c r="N597" s="109"/>
      <c r="O597" s="109"/>
      <c r="P597" s="109"/>
      <c r="Q597" s="109"/>
      <c r="R597" s="109"/>
      <c r="S597" s="109"/>
      <c r="T597" s="109"/>
      <c r="U597" s="109"/>
      <c r="V597" s="109"/>
      <c r="W597" s="109"/>
      <c r="X597" s="109"/>
      <c r="Y597" s="109"/>
      <c r="Z597" s="109"/>
    </row>
    <row r="598" ht="29.25" customHeight="1">
      <c r="A598" s="109"/>
      <c r="B598" s="109"/>
      <c r="C598" s="109"/>
      <c r="D598" s="109"/>
      <c r="E598" s="109"/>
      <c r="F598" s="109"/>
      <c r="G598" s="317"/>
      <c r="H598" s="109"/>
      <c r="I598" s="109"/>
      <c r="J598" s="109"/>
      <c r="K598" s="109"/>
      <c r="L598" s="109"/>
      <c r="M598" s="109"/>
      <c r="N598" s="109"/>
      <c r="O598" s="109"/>
      <c r="P598" s="109"/>
      <c r="Q598" s="109"/>
      <c r="R598" s="109"/>
      <c r="S598" s="109"/>
      <c r="T598" s="109"/>
      <c r="U598" s="109"/>
      <c r="V598" s="109"/>
      <c r="W598" s="109"/>
      <c r="X598" s="109"/>
      <c r="Y598" s="109"/>
      <c r="Z598" s="109"/>
    </row>
    <row r="599" ht="29.25" customHeight="1">
      <c r="A599" s="109"/>
      <c r="B599" s="109"/>
      <c r="C599" s="109"/>
      <c r="D599" s="109"/>
      <c r="E599" s="109"/>
      <c r="F599" s="109"/>
      <c r="G599" s="317"/>
      <c r="H599" s="109"/>
      <c r="I599" s="109"/>
      <c r="J599" s="109"/>
      <c r="K599" s="109"/>
      <c r="L599" s="109"/>
      <c r="M599" s="109"/>
      <c r="N599" s="109"/>
      <c r="O599" s="109"/>
      <c r="P599" s="109"/>
      <c r="Q599" s="109"/>
      <c r="R599" s="109"/>
      <c r="S599" s="109"/>
      <c r="T599" s="109"/>
      <c r="U599" s="109"/>
      <c r="V599" s="109"/>
      <c r="W599" s="109"/>
      <c r="X599" s="109"/>
      <c r="Y599" s="109"/>
      <c r="Z599" s="109"/>
    </row>
    <row r="600" ht="29.25" customHeight="1">
      <c r="A600" s="109"/>
      <c r="B600" s="109"/>
      <c r="C600" s="109"/>
      <c r="D600" s="109"/>
      <c r="E600" s="109"/>
      <c r="F600" s="109"/>
      <c r="G600" s="317"/>
      <c r="H600" s="109"/>
      <c r="I600" s="109"/>
      <c r="J600" s="109"/>
      <c r="K600" s="109"/>
      <c r="L600" s="109"/>
      <c r="M600" s="109"/>
      <c r="N600" s="109"/>
      <c r="O600" s="109"/>
      <c r="P600" s="109"/>
      <c r="Q600" s="109"/>
      <c r="R600" s="109"/>
      <c r="S600" s="109"/>
      <c r="T600" s="109"/>
      <c r="U600" s="109"/>
      <c r="V600" s="109"/>
      <c r="W600" s="109"/>
      <c r="X600" s="109"/>
      <c r="Y600" s="109"/>
      <c r="Z600" s="109"/>
    </row>
    <row r="601" ht="29.25" customHeight="1">
      <c r="A601" s="109"/>
      <c r="B601" s="109"/>
      <c r="C601" s="109"/>
      <c r="D601" s="109"/>
      <c r="E601" s="109"/>
      <c r="F601" s="109"/>
      <c r="G601" s="317"/>
      <c r="H601" s="109"/>
      <c r="I601" s="109"/>
      <c r="J601" s="109"/>
      <c r="K601" s="109"/>
      <c r="L601" s="109"/>
      <c r="M601" s="109"/>
      <c r="N601" s="109"/>
      <c r="O601" s="109"/>
      <c r="P601" s="109"/>
      <c r="Q601" s="109"/>
      <c r="R601" s="109"/>
      <c r="S601" s="109"/>
      <c r="T601" s="109"/>
      <c r="U601" s="109"/>
      <c r="V601" s="109"/>
      <c r="W601" s="109"/>
      <c r="X601" s="109"/>
      <c r="Y601" s="109"/>
      <c r="Z601" s="109"/>
    </row>
    <row r="602" ht="29.25" customHeight="1">
      <c r="A602" s="109"/>
      <c r="B602" s="109"/>
      <c r="C602" s="109"/>
      <c r="D602" s="109"/>
      <c r="E602" s="109"/>
      <c r="F602" s="109"/>
      <c r="G602" s="317"/>
      <c r="H602" s="109"/>
      <c r="I602" s="109"/>
      <c r="J602" s="109"/>
      <c r="K602" s="109"/>
      <c r="L602" s="109"/>
      <c r="M602" s="109"/>
      <c r="N602" s="109"/>
      <c r="O602" s="109"/>
      <c r="P602" s="109"/>
      <c r="Q602" s="109"/>
      <c r="R602" s="109"/>
      <c r="S602" s="109"/>
      <c r="T602" s="109"/>
      <c r="U602" s="109"/>
      <c r="V602" s="109"/>
      <c r="W602" s="109"/>
      <c r="X602" s="109"/>
      <c r="Y602" s="109"/>
      <c r="Z602" s="109"/>
    </row>
    <row r="603" ht="29.25" customHeight="1">
      <c r="A603" s="109"/>
      <c r="B603" s="109"/>
      <c r="C603" s="109"/>
      <c r="D603" s="109"/>
      <c r="E603" s="109"/>
      <c r="F603" s="109"/>
      <c r="G603" s="317"/>
      <c r="H603" s="109"/>
      <c r="I603" s="109"/>
      <c r="J603" s="109"/>
      <c r="K603" s="109"/>
      <c r="L603" s="109"/>
      <c r="M603" s="109"/>
      <c r="N603" s="109"/>
      <c r="O603" s="109"/>
      <c r="P603" s="109"/>
      <c r="Q603" s="109"/>
      <c r="R603" s="109"/>
      <c r="S603" s="109"/>
      <c r="T603" s="109"/>
      <c r="U603" s="109"/>
      <c r="V603" s="109"/>
      <c r="W603" s="109"/>
      <c r="X603" s="109"/>
      <c r="Y603" s="109"/>
      <c r="Z603" s="109"/>
    </row>
    <row r="604" ht="29.25" customHeight="1">
      <c r="A604" s="109"/>
      <c r="B604" s="109"/>
      <c r="C604" s="109"/>
      <c r="D604" s="109"/>
      <c r="E604" s="109"/>
      <c r="F604" s="109"/>
      <c r="G604" s="317"/>
      <c r="H604" s="109"/>
      <c r="I604" s="109"/>
      <c r="J604" s="109"/>
      <c r="K604" s="109"/>
      <c r="L604" s="109"/>
      <c r="M604" s="109"/>
      <c r="N604" s="109"/>
      <c r="O604" s="109"/>
      <c r="P604" s="109"/>
      <c r="Q604" s="109"/>
      <c r="R604" s="109"/>
      <c r="S604" s="109"/>
      <c r="T604" s="109"/>
      <c r="U604" s="109"/>
      <c r="V604" s="109"/>
      <c r="W604" s="109"/>
      <c r="X604" s="109"/>
      <c r="Y604" s="109"/>
      <c r="Z604" s="109"/>
    </row>
    <row r="605" ht="29.25" customHeight="1">
      <c r="A605" s="109"/>
      <c r="B605" s="109"/>
      <c r="C605" s="109"/>
      <c r="D605" s="109"/>
      <c r="E605" s="109"/>
      <c r="F605" s="109"/>
      <c r="G605" s="317"/>
      <c r="H605" s="109"/>
      <c r="I605" s="109"/>
      <c r="J605" s="109"/>
      <c r="K605" s="109"/>
      <c r="L605" s="109"/>
      <c r="M605" s="109"/>
      <c r="N605" s="109"/>
      <c r="O605" s="109"/>
      <c r="P605" s="109"/>
      <c r="Q605" s="109"/>
      <c r="R605" s="109"/>
      <c r="S605" s="109"/>
      <c r="T605" s="109"/>
      <c r="U605" s="109"/>
      <c r="V605" s="109"/>
      <c r="W605" s="109"/>
      <c r="X605" s="109"/>
      <c r="Y605" s="109"/>
      <c r="Z605" s="109"/>
    </row>
    <row r="606" ht="29.25" customHeight="1">
      <c r="A606" s="109"/>
      <c r="B606" s="109"/>
      <c r="C606" s="109"/>
      <c r="D606" s="109"/>
      <c r="E606" s="109"/>
      <c r="F606" s="109"/>
      <c r="G606" s="317"/>
      <c r="H606" s="109"/>
      <c r="I606" s="109"/>
      <c r="J606" s="109"/>
      <c r="K606" s="109"/>
      <c r="L606" s="109"/>
      <c r="M606" s="109"/>
      <c r="N606" s="109"/>
      <c r="O606" s="109"/>
      <c r="P606" s="109"/>
      <c r="Q606" s="109"/>
      <c r="R606" s="109"/>
      <c r="S606" s="109"/>
      <c r="T606" s="109"/>
      <c r="U606" s="109"/>
      <c r="V606" s="109"/>
      <c r="W606" s="109"/>
      <c r="X606" s="109"/>
      <c r="Y606" s="109"/>
      <c r="Z606" s="109"/>
    </row>
    <row r="607" ht="29.25" customHeight="1">
      <c r="A607" s="109"/>
      <c r="B607" s="109"/>
      <c r="C607" s="109"/>
      <c r="D607" s="109"/>
      <c r="E607" s="109"/>
      <c r="F607" s="109"/>
      <c r="G607" s="317"/>
      <c r="H607" s="109"/>
      <c r="I607" s="109"/>
      <c r="J607" s="109"/>
      <c r="K607" s="109"/>
      <c r="L607" s="109"/>
      <c r="M607" s="109"/>
      <c r="N607" s="109"/>
      <c r="O607" s="109"/>
      <c r="P607" s="109"/>
      <c r="Q607" s="109"/>
      <c r="R607" s="109"/>
      <c r="S607" s="109"/>
      <c r="T607" s="109"/>
      <c r="U607" s="109"/>
      <c r="V607" s="109"/>
      <c r="W607" s="109"/>
      <c r="X607" s="109"/>
      <c r="Y607" s="109"/>
      <c r="Z607" s="109"/>
    </row>
    <row r="608" ht="29.25" customHeight="1">
      <c r="A608" s="109"/>
      <c r="B608" s="109"/>
      <c r="C608" s="109"/>
      <c r="D608" s="109"/>
      <c r="E608" s="109"/>
      <c r="F608" s="109"/>
      <c r="G608" s="317"/>
      <c r="H608" s="109"/>
      <c r="I608" s="109"/>
      <c r="J608" s="109"/>
      <c r="K608" s="109"/>
      <c r="L608" s="109"/>
      <c r="M608" s="109"/>
      <c r="N608" s="109"/>
      <c r="O608" s="109"/>
      <c r="P608" s="109"/>
      <c r="Q608" s="109"/>
      <c r="R608" s="109"/>
      <c r="S608" s="109"/>
      <c r="T608" s="109"/>
      <c r="U608" s="109"/>
      <c r="V608" s="109"/>
      <c r="W608" s="109"/>
      <c r="X608" s="109"/>
      <c r="Y608" s="109"/>
      <c r="Z608" s="109"/>
    </row>
    <row r="609" ht="29.25" customHeight="1">
      <c r="A609" s="109"/>
      <c r="B609" s="109"/>
      <c r="C609" s="109"/>
      <c r="D609" s="109"/>
      <c r="E609" s="109"/>
      <c r="F609" s="109"/>
      <c r="G609" s="317"/>
      <c r="H609" s="109"/>
      <c r="I609" s="109"/>
      <c r="J609" s="109"/>
      <c r="K609" s="109"/>
      <c r="L609" s="109"/>
      <c r="M609" s="109"/>
      <c r="N609" s="109"/>
      <c r="O609" s="109"/>
      <c r="P609" s="109"/>
      <c r="Q609" s="109"/>
      <c r="R609" s="109"/>
      <c r="S609" s="109"/>
      <c r="T609" s="109"/>
      <c r="U609" s="109"/>
      <c r="V609" s="109"/>
      <c r="W609" s="109"/>
      <c r="X609" s="109"/>
      <c r="Y609" s="109"/>
      <c r="Z609" s="109"/>
    </row>
    <row r="610" ht="29.25" customHeight="1">
      <c r="A610" s="109"/>
      <c r="B610" s="109"/>
      <c r="C610" s="109"/>
      <c r="D610" s="109"/>
      <c r="E610" s="109"/>
      <c r="F610" s="109"/>
      <c r="G610" s="317"/>
      <c r="H610" s="109"/>
      <c r="I610" s="109"/>
      <c r="J610" s="109"/>
      <c r="K610" s="109"/>
      <c r="L610" s="109"/>
      <c r="M610" s="109"/>
      <c r="N610" s="109"/>
      <c r="O610" s="109"/>
      <c r="P610" s="109"/>
      <c r="Q610" s="109"/>
      <c r="R610" s="109"/>
      <c r="S610" s="109"/>
      <c r="T610" s="109"/>
      <c r="U610" s="109"/>
      <c r="V610" s="109"/>
      <c r="W610" s="109"/>
      <c r="X610" s="109"/>
      <c r="Y610" s="109"/>
      <c r="Z610" s="109"/>
    </row>
    <row r="611" ht="29.25" customHeight="1">
      <c r="A611" s="109"/>
      <c r="B611" s="109"/>
      <c r="C611" s="109"/>
      <c r="D611" s="109"/>
      <c r="E611" s="109"/>
      <c r="F611" s="109"/>
      <c r="G611" s="317"/>
      <c r="H611" s="109"/>
      <c r="I611" s="109"/>
      <c r="J611" s="109"/>
      <c r="K611" s="109"/>
      <c r="L611" s="109"/>
      <c r="M611" s="109"/>
      <c r="N611" s="109"/>
      <c r="O611" s="109"/>
      <c r="P611" s="109"/>
      <c r="Q611" s="109"/>
      <c r="R611" s="109"/>
      <c r="S611" s="109"/>
      <c r="T611" s="109"/>
      <c r="U611" s="109"/>
      <c r="V611" s="109"/>
      <c r="W611" s="109"/>
      <c r="X611" s="109"/>
      <c r="Y611" s="109"/>
      <c r="Z611" s="109"/>
    </row>
    <row r="612" ht="29.25" customHeight="1">
      <c r="A612" s="109"/>
      <c r="B612" s="109"/>
      <c r="C612" s="109"/>
      <c r="D612" s="109"/>
      <c r="E612" s="109"/>
      <c r="F612" s="109"/>
      <c r="G612" s="317"/>
      <c r="H612" s="109"/>
      <c r="I612" s="109"/>
      <c r="J612" s="109"/>
      <c r="K612" s="109"/>
      <c r="L612" s="109"/>
      <c r="M612" s="109"/>
      <c r="N612" s="109"/>
      <c r="O612" s="109"/>
      <c r="P612" s="109"/>
      <c r="Q612" s="109"/>
      <c r="R612" s="109"/>
      <c r="S612" s="109"/>
      <c r="T612" s="109"/>
      <c r="U612" s="109"/>
      <c r="V612" s="109"/>
      <c r="W612" s="109"/>
      <c r="X612" s="109"/>
      <c r="Y612" s="109"/>
      <c r="Z612" s="109"/>
    </row>
    <row r="613" ht="29.25" customHeight="1">
      <c r="A613" s="109"/>
      <c r="B613" s="109"/>
      <c r="C613" s="109"/>
      <c r="D613" s="109"/>
      <c r="E613" s="109"/>
      <c r="F613" s="109"/>
      <c r="G613" s="317"/>
      <c r="H613" s="109"/>
      <c r="I613" s="109"/>
      <c r="J613" s="109"/>
      <c r="K613" s="109"/>
      <c r="L613" s="109"/>
      <c r="M613" s="109"/>
      <c r="N613" s="109"/>
      <c r="O613" s="109"/>
      <c r="P613" s="109"/>
      <c r="Q613" s="109"/>
      <c r="R613" s="109"/>
      <c r="S613" s="109"/>
      <c r="T613" s="109"/>
      <c r="U613" s="109"/>
      <c r="V613" s="109"/>
      <c r="W613" s="109"/>
      <c r="X613" s="109"/>
      <c r="Y613" s="109"/>
      <c r="Z613" s="109"/>
    </row>
    <row r="614" ht="29.25" customHeight="1">
      <c r="A614" s="109"/>
      <c r="B614" s="109"/>
      <c r="C614" s="109"/>
      <c r="D614" s="109"/>
      <c r="E614" s="109"/>
      <c r="F614" s="109"/>
      <c r="G614" s="317"/>
      <c r="H614" s="109"/>
      <c r="I614" s="109"/>
      <c r="J614" s="109"/>
      <c r="K614" s="109"/>
      <c r="L614" s="109"/>
      <c r="M614" s="109"/>
      <c r="N614" s="109"/>
      <c r="O614" s="109"/>
      <c r="P614" s="109"/>
      <c r="Q614" s="109"/>
      <c r="R614" s="109"/>
      <c r="S614" s="109"/>
      <c r="T614" s="109"/>
      <c r="U614" s="109"/>
      <c r="V614" s="109"/>
      <c r="W614" s="109"/>
      <c r="X614" s="109"/>
      <c r="Y614" s="109"/>
      <c r="Z614" s="109"/>
    </row>
    <row r="615" ht="29.25" customHeight="1">
      <c r="A615" s="109"/>
      <c r="B615" s="109"/>
      <c r="C615" s="109"/>
      <c r="D615" s="109"/>
      <c r="E615" s="109"/>
      <c r="F615" s="109"/>
      <c r="G615" s="317"/>
      <c r="H615" s="109"/>
      <c r="I615" s="109"/>
      <c r="J615" s="109"/>
      <c r="K615" s="109"/>
      <c r="L615" s="109"/>
      <c r="M615" s="109"/>
      <c r="N615" s="109"/>
      <c r="O615" s="109"/>
      <c r="P615" s="109"/>
      <c r="Q615" s="109"/>
      <c r="R615" s="109"/>
      <c r="S615" s="109"/>
      <c r="T615" s="109"/>
      <c r="U615" s="109"/>
      <c r="V615" s="109"/>
      <c r="W615" s="109"/>
      <c r="X615" s="109"/>
      <c r="Y615" s="109"/>
      <c r="Z615" s="109"/>
    </row>
    <row r="616" ht="29.25" customHeight="1">
      <c r="A616" s="109"/>
      <c r="B616" s="109"/>
      <c r="C616" s="109"/>
      <c r="D616" s="109"/>
      <c r="E616" s="109"/>
      <c r="F616" s="109"/>
      <c r="G616" s="317"/>
      <c r="H616" s="109"/>
      <c r="I616" s="109"/>
      <c r="J616" s="109"/>
      <c r="K616" s="109"/>
      <c r="L616" s="109"/>
      <c r="M616" s="109"/>
      <c r="N616" s="109"/>
      <c r="O616" s="109"/>
      <c r="P616" s="109"/>
      <c r="Q616" s="109"/>
      <c r="R616" s="109"/>
      <c r="S616" s="109"/>
      <c r="T616" s="109"/>
      <c r="U616" s="109"/>
      <c r="V616" s="109"/>
      <c r="W616" s="109"/>
      <c r="X616" s="109"/>
      <c r="Y616" s="109"/>
      <c r="Z616" s="109"/>
    </row>
    <row r="617" ht="29.25" customHeight="1">
      <c r="A617" s="109"/>
      <c r="B617" s="109"/>
      <c r="C617" s="109"/>
      <c r="D617" s="109"/>
      <c r="E617" s="109"/>
      <c r="F617" s="109"/>
      <c r="G617" s="317"/>
      <c r="H617" s="109"/>
      <c r="I617" s="109"/>
      <c r="J617" s="109"/>
      <c r="K617" s="109"/>
      <c r="L617" s="109"/>
      <c r="M617" s="109"/>
      <c r="N617" s="109"/>
      <c r="O617" s="109"/>
      <c r="P617" s="109"/>
      <c r="Q617" s="109"/>
      <c r="R617" s="109"/>
      <c r="S617" s="109"/>
      <c r="T617" s="109"/>
      <c r="U617" s="109"/>
      <c r="V617" s="109"/>
      <c r="W617" s="109"/>
      <c r="X617" s="109"/>
      <c r="Y617" s="109"/>
      <c r="Z617" s="109"/>
    </row>
    <row r="618" ht="29.25" customHeight="1">
      <c r="A618" s="109"/>
      <c r="B618" s="109"/>
      <c r="C618" s="109"/>
      <c r="D618" s="109"/>
      <c r="E618" s="109"/>
      <c r="F618" s="109"/>
      <c r="G618" s="317"/>
      <c r="H618" s="109"/>
      <c r="I618" s="109"/>
      <c r="J618" s="109"/>
      <c r="K618" s="109"/>
      <c r="L618" s="109"/>
      <c r="M618" s="109"/>
      <c r="N618" s="109"/>
      <c r="O618" s="109"/>
      <c r="P618" s="109"/>
      <c r="Q618" s="109"/>
      <c r="R618" s="109"/>
      <c r="S618" s="109"/>
      <c r="T618" s="109"/>
      <c r="U618" s="109"/>
      <c r="V618" s="109"/>
      <c r="W618" s="109"/>
      <c r="X618" s="109"/>
      <c r="Y618" s="109"/>
      <c r="Z618" s="109"/>
    </row>
    <row r="619" ht="29.25" customHeight="1">
      <c r="A619" s="109"/>
      <c r="B619" s="109"/>
      <c r="C619" s="109"/>
      <c r="D619" s="109"/>
      <c r="E619" s="109"/>
      <c r="F619" s="109"/>
      <c r="G619" s="317"/>
      <c r="H619" s="109"/>
      <c r="I619" s="109"/>
      <c r="J619" s="109"/>
      <c r="K619" s="109"/>
      <c r="L619" s="109"/>
      <c r="M619" s="109"/>
      <c r="N619" s="109"/>
      <c r="O619" s="109"/>
      <c r="P619" s="109"/>
      <c r="Q619" s="109"/>
      <c r="R619" s="109"/>
      <c r="S619" s="109"/>
      <c r="T619" s="109"/>
      <c r="U619" s="109"/>
      <c r="V619" s="109"/>
      <c r="W619" s="109"/>
      <c r="X619" s="109"/>
      <c r="Y619" s="109"/>
      <c r="Z619" s="109"/>
    </row>
    <row r="620" ht="29.25" customHeight="1">
      <c r="A620" s="109"/>
      <c r="B620" s="109"/>
      <c r="C620" s="109"/>
      <c r="D620" s="109"/>
      <c r="E620" s="109"/>
      <c r="F620" s="109"/>
      <c r="G620" s="317"/>
      <c r="H620" s="109"/>
      <c r="I620" s="109"/>
      <c r="J620" s="109"/>
      <c r="K620" s="109"/>
      <c r="L620" s="109"/>
      <c r="M620" s="109"/>
      <c r="N620" s="109"/>
      <c r="O620" s="109"/>
      <c r="P620" s="109"/>
      <c r="Q620" s="109"/>
      <c r="R620" s="109"/>
      <c r="S620" s="109"/>
      <c r="T620" s="109"/>
      <c r="U620" s="109"/>
      <c r="V620" s="109"/>
      <c r="W620" s="109"/>
      <c r="X620" s="109"/>
      <c r="Y620" s="109"/>
      <c r="Z620" s="109"/>
    </row>
    <row r="621" ht="29.25" customHeight="1">
      <c r="A621" s="109"/>
      <c r="B621" s="109"/>
      <c r="C621" s="109"/>
      <c r="D621" s="109"/>
      <c r="E621" s="109"/>
      <c r="F621" s="109"/>
      <c r="G621" s="317"/>
      <c r="H621" s="109"/>
      <c r="I621" s="109"/>
      <c r="J621" s="109"/>
      <c r="K621" s="109"/>
      <c r="L621" s="109"/>
      <c r="M621" s="109"/>
      <c r="N621" s="109"/>
      <c r="O621" s="109"/>
      <c r="P621" s="109"/>
      <c r="Q621" s="109"/>
      <c r="R621" s="109"/>
      <c r="S621" s="109"/>
      <c r="T621" s="109"/>
      <c r="U621" s="109"/>
      <c r="V621" s="109"/>
      <c r="W621" s="109"/>
      <c r="X621" s="109"/>
      <c r="Y621" s="109"/>
      <c r="Z621" s="109"/>
    </row>
    <row r="622" ht="29.25" customHeight="1">
      <c r="A622" s="109"/>
      <c r="B622" s="109"/>
      <c r="C622" s="109"/>
      <c r="D622" s="109"/>
      <c r="E622" s="109"/>
      <c r="F622" s="109"/>
      <c r="G622" s="317"/>
      <c r="H622" s="109"/>
      <c r="I622" s="109"/>
      <c r="J622" s="109"/>
      <c r="K622" s="109"/>
      <c r="L622" s="109"/>
      <c r="M622" s="109"/>
      <c r="N622" s="109"/>
      <c r="O622" s="109"/>
      <c r="P622" s="109"/>
      <c r="Q622" s="109"/>
      <c r="R622" s="109"/>
      <c r="S622" s="109"/>
      <c r="T622" s="109"/>
      <c r="U622" s="109"/>
      <c r="V622" s="109"/>
      <c r="W622" s="109"/>
      <c r="X622" s="109"/>
      <c r="Y622" s="109"/>
      <c r="Z622" s="109"/>
    </row>
    <row r="623" ht="29.25" customHeight="1">
      <c r="A623" s="109"/>
      <c r="B623" s="109"/>
      <c r="C623" s="109"/>
      <c r="D623" s="109"/>
      <c r="E623" s="109"/>
      <c r="F623" s="109"/>
      <c r="G623" s="317"/>
      <c r="H623" s="109"/>
      <c r="I623" s="109"/>
      <c r="J623" s="109"/>
      <c r="K623" s="109"/>
      <c r="L623" s="109"/>
      <c r="M623" s="109"/>
      <c r="N623" s="109"/>
      <c r="O623" s="109"/>
      <c r="P623" s="109"/>
      <c r="Q623" s="109"/>
      <c r="R623" s="109"/>
      <c r="S623" s="109"/>
      <c r="T623" s="109"/>
      <c r="U623" s="109"/>
      <c r="V623" s="109"/>
      <c r="W623" s="109"/>
      <c r="X623" s="109"/>
      <c r="Y623" s="109"/>
      <c r="Z623" s="109"/>
    </row>
    <row r="624" ht="29.25" customHeight="1">
      <c r="A624" s="109"/>
      <c r="B624" s="109"/>
      <c r="C624" s="109"/>
      <c r="D624" s="109"/>
      <c r="E624" s="109"/>
      <c r="F624" s="109"/>
      <c r="G624" s="317"/>
      <c r="H624" s="109"/>
      <c r="I624" s="109"/>
      <c r="J624" s="109"/>
      <c r="K624" s="109"/>
      <c r="L624" s="109"/>
      <c r="M624" s="109"/>
      <c r="N624" s="109"/>
      <c r="O624" s="109"/>
      <c r="P624" s="109"/>
      <c r="Q624" s="109"/>
      <c r="R624" s="109"/>
      <c r="S624" s="109"/>
      <c r="T624" s="109"/>
      <c r="U624" s="109"/>
      <c r="V624" s="109"/>
      <c r="W624" s="109"/>
      <c r="X624" s="109"/>
      <c r="Y624" s="109"/>
      <c r="Z624" s="109"/>
    </row>
    <row r="625" ht="29.25" customHeight="1">
      <c r="A625" s="109"/>
      <c r="B625" s="109"/>
      <c r="C625" s="109"/>
      <c r="D625" s="109"/>
      <c r="E625" s="109"/>
      <c r="F625" s="109"/>
      <c r="G625" s="317"/>
      <c r="H625" s="109"/>
      <c r="I625" s="109"/>
      <c r="J625" s="109"/>
      <c r="K625" s="109"/>
      <c r="L625" s="109"/>
      <c r="M625" s="109"/>
      <c r="N625" s="109"/>
      <c r="O625" s="109"/>
      <c r="P625" s="109"/>
      <c r="Q625" s="109"/>
      <c r="R625" s="109"/>
      <c r="S625" s="109"/>
      <c r="T625" s="109"/>
      <c r="U625" s="109"/>
      <c r="V625" s="109"/>
      <c r="W625" s="109"/>
      <c r="X625" s="109"/>
      <c r="Y625" s="109"/>
      <c r="Z625" s="109"/>
    </row>
    <row r="626" ht="29.25" customHeight="1">
      <c r="A626" s="109"/>
      <c r="B626" s="109"/>
      <c r="C626" s="109"/>
      <c r="D626" s="109"/>
      <c r="E626" s="109"/>
      <c r="F626" s="109"/>
      <c r="G626" s="317"/>
      <c r="H626" s="109"/>
      <c r="I626" s="109"/>
      <c r="J626" s="109"/>
      <c r="K626" s="109"/>
      <c r="L626" s="109"/>
      <c r="M626" s="109"/>
      <c r="N626" s="109"/>
      <c r="O626" s="109"/>
      <c r="P626" s="109"/>
      <c r="Q626" s="109"/>
      <c r="R626" s="109"/>
      <c r="S626" s="109"/>
      <c r="T626" s="109"/>
      <c r="U626" s="109"/>
      <c r="V626" s="109"/>
      <c r="W626" s="109"/>
      <c r="X626" s="109"/>
      <c r="Y626" s="109"/>
      <c r="Z626" s="109"/>
    </row>
    <row r="627" ht="29.25" customHeight="1">
      <c r="A627" s="109"/>
      <c r="B627" s="109"/>
      <c r="C627" s="109"/>
      <c r="D627" s="109"/>
      <c r="E627" s="109"/>
      <c r="F627" s="109"/>
      <c r="G627" s="317"/>
      <c r="H627" s="109"/>
      <c r="I627" s="109"/>
      <c r="J627" s="109"/>
      <c r="K627" s="109"/>
      <c r="L627" s="109"/>
      <c r="M627" s="109"/>
      <c r="N627" s="109"/>
      <c r="O627" s="109"/>
      <c r="P627" s="109"/>
      <c r="Q627" s="109"/>
      <c r="R627" s="109"/>
      <c r="S627" s="109"/>
      <c r="T627" s="109"/>
      <c r="U627" s="109"/>
      <c r="V627" s="109"/>
      <c r="W627" s="109"/>
      <c r="X627" s="109"/>
      <c r="Y627" s="109"/>
      <c r="Z627" s="109"/>
    </row>
    <row r="628" ht="29.25" customHeight="1">
      <c r="A628" s="109"/>
      <c r="B628" s="109"/>
      <c r="C628" s="109"/>
      <c r="D628" s="109"/>
      <c r="E628" s="109"/>
      <c r="F628" s="109"/>
      <c r="G628" s="317"/>
      <c r="H628" s="109"/>
      <c r="I628" s="109"/>
      <c r="J628" s="109"/>
      <c r="K628" s="109"/>
      <c r="L628" s="109"/>
      <c r="M628" s="109"/>
      <c r="N628" s="109"/>
      <c r="O628" s="109"/>
      <c r="P628" s="109"/>
      <c r="Q628" s="109"/>
      <c r="R628" s="109"/>
      <c r="S628" s="109"/>
      <c r="T628" s="109"/>
      <c r="U628" s="109"/>
      <c r="V628" s="109"/>
      <c r="W628" s="109"/>
      <c r="X628" s="109"/>
      <c r="Y628" s="109"/>
      <c r="Z628" s="109"/>
    </row>
    <row r="629" ht="29.25" customHeight="1">
      <c r="A629" s="109"/>
      <c r="B629" s="109"/>
      <c r="C629" s="109"/>
      <c r="D629" s="109"/>
      <c r="E629" s="109"/>
      <c r="F629" s="109"/>
      <c r="G629" s="317"/>
      <c r="H629" s="109"/>
      <c r="I629" s="109"/>
      <c r="J629" s="109"/>
      <c r="K629" s="109"/>
      <c r="L629" s="109"/>
      <c r="M629" s="109"/>
      <c r="N629" s="109"/>
      <c r="O629" s="109"/>
      <c r="P629" s="109"/>
      <c r="Q629" s="109"/>
      <c r="R629" s="109"/>
      <c r="S629" s="109"/>
      <c r="T629" s="109"/>
      <c r="U629" s="109"/>
      <c r="V629" s="109"/>
      <c r="W629" s="109"/>
      <c r="X629" s="109"/>
      <c r="Y629" s="109"/>
      <c r="Z629" s="109"/>
    </row>
    <row r="630" ht="29.25" customHeight="1">
      <c r="A630" s="109"/>
      <c r="B630" s="109"/>
      <c r="C630" s="109"/>
      <c r="D630" s="109"/>
      <c r="E630" s="109"/>
      <c r="F630" s="109"/>
      <c r="G630" s="317"/>
      <c r="H630" s="109"/>
      <c r="I630" s="109"/>
      <c r="J630" s="109"/>
      <c r="K630" s="109"/>
      <c r="L630" s="109"/>
      <c r="M630" s="109"/>
      <c r="N630" s="109"/>
      <c r="O630" s="109"/>
      <c r="P630" s="109"/>
      <c r="Q630" s="109"/>
      <c r="R630" s="109"/>
      <c r="S630" s="109"/>
      <c r="T630" s="109"/>
      <c r="U630" s="109"/>
      <c r="V630" s="109"/>
      <c r="W630" s="109"/>
      <c r="X630" s="109"/>
      <c r="Y630" s="109"/>
      <c r="Z630" s="109"/>
    </row>
    <row r="631" ht="29.25" customHeight="1">
      <c r="A631" s="109"/>
      <c r="B631" s="109"/>
      <c r="C631" s="109"/>
      <c r="D631" s="109"/>
      <c r="E631" s="109"/>
      <c r="F631" s="109"/>
      <c r="G631" s="317"/>
      <c r="H631" s="109"/>
      <c r="I631" s="109"/>
      <c r="J631" s="109"/>
      <c r="K631" s="109"/>
      <c r="L631" s="109"/>
      <c r="M631" s="109"/>
      <c r="N631" s="109"/>
      <c r="O631" s="109"/>
      <c r="P631" s="109"/>
      <c r="Q631" s="109"/>
      <c r="R631" s="109"/>
      <c r="S631" s="109"/>
      <c r="T631" s="109"/>
      <c r="U631" s="109"/>
      <c r="V631" s="109"/>
      <c r="W631" s="109"/>
      <c r="X631" s="109"/>
      <c r="Y631" s="109"/>
      <c r="Z631" s="109"/>
    </row>
    <row r="632" ht="29.25" customHeight="1">
      <c r="A632" s="109"/>
      <c r="B632" s="109"/>
      <c r="C632" s="109"/>
      <c r="D632" s="109"/>
      <c r="E632" s="109"/>
      <c r="F632" s="109"/>
      <c r="G632" s="317"/>
      <c r="H632" s="109"/>
      <c r="I632" s="109"/>
      <c r="J632" s="109"/>
      <c r="K632" s="109"/>
      <c r="L632" s="109"/>
      <c r="M632" s="109"/>
      <c r="N632" s="109"/>
      <c r="O632" s="109"/>
      <c r="P632" s="109"/>
      <c r="Q632" s="109"/>
      <c r="R632" s="109"/>
      <c r="S632" s="109"/>
      <c r="T632" s="109"/>
      <c r="U632" s="109"/>
      <c r="V632" s="109"/>
      <c r="W632" s="109"/>
      <c r="X632" s="109"/>
      <c r="Y632" s="109"/>
      <c r="Z632" s="109"/>
    </row>
    <row r="633" ht="29.25" customHeight="1">
      <c r="A633" s="109"/>
      <c r="B633" s="109"/>
      <c r="C633" s="109"/>
      <c r="D633" s="109"/>
      <c r="E633" s="109"/>
      <c r="F633" s="109"/>
      <c r="G633" s="317"/>
      <c r="H633" s="109"/>
      <c r="I633" s="109"/>
      <c r="J633" s="109"/>
      <c r="K633" s="109"/>
      <c r="L633" s="109"/>
      <c r="M633" s="109"/>
      <c r="N633" s="109"/>
      <c r="O633" s="109"/>
      <c r="P633" s="109"/>
      <c r="Q633" s="109"/>
      <c r="R633" s="109"/>
      <c r="S633" s="109"/>
      <c r="T633" s="109"/>
      <c r="U633" s="109"/>
      <c r="V633" s="109"/>
      <c r="W633" s="109"/>
      <c r="X633" s="109"/>
      <c r="Y633" s="109"/>
      <c r="Z633" s="109"/>
    </row>
    <row r="634" ht="29.25" customHeight="1">
      <c r="A634" s="109"/>
      <c r="B634" s="109"/>
      <c r="C634" s="109"/>
      <c r="D634" s="109"/>
      <c r="E634" s="109"/>
      <c r="F634" s="109"/>
      <c r="G634" s="317"/>
      <c r="H634" s="109"/>
      <c r="I634" s="109"/>
      <c r="J634" s="109"/>
      <c r="K634" s="109"/>
      <c r="L634" s="109"/>
      <c r="M634" s="109"/>
      <c r="N634" s="109"/>
      <c r="O634" s="109"/>
      <c r="P634" s="109"/>
      <c r="Q634" s="109"/>
      <c r="R634" s="109"/>
      <c r="S634" s="109"/>
      <c r="T634" s="109"/>
      <c r="U634" s="109"/>
      <c r="V634" s="109"/>
      <c r="W634" s="109"/>
      <c r="X634" s="109"/>
      <c r="Y634" s="109"/>
      <c r="Z634" s="109"/>
    </row>
    <row r="635" ht="29.25" customHeight="1">
      <c r="A635" s="109"/>
      <c r="B635" s="109"/>
      <c r="C635" s="109"/>
      <c r="D635" s="109"/>
      <c r="E635" s="109"/>
      <c r="F635" s="109"/>
      <c r="G635" s="317"/>
      <c r="H635" s="109"/>
      <c r="I635" s="109"/>
      <c r="J635" s="109"/>
      <c r="K635" s="109"/>
      <c r="L635" s="109"/>
      <c r="M635" s="109"/>
      <c r="N635" s="109"/>
      <c r="O635" s="109"/>
      <c r="P635" s="109"/>
      <c r="Q635" s="109"/>
      <c r="R635" s="109"/>
      <c r="S635" s="109"/>
      <c r="T635" s="109"/>
      <c r="U635" s="109"/>
      <c r="V635" s="109"/>
      <c r="W635" s="109"/>
      <c r="X635" s="109"/>
      <c r="Y635" s="109"/>
      <c r="Z635" s="109"/>
    </row>
    <row r="636" ht="29.25" customHeight="1">
      <c r="A636" s="109"/>
      <c r="B636" s="109"/>
      <c r="C636" s="109"/>
      <c r="D636" s="109"/>
      <c r="E636" s="109"/>
      <c r="F636" s="109"/>
      <c r="G636" s="317"/>
      <c r="H636" s="109"/>
      <c r="I636" s="109"/>
      <c r="J636" s="109"/>
      <c r="K636" s="109"/>
      <c r="L636" s="109"/>
      <c r="M636" s="109"/>
      <c r="N636" s="109"/>
      <c r="O636" s="109"/>
      <c r="P636" s="109"/>
      <c r="Q636" s="109"/>
      <c r="R636" s="109"/>
      <c r="S636" s="109"/>
      <c r="T636" s="109"/>
      <c r="U636" s="109"/>
      <c r="V636" s="109"/>
      <c r="W636" s="109"/>
      <c r="X636" s="109"/>
      <c r="Y636" s="109"/>
      <c r="Z636" s="109"/>
    </row>
    <row r="637" ht="29.25" customHeight="1">
      <c r="A637" s="109"/>
      <c r="B637" s="109"/>
      <c r="C637" s="109"/>
      <c r="D637" s="109"/>
      <c r="E637" s="109"/>
      <c r="F637" s="109"/>
      <c r="G637" s="317"/>
      <c r="H637" s="109"/>
      <c r="I637" s="109"/>
      <c r="J637" s="109"/>
      <c r="K637" s="109"/>
      <c r="L637" s="109"/>
      <c r="M637" s="109"/>
      <c r="N637" s="109"/>
      <c r="O637" s="109"/>
      <c r="P637" s="109"/>
      <c r="Q637" s="109"/>
      <c r="R637" s="109"/>
      <c r="S637" s="109"/>
      <c r="T637" s="109"/>
      <c r="U637" s="109"/>
      <c r="V637" s="109"/>
      <c r="W637" s="109"/>
      <c r="X637" s="109"/>
      <c r="Y637" s="109"/>
      <c r="Z637" s="109"/>
    </row>
    <row r="638" ht="29.25" customHeight="1">
      <c r="A638" s="109"/>
      <c r="B638" s="109"/>
      <c r="C638" s="109"/>
      <c r="D638" s="109"/>
      <c r="E638" s="109"/>
      <c r="F638" s="109"/>
      <c r="G638" s="317"/>
      <c r="H638" s="109"/>
      <c r="I638" s="109"/>
      <c r="J638" s="109"/>
      <c r="K638" s="109"/>
      <c r="L638" s="109"/>
      <c r="M638" s="109"/>
      <c r="N638" s="109"/>
      <c r="O638" s="109"/>
      <c r="P638" s="109"/>
      <c r="Q638" s="109"/>
      <c r="R638" s="109"/>
      <c r="S638" s="109"/>
      <c r="T638" s="109"/>
      <c r="U638" s="109"/>
      <c r="V638" s="109"/>
      <c r="W638" s="109"/>
      <c r="X638" s="109"/>
      <c r="Y638" s="109"/>
      <c r="Z638" s="109"/>
    </row>
    <row r="639" ht="29.25" customHeight="1">
      <c r="A639" s="109"/>
      <c r="B639" s="109"/>
      <c r="C639" s="109"/>
      <c r="D639" s="109"/>
      <c r="E639" s="109"/>
      <c r="F639" s="109"/>
      <c r="G639" s="317"/>
      <c r="H639" s="109"/>
      <c r="I639" s="109"/>
      <c r="J639" s="109"/>
      <c r="K639" s="109"/>
      <c r="L639" s="109"/>
      <c r="M639" s="109"/>
      <c r="N639" s="109"/>
      <c r="O639" s="109"/>
      <c r="P639" s="109"/>
      <c r="Q639" s="109"/>
      <c r="R639" s="109"/>
      <c r="S639" s="109"/>
      <c r="T639" s="109"/>
      <c r="U639" s="109"/>
      <c r="V639" s="109"/>
      <c r="W639" s="109"/>
      <c r="X639" s="109"/>
      <c r="Y639" s="109"/>
      <c r="Z639" s="109"/>
    </row>
    <row r="640" ht="29.25" customHeight="1">
      <c r="A640" s="109"/>
      <c r="B640" s="109"/>
      <c r="C640" s="109"/>
      <c r="D640" s="109"/>
      <c r="E640" s="109"/>
      <c r="F640" s="109"/>
      <c r="G640" s="317"/>
      <c r="H640" s="109"/>
      <c r="I640" s="109"/>
      <c r="J640" s="109"/>
      <c r="K640" s="109"/>
      <c r="L640" s="109"/>
      <c r="M640" s="109"/>
      <c r="N640" s="109"/>
      <c r="O640" s="109"/>
      <c r="P640" s="109"/>
      <c r="Q640" s="109"/>
      <c r="R640" s="109"/>
      <c r="S640" s="109"/>
      <c r="T640" s="109"/>
      <c r="U640" s="109"/>
      <c r="V640" s="109"/>
      <c r="W640" s="109"/>
      <c r="X640" s="109"/>
      <c r="Y640" s="109"/>
      <c r="Z640" s="109"/>
    </row>
    <row r="641" ht="29.25" customHeight="1">
      <c r="A641" s="109"/>
      <c r="B641" s="109"/>
      <c r="C641" s="109"/>
      <c r="D641" s="109"/>
      <c r="E641" s="109"/>
      <c r="F641" s="109"/>
      <c r="G641" s="317"/>
      <c r="H641" s="109"/>
      <c r="I641" s="109"/>
      <c r="J641" s="109"/>
      <c r="K641" s="109"/>
      <c r="L641" s="109"/>
      <c r="M641" s="109"/>
      <c r="N641" s="109"/>
      <c r="O641" s="109"/>
      <c r="P641" s="109"/>
      <c r="Q641" s="109"/>
      <c r="R641" s="109"/>
      <c r="S641" s="109"/>
      <c r="T641" s="109"/>
      <c r="U641" s="109"/>
      <c r="V641" s="109"/>
      <c r="W641" s="109"/>
      <c r="X641" s="109"/>
      <c r="Y641" s="109"/>
      <c r="Z641" s="109"/>
    </row>
    <row r="642" ht="29.25" customHeight="1">
      <c r="A642" s="109"/>
      <c r="B642" s="109"/>
      <c r="C642" s="109"/>
      <c r="D642" s="109"/>
      <c r="E642" s="109"/>
      <c r="F642" s="109"/>
      <c r="G642" s="317"/>
      <c r="H642" s="109"/>
      <c r="I642" s="109"/>
      <c r="J642" s="109"/>
      <c r="K642" s="109"/>
      <c r="L642" s="109"/>
      <c r="M642" s="109"/>
      <c r="N642" s="109"/>
      <c r="O642" s="109"/>
      <c r="P642" s="109"/>
      <c r="Q642" s="109"/>
      <c r="R642" s="109"/>
      <c r="S642" s="109"/>
      <c r="T642" s="109"/>
      <c r="U642" s="109"/>
      <c r="V642" s="109"/>
      <c r="W642" s="109"/>
      <c r="X642" s="109"/>
      <c r="Y642" s="109"/>
      <c r="Z642" s="109"/>
    </row>
    <row r="643" ht="29.25" customHeight="1">
      <c r="A643" s="109"/>
      <c r="B643" s="109"/>
      <c r="C643" s="109"/>
      <c r="D643" s="109"/>
      <c r="E643" s="109"/>
      <c r="F643" s="109"/>
      <c r="G643" s="317"/>
      <c r="H643" s="109"/>
      <c r="I643" s="109"/>
      <c r="J643" s="109"/>
      <c r="K643" s="109"/>
      <c r="L643" s="109"/>
      <c r="M643" s="109"/>
      <c r="N643" s="109"/>
      <c r="O643" s="109"/>
      <c r="P643" s="109"/>
      <c r="Q643" s="109"/>
      <c r="R643" s="109"/>
      <c r="S643" s="109"/>
      <c r="T643" s="109"/>
      <c r="U643" s="109"/>
      <c r="V643" s="109"/>
      <c r="W643" s="109"/>
      <c r="X643" s="109"/>
      <c r="Y643" s="109"/>
      <c r="Z643" s="109"/>
    </row>
    <row r="644" ht="29.25" customHeight="1">
      <c r="A644" s="109"/>
      <c r="B644" s="109"/>
      <c r="C644" s="109"/>
      <c r="D644" s="109"/>
      <c r="E644" s="109"/>
      <c r="F644" s="109"/>
      <c r="G644" s="317"/>
      <c r="H644" s="109"/>
      <c r="I644" s="109"/>
      <c r="J644" s="109"/>
      <c r="K644" s="109"/>
      <c r="L644" s="109"/>
      <c r="M644" s="109"/>
      <c r="N644" s="109"/>
      <c r="O644" s="109"/>
      <c r="P644" s="109"/>
      <c r="Q644" s="109"/>
      <c r="R644" s="109"/>
      <c r="S644" s="109"/>
      <c r="T644" s="109"/>
      <c r="U644" s="109"/>
      <c r="V644" s="109"/>
      <c r="W644" s="109"/>
      <c r="X644" s="109"/>
      <c r="Y644" s="109"/>
      <c r="Z644" s="109"/>
    </row>
    <row r="645" ht="29.25" customHeight="1">
      <c r="A645" s="109"/>
      <c r="B645" s="109"/>
      <c r="C645" s="109"/>
      <c r="D645" s="109"/>
      <c r="E645" s="109"/>
      <c r="F645" s="109"/>
      <c r="G645" s="317"/>
      <c r="H645" s="109"/>
      <c r="I645" s="109"/>
      <c r="J645" s="109"/>
      <c r="K645" s="109"/>
      <c r="L645" s="109"/>
      <c r="M645" s="109"/>
      <c r="N645" s="109"/>
      <c r="O645" s="109"/>
      <c r="P645" s="109"/>
      <c r="Q645" s="109"/>
      <c r="R645" s="109"/>
      <c r="S645" s="109"/>
      <c r="T645" s="109"/>
      <c r="U645" s="109"/>
      <c r="V645" s="109"/>
      <c r="W645" s="109"/>
      <c r="X645" s="109"/>
      <c r="Y645" s="109"/>
      <c r="Z645" s="109"/>
    </row>
    <row r="646" ht="29.25" customHeight="1">
      <c r="A646" s="109"/>
      <c r="B646" s="109"/>
      <c r="C646" s="109"/>
      <c r="D646" s="109"/>
      <c r="E646" s="109"/>
      <c r="F646" s="109"/>
      <c r="G646" s="317"/>
      <c r="H646" s="109"/>
      <c r="I646" s="109"/>
      <c r="J646" s="109"/>
      <c r="K646" s="109"/>
      <c r="L646" s="109"/>
      <c r="M646" s="109"/>
      <c r="N646" s="109"/>
      <c r="O646" s="109"/>
      <c r="P646" s="109"/>
      <c r="Q646" s="109"/>
      <c r="R646" s="109"/>
      <c r="S646" s="109"/>
      <c r="T646" s="109"/>
      <c r="U646" s="109"/>
      <c r="V646" s="109"/>
      <c r="W646" s="109"/>
      <c r="X646" s="109"/>
      <c r="Y646" s="109"/>
      <c r="Z646" s="109"/>
    </row>
    <row r="647" ht="29.25" customHeight="1">
      <c r="A647" s="109"/>
      <c r="B647" s="109"/>
      <c r="C647" s="109"/>
      <c r="D647" s="109"/>
      <c r="E647" s="109"/>
      <c r="F647" s="109"/>
      <c r="G647" s="317"/>
      <c r="H647" s="109"/>
      <c r="I647" s="109"/>
      <c r="J647" s="109"/>
      <c r="K647" s="109"/>
      <c r="L647" s="109"/>
      <c r="M647" s="109"/>
      <c r="N647" s="109"/>
      <c r="O647" s="109"/>
      <c r="P647" s="109"/>
      <c r="Q647" s="109"/>
      <c r="R647" s="109"/>
      <c r="S647" s="109"/>
      <c r="T647" s="109"/>
      <c r="U647" s="109"/>
      <c r="V647" s="109"/>
      <c r="W647" s="109"/>
      <c r="X647" s="109"/>
      <c r="Y647" s="109"/>
      <c r="Z647" s="109"/>
    </row>
    <row r="648" ht="29.25" customHeight="1">
      <c r="A648" s="109"/>
      <c r="B648" s="109"/>
      <c r="C648" s="109"/>
      <c r="D648" s="109"/>
      <c r="E648" s="109"/>
      <c r="F648" s="109"/>
      <c r="G648" s="317"/>
      <c r="H648" s="109"/>
      <c r="I648" s="109"/>
      <c r="J648" s="109"/>
      <c r="K648" s="109"/>
      <c r="L648" s="109"/>
      <c r="M648" s="109"/>
      <c r="N648" s="109"/>
      <c r="O648" s="109"/>
      <c r="P648" s="109"/>
      <c r="Q648" s="109"/>
      <c r="R648" s="109"/>
      <c r="S648" s="109"/>
      <c r="T648" s="109"/>
      <c r="U648" s="109"/>
      <c r="V648" s="109"/>
      <c r="W648" s="109"/>
      <c r="X648" s="109"/>
      <c r="Y648" s="109"/>
      <c r="Z648" s="109"/>
    </row>
    <row r="649" ht="29.25" customHeight="1">
      <c r="A649" s="109"/>
      <c r="B649" s="109"/>
      <c r="C649" s="109"/>
      <c r="D649" s="109"/>
      <c r="E649" s="109"/>
      <c r="F649" s="109"/>
      <c r="G649" s="317"/>
      <c r="H649" s="109"/>
      <c r="I649" s="109"/>
      <c r="J649" s="109"/>
      <c r="K649" s="109"/>
      <c r="L649" s="109"/>
      <c r="M649" s="109"/>
      <c r="N649" s="109"/>
      <c r="O649" s="109"/>
      <c r="P649" s="109"/>
      <c r="Q649" s="109"/>
      <c r="R649" s="109"/>
      <c r="S649" s="109"/>
      <c r="T649" s="109"/>
      <c r="U649" s="109"/>
      <c r="V649" s="109"/>
      <c r="W649" s="109"/>
      <c r="X649" s="109"/>
      <c r="Y649" s="109"/>
      <c r="Z649" s="109"/>
    </row>
    <row r="650" ht="29.25" customHeight="1">
      <c r="A650" s="109"/>
      <c r="B650" s="109"/>
      <c r="C650" s="109"/>
      <c r="D650" s="109"/>
      <c r="E650" s="109"/>
      <c r="F650" s="109"/>
      <c r="G650" s="317"/>
      <c r="H650" s="109"/>
      <c r="I650" s="109"/>
      <c r="J650" s="109"/>
      <c r="K650" s="109"/>
      <c r="L650" s="109"/>
      <c r="M650" s="109"/>
      <c r="N650" s="109"/>
      <c r="O650" s="109"/>
      <c r="P650" s="109"/>
      <c r="Q650" s="109"/>
      <c r="R650" s="109"/>
      <c r="S650" s="109"/>
      <c r="T650" s="109"/>
      <c r="U650" s="109"/>
      <c r="V650" s="109"/>
      <c r="W650" s="109"/>
      <c r="X650" s="109"/>
      <c r="Y650" s="109"/>
      <c r="Z650" s="109"/>
    </row>
    <row r="651" ht="29.25" customHeight="1">
      <c r="A651" s="109"/>
      <c r="B651" s="109"/>
      <c r="C651" s="109"/>
      <c r="D651" s="109"/>
      <c r="E651" s="109"/>
      <c r="F651" s="109"/>
      <c r="G651" s="317"/>
      <c r="H651" s="109"/>
      <c r="I651" s="109"/>
      <c r="J651" s="109"/>
      <c r="K651" s="109"/>
      <c r="L651" s="109"/>
      <c r="M651" s="109"/>
      <c r="N651" s="109"/>
      <c r="O651" s="109"/>
      <c r="P651" s="109"/>
      <c r="Q651" s="109"/>
      <c r="R651" s="109"/>
      <c r="S651" s="109"/>
      <c r="T651" s="109"/>
      <c r="U651" s="109"/>
      <c r="V651" s="109"/>
      <c r="W651" s="109"/>
      <c r="X651" s="109"/>
      <c r="Y651" s="109"/>
      <c r="Z651" s="109"/>
    </row>
    <row r="652" ht="29.25" customHeight="1">
      <c r="A652" s="109"/>
      <c r="B652" s="109"/>
      <c r="C652" s="109"/>
      <c r="D652" s="109"/>
      <c r="E652" s="109"/>
      <c r="F652" s="109"/>
      <c r="G652" s="317"/>
      <c r="H652" s="109"/>
      <c r="I652" s="109"/>
      <c r="J652" s="109"/>
      <c r="K652" s="109"/>
      <c r="L652" s="109"/>
      <c r="M652" s="109"/>
      <c r="N652" s="109"/>
      <c r="O652" s="109"/>
      <c r="P652" s="109"/>
      <c r="Q652" s="109"/>
      <c r="R652" s="109"/>
      <c r="S652" s="109"/>
      <c r="T652" s="109"/>
      <c r="U652" s="109"/>
      <c r="V652" s="109"/>
      <c r="W652" s="109"/>
      <c r="X652" s="109"/>
      <c r="Y652" s="109"/>
      <c r="Z652" s="109"/>
    </row>
    <row r="653" ht="29.25" customHeight="1">
      <c r="A653" s="109"/>
      <c r="B653" s="109"/>
      <c r="C653" s="109"/>
      <c r="D653" s="109"/>
      <c r="E653" s="109"/>
      <c r="F653" s="109"/>
      <c r="G653" s="317"/>
      <c r="H653" s="109"/>
      <c r="I653" s="109"/>
      <c r="J653" s="109"/>
      <c r="K653" s="109"/>
      <c r="L653" s="109"/>
      <c r="M653" s="109"/>
      <c r="N653" s="109"/>
      <c r="O653" s="109"/>
      <c r="P653" s="109"/>
      <c r="Q653" s="109"/>
      <c r="R653" s="109"/>
      <c r="S653" s="109"/>
      <c r="T653" s="109"/>
      <c r="U653" s="109"/>
      <c r="V653" s="109"/>
      <c r="W653" s="109"/>
      <c r="X653" s="109"/>
      <c r="Y653" s="109"/>
      <c r="Z653" s="109"/>
    </row>
    <row r="654" ht="29.25" customHeight="1">
      <c r="A654" s="109"/>
      <c r="B654" s="109"/>
      <c r="C654" s="109"/>
      <c r="D654" s="109"/>
      <c r="E654" s="109"/>
      <c r="F654" s="109"/>
      <c r="G654" s="317"/>
      <c r="H654" s="109"/>
      <c r="I654" s="109"/>
      <c r="J654" s="109"/>
      <c r="K654" s="109"/>
      <c r="L654" s="109"/>
      <c r="M654" s="109"/>
      <c r="N654" s="109"/>
      <c r="O654" s="109"/>
      <c r="P654" s="109"/>
      <c r="Q654" s="109"/>
      <c r="R654" s="109"/>
      <c r="S654" s="109"/>
      <c r="T654" s="109"/>
      <c r="U654" s="109"/>
      <c r="V654" s="109"/>
      <c r="W654" s="109"/>
      <c r="X654" s="109"/>
      <c r="Y654" s="109"/>
      <c r="Z654" s="109"/>
    </row>
    <row r="655" ht="29.25" customHeight="1">
      <c r="A655" s="109"/>
      <c r="B655" s="109"/>
      <c r="C655" s="109"/>
      <c r="D655" s="109"/>
      <c r="E655" s="109"/>
      <c r="F655" s="109"/>
      <c r="G655" s="317"/>
      <c r="H655" s="109"/>
      <c r="I655" s="109"/>
      <c r="J655" s="109"/>
      <c r="K655" s="109"/>
      <c r="L655" s="109"/>
      <c r="M655" s="109"/>
      <c r="N655" s="109"/>
      <c r="O655" s="109"/>
      <c r="P655" s="109"/>
      <c r="Q655" s="109"/>
      <c r="R655" s="109"/>
      <c r="S655" s="109"/>
      <c r="T655" s="109"/>
      <c r="U655" s="109"/>
      <c r="V655" s="109"/>
      <c r="W655" s="109"/>
      <c r="X655" s="109"/>
      <c r="Y655" s="109"/>
      <c r="Z655" s="109"/>
    </row>
    <row r="656" ht="29.25" customHeight="1">
      <c r="A656" s="109"/>
      <c r="B656" s="109"/>
      <c r="C656" s="109"/>
      <c r="D656" s="109"/>
      <c r="E656" s="109"/>
      <c r="F656" s="109"/>
      <c r="G656" s="317"/>
      <c r="H656" s="109"/>
      <c r="I656" s="109"/>
      <c r="J656" s="109"/>
      <c r="K656" s="109"/>
      <c r="L656" s="109"/>
      <c r="M656" s="109"/>
      <c r="N656" s="109"/>
      <c r="O656" s="109"/>
      <c r="P656" s="109"/>
      <c r="Q656" s="109"/>
      <c r="R656" s="109"/>
      <c r="S656" s="109"/>
      <c r="T656" s="109"/>
      <c r="U656" s="109"/>
      <c r="V656" s="109"/>
      <c r="W656" s="109"/>
      <c r="X656" s="109"/>
      <c r="Y656" s="109"/>
      <c r="Z656" s="109"/>
    </row>
    <row r="657" ht="29.25" customHeight="1">
      <c r="A657" s="109"/>
      <c r="B657" s="109"/>
      <c r="C657" s="109"/>
      <c r="D657" s="109"/>
      <c r="E657" s="109"/>
      <c r="F657" s="109"/>
      <c r="G657" s="317"/>
      <c r="H657" s="109"/>
      <c r="I657" s="109"/>
      <c r="J657" s="109"/>
      <c r="K657" s="109"/>
      <c r="L657" s="109"/>
      <c r="M657" s="109"/>
      <c r="N657" s="109"/>
      <c r="O657" s="109"/>
      <c r="P657" s="109"/>
      <c r="Q657" s="109"/>
      <c r="R657" s="109"/>
      <c r="S657" s="109"/>
      <c r="T657" s="109"/>
      <c r="U657" s="109"/>
      <c r="V657" s="109"/>
      <c r="W657" s="109"/>
      <c r="X657" s="109"/>
      <c r="Y657" s="109"/>
      <c r="Z657" s="109"/>
    </row>
    <row r="658" ht="29.25" customHeight="1">
      <c r="A658" s="109"/>
      <c r="B658" s="109"/>
      <c r="C658" s="109"/>
      <c r="D658" s="109"/>
      <c r="E658" s="109"/>
      <c r="F658" s="109"/>
      <c r="G658" s="317"/>
      <c r="H658" s="109"/>
      <c r="I658" s="109"/>
      <c r="J658" s="109"/>
      <c r="K658" s="109"/>
      <c r="L658" s="109"/>
      <c r="M658" s="109"/>
      <c r="N658" s="109"/>
      <c r="O658" s="109"/>
      <c r="P658" s="109"/>
      <c r="Q658" s="109"/>
      <c r="R658" s="109"/>
      <c r="S658" s="109"/>
      <c r="T658" s="109"/>
      <c r="U658" s="109"/>
      <c r="V658" s="109"/>
      <c r="W658" s="109"/>
      <c r="X658" s="109"/>
      <c r="Y658" s="109"/>
      <c r="Z658" s="109"/>
    </row>
    <row r="659" ht="29.25" customHeight="1">
      <c r="A659" s="109"/>
      <c r="B659" s="109"/>
      <c r="C659" s="109"/>
      <c r="D659" s="109"/>
      <c r="E659" s="109"/>
      <c r="F659" s="109"/>
      <c r="G659" s="317"/>
      <c r="H659" s="109"/>
      <c r="I659" s="109"/>
      <c r="J659" s="109"/>
      <c r="K659" s="109"/>
      <c r="L659" s="109"/>
      <c r="M659" s="109"/>
      <c r="N659" s="109"/>
      <c r="O659" s="109"/>
      <c r="P659" s="109"/>
      <c r="Q659" s="109"/>
      <c r="R659" s="109"/>
      <c r="S659" s="109"/>
      <c r="T659" s="109"/>
      <c r="U659" s="109"/>
      <c r="V659" s="109"/>
      <c r="W659" s="109"/>
      <c r="X659" s="109"/>
      <c r="Y659" s="109"/>
      <c r="Z659" s="109"/>
    </row>
    <row r="660" ht="29.25" customHeight="1">
      <c r="A660" s="109"/>
      <c r="B660" s="109"/>
      <c r="C660" s="109"/>
      <c r="D660" s="109"/>
      <c r="E660" s="109"/>
      <c r="F660" s="109"/>
      <c r="G660" s="317"/>
      <c r="H660" s="109"/>
      <c r="I660" s="109"/>
      <c r="J660" s="109"/>
      <c r="K660" s="109"/>
      <c r="L660" s="109"/>
      <c r="M660" s="109"/>
      <c r="N660" s="109"/>
      <c r="O660" s="109"/>
      <c r="P660" s="109"/>
      <c r="Q660" s="109"/>
      <c r="R660" s="109"/>
      <c r="S660" s="109"/>
      <c r="T660" s="109"/>
      <c r="U660" s="109"/>
      <c r="V660" s="109"/>
      <c r="W660" s="109"/>
      <c r="X660" s="109"/>
      <c r="Y660" s="109"/>
      <c r="Z660" s="109"/>
    </row>
    <row r="661" ht="29.25" customHeight="1">
      <c r="A661" s="109"/>
      <c r="B661" s="109"/>
      <c r="C661" s="109"/>
      <c r="D661" s="109"/>
      <c r="E661" s="109"/>
      <c r="F661" s="109"/>
      <c r="G661" s="317"/>
      <c r="H661" s="109"/>
      <c r="I661" s="109"/>
      <c r="J661" s="109"/>
      <c r="K661" s="109"/>
      <c r="L661" s="109"/>
      <c r="M661" s="109"/>
      <c r="N661" s="109"/>
      <c r="O661" s="109"/>
      <c r="P661" s="109"/>
      <c r="Q661" s="109"/>
      <c r="R661" s="109"/>
      <c r="S661" s="109"/>
      <c r="T661" s="109"/>
      <c r="U661" s="109"/>
      <c r="V661" s="109"/>
      <c r="W661" s="109"/>
      <c r="X661" s="109"/>
      <c r="Y661" s="109"/>
      <c r="Z661" s="109"/>
    </row>
    <row r="662" ht="29.25" customHeight="1">
      <c r="A662" s="109"/>
      <c r="B662" s="109"/>
      <c r="C662" s="109"/>
      <c r="D662" s="109"/>
      <c r="E662" s="109"/>
      <c r="F662" s="109"/>
      <c r="G662" s="317"/>
      <c r="H662" s="109"/>
      <c r="I662" s="109"/>
      <c r="J662" s="109"/>
      <c r="K662" s="109"/>
      <c r="L662" s="109"/>
      <c r="M662" s="109"/>
      <c r="N662" s="109"/>
      <c r="O662" s="109"/>
      <c r="P662" s="109"/>
      <c r="Q662" s="109"/>
      <c r="R662" s="109"/>
      <c r="S662" s="109"/>
      <c r="T662" s="109"/>
      <c r="U662" s="109"/>
      <c r="V662" s="109"/>
      <c r="W662" s="109"/>
      <c r="X662" s="109"/>
      <c r="Y662" s="109"/>
      <c r="Z662" s="109"/>
    </row>
    <row r="663" ht="29.25" customHeight="1">
      <c r="A663" s="109"/>
      <c r="B663" s="109"/>
      <c r="C663" s="109"/>
      <c r="D663" s="109"/>
      <c r="E663" s="109"/>
      <c r="F663" s="109"/>
      <c r="G663" s="317"/>
      <c r="H663" s="109"/>
      <c r="I663" s="109"/>
      <c r="J663" s="109"/>
      <c r="K663" s="109"/>
      <c r="L663" s="109"/>
      <c r="M663" s="109"/>
      <c r="N663" s="109"/>
      <c r="O663" s="109"/>
      <c r="P663" s="109"/>
      <c r="Q663" s="109"/>
      <c r="R663" s="109"/>
      <c r="S663" s="109"/>
      <c r="T663" s="109"/>
      <c r="U663" s="109"/>
      <c r="V663" s="109"/>
      <c r="W663" s="109"/>
      <c r="X663" s="109"/>
      <c r="Y663" s="109"/>
      <c r="Z663" s="109"/>
    </row>
    <row r="664" ht="29.25" customHeight="1">
      <c r="A664" s="109"/>
      <c r="B664" s="109"/>
      <c r="C664" s="109"/>
      <c r="D664" s="109"/>
      <c r="E664" s="109"/>
      <c r="F664" s="109"/>
      <c r="G664" s="317"/>
      <c r="H664" s="109"/>
      <c r="I664" s="109"/>
      <c r="J664" s="109"/>
      <c r="K664" s="109"/>
      <c r="L664" s="109"/>
      <c r="M664" s="109"/>
      <c r="N664" s="109"/>
      <c r="O664" s="109"/>
      <c r="P664" s="109"/>
      <c r="Q664" s="109"/>
      <c r="R664" s="109"/>
      <c r="S664" s="109"/>
      <c r="T664" s="109"/>
      <c r="U664" s="109"/>
      <c r="V664" s="109"/>
      <c r="W664" s="109"/>
      <c r="X664" s="109"/>
      <c r="Y664" s="109"/>
      <c r="Z664" s="109"/>
    </row>
    <row r="665" ht="29.25" customHeight="1">
      <c r="A665" s="109"/>
      <c r="B665" s="109"/>
      <c r="C665" s="109"/>
      <c r="D665" s="109"/>
      <c r="E665" s="109"/>
      <c r="F665" s="109"/>
      <c r="G665" s="317"/>
      <c r="H665" s="109"/>
      <c r="I665" s="109"/>
      <c r="J665" s="109"/>
      <c r="K665" s="109"/>
      <c r="L665" s="109"/>
      <c r="M665" s="109"/>
      <c r="N665" s="109"/>
      <c r="O665" s="109"/>
      <c r="P665" s="109"/>
      <c r="Q665" s="109"/>
      <c r="R665" s="109"/>
      <c r="S665" s="109"/>
      <c r="T665" s="109"/>
      <c r="U665" s="109"/>
      <c r="V665" s="109"/>
      <c r="W665" s="109"/>
      <c r="X665" s="109"/>
      <c r="Y665" s="109"/>
      <c r="Z665" s="109"/>
    </row>
    <row r="666" ht="29.25" customHeight="1">
      <c r="A666" s="109"/>
      <c r="B666" s="109"/>
      <c r="C666" s="109"/>
      <c r="D666" s="109"/>
      <c r="E666" s="109"/>
      <c r="F666" s="109"/>
      <c r="G666" s="317"/>
      <c r="H666" s="109"/>
      <c r="I666" s="109"/>
      <c r="J666" s="109"/>
      <c r="K666" s="109"/>
      <c r="L666" s="109"/>
      <c r="M666" s="109"/>
      <c r="N666" s="109"/>
      <c r="O666" s="109"/>
      <c r="P666" s="109"/>
      <c r="Q666" s="109"/>
      <c r="R666" s="109"/>
      <c r="S666" s="109"/>
      <c r="T666" s="109"/>
      <c r="U666" s="109"/>
      <c r="V666" s="109"/>
      <c r="W666" s="109"/>
      <c r="X666" s="109"/>
      <c r="Y666" s="109"/>
      <c r="Z666" s="109"/>
    </row>
    <row r="667" ht="29.25" customHeight="1">
      <c r="A667" s="109"/>
      <c r="B667" s="109"/>
      <c r="C667" s="109"/>
      <c r="D667" s="109"/>
      <c r="E667" s="109"/>
      <c r="F667" s="109"/>
      <c r="G667" s="317"/>
      <c r="H667" s="109"/>
      <c r="I667" s="109"/>
      <c r="J667" s="109"/>
      <c r="K667" s="109"/>
      <c r="L667" s="109"/>
      <c r="M667" s="109"/>
      <c r="N667" s="109"/>
      <c r="O667" s="109"/>
      <c r="P667" s="109"/>
      <c r="Q667" s="109"/>
      <c r="R667" s="109"/>
      <c r="S667" s="109"/>
      <c r="T667" s="109"/>
      <c r="U667" s="109"/>
      <c r="V667" s="109"/>
      <c r="W667" s="109"/>
      <c r="X667" s="109"/>
      <c r="Y667" s="109"/>
      <c r="Z667" s="109"/>
    </row>
    <row r="668" ht="29.25" customHeight="1">
      <c r="A668" s="109"/>
      <c r="B668" s="109"/>
      <c r="C668" s="109"/>
      <c r="D668" s="109"/>
      <c r="E668" s="109"/>
      <c r="F668" s="109"/>
      <c r="G668" s="317"/>
      <c r="H668" s="109"/>
      <c r="I668" s="109"/>
      <c r="J668" s="109"/>
      <c r="K668" s="109"/>
      <c r="L668" s="109"/>
      <c r="M668" s="109"/>
      <c r="N668" s="109"/>
      <c r="O668" s="109"/>
      <c r="P668" s="109"/>
      <c r="Q668" s="109"/>
      <c r="R668" s="109"/>
      <c r="S668" s="109"/>
      <c r="T668" s="109"/>
      <c r="U668" s="109"/>
      <c r="V668" s="109"/>
      <c r="W668" s="109"/>
      <c r="X668" s="109"/>
      <c r="Y668" s="109"/>
      <c r="Z668" s="109"/>
    </row>
    <row r="669" ht="29.25" customHeight="1">
      <c r="A669" s="109"/>
      <c r="B669" s="109"/>
      <c r="C669" s="109"/>
      <c r="D669" s="109"/>
      <c r="E669" s="109"/>
      <c r="F669" s="109"/>
      <c r="G669" s="317"/>
      <c r="H669" s="109"/>
      <c r="I669" s="109"/>
      <c r="J669" s="109"/>
      <c r="K669" s="109"/>
      <c r="L669" s="109"/>
      <c r="M669" s="109"/>
      <c r="N669" s="109"/>
      <c r="O669" s="109"/>
      <c r="P669" s="109"/>
      <c r="Q669" s="109"/>
      <c r="R669" s="109"/>
      <c r="S669" s="109"/>
      <c r="T669" s="109"/>
      <c r="U669" s="109"/>
      <c r="V669" s="109"/>
      <c r="W669" s="109"/>
      <c r="X669" s="109"/>
      <c r="Y669" s="109"/>
      <c r="Z669" s="109"/>
    </row>
    <row r="670" ht="29.25" customHeight="1">
      <c r="A670" s="109"/>
      <c r="B670" s="109"/>
      <c r="C670" s="109"/>
      <c r="D670" s="109"/>
      <c r="E670" s="109"/>
      <c r="F670" s="109"/>
      <c r="G670" s="317"/>
      <c r="H670" s="109"/>
      <c r="I670" s="109"/>
      <c r="J670" s="109"/>
      <c r="K670" s="109"/>
      <c r="L670" s="109"/>
      <c r="M670" s="109"/>
      <c r="N670" s="109"/>
      <c r="O670" s="109"/>
      <c r="P670" s="109"/>
      <c r="Q670" s="109"/>
      <c r="R670" s="109"/>
      <c r="S670" s="109"/>
      <c r="T670" s="109"/>
      <c r="U670" s="109"/>
      <c r="V670" s="109"/>
      <c r="W670" s="109"/>
      <c r="X670" s="109"/>
      <c r="Y670" s="109"/>
      <c r="Z670" s="109"/>
    </row>
    <row r="671" ht="29.25" customHeight="1">
      <c r="A671" s="109"/>
      <c r="B671" s="109"/>
      <c r="C671" s="109"/>
      <c r="D671" s="109"/>
      <c r="E671" s="109"/>
      <c r="F671" s="109"/>
      <c r="G671" s="317"/>
      <c r="H671" s="109"/>
      <c r="I671" s="109"/>
      <c r="J671" s="109"/>
      <c r="K671" s="109"/>
      <c r="L671" s="109"/>
      <c r="M671" s="109"/>
      <c r="N671" s="109"/>
      <c r="O671" s="109"/>
      <c r="P671" s="109"/>
      <c r="Q671" s="109"/>
      <c r="R671" s="109"/>
      <c r="S671" s="109"/>
      <c r="T671" s="109"/>
      <c r="U671" s="109"/>
      <c r="V671" s="109"/>
      <c r="W671" s="109"/>
      <c r="X671" s="109"/>
      <c r="Y671" s="109"/>
      <c r="Z671" s="109"/>
    </row>
    <row r="672" ht="29.25" customHeight="1">
      <c r="A672" s="109"/>
      <c r="B672" s="109"/>
      <c r="C672" s="109"/>
      <c r="D672" s="109"/>
      <c r="E672" s="109"/>
      <c r="F672" s="109"/>
      <c r="G672" s="317"/>
      <c r="H672" s="109"/>
      <c r="I672" s="109"/>
      <c r="J672" s="109"/>
      <c r="K672" s="109"/>
      <c r="L672" s="109"/>
      <c r="M672" s="109"/>
      <c r="N672" s="109"/>
      <c r="O672" s="109"/>
      <c r="P672" s="109"/>
      <c r="Q672" s="109"/>
      <c r="R672" s="109"/>
      <c r="S672" s="109"/>
      <c r="T672" s="109"/>
      <c r="U672" s="109"/>
      <c r="V672" s="109"/>
      <c r="W672" s="109"/>
      <c r="X672" s="109"/>
      <c r="Y672" s="109"/>
      <c r="Z672" s="109"/>
    </row>
    <row r="673" ht="29.25" customHeight="1">
      <c r="A673" s="109"/>
      <c r="B673" s="109"/>
      <c r="C673" s="109"/>
      <c r="D673" s="109"/>
      <c r="E673" s="109"/>
      <c r="F673" s="109"/>
      <c r="G673" s="317"/>
      <c r="H673" s="109"/>
      <c r="I673" s="109"/>
      <c r="J673" s="109"/>
      <c r="K673" s="109"/>
      <c r="L673" s="109"/>
      <c r="M673" s="109"/>
      <c r="N673" s="109"/>
      <c r="O673" s="109"/>
      <c r="P673" s="109"/>
      <c r="Q673" s="109"/>
      <c r="R673" s="109"/>
      <c r="S673" s="109"/>
      <c r="T673" s="109"/>
      <c r="U673" s="109"/>
      <c r="V673" s="109"/>
      <c r="W673" s="109"/>
      <c r="X673" s="109"/>
      <c r="Y673" s="109"/>
      <c r="Z673" s="109"/>
    </row>
    <row r="674" ht="29.25" customHeight="1">
      <c r="A674" s="109"/>
      <c r="B674" s="109"/>
      <c r="C674" s="109"/>
      <c r="D674" s="109"/>
      <c r="E674" s="109"/>
      <c r="F674" s="109"/>
      <c r="G674" s="317"/>
      <c r="H674" s="109"/>
      <c r="I674" s="109"/>
      <c r="J674" s="109"/>
      <c r="K674" s="109"/>
      <c r="L674" s="109"/>
      <c r="M674" s="109"/>
      <c r="N674" s="109"/>
      <c r="O674" s="109"/>
      <c r="P674" s="109"/>
      <c r="Q674" s="109"/>
      <c r="R674" s="109"/>
      <c r="S674" s="109"/>
      <c r="T674" s="109"/>
      <c r="U674" s="109"/>
      <c r="V674" s="109"/>
      <c r="W674" s="109"/>
      <c r="X674" s="109"/>
      <c r="Y674" s="109"/>
      <c r="Z674" s="109"/>
    </row>
    <row r="675" ht="29.25" customHeight="1">
      <c r="A675" s="109"/>
      <c r="B675" s="109"/>
      <c r="C675" s="109"/>
      <c r="D675" s="109"/>
      <c r="E675" s="109"/>
      <c r="F675" s="109"/>
      <c r="G675" s="317"/>
      <c r="H675" s="109"/>
      <c r="I675" s="109"/>
      <c r="J675" s="109"/>
      <c r="K675" s="109"/>
      <c r="L675" s="109"/>
      <c r="M675" s="109"/>
      <c r="N675" s="109"/>
      <c r="O675" s="109"/>
      <c r="P675" s="109"/>
      <c r="Q675" s="109"/>
      <c r="R675" s="109"/>
      <c r="S675" s="109"/>
      <c r="T675" s="109"/>
      <c r="U675" s="109"/>
      <c r="V675" s="109"/>
      <c r="W675" s="109"/>
      <c r="X675" s="109"/>
      <c r="Y675" s="109"/>
      <c r="Z675" s="109"/>
    </row>
    <row r="676" ht="29.25" customHeight="1">
      <c r="A676" s="109"/>
      <c r="B676" s="109"/>
      <c r="C676" s="109"/>
      <c r="D676" s="109"/>
      <c r="E676" s="109"/>
      <c r="F676" s="109"/>
      <c r="G676" s="317"/>
      <c r="H676" s="109"/>
      <c r="I676" s="109"/>
      <c r="J676" s="109"/>
      <c r="K676" s="109"/>
      <c r="L676" s="109"/>
      <c r="M676" s="109"/>
      <c r="N676" s="109"/>
      <c r="O676" s="109"/>
      <c r="P676" s="109"/>
      <c r="Q676" s="109"/>
      <c r="R676" s="109"/>
      <c r="S676" s="109"/>
      <c r="T676" s="109"/>
      <c r="U676" s="109"/>
      <c r="V676" s="109"/>
      <c r="W676" s="109"/>
      <c r="X676" s="109"/>
      <c r="Y676" s="109"/>
      <c r="Z676" s="109"/>
    </row>
    <row r="677" ht="29.25" customHeight="1">
      <c r="A677" s="109"/>
      <c r="B677" s="109"/>
      <c r="C677" s="109"/>
      <c r="D677" s="109"/>
      <c r="E677" s="109"/>
      <c r="F677" s="109"/>
      <c r="G677" s="317"/>
      <c r="H677" s="109"/>
      <c r="I677" s="109"/>
      <c r="J677" s="109"/>
      <c r="K677" s="109"/>
      <c r="L677" s="109"/>
      <c r="M677" s="109"/>
      <c r="N677" s="109"/>
      <c r="O677" s="109"/>
      <c r="P677" s="109"/>
      <c r="Q677" s="109"/>
      <c r="R677" s="109"/>
      <c r="S677" s="109"/>
      <c r="T677" s="109"/>
      <c r="U677" s="109"/>
      <c r="V677" s="109"/>
      <c r="W677" s="109"/>
      <c r="X677" s="109"/>
      <c r="Y677" s="109"/>
      <c r="Z677" s="109"/>
    </row>
    <row r="678" ht="29.25" customHeight="1">
      <c r="A678" s="109"/>
      <c r="B678" s="109"/>
      <c r="C678" s="109"/>
      <c r="D678" s="109"/>
      <c r="E678" s="109"/>
      <c r="F678" s="109"/>
      <c r="G678" s="317"/>
      <c r="H678" s="109"/>
      <c r="I678" s="109"/>
      <c r="J678" s="109"/>
      <c r="K678" s="109"/>
      <c r="L678" s="109"/>
      <c r="M678" s="109"/>
      <c r="N678" s="109"/>
      <c r="O678" s="109"/>
      <c r="P678" s="109"/>
      <c r="Q678" s="109"/>
      <c r="R678" s="109"/>
      <c r="S678" s="109"/>
      <c r="T678" s="109"/>
      <c r="U678" s="109"/>
      <c r="V678" s="109"/>
      <c r="W678" s="109"/>
      <c r="X678" s="109"/>
      <c r="Y678" s="109"/>
      <c r="Z678" s="109"/>
    </row>
    <row r="679" ht="29.25" customHeight="1">
      <c r="A679" s="109"/>
      <c r="B679" s="109"/>
      <c r="C679" s="109"/>
      <c r="D679" s="109"/>
      <c r="E679" s="109"/>
      <c r="F679" s="109"/>
      <c r="G679" s="317"/>
      <c r="H679" s="109"/>
      <c r="I679" s="109"/>
      <c r="J679" s="109"/>
      <c r="K679" s="109"/>
      <c r="L679" s="109"/>
      <c r="M679" s="109"/>
      <c r="N679" s="109"/>
      <c r="O679" s="109"/>
      <c r="P679" s="109"/>
      <c r="Q679" s="109"/>
      <c r="R679" s="109"/>
      <c r="S679" s="109"/>
      <c r="T679" s="109"/>
      <c r="U679" s="109"/>
      <c r="V679" s="109"/>
      <c r="W679" s="109"/>
      <c r="X679" s="109"/>
      <c r="Y679" s="109"/>
      <c r="Z679" s="109"/>
    </row>
    <row r="680" ht="29.25" customHeight="1">
      <c r="A680" s="109"/>
      <c r="B680" s="109"/>
      <c r="C680" s="109"/>
      <c r="D680" s="109"/>
      <c r="E680" s="109"/>
      <c r="F680" s="109"/>
      <c r="G680" s="317"/>
      <c r="H680" s="109"/>
      <c r="I680" s="109"/>
      <c r="J680" s="109"/>
      <c r="K680" s="109"/>
      <c r="L680" s="109"/>
      <c r="M680" s="109"/>
      <c r="N680" s="109"/>
      <c r="O680" s="109"/>
      <c r="P680" s="109"/>
      <c r="Q680" s="109"/>
      <c r="R680" s="109"/>
      <c r="S680" s="109"/>
      <c r="T680" s="109"/>
      <c r="U680" s="109"/>
      <c r="V680" s="109"/>
      <c r="W680" s="109"/>
      <c r="X680" s="109"/>
      <c r="Y680" s="109"/>
      <c r="Z680" s="109"/>
    </row>
    <row r="681" ht="29.25" customHeight="1">
      <c r="A681" s="109"/>
      <c r="B681" s="109"/>
      <c r="C681" s="109"/>
      <c r="D681" s="109"/>
      <c r="E681" s="109"/>
      <c r="F681" s="109"/>
      <c r="G681" s="317"/>
      <c r="H681" s="109"/>
      <c r="I681" s="109"/>
      <c r="J681" s="109"/>
      <c r="K681" s="109"/>
      <c r="L681" s="109"/>
      <c r="M681" s="109"/>
      <c r="N681" s="109"/>
      <c r="O681" s="109"/>
      <c r="P681" s="109"/>
      <c r="Q681" s="109"/>
      <c r="R681" s="109"/>
      <c r="S681" s="109"/>
      <c r="T681" s="109"/>
      <c r="U681" s="109"/>
      <c r="V681" s="109"/>
      <c r="W681" s="109"/>
      <c r="X681" s="109"/>
      <c r="Y681" s="109"/>
      <c r="Z681" s="109"/>
    </row>
    <row r="682" ht="29.25" customHeight="1">
      <c r="A682" s="109"/>
      <c r="B682" s="109"/>
      <c r="C682" s="109"/>
      <c r="D682" s="109"/>
      <c r="E682" s="109"/>
      <c r="F682" s="109"/>
      <c r="G682" s="317"/>
      <c r="H682" s="109"/>
      <c r="I682" s="109"/>
      <c r="J682" s="109"/>
      <c r="K682" s="109"/>
      <c r="L682" s="109"/>
      <c r="M682" s="109"/>
      <c r="N682" s="109"/>
      <c r="O682" s="109"/>
      <c r="P682" s="109"/>
      <c r="Q682" s="109"/>
      <c r="R682" s="109"/>
      <c r="S682" s="109"/>
      <c r="T682" s="109"/>
      <c r="U682" s="109"/>
      <c r="V682" s="109"/>
      <c r="W682" s="109"/>
      <c r="X682" s="109"/>
      <c r="Y682" s="109"/>
      <c r="Z682" s="109"/>
    </row>
    <row r="683" ht="29.25" customHeight="1">
      <c r="A683" s="109"/>
      <c r="B683" s="109"/>
      <c r="C683" s="109"/>
      <c r="D683" s="109"/>
      <c r="E683" s="109"/>
      <c r="F683" s="109"/>
      <c r="G683" s="317"/>
      <c r="H683" s="109"/>
      <c r="I683" s="109"/>
      <c r="J683" s="109"/>
      <c r="K683" s="109"/>
      <c r="L683" s="109"/>
      <c r="M683" s="109"/>
      <c r="N683" s="109"/>
      <c r="O683" s="109"/>
      <c r="P683" s="109"/>
      <c r="Q683" s="109"/>
      <c r="R683" s="109"/>
      <c r="S683" s="109"/>
      <c r="T683" s="109"/>
      <c r="U683" s="109"/>
      <c r="V683" s="109"/>
      <c r="W683" s="109"/>
      <c r="X683" s="109"/>
      <c r="Y683" s="109"/>
      <c r="Z683" s="109"/>
    </row>
    <row r="684" ht="29.25" customHeight="1">
      <c r="A684" s="109"/>
      <c r="B684" s="109"/>
      <c r="C684" s="109"/>
      <c r="D684" s="109"/>
      <c r="E684" s="109"/>
      <c r="F684" s="109"/>
      <c r="G684" s="317"/>
      <c r="H684" s="109"/>
      <c r="I684" s="109"/>
      <c r="J684" s="109"/>
      <c r="K684" s="109"/>
      <c r="L684" s="109"/>
      <c r="M684" s="109"/>
      <c r="N684" s="109"/>
      <c r="O684" s="109"/>
      <c r="P684" s="109"/>
      <c r="Q684" s="109"/>
      <c r="R684" s="109"/>
      <c r="S684" s="109"/>
      <c r="T684" s="109"/>
      <c r="U684" s="109"/>
      <c r="V684" s="109"/>
      <c r="W684" s="109"/>
      <c r="X684" s="109"/>
      <c r="Y684" s="109"/>
      <c r="Z684" s="109"/>
    </row>
    <row r="685" ht="29.25" customHeight="1">
      <c r="A685" s="109"/>
      <c r="B685" s="109"/>
      <c r="C685" s="109"/>
      <c r="D685" s="109"/>
      <c r="E685" s="109"/>
      <c r="F685" s="109"/>
      <c r="G685" s="317"/>
      <c r="H685" s="109"/>
      <c r="I685" s="109"/>
      <c r="J685" s="109"/>
      <c r="K685" s="109"/>
      <c r="L685" s="109"/>
      <c r="M685" s="109"/>
      <c r="N685" s="109"/>
      <c r="O685" s="109"/>
      <c r="P685" s="109"/>
      <c r="Q685" s="109"/>
      <c r="R685" s="109"/>
      <c r="S685" s="109"/>
      <c r="T685" s="109"/>
      <c r="U685" s="109"/>
      <c r="V685" s="109"/>
      <c r="W685" s="109"/>
      <c r="X685" s="109"/>
      <c r="Y685" s="109"/>
      <c r="Z685" s="109"/>
    </row>
    <row r="686" ht="29.25" customHeight="1">
      <c r="A686" s="109"/>
      <c r="B686" s="109"/>
      <c r="C686" s="109"/>
      <c r="D686" s="109"/>
      <c r="E686" s="109"/>
      <c r="F686" s="109"/>
      <c r="G686" s="317"/>
      <c r="H686" s="109"/>
      <c r="I686" s="109"/>
      <c r="J686" s="109"/>
      <c r="K686" s="109"/>
      <c r="L686" s="109"/>
      <c r="M686" s="109"/>
      <c r="N686" s="109"/>
      <c r="O686" s="109"/>
      <c r="P686" s="109"/>
      <c r="Q686" s="109"/>
      <c r="R686" s="109"/>
      <c r="S686" s="109"/>
      <c r="T686" s="109"/>
      <c r="U686" s="109"/>
      <c r="V686" s="109"/>
      <c r="W686" s="109"/>
      <c r="X686" s="109"/>
      <c r="Y686" s="109"/>
      <c r="Z686" s="109"/>
    </row>
    <row r="687" ht="29.25" customHeight="1">
      <c r="A687" s="109"/>
      <c r="B687" s="109"/>
      <c r="C687" s="109"/>
      <c r="D687" s="109"/>
      <c r="E687" s="109"/>
      <c r="F687" s="109"/>
      <c r="G687" s="317"/>
      <c r="H687" s="109"/>
      <c r="I687" s="109"/>
      <c r="J687" s="109"/>
      <c r="K687" s="109"/>
      <c r="L687" s="109"/>
      <c r="M687" s="109"/>
      <c r="N687" s="109"/>
      <c r="O687" s="109"/>
      <c r="P687" s="109"/>
      <c r="Q687" s="109"/>
      <c r="R687" s="109"/>
      <c r="S687" s="109"/>
      <c r="T687" s="109"/>
      <c r="U687" s="109"/>
      <c r="V687" s="109"/>
      <c r="W687" s="109"/>
      <c r="X687" s="109"/>
      <c r="Y687" s="109"/>
      <c r="Z687" s="109"/>
    </row>
    <row r="688" ht="29.25" customHeight="1">
      <c r="A688" s="109"/>
      <c r="B688" s="109"/>
      <c r="C688" s="109"/>
      <c r="D688" s="109"/>
      <c r="E688" s="109"/>
      <c r="F688" s="109"/>
      <c r="G688" s="317"/>
      <c r="H688" s="109"/>
      <c r="I688" s="109"/>
      <c r="J688" s="109"/>
      <c r="K688" s="109"/>
      <c r="L688" s="109"/>
      <c r="M688" s="109"/>
      <c r="N688" s="109"/>
      <c r="O688" s="109"/>
      <c r="P688" s="109"/>
      <c r="Q688" s="109"/>
      <c r="R688" s="109"/>
      <c r="S688" s="109"/>
      <c r="T688" s="109"/>
      <c r="U688" s="109"/>
      <c r="V688" s="109"/>
      <c r="W688" s="109"/>
      <c r="X688" s="109"/>
      <c r="Y688" s="109"/>
      <c r="Z688" s="109"/>
    </row>
    <row r="689" ht="29.25" customHeight="1">
      <c r="A689" s="109"/>
      <c r="B689" s="109"/>
      <c r="C689" s="109"/>
      <c r="D689" s="109"/>
      <c r="E689" s="109"/>
      <c r="F689" s="109"/>
      <c r="G689" s="317"/>
      <c r="H689" s="109"/>
      <c r="I689" s="109"/>
      <c r="J689" s="109"/>
      <c r="K689" s="109"/>
      <c r="L689" s="109"/>
      <c r="M689" s="109"/>
      <c r="N689" s="109"/>
      <c r="O689" s="109"/>
      <c r="P689" s="109"/>
      <c r="Q689" s="109"/>
      <c r="R689" s="109"/>
      <c r="S689" s="109"/>
      <c r="T689" s="109"/>
      <c r="U689" s="109"/>
      <c r="V689" s="109"/>
      <c r="W689" s="109"/>
      <c r="X689" s="109"/>
      <c r="Y689" s="109"/>
      <c r="Z689" s="109"/>
    </row>
    <row r="690" ht="29.25" customHeight="1">
      <c r="A690" s="109"/>
      <c r="B690" s="109"/>
      <c r="C690" s="109"/>
      <c r="D690" s="109"/>
      <c r="E690" s="109"/>
      <c r="F690" s="109"/>
      <c r="G690" s="317"/>
      <c r="H690" s="109"/>
      <c r="I690" s="109"/>
      <c r="J690" s="109"/>
      <c r="K690" s="109"/>
      <c r="L690" s="109"/>
      <c r="M690" s="109"/>
      <c r="N690" s="109"/>
      <c r="O690" s="109"/>
      <c r="P690" s="109"/>
      <c r="Q690" s="109"/>
      <c r="R690" s="109"/>
      <c r="S690" s="109"/>
      <c r="T690" s="109"/>
      <c r="U690" s="109"/>
      <c r="V690" s="109"/>
      <c r="W690" s="109"/>
      <c r="X690" s="109"/>
      <c r="Y690" s="109"/>
      <c r="Z690" s="109"/>
    </row>
    <row r="691" ht="29.25" customHeight="1">
      <c r="A691" s="109"/>
      <c r="B691" s="109"/>
      <c r="C691" s="109"/>
      <c r="D691" s="109"/>
      <c r="E691" s="109"/>
      <c r="F691" s="109"/>
      <c r="G691" s="317"/>
      <c r="H691" s="109"/>
      <c r="I691" s="109"/>
      <c r="J691" s="109"/>
      <c r="K691" s="109"/>
      <c r="L691" s="109"/>
      <c r="M691" s="109"/>
      <c r="N691" s="109"/>
      <c r="O691" s="109"/>
      <c r="P691" s="109"/>
      <c r="Q691" s="109"/>
      <c r="R691" s="109"/>
      <c r="S691" s="109"/>
      <c r="T691" s="109"/>
      <c r="U691" s="109"/>
      <c r="V691" s="109"/>
      <c r="W691" s="109"/>
      <c r="X691" s="109"/>
      <c r="Y691" s="109"/>
      <c r="Z691" s="109"/>
    </row>
    <row r="692" ht="29.25" customHeight="1">
      <c r="A692" s="109"/>
      <c r="B692" s="109"/>
      <c r="C692" s="109"/>
      <c r="D692" s="109"/>
      <c r="E692" s="109"/>
      <c r="F692" s="109"/>
      <c r="G692" s="317"/>
      <c r="H692" s="109"/>
      <c r="I692" s="109"/>
      <c r="J692" s="109"/>
      <c r="K692" s="109"/>
      <c r="L692" s="109"/>
      <c r="M692" s="109"/>
      <c r="N692" s="109"/>
      <c r="O692" s="109"/>
      <c r="P692" s="109"/>
      <c r="Q692" s="109"/>
      <c r="R692" s="109"/>
      <c r="S692" s="109"/>
      <c r="T692" s="109"/>
      <c r="U692" s="109"/>
      <c r="V692" s="109"/>
      <c r="W692" s="109"/>
      <c r="X692" s="109"/>
      <c r="Y692" s="109"/>
      <c r="Z692" s="109"/>
    </row>
    <row r="693" ht="29.25" customHeight="1">
      <c r="A693" s="109"/>
      <c r="B693" s="109"/>
      <c r="C693" s="109"/>
      <c r="D693" s="109"/>
      <c r="E693" s="109"/>
      <c r="F693" s="109"/>
      <c r="G693" s="317"/>
      <c r="H693" s="109"/>
      <c r="I693" s="109"/>
      <c r="J693" s="109"/>
      <c r="K693" s="109"/>
      <c r="L693" s="109"/>
      <c r="M693" s="109"/>
      <c r="N693" s="109"/>
      <c r="O693" s="109"/>
      <c r="P693" s="109"/>
      <c r="Q693" s="109"/>
      <c r="R693" s="109"/>
      <c r="S693" s="109"/>
      <c r="T693" s="109"/>
      <c r="U693" s="109"/>
      <c r="V693" s="109"/>
      <c r="W693" s="109"/>
      <c r="X693" s="109"/>
      <c r="Y693" s="109"/>
      <c r="Z693" s="109"/>
    </row>
    <row r="694" ht="29.25" customHeight="1">
      <c r="A694" s="109"/>
      <c r="B694" s="109"/>
      <c r="C694" s="109"/>
      <c r="D694" s="109"/>
      <c r="E694" s="109"/>
      <c r="F694" s="109"/>
      <c r="G694" s="317"/>
      <c r="H694" s="109"/>
      <c r="I694" s="109"/>
      <c r="J694" s="109"/>
      <c r="K694" s="109"/>
      <c r="L694" s="109"/>
      <c r="M694" s="109"/>
      <c r="N694" s="109"/>
      <c r="O694" s="109"/>
      <c r="P694" s="109"/>
      <c r="Q694" s="109"/>
      <c r="R694" s="109"/>
      <c r="S694" s="109"/>
      <c r="T694" s="109"/>
      <c r="U694" s="109"/>
      <c r="V694" s="109"/>
      <c r="W694" s="109"/>
      <c r="X694" s="109"/>
      <c r="Y694" s="109"/>
      <c r="Z694" s="109"/>
    </row>
    <row r="695" ht="29.25" customHeight="1">
      <c r="A695" s="109"/>
      <c r="B695" s="109"/>
      <c r="C695" s="109"/>
      <c r="D695" s="109"/>
      <c r="E695" s="109"/>
      <c r="F695" s="109"/>
      <c r="G695" s="317"/>
      <c r="H695" s="109"/>
      <c r="I695" s="109"/>
      <c r="J695" s="109"/>
      <c r="K695" s="109"/>
      <c r="L695" s="109"/>
      <c r="M695" s="109"/>
      <c r="N695" s="109"/>
      <c r="O695" s="109"/>
      <c r="P695" s="109"/>
      <c r="Q695" s="109"/>
      <c r="R695" s="109"/>
      <c r="S695" s="109"/>
      <c r="T695" s="109"/>
      <c r="U695" s="109"/>
      <c r="V695" s="109"/>
      <c r="W695" s="109"/>
      <c r="X695" s="109"/>
      <c r="Y695" s="109"/>
      <c r="Z695" s="109"/>
    </row>
    <row r="696" ht="29.25" customHeight="1">
      <c r="A696" s="109"/>
      <c r="B696" s="109"/>
      <c r="C696" s="109"/>
      <c r="D696" s="109"/>
      <c r="E696" s="109"/>
      <c r="F696" s="109"/>
      <c r="G696" s="317"/>
      <c r="H696" s="109"/>
      <c r="I696" s="109"/>
      <c r="J696" s="109"/>
      <c r="K696" s="109"/>
      <c r="L696" s="109"/>
      <c r="M696" s="109"/>
      <c r="N696" s="109"/>
      <c r="O696" s="109"/>
      <c r="P696" s="109"/>
      <c r="Q696" s="109"/>
      <c r="R696" s="109"/>
      <c r="S696" s="109"/>
      <c r="T696" s="109"/>
      <c r="U696" s="109"/>
      <c r="V696" s="109"/>
      <c r="W696" s="109"/>
      <c r="X696" s="109"/>
      <c r="Y696" s="109"/>
      <c r="Z696" s="109"/>
    </row>
    <row r="697" ht="29.25" customHeight="1">
      <c r="A697" s="109"/>
      <c r="B697" s="109"/>
      <c r="C697" s="109"/>
      <c r="D697" s="109"/>
      <c r="E697" s="109"/>
      <c r="F697" s="109"/>
      <c r="G697" s="317"/>
      <c r="H697" s="109"/>
      <c r="I697" s="109"/>
      <c r="J697" s="109"/>
      <c r="K697" s="109"/>
      <c r="L697" s="109"/>
      <c r="M697" s="109"/>
      <c r="N697" s="109"/>
      <c r="O697" s="109"/>
      <c r="P697" s="109"/>
      <c r="Q697" s="109"/>
      <c r="R697" s="109"/>
      <c r="S697" s="109"/>
      <c r="T697" s="109"/>
      <c r="U697" s="109"/>
      <c r="V697" s="109"/>
      <c r="W697" s="109"/>
      <c r="X697" s="109"/>
      <c r="Y697" s="109"/>
      <c r="Z697" s="109"/>
    </row>
    <row r="698" ht="29.25" customHeight="1">
      <c r="A698" s="109"/>
      <c r="B698" s="109"/>
      <c r="C698" s="109"/>
      <c r="D698" s="109"/>
      <c r="E698" s="109"/>
      <c r="F698" s="109"/>
      <c r="G698" s="317"/>
      <c r="H698" s="109"/>
      <c r="I698" s="109"/>
      <c r="J698" s="109"/>
      <c r="K698" s="109"/>
      <c r="L698" s="109"/>
      <c r="M698" s="109"/>
      <c r="N698" s="109"/>
      <c r="O698" s="109"/>
      <c r="P698" s="109"/>
      <c r="Q698" s="109"/>
      <c r="R698" s="109"/>
      <c r="S698" s="109"/>
      <c r="T698" s="109"/>
      <c r="U698" s="109"/>
      <c r="V698" s="109"/>
      <c r="W698" s="109"/>
      <c r="X698" s="109"/>
      <c r="Y698" s="109"/>
      <c r="Z698" s="109"/>
    </row>
    <row r="699" ht="29.25" customHeight="1">
      <c r="A699" s="109"/>
      <c r="B699" s="109"/>
      <c r="C699" s="109"/>
      <c r="D699" s="109"/>
      <c r="E699" s="109"/>
      <c r="F699" s="109"/>
      <c r="G699" s="317"/>
      <c r="H699" s="109"/>
      <c r="I699" s="109"/>
      <c r="J699" s="109"/>
      <c r="K699" s="109"/>
      <c r="L699" s="109"/>
      <c r="M699" s="109"/>
      <c r="N699" s="109"/>
      <c r="O699" s="109"/>
      <c r="P699" s="109"/>
      <c r="Q699" s="109"/>
      <c r="R699" s="109"/>
      <c r="S699" s="109"/>
      <c r="T699" s="109"/>
      <c r="U699" s="109"/>
      <c r="V699" s="109"/>
      <c r="W699" s="109"/>
      <c r="X699" s="109"/>
      <c r="Y699" s="109"/>
      <c r="Z699" s="109"/>
    </row>
    <row r="700" ht="29.25" customHeight="1">
      <c r="A700" s="109"/>
      <c r="B700" s="109"/>
      <c r="C700" s="109"/>
      <c r="D700" s="109"/>
      <c r="E700" s="109"/>
      <c r="F700" s="109"/>
      <c r="G700" s="317"/>
      <c r="H700" s="109"/>
      <c r="I700" s="109"/>
      <c r="J700" s="109"/>
      <c r="K700" s="109"/>
      <c r="L700" s="109"/>
      <c r="M700" s="109"/>
      <c r="N700" s="109"/>
      <c r="O700" s="109"/>
      <c r="P700" s="109"/>
      <c r="Q700" s="109"/>
      <c r="R700" s="109"/>
      <c r="S700" s="109"/>
      <c r="T700" s="109"/>
      <c r="U700" s="109"/>
      <c r="V700" s="109"/>
      <c r="W700" s="109"/>
      <c r="X700" s="109"/>
      <c r="Y700" s="109"/>
      <c r="Z700" s="109"/>
    </row>
    <row r="701" ht="29.25" customHeight="1">
      <c r="A701" s="109"/>
      <c r="B701" s="109"/>
      <c r="C701" s="109"/>
      <c r="D701" s="109"/>
      <c r="E701" s="109"/>
      <c r="F701" s="109"/>
      <c r="G701" s="317"/>
      <c r="H701" s="109"/>
      <c r="I701" s="109"/>
      <c r="J701" s="109"/>
      <c r="K701" s="109"/>
      <c r="L701" s="109"/>
      <c r="M701" s="109"/>
      <c r="N701" s="109"/>
      <c r="O701" s="109"/>
      <c r="P701" s="109"/>
      <c r="Q701" s="109"/>
      <c r="R701" s="109"/>
      <c r="S701" s="109"/>
      <c r="T701" s="109"/>
      <c r="U701" s="109"/>
      <c r="V701" s="109"/>
      <c r="W701" s="109"/>
      <c r="X701" s="109"/>
      <c r="Y701" s="109"/>
      <c r="Z701" s="109"/>
    </row>
    <row r="702" ht="29.25" customHeight="1">
      <c r="A702" s="109"/>
      <c r="B702" s="109"/>
      <c r="C702" s="109"/>
      <c r="D702" s="109"/>
      <c r="E702" s="109"/>
      <c r="F702" s="109"/>
      <c r="G702" s="317"/>
      <c r="H702" s="109"/>
      <c r="I702" s="109"/>
      <c r="J702" s="109"/>
      <c r="K702" s="109"/>
      <c r="L702" s="109"/>
      <c r="M702" s="109"/>
      <c r="N702" s="109"/>
      <c r="O702" s="109"/>
      <c r="P702" s="109"/>
      <c r="Q702" s="109"/>
      <c r="R702" s="109"/>
      <c r="S702" s="109"/>
      <c r="T702" s="109"/>
      <c r="U702" s="109"/>
      <c r="V702" s="109"/>
      <c r="W702" s="109"/>
      <c r="X702" s="109"/>
      <c r="Y702" s="109"/>
      <c r="Z702" s="109"/>
    </row>
    <row r="703" ht="29.25" customHeight="1">
      <c r="A703" s="109"/>
      <c r="B703" s="109"/>
      <c r="C703" s="109"/>
      <c r="D703" s="109"/>
      <c r="E703" s="109"/>
      <c r="F703" s="109"/>
      <c r="G703" s="317"/>
      <c r="H703" s="109"/>
      <c r="I703" s="109"/>
      <c r="J703" s="109"/>
      <c r="K703" s="109"/>
      <c r="L703" s="109"/>
      <c r="M703" s="109"/>
      <c r="N703" s="109"/>
      <c r="O703" s="109"/>
      <c r="P703" s="109"/>
      <c r="Q703" s="109"/>
      <c r="R703" s="109"/>
      <c r="S703" s="109"/>
      <c r="T703" s="109"/>
      <c r="U703" s="109"/>
      <c r="V703" s="109"/>
      <c r="W703" s="109"/>
      <c r="X703" s="109"/>
      <c r="Y703" s="109"/>
      <c r="Z703" s="109"/>
    </row>
    <row r="704" ht="29.25" customHeight="1">
      <c r="A704" s="109"/>
      <c r="B704" s="109"/>
      <c r="C704" s="109"/>
      <c r="D704" s="109"/>
      <c r="E704" s="109"/>
      <c r="F704" s="109"/>
      <c r="G704" s="317"/>
      <c r="H704" s="109"/>
      <c r="I704" s="109"/>
      <c r="J704" s="109"/>
      <c r="K704" s="109"/>
      <c r="L704" s="109"/>
      <c r="M704" s="109"/>
      <c r="N704" s="109"/>
      <c r="O704" s="109"/>
      <c r="P704" s="109"/>
      <c r="Q704" s="109"/>
      <c r="R704" s="109"/>
      <c r="S704" s="109"/>
      <c r="T704" s="109"/>
      <c r="U704" s="109"/>
      <c r="V704" s="109"/>
      <c r="W704" s="109"/>
      <c r="X704" s="109"/>
      <c r="Y704" s="109"/>
      <c r="Z704" s="109"/>
    </row>
    <row r="705" ht="29.25" customHeight="1">
      <c r="A705" s="109"/>
      <c r="B705" s="109"/>
      <c r="C705" s="109"/>
      <c r="D705" s="109"/>
      <c r="E705" s="109"/>
      <c r="F705" s="109"/>
      <c r="G705" s="317"/>
      <c r="H705" s="109"/>
      <c r="I705" s="109"/>
      <c r="J705" s="109"/>
      <c r="K705" s="109"/>
      <c r="L705" s="109"/>
      <c r="M705" s="109"/>
      <c r="N705" s="109"/>
      <c r="O705" s="109"/>
      <c r="P705" s="109"/>
      <c r="Q705" s="109"/>
      <c r="R705" s="109"/>
      <c r="S705" s="109"/>
      <c r="T705" s="109"/>
      <c r="U705" s="109"/>
      <c r="V705" s="109"/>
      <c r="W705" s="109"/>
      <c r="X705" s="109"/>
      <c r="Y705" s="109"/>
      <c r="Z705" s="109"/>
    </row>
    <row r="706" ht="29.25" customHeight="1">
      <c r="A706" s="109"/>
      <c r="B706" s="109"/>
      <c r="C706" s="109"/>
      <c r="D706" s="109"/>
      <c r="E706" s="109"/>
      <c r="F706" s="109"/>
      <c r="G706" s="317"/>
      <c r="H706" s="109"/>
      <c r="I706" s="109"/>
      <c r="J706" s="109"/>
      <c r="K706" s="109"/>
      <c r="L706" s="109"/>
      <c r="M706" s="109"/>
      <c r="N706" s="109"/>
      <c r="O706" s="109"/>
      <c r="P706" s="109"/>
      <c r="Q706" s="109"/>
      <c r="R706" s="109"/>
      <c r="S706" s="109"/>
      <c r="T706" s="109"/>
      <c r="U706" s="109"/>
      <c r="V706" s="109"/>
      <c r="W706" s="109"/>
      <c r="X706" s="109"/>
      <c r="Y706" s="109"/>
      <c r="Z706" s="109"/>
    </row>
    <row r="707" ht="29.25" customHeight="1">
      <c r="A707" s="109"/>
      <c r="B707" s="109"/>
      <c r="C707" s="109"/>
      <c r="D707" s="109"/>
      <c r="E707" s="109"/>
      <c r="F707" s="109"/>
      <c r="G707" s="317"/>
      <c r="H707" s="109"/>
      <c r="I707" s="109"/>
      <c r="J707" s="109"/>
      <c r="K707" s="109"/>
      <c r="L707" s="109"/>
      <c r="M707" s="109"/>
      <c r="N707" s="109"/>
      <c r="O707" s="109"/>
      <c r="P707" s="109"/>
      <c r="Q707" s="109"/>
      <c r="R707" s="109"/>
      <c r="S707" s="109"/>
      <c r="T707" s="109"/>
      <c r="U707" s="109"/>
      <c r="V707" s="109"/>
      <c r="W707" s="109"/>
      <c r="X707" s="109"/>
      <c r="Y707" s="109"/>
      <c r="Z707" s="109"/>
    </row>
    <row r="708" ht="29.25" customHeight="1">
      <c r="A708" s="109"/>
      <c r="B708" s="109"/>
      <c r="C708" s="109"/>
      <c r="D708" s="109"/>
      <c r="E708" s="109"/>
      <c r="F708" s="109"/>
      <c r="G708" s="317"/>
      <c r="H708" s="109"/>
      <c r="I708" s="109"/>
      <c r="J708" s="109"/>
      <c r="K708" s="109"/>
      <c r="L708" s="109"/>
      <c r="M708" s="109"/>
      <c r="N708" s="109"/>
      <c r="O708" s="109"/>
      <c r="P708" s="109"/>
      <c r="Q708" s="109"/>
      <c r="R708" s="109"/>
      <c r="S708" s="109"/>
      <c r="T708" s="109"/>
      <c r="U708" s="109"/>
      <c r="V708" s="109"/>
      <c r="W708" s="109"/>
      <c r="X708" s="109"/>
      <c r="Y708" s="109"/>
      <c r="Z708" s="109"/>
    </row>
    <row r="709" ht="29.25" customHeight="1">
      <c r="A709" s="109"/>
      <c r="B709" s="109"/>
      <c r="C709" s="109"/>
      <c r="D709" s="109"/>
      <c r="E709" s="109"/>
      <c r="F709" s="109"/>
      <c r="G709" s="317"/>
      <c r="H709" s="109"/>
      <c r="I709" s="109"/>
      <c r="J709" s="109"/>
      <c r="K709" s="109"/>
      <c r="L709" s="109"/>
      <c r="M709" s="109"/>
      <c r="N709" s="109"/>
      <c r="O709" s="109"/>
      <c r="P709" s="109"/>
      <c r="Q709" s="109"/>
      <c r="R709" s="109"/>
      <c r="S709" s="109"/>
      <c r="T709" s="109"/>
      <c r="U709" s="109"/>
      <c r="V709" s="109"/>
      <c r="W709" s="109"/>
      <c r="X709" s="109"/>
      <c r="Y709" s="109"/>
      <c r="Z709" s="109"/>
    </row>
    <row r="710" ht="29.25" customHeight="1">
      <c r="A710" s="109"/>
      <c r="B710" s="109"/>
      <c r="C710" s="109"/>
      <c r="D710" s="109"/>
      <c r="E710" s="109"/>
      <c r="F710" s="109"/>
      <c r="G710" s="317"/>
      <c r="H710" s="109"/>
      <c r="I710" s="109"/>
      <c r="J710" s="109"/>
      <c r="K710" s="109"/>
      <c r="L710" s="109"/>
      <c r="M710" s="109"/>
      <c r="N710" s="109"/>
      <c r="O710" s="109"/>
      <c r="P710" s="109"/>
      <c r="Q710" s="109"/>
      <c r="R710" s="109"/>
      <c r="S710" s="109"/>
      <c r="T710" s="109"/>
      <c r="U710" s="109"/>
      <c r="V710" s="109"/>
      <c r="W710" s="109"/>
      <c r="X710" s="109"/>
      <c r="Y710" s="109"/>
      <c r="Z710" s="109"/>
    </row>
    <row r="711" ht="29.25" customHeight="1">
      <c r="A711" s="109"/>
      <c r="B711" s="109"/>
      <c r="C711" s="109"/>
      <c r="D711" s="109"/>
      <c r="E711" s="109"/>
      <c r="F711" s="109"/>
      <c r="G711" s="317"/>
      <c r="H711" s="109"/>
      <c r="I711" s="109"/>
      <c r="J711" s="109"/>
      <c r="K711" s="109"/>
      <c r="L711" s="109"/>
      <c r="M711" s="109"/>
      <c r="N711" s="109"/>
      <c r="O711" s="109"/>
      <c r="P711" s="109"/>
      <c r="Q711" s="109"/>
      <c r="R711" s="109"/>
      <c r="S711" s="109"/>
      <c r="T711" s="109"/>
      <c r="U711" s="109"/>
      <c r="V711" s="109"/>
      <c r="W711" s="109"/>
      <c r="X711" s="109"/>
      <c r="Y711" s="109"/>
      <c r="Z711" s="109"/>
    </row>
    <row r="712" ht="29.25" customHeight="1">
      <c r="A712" s="109"/>
      <c r="B712" s="109"/>
      <c r="C712" s="109"/>
      <c r="D712" s="109"/>
      <c r="E712" s="109"/>
      <c r="F712" s="109"/>
      <c r="G712" s="317"/>
      <c r="H712" s="109"/>
      <c r="I712" s="109"/>
      <c r="J712" s="109"/>
      <c r="K712" s="109"/>
      <c r="L712" s="109"/>
      <c r="M712" s="109"/>
      <c r="N712" s="109"/>
      <c r="O712" s="109"/>
      <c r="P712" s="109"/>
      <c r="Q712" s="109"/>
      <c r="R712" s="109"/>
      <c r="S712" s="109"/>
      <c r="T712" s="109"/>
      <c r="U712" s="109"/>
      <c r="V712" s="109"/>
      <c r="W712" s="109"/>
      <c r="X712" s="109"/>
      <c r="Y712" s="109"/>
      <c r="Z712" s="109"/>
    </row>
    <row r="713" ht="29.25" customHeight="1">
      <c r="A713" s="109"/>
      <c r="B713" s="109"/>
      <c r="C713" s="109"/>
      <c r="D713" s="109"/>
      <c r="E713" s="109"/>
      <c r="F713" s="109"/>
      <c r="G713" s="317"/>
      <c r="H713" s="109"/>
      <c r="I713" s="109"/>
      <c r="J713" s="109"/>
      <c r="K713" s="109"/>
      <c r="L713" s="109"/>
      <c r="M713" s="109"/>
      <c r="N713" s="109"/>
      <c r="O713" s="109"/>
      <c r="P713" s="109"/>
      <c r="Q713" s="109"/>
      <c r="R713" s="109"/>
      <c r="S713" s="109"/>
      <c r="T713" s="109"/>
      <c r="U713" s="109"/>
      <c r="V713" s="109"/>
      <c r="W713" s="109"/>
      <c r="X713" s="109"/>
      <c r="Y713" s="109"/>
      <c r="Z713" s="109"/>
    </row>
    <row r="714" ht="29.25" customHeight="1">
      <c r="A714" s="109"/>
      <c r="B714" s="109"/>
      <c r="C714" s="109"/>
      <c r="D714" s="109"/>
      <c r="E714" s="109"/>
      <c r="F714" s="109"/>
      <c r="G714" s="317"/>
      <c r="H714" s="109"/>
      <c r="I714" s="109"/>
      <c r="J714" s="109"/>
      <c r="K714" s="109"/>
      <c r="L714" s="109"/>
      <c r="M714" s="109"/>
      <c r="N714" s="109"/>
      <c r="O714" s="109"/>
      <c r="P714" s="109"/>
      <c r="Q714" s="109"/>
      <c r="R714" s="109"/>
      <c r="S714" s="109"/>
      <c r="T714" s="109"/>
      <c r="U714" s="109"/>
      <c r="V714" s="109"/>
      <c r="W714" s="109"/>
      <c r="X714" s="109"/>
      <c r="Y714" s="109"/>
      <c r="Z714" s="109"/>
    </row>
    <row r="715" ht="29.25" customHeight="1">
      <c r="A715" s="109"/>
      <c r="B715" s="109"/>
      <c r="C715" s="109"/>
      <c r="D715" s="109"/>
      <c r="E715" s="109"/>
      <c r="F715" s="109"/>
      <c r="G715" s="317"/>
      <c r="H715" s="109"/>
      <c r="I715" s="109"/>
      <c r="J715" s="109"/>
      <c r="K715" s="109"/>
      <c r="L715" s="109"/>
      <c r="M715" s="109"/>
      <c r="N715" s="109"/>
      <c r="O715" s="109"/>
      <c r="P715" s="109"/>
      <c r="Q715" s="109"/>
      <c r="R715" s="109"/>
      <c r="S715" s="109"/>
      <c r="T715" s="109"/>
      <c r="U715" s="109"/>
      <c r="V715" s="109"/>
      <c r="W715" s="109"/>
      <c r="X715" s="109"/>
      <c r="Y715" s="109"/>
      <c r="Z715" s="109"/>
    </row>
    <row r="716" ht="29.25" customHeight="1">
      <c r="A716" s="109"/>
      <c r="B716" s="109"/>
      <c r="C716" s="109"/>
      <c r="D716" s="109"/>
      <c r="E716" s="109"/>
      <c r="F716" s="109"/>
      <c r="G716" s="317"/>
      <c r="H716" s="109"/>
      <c r="I716" s="109"/>
      <c r="J716" s="109"/>
      <c r="K716" s="109"/>
      <c r="L716" s="109"/>
      <c r="M716" s="109"/>
      <c r="N716" s="109"/>
      <c r="O716" s="109"/>
      <c r="P716" s="109"/>
      <c r="Q716" s="109"/>
      <c r="R716" s="109"/>
      <c r="S716" s="109"/>
      <c r="T716" s="109"/>
      <c r="U716" s="109"/>
      <c r="V716" s="109"/>
      <c r="W716" s="109"/>
      <c r="X716" s="109"/>
      <c r="Y716" s="109"/>
      <c r="Z716" s="109"/>
    </row>
    <row r="717" ht="29.25" customHeight="1">
      <c r="A717" s="109"/>
      <c r="B717" s="109"/>
      <c r="C717" s="109"/>
      <c r="D717" s="109"/>
      <c r="E717" s="109"/>
      <c r="F717" s="109"/>
      <c r="G717" s="317"/>
      <c r="H717" s="109"/>
      <c r="I717" s="109"/>
      <c r="J717" s="109"/>
      <c r="K717" s="109"/>
      <c r="L717" s="109"/>
      <c r="M717" s="109"/>
      <c r="N717" s="109"/>
      <c r="O717" s="109"/>
      <c r="P717" s="109"/>
      <c r="Q717" s="109"/>
      <c r="R717" s="109"/>
      <c r="S717" s="109"/>
      <c r="T717" s="109"/>
      <c r="U717" s="109"/>
      <c r="V717" s="109"/>
      <c r="W717" s="109"/>
      <c r="X717" s="109"/>
      <c r="Y717" s="109"/>
      <c r="Z717" s="109"/>
    </row>
    <row r="718" ht="29.25" customHeight="1">
      <c r="A718" s="109"/>
      <c r="B718" s="109"/>
      <c r="C718" s="109"/>
      <c r="D718" s="109"/>
      <c r="E718" s="109"/>
      <c r="F718" s="109"/>
      <c r="G718" s="317"/>
      <c r="H718" s="109"/>
      <c r="I718" s="109"/>
      <c r="J718" s="109"/>
      <c r="K718" s="109"/>
      <c r="L718" s="109"/>
      <c r="M718" s="109"/>
      <c r="N718" s="109"/>
      <c r="O718" s="109"/>
      <c r="P718" s="109"/>
      <c r="Q718" s="109"/>
      <c r="R718" s="109"/>
      <c r="S718" s="109"/>
      <c r="T718" s="109"/>
      <c r="U718" s="109"/>
      <c r="V718" s="109"/>
      <c r="W718" s="109"/>
      <c r="X718" s="109"/>
      <c r="Y718" s="109"/>
      <c r="Z718" s="109"/>
    </row>
    <row r="719" ht="29.25" customHeight="1">
      <c r="A719" s="109"/>
      <c r="B719" s="109"/>
      <c r="C719" s="109"/>
      <c r="D719" s="109"/>
      <c r="E719" s="109"/>
      <c r="F719" s="109"/>
      <c r="G719" s="317"/>
      <c r="H719" s="109"/>
      <c r="I719" s="109"/>
      <c r="J719" s="109"/>
      <c r="K719" s="109"/>
      <c r="L719" s="109"/>
      <c r="M719" s="109"/>
      <c r="N719" s="109"/>
      <c r="O719" s="109"/>
      <c r="P719" s="109"/>
      <c r="Q719" s="109"/>
      <c r="R719" s="109"/>
      <c r="S719" s="109"/>
      <c r="T719" s="109"/>
      <c r="U719" s="109"/>
      <c r="V719" s="109"/>
      <c r="W719" s="109"/>
      <c r="X719" s="109"/>
      <c r="Y719" s="109"/>
      <c r="Z719" s="109"/>
    </row>
    <row r="720" ht="29.25" customHeight="1">
      <c r="A720" s="109"/>
      <c r="B720" s="109"/>
      <c r="C720" s="109"/>
      <c r="D720" s="109"/>
      <c r="E720" s="109"/>
      <c r="F720" s="109"/>
      <c r="G720" s="317"/>
      <c r="H720" s="109"/>
      <c r="I720" s="109"/>
      <c r="J720" s="109"/>
      <c r="K720" s="109"/>
      <c r="L720" s="109"/>
      <c r="M720" s="109"/>
      <c r="N720" s="109"/>
      <c r="O720" s="109"/>
      <c r="P720" s="109"/>
      <c r="Q720" s="109"/>
      <c r="R720" s="109"/>
      <c r="S720" s="109"/>
      <c r="T720" s="109"/>
      <c r="U720" s="109"/>
      <c r="V720" s="109"/>
      <c r="W720" s="109"/>
      <c r="X720" s="109"/>
      <c r="Y720" s="109"/>
      <c r="Z720" s="109"/>
    </row>
    <row r="721" ht="29.25" customHeight="1">
      <c r="A721" s="109"/>
      <c r="B721" s="109"/>
      <c r="C721" s="109"/>
      <c r="D721" s="109"/>
      <c r="E721" s="109"/>
      <c r="F721" s="109"/>
      <c r="G721" s="317"/>
      <c r="H721" s="109"/>
      <c r="I721" s="109"/>
      <c r="J721" s="109"/>
      <c r="K721" s="109"/>
      <c r="L721" s="109"/>
      <c r="M721" s="109"/>
      <c r="N721" s="109"/>
      <c r="O721" s="109"/>
      <c r="P721" s="109"/>
      <c r="Q721" s="109"/>
      <c r="R721" s="109"/>
      <c r="S721" s="109"/>
      <c r="T721" s="109"/>
      <c r="U721" s="109"/>
      <c r="V721" s="109"/>
      <c r="W721" s="109"/>
      <c r="X721" s="109"/>
      <c r="Y721" s="109"/>
      <c r="Z721" s="109"/>
    </row>
    <row r="722" ht="29.25" customHeight="1">
      <c r="A722" s="109"/>
      <c r="B722" s="109"/>
      <c r="C722" s="109"/>
      <c r="D722" s="109"/>
      <c r="E722" s="109"/>
      <c r="F722" s="109"/>
      <c r="G722" s="317"/>
      <c r="H722" s="109"/>
      <c r="I722" s="109"/>
      <c r="J722" s="109"/>
      <c r="K722" s="109"/>
      <c r="L722" s="109"/>
      <c r="M722" s="109"/>
      <c r="N722" s="109"/>
      <c r="O722" s="109"/>
      <c r="P722" s="109"/>
      <c r="Q722" s="109"/>
      <c r="R722" s="109"/>
      <c r="S722" s="109"/>
      <c r="T722" s="109"/>
      <c r="U722" s="109"/>
      <c r="V722" s="109"/>
      <c r="W722" s="109"/>
      <c r="X722" s="109"/>
      <c r="Y722" s="109"/>
      <c r="Z722" s="109"/>
    </row>
    <row r="723" ht="29.25" customHeight="1">
      <c r="A723" s="109"/>
      <c r="B723" s="109"/>
      <c r="C723" s="109"/>
      <c r="D723" s="109"/>
      <c r="E723" s="109"/>
      <c r="F723" s="109"/>
      <c r="G723" s="317"/>
      <c r="H723" s="109"/>
      <c r="I723" s="109"/>
      <c r="J723" s="109"/>
      <c r="K723" s="109"/>
      <c r="L723" s="109"/>
      <c r="M723" s="109"/>
      <c r="N723" s="109"/>
      <c r="O723" s="109"/>
      <c r="P723" s="109"/>
      <c r="Q723" s="109"/>
      <c r="R723" s="109"/>
      <c r="S723" s="109"/>
      <c r="T723" s="109"/>
      <c r="U723" s="109"/>
      <c r="V723" s="109"/>
      <c r="W723" s="109"/>
      <c r="X723" s="109"/>
      <c r="Y723" s="109"/>
      <c r="Z723" s="109"/>
    </row>
    <row r="724" ht="29.25" customHeight="1">
      <c r="A724" s="109"/>
      <c r="B724" s="109"/>
      <c r="C724" s="109"/>
      <c r="D724" s="109"/>
      <c r="E724" s="109"/>
      <c r="F724" s="109"/>
      <c r="G724" s="317"/>
      <c r="H724" s="109"/>
      <c r="I724" s="109"/>
      <c r="J724" s="109"/>
      <c r="K724" s="109"/>
      <c r="L724" s="109"/>
      <c r="M724" s="109"/>
      <c r="N724" s="109"/>
      <c r="O724" s="109"/>
      <c r="P724" s="109"/>
      <c r="Q724" s="109"/>
      <c r="R724" s="109"/>
      <c r="S724" s="109"/>
      <c r="T724" s="109"/>
      <c r="U724" s="109"/>
      <c r="V724" s="109"/>
      <c r="W724" s="109"/>
      <c r="X724" s="109"/>
      <c r="Y724" s="109"/>
      <c r="Z724" s="109"/>
    </row>
    <row r="725" ht="29.25" customHeight="1">
      <c r="A725" s="109"/>
      <c r="B725" s="109"/>
      <c r="C725" s="109"/>
      <c r="D725" s="109"/>
      <c r="E725" s="109"/>
      <c r="F725" s="109"/>
      <c r="G725" s="317"/>
      <c r="H725" s="109"/>
      <c r="I725" s="109"/>
      <c r="J725" s="109"/>
      <c r="K725" s="109"/>
      <c r="L725" s="109"/>
      <c r="M725" s="109"/>
      <c r="N725" s="109"/>
      <c r="O725" s="109"/>
      <c r="P725" s="109"/>
      <c r="Q725" s="109"/>
      <c r="R725" s="109"/>
      <c r="S725" s="109"/>
      <c r="T725" s="109"/>
      <c r="U725" s="109"/>
      <c r="V725" s="109"/>
      <c r="W725" s="109"/>
      <c r="X725" s="109"/>
      <c r="Y725" s="109"/>
      <c r="Z725" s="109"/>
    </row>
    <row r="726" ht="29.25" customHeight="1">
      <c r="A726" s="109"/>
      <c r="B726" s="109"/>
      <c r="C726" s="109"/>
      <c r="D726" s="109"/>
      <c r="E726" s="109"/>
      <c r="F726" s="109"/>
      <c r="G726" s="317"/>
      <c r="H726" s="109"/>
      <c r="I726" s="109"/>
      <c r="J726" s="109"/>
      <c r="K726" s="109"/>
      <c r="L726" s="109"/>
      <c r="M726" s="109"/>
      <c r="N726" s="109"/>
      <c r="O726" s="109"/>
      <c r="P726" s="109"/>
      <c r="Q726" s="109"/>
      <c r="R726" s="109"/>
      <c r="S726" s="109"/>
      <c r="T726" s="109"/>
      <c r="U726" s="109"/>
      <c r="V726" s="109"/>
      <c r="W726" s="109"/>
      <c r="X726" s="109"/>
      <c r="Y726" s="109"/>
      <c r="Z726" s="109"/>
    </row>
    <row r="727" ht="29.25" customHeight="1">
      <c r="A727" s="109"/>
      <c r="B727" s="109"/>
      <c r="C727" s="109"/>
      <c r="D727" s="109"/>
      <c r="E727" s="109"/>
      <c r="F727" s="109"/>
      <c r="G727" s="317"/>
      <c r="H727" s="109"/>
      <c r="I727" s="109"/>
      <c r="J727" s="109"/>
      <c r="K727" s="109"/>
      <c r="L727" s="109"/>
      <c r="M727" s="109"/>
      <c r="N727" s="109"/>
      <c r="O727" s="109"/>
      <c r="P727" s="109"/>
      <c r="Q727" s="109"/>
      <c r="R727" s="109"/>
      <c r="S727" s="109"/>
      <c r="T727" s="109"/>
      <c r="U727" s="109"/>
      <c r="V727" s="109"/>
      <c r="W727" s="109"/>
      <c r="X727" s="109"/>
      <c r="Y727" s="109"/>
      <c r="Z727" s="109"/>
    </row>
    <row r="728" ht="29.25" customHeight="1">
      <c r="A728" s="109"/>
      <c r="B728" s="109"/>
      <c r="C728" s="109"/>
      <c r="D728" s="109"/>
      <c r="E728" s="109"/>
      <c r="F728" s="109"/>
      <c r="G728" s="317"/>
      <c r="H728" s="109"/>
      <c r="I728" s="109"/>
      <c r="J728" s="109"/>
      <c r="K728" s="109"/>
      <c r="L728" s="109"/>
      <c r="M728" s="109"/>
      <c r="N728" s="109"/>
      <c r="O728" s="109"/>
      <c r="P728" s="109"/>
      <c r="Q728" s="109"/>
      <c r="R728" s="109"/>
      <c r="S728" s="109"/>
      <c r="T728" s="109"/>
      <c r="U728" s="109"/>
      <c r="V728" s="109"/>
      <c r="W728" s="109"/>
      <c r="X728" s="109"/>
      <c r="Y728" s="109"/>
      <c r="Z728" s="109"/>
    </row>
    <row r="729" ht="29.25" customHeight="1">
      <c r="A729" s="109"/>
      <c r="B729" s="109"/>
      <c r="C729" s="109"/>
      <c r="D729" s="109"/>
      <c r="E729" s="109"/>
      <c r="F729" s="109"/>
      <c r="G729" s="317"/>
      <c r="H729" s="109"/>
      <c r="I729" s="109"/>
      <c r="J729" s="109"/>
      <c r="K729" s="109"/>
      <c r="L729" s="109"/>
      <c r="M729" s="109"/>
      <c r="N729" s="109"/>
      <c r="O729" s="109"/>
      <c r="P729" s="109"/>
      <c r="Q729" s="109"/>
      <c r="R729" s="109"/>
      <c r="S729" s="109"/>
      <c r="T729" s="109"/>
      <c r="U729" s="109"/>
      <c r="V729" s="109"/>
      <c r="W729" s="109"/>
      <c r="X729" s="109"/>
      <c r="Y729" s="109"/>
      <c r="Z729" s="109"/>
    </row>
    <row r="730" ht="29.25" customHeight="1">
      <c r="A730" s="109"/>
      <c r="B730" s="109"/>
      <c r="C730" s="109"/>
      <c r="D730" s="109"/>
      <c r="E730" s="109"/>
      <c r="F730" s="109"/>
      <c r="G730" s="317"/>
      <c r="H730" s="109"/>
      <c r="I730" s="109"/>
      <c r="J730" s="109"/>
      <c r="K730" s="109"/>
      <c r="L730" s="109"/>
      <c r="M730" s="109"/>
      <c r="N730" s="109"/>
      <c r="O730" s="109"/>
      <c r="P730" s="109"/>
      <c r="Q730" s="109"/>
      <c r="R730" s="109"/>
      <c r="S730" s="109"/>
      <c r="T730" s="109"/>
      <c r="U730" s="109"/>
      <c r="V730" s="109"/>
      <c r="W730" s="109"/>
      <c r="X730" s="109"/>
      <c r="Y730" s="109"/>
      <c r="Z730" s="109"/>
    </row>
    <row r="731" ht="29.25" customHeight="1">
      <c r="A731" s="109"/>
      <c r="B731" s="109"/>
      <c r="C731" s="109"/>
      <c r="D731" s="109"/>
      <c r="E731" s="109"/>
      <c r="F731" s="109"/>
      <c r="G731" s="317"/>
      <c r="H731" s="109"/>
      <c r="I731" s="109"/>
      <c r="J731" s="109"/>
      <c r="K731" s="109"/>
      <c r="L731" s="109"/>
      <c r="M731" s="109"/>
      <c r="N731" s="109"/>
      <c r="O731" s="109"/>
      <c r="P731" s="109"/>
      <c r="Q731" s="109"/>
      <c r="R731" s="109"/>
      <c r="S731" s="109"/>
      <c r="T731" s="109"/>
      <c r="U731" s="109"/>
      <c r="V731" s="109"/>
      <c r="W731" s="109"/>
      <c r="X731" s="109"/>
      <c r="Y731" s="109"/>
      <c r="Z731" s="109"/>
    </row>
    <row r="732" ht="29.25" customHeight="1">
      <c r="A732" s="109"/>
      <c r="B732" s="109"/>
      <c r="C732" s="109"/>
      <c r="D732" s="109"/>
      <c r="E732" s="109"/>
      <c r="F732" s="109"/>
      <c r="G732" s="317"/>
      <c r="H732" s="109"/>
      <c r="I732" s="109"/>
      <c r="J732" s="109"/>
      <c r="K732" s="109"/>
      <c r="L732" s="109"/>
      <c r="M732" s="109"/>
      <c r="N732" s="109"/>
      <c r="O732" s="109"/>
      <c r="P732" s="109"/>
      <c r="Q732" s="109"/>
      <c r="R732" s="109"/>
      <c r="S732" s="109"/>
      <c r="T732" s="109"/>
      <c r="U732" s="109"/>
      <c r="V732" s="109"/>
      <c r="W732" s="109"/>
      <c r="X732" s="109"/>
      <c r="Y732" s="109"/>
      <c r="Z732" s="109"/>
    </row>
    <row r="733" ht="29.25" customHeight="1">
      <c r="A733" s="109"/>
      <c r="B733" s="109"/>
      <c r="C733" s="109"/>
      <c r="D733" s="109"/>
      <c r="E733" s="109"/>
      <c r="F733" s="109"/>
      <c r="G733" s="317"/>
      <c r="H733" s="109"/>
      <c r="I733" s="109"/>
      <c r="J733" s="109"/>
      <c r="K733" s="109"/>
      <c r="L733" s="109"/>
      <c r="M733" s="109"/>
      <c r="N733" s="109"/>
      <c r="O733" s="109"/>
      <c r="P733" s="109"/>
      <c r="Q733" s="109"/>
      <c r="R733" s="109"/>
      <c r="S733" s="109"/>
      <c r="T733" s="109"/>
      <c r="U733" s="109"/>
      <c r="V733" s="109"/>
      <c r="W733" s="109"/>
      <c r="X733" s="109"/>
      <c r="Y733" s="109"/>
      <c r="Z733" s="109"/>
    </row>
    <row r="734" ht="29.25" customHeight="1">
      <c r="A734" s="109"/>
      <c r="B734" s="109"/>
      <c r="C734" s="109"/>
      <c r="D734" s="109"/>
      <c r="E734" s="109"/>
      <c r="F734" s="109"/>
      <c r="G734" s="317"/>
      <c r="H734" s="109"/>
      <c r="I734" s="109"/>
      <c r="J734" s="109"/>
      <c r="K734" s="109"/>
      <c r="L734" s="109"/>
      <c r="M734" s="109"/>
      <c r="N734" s="109"/>
      <c r="O734" s="109"/>
      <c r="P734" s="109"/>
      <c r="Q734" s="109"/>
      <c r="R734" s="109"/>
      <c r="S734" s="109"/>
      <c r="T734" s="109"/>
      <c r="U734" s="109"/>
      <c r="V734" s="109"/>
      <c r="W734" s="109"/>
      <c r="X734" s="109"/>
      <c r="Y734" s="109"/>
      <c r="Z734" s="109"/>
    </row>
    <row r="735" ht="29.25" customHeight="1">
      <c r="A735" s="109"/>
      <c r="B735" s="109"/>
      <c r="C735" s="109"/>
      <c r="D735" s="109"/>
      <c r="E735" s="109"/>
      <c r="F735" s="109"/>
      <c r="G735" s="317"/>
      <c r="H735" s="109"/>
      <c r="I735" s="109"/>
      <c r="J735" s="109"/>
      <c r="K735" s="109"/>
      <c r="L735" s="109"/>
      <c r="M735" s="109"/>
      <c r="N735" s="109"/>
      <c r="O735" s="109"/>
      <c r="P735" s="109"/>
      <c r="Q735" s="109"/>
      <c r="R735" s="109"/>
      <c r="S735" s="109"/>
      <c r="T735" s="109"/>
      <c r="U735" s="109"/>
      <c r="V735" s="109"/>
      <c r="W735" s="109"/>
      <c r="X735" s="109"/>
      <c r="Y735" s="109"/>
      <c r="Z735" s="109"/>
    </row>
    <row r="736" ht="29.25" customHeight="1">
      <c r="A736" s="109"/>
      <c r="B736" s="109"/>
      <c r="C736" s="109"/>
      <c r="D736" s="109"/>
      <c r="E736" s="109"/>
      <c r="F736" s="109"/>
      <c r="G736" s="317"/>
      <c r="H736" s="109"/>
      <c r="I736" s="109"/>
      <c r="J736" s="109"/>
      <c r="K736" s="109"/>
      <c r="L736" s="109"/>
      <c r="M736" s="109"/>
      <c r="N736" s="109"/>
      <c r="O736" s="109"/>
      <c r="P736" s="109"/>
      <c r="Q736" s="109"/>
      <c r="R736" s="109"/>
      <c r="S736" s="109"/>
      <c r="T736" s="109"/>
      <c r="U736" s="109"/>
      <c r="V736" s="109"/>
      <c r="W736" s="109"/>
      <c r="X736" s="109"/>
      <c r="Y736" s="109"/>
      <c r="Z736" s="109"/>
    </row>
    <row r="737" ht="29.25" customHeight="1">
      <c r="A737" s="109"/>
      <c r="B737" s="109"/>
      <c r="C737" s="109"/>
      <c r="D737" s="109"/>
      <c r="E737" s="109"/>
      <c r="F737" s="109"/>
      <c r="G737" s="317"/>
      <c r="H737" s="109"/>
      <c r="I737" s="109"/>
      <c r="J737" s="109"/>
      <c r="K737" s="109"/>
      <c r="L737" s="109"/>
      <c r="M737" s="109"/>
      <c r="N737" s="109"/>
      <c r="O737" s="109"/>
      <c r="P737" s="109"/>
      <c r="Q737" s="109"/>
      <c r="R737" s="109"/>
      <c r="S737" s="109"/>
      <c r="T737" s="109"/>
      <c r="U737" s="109"/>
      <c r="V737" s="109"/>
      <c r="W737" s="109"/>
      <c r="X737" s="109"/>
      <c r="Y737" s="109"/>
      <c r="Z737" s="109"/>
    </row>
    <row r="738" ht="29.25" customHeight="1">
      <c r="A738" s="109"/>
      <c r="B738" s="109"/>
      <c r="C738" s="109"/>
      <c r="D738" s="109"/>
      <c r="E738" s="109"/>
      <c r="F738" s="109"/>
      <c r="G738" s="317"/>
      <c r="H738" s="109"/>
      <c r="I738" s="109"/>
      <c r="J738" s="109"/>
      <c r="K738" s="109"/>
      <c r="L738" s="109"/>
      <c r="M738" s="109"/>
      <c r="N738" s="109"/>
      <c r="O738" s="109"/>
      <c r="P738" s="109"/>
      <c r="Q738" s="109"/>
      <c r="R738" s="109"/>
      <c r="S738" s="109"/>
      <c r="T738" s="109"/>
      <c r="U738" s="109"/>
      <c r="V738" s="109"/>
      <c r="W738" s="109"/>
      <c r="X738" s="109"/>
      <c r="Y738" s="109"/>
      <c r="Z738" s="109"/>
    </row>
    <row r="739" ht="29.25" customHeight="1">
      <c r="A739" s="109"/>
      <c r="B739" s="109"/>
      <c r="C739" s="109"/>
      <c r="D739" s="109"/>
      <c r="E739" s="109"/>
      <c r="F739" s="109"/>
      <c r="G739" s="317"/>
      <c r="H739" s="109"/>
      <c r="I739" s="109"/>
      <c r="J739" s="109"/>
      <c r="K739" s="109"/>
      <c r="L739" s="109"/>
      <c r="M739" s="109"/>
      <c r="N739" s="109"/>
      <c r="O739" s="109"/>
      <c r="P739" s="109"/>
      <c r="Q739" s="109"/>
      <c r="R739" s="109"/>
      <c r="S739" s="109"/>
      <c r="T739" s="109"/>
      <c r="U739" s="109"/>
      <c r="V739" s="109"/>
      <c r="W739" s="109"/>
      <c r="X739" s="109"/>
      <c r="Y739" s="109"/>
      <c r="Z739" s="109"/>
    </row>
    <row r="740" ht="29.25" customHeight="1">
      <c r="A740" s="109"/>
      <c r="B740" s="109"/>
      <c r="C740" s="109"/>
      <c r="D740" s="109"/>
      <c r="E740" s="109"/>
      <c r="F740" s="109"/>
      <c r="G740" s="317"/>
      <c r="H740" s="109"/>
      <c r="I740" s="109"/>
      <c r="J740" s="109"/>
      <c r="K740" s="109"/>
      <c r="L740" s="109"/>
      <c r="M740" s="109"/>
      <c r="N740" s="109"/>
      <c r="O740" s="109"/>
      <c r="P740" s="109"/>
      <c r="Q740" s="109"/>
      <c r="R740" s="109"/>
      <c r="S740" s="109"/>
      <c r="T740" s="109"/>
      <c r="U740" s="109"/>
      <c r="V740" s="109"/>
      <c r="W740" s="109"/>
      <c r="X740" s="109"/>
      <c r="Y740" s="109"/>
      <c r="Z740" s="109"/>
    </row>
    <row r="741" ht="29.25" customHeight="1">
      <c r="A741" s="109"/>
      <c r="B741" s="109"/>
      <c r="C741" s="109"/>
      <c r="D741" s="109"/>
      <c r="E741" s="109"/>
      <c r="F741" s="109"/>
      <c r="G741" s="317"/>
      <c r="H741" s="109"/>
      <c r="I741" s="109"/>
      <c r="J741" s="109"/>
      <c r="K741" s="109"/>
      <c r="L741" s="109"/>
      <c r="M741" s="109"/>
      <c r="N741" s="109"/>
      <c r="O741" s="109"/>
      <c r="P741" s="109"/>
      <c r="Q741" s="109"/>
      <c r="R741" s="109"/>
      <c r="S741" s="109"/>
      <c r="T741" s="109"/>
      <c r="U741" s="109"/>
      <c r="V741" s="109"/>
      <c r="W741" s="109"/>
      <c r="X741" s="109"/>
      <c r="Y741" s="109"/>
      <c r="Z741" s="109"/>
    </row>
    <row r="742" ht="29.25" customHeight="1">
      <c r="A742" s="109"/>
      <c r="B742" s="109"/>
      <c r="C742" s="109"/>
      <c r="D742" s="109"/>
      <c r="E742" s="109"/>
      <c r="F742" s="109"/>
      <c r="G742" s="317"/>
      <c r="H742" s="109"/>
      <c r="I742" s="109"/>
      <c r="J742" s="109"/>
      <c r="K742" s="109"/>
      <c r="L742" s="109"/>
      <c r="M742" s="109"/>
      <c r="N742" s="109"/>
      <c r="O742" s="109"/>
      <c r="P742" s="109"/>
      <c r="Q742" s="109"/>
      <c r="R742" s="109"/>
      <c r="S742" s="109"/>
      <c r="T742" s="109"/>
      <c r="U742" s="109"/>
      <c r="V742" s="109"/>
      <c r="W742" s="109"/>
      <c r="X742" s="109"/>
      <c r="Y742" s="109"/>
      <c r="Z742" s="109"/>
    </row>
    <row r="743" ht="29.25" customHeight="1">
      <c r="A743" s="109"/>
      <c r="B743" s="109"/>
      <c r="C743" s="109"/>
      <c r="D743" s="109"/>
      <c r="E743" s="109"/>
      <c r="F743" s="109"/>
      <c r="G743" s="317"/>
      <c r="H743" s="109"/>
      <c r="I743" s="109"/>
      <c r="J743" s="109"/>
      <c r="K743" s="109"/>
      <c r="L743" s="109"/>
      <c r="M743" s="109"/>
      <c r="N743" s="109"/>
      <c r="O743" s="109"/>
      <c r="P743" s="109"/>
      <c r="Q743" s="109"/>
      <c r="R743" s="109"/>
      <c r="S743" s="109"/>
      <c r="T743" s="109"/>
      <c r="U743" s="109"/>
      <c r="V743" s="109"/>
      <c r="W743" s="109"/>
      <c r="X743" s="109"/>
      <c r="Y743" s="109"/>
      <c r="Z743" s="109"/>
    </row>
    <row r="744" ht="29.25" customHeight="1">
      <c r="A744" s="109"/>
      <c r="B744" s="109"/>
      <c r="C744" s="109"/>
      <c r="D744" s="109"/>
      <c r="E744" s="109"/>
      <c r="F744" s="109"/>
      <c r="G744" s="317"/>
      <c r="H744" s="109"/>
      <c r="I744" s="109"/>
      <c r="J744" s="109"/>
      <c r="K744" s="109"/>
      <c r="L744" s="109"/>
      <c r="M744" s="109"/>
      <c r="N744" s="109"/>
      <c r="O744" s="109"/>
      <c r="P744" s="109"/>
      <c r="Q744" s="109"/>
      <c r="R744" s="109"/>
      <c r="S744" s="109"/>
      <c r="T744" s="109"/>
      <c r="U744" s="109"/>
      <c r="V744" s="109"/>
      <c r="W744" s="109"/>
      <c r="X744" s="109"/>
      <c r="Y744" s="109"/>
      <c r="Z744" s="109"/>
    </row>
    <row r="745" ht="29.25" customHeight="1">
      <c r="A745" s="109"/>
      <c r="B745" s="109"/>
      <c r="C745" s="109"/>
      <c r="D745" s="109"/>
      <c r="E745" s="109"/>
      <c r="F745" s="109"/>
      <c r="G745" s="317"/>
      <c r="H745" s="109"/>
      <c r="I745" s="109"/>
      <c r="J745" s="109"/>
      <c r="K745" s="109"/>
      <c r="L745" s="109"/>
      <c r="M745" s="109"/>
      <c r="N745" s="109"/>
      <c r="O745" s="109"/>
      <c r="P745" s="109"/>
      <c r="Q745" s="109"/>
      <c r="R745" s="109"/>
      <c r="S745" s="109"/>
      <c r="T745" s="109"/>
      <c r="U745" s="109"/>
      <c r="V745" s="109"/>
      <c r="W745" s="109"/>
      <c r="X745" s="109"/>
      <c r="Y745" s="109"/>
      <c r="Z745" s="109"/>
    </row>
    <row r="746" ht="29.25" customHeight="1">
      <c r="A746" s="109"/>
      <c r="B746" s="109"/>
      <c r="C746" s="109"/>
      <c r="D746" s="109"/>
      <c r="E746" s="109"/>
      <c r="F746" s="109"/>
      <c r="G746" s="317"/>
      <c r="H746" s="109"/>
      <c r="I746" s="109"/>
      <c r="J746" s="109"/>
      <c r="K746" s="109"/>
      <c r="L746" s="109"/>
      <c r="M746" s="109"/>
      <c r="N746" s="109"/>
      <c r="O746" s="109"/>
      <c r="P746" s="109"/>
      <c r="Q746" s="109"/>
      <c r="R746" s="109"/>
      <c r="S746" s="109"/>
      <c r="T746" s="109"/>
      <c r="U746" s="109"/>
      <c r="V746" s="109"/>
      <c r="W746" s="109"/>
      <c r="X746" s="109"/>
      <c r="Y746" s="109"/>
      <c r="Z746" s="109"/>
    </row>
    <row r="747" ht="29.25" customHeight="1">
      <c r="A747" s="109"/>
      <c r="B747" s="109"/>
      <c r="C747" s="109"/>
      <c r="D747" s="109"/>
      <c r="E747" s="109"/>
      <c r="F747" s="109"/>
      <c r="G747" s="317"/>
      <c r="H747" s="109"/>
      <c r="I747" s="109"/>
      <c r="J747" s="109"/>
      <c r="K747" s="109"/>
      <c r="L747" s="109"/>
      <c r="M747" s="109"/>
      <c r="N747" s="109"/>
      <c r="O747" s="109"/>
      <c r="P747" s="109"/>
      <c r="Q747" s="109"/>
      <c r="R747" s="109"/>
      <c r="S747" s="109"/>
      <c r="T747" s="109"/>
      <c r="U747" s="109"/>
      <c r="V747" s="109"/>
      <c r="W747" s="109"/>
      <c r="X747" s="109"/>
      <c r="Y747" s="109"/>
      <c r="Z747" s="109"/>
    </row>
    <row r="748" ht="29.25" customHeight="1">
      <c r="A748" s="109"/>
      <c r="B748" s="109"/>
      <c r="C748" s="109"/>
      <c r="D748" s="109"/>
      <c r="E748" s="109"/>
      <c r="F748" s="109"/>
      <c r="G748" s="317"/>
      <c r="H748" s="109"/>
      <c r="I748" s="109"/>
      <c r="J748" s="109"/>
      <c r="K748" s="109"/>
      <c r="L748" s="109"/>
      <c r="M748" s="109"/>
      <c r="N748" s="109"/>
      <c r="O748" s="109"/>
      <c r="P748" s="109"/>
      <c r="Q748" s="109"/>
      <c r="R748" s="109"/>
      <c r="S748" s="109"/>
      <c r="T748" s="109"/>
      <c r="U748" s="109"/>
      <c r="V748" s="109"/>
      <c r="W748" s="109"/>
      <c r="X748" s="109"/>
      <c r="Y748" s="109"/>
      <c r="Z748" s="109"/>
    </row>
    <row r="749" ht="29.25" customHeight="1">
      <c r="A749" s="109"/>
      <c r="B749" s="109"/>
      <c r="C749" s="109"/>
      <c r="D749" s="109"/>
      <c r="E749" s="109"/>
      <c r="F749" s="109"/>
      <c r="G749" s="317"/>
      <c r="H749" s="109"/>
      <c r="I749" s="109"/>
      <c r="J749" s="109"/>
      <c r="K749" s="109"/>
      <c r="L749" s="109"/>
      <c r="M749" s="109"/>
      <c r="N749" s="109"/>
      <c r="O749" s="109"/>
      <c r="P749" s="109"/>
      <c r="Q749" s="109"/>
      <c r="R749" s="109"/>
      <c r="S749" s="109"/>
      <c r="T749" s="109"/>
      <c r="U749" s="109"/>
      <c r="V749" s="109"/>
      <c r="W749" s="109"/>
      <c r="X749" s="109"/>
      <c r="Y749" s="109"/>
      <c r="Z749" s="109"/>
    </row>
    <row r="750" ht="29.25" customHeight="1">
      <c r="A750" s="109"/>
      <c r="B750" s="109"/>
      <c r="C750" s="109"/>
      <c r="D750" s="109"/>
      <c r="E750" s="109"/>
      <c r="F750" s="109"/>
      <c r="G750" s="317"/>
      <c r="H750" s="109"/>
      <c r="I750" s="109"/>
      <c r="J750" s="109"/>
      <c r="K750" s="109"/>
      <c r="L750" s="109"/>
      <c r="M750" s="109"/>
      <c r="N750" s="109"/>
      <c r="O750" s="109"/>
      <c r="P750" s="109"/>
      <c r="Q750" s="109"/>
      <c r="R750" s="109"/>
      <c r="S750" s="109"/>
      <c r="T750" s="109"/>
      <c r="U750" s="109"/>
      <c r="V750" s="109"/>
      <c r="W750" s="109"/>
      <c r="X750" s="109"/>
      <c r="Y750" s="109"/>
      <c r="Z750" s="109"/>
    </row>
    <row r="751" ht="29.25" customHeight="1">
      <c r="A751" s="109"/>
      <c r="B751" s="109"/>
      <c r="C751" s="109"/>
      <c r="D751" s="109"/>
      <c r="E751" s="109"/>
      <c r="F751" s="109"/>
      <c r="G751" s="317"/>
      <c r="H751" s="109"/>
      <c r="I751" s="109"/>
      <c r="J751" s="109"/>
      <c r="K751" s="109"/>
      <c r="L751" s="109"/>
      <c r="M751" s="109"/>
      <c r="N751" s="109"/>
      <c r="O751" s="109"/>
      <c r="P751" s="109"/>
      <c r="Q751" s="109"/>
      <c r="R751" s="109"/>
      <c r="S751" s="109"/>
      <c r="T751" s="109"/>
      <c r="U751" s="109"/>
      <c r="V751" s="109"/>
      <c r="W751" s="109"/>
      <c r="X751" s="109"/>
      <c r="Y751" s="109"/>
      <c r="Z751" s="109"/>
    </row>
    <row r="752" ht="29.25" customHeight="1">
      <c r="A752" s="109"/>
      <c r="B752" s="109"/>
      <c r="C752" s="109"/>
      <c r="D752" s="109"/>
      <c r="E752" s="109"/>
      <c r="F752" s="109"/>
      <c r="G752" s="317"/>
      <c r="H752" s="109"/>
      <c r="I752" s="109"/>
      <c r="J752" s="109"/>
      <c r="K752" s="109"/>
      <c r="L752" s="109"/>
      <c r="M752" s="109"/>
      <c r="N752" s="109"/>
      <c r="O752" s="109"/>
      <c r="P752" s="109"/>
      <c r="Q752" s="109"/>
      <c r="R752" s="109"/>
      <c r="S752" s="109"/>
      <c r="T752" s="109"/>
      <c r="U752" s="109"/>
      <c r="V752" s="109"/>
      <c r="W752" s="109"/>
      <c r="X752" s="109"/>
      <c r="Y752" s="109"/>
      <c r="Z752" s="109"/>
    </row>
    <row r="753" ht="29.25" customHeight="1">
      <c r="A753" s="109"/>
      <c r="B753" s="109"/>
      <c r="C753" s="109"/>
      <c r="D753" s="109"/>
      <c r="E753" s="109"/>
      <c r="F753" s="109"/>
      <c r="G753" s="317"/>
      <c r="H753" s="109"/>
      <c r="I753" s="109"/>
      <c r="J753" s="109"/>
      <c r="K753" s="109"/>
      <c r="L753" s="109"/>
      <c r="M753" s="109"/>
      <c r="N753" s="109"/>
      <c r="O753" s="109"/>
      <c r="P753" s="109"/>
      <c r="Q753" s="109"/>
      <c r="R753" s="109"/>
      <c r="S753" s="109"/>
      <c r="T753" s="109"/>
      <c r="U753" s="109"/>
      <c r="V753" s="109"/>
      <c r="W753" s="109"/>
      <c r="X753" s="109"/>
      <c r="Y753" s="109"/>
      <c r="Z753" s="109"/>
    </row>
    <row r="754" ht="29.25" customHeight="1">
      <c r="A754" s="109"/>
      <c r="B754" s="109"/>
      <c r="C754" s="109"/>
      <c r="D754" s="109"/>
      <c r="E754" s="109"/>
      <c r="F754" s="109"/>
      <c r="G754" s="317"/>
      <c r="H754" s="109"/>
      <c r="I754" s="109"/>
      <c r="J754" s="109"/>
      <c r="K754" s="109"/>
      <c r="L754" s="109"/>
      <c r="M754" s="109"/>
      <c r="N754" s="109"/>
      <c r="O754" s="109"/>
      <c r="P754" s="109"/>
      <c r="Q754" s="109"/>
      <c r="R754" s="109"/>
      <c r="S754" s="109"/>
      <c r="T754" s="109"/>
      <c r="U754" s="109"/>
      <c r="V754" s="109"/>
      <c r="W754" s="109"/>
      <c r="X754" s="109"/>
      <c r="Y754" s="109"/>
      <c r="Z754" s="109"/>
    </row>
    <row r="755" ht="29.25" customHeight="1">
      <c r="A755" s="109"/>
      <c r="B755" s="109"/>
      <c r="C755" s="109"/>
      <c r="D755" s="109"/>
      <c r="E755" s="109"/>
      <c r="F755" s="109"/>
      <c r="G755" s="317"/>
      <c r="H755" s="109"/>
      <c r="I755" s="109"/>
      <c r="J755" s="109"/>
      <c r="K755" s="109"/>
      <c r="L755" s="109"/>
      <c r="M755" s="109"/>
      <c r="N755" s="109"/>
      <c r="O755" s="109"/>
      <c r="P755" s="109"/>
      <c r="Q755" s="109"/>
      <c r="R755" s="109"/>
      <c r="S755" s="109"/>
      <c r="T755" s="109"/>
      <c r="U755" s="109"/>
      <c r="V755" s="109"/>
      <c r="W755" s="109"/>
      <c r="X755" s="109"/>
      <c r="Y755" s="109"/>
      <c r="Z755" s="109"/>
    </row>
    <row r="756" ht="29.25" customHeight="1">
      <c r="A756" s="109"/>
      <c r="B756" s="109"/>
      <c r="C756" s="109"/>
      <c r="D756" s="109"/>
      <c r="E756" s="109"/>
      <c r="F756" s="109"/>
      <c r="G756" s="317"/>
      <c r="H756" s="109"/>
      <c r="I756" s="109"/>
      <c r="J756" s="109"/>
      <c r="K756" s="109"/>
      <c r="L756" s="109"/>
      <c r="M756" s="109"/>
      <c r="N756" s="109"/>
      <c r="O756" s="109"/>
      <c r="P756" s="109"/>
      <c r="Q756" s="109"/>
      <c r="R756" s="109"/>
      <c r="S756" s="109"/>
      <c r="T756" s="109"/>
      <c r="U756" s="109"/>
      <c r="V756" s="109"/>
      <c r="W756" s="109"/>
      <c r="X756" s="109"/>
      <c r="Y756" s="109"/>
      <c r="Z756" s="109"/>
    </row>
    <row r="757" ht="29.25" customHeight="1">
      <c r="A757" s="109"/>
      <c r="B757" s="109"/>
      <c r="C757" s="109"/>
      <c r="D757" s="109"/>
      <c r="E757" s="109"/>
      <c r="F757" s="109"/>
      <c r="G757" s="317"/>
      <c r="H757" s="109"/>
      <c r="I757" s="109"/>
      <c r="J757" s="109"/>
      <c r="K757" s="109"/>
      <c r="L757" s="109"/>
      <c r="M757" s="109"/>
      <c r="N757" s="109"/>
      <c r="O757" s="109"/>
      <c r="P757" s="109"/>
      <c r="Q757" s="109"/>
      <c r="R757" s="109"/>
      <c r="S757" s="109"/>
      <c r="T757" s="109"/>
      <c r="U757" s="109"/>
      <c r="V757" s="109"/>
      <c r="W757" s="109"/>
      <c r="X757" s="109"/>
      <c r="Y757" s="109"/>
      <c r="Z757" s="109"/>
    </row>
    <row r="758" ht="29.25" customHeight="1">
      <c r="A758" s="109"/>
      <c r="B758" s="109"/>
      <c r="C758" s="109"/>
      <c r="D758" s="109"/>
      <c r="E758" s="109"/>
      <c r="F758" s="109"/>
      <c r="G758" s="317"/>
      <c r="H758" s="109"/>
      <c r="I758" s="109"/>
      <c r="J758" s="109"/>
      <c r="K758" s="109"/>
      <c r="L758" s="109"/>
      <c r="M758" s="109"/>
      <c r="N758" s="109"/>
      <c r="O758" s="109"/>
      <c r="P758" s="109"/>
      <c r="Q758" s="109"/>
      <c r="R758" s="109"/>
      <c r="S758" s="109"/>
      <c r="T758" s="109"/>
      <c r="U758" s="109"/>
      <c r="V758" s="109"/>
      <c r="W758" s="109"/>
      <c r="X758" s="109"/>
      <c r="Y758" s="109"/>
      <c r="Z758" s="109"/>
    </row>
    <row r="759" ht="29.25" customHeight="1">
      <c r="A759" s="109"/>
      <c r="B759" s="109"/>
      <c r="C759" s="109"/>
      <c r="D759" s="109"/>
      <c r="E759" s="109"/>
      <c r="F759" s="109"/>
      <c r="G759" s="317"/>
      <c r="H759" s="109"/>
      <c r="I759" s="109"/>
      <c r="J759" s="109"/>
      <c r="K759" s="109"/>
      <c r="L759" s="109"/>
      <c r="M759" s="109"/>
      <c r="N759" s="109"/>
      <c r="O759" s="109"/>
      <c r="P759" s="109"/>
      <c r="Q759" s="109"/>
      <c r="R759" s="109"/>
      <c r="S759" s="109"/>
      <c r="T759" s="109"/>
      <c r="U759" s="109"/>
      <c r="V759" s="109"/>
      <c r="W759" s="109"/>
      <c r="X759" s="109"/>
      <c r="Y759" s="109"/>
      <c r="Z759" s="109"/>
    </row>
    <row r="760" ht="29.25" customHeight="1">
      <c r="A760" s="109"/>
      <c r="B760" s="109"/>
      <c r="C760" s="109"/>
      <c r="D760" s="109"/>
      <c r="E760" s="109"/>
      <c r="F760" s="109"/>
      <c r="G760" s="317"/>
      <c r="H760" s="109"/>
      <c r="I760" s="109"/>
      <c r="J760" s="109"/>
      <c r="K760" s="109"/>
      <c r="L760" s="109"/>
      <c r="M760" s="109"/>
      <c r="N760" s="109"/>
      <c r="O760" s="109"/>
      <c r="P760" s="109"/>
      <c r="Q760" s="109"/>
      <c r="R760" s="109"/>
      <c r="S760" s="109"/>
      <c r="T760" s="109"/>
      <c r="U760" s="109"/>
      <c r="V760" s="109"/>
      <c r="W760" s="109"/>
      <c r="X760" s="109"/>
      <c r="Y760" s="109"/>
      <c r="Z760" s="109"/>
    </row>
    <row r="761" ht="29.25" customHeight="1">
      <c r="A761" s="109"/>
      <c r="B761" s="109"/>
      <c r="C761" s="109"/>
      <c r="D761" s="109"/>
      <c r="E761" s="109"/>
      <c r="F761" s="109"/>
      <c r="G761" s="317"/>
      <c r="H761" s="109"/>
      <c r="I761" s="109"/>
      <c r="J761" s="109"/>
      <c r="K761" s="109"/>
      <c r="L761" s="109"/>
      <c r="M761" s="109"/>
      <c r="N761" s="109"/>
      <c r="O761" s="109"/>
      <c r="P761" s="109"/>
      <c r="Q761" s="109"/>
      <c r="R761" s="109"/>
      <c r="S761" s="109"/>
      <c r="T761" s="109"/>
      <c r="U761" s="109"/>
      <c r="V761" s="109"/>
      <c r="W761" s="109"/>
      <c r="X761" s="109"/>
      <c r="Y761" s="109"/>
      <c r="Z761" s="109"/>
    </row>
    <row r="762" ht="29.25" customHeight="1">
      <c r="A762" s="109"/>
      <c r="B762" s="109"/>
      <c r="C762" s="109"/>
      <c r="D762" s="109"/>
      <c r="E762" s="109"/>
      <c r="F762" s="109"/>
      <c r="G762" s="317"/>
      <c r="H762" s="109"/>
      <c r="I762" s="109"/>
      <c r="J762" s="109"/>
      <c r="K762" s="109"/>
      <c r="L762" s="109"/>
      <c r="M762" s="109"/>
      <c r="N762" s="109"/>
      <c r="O762" s="109"/>
      <c r="P762" s="109"/>
      <c r="Q762" s="109"/>
      <c r="R762" s="109"/>
      <c r="S762" s="109"/>
      <c r="T762" s="109"/>
      <c r="U762" s="109"/>
      <c r="V762" s="109"/>
      <c r="W762" s="109"/>
      <c r="X762" s="109"/>
      <c r="Y762" s="109"/>
      <c r="Z762" s="109"/>
    </row>
    <row r="763" ht="29.25" customHeight="1">
      <c r="A763" s="109"/>
      <c r="B763" s="109"/>
      <c r="C763" s="109"/>
      <c r="D763" s="109"/>
      <c r="E763" s="109"/>
      <c r="F763" s="109"/>
      <c r="G763" s="317"/>
      <c r="H763" s="109"/>
      <c r="I763" s="109"/>
      <c r="J763" s="109"/>
      <c r="K763" s="109"/>
      <c r="L763" s="109"/>
      <c r="M763" s="109"/>
      <c r="N763" s="109"/>
      <c r="O763" s="109"/>
      <c r="P763" s="109"/>
      <c r="Q763" s="109"/>
      <c r="R763" s="109"/>
      <c r="S763" s="109"/>
      <c r="T763" s="109"/>
      <c r="U763" s="109"/>
      <c r="V763" s="109"/>
      <c r="W763" s="109"/>
      <c r="X763" s="109"/>
      <c r="Y763" s="109"/>
      <c r="Z763" s="109"/>
    </row>
    <row r="764" ht="29.25" customHeight="1">
      <c r="A764" s="109"/>
      <c r="B764" s="109"/>
      <c r="C764" s="109"/>
      <c r="D764" s="109"/>
      <c r="E764" s="109"/>
      <c r="F764" s="109"/>
      <c r="G764" s="317"/>
      <c r="H764" s="109"/>
      <c r="I764" s="109"/>
      <c r="J764" s="109"/>
      <c r="K764" s="109"/>
      <c r="L764" s="109"/>
      <c r="M764" s="109"/>
      <c r="N764" s="109"/>
      <c r="O764" s="109"/>
      <c r="P764" s="109"/>
      <c r="Q764" s="109"/>
      <c r="R764" s="109"/>
      <c r="S764" s="109"/>
      <c r="T764" s="109"/>
      <c r="U764" s="109"/>
      <c r="V764" s="109"/>
      <c r="W764" s="109"/>
      <c r="X764" s="109"/>
      <c r="Y764" s="109"/>
      <c r="Z764" s="109"/>
    </row>
    <row r="765" ht="29.25" customHeight="1">
      <c r="A765" s="109"/>
      <c r="B765" s="109"/>
      <c r="C765" s="109"/>
      <c r="D765" s="109"/>
      <c r="E765" s="109"/>
      <c r="F765" s="109"/>
      <c r="G765" s="317"/>
      <c r="H765" s="109"/>
      <c r="I765" s="109"/>
      <c r="J765" s="109"/>
      <c r="K765" s="109"/>
      <c r="L765" s="109"/>
      <c r="M765" s="109"/>
      <c r="N765" s="109"/>
      <c r="O765" s="109"/>
      <c r="P765" s="109"/>
      <c r="Q765" s="109"/>
      <c r="R765" s="109"/>
      <c r="S765" s="109"/>
      <c r="T765" s="109"/>
      <c r="U765" s="109"/>
      <c r="V765" s="109"/>
      <c r="W765" s="109"/>
      <c r="X765" s="109"/>
      <c r="Y765" s="109"/>
      <c r="Z765" s="109"/>
    </row>
    <row r="766" ht="29.25" customHeight="1">
      <c r="A766" s="109"/>
      <c r="B766" s="109"/>
      <c r="C766" s="109"/>
      <c r="D766" s="109"/>
      <c r="E766" s="109"/>
      <c r="F766" s="109"/>
      <c r="G766" s="317"/>
      <c r="H766" s="109"/>
      <c r="I766" s="109"/>
      <c r="J766" s="109"/>
      <c r="K766" s="109"/>
      <c r="L766" s="109"/>
      <c r="M766" s="109"/>
      <c r="N766" s="109"/>
      <c r="O766" s="109"/>
      <c r="P766" s="109"/>
      <c r="Q766" s="109"/>
      <c r="R766" s="109"/>
      <c r="S766" s="109"/>
      <c r="T766" s="109"/>
      <c r="U766" s="109"/>
      <c r="V766" s="109"/>
      <c r="W766" s="109"/>
      <c r="X766" s="109"/>
      <c r="Y766" s="109"/>
      <c r="Z766" s="109"/>
    </row>
    <row r="767" ht="29.25" customHeight="1">
      <c r="A767" s="109"/>
      <c r="B767" s="109"/>
      <c r="C767" s="109"/>
      <c r="D767" s="109"/>
      <c r="E767" s="109"/>
      <c r="F767" s="109"/>
      <c r="G767" s="317"/>
      <c r="H767" s="109"/>
      <c r="I767" s="109"/>
      <c r="J767" s="109"/>
      <c r="K767" s="109"/>
      <c r="L767" s="109"/>
      <c r="M767" s="109"/>
      <c r="N767" s="109"/>
      <c r="O767" s="109"/>
      <c r="P767" s="109"/>
      <c r="Q767" s="109"/>
      <c r="R767" s="109"/>
      <c r="S767" s="109"/>
      <c r="T767" s="109"/>
      <c r="U767" s="109"/>
      <c r="V767" s="109"/>
      <c r="W767" s="109"/>
      <c r="X767" s="109"/>
      <c r="Y767" s="109"/>
      <c r="Z767" s="109"/>
    </row>
    <row r="768" ht="29.25" customHeight="1">
      <c r="A768" s="109"/>
      <c r="B768" s="109"/>
      <c r="C768" s="109"/>
      <c r="D768" s="109"/>
      <c r="E768" s="109"/>
      <c r="F768" s="109"/>
      <c r="G768" s="317"/>
      <c r="H768" s="109"/>
      <c r="I768" s="109"/>
      <c r="J768" s="109"/>
      <c r="K768" s="109"/>
      <c r="L768" s="109"/>
      <c r="M768" s="109"/>
      <c r="N768" s="109"/>
      <c r="O768" s="109"/>
      <c r="P768" s="109"/>
      <c r="Q768" s="109"/>
      <c r="R768" s="109"/>
      <c r="S768" s="109"/>
      <c r="T768" s="109"/>
      <c r="U768" s="109"/>
      <c r="V768" s="109"/>
      <c r="W768" s="109"/>
      <c r="X768" s="109"/>
      <c r="Y768" s="109"/>
      <c r="Z768" s="109"/>
    </row>
    <row r="769" ht="29.25" customHeight="1">
      <c r="A769" s="109"/>
      <c r="B769" s="109"/>
      <c r="C769" s="109"/>
      <c r="D769" s="109"/>
      <c r="E769" s="109"/>
      <c r="F769" s="109"/>
      <c r="G769" s="317"/>
      <c r="H769" s="109"/>
      <c r="I769" s="109"/>
      <c r="J769" s="109"/>
      <c r="K769" s="109"/>
      <c r="L769" s="109"/>
      <c r="M769" s="109"/>
      <c r="N769" s="109"/>
      <c r="O769" s="109"/>
      <c r="P769" s="109"/>
      <c r="Q769" s="109"/>
      <c r="R769" s="109"/>
      <c r="S769" s="109"/>
      <c r="T769" s="109"/>
      <c r="U769" s="109"/>
      <c r="V769" s="109"/>
      <c r="W769" s="109"/>
      <c r="X769" s="109"/>
      <c r="Y769" s="109"/>
      <c r="Z769" s="109"/>
    </row>
    <row r="770" ht="29.25" customHeight="1">
      <c r="A770" s="109"/>
      <c r="B770" s="109"/>
      <c r="C770" s="109"/>
      <c r="D770" s="109"/>
      <c r="E770" s="109"/>
      <c r="F770" s="109"/>
      <c r="G770" s="317"/>
      <c r="H770" s="109"/>
      <c r="I770" s="109"/>
      <c r="J770" s="109"/>
      <c r="K770" s="109"/>
      <c r="L770" s="109"/>
      <c r="M770" s="109"/>
      <c r="N770" s="109"/>
      <c r="O770" s="109"/>
      <c r="P770" s="109"/>
      <c r="Q770" s="109"/>
      <c r="R770" s="109"/>
      <c r="S770" s="109"/>
      <c r="T770" s="109"/>
      <c r="U770" s="109"/>
      <c r="V770" s="109"/>
      <c r="W770" s="109"/>
      <c r="X770" s="109"/>
      <c r="Y770" s="109"/>
      <c r="Z770" s="109"/>
    </row>
    <row r="771" ht="29.25" customHeight="1">
      <c r="A771" s="109"/>
      <c r="B771" s="109"/>
      <c r="C771" s="109"/>
      <c r="D771" s="109"/>
      <c r="E771" s="109"/>
      <c r="F771" s="109"/>
      <c r="G771" s="317"/>
      <c r="H771" s="109"/>
      <c r="I771" s="109"/>
      <c r="J771" s="109"/>
      <c r="K771" s="109"/>
      <c r="L771" s="109"/>
      <c r="M771" s="109"/>
      <c r="N771" s="109"/>
      <c r="O771" s="109"/>
      <c r="P771" s="109"/>
      <c r="Q771" s="109"/>
      <c r="R771" s="109"/>
      <c r="S771" s="109"/>
      <c r="T771" s="109"/>
      <c r="U771" s="109"/>
      <c r="V771" s="109"/>
      <c r="W771" s="109"/>
      <c r="X771" s="109"/>
      <c r="Y771" s="109"/>
      <c r="Z771" s="109"/>
    </row>
    <row r="772" ht="29.25" customHeight="1">
      <c r="A772" s="109"/>
      <c r="B772" s="109"/>
      <c r="C772" s="109"/>
      <c r="D772" s="109"/>
      <c r="E772" s="109"/>
      <c r="F772" s="109"/>
      <c r="G772" s="317"/>
      <c r="H772" s="109"/>
      <c r="I772" s="109"/>
      <c r="J772" s="109"/>
      <c r="K772" s="109"/>
      <c r="L772" s="109"/>
      <c r="M772" s="109"/>
      <c r="N772" s="109"/>
      <c r="O772" s="109"/>
      <c r="P772" s="109"/>
      <c r="Q772" s="109"/>
      <c r="R772" s="109"/>
      <c r="S772" s="109"/>
      <c r="T772" s="109"/>
      <c r="U772" s="109"/>
      <c r="V772" s="109"/>
      <c r="W772" s="109"/>
      <c r="X772" s="109"/>
      <c r="Y772" s="109"/>
      <c r="Z772" s="109"/>
    </row>
    <row r="773" ht="29.25" customHeight="1">
      <c r="A773" s="109"/>
      <c r="B773" s="109"/>
      <c r="C773" s="109"/>
      <c r="D773" s="109"/>
      <c r="E773" s="109"/>
      <c r="F773" s="109"/>
      <c r="G773" s="317"/>
      <c r="H773" s="109"/>
      <c r="I773" s="109"/>
      <c r="J773" s="109"/>
      <c r="K773" s="109"/>
      <c r="L773" s="109"/>
      <c r="M773" s="109"/>
      <c r="N773" s="109"/>
      <c r="O773" s="109"/>
      <c r="P773" s="109"/>
      <c r="Q773" s="109"/>
      <c r="R773" s="109"/>
      <c r="S773" s="109"/>
      <c r="T773" s="109"/>
      <c r="U773" s="109"/>
      <c r="V773" s="109"/>
      <c r="W773" s="109"/>
      <c r="X773" s="109"/>
      <c r="Y773" s="109"/>
      <c r="Z773" s="109"/>
    </row>
    <row r="774" ht="29.25" customHeight="1">
      <c r="A774" s="109"/>
      <c r="B774" s="109"/>
      <c r="C774" s="109"/>
      <c r="D774" s="109"/>
      <c r="E774" s="109"/>
      <c r="F774" s="109"/>
      <c r="G774" s="317"/>
      <c r="H774" s="109"/>
      <c r="I774" s="109"/>
      <c r="J774" s="109"/>
      <c r="K774" s="109"/>
      <c r="L774" s="109"/>
      <c r="M774" s="109"/>
      <c r="N774" s="109"/>
      <c r="O774" s="109"/>
      <c r="P774" s="109"/>
      <c r="Q774" s="109"/>
      <c r="R774" s="109"/>
      <c r="S774" s="109"/>
      <c r="T774" s="109"/>
      <c r="U774" s="109"/>
      <c r="V774" s="109"/>
      <c r="W774" s="109"/>
      <c r="X774" s="109"/>
      <c r="Y774" s="109"/>
      <c r="Z774" s="109"/>
    </row>
    <row r="775" ht="29.25" customHeight="1">
      <c r="A775" s="109"/>
      <c r="B775" s="109"/>
      <c r="C775" s="109"/>
      <c r="D775" s="109"/>
      <c r="E775" s="109"/>
      <c r="F775" s="109"/>
      <c r="G775" s="317"/>
      <c r="H775" s="109"/>
      <c r="I775" s="109"/>
      <c r="J775" s="109"/>
      <c r="K775" s="109"/>
      <c r="L775" s="109"/>
      <c r="M775" s="109"/>
      <c r="N775" s="109"/>
      <c r="O775" s="109"/>
      <c r="P775" s="109"/>
      <c r="Q775" s="109"/>
      <c r="R775" s="109"/>
      <c r="S775" s="109"/>
      <c r="T775" s="109"/>
      <c r="U775" s="109"/>
      <c r="V775" s="109"/>
      <c r="W775" s="109"/>
      <c r="X775" s="109"/>
      <c r="Y775" s="109"/>
      <c r="Z775" s="109"/>
    </row>
    <row r="776" ht="29.25" customHeight="1">
      <c r="A776" s="109"/>
      <c r="B776" s="109"/>
      <c r="C776" s="109"/>
      <c r="D776" s="109"/>
      <c r="E776" s="109"/>
      <c r="F776" s="109"/>
      <c r="G776" s="317"/>
      <c r="H776" s="109"/>
      <c r="I776" s="109"/>
      <c r="J776" s="109"/>
      <c r="K776" s="109"/>
      <c r="L776" s="109"/>
      <c r="M776" s="109"/>
      <c r="N776" s="109"/>
      <c r="O776" s="109"/>
      <c r="P776" s="109"/>
      <c r="Q776" s="109"/>
      <c r="R776" s="109"/>
      <c r="S776" s="109"/>
      <c r="T776" s="109"/>
      <c r="U776" s="109"/>
      <c r="V776" s="109"/>
      <c r="W776" s="109"/>
      <c r="X776" s="109"/>
      <c r="Y776" s="109"/>
      <c r="Z776" s="109"/>
    </row>
    <row r="777" ht="29.25" customHeight="1">
      <c r="A777" s="109"/>
      <c r="B777" s="109"/>
      <c r="C777" s="109"/>
      <c r="D777" s="109"/>
      <c r="E777" s="109"/>
      <c r="F777" s="109"/>
      <c r="G777" s="317"/>
      <c r="H777" s="109"/>
      <c r="I777" s="109"/>
      <c r="J777" s="109"/>
      <c r="K777" s="109"/>
      <c r="L777" s="109"/>
      <c r="M777" s="109"/>
      <c r="N777" s="109"/>
      <c r="O777" s="109"/>
      <c r="P777" s="109"/>
      <c r="Q777" s="109"/>
      <c r="R777" s="109"/>
      <c r="S777" s="109"/>
      <c r="T777" s="109"/>
      <c r="U777" s="109"/>
      <c r="V777" s="109"/>
      <c r="W777" s="109"/>
      <c r="X777" s="109"/>
      <c r="Y777" s="109"/>
      <c r="Z777" s="109"/>
    </row>
    <row r="778" ht="29.25" customHeight="1">
      <c r="A778" s="109"/>
      <c r="B778" s="109"/>
      <c r="C778" s="109"/>
      <c r="D778" s="109"/>
      <c r="E778" s="109"/>
      <c r="F778" s="109"/>
      <c r="G778" s="317"/>
      <c r="H778" s="109"/>
      <c r="I778" s="109"/>
      <c r="J778" s="109"/>
      <c r="K778" s="109"/>
      <c r="L778" s="109"/>
      <c r="M778" s="109"/>
      <c r="N778" s="109"/>
      <c r="O778" s="109"/>
      <c r="P778" s="109"/>
      <c r="Q778" s="109"/>
      <c r="R778" s="109"/>
      <c r="S778" s="109"/>
      <c r="T778" s="109"/>
      <c r="U778" s="109"/>
      <c r="V778" s="109"/>
      <c r="W778" s="109"/>
      <c r="X778" s="109"/>
      <c r="Y778" s="109"/>
      <c r="Z778" s="109"/>
    </row>
    <row r="779" ht="29.25" customHeight="1">
      <c r="A779" s="109"/>
      <c r="B779" s="109"/>
      <c r="C779" s="109"/>
      <c r="D779" s="109"/>
      <c r="E779" s="109"/>
      <c r="F779" s="109"/>
      <c r="G779" s="317"/>
      <c r="H779" s="109"/>
      <c r="I779" s="109"/>
      <c r="J779" s="109"/>
      <c r="K779" s="109"/>
      <c r="L779" s="109"/>
      <c r="M779" s="109"/>
      <c r="N779" s="109"/>
      <c r="O779" s="109"/>
      <c r="P779" s="109"/>
      <c r="Q779" s="109"/>
      <c r="R779" s="109"/>
      <c r="S779" s="109"/>
      <c r="T779" s="109"/>
      <c r="U779" s="109"/>
      <c r="V779" s="109"/>
      <c r="W779" s="109"/>
      <c r="X779" s="109"/>
      <c r="Y779" s="109"/>
      <c r="Z779" s="109"/>
    </row>
    <row r="780" ht="29.25" customHeight="1">
      <c r="A780" s="109"/>
      <c r="B780" s="109"/>
      <c r="C780" s="109"/>
      <c r="D780" s="109"/>
      <c r="E780" s="109"/>
      <c r="F780" s="109"/>
      <c r="G780" s="317"/>
      <c r="H780" s="109"/>
      <c r="I780" s="109"/>
      <c r="J780" s="109"/>
      <c r="K780" s="109"/>
      <c r="L780" s="109"/>
      <c r="M780" s="109"/>
      <c r="N780" s="109"/>
      <c r="O780" s="109"/>
      <c r="P780" s="109"/>
      <c r="Q780" s="109"/>
      <c r="R780" s="109"/>
      <c r="S780" s="109"/>
      <c r="T780" s="109"/>
      <c r="U780" s="109"/>
      <c r="V780" s="109"/>
      <c r="W780" s="109"/>
      <c r="X780" s="109"/>
      <c r="Y780" s="109"/>
      <c r="Z780" s="109"/>
    </row>
    <row r="781" ht="29.25" customHeight="1">
      <c r="A781" s="109"/>
      <c r="B781" s="109"/>
      <c r="C781" s="109"/>
      <c r="D781" s="109"/>
      <c r="E781" s="109"/>
      <c r="F781" s="109"/>
      <c r="G781" s="317"/>
      <c r="H781" s="109"/>
      <c r="I781" s="109"/>
      <c r="J781" s="109"/>
      <c r="K781" s="109"/>
      <c r="L781" s="109"/>
      <c r="M781" s="109"/>
      <c r="N781" s="109"/>
      <c r="O781" s="109"/>
      <c r="P781" s="109"/>
      <c r="Q781" s="109"/>
      <c r="R781" s="109"/>
      <c r="S781" s="109"/>
      <c r="T781" s="109"/>
      <c r="U781" s="109"/>
      <c r="V781" s="109"/>
      <c r="W781" s="109"/>
      <c r="X781" s="109"/>
      <c r="Y781" s="109"/>
      <c r="Z781" s="109"/>
    </row>
    <row r="782" ht="29.25" customHeight="1">
      <c r="A782" s="109"/>
      <c r="B782" s="109"/>
      <c r="C782" s="109"/>
      <c r="D782" s="109"/>
      <c r="E782" s="109"/>
      <c r="F782" s="109"/>
      <c r="G782" s="317"/>
      <c r="H782" s="109"/>
      <c r="I782" s="109"/>
      <c r="J782" s="109"/>
      <c r="K782" s="109"/>
      <c r="L782" s="109"/>
      <c r="M782" s="109"/>
      <c r="N782" s="109"/>
      <c r="O782" s="109"/>
      <c r="P782" s="109"/>
      <c r="Q782" s="109"/>
      <c r="R782" s="109"/>
      <c r="S782" s="109"/>
      <c r="T782" s="109"/>
      <c r="U782" s="109"/>
      <c r="V782" s="109"/>
      <c r="W782" s="109"/>
      <c r="X782" s="109"/>
      <c r="Y782" s="109"/>
      <c r="Z782" s="109"/>
    </row>
    <row r="783" ht="29.25" customHeight="1">
      <c r="A783" s="109"/>
      <c r="B783" s="109"/>
      <c r="C783" s="109"/>
      <c r="D783" s="109"/>
      <c r="E783" s="109"/>
      <c r="F783" s="109"/>
      <c r="G783" s="317"/>
      <c r="H783" s="109"/>
      <c r="I783" s="109"/>
      <c r="J783" s="109"/>
      <c r="K783" s="109"/>
      <c r="L783" s="109"/>
      <c r="M783" s="109"/>
      <c r="N783" s="109"/>
      <c r="O783" s="109"/>
      <c r="P783" s="109"/>
      <c r="Q783" s="109"/>
      <c r="R783" s="109"/>
      <c r="S783" s="109"/>
      <c r="T783" s="109"/>
      <c r="U783" s="109"/>
      <c r="V783" s="109"/>
      <c r="W783" s="109"/>
      <c r="X783" s="109"/>
      <c r="Y783" s="109"/>
      <c r="Z783" s="109"/>
    </row>
    <row r="784" ht="29.25" customHeight="1">
      <c r="A784" s="109"/>
      <c r="B784" s="109"/>
      <c r="C784" s="109"/>
      <c r="D784" s="109"/>
      <c r="E784" s="109"/>
      <c r="F784" s="109"/>
      <c r="G784" s="317"/>
      <c r="H784" s="109"/>
      <c r="I784" s="109"/>
      <c r="J784" s="109"/>
      <c r="K784" s="109"/>
      <c r="L784" s="109"/>
      <c r="M784" s="109"/>
      <c r="N784" s="109"/>
      <c r="O784" s="109"/>
      <c r="P784" s="109"/>
      <c r="Q784" s="109"/>
      <c r="R784" s="109"/>
      <c r="S784" s="109"/>
      <c r="T784" s="109"/>
      <c r="U784" s="109"/>
      <c r="V784" s="109"/>
      <c r="W784" s="109"/>
      <c r="X784" s="109"/>
      <c r="Y784" s="109"/>
      <c r="Z784" s="109"/>
    </row>
    <row r="785" ht="29.25" customHeight="1">
      <c r="A785" s="109"/>
      <c r="B785" s="109"/>
      <c r="C785" s="109"/>
      <c r="D785" s="109"/>
      <c r="E785" s="109"/>
      <c r="F785" s="109"/>
      <c r="G785" s="317"/>
      <c r="H785" s="109"/>
      <c r="I785" s="109"/>
      <c r="J785" s="109"/>
      <c r="K785" s="109"/>
      <c r="L785" s="109"/>
      <c r="M785" s="109"/>
      <c r="N785" s="109"/>
      <c r="O785" s="109"/>
      <c r="P785" s="109"/>
      <c r="Q785" s="109"/>
      <c r="R785" s="109"/>
      <c r="S785" s="109"/>
      <c r="T785" s="109"/>
      <c r="U785" s="109"/>
      <c r="V785" s="109"/>
      <c r="W785" s="109"/>
      <c r="X785" s="109"/>
      <c r="Y785" s="109"/>
      <c r="Z785" s="109"/>
    </row>
    <row r="786" ht="29.25" customHeight="1">
      <c r="A786" s="109"/>
      <c r="B786" s="109"/>
      <c r="C786" s="109"/>
      <c r="D786" s="109"/>
      <c r="E786" s="109"/>
      <c r="F786" s="109"/>
      <c r="G786" s="317"/>
      <c r="H786" s="109"/>
      <c r="I786" s="109"/>
      <c r="J786" s="109"/>
      <c r="K786" s="109"/>
      <c r="L786" s="109"/>
      <c r="M786" s="109"/>
      <c r="N786" s="109"/>
      <c r="O786" s="109"/>
      <c r="P786" s="109"/>
      <c r="Q786" s="109"/>
      <c r="R786" s="109"/>
      <c r="S786" s="109"/>
      <c r="T786" s="109"/>
      <c r="U786" s="109"/>
      <c r="V786" s="109"/>
      <c r="W786" s="109"/>
      <c r="X786" s="109"/>
      <c r="Y786" s="109"/>
      <c r="Z786" s="109"/>
    </row>
    <row r="787" ht="29.25" customHeight="1">
      <c r="A787" s="109"/>
      <c r="B787" s="109"/>
      <c r="C787" s="109"/>
      <c r="D787" s="109"/>
      <c r="E787" s="109"/>
      <c r="F787" s="109"/>
      <c r="G787" s="317"/>
      <c r="H787" s="109"/>
      <c r="I787" s="109"/>
      <c r="J787" s="109"/>
      <c r="K787" s="109"/>
      <c r="L787" s="109"/>
      <c r="M787" s="109"/>
      <c r="N787" s="109"/>
      <c r="O787" s="109"/>
      <c r="P787" s="109"/>
      <c r="Q787" s="109"/>
      <c r="R787" s="109"/>
      <c r="S787" s="109"/>
      <c r="T787" s="109"/>
      <c r="U787" s="109"/>
      <c r="V787" s="109"/>
      <c r="W787" s="109"/>
      <c r="X787" s="109"/>
      <c r="Y787" s="109"/>
      <c r="Z787" s="109"/>
    </row>
    <row r="788" ht="29.25" customHeight="1">
      <c r="A788" s="109"/>
      <c r="B788" s="109"/>
      <c r="C788" s="109"/>
      <c r="D788" s="109"/>
      <c r="E788" s="109"/>
      <c r="F788" s="109"/>
      <c r="G788" s="317"/>
      <c r="H788" s="109"/>
      <c r="I788" s="109"/>
      <c r="J788" s="109"/>
      <c r="K788" s="109"/>
      <c r="L788" s="109"/>
      <c r="M788" s="109"/>
      <c r="N788" s="109"/>
      <c r="O788" s="109"/>
      <c r="P788" s="109"/>
      <c r="Q788" s="109"/>
      <c r="R788" s="109"/>
      <c r="S788" s="109"/>
      <c r="T788" s="109"/>
      <c r="U788" s="109"/>
      <c r="V788" s="109"/>
      <c r="W788" s="109"/>
      <c r="X788" s="109"/>
      <c r="Y788" s="109"/>
      <c r="Z788" s="109"/>
    </row>
    <row r="789" ht="29.25" customHeight="1">
      <c r="A789" s="109"/>
      <c r="B789" s="109"/>
      <c r="C789" s="109"/>
      <c r="D789" s="109"/>
      <c r="E789" s="109"/>
      <c r="F789" s="109"/>
      <c r="G789" s="317"/>
      <c r="H789" s="109"/>
      <c r="I789" s="109"/>
      <c r="J789" s="109"/>
      <c r="K789" s="109"/>
      <c r="L789" s="109"/>
      <c r="M789" s="109"/>
      <c r="N789" s="109"/>
      <c r="O789" s="109"/>
      <c r="P789" s="109"/>
      <c r="Q789" s="109"/>
      <c r="R789" s="109"/>
      <c r="S789" s="109"/>
      <c r="T789" s="109"/>
      <c r="U789" s="109"/>
      <c r="V789" s="109"/>
      <c r="W789" s="109"/>
      <c r="X789" s="109"/>
      <c r="Y789" s="109"/>
      <c r="Z789" s="109"/>
    </row>
    <row r="790" ht="29.25" customHeight="1">
      <c r="A790" s="109"/>
      <c r="B790" s="109"/>
      <c r="C790" s="109"/>
      <c r="D790" s="109"/>
      <c r="E790" s="109"/>
      <c r="F790" s="109"/>
      <c r="G790" s="317"/>
      <c r="H790" s="109"/>
      <c r="I790" s="109"/>
      <c r="J790" s="109"/>
      <c r="K790" s="109"/>
      <c r="L790" s="109"/>
      <c r="M790" s="109"/>
      <c r="N790" s="109"/>
      <c r="O790" s="109"/>
      <c r="P790" s="109"/>
      <c r="Q790" s="109"/>
      <c r="R790" s="109"/>
      <c r="S790" s="109"/>
      <c r="T790" s="109"/>
      <c r="U790" s="109"/>
      <c r="V790" s="109"/>
      <c r="W790" s="109"/>
      <c r="X790" s="109"/>
      <c r="Y790" s="109"/>
      <c r="Z790" s="109"/>
    </row>
    <row r="791" ht="29.25" customHeight="1">
      <c r="A791" s="109"/>
      <c r="B791" s="109"/>
      <c r="C791" s="109"/>
      <c r="D791" s="109"/>
      <c r="E791" s="109"/>
      <c r="F791" s="109"/>
      <c r="G791" s="317"/>
      <c r="H791" s="109"/>
      <c r="I791" s="109"/>
      <c r="J791" s="109"/>
      <c r="K791" s="109"/>
      <c r="L791" s="109"/>
      <c r="M791" s="109"/>
      <c r="N791" s="109"/>
      <c r="O791" s="109"/>
      <c r="P791" s="109"/>
      <c r="Q791" s="109"/>
      <c r="R791" s="109"/>
      <c r="S791" s="109"/>
      <c r="T791" s="109"/>
      <c r="U791" s="109"/>
      <c r="V791" s="109"/>
      <c r="W791" s="109"/>
      <c r="X791" s="109"/>
      <c r="Y791" s="109"/>
      <c r="Z791" s="109"/>
    </row>
    <row r="792" ht="29.25" customHeight="1">
      <c r="A792" s="109"/>
      <c r="B792" s="109"/>
      <c r="C792" s="109"/>
      <c r="D792" s="109"/>
      <c r="E792" s="109"/>
      <c r="F792" s="109"/>
      <c r="G792" s="317"/>
      <c r="H792" s="109"/>
      <c r="I792" s="109"/>
      <c r="J792" s="109"/>
      <c r="K792" s="109"/>
      <c r="L792" s="109"/>
      <c r="M792" s="109"/>
      <c r="N792" s="109"/>
      <c r="O792" s="109"/>
      <c r="P792" s="109"/>
      <c r="Q792" s="109"/>
      <c r="R792" s="109"/>
      <c r="S792" s="109"/>
      <c r="T792" s="109"/>
      <c r="U792" s="109"/>
      <c r="V792" s="109"/>
      <c r="W792" s="109"/>
      <c r="X792" s="109"/>
      <c r="Y792" s="109"/>
      <c r="Z792" s="109"/>
    </row>
    <row r="793" ht="29.25" customHeight="1">
      <c r="A793" s="109"/>
      <c r="B793" s="109"/>
      <c r="C793" s="109"/>
      <c r="D793" s="109"/>
      <c r="E793" s="109"/>
      <c r="F793" s="109"/>
      <c r="G793" s="317"/>
      <c r="H793" s="109"/>
      <c r="I793" s="109"/>
      <c r="J793" s="109"/>
      <c r="K793" s="109"/>
      <c r="L793" s="109"/>
      <c r="M793" s="109"/>
      <c r="N793" s="109"/>
      <c r="O793" s="109"/>
      <c r="P793" s="109"/>
      <c r="Q793" s="109"/>
      <c r="R793" s="109"/>
      <c r="S793" s="109"/>
      <c r="T793" s="109"/>
      <c r="U793" s="109"/>
      <c r="V793" s="109"/>
      <c r="W793" s="109"/>
      <c r="X793" s="109"/>
      <c r="Y793" s="109"/>
      <c r="Z793" s="109"/>
    </row>
    <row r="794" ht="29.25" customHeight="1">
      <c r="A794" s="109"/>
      <c r="B794" s="109"/>
      <c r="C794" s="109"/>
      <c r="D794" s="109"/>
      <c r="E794" s="109"/>
      <c r="F794" s="109"/>
      <c r="G794" s="317"/>
      <c r="H794" s="109"/>
      <c r="I794" s="109"/>
      <c r="J794" s="109"/>
      <c r="K794" s="109"/>
      <c r="L794" s="109"/>
      <c r="M794" s="109"/>
      <c r="N794" s="109"/>
      <c r="O794" s="109"/>
      <c r="P794" s="109"/>
      <c r="Q794" s="109"/>
      <c r="R794" s="109"/>
      <c r="S794" s="109"/>
      <c r="T794" s="109"/>
      <c r="U794" s="109"/>
      <c r="V794" s="109"/>
      <c r="W794" s="109"/>
      <c r="X794" s="109"/>
      <c r="Y794" s="109"/>
      <c r="Z794" s="109"/>
    </row>
    <row r="795" ht="29.25" customHeight="1">
      <c r="A795" s="109"/>
      <c r="B795" s="109"/>
      <c r="C795" s="109"/>
      <c r="D795" s="109"/>
      <c r="E795" s="109"/>
      <c r="F795" s="109"/>
      <c r="G795" s="317"/>
      <c r="H795" s="109"/>
      <c r="I795" s="109"/>
      <c r="J795" s="109"/>
      <c r="K795" s="109"/>
      <c r="L795" s="109"/>
      <c r="M795" s="109"/>
      <c r="N795" s="109"/>
      <c r="O795" s="109"/>
      <c r="P795" s="109"/>
      <c r="Q795" s="109"/>
      <c r="R795" s="109"/>
      <c r="S795" s="109"/>
      <c r="T795" s="109"/>
      <c r="U795" s="109"/>
      <c r="V795" s="109"/>
      <c r="W795" s="109"/>
      <c r="X795" s="109"/>
      <c r="Y795" s="109"/>
      <c r="Z795" s="109"/>
    </row>
    <row r="796" ht="29.25" customHeight="1">
      <c r="A796" s="109"/>
      <c r="B796" s="109"/>
      <c r="C796" s="109"/>
      <c r="D796" s="109"/>
      <c r="E796" s="109"/>
      <c r="F796" s="109"/>
      <c r="G796" s="317"/>
      <c r="H796" s="109"/>
      <c r="I796" s="109"/>
      <c r="J796" s="109"/>
      <c r="K796" s="109"/>
      <c r="L796" s="109"/>
      <c r="M796" s="109"/>
      <c r="N796" s="109"/>
      <c r="O796" s="109"/>
      <c r="P796" s="109"/>
      <c r="Q796" s="109"/>
      <c r="R796" s="109"/>
      <c r="S796" s="109"/>
      <c r="T796" s="109"/>
      <c r="U796" s="109"/>
      <c r="V796" s="109"/>
      <c r="W796" s="109"/>
      <c r="X796" s="109"/>
      <c r="Y796" s="109"/>
      <c r="Z796" s="109"/>
    </row>
    <row r="797" ht="29.25" customHeight="1">
      <c r="A797" s="109"/>
      <c r="B797" s="109"/>
      <c r="C797" s="109"/>
      <c r="D797" s="109"/>
      <c r="E797" s="109"/>
      <c r="F797" s="109"/>
      <c r="G797" s="317"/>
      <c r="H797" s="109"/>
      <c r="I797" s="109"/>
      <c r="J797" s="109"/>
      <c r="K797" s="109"/>
      <c r="L797" s="109"/>
      <c r="M797" s="109"/>
      <c r="N797" s="109"/>
      <c r="O797" s="109"/>
      <c r="P797" s="109"/>
      <c r="Q797" s="109"/>
      <c r="R797" s="109"/>
      <c r="S797" s="109"/>
      <c r="T797" s="109"/>
      <c r="U797" s="109"/>
      <c r="V797" s="109"/>
      <c r="W797" s="109"/>
      <c r="X797" s="109"/>
      <c r="Y797" s="109"/>
      <c r="Z797" s="109"/>
    </row>
    <row r="798" ht="29.25" customHeight="1">
      <c r="A798" s="109"/>
      <c r="B798" s="109"/>
      <c r="C798" s="109"/>
      <c r="D798" s="109"/>
      <c r="E798" s="109"/>
      <c r="F798" s="109"/>
      <c r="G798" s="317"/>
      <c r="H798" s="109"/>
      <c r="I798" s="109"/>
      <c r="J798" s="109"/>
      <c r="K798" s="109"/>
      <c r="L798" s="109"/>
      <c r="M798" s="109"/>
      <c r="N798" s="109"/>
      <c r="O798" s="109"/>
      <c r="P798" s="109"/>
      <c r="Q798" s="109"/>
      <c r="R798" s="109"/>
      <c r="S798" s="109"/>
      <c r="T798" s="109"/>
      <c r="U798" s="109"/>
      <c r="V798" s="109"/>
      <c r="W798" s="109"/>
      <c r="X798" s="109"/>
      <c r="Y798" s="109"/>
      <c r="Z798" s="109"/>
    </row>
    <row r="799" ht="29.25" customHeight="1">
      <c r="A799" s="109"/>
      <c r="B799" s="109"/>
      <c r="C799" s="109"/>
      <c r="D799" s="109"/>
      <c r="E799" s="109"/>
      <c r="F799" s="109"/>
      <c r="G799" s="317"/>
      <c r="H799" s="109"/>
      <c r="I799" s="109"/>
      <c r="J799" s="109"/>
      <c r="K799" s="109"/>
      <c r="L799" s="109"/>
      <c r="M799" s="109"/>
      <c r="N799" s="109"/>
      <c r="O799" s="109"/>
      <c r="P799" s="109"/>
      <c r="Q799" s="109"/>
      <c r="R799" s="109"/>
      <c r="S799" s="109"/>
      <c r="T799" s="109"/>
      <c r="U799" s="109"/>
      <c r="V799" s="109"/>
      <c r="W799" s="109"/>
      <c r="X799" s="109"/>
      <c r="Y799" s="109"/>
      <c r="Z799" s="109"/>
    </row>
    <row r="800" ht="29.25" customHeight="1">
      <c r="A800" s="109"/>
      <c r="B800" s="109"/>
      <c r="C800" s="109"/>
      <c r="D800" s="109"/>
      <c r="E800" s="109"/>
      <c r="F800" s="109"/>
      <c r="G800" s="317"/>
      <c r="H800" s="109"/>
      <c r="I800" s="109"/>
      <c r="J800" s="109"/>
      <c r="K800" s="109"/>
      <c r="L800" s="109"/>
      <c r="M800" s="109"/>
      <c r="N800" s="109"/>
      <c r="O800" s="109"/>
      <c r="P800" s="109"/>
      <c r="Q800" s="109"/>
      <c r="R800" s="109"/>
      <c r="S800" s="109"/>
      <c r="T800" s="109"/>
      <c r="U800" s="109"/>
      <c r="V800" s="109"/>
      <c r="W800" s="109"/>
      <c r="X800" s="109"/>
      <c r="Y800" s="109"/>
      <c r="Z800" s="109"/>
    </row>
    <row r="801" ht="29.25" customHeight="1">
      <c r="A801" s="109"/>
      <c r="B801" s="109"/>
      <c r="C801" s="109"/>
      <c r="D801" s="109"/>
      <c r="E801" s="109"/>
      <c r="F801" s="109"/>
      <c r="G801" s="317"/>
      <c r="H801" s="109"/>
      <c r="I801" s="109"/>
      <c r="J801" s="109"/>
      <c r="K801" s="109"/>
      <c r="L801" s="109"/>
      <c r="M801" s="109"/>
      <c r="N801" s="109"/>
      <c r="O801" s="109"/>
      <c r="P801" s="109"/>
      <c r="Q801" s="109"/>
      <c r="R801" s="109"/>
      <c r="S801" s="109"/>
      <c r="T801" s="109"/>
      <c r="U801" s="109"/>
      <c r="V801" s="109"/>
      <c r="W801" s="109"/>
      <c r="X801" s="109"/>
      <c r="Y801" s="109"/>
      <c r="Z801" s="109"/>
    </row>
    <row r="802" ht="29.25" customHeight="1">
      <c r="A802" s="109"/>
      <c r="B802" s="109"/>
      <c r="C802" s="109"/>
      <c r="D802" s="109"/>
      <c r="E802" s="109"/>
      <c r="F802" s="109"/>
      <c r="G802" s="317"/>
      <c r="H802" s="109"/>
      <c r="I802" s="109"/>
      <c r="J802" s="109"/>
      <c r="K802" s="109"/>
      <c r="L802" s="109"/>
      <c r="M802" s="109"/>
      <c r="N802" s="109"/>
      <c r="O802" s="109"/>
      <c r="P802" s="109"/>
      <c r="Q802" s="109"/>
      <c r="R802" s="109"/>
      <c r="S802" s="109"/>
      <c r="T802" s="109"/>
      <c r="U802" s="109"/>
      <c r="V802" s="109"/>
      <c r="W802" s="109"/>
      <c r="X802" s="109"/>
      <c r="Y802" s="109"/>
      <c r="Z802" s="109"/>
    </row>
    <row r="803" ht="29.25" customHeight="1">
      <c r="A803" s="109"/>
      <c r="B803" s="109"/>
      <c r="C803" s="109"/>
      <c r="D803" s="109"/>
      <c r="E803" s="109"/>
      <c r="F803" s="109"/>
      <c r="G803" s="317"/>
      <c r="H803" s="109"/>
      <c r="I803" s="109"/>
      <c r="J803" s="109"/>
      <c r="K803" s="109"/>
      <c r="L803" s="109"/>
      <c r="M803" s="109"/>
      <c r="N803" s="109"/>
      <c r="O803" s="109"/>
      <c r="P803" s="109"/>
      <c r="Q803" s="109"/>
      <c r="R803" s="109"/>
      <c r="S803" s="109"/>
      <c r="T803" s="109"/>
      <c r="U803" s="109"/>
      <c r="V803" s="109"/>
      <c r="W803" s="109"/>
      <c r="X803" s="109"/>
      <c r="Y803" s="109"/>
      <c r="Z803" s="109"/>
    </row>
    <row r="804" ht="29.25" customHeight="1">
      <c r="A804" s="109"/>
      <c r="B804" s="109"/>
      <c r="C804" s="109"/>
      <c r="D804" s="109"/>
      <c r="E804" s="109"/>
      <c r="F804" s="109"/>
      <c r="G804" s="317"/>
      <c r="H804" s="109"/>
      <c r="I804" s="109"/>
      <c r="J804" s="109"/>
      <c r="K804" s="109"/>
      <c r="L804" s="109"/>
      <c r="M804" s="109"/>
      <c r="N804" s="109"/>
      <c r="O804" s="109"/>
      <c r="P804" s="109"/>
      <c r="Q804" s="109"/>
      <c r="R804" s="109"/>
      <c r="S804" s="109"/>
      <c r="T804" s="109"/>
      <c r="U804" s="109"/>
      <c r="V804" s="109"/>
      <c r="W804" s="109"/>
      <c r="X804" s="109"/>
      <c r="Y804" s="109"/>
      <c r="Z804" s="109"/>
    </row>
    <row r="805" ht="29.25" customHeight="1">
      <c r="A805" s="109"/>
      <c r="B805" s="109"/>
      <c r="C805" s="109"/>
      <c r="D805" s="109"/>
      <c r="E805" s="109"/>
      <c r="F805" s="109"/>
      <c r="G805" s="317"/>
      <c r="H805" s="109"/>
      <c r="I805" s="109"/>
      <c r="J805" s="109"/>
      <c r="K805" s="109"/>
      <c r="L805" s="109"/>
      <c r="M805" s="109"/>
      <c r="N805" s="109"/>
      <c r="O805" s="109"/>
      <c r="P805" s="109"/>
      <c r="Q805" s="109"/>
      <c r="R805" s="109"/>
      <c r="S805" s="109"/>
      <c r="T805" s="109"/>
      <c r="U805" s="109"/>
      <c r="V805" s="109"/>
      <c r="W805" s="109"/>
      <c r="X805" s="109"/>
      <c r="Y805" s="109"/>
      <c r="Z805" s="109"/>
    </row>
    <row r="806" ht="29.25" customHeight="1">
      <c r="A806" s="109"/>
      <c r="B806" s="109"/>
      <c r="C806" s="109"/>
      <c r="D806" s="109"/>
      <c r="E806" s="109"/>
      <c r="F806" s="109"/>
      <c r="G806" s="317"/>
      <c r="H806" s="109"/>
      <c r="I806" s="109"/>
      <c r="J806" s="109"/>
      <c r="K806" s="109"/>
      <c r="L806" s="109"/>
      <c r="M806" s="109"/>
      <c r="N806" s="109"/>
      <c r="O806" s="109"/>
      <c r="P806" s="109"/>
      <c r="Q806" s="109"/>
      <c r="R806" s="109"/>
      <c r="S806" s="109"/>
      <c r="T806" s="109"/>
      <c r="U806" s="109"/>
      <c r="V806" s="109"/>
      <c r="W806" s="109"/>
      <c r="X806" s="109"/>
      <c r="Y806" s="109"/>
      <c r="Z806" s="109"/>
    </row>
    <row r="807" ht="29.25" customHeight="1">
      <c r="A807" s="109"/>
      <c r="B807" s="109"/>
      <c r="C807" s="109"/>
      <c r="D807" s="109"/>
      <c r="E807" s="109"/>
      <c r="F807" s="109"/>
      <c r="G807" s="317"/>
      <c r="H807" s="109"/>
      <c r="I807" s="109"/>
      <c r="J807" s="109"/>
      <c r="K807" s="109"/>
      <c r="L807" s="109"/>
      <c r="M807" s="109"/>
      <c r="N807" s="109"/>
      <c r="O807" s="109"/>
      <c r="P807" s="109"/>
      <c r="Q807" s="109"/>
      <c r="R807" s="109"/>
      <c r="S807" s="109"/>
      <c r="T807" s="109"/>
      <c r="U807" s="109"/>
      <c r="V807" s="109"/>
      <c r="W807" s="109"/>
      <c r="X807" s="109"/>
      <c r="Y807" s="109"/>
      <c r="Z807" s="109"/>
    </row>
    <row r="808" ht="29.25" customHeight="1">
      <c r="A808" s="109"/>
      <c r="B808" s="109"/>
      <c r="C808" s="109"/>
      <c r="D808" s="109"/>
      <c r="E808" s="109"/>
      <c r="F808" s="109"/>
      <c r="G808" s="317"/>
      <c r="H808" s="109"/>
      <c r="I808" s="109"/>
      <c r="J808" s="109"/>
      <c r="K808" s="109"/>
      <c r="L808" s="109"/>
      <c r="M808" s="109"/>
      <c r="N808" s="109"/>
      <c r="O808" s="109"/>
      <c r="P808" s="109"/>
      <c r="Q808" s="109"/>
      <c r="R808" s="109"/>
      <c r="S808" s="109"/>
      <c r="T808" s="109"/>
      <c r="U808" s="109"/>
      <c r="V808" s="109"/>
      <c r="W808" s="109"/>
      <c r="X808" s="109"/>
      <c r="Y808" s="109"/>
      <c r="Z808" s="109"/>
    </row>
    <row r="809" ht="29.25" customHeight="1">
      <c r="A809" s="109"/>
      <c r="B809" s="109"/>
      <c r="C809" s="109"/>
      <c r="D809" s="109"/>
      <c r="E809" s="109"/>
      <c r="F809" s="109"/>
      <c r="G809" s="317"/>
      <c r="H809" s="109"/>
      <c r="I809" s="109"/>
      <c r="J809" s="109"/>
      <c r="K809" s="109"/>
      <c r="L809" s="109"/>
      <c r="M809" s="109"/>
      <c r="N809" s="109"/>
      <c r="O809" s="109"/>
      <c r="P809" s="109"/>
      <c r="Q809" s="109"/>
      <c r="R809" s="109"/>
      <c r="S809" s="109"/>
      <c r="T809" s="109"/>
      <c r="U809" s="109"/>
      <c r="V809" s="109"/>
      <c r="W809" s="109"/>
      <c r="X809" s="109"/>
      <c r="Y809" s="109"/>
      <c r="Z809" s="109"/>
    </row>
    <row r="810" ht="29.25" customHeight="1">
      <c r="A810" s="109"/>
      <c r="B810" s="109"/>
      <c r="C810" s="109"/>
      <c r="D810" s="109"/>
      <c r="E810" s="109"/>
      <c r="F810" s="109"/>
      <c r="G810" s="317"/>
      <c r="H810" s="109"/>
      <c r="I810" s="109"/>
      <c r="J810" s="109"/>
      <c r="K810" s="109"/>
      <c r="L810" s="109"/>
      <c r="M810" s="109"/>
      <c r="N810" s="109"/>
      <c r="O810" s="109"/>
      <c r="P810" s="109"/>
      <c r="Q810" s="109"/>
      <c r="R810" s="109"/>
      <c r="S810" s="109"/>
      <c r="T810" s="109"/>
      <c r="U810" s="109"/>
      <c r="V810" s="109"/>
      <c r="W810" s="109"/>
      <c r="X810" s="109"/>
      <c r="Y810" s="109"/>
      <c r="Z810" s="109"/>
    </row>
    <row r="811" ht="29.25" customHeight="1">
      <c r="A811" s="109"/>
      <c r="B811" s="109"/>
      <c r="C811" s="109"/>
      <c r="D811" s="109"/>
      <c r="E811" s="109"/>
      <c r="F811" s="109"/>
      <c r="G811" s="317"/>
      <c r="H811" s="109"/>
      <c r="I811" s="109"/>
      <c r="J811" s="109"/>
      <c r="K811" s="109"/>
      <c r="L811" s="109"/>
      <c r="M811" s="109"/>
      <c r="N811" s="109"/>
      <c r="O811" s="109"/>
      <c r="P811" s="109"/>
      <c r="Q811" s="109"/>
      <c r="R811" s="109"/>
      <c r="S811" s="109"/>
      <c r="T811" s="109"/>
      <c r="U811" s="109"/>
      <c r="V811" s="109"/>
      <c r="W811" s="109"/>
      <c r="X811" s="109"/>
      <c r="Y811" s="109"/>
      <c r="Z811" s="109"/>
    </row>
    <row r="812" ht="29.25" customHeight="1">
      <c r="A812" s="109"/>
      <c r="B812" s="109"/>
      <c r="C812" s="109"/>
      <c r="D812" s="109"/>
      <c r="E812" s="109"/>
      <c r="F812" s="109"/>
      <c r="G812" s="317"/>
      <c r="H812" s="109"/>
      <c r="I812" s="109"/>
      <c r="J812" s="109"/>
      <c r="K812" s="109"/>
      <c r="L812" s="109"/>
      <c r="M812" s="109"/>
      <c r="N812" s="109"/>
      <c r="O812" s="109"/>
      <c r="P812" s="109"/>
      <c r="Q812" s="109"/>
      <c r="R812" s="109"/>
      <c r="S812" s="109"/>
      <c r="T812" s="109"/>
      <c r="U812" s="109"/>
      <c r="V812" s="109"/>
      <c r="W812" s="109"/>
      <c r="X812" s="109"/>
      <c r="Y812" s="109"/>
      <c r="Z812" s="109"/>
    </row>
    <row r="813" ht="29.25" customHeight="1">
      <c r="A813" s="109"/>
      <c r="B813" s="109"/>
      <c r="C813" s="109"/>
      <c r="D813" s="109"/>
      <c r="E813" s="109"/>
      <c r="F813" s="109"/>
      <c r="G813" s="317"/>
      <c r="H813" s="109"/>
      <c r="I813" s="109"/>
      <c r="J813" s="109"/>
      <c r="K813" s="109"/>
      <c r="L813" s="109"/>
      <c r="M813" s="109"/>
      <c r="N813" s="109"/>
      <c r="O813" s="109"/>
      <c r="P813" s="109"/>
      <c r="Q813" s="109"/>
      <c r="R813" s="109"/>
      <c r="S813" s="109"/>
      <c r="T813" s="109"/>
      <c r="U813" s="109"/>
      <c r="V813" s="109"/>
      <c r="W813" s="109"/>
      <c r="X813" s="109"/>
      <c r="Y813" s="109"/>
      <c r="Z813" s="109"/>
    </row>
    <row r="814" ht="29.25" customHeight="1">
      <c r="A814" s="109"/>
      <c r="B814" s="109"/>
      <c r="C814" s="109"/>
      <c r="D814" s="109"/>
      <c r="E814" s="109"/>
      <c r="F814" s="109"/>
      <c r="G814" s="317"/>
      <c r="H814" s="109"/>
      <c r="I814" s="109"/>
      <c r="J814" s="109"/>
      <c r="K814" s="109"/>
      <c r="L814" s="109"/>
      <c r="M814" s="109"/>
      <c r="N814" s="109"/>
      <c r="O814" s="109"/>
      <c r="P814" s="109"/>
      <c r="Q814" s="109"/>
      <c r="R814" s="109"/>
      <c r="S814" s="109"/>
      <c r="T814" s="109"/>
      <c r="U814" s="109"/>
      <c r="V814" s="109"/>
      <c r="W814" s="109"/>
      <c r="X814" s="109"/>
      <c r="Y814" s="109"/>
      <c r="Z814" s="109"/>
    </row>
    <row r="815" ht="29.25" customHeight="1">
      <c r="A815" s="109"/>
      <c r="B815" s="109"/>
      <c r="C815" s="109"/>
      <c r="D815" s="109"/>
      <c r="E815" s="109"/>
      <c r="F815" s="109"/>
      <c r="G815" s="317"/>
      <c r="H815" s="109"/>
      <c r="I815" s="109"/>
      <c r="J815" s="109"/>
      <c r="K815" s="109"/>
      <c r="L815" s="109"/>
      <c r="M815" s="109"/>
      <c r="N815" s="109"/>
      <c r="O815" s="109"/>
      <c r="P815" s="109"/>
      <c r="Q815" s="109"/>
      <c r="R815" s="109"/>
      <c r="S815" s="109"/>
      <c r="T815" s="109"/>
      <c r="U815" s="109"/>
      <c r="V815" s="109"/>
      <c r="W815" s="109"/>
      <c r="X815" s="109"/>
      <c r="Y815" s="109"/>
      <c r="Z815" s="109"/>
    </row>
    <row r="816" ht="29.25" customHeight="1">
      <c r="A816" s="109"/>
      <c r="B816" s="109"/>
      <c r="C816" s="109"/>
      <c r="D816" s="109"/>
      <c r="E816" s="109"/>
      <c r="F816" s="109"/>
      <c r="G816" s="317"/>
      <c r="H816" s="109"/>
      <c r="I816" s="109"/>
      <c r="J816" s="109"/>
      <c r="K816" s="109"/>
      <c r="L816" s="109"/>
      <c r="M816" s="109"/>
      <c r="N816" s="109"/>
      <c r="O816" s="109"/>
      <c r="P816" s="109"/>
      <c r="Q816" s="109"/>
      <c r="R816" s="109"/>
      <c r="S816" s="109"/>
      <c r="T816" s="109"/>
      <c r="U816" s="109"/>
      <c r="V816" s="109"/>
      <c r="W816" s="109"/>
      <c r="X816" s="109"/>
      <c r="Y816" s="109"/>
      <c r="Z816" s="109"/>
    </row>
    <row r="817" ht="29.25" customHeight="1">
      <c r="A817" s="109"/>
      <c r="B817" s="109"/>
      <c r="C817" s="109"/>
      <c r="D817" s="109"/>
      <c r="E817" s="109"/>
      <c r="F817" s="109"/>
      <c r="G817" s="317"/>
      <c r="H817" s="109"/>
      <c r="I817" s="109"/>
      <c r="J817" s="109"/>
      <c r="K817" s="109"/>
      <c r="L817" s="109"/>
      <c r="M817" s="109"/>
      <c r="N817" s="109"/>
      <c r="O817" s="109"/>
      <c r="P817" s="109"/>
      <c r="Q817" s="109"/>
      <c r="R817" s="109"/>
      <c r="S817" s="109"/>
      <c r="T817" s="109"/>
      <c r="U817" s="109"/>
      <c r="V817" s="109"/>
      <c r="W817" s="109"/>
      <c r="X817" s="109"/>
      <c r="Y817" s="109"/>
      <c r="Z817" s="109"/>
    </row>
    <row r="818" ht="29.25" customHeight="1">
      <c r="A818" s="109"/>
      <c r="B818" s="109"/>
      <c r="C818" s="109"/>
      <c r="D818" s="109"/>
      <c r="E818" s="109"/>
      <c r="F818" s="109"/>
      <c r="G818" s="317"/>
      <c r="H818" s="109"/>
      <c r="I818" s="109"/>
      <c r="J818" s="109"/>
      <c r="K818" s="109"/>
      <c r="L818" s="109"/>
      <c r="M818" s="109"/>
      <c r="N818" s="109"/>
      <c r="O818" s="109"/>
      <c r="P818" s="109"/>
      <c r="Q818" s="109"/>
      <c r="R818" s="109"/>
      <c r="S818" s="109"/>
      <c r="T818" s="109"/>
      <c r="U818" s="109"/>
      <c r="V818" s="109"/>
      <c r="W818" s="109"/>
      <c r="X818" s="109"/>
      <c r="Y818" s="109"/>
      <c r="Z818" s="109"/>
    </row>
    <row r="819" ht="29.25" customHeight="1">
      <c r="A819" s="109"/>
      <c r="B819" s="109"/>
      <c r="C819" s="109"/>
      <c r="D819" s="109"/>
      <c r="E819" s="109"/>
      <c r="F819" s="109"/>
      <c r="G819" s="317"/>
      <c r="H819" s="109"/>
      <c r="I819" s="109"/>
      <c r="J819" s="109"/>
      <c r="K819" s="109"/>
      <c r="L819" s="109"/>
      <c r="M819" s="109"/>
      <c r="N819" s="109"/>
      <c r="O819" s="109"/>
      <c r="P819" s="109"/>
      <c r="Q819" s="109"/>
      <c r="R819" s="109"/>
      <c r="S819" s="109"/>
      <c r="T819" s="109"/>
      <c r="U819" s="109"/>
      <c r="V819" s="109"/>
      <c r="W819" s="109"/>
      <c r="X819" s="109"/>
      <c r="Y819" s="109"/>
      <c r="Z819" s="109"/>
    </row>
    <row r="820" ht="29.25" customHeight="1">
      <c r="A820" s="109"/>
      <c r="B820" s="109"/>
      <c r="C820" s="109"/>
      <c r="D820" s="109"/>
      <c r="E820" s="109"/>
      <c r="F820" s="109"/>
      <c r="G820" s="317"/>
      <c r="H820" s="109"/>
      <c r="I820" s="109"/>
      <c r="J820" s="109"/>
      <c r="K820" s="109"/>
      <c r="L820" s="109"/>
      <c r="M820" s="109"/>
      <c r="N820" s="109"/>
      <c r="O820" s="109"/>
      <c r="P820" s="109"/>
      <c r="Q820" s="109"/>
      <c r="R820" s="109"/>
      <c r="S820" s="109"/>
      <c r="T820" s="109"/>
      <c r="U820" s="109"/>
      <c r="V820" s="109"/>
      <c r="W820" s="109"/>
      <c r="X820" s="109"/>
      <c r="Y820" s="109"/>
      <c r="Z820" s="109"/>
    </row>
    <row r="821" ht="29.25" customHeight="1">
      <c r="A821" s="109"/>
      <c r="B821" s="109"/>
      <c r="C821" s="109"/>
      <c r="D821" s="109"/>
      <c r="E821" s="109"/>
      <c r="F821" s="109"/>
      <c r="G821" s="317"/>
      <c r="H821" s="109"/>
      <c r="I821" s="109"/>
      <c r="J821" s="109"/>
      <c r="K821" s="109"/>
      <c r="L821" s="109"/>
      <c r="M821" s="109"/>
      <c r="N821" s="109"/>
      <c r="O821" s="109"/>
      <c r="P821" s="109"/>
      <c r="Q821" s="109"/>
      <c r="R821" s="109"/>
      <c r="S821" s="109"/>
      <c r="T821" s="109"/>
      <c r="U821" s="109"/>
      <c r="V821" s="109"/>
      <c r="W821" s="109"/>
      <c r="X821" s="109"/>
      <c r="Y821" s="109"/>
      <c r="Z821" s="109"/>
    </row>
    <row r="822" ht="29.25" customHeight="1">
      <c r="A822" s="109"/>
      <c r="B822" s="109"/>
      <c r="C822" s="109"/>
      <c r="D822" s="109"/>
      <c r="E822" s="109"/>
      <c r="F822" s="109"/>
      <c r="G822" s="317"/>
      <c r="H822" s="109"/>
      <c r="I822" s="109"/>
      <c r="J822" s="109"/>
      <c r="K822" s="109"/>
      <c r="L822" s="109"/>
      <c r="M822" s="109"/>
      <c r="N822" s="109"/>
      <c r="O822" s="109"/>
      <c r="P822" s="109"/>
      <c r="Q822" s="109"/>
      <c r="R822" s="109"/>
      <c r="S822" s="109"/>
      <c r="T822" s="109"/>
      <c r="U822" s="109"/>
      <c r="V822" s="109"/>
      <c r="W822" s="109"/>
      <c r="X822" s="109"/>
      <c r="Y822" s="109"/>
      <c r="Z822" s="109"/>
    </row>
    <row r="823" ht="29.25" customHeight="1">
      <c r="A823" s="109"/>
      <c r="B823" s="109"/>
      <c r="C823" s="109"/>
      <c r="D823" s="109"/>
      <c r="E823" s="109"/>
      <c r="F823" s="109"/>
      <c r="G823" s="317"/>
      <c r="H823" s="109"/>
      <c r="I823" s="109"/>
      <c r="J823" s="109"/>
      <c r="K823" s="109"/>
      <c r="L823" s="109"/>
      <c r="M823" s="109"/>
      <c r="N823" s="109"/>
      <c r="O823" s="109"/>
      <c r="P823" s="109"/>
      <c r="Q823" s="109"/>
      <c r="R823" s="109"/>
      <c r="S823" s="109"/>
      <c r="T823" s="109"/>
      <c r="U823" s="109"/>
      <c r="V823" s="109"/>
      <c r="W823" s="109"/>
      <c r="X823" s="109"/>
      <c r="Y823" s="109"/>
      <c r="Z823" s="109"/>
    </row>
    <row r="824" ht="29.25" customHeight="1">
      <c r="A824" s="109"/>
      <c r="B824" s="109"/>
      <c r="C824" s="109"/>
      <c r="D824" s="109"/>
      <c r="E824" s="109"/>
      <c r="F824" s="109"/>
      <c r="G824" s="317"/>
      <c r="H824" s="109"/>
      <c r="I824" s="109"/>
      <c r="J824" s="109"/>
      <c r="K824" s="109"/>
      <c r="L824" s="109"/>
      <c r="M824" s="109"/>
      <c r="N824" s="109"/>
      <c r="O824" s="109"/>
      <c r="P824" s="109"/>
      <c r="Q824" s="109"/>
      <c r="R824" s="109"/>
      <c r="S824" s="109"/>
      <c r="T824" s="109"/>
      <c r="U824" s="109"/>
      <c r="V824" s="109"/>
      <c r="W824" s="109"/>
      <c r="X824" s="109"/>
      <c r="Y824" s="109"/>
      <c r="Z824" s="109"/>
    </row>
    <row r="825" ht="29.25" customHeight="1">
      <c r="A825" s="109"/>
      <c r="B825" s="109"/>
      <c r="C825" s="109"/>
      <c r="D825" s="109"/>
      <c r="E825" s="109"/>
      <c r="F825" s="109"/>
      <c r="G825" s="317"/>
      <c r="H825" s="109"/>
      <c r="I825" s="109"/>
      <c r="J825" s="109"/>
      <c r="K825" s="109"/>
      <c r="L825" s="109"/>
      <c r="M825" s="109"/>
      <c r="N825" s="109"/>
      <c r="O825" s="109"/>
      <c r="P825" s="109"/>
      <c r="Q825" s="109"/>
      <c r="R825" s="109"/>
      <c r="S825" s="109"/>
      <c r="T825" s="109"/>
      <c r="U825" s="109"/>
      <c r="V825" s="109"/>
      <c r="W825" s="109"/>
      <c r="X825" s="109"/>
      <c r="Y825" s="109"/>
      <c r="Z825" s="109"/>
    </row>
    <row r="826" ht="29.25" customHeight="1">
      <c r="A826" s="109"/>
      <c r="B826" s="109"/>
      <c r="C826" s="109"/>
      <c r="D826" s="109"/>
      <c r="E826" s="109"/>
      <c r="F826" s="109"/>
      <c r="G826" s="317"/>
      <c r="H826" s="109"/>
      <c r="I826" s="109"/>
      <c r="J826" s="109"/>
      <c r="K826" s="109"/>
      <c r="L826" s="109"/>
      <c r="M826" s="109"/>
      <c r="N826" s="109"/>
      <c r="O826" s="109"/>
      <c r="P826" s="109"/>
      <c r="Q826" s="109"/>
      <c r="R826" s="109"/>
      <c r="S826" s="109"/>
      <c r="T826" s="109"/>
      <c r="U826" s="109"/>
      <c r="V826" s="109"/>
      <c r="W826" s="109"/>
      <c r="X826" s="109"/>
      <c r="Y826" s="109"/>
      <c r="Z826" s="109"/>
    </row>
    <row r="827" ht="29.25" customHeight="1">
      <c r="A827" s="109"/>
      <c r="B827" s="109"/>
      <c r="C827" s="109"/>
      <c r="D827" s="109"/>
      <c r="E827" s="109"/>
      <c r="F827" s="109"/>
      <c r="G827" s="317"/>
      <c r="H827" s="109"/>
      <c r="I827" s="109"/>
      <c r="J827" s="109"/>
      <c r="K827" s="109"/>
      <c r="L827" s="109"/>
      <c r="M827" s="109"/>
      <c r="N827" s="109"/>
      <c r="O827" s="109"/>
      <c r="P827" s="109"/>
      <c r="Q827" s="109"/>
      <c r="R827" s="109"/>
      <c r="S827" s="109"/>
      <c r="T827" s="109"/>
      <c r="U827" s="109"/>
      <c r="V827" s="109"/>
      <c r="W827" s="109"/>
      <c r="X827" s="109"/>
      <c r="Y827" s="109"/>
      <c r="Z827" s="109"/>
    </row>
    <row r="828" ht="29.25" customHeight="1">
      <c r="A828" s="109"/>
      <c r="B828" s="109"/>
      <c r="C828" s="109"/>
      <c r="D828" s="109"/>
      <c r="E828" s="109"/>
      <c r="F828" s="109"/>
      <c r="G828" s="317"/>
      <c r="H828" s="109"/>
      <c r="I828" s="109"/>
      <c r="J828" s="109"/>
      <c r="K828" s="109"/>
      <c r="L828" s="109"/>
      <c r="M828" s="109"/>
      <c r="N828" s="109"/>
      <c r="O828" s="109"/>
      <c r="P828" s="109"/>
      <c r="Q828" s="109"/>
      <c r="R828" s="109"/>
      <c r="S828" s="109"/>
      <c r="T828" s="109"/>
      <c r="U828" s="109"/>
      <c r="V828" s="109"/>
      <c r="W828" s="109"/>
      <c r="X828" s="109"/>
      <c r="Y828" s="109"/>
      <c r="Z828" s="109"/>
    </row>
    <row r="829" ht="29.25" customHeight="1">
      <c r="A829" s="109"/>
      <c r="B829" s="109"/>
      <c r="C829" s="109"/>
      <c r="D829" s="109"/>
      <c r="E829" s="109"/>
      <c r="F829" s="109"/>
      <c r="G829" s="317"/>
      <c r="H829" s="109"/>
      <c r="I829" s="109"/>
      <c r="J829" s="109"/>
      <c r="K829" s="109"/>
      <c r="L829" s="109"/>
      <c r="M829" s="109"/>
      <c r="N829" s="109"/>
      <c r="O829" s="109"/>
      <c r="P829" s="109"/>
      <c r="Q829" s="109"/>
      <c r="R829" s="109"/>
      <c r="S829" s="109"/>
      <c r="T829" s="109"/>
      <c r="U829" s="109"/>
      <c r="V829" s="109"/>
      <c r="W829" s="109"/>
      <c r="X829" s="109"/>
      <c r="Y829" s="109"/>
      <c r="Z829" s="109"/>
    </row>
    <row r="830" ht="29.25" customHeight="1">
      <c r="A830" s="109"/>
      <c r="B830" s="109"/>
      <c r="C830" s="109"/>
      <c r="D830" s="109"/>
      <c r="E830" s="109"/>
      <c r="F830" s="109"/>
      <c r="G830" s="317"/>
      <c r="H830" s="109"/>
      <c r="I830" s="109"/>
      <c r="J830" s="109"/>
      <c r="K830" s="109"/>
      <c r="L830" s="109"/>
      <c r="M830" s="109"/>
      <c r="N830" s="109"/>
      <c r="O830" s="109"/>
      <c r="P830" s="109"/>
      <c r="Q830" s="109"/>
      <c r="R830" s="109"/>
      <c r="S830" s="109"/>
      <c r="T830" s="109"/>
      <c r="U830" s="109"/>
      <c r="V830" s="109"/>
      <c r="W830" s="109"/>
      <c r="X830" s="109"/>
      <c r="Y830" s="109"/>
      <c r="Z830" s="109"/>
    </row>
    <row r="831" ht="29.25" customHeight="1">
      <c r="A831" s="109"/>
      <c r="B831" s="109"/>
      <c r="C831" s="109"/>
      <c r="D831" s="109"/>
      <c r="E831" s="109"/>
      <c r="F831" s="109"/>
      <c r="G831" s="317"/>
      <c r="H831" s="109"/>
      <c r="I831" s="109"/>
      <c r="J831" s="109"/>
      <c r="K831" s="109"/>
      <c r="L831" s="109"/>
      <c r="M831" s="109"/>
      <c r="N831" s="109"/>
      <c r="O831" s="109"/>
      <c r="P831" s="109"/>
      <c r="Q831" s="109"/>
      <c r="R831" s="109"/>
      <c r="S831" s="109"/>
      <c r="T831" s="109"/>
      <c r="U831" s="109"/>
      <c r="V831" s="109"/>
      <c r="W831" s="109"/>
      <c r="X831" s="109"/>
      <c r="Y831" s="109"/>
      <c r="Z831" s="109"/>
    </row>
    <row r="832" ht="29.25" customHeight="1">
      <c r="A832" s="109"/>
      <c r="B832" s="109"/>
      <c r="C832" s="109"/>
      <c r="D832" s="109"/>
      <c r="E832" s="109"/>
      <c r="F832" s="109"/>
      <c r="G832" s="317"/>
      <c r="H832" s="109"/>
      <c r="I832" s="109"/>
      <c r="J832" s="109"/>
      <c r="K832" s="109"/>
      <c r="L832" s="109"/>
      <c r="M832" s="109"/>
      <c r="N832" s="109"/>
      <c r="O832" s="109"/>
      <c r="P832" s="109"/>
      <c r="Q832" s="109"/>
      <c r="R832" s="109"/>
      <c r="S832" s="109"/>
      <c r="T832" s="109"/>
      <c r="U832" s="109"/>
      <c r="V832" s="109"/>
      <c r="W832" s="109"/>
      <c r="X832" s="109"/>
      <c r="Y832" s="109"/>
      <c r="Z832" s="109"/>
    </row>
    <row r="833" ht="29.25" customHeight="1">
      <c r="A833" s="109"/>
      <c r="B833" s="109"/>
      <c r="C833" s="109"/>
      <c r="D833" s="109"/>
      <c r="E833" s="109"/>
      <c r="F833" s="109"/>
      <c r="G833" s="317"/>
      <c r="H833" s="109"/>
      <c r="I833" s="109"/>
      <c r="J833" s="109"/>
      <c r="K833" s="109"/>
      <c r="L833" s="109"/>
      <c r="M833" s="109"/>
      <c r="N833" s="109"/>
      <c r="O833" s="109"/>
      <c r="P833" s="109"/>
      <c r="Q833" s="109"/>
      <c r="R833" s="109"/>
      <c r="S833" s="109"/>
      <c r="T833" s="109"/>
      <c r="U833" s="109"/>
      <c r="V833" s="109"/>
      <c r="W833" s="109"/>
      <c r="X833" s="109"/>
      <c r="Y833" s="109"/>
      <c r="Z833" s="109"/>
    </row>
    <row r="834" ht="29.25" customHeight="1">
      <c r="A834" s="109"/>
      <c r="B834" s="109"/>
      <c r="C834" s="109"/>
      <c r="D834" s="109"/>
      <c r="E834" s="109"/>
      <c r="F834" s="109"/>
      <c r="G834" s="317"/>
      <c r="H834" s="109"/>
      <c r="I834" s="109"/>
      <c r="J834" s="109"/>
      <c r="K834" s="109"/>
      <c r="L834" s="109"/>
      <c r="M834" s="109"/>
      <c r="N834" s="109"/>
      <c r="O834" s="109"/>
      <c r="P834" s="109"/>
      <c r="Q834" s="109"/>
      <c r="R834" s="109"/>
      <c r="S834" s="109"/>
      <c r="T834" s="109"/>
      <c r="U834" s="109"/>
      <c r="V834" s="109"/>
      <c r="W834" s="109"/>
      <c r="X834" s="109"/>
      <c r="Y834" s="109"/>
      <c r="Z834" s="109"/>
    </row>
    <row r="835" ht="29.25" customHeight="1">
      <c r="A835" s="109"/>
      <c r="B835" s="109"/>
      <c r="C835" s="109"/>
      <c r="D835" s="109"/>
      <c r="E835" s="109"/>
      <c r="F835" s="109"/>
      <c r="G835" s="317"/>
      <c r="H835" s="109"/>
      <c r="I835" s="109"/>
      <c r="J835" s="109"/>
      <c r="K835" s="109"/>
      <c r="L835" s="109"/>
      <c r="M835" s="109"/>
      <c r="N835" s="109"/>
      <c r="O835" s="109"/>
      <c r="P835" s="109"/>
      <c r="Q835" s="109"/>
      <c r="R835" s="109"/>
      <c r="S835" s="109"/>
      <c r="T835" s="109"/>
      <c r="U835" s="109"/>
      <c r="V835" s="109"/>
      <c r="W835" s="109"/>
      <c r="X835" s="109"/>
      <c r="Y835" s="109"/>
      <c r="Z835" s="109"/>
    </row>
    <row r="836" ht="29.25" customHeight="1">
      <c r="A836" s="109"/>
      <c r="B836" s="109"/>
      <c r="C836" s="109"/>
      <c r="D836" s="109"/>
      <c r="E836" s="109"/>
      <c r="F836" s="109"/>
      <c r="G836" s="317"/>
      <c r="H836" s="109"/>
      <c r="I836" s="109"/>
      <c r="J836" s="109"/>
      <c r="K836" s="109"/>
      <c r="L836" s="109"/>
      <c r="M836" s="109"/>
      <c r="N836" s="109"/>
      <c r="O836" s="109"/>
      <c r="P836" s="109"/>
      <c r="Q836" s="109"/>
      <c r="R836" s="109"/>
      <c r="S836" s="109"/>
      <c r="T836" s="109"/>
      <c r="U836" s="109"/>
      <c r="V836" s="109"/>
      <c r="W836" s="109"/>
      <c r="X836" s="109"/>
      <c r="Y836" s="109"/>
      <c r="Z836" s="109"/>
    </row>
    <row r="837" ht="29.25" customHeight="1">
      <c r="A837" s="109"/>
      <c r="B837" s="109"/>
      <c r="C837" s="109"/>
      <c r="D837" s="109"/>
      <c r="E837" s="109"/>
      <c r="F837" s="109"/>
      <c r="G837" s="317"/>
      <c r="H837" s="109"/>
      <c r="I837" s="109"/>
      <c r="J837" s="109"/>
      <c r="K837" s="109"/>
      <c r="L837" s="109"/>
      <c r="M837" s="109"/>
      <c r="N837" s="109"/>
      <c r="O837" s="109"/>
      <c r="P837" s="109"/>
      <c r="Q837" s="109"/>
      <c r="R837" s="109"/>
      <c r="S837" s="109"/>
      <c r="T837" s="109"/>
      <c r="U837" s="109"/>
      <c r="V837" s="109"/>
      <c r="W837" s="109"/>
      <c r="X837" s="109"/>
      <c r="Y837" s="109"/>
      <c r="Z837" s="109"/>
    </row>
    <row r="838" ht="29.25" customHeight="1">
      <c r="A838" s="109"/>
      <c r="B838" s="109"/>
      <c r="C838" s="109"/>
      <c r="D838" s="109"/>
      <c r="E838" s="109"/>
      <c r="F838" s="109"/>
      <c r="G838" s="317"/>
      <c r="H838" s="109"/>
      <c r="I838" s="109"/>
      <c r="J838" s="109"/>
      <c r="K838" s="109"/>
      <c r="L838" s="109"/>
      <c r="M838" s="109"/>
      <c r="N838" s="109"/>
      <c r="O838" s="109"/>
      <c r="P838" s="109"/>
      <c r="Q838" s="109"/>
      <c r="R838" s="109"/>
      <c r="S838" s="109"/>
      <c r="T838" s="109"/>
      <c r="U838" s="109"/>
      <c r="V838" s="109"/>
      <c r="W838" s="109"/>
      <c r="X838" s="109"/>
      <c r="Y838" s="109"/>
      <c r="Z838" s="109"/>
    </row>
    <row r="839" ht="29.25" customHeight="1">
      <c r="A839" s="109"/>
      <c r="B839" s="109"/>
      <c r="C839" s="109"/>
      <c r="D839" s="109"/>
      <c r="E839" s="109"/>
      <c r="F839" s="109"/>
      <c r="G839" s="317"/>
      <c r="H839" s="109"/>
      <c r="I839" s="109"/>
      <c r="J839" s="109"/>
      <c r="K839" s="109"/>
      <c r="L839" s="109"/>
      <c r="M839" s="109"/>
      <c r="N839" s="109"/>
      <c r="O839" s="109"/>
      <c r="P839" s="109"/>
      <c r="Q839" s="109"/>
      <c r="R839" s="109"/>
      <c r="S839" s="109"/>
      <c r="T839" s="109"/>
      <c r="U839" s="109"/>
      <c r="V839" s="109"/>
      <c r="W839" s="109"/>
      <c r="X839" s="109"/>
      <c r="Y839" s="109"/>
      <c r="Z839" s="109"/>
    </row>
    <row r="840" ht="29.25" customHeight="1">
      <c r="A840" s="109"/>
      <c r="B840" s="109"/>
      <c r="C840" s="109"/>
      <c r="D840" s="109"/>
      <c r="E840" s="109"/>
      <c r="F840" s="109"/>
      <c r="G840" s="317"/>
      <c r="H840" s="109"/>
      <c r="I840" s="109"/>
      <c r="J840" s="109"/>
      <c r="K840" s="109"/>
      <c r="L840" s="109"/>
      <c r="M840" s="109"/>
      <c r="N840" s="109"/>
      <c r="O840" s="109"/>
      <c r="P840" s="109"/>
      <c r="Q840" s="109"/>
      <c r="R840" s="109"/>
      <c r="S840" s="109"/>
      <c r="T840" s="109"/>
      <c r="U840" s="109"/>
      <c r="V840" s="109"/>
      <c r="W840" s="109"/>
      <c r="X840" s="109"/>
      <c r="Y840" s="109"/>
      <c r="Z840" s="109"/>
    </row>
    <row r="841" ht="29.25" customHeight="1">
      <c r="A841" s="109"/>
      <c r="B841" s="109"/>
      <c r="C841" s="109"/>
      <c r="D841" s="109"/>
      <c r="E841" s="109"/>
      <c r="F841" s="109"/>
      <c r="G841" s="317"/>
      <c r="H841" s="109"/>
      <c r="I841" s="109"/>
      <c r="J841" s="109"/>
      <c r="K841" s="109"/>
      <c r="L841" s="109"/>
      <c r="M841" s="109"/>
      <c r="N841" s="109"/>
      <c r="O841" s="109"/>
      <c r="P841" s="109"/>
      <c r="Q841" s="109"/>
      <c r="R841" s="109"/>
      <c r="S841" s="109"/>
      <c r="T841" s="109"/>
      <c r="U841" s="109"/>
      <c r="V841" s="109"/>
      <c r="W841" s="109"/>
      <c r="X841" s="109"/>
      <c r="Y841" s="109"/>
      <c r="Z841" s="109"/>
    </row>
    <row r="842" ht="29.25" customHeight="1">
      <c r="A842" s="109"/>
      <c r="B842" s="109"/>
      <c r="C842" s="109"/>
      <c r="D842" s="109"/>
      <c r="E842" s="109"/>
      <c r="F842" s="109"/>
      <c r="G842" s="317"/>
      <c r="H842" s="109"/>
      <c r="I842" s="109"/>
      <c r="J842" s="109"/>
      <c r="K842" s="109"/>
      <c r="L842" s="109"/>
      <c r="M842" s="109"/>
      <c r="N842" s="109"/>
      <c r="O842" s="109"/>
      <c r="P842" s="109"/>
      <c r="Q842" s="109"/>
      <c r="R842" s="109"/>
      <c r="S842" s="109"/>
      <c r="T842" s="109"/>
      <c r="U842" s="109"/>
      <c r="V842" s="109"/>
      <c r="W842" s="109"/>
      <c r="X842" s="109"/>
      <c r="Y842" s="109"/>
      <c r="Z842" s="109"/>
    </row>
    <row r="843" ht="29.25" customHeight="1">
      <c r="A843" s="109"/>
      <c r="B843" s="109"/>
      <c r="C843" s="109"/>
      <c r="D843" s="109"/>
      <c r="E843" s="109"/>
      <c r="F843" s="109"/>
      <c r="G843" s="317"/>
      <c r="H843" s="109"/>
      <c r="I843" s="109"/>
      <c r="J843" s="109"/>
      <c r="K843" s="109"/>
      <c r="L843" s="109"/>
      <c r="M843" s="109"/>
      <c r="N843" s="109"/>
      <c r="O843" s="109"/>
      <c r="P843" s="109"/>
      <c r="Q843" s="109"/>
      <c r="R843" s="109"/>
      <c r="S843" s="109"/>
      <c r="T843" s="109"/>
      <c r="U843" s="109"/>
      <c r="V843" s="109"/>
      <c r="W843" s="109"/>
      <c r="X843" s="109"/>
      <c r="Y843" s="109"/>
      <c r="Z843" s="109"/>
    </row>
    <row r="844" ht="29.25" customHeight="1">
      <c r="A844" s="109"/>
      <c r="B844" s="109"/>
      <c r="C844" s="109"/>
      <c r="D844" s="109"/>
      <c r="E844" s="109"/>
      <c r="F844" s="109"/>
      <c r="G844" s="317"/>
      <c r="H844" s="109"/>
      <c r="I844" s="109"/>
      <c r="J844" s="109"/>
      <c r="K844" s="109"/>
      <c r="L844" s="109"/>
      <c r="M844" s="109"/>
      <c r="N844" s="109"/>
      <c r="O844" s="109"/>
      <c r="P844" s="109"/>
      <c r="Q844" s="109"/>
      <c r="R844" s="109"/>
      <c r="S844" s="109"/>
      <c r="T844" s="109"/>
      <c r="U844" s="109"/>
      <c r="V844" s="109"/>
      <c r="W844" s="109"/>
      <c r="X844" s="109"/>
      <c r="Y844" s="109"/>
      <c r="Z844" s="109"/>
    </row>
    <row r="845" ht="29.25" customHeight="1">
      <c r="A845" s="109"/>
      <c r="B845" s="109"/>
      <c r="C845" s="109"/>
      <c r="D845" s="109"/>
      <c r="E845" s="109"/>
      <c r="F845" s="109"/>
      <c r="G845" s="317"/>
      <c r="H845" s="109"/>
      <c r="I845" s="109"/>
      <c r="J845" s="109"/>
      <c r="K845" s="109"/>
      <c r="L845" s="109"/>
      <c r="M845" s="109"/>
      <c r="N845" s="109"/>
      <c r="O845" s="109"/>
      <c r="P845" s="109"/>
      <c r="Q845" s="109"/>
      <c r="R845" s="109"/>
      <c r="S845" s="109"/>
      <c r="T845" s="109"/>
      <c r="U845" s="109"/>
      <c r="V845" s="109"/>
      <c r="W845" s="109"/>
      <c r="X845" s="109"/>
      <c r="Y845" s="109"/>
      <c r="Z845" s="109"/>
    </row>
    <row r="846" ht="29.25" customHeight="1">
      <c r="A846" s="109"/>
      <c r="B846" s="109"/>
      <c r="C846" s="109"/>
      <c r="D846" s="109"/>
      <c r="E846" s="109"/>
      <c r="F846" s="109"/>
      <c r="G846" s="317"/>
      <c r="H846" s="109"/>
      <c r="I846" s="109"/>
      <c r="J846" s="109"/>
      <c r="K846" s="109"/>
      <c r="L846" s="109"/>
      <c r="M846" s="109"/>
      <c r="N846" s="109"/>
      <c r="O846" s="109"/>
      <c r="P846" s="109"/>
      <c r="Q846" s="109"/>
      <c r="R846" s="109"/>
      <c r="S846" s="109"/>
      <c r="T846" s="109"/>
      <c r="U846" s="109"/>
      <c r="V846" s="109"/>
      <c r="W846" s="109"/>
      <c r="X846" s="109"/>
      <c r="Y846" s="109"/>
      <c r="Z846" s="109"/>
    </row>
    <row r="847" ht="29.25" customHeight="1">
      <c r="A847" s="109"/>
      <c r="B847" s="109"/>
      <c r="C847" s="109"/>
      <c r="D847" s="109"/>
      <c r="E847" s="109"/>
      <c r="F847" s="109"/>
      <c r="G847" s="317"/>
      <c r="H847" s="109"/>
      <c r="I847" s="109"/>
      <c r="J847" s="109"/>
      <c r="K847" s="109"/>
      <c r="L847" s="109"/>
      <c r="M847" s="109"/>
      <c r="N847" s="109"/>
      <c r="O847" s="109"/>
      <c r="P847" s="109"/>
      <c r="Q847" s="109"/>
      <c r="R847" s="109"/>
      <c r="S847" s="109"/>
      <c r="T847" s="109"/>
      <c r="U847" s="109"/>
      <c r="V847" s="109"/>
      <c r="W847" s="109"/>
      <c r="X847" s="109"/>
      <c r="Y847" s="109"/>
      <c r="Z847" s="109"/>
    </row>
    <row r="848" ht="29.25" customHeight="1">
      <c r="A848" s="109"/>
      <c r="B848" s="109"/>
      <c r="C848" s="109"/>
      <c r="D848" s="109"/>
      <c r="E848" s="109"/>
      <c r="F848" s="109"/>
      <c r="G848" s="317"/>
      <c r="H848" s="109"/>
      <c r="I848" s="109"/>
      <c r="J848" s="109"/>
      <c r="K848" s="109"/>
      <c r="L848" s="109"/>
      <c r="M848" s="109"/>
      <c r="N848" s="109"/>
      <c r="O848" s="109"/>
      <c r="P848" s="109"/>
      <c r="Q848" s="109"/>
      <c r="R848" s="109"/>
      <c r="S848" s="109"/>
      <c r="T848" s="109"/>
      <c r="U848" s="109"/>
      <c r="V848" s="109"/>
      <c r="W848" s="109"/>
      <c r="X848" s="109"/>
      <c r="Y848" s="109"/>
      <c r="Z848" s="109"/>
    </row>
    <row r="849" ht="29.25" customHeight="1">
      <c r="A849" s="109"/>
      <c r="B849" s="109"/>
      <c r="C849" s="109"/>
      <c r="D849" s="109"/>
      <c r="E849" s="109"/>
      <c r="F849" s="109"/>
      <c r="G849" s="317"/>
      <c r="H849" s="109"/>
      <c r="I849" s="109"/>
      <c r="J849" s="109"/>
      <c r="K849" s="109"/>
      <c r="L849" s="109"/>
      <c r="M849" s="109"/>
      <c r="N849" s="109"/>
      <c r="O849" s="109"/>
      <c r="P849" s="109"/>
      <c r="Q849" s="109"/>
      <c r="R849" s="109"/>
      <c r="S849" s="109"/>
      <c r="T849" s="109"/>
      <c r="U849" s="109"/>
      <c r="V849" s="109"/>
      <c r="W849" s="109"/>
      <c r="X849" s="109"/>
      <c r="Y849" s="109"/>
      <c r="Z849" s="109"/>
    </row>
    <row r="850" ht="29.25" customHeight="1">
      <c r="A850" s="109"/>
      <c r="B850" s="109"/>
      <c r="C850" s="109"/>
      <c r="D850" s="109"/>
      <c r="E850" s="109"/>
      <c r="F850" s="109"/>
      <c r="G850" s="317"/>
      <c r="H850" s="109"/>
      <c r="I850" s="109"/>
      <c r="J850" s="109"/>
      <c r="K850" s="109"/>
      <c r="L850" s="109"/>
      <c r="M850" s="109"/>
      <c r="N850" s="109"/>
      <c r="O850" s="109"/>
      <c r="P850" s="109"/>
      <c r="Q850" s="109"/>
      <c r="R850" s="109"/>
      <c r="S850" s="109"/>
      <c r="T850" s="109"/>
      <c r="U850" s="109"/>
      <c r="V850" s="109"/>
      <c r="W850" s="109"/>
      <c r="X850" s="109"/>
      <c r="Y850" s="109"/>
      <c r="Z850" s="109"/>
    </row>
    <row r="851" ht="29.25" customHeight="1">
      <c r="A851" s="109"/>
      <c r="B851" s="109"/>
      <c r="C851" s="109"/>
      <c r="D851" s="109"/>
      <c r="E851" s="109"/>
      <c r="F851" s="109"/>
      <c r="G851" s="317"/>
      <c r="H851" s="109"/>
      <c r="I851" s="109"/>
      <c r="J851" s="109"/>
      <c r="K851" s="109"/>
      <c r="L851" s="109"/>
      <c r="M851" s="109"/>
      <c r="N851" s="109"/>
      <c r="O851" s="109"/>
      <c r="P851" s="109"/>
      <c r="Q851" s="109"/>
      <c r="R851" s="109"/>
      <c r="S851" s="109"/>
      <c r="T851" s="109"/>
      <c r="U851" s="109"/>
      <c r="V851" s="109"/>
      <c r="W851" s="109"/>
      <c r="X851" s="109"/>
      <c r="Y851" s="109"/>
      <c r="Z851" s="109"/>
    </row>
    <row r="852" ht="29.25" customHeight="1">
      <c r="A852" s="109"/>
      <c r="B852" s="109"/>
      <c r="C852" s="109"/>
      <c r="D852" s="109"/>
      <c r="E852" s="109"/>
      <c r="F852" s="109"/>
      <c r="G852" s="317"/>
      <c r="H852" s="109"/>
      <c r="I852" s="109"/>
      <c r="J852" s="109"/>
      <c r="K852" s="109"/>
      <c r="L852" s="109"/>
      <c r="M852" s="109"/>
      <c r="N852" s="109"/>
      <c r="O852" s="109"/>
      <c r="P852" s="109"/>
      <c r="Q852" s="109"/>
      <c r="R852" s="109"/>
      <c r="S852" s="109"/>
      <c r="T852" s="109"/>
      <c r="U852" s="109"/>
      <c r="V852" s="109"/>
      <c r="W852" s="109"/>
      <c r="X852" s="109"/>
      <c r="Y852" s="109"/>
      <c r="Z852" s="109"/>
    </row>
    <row r="853" ht="29.25" customHeight="1">
      <c r="A853" s="109"/>
      <c r="B853" s="109"/>
      <c r="C853" s="109"/>
      <c r="D853" s="109"/>
      <c r="E853" s="109"/>
      <c r="F853" s="109"/>
      <c r="G853" s="317"/>
      <c r="H853" s="109"/>
      <c r="I853" s="109"/>
      <c r="J853" s="109"/>
      <c r="K853" s="109"/>
      <c r="L853" s="109"/>
      <c r="M853" s="109"/>
      <c r="N853" s="109"/>
      <c r="O853" s="109"/>
      <c r="P853" s="109"/>
      <c r="Q853" s="109"/>
      <c r="R853" s="109"/>
      <c r="S853" s="109"/>
      <c r="T853" s="109"/>
      <c r="U853" s="109"/>
      <c r="V853" s="109"/>
      <c r="W853" s="109"/>
      <c r="X853" s="109"/>
      <c r="Y853" s="109"/>
      <c r="Z853" s="109"/>
    </row>
    <row r="854" ht="29.25" customHeight="1">
      <c r="A854" s="109"/>
      <c r="B854" s="109"/>
      <c r="C854" s="109"/>
      <c r="D854" s="109"/>
      <c r="E854" s="109"/>
      <c r="F854" s="109"/>
      <c r="G854" s="317"/>
      <c r="H854" s="109"/>
      <c r="I854" s="109"/>
      <c r="J854" s="109"/>
      <c r="K854" s="109"/>
      <c r="L854" s="109"/>
      <c r="M854" s="109"/>
      <c r="N854" s="109"/>
      <c r="O854" s="109"/>
      <c r="P854" s="109"/>
      <c r="Q854" s="109"/>
      <c r="R854" s="109"/>
      <c r="S854" s="109"/>
      <c r="T854" s="109"/>
      <c r="U854" s="109"/>
      <c r="V854" s="109"/>
      <c r="W854" s="109"/>
      <c r="X854" s="109"/>
      <c r="Y854" s="109"/>
      <c r="Z854" s="109"/>
    </row>
    <row r="855" ht="29.25" customHeight="1">
      <c r="A855" s="109"/>
      <c r="B855" s="109"/>
      <c r="C855" s="109"/>
      <c r="D855" s="109"/>
      <c r="E855" s="109"/>
      <c r="F855" s="109"/>
      <c r="G855" s="317"/>
      <c r="H855" s="109"/>
      <c r="I855" s="109"/>
      <c r="J855" s="109"/>
      <c r="K855" s="109"/>
      <c r="L855" s="109"/>
      <c r="M855" s="109"/>
      <c r="N855" s="109"/>
      <c r="O855" s="109"/>
      <c r="P855" s="109"/>
      <c r="Q855" s="109"/>
      <c r="R855" s="109"/>
      <c r="S855" s="109"/>
      <c r="T855" s="109"/>
      <c r="U855" s="109"/>
      <c r="V855" s="109"/>
      <c r="W855" s="109"/>
      <c r="X855" s="109"/>
      <c r="Y855" s="109"/>
      <c r="Z855" s="109"/>
    </row>
    <row r="856" ht="29.25" customHeight="1">
      <c r="A856" s="109"/>
      <c r="B856" s="109"/>
      <c r="C856" s="109"/>
      <c r="D856" s="109"/>
      <c r="E856" s="109"/>
      <c r="F856" s="109"/>
      <c r="G856" s="317"/>
      <c r="H856" s="109"/>
      <c r="I856" s="109"/>
      <c r="J856" s="109"/>
      <c r="K856" s="109"/>
      <c r="L856" s="109"/>
      <c r="M856" s="109"/>
      <c r="N856" s="109"/>
      <c r="O856" s="109"/>
      <c r="P856" s="109"/>
      <c r="Q856" s="109"/>
      <c r="R856" s="109"/>
      <c r="S856" s="109"/>
      <c r="T856" s="109"/>
      <c r="U856" s="109"/>
      <c r="V856" s="109"/>
      <c r="W856" s="109"/>
      <c r="X856" s="109"/>
      <c r="Y856" s="109"/>
      <c r="Z856" s="109"/>
    </row>
    <row r="857" ht="29.25" customHeight="1">
      <c r="A857" s="109"/>
      <c r="B857" s="109"/>
      <c r="C857" s="109"/>
      <c r="D857" s="109"/>
      <c r="E857" s="109"/>
      <c r="F857" s="109"/>
      <c r="G857" s="317"/>
      <c r="H857" s="109"/>
      <c r="I857" s="109"/>
      <c r="J857" s="109"/>
      <c r="K857" s="109"/>
      <c r="L857" s="109"/>
      <c r="M857" s="109"/>
      <c r="N857" s="109"/>
      <c r="O857" s="109"/>
      <c r="P857" s="109"/>
      <c r="Q857" s="109"/>
      <c r="R857" s="109"/>
      <c r="S857" s="109"/>
      <c r="T857" s="109"/>
      <c r="U857" s="109"/>
      <c r="V857" s="109"/>
      <c r="W857" s="109"/>
      <c r="X857" s="109"/>
      <c r="Y857" s="109"/>
      <c r="Z857" s="109"/>
    </row>
    <row r="858" ht="29.25" customHeight="1">
      <c r="A858" s="109"/>
      <c r="B858" s="109"/>
      <c r="C858" s="109"/>
      <c r="D858" s="109"/>
      <c r="E858" s="109"/>
      <c r="F858" s="109"/>
      <c r="G858" s="317"/>
      <c r="H858" s="109"/>
      <c r="I858" s="109"/>
      <c r="J858" s="109"/>
      <c r="K858" s="109"/>
      <c r="L858" s="109"/>
      <c r="M858" s="109"/>
      <c r="N858" s="109"/>
      <c r="O858" s="109"/>
      <c r="P858" s="109"/>
      <c r="Q858" s="109"/>
      <c r="R858" s="109"/>
      <c r="S858" s="109"/>
      <c r="T858" s="109"/>
      <c r="U858" s="109"/>
      <c r="V858" s="109"/>
      <c r="W858" s="109"/>
      <c r="X858" s="109"/>
      <c r="Y858" s="109"/>
      <c r="Z858" s="109"/>
    </row>
    <row r="859" ht="29.25" customHeight="1">
      <c r="A859" s="109"/>
      <c r="B859" s="109"/>
      <c r="C859" s="109"/>
      <c r="D859" s="109"/>
      <c r="E859" s="109"/>
      <c r="F859" s="109"/>
      <c r="G859" s="317"/>
      <c r="H859" s="109"/>
      <c r="I859" s="109"/>
      <c r="J859" s="109"/>
      <c r="K859" s="109"/>
      <c r="L859" s="109"/>
      <c r="M859" s="109"/>
      <c r="N859" s="109"/>
      <c r="O859" s="109"/>
      <c r="P859" s="109"/>
      <c r="Q859" s="109"/>
      <c r="R859" s="109"/>
      <c r="S859" s="109"/>
      <c r="T859" s="109"/>
      <c r="U859" s="109"/>
      <c r="V859" s="109"/>
      <c r="W859" s="109"/>
      <c r="X859" s="109"/>
      <c r="Y859" s="109"/>
      <c r="Z859" s="109"/>
    </row>
    <row r="860" ht="29.25" customHeight="1">
      <c r="A860" s="109"/>
      <c r="B860" s="109"/>
      <c r="C860" s="109"/>
      <c r="D860" s="109"/>
      <c r="E860" s="109"/>
      <c r="F860" s="109"/>
      <c r="G860" s="317"/>
      <c r="H860" s="109"/>
      <c r="I860" s="109"/>
      <c r="J860" s="109"/>
      <c r="K860" s="109"/>
      <c r="L860" s="109"/>
      <c r="M860" s="109"/>
      <c r="N860" s="109"/>
      <c r="O860" s="109"/>
      <c r="P860" s="109"/>
      <c r="Q860" s="109"/>
      <c r="R860" s="109"/>
      <c r="S860" s="109"/>
      <c r="T860" s="109"/>
      <c r="U860" s="109"/>
      <c r="V860" s="109"/>
      <c r="W860" s="109"/>
      <c r="X860" s="109"/>
      <c r="Y860" s="109"/>
      <c r="Z860" s="109"/>
    </row>
    <row r="861" ht="29.25" customHeight="1">
      <c r="A861" s="109"/>
      <c r="B861" s="109"/>
      <c r="C861" s="109"/>
      <c r="D861" s="109"/>
      <c r="E861" s="109"/>
      <c r="F861" s="109"/>
      <c r="G861" s="317"/>
      <c r="H861" s="109"/>
      <c r="I861" s="109"/>
      <c r="J861" s="109"/>
      <c r="K861" s="109"/>
      <c r="L861" s="109"/>
      <c r="M861" s="109"/>
      <c r="N861" s="109"/>
      <c r="O861" s="109"/>
      <c r="P861" s="109"/>
      <c r="Q861" s="109"/>
      <c r="R861" s="109"/>
      <c r="S861" s="109"/>
      <c r="T861" s="109"/>
      <c r="U861" s="109"/>
      <c r="V861" s="109"/>
      <c r="W861" s="109"/>
      <c r="X861" s="109"/>
      <c r="Y861" s="109"/>
      <c r="Z861" s="109"/>
    </row>
    <row r="862" ht="29.25" customHeight="1">
      <c r="A862" s="109"/>
      <c r="B862" s="109"/>
      <c r="C862" s="109"/>
      <c r="D862" s="109"/>
      <c r="E862" s="109"/>
      <c r="F862" s="109"/>
      <c r="G862" s="317"/>
      <c r="H862" s="109"/>
      <c r="I862" s="109"/>
      <c r="J862" s="109"/>
      <c r="K862" s="109"/>
      <c r="L862" s="109"/>
      <c r="M862" s="109"/>
      <c r="N862" s="109"/>
      <c r="O862" s="109"/>
      <c r="P862" s="109"/>
      <c r="Q862" s="109"/>
      <c r="R862" s="109"/>
      <c r="S862" s="109"/>
      <c r="T862" s="109"/>
      <c r="U862" s="109"/>
      <c r="V862" s="109"/>
      <c r="W862" s="109"/>
      <c r="X862" s="109"/>
      <c r="Y862" s="109"/>
      <c r="Z862" s="109"/>
    </row>
    <row r="863" ht="29.25" customHeight="1">
      <c r="A863" s="109"/>
      <c r="B863" s="109"/>
      <c r="C863" s="109"/>
      <c r="D863" s="109"/>
      <c r="E863" s="109"/>
      <c r="F863" s="109"/>
      <c r="G863" s="317"/>
      <c r="H863" s="109"/>
      <c r="I863" s="109"/>
      <c r="J863" s="109"/>
      <c r="K863" s="109"/>
      <c r="L863" s="109"/>
      <c r="M863" s="109"/>
      <c r="N863" s="109"/>
      <c r="O863" s="109"/>
      <c r="P863" s="109"/>
      <c r="Q863" s="109"/>
      <c r="R863" s="109"/>
      <c r="S863" s="109"/>
      <c r="T863" s="109"/>
      <c r="U863" s="109"/>
      <c r="V863" s="109"/>
      <c r="W863" s="109"/>
      <c r="X863" s="109"/>
      <c r="Y863" s="109"/>
      <c r="Z863" s="109"/>
    </row>
    <row r="864" ht="29.25" customHeight="1">
      <c r="A864" s="109"/>
      <c r="B864" s="109"/>
      <c r="C864" s="109"/>
      <c r="D864" s="109"/>
      <c r="E864" s="109"/>
      <c r="F864" s="109"/>
      <c r="G864" s="317"/>
      <c r="H864" s="109"/>
      <c r="I864" s="109"/>
      <c r="J864" s="109"/>
      <c r="K864" s="109"/>
      <c r="L864" s="109"/>
      <c r="M864" s="109"/>
      <c r="N864" s="109"/>
      <c r="O864" s="109"/>
      <c r="P864" s="109"/>
      <c r="Q864" s="109"/>
      <c r="R864" s="109"/>
      <c r="S864" s="109"/>
      <c r="T864" s="109"/>
      <c r="U864" s="109"/>
      <c r="V864" s="109"/>
      <c r="W864" s="109"/>
      <c r="X864" s="109"/>
      <c r="Y864" s="109"/>
      <c r="Z864" s="109"/>
    </row>
    <row r="865" ht="29.25" customHeight="1">
      <c r="A865" s="109"/>
      <c r="B865" s="109"/>
      <c r="C865" s="109"/>
      <c r="D865" s="109"/>
      <c r="E865" s="109"/>
      <c r="F865" s="109"/>
      <c r="G865" s="317"/>
      <c r="H865" s="109"/>
      <c r="I865" s="109"/>
      <c r="J865" s="109"/>
      <c r="K865" s="109"/>
      <c r="L865" s="109"/>
      <c r="M865" s="109"/>
      <c r="N865" s="109"/>
      <c r="O865" s="109"/>
      <c r="P865" s="109"/>
      <c r="Q865" s="109"/>
      <c r="R865" s="109"/>
      <c r="S865" s="109"/>
      <c r="T865" s="109"/>
      <c r="U865" s="109"/>
      <c r="V865" s="109"/>
      <c r="W865" s="109"/>
      <c r="X865" s="109"/>
      <c r="Y865" s="109"/>
      <c r="Z865" s="109"/>
    </row>
    <row r="866" ht="29.25" customHeight="1">
      <c r="A866" s="109"/>
      <c r="B866" s="109"/>
      <c r="C866" s="109"/>
      <c r="D866" s="109"/>
      <c r="E866" s="109"/>
      <c r="F866" s="109"/>
      <c r="G866" s="317"/>
      <c r="H866" s="109"/>
      <c r="I866" s="109"/>
      <c r="J866" s="109"/>
      <c r="K866" s="109"/>
      <c r="L866" s="109"/>
      <c r="M866" s="109"/>
      <c r="N866" s="109"/>
      <c r="O866" s="109"/>
      <c r="P866" s="109"/>
      <c r="Q866" s="109"/>
      <c r="R866" s="109"/>
      <c r="S866" s="109"/>
      <c r="T866" s="109"/>
      <c r="U866" s="109"/>
      <c r="V866" s="109"/>
      <c r="W866" s="109"/>
      <c r="X866" s="109"/>
      <c r="Y866" s="109"/>
      <c r="Z866" s="109"/>
    </row>
    <row r="867" ht="29.25" customHeight="1">
      <c r="A867" s="109"/>
      <c r="B867" s="109"/>
      <c r="C867" s="109"/>
      <c r="D867" s="109"/>
      <c r="E867" s="109"/>
      <c r="F867" s="109"/>
      <c r="G867" s="317"/>
      <c r="H867" s="109"/>
      <c r="I867" s="109"/>
      <c r="J867" s="109"/>
      <c r="K867" s="109"/>
      <c r="L867" s="109"/>
      <c r="M867" s="109"/>
      <c r="N867" s="109"/>
      <c r="O867" s="109"/>
      <c r="P867" s="109"/>
      <c r="Q867" s="109"/>
      <c r="R867" s="109"/>
      <c r="S867" s="109"/>
      <c r="T867" s="109"/>
      <c r="U867" s="109"/>
      <c r="V867" s="109"/>
      <c r="W867" s="109"/>
      <c r="X867" s="109"/>
      <c r="Y867" s="109"/>
      <c r="Z867" s="109"/>
    </row>
    <row r="868" ht="29.25" customHeight="1">
      <c r="A868" s="109"/>
      <c r="B868" s="109"/>
      <c r="C868" s="109"/>
      <c r="D868" s="109"/>
      <c r="E868" s="109"/>
      <c r="F868" s="109"/>
      <c r="G868" s="317"/>
      <c r="H868" s="109"/>
      <c r="I868" s="109"/>
      <c r="J868" s="109"/>
      <c r="K868" s="109"/>
      <c r="L868" s="109"/>
      <c r="M868" s="109"/>
      <c r="N868" s="109"/>
      <c r="O868" s="109"/>
      <c r="P868" s="109"/>
      <c r="Q868" s="109"/>
      <c r="R868" s="109"/>
      <c r="S868" s="109"/>
      <c r="T868" s="109"/>
      <c r="U868" s="109"/>
      <c r="V868" s="109"/>
      <c r="W868" s="109"/>
      <c r="X868" s="109"/>
      <c r="Y868" s="109"/>
      <c r="Z868" s="109"/>
    </row>
    <row r="869" ht="29.25" customHeight="1">
      <c r="A869" s="109"/>
      <c r="B869" s="109"/>
      <c r="C869" s="109"/>
      <c r="D869" s="109"/>
      <c r="E869" s="109"/>
      <c r="F869" s="109"/>
      <c r="G869" s="317"/>
      <c r="H869" s="109"/>
      <c r="I869" s="109"/>
      <c r="J869" s="109"/>
      <c r="K869" s="109"/>
      <c r="L869" s="109"/>
      <c r="M869" s="109"/>
      <c r="N869" s="109"/>
      <c r="O869" s="109"/>
      <c r="P869" s="109"/>
      <c r="Q869" s="109"/>
      <c r="R869" s="109"/>
      <c r="S869" s="109"/>
      <c r="T869" s="109"/>
      <c r="U869" s="109"/>
      <c r="V869" s="109"/>
      <c r="W869" s="109"/>
      <c r="X869" s="109"/>
      <c r="Y869" s="109"/>
      <c r="Z869" s="109"/>
    </row>
    <row r="870" ht="29.25" customHeight="1">
      <c r="A870" s="109"/>
      <c r="B870" s="109"/>
      <c r="C870" s="109"/>
      <c r="D870" s="109"/>
      <c r="E870" s="109"/>
      <c r="F870" s="109"/>
      <c r="G870" s="317"/>
      <c r="H870" s="109"/>
      <c r="I870" s="109"/>
      <c r="J870" s="109"/>
      <c r="K870" s="109"/>
      <c r="L870" s="109"/>
      <c r="M870" s="109"/>
      <c r="N870" s="109"/>
      <c r="O870" s="109"/>
      <c r="P870" s="109"/>
      <c r="Q870" s="109"/>
      <c r="R870" s="109"/>
      <c r="S870" s="109"/>
      <c r="T870" s="109"/>
      <c r="U870" s="109"/>
      <c r="V870" s="109"/>
      <c r="W870" s="109"/>
      <c r="X870" s="109"/>
      <c r="Y870" s="109"/>
      <c r="Z870" s="109"/>
    </row>
    <row r="871" ht="29.25" customHeight="1">
      <c r="A871" s="109"/>
      <c r="B871" s="109"/>
      <c r="C871" s="109"/>
      <c r="D871" s="109"/>
      <c r="E871" s="109"/>
      <c r="F871" s="109"/>
      <c r="G871" s="317"/>
      <c r="H871" s="109"/>
      <c r="I871" s="109"/>
      <c r="J871" s="109"/>
      <c r="K871" s="109"/>
      <c r="L871" s="109"/>
      <c r="M871" s="109"/>
      <c r="N871" s="109"/>
      <c r="O871" s="109"/>
      <c r="P871" s="109"/>
      <c r="Q871" s="109"/>
      <c r="R871" s="109"/>
      <c r="S871" s="109"/>
      <c r="T871" s="109"/>
      <c r="U871" s="109"/>
      <c r="V871" s="109"/>
      <c r="W871" s="109"/>
      <c r="X871" s="109"/>
      <c r="Y871" s="109"/>
      <c r="Z871" s="109"/>
    </row>
    <row r="872" ht="29.25" customHeight="1">
      <c r="A872" s="109"/>
      <c r="B872" s="109"/>
      <c r="C872" s="109"/>
      <c r="D872" s="109"/>
      <c r="E872" s="109"/>
      <c r="F872" s="109"/>
      <c r="G872" s="317"/>
      <c r="H872" s="109"/>
      <c r="I872" s="109"/>
      <c r="J872" s="109"/>
      <c r="K872" s="109"/>
      <c r="L872" s="109"/>
      <c r="M872" s="109"/>
      <c r="N872" s="109"/>
      <c r="O872" s="109"/>
      <c r="P872" s="109"/>
      <c r="Q872" s="109"/>
      <c r="R872" s="109"/>
      <c r="S872" s="109"/>
      <c r="T872" s="109"/>
      <c r="U872" s="109"/>
      <c r="V872" s="109"/>
      <c r="W872" s="109"/>
      <c r="X872" s="109"/>
      <c r="Y872" s="109"/>
      <c r="Z872" s="109"/>
    </row>
    <row r="873" ht="29.25" customHeight="1">
      <c r="A873" s="109"/>
      <c r="B873" s="109"/>
      <c r="C873" s="109"/>
      <c r="D873" s="109"/>
      <c r="E873" s="109"/>
      <c r="F873" s="109"/>
      <c r="G873" s="317"/>
      <c r="H873" s="109"/>
      <c r="I873" s="109"/>
      <c r="J873" s="109"/>
      <c r="K873" s="109"/>
      <c r="L873" s="109"/>
      <c r="M873" s="109"/>
      <c r="N873" s="109"/>
      <c r="O873" s="109"/>
      <c r="P873" s="109"/>
      <c r="Q873" s="109"/>
      <c r="R873" s="109"/>
      <c r="S873" s="109"/>
      <c r="T873" s="109"/>
      <c r="U873" s="109"/>
      <c r="V873" s="109"/>
      <c r="W873" s="109"/>
      <c r="X873" s="109"/>
      <c r="Y873" s="109"/>
      <c r="Z873" s="109"/>
    </row>
    <row r="874" ht="29.25" customHeight="1">
      <c r="A874" s="109"/>
      <c r="B874" s="109"/>
      <c r="C874" s="109"/>
      <c r="D874" s="109"/>
      <c r="E874" s="109"/>
      <c r="F874" s="109"/>
      <c r="G874" s="317"/>
      <c r="H874" s="109"/>
      <c r="I874" s="109"/>
      <c r="J874" s="109"/>
      <c r="K874" s="109"/>
      <c r="L874" s="109"/>
      <c r="M874" s="109"/>
      <c r="N874" s="109"/>
      <c r="O874" s="109"/>
      <c r="P874" s="109"/>
      <c r="Q874" s="109"/>
      <c r="R874" s="109"/>
      <c r="S874" s="109"/>
      <c r="T874" s="109"/>
      <c r="U874" s="109"/>
      <c r="V874" s="109"/>
      <c r="W874" s="109"/>
      <c r="X874" s="109"/>
      <c r="Y874" s="109"/>
      <c r="Z874" s="109"/>
    </row>
    <row r="875" ht="29.25" customHeight="1">
      <c r="A875" s="109"/>
      <c r="B875" s="109"/>
      <c r="C875" s="109"/>
      <c r="D875" s="109"/>
      <c r="E875" s="109"/>
      <c r="F875" s="109"/>
      <c r="G875" s="317"/>
      <c r="H875" s="109"/>
      <c r="I875" s="109"/>
      <c r="J875" s="109"/>
      <c r="K875" s="109"/>
      <c r="L875" s="109"/>
      <c r="M875" s="109"/>
      <c r="N875" s="109"/>
      <c r="O875" s="109"/>
      <c r="P875" s="109"/>
      <c r="Q875" s="109"/>
      <c r="R875" s="109"/>
      <c r="S875" s="109"/>
      <c r="T875" s="109"/>
      <c r="U875" s="109"/>
      <c r="V875" s="109"/>
      <c r="W875" s="109"/>
      <c r="X875" s="109"/>
      <c r="Y875" s="109"/>
      <c r="Z875" s="109"/>
    </row>
    <row r="876" ht="29.25" customHeight="1">
      <c r="A876" s="109"/>
      <c r="B876" s="109"/>
      <c r="C876" s="109"/>
      <c r="D876" s="109"/>
      <c r="E876" s="109"/>
      <c r="F876" s="109"/>
      <c r="G876" s="317"/>
      <c r="H876" s="109"/>
      <c r="I876" s="109"/>
      <c r="J876" s="109"/>
      <c r="K876" s="109"/>
      <c r="L876" s="109"/>
      <c r="M876" s="109"/>
      <c r="N876" s="109"/>
      <c r="O876" s="109"/>
      <c r="P876" s="109"/>
      <c r="Q876" s="109"/>
      <c r="R876" s="109"/>
      <c r="S876" s="109"/>
      <c r="T876" s="109"/>
      <c r="U876" s="109"/>
      <c r="V876" s="109"/>
      <c r="W876" s="109"/>
      <c r="X876" s="109"/>
      <c r="Y876" s="109"/>
      <c r="Z876" s="109"/>
    </row>
    <row r="877" ht="29.25" customHeight="1">
      <c r="A877" s="109"/>
      <c r="B877" s="109"/>
      <c r="C877" s="109"/>
      <c r="D877" s="109"/>
      <c r="E877" s="109"/>
      <c r="F877" s="109"/>
      <c r="G877" s="317"/>
      <c r="H877" s="109"/>
      <c r="I877" s="109"/>
      <c r="J877" s="109"/>
      <c r="K877" s="109"/>
      <c r="L877" s="109"/>
      <c r="M877" s="109"/>
      <c r="N877" s="109"/>
      <c r="O877" s="109"/>
      <c r="P877" s="109"/>
      <c r="Q877" s="109"/>
      <c r="R877" s="109"/>
      <c r="S877" s="109"/>
      <c r="T877" s="109"/>
      <c r="U877" s="109"/>
      <c r="V877" s="109"/>
      <c r="W877" s="109"/>
      <c r="X877" s="109"/>
      <c r="Y877" s="109"/>
      <c r="Z877" s="109"/>
    </row>
    <row r="878" ht="29.25" customHeight="1">
      <c r="A878" s="109"/>
      <c r="B878" s="109"/>
      <c r="C878" s="109"/>
      <c r="D878" s="109"/>
      <c r="E878" s="109"/>
      <c r="F878" s="109"/>
      <c r="G878" s="317"/>
      <c r="H878" s="109"/>
      <c r="I878" s="109"/>
      <c r="J878" s="109"/>
      <c r="K878" s="109"/>
      <c r="L878" s="109"/>
      <c r="M878" s="109"/>
      <c r="N878" s="109"/>
      <c r="O878" s="109"/>
      <c r="P878" s="109"/>
      <c r="Q878" s="109"/>
      <c r="R878" s="109"/>
      <c r="S878" s="109"/>
      <c r="T878" s="109"/>
      <c r="U878" s="109"/>
      <c r="V878" s="109"/>
      <c r="W878" s="109"/>
      <c r="X878" s="109"/>
      <c r="Y878" s="109"/>
      <c r="Z878" s="109"/>
    </row>
    <row r="879" ht="29.25" customHeight="1">
      <c r="A879" s="109"/>
      <c r="B879" s="109"/>
      <c r="C879" s="109"/>
      <c r="D879" s="109"/>
      <c r="E879" s="109"/>
      <c r="F879" s="109"/>
      <c r="G879" s="317"/>
      <c r="H879" s="109"/>
      <c r="I879" s="109"/>
      <c r="J879" s="109"/>
      <c r="K879" s="109"/>
      <c r="L879" s="109"/>
      <c r="M879" s="109"/>
      <c r="N879" s="109"/>
      <c r="O879" s="109"/>
      <c r="P879" s="109"/>
      <c r="Q879" s="109"/>
      <c r="R879" s="109"/>
      <c r="S879" s="109"/>
      <c r="T879" s="109"/>
      <c r="U879" s="109"/>
      <c r="V879" s="109"/>
      <c r="W879" s="109"/>
      <c r="X879" s="109"/>
      <c r="Y879" s="109"/>
      <c r="Z879" s="109"/>
    </row>
    <row r="880" ht="29.25" customHeight="1">
      <c r="A880" s="109"/>
      <c r="B880" s="109"/>
      <c r="C880" s="109"/>
      <c r="D880" s="109"/>
      <c r="E880" s="109"/>
      <c r="F880" s="109"/>
      <c r="G880" s="317"/>
      <c r="H880" s="109"/>
      <c r="I880" s="109"/>
      <c r="J880" s="109"/>
      <c r="K880" s="109"/>
      <c r="L880" s="109"/>
      <c r="M880" s="109"/>
      <c r="N880" s="109"/>
      <c r="O880" s="109"/>
      <c r="P880" s="109"/>
      <c r="Q880" s="109"/>
      <c r="R880" s="109"/>
      <c r="S880" s="109"/>
      <c r="T880" s="109"/>
      <c r="U880" s="109"/>
      <c r="V880" s="109"/>
      <c r="W880" s="109"/>
      <c r="X880" s="109"/>
      <c r="Y880" s="109"/>
      <c r="Z880" s="109"/>
    </row>
    <row r="881" ht="29.25" customHeight="1">
      <c r="A881" s="109"/>
      <c r="B881" s="109"/>
      <c r="C881" s="109"/>
      <c r="D881" s="109"/>
      <c r="E881" s="109"/>
      <c r="F881" s="109"/>
      <c r="G881" s="317"/>
      <c r="H881" s="109"/>
      <c r="I881" s="109"/>
      <c r="J881" s="109"/>
      <c r="K881" s="109"/>
      <c r="L881" s="109"/>
      <c r="M881" s="109"/>
      <c r="N881" s="109"/>
      <c r="O881" s="109"/>
      <c r="P881" s="109"/>
      <c r="Q881" s="109"/>
      <c r="R881" s="109"/>
      <c r="S881" s="109"/>
      <c r="T881" s="109"/>
      <c r="U881" s="109"/>
      <c r="V881" s="109"/>
      <c r="W881" s="109"/>
      <c r="X881" s="109"/>
      <c r="Y881" s="109"/>
      <c r="Z881" s="109"/>
    </row>
    <row r="882" ht="29.25" customHeight="1">
      <c r="A882" s="109"/>
      <c r="B882" s="109"/>
      <c r="C882" s="109"/>
      <c r="D882" s="109"/>
      <c r="E882" s="109"/>
      <c r="F882" s="109"/>
      <c r="G882" s="317"/>
      <c r="H882" s="109"/>
      <c r="I882" s="109"/>
      <c r="J882" s="109"/>
      <c r="K882" s="109"/>
      <c r="L882" s="109"/>
      <c r="M882" s="109"/>
      <c r="N882" s="109"/>
      <c r="O882" s="109"/>
      <c r="P882" s="109"/>
      <c r="Q882" s="109"/>
      <c r="R882" s="109"/>
      <c r="S882" s="109"/>
      <c r="T882" s="109"/>
      <c r="U882" s="109"/>
      <c r="V882" s="109"/>
      <c r="W882" s="109"/>
      <c r="X882" s="109"/>
      <c r="Y882" s="109"/>
      <c r="Z882" s="109"/>
    </row>
    <row r="883" ht="29.25" customHeight="1">
      <c r="A883" s="109"/>
      <c r="B883" s="109"/>
      <c r="C883" s="109"/>
      <c r="D883" s="109"/>
      <c r="E883" s="109"/>
      <c r="F883" s="109"/>
      <c r="G883" s="317"/>
      <c r="H883" s="109"/>
      <c r="I883" s="109"/>
      <c r="J883" s="109"/>
      <c r="K883" s="109"/>
      <c r="L883" s="109"/>
      <c r="M883" s="109"/>
      <c r="N883" s="109"/>
      <c r="O883" s="109"/>
      <c r="P883" s="109"/>
      <c r="Q883" s="109"/>
      <c r="R883" s="109"/>
      <c r="S883" s="109"/>
      <c r="T883" s="109"/>
      <c r="U883" s="109"/>
      <c r="V883" s="109"/>
      <c r="W883" s="109"/>
      <c r="X883" s="109"/>
      <c r="Y883" s="109"/>
      <c r="Z883" s="109"/>
    </row>
    <row r="884" ht="29.25" customHeight="1">
      <c r="A884" s="109"/>
      <c r="B884" s="109"/>
      <c r="C884" s="109"/>
      <c r="D884" s="109"/>
      <c r="E884" s="109"/>
      <c r="F884" s="109"/>
      <c r="G884" s="317"/>
      <c r="H884" s="109"/>
      <c r="I884" s="109"/>
      <c r="J884" s="109"/>
      <c r="K884" s="109"/>
      <c r="L884" s="109"/>
      <c r="M884" s="109"/>
      <c r="N884" s="109"/>
      <c r="O884" s="109"/>
      <c r="P884" s="109"/>
      <c r="Q884" s="109"/>
      <c r="R884" s="109"/>
      <c r="S884" s="109"/>
      <c r="T884" s="109"/>
      <c r="U884" s="109"/>
      <c r="V884" s="109"/>
      <c r="W884" s="109"/>
      <c r="X884" s="109"/>
      <c r="Y884" s="109"/>
      <c r="Z884" s="109"/>
    </row>
    <row r="885" ht="29.25" customHeight="1">
      <c r="A885" s="109"/>
      <c r="B885" s="109"/>
      <c r="C885" s="109"/>
      <c r="D885" s="109"/>
      <c r="E885" s="109"/>
      <c r="F885" s="109"/>
      <c r="G885" s="317"/>
      <c r="H885" s="109"/>
      <c r="I885" s="109"/>
      <c r="J885" s="109"/>
      <c r="K885" s="109"/>
      <c r="L885" s="109"/>
      <c r="M885" s="109"/>
      <c r="N885" s="109"/>
      <c r="O885" s="109"/>
      <c r="P885" s="109"/>
      <c r="Q885" s="109"/>
      <c r="R885" s="109"/>
      <c r="S885" s="109"/>
      <c r="T885" s="109"/>
      <c r="U885" s="109"/>
      <c r="V885" s="109"/>
      <c r="W885" s="109"/>
      <c r="X885" s="109"/>
      <c r="Y885" s="109"/>
      <c r="Z885" s="109"/>
    </row>
    <row r="886" ht="29.25" customHeight="1">
      <c r="A886" s="109"/>
      <c r="B886" s="109"/>
      <c r="C886" s="109"/>
      <c r="D886" s="109"/>
      <c r="E886" s="109"/>
      <c r="F886" s="109"/>
      <c r="G886" s="317"/>
      <c r="H886" s="109"/>
      <c r="I886" s="109"/>
      <c r="J886" s="109"/>
      <c r="K886" s="109"/>
      <c r="L886" s="109"/>
      <c r="M886" s="109"/>
      <c r="N886" s="109"/>
      <c r="O886" s="109"/>
      <c r="P886" s="109"/>
      <c r="Q886" s="109"/>
      <c r="R886" s="109"/>
      <c r="S886" s="109"/>
      <c r="T886" s="109"/>
      <c r="U886" s="109"/>
      <c r="V886" s="109"/>
      <c r="W886" s="109"/>
      <c r="X886" s="109"/>
      <c r="Y886" s="109"/>
      <c r="Z886" s="109"/>
    </row>
    <row r="887" ht="29.25" customHeight="1">
      <c r="A887" s="109"/>
      <c r="B887" s="109"/>
      <c r="C887" s="109"/>
      <c r="D887" s="109"/>
      <c r="E887" s="109"/>
      <c r="F887" s="109"/>
      <c r="G887" s="317"/>
      <c r="H887" s="109"/>
      <c r="I887" s="109"/>
      <c r="J887" s="109"/>
      <c r="K887" s="109"/>
      <c r="L887" s="109"/>
      <c r="M887" s="109"/>
      <c r="N887" s="109"/>
      <c r="O887" s="109"/>
      <c r="P887" s="109"/>
      <c r="Q887" s="109"/>
      <c r="R887" s="109"/>
      <c r="S887" s="109"/>
      <c r="T887" s="109"/>
      <c r="U887" s="109"/>
      <c r="V887" s="109"/>
      <c r="W887" s="109"/>
      <c r="X887" s="109"/>
      <c r="Y887" s="109"/>
      <c r="Z887" s="109"/>
    </row>
    <row r="888" ht="29.25" customHeight="1">
      <c r="A888" s="109"/>
      <c r="B888" s="109"/>
      <c r="C888" s="109"/>
      <c r="D888" s="109"/>
      <c r="E888" s="109"/>
      <c r="F888" s="109"/>
      <c r="G888" s="317"/>
      <c r="H888" s="109"/>
      <c r="I888" s="109"/>
      <c r="J888" s="109"/>
      <c r="K888" s="109"/>
      <c r="L888" s="109"/>
      <c r="M888" s="109"/>
      <c r="N888" s="109"/>
      <c r="O888" s="109"/>
      <c r="P888" s="109"/>
      <c r="Q888" s="109"/>
      <c r="R888" s="109"/>
      <c r="S888" s="109"/>
      <c r="T888" s="109"/>
      <c r="U888" s="109"/>
      <c r="V888" s="109"/>
      <c r="W888" s="109"/>
      <c r="X888" s="109"/>
      <c r="Y888" s="109"/>
      <c r="Z888" s="109"/>
    </row>
    <row r="889" ht="29.25" customHeight="1">
      <c r="A889" s="109"/>
      <c r="B889" s="109"/>
      <c r="C889" s="109"/>
      <c r="D889" s="109"/>
      <c r="E889" s="109"/>
      <c r="F889" s="109"/>
      <c r="G889" s="317"/>
      <c r="H889" s="109"/>
      <c r="I889" s="109"/>
      <c r="J889" s="109"/>
      <c r="K889" s="109"/>
      <c r="L889" s="109"/>
      <c r="M889" s="109"/>
      <c r="N889" s="109"/>
      <c r="O889" s="109"/>
      <c r="P889" s="109"/>
      <c r="Q889" s="109"/>
      <c r="R889" s="109"/>
      <c r="S889" s="109"/>
      <c r="T889" s="109"/>
      <c r="U889" s="109"/>
      <c r="V889" s="109"/>
      <c r="W889" s="109"/>
      <c r="X889" s="109"/>
      <c r="Y889" s="109"/>
      <c r="Z889" s="109"/>
    </row>
    <row r="890" ht="29.25" customHeight="1">
      <c r="A890" s="109"/>
      <c r="B890" s="109"/>
      <c r="C890" s="109"/>
      <c r="D890" s="109"/>
      <c r="E890" s="109"/>
      <c r="F890" s="109"/>
      <c r="G890" s="317"/>
      <c r="H890" s="109"/>
      <c r="I890" s="109"/>
      <c r="J890" s="109"/>
      <c r="K890" s="109"/>
      <c r="L890" s="109"/>
      <c r="M890" s="109"/>
      <c r="N890" s="109"/>
      <c r="O890" s="109"/>
      <c r="P890" s="109"/>
      <c r="Q890" s="109"/>
      <c r="R890" s="109"/>
      <c r="S890" s="109"/>
      <c r="T890" s="109"/>
      <c r="U890" s="109"/>
      <c r="V890" s="109"/>
      <c r="W890" s="109"/>
      <c r="X890" s="109"/>
      <c r="Y890" s="109"/>
      <c r="Z890" s="109"/>
    </row>
    <row r="891" ht="29.25" customHeight="1">
      <c r="A891" s="109"/>
      <c r="B891" s="109"/>
      <c r="C891" s="109"/>
      <c r="D891" s="109"/>
      <c r="E891" s="109"/>
      <c r="F891" s="109"/>
      <c r="G891" s="317"/>
      <c r="H891" s="109"/>
      <c r="I891" s="109"/>
      <c r="J891" s="109"/>
      <c r="K891" s="109"/>
      <c r="L891" s="109"/>
      <c r="M891" s="109"/>
      <c r="N891" s="109"/>
      <c r="O891" s="109"/>
      <c r="P891" s="109"/>
      <c r="Q891" s="109"/>
      <c r="R891" s="109"/>
      <c r="S891" s="109"/>
      <c r="T891" s="109"/>
      <c r="U891" s="109"/>
      <c r="V891" s="109"/>
      <c r="W891" s="109"/>
      <c r="X891" s="109"/>
      <c r="Y891" s="109"/>
      <c r="Z891" s="109"/>
    </row>
    <row r="892" ht="29.25" customHeight="1">
      <c r="A892" s="109"/>
      <c r="B892" s="109"/>
      <c r="C892" s="109"/>
      <c r="D892" s="109"/>
      <c r="E892" s="109"/>
      <c r="F892" s="109"/>
      <c r="G892" s="317"/>
      <c r="H892" s="109"/>
      <c r="I892" s="109"/>
      <c r="J892" s="109"/>
      <c r="K892" s="109"/>
      <c r="L892" s="109"/>
      <c r="M892" s="109"/>
      <c r="N892" s="109"/>
      <c r="O892" s="109"/>
      <c r="P892" s="109"/>
      <c r="Q892" s="109"/>
      <c r="R892" s="109"/>
      <c r="S892" s="109"/>
      <c r="T892" s="109"/>
      <c r="U892" s="109"/>
      <c r="V892" s="109"/>
      <c r="W892" s="109"/>
      <c r="X892" s="109"/>
      <c r="Y892" s="109"/>
      <c r="Z892" s="109"/>
    </row>
    <row r="893" ht="29.25" customHeight="1">
      <c r="A893" s="109"/>
      <c r="B893" s="109"/>
      <c r="C893" s="109"/>
      <c r="D893" s="109"/>
      <c r="E893" s="109"/>
      <c r="F893" s="109"/>
      <c r="G893" s="317"/>
      <c r="H893" s="109"/>
      <c r="I893" s="109"/>
      <c r="J893" s="109"/>
      <c r="K893" s="109"/>
      <c r="L893" s="109"/>
      <c r="M893" s="109"/>
      <c r="N893" s="109"/>
      <c r="O893" s="109"/>
      <c r="P893" s="109"/>
      <c r="Q893" s="109"/>
      <c r="R893" s="109"/>
      <c r="S893" s="109"/>
      <c r="T893" s="109"/>
      <c r="U893" s="109"/>
      <c r="V893" s="109"/>
      <c r="W893" s="109"/>
      <c r="X893" s="109"/>
      <c r="Y893" s="109"/>
      <c r="Z893" s="109"/>
    </row>
    <row r="894" ht="29.25" customHeight="1">
      <c r="A894" s="109"/>
      <c r="B894" s="109"/>
      <c r="C894" s="109"/>
      <c r="D894" s="109"/>
      <c r="E894" s="109"/>
      <c r="F894" s="109"/>
      <c r="G894" s="317"/>
      <c r="H894" s="109"/>
      <c r="I894" s="109"/>
      <c r="J894" s="109"/>
      <c r="K894" s="109"/>
      <c r="L894" s="109"/>
      <c r="M894" s="109"/>
      <c r="N894" s="109"/>
      <c r="O894" s="109"/>
      <c r="P894" s="109"/>
      <c r="Q894" s="109"/>
      <c r="R894" s="109"/>
      <c r="S894" s="109"/>
      <c r="T894" s="109"/>
      <c r="U894" s="109"/>
      <c r="V894" s="109"/>
      <c r="W894" s="109"/>
      <c r="X894" s="109"/>
      <c r="Y894" s="109"/>
      <c r="Z894" s="109"/>
    </row>
    <row r="895" ht="29.25" customHeight="1">
      <c r="A895" s="109"/>
      <c r="B895" s="109"/>
      <c r="C895" s="109"/>
      <c r="D895" s="109"/>
      <c r="E895" s="109"/>
      <c r="F895" s="109"/>
      <c r="G895" s="317"/>
      <c r="H895" s="109"/>
      <c r="I895" s="109"/>
      <c r="J895" s="109"/>
      <c r="K895" s="109"/>
      <c r="L895" s="109"/>
      <c r="M895" s="109"/>
      <c r="N895" s="109"/>
      <c r="O895" s="109"/>
      <c r="P895" s="109"/>
      <c r="Q895" s="109"/>
      <c r="R895" s="109"/>
      <c r="S895" s="109"/>
      <c r="T895" s="109"/>
      <c r="U895" s="109"/>
      <c r="V895" s="109"/>
      <c r="W895" s="109"/>
      <c r="X895" s="109"/>
      <c r="Y895" s="109"/>
      <c r="Z895" s="109"/>
    </row>
    <row r="896" ht="29.25" customHeight="1">
      <c r="A896" s="109"/>
      <c r="B896" s="109"/>
      <c r="C896" s="109"/>
      <c r="D896" s="109"/>
      <c r="E896" s="109"/>
      <c r="F896" s="109"/>
      <c r="G896" s="317"/>
      <c r="H896" s="109"/>
      <c r="I896" s="109"/>
      <c r="J896" s="109"/>
      <c r="K896" s="109"/>
      <c r="L896" s="109"/>
      <c r="M896" s="109"/>
      <c r="N896" s="109"/>
      <c r="O896" s="109"/>
      <c r="P896" s="109"/>
      <c r="Q896" s="109"/>
      <c r="R896" s="109"/>
      <c r="S896" s="109"/>
      <c r="T896" s="109"/>
      <c r="U896" s="109"/>
      <c r="V896" s="109"/>
      <c r="W896" s="109"/>
      <c r="X896" s="109"/>
      <c r="Y896" s="109"/>
      <c r="Z896" s="109"/>
    </row>
    <row r="897" ht="29.25" customHeight="1">
      <c r="A897" s="109"/>
      <c r="B897" s="109"/>
      <c r="C897" s="109"/>
      <c r="D897" s="109"/>
      <c r="E897" s="109"/>
      <c r="F897" s="109"/>
      <c r="G897" s="317"/>
      <c r="H897" s="109"/>
      <c r="I897" s="109"/>
      <c r="J897" s="109"/>
      <c r="K897" s="109"/>
      <c r="L897" s="109"/>
      <c r="M897" s="109"/>
      <c r="N897" s="109"/>
      <c r="O897" s="109"/>
      <c r="P897" s="109"/>
      <c r="Q897" s="109"/>
      <c r="R897" s="109"/>
      <c r="S897" s="109"/>
      <c r="T897" s="109"/>
      <c r="U897" s="109"/>
      <c r="V897" s="109"/>
      <c r="W897" s="109"/>
      <c r="X897" s="109"/>
      <c r="Y897" s="109"/>
      <c r="Z897" s="109"/>
    </row>
    <row r="898" ht="29.25" customHeight="1">
      <c r="A898" s="109"/>
      <c r="B898" s="109"/>
      <c r="C898" s="109"/>
      <c r="D898" s="109"/>
      <c r="E898" s="109"/>
      <c r="F898" s="109"/>
      <c r="G898" s="317"/>
      <c r="H898" s="109"/>
      <c r="I898" s="109"/>
      <c r="J898" s="109"/>
      <c r="K898" s="109"/>
      <c r="L898" s="109"/>
      <c r="M898" s="109"/>
      <c r="N898" s="109"/>
      <c r="O898" s="109"/>
      <c r="P898" s="109"/>
      <c r="Q898" s="109"/>
      <c r="R898" s="109"/>
      <c r="S898" s="109"/>
      <c r="T898" s="109"/>
      <c r="U898" s="109"/>
      <c r="V898" s="109"/>
      <c r="W898" s="109"/>
      <c r="X898" s="109"/>
      <c r="Y898" s="109"/>
      <c r="Z898" s="109"/>
    </row>
    <row r="899" ht="29.25" customHeight="1">
      <c r="A899" s="109"/>
      <c r="B899" s="109"/>
      <c r="C899" s="109"/>
      <c r="D899" s="109"/>
      <c r="E899" s="109"/>
      <c r="F899" s="109"/>
      <c r="G899" s="317"/>
      <c r="H899" s="109"/>
      <c r="I899" s="109"/>
      <c r="J899" s="109"/>
      <c r="K899" s="109"/>
      <c r="L899" s="109"/>
      <c r="M899" s="109"/>
      <c r="N899" s="109"/>
      <c r="O899" s="109"/>
      <c r="P899" s="109"/>
      <c r="Q899" s="109"/>
      <c r="R899" s="109"/>
      <c r="S899" s="109"/>
      <c r="T899" s="109"/>
      <c r="U899" s="109"/>
      <c r="V899" s="109"/>
      <c r="W899" s="109"/>
      <c r="X899" s="109"/>
      <c r="Y899" s="109"/>
      <c r="Z899" s="109"/>
    </row>
    <row r="900" ht="29.25" customHeight="1">
      <c r="A900" s="109"/>
      <c r="B900" s="109"/>
      <c r="C900" s="109"/>
      <c r="D900" s="109"/>
      <c r="E900" s="109"/>
      <c r="F900" s="109"/>
      <c r="G900" s="317"/>
      <c r="H900" s="109"/>
      <c r="I900" s="109"/>
      <c r="J900" s="109"/>
      <c r="K900" s="109"/>
      <c r="L900" s="109"/>
      <c r="M900" s="109"/>
      <c r="N900" s="109"/>
      <c r="O900" s="109"/>
      <c r="P900" s="109"/>
      <c r="Q900" s="109"/>
      <c r="R900" s="109"/>
      <c r="S900" s="109"/>
      <c r="T900" s="109"/>
      <c r="U900" s="109"/>
      <c r="V900" s="109"/>
      <c r="W900" s="109"/>
      <c r="X900" s="109"/>
      <c r="Y900" s="109"/>
      <c r="Z900" s="109"/>
    </row>
    <row r="901" ht="29.25" customHeight="1">
      <c r="A901" s="109"/>
      <c r="B901" s="109"/>
      <c r="C901" s="109"/>
      <c r="D901" s="109"/>
      <c r="E901" s="109"/>
      <c r="F901" s="109"/>
      <c r="G901" s="317"/>
      <c r="H901" s="109"/>
      <c r="I901" s="109"/>
      <c r="J901" s="109"/>
      <c r="K901" s="109"/>
      <c r="L901" s="109"/>
      <c r="M901" s="109"/>
      <c r="N901" s="109"/>
      <c r="O901" s="109"/>
      <c r="P901" s="109"/>
      <c r="Q901" s="109"/>
      <c r="R901" s="109"/>
      <c r="S901" s="109"/>
      <c r="T901" s="109"/>
      <c r="U901" s="109"/>
      <c r="V901" s="109"/>
      <c r="W901" s="109"/>
      <c r="X901" s="109"/>
      <c r="Y901" s="109"/>
      <c r="Z901" s="109"/>
    </row>
    <row r="902" ht="29.25" customHeight="1">
      <c r="A902" s="109"/>
      <c r="B902" s="109"/>
      <c r="C902" s="109"/>
      <c r="D902" s="109"/>
      <c r="E902" s="109"/>
      <c r="F902" s="109"/>
      <c r="G902" s="317"/>
      <c r="H902" s="109"/>
      <c r="I902" s="109"/>
      <c r="J902" s="109"/>
      <c r="K902" s="109"/>
      <c r="L902" s="109"/>
      <c r="M902" s="109"/>
      <c r="N902" s="109"/>
      <c r="O902" s="109"/>
      <c r="P902" s="109"/>
      <c r="Q902" s="109"/>
      <c r="R902" s="109"/>
      <c r="S902" s="109"/>
      <c r="T902" s="109"/>
      <c r="U902" s="109"/>
      <c r="V902" s="109"/>
      <c r="W902" s="109"/>
      <c r="X902" s="109"/>
      <c r="Y902" s="109"/>
      <c r="Z902" s="109"/>
    </row>
    <row r="903" ht="29.25" customHeight="1">
      <c r="A903" s="109"/>
      <c r="B903" s="109"/>
      <c r="C903" s="109"/>
      <c r="D903" s="109"/>
      <c r="E903" s="109"/>
      <c r="F903" s="109"/>
      <c r="G903" s="317"/>
      <c r="H903" s="109"/>
      <c r="I903" s="109"/>
      <c r="J903" s="109"/>
      <c r="K903" s="109"/>
      <c r="L903" s="109"/>
      <c r="M903" s="109"/>
      <c r="N903" s="109"/>
      <c r="O903" s="109"/>
      <c r="P903" s="109"/>
      <c r="Q903" s="109"/>
      <c r="R903" s="109"/>
      <c r="S903" s="109"/>
      <c r="T903" s="109"/>
      <c r="U903" s="109"/>
      <c r="V903" s="109"/>
      <c r="W903" s="109"/>
      <c r="X903" s="109"/>
      <c r="Y903" s="109"/>
      <c r="Z903" s="109"/>
    </row>
    <row r="904" ht="29.25" customHeight="1">
      <c r="A904" s="109"/>
      <c r="B904" s="109"/>
      <c r="C904" s="109"/>
      <c r="D904" s="109"/>
      <c r="E904" s="109"/>
      <c r="F904" s="109"/>
      <c r="G904" s="317"/>
      <c r="H904" s="109"/>
      <c r="I904" s="109"/>
      <c r="J904" s="109"/>
      <c r="K904" s="109"/>
      <c r="L904" s="109"/>
      <c r="M904" s="109"/>
      <c r="N904" s="109"/>
      <c r="O904" s="109"/>
      <c r="P904" s="109"/>
      <c r="Q904" s="109"/>
      <c r="R904" s="109"/>
      <c r="S904" s="109"/>
      <c r="T904" s="109"/>
      <c r="U904" s="109"/>
      <c r="V904" s="109"/>
      <c r="W904" s="109"/>
      <c r="X904" s="109"/>
      <c r="Y904" s="109"/>
      <c r="Z904" s="109"/>
    </row>
    <row r="905" ht="29.25" customHeight="1">
      <c r="A905" s="109"/>
      <c r="B905" s="109"/>
      <c r="C905" s="109"/>
      <c r="D905" s="109"/>
      <c r="E905" s="109"/>
      <c r="F905" s="109"/>
      <c r="G905" s="317"/>
      <c r="H905" s="109"/>
      <c r="I905" s="109"/>
      <c r="J905" s="109"/>
      <c r="K905" s="109"/>
      <c r="L905" s="109"/>
      <c r="M905" s="109"/>
      <c r="N905" s="109"/>
      <c r="O905" s="109"/>
      <c r="P905" s="109"/>
      <c r="Q905" s="109"/>
      <c r="R905" s="109"/>
      <c r="S905" s="109"/>
      <c r="T905" s="109"/>
      <c r="U905" s="109"/>
      <c r="V905" s="109"/>
      <c r="W905" s="109"/>
      <c r="X905" s="109"/>
      <c r="Y905" s="109"/>
      <c r="Z905" s="109"/>
    </row>
    <row r="906" ht="29.25" customHeight="1">
      <c r="A906" s="109"/>
      <c r="B906" s="109"/>
      <c r="C906" s="109"/>
      <c r="D906" s="109"/>
      <c r="E906" s="109"/>
      <c r="F906" s="109"/>
      <c r="G906" s="317"/>
      <c r="H906" s="109"/>
      <c r="I906" s="109"/>
      <c r="J906" s="109"/>
      <c r="K906" s="109"/>
      <c r="L906" s="109"/>
      <c r="M906" s="109"/>
      <c r="N906" s="109"/>
      <c r="O906" s="109"/>
      <c r="P906" s="109"/>
      <c r="Q906" s="109"/>
      <c r="R906" s="109"/>
      <c r="S906" s="109"/>
      <c r="T906" s="109"/>
      <c r="U906" s="109"/>
      <c r="V906" s="109"/>
      <c r="W906" s="109"/>
      <c r="X906" s="109"/>
      <c r="Y906" s="109"/>
      <c r="Z906" s="109"/>
    </row>
    <row r="907" ht="29.25" customHeight="1">
      <c r="A907" s="109"/>
      <c r="B907" s="109"/>
      <c r="C907" s="109"/>
      <c r="D907" s="109"/>
      <c r="E907" s="109"/>
      <c r="F907" s="109"/>
      <c r="G907" s="317"/>
      <c r="H907" s="109"/>
      <c r="I907" s="109"/>
      <c r="J907" s="109"/>
      <c r="K907" s="109"/>
      <c r="L907" s="109"/>
      <c r="M907" s="109"/>
      <c r="N907" s="109"/>
      <c r="O907" s="109"/>
      <c r="P907" s="109"/>
      <c r="Q907" s="109"/>
      <c r="R907" s="109"/>
      <c r="S907" s="109"/>
      <c r="T907" s="109"/>
      <c r="U907" s="109"/>
      <c r="V907" s="109"/>
      <c r="W907" s="109"/>
      <c r="X907" s="109"/>
      <c r="Y907" s="109"/>
      <c r="Z907" s="109"/>
    </row>
    <row r="908" ht="29.25" customHeight="1">
      <c r="A908" s="109"/>
      <c r="B908" s="109"/>
      <c r="C908" s="109"/>
      <c r="D908" s="109"/>
      <c r="E908" s="109"/>
      <c r="F908" s="109"/>
      <c r="G908" s="317"/>
      <c r="H908" s="109"/>
      <c r="I908" s="109"/>
      <c r="J908" s="109"/>
      <c r="K908" s="109"/>
      <c r="L908" s="109"/>
      <c r="M908" s="109"/>
      <c r="N908" s="109"/>
      <c r="O908" s="109"/>
      <c r="P908" s="109"/>
      <c r="Q908" s="109"/>
      <c r="R908" s="109"/>
      <c r="S908" s="109"/>
      <c r="T908" s="109"/>
      <c r="U908" s="109"/>
      <c r="V908" s="109"/>
      <c r="W908" s="109"/>
      <c r="X908" s="109"/>
      <c r="Y908" s="109"/>
      <c r="Z908" s="109"/>
    </row>
    <row r="909" ht="29.25" customHeight="1">
      <c r="A909" s="109"/>
      <c r="B909" s="109"/>
      <c r="C909" s="109"/>
      <c r="D909" s="109"/>
      <c r="E909" s="109"/>
      <c r="F909" s="109"/>
      <c r="G909" s="317"/>
      <c r="H909" s="109"/>
      <c r="I909" s="109"/>
      <c r="J909" s="109"/>
      <c r="K909" s="109"/>
      <c r="L909" s="109"/>
      <c r="M909" s="109"/>
      <c r="N909" s="109"/>
      <c r="O909" s="109"/>
      <c r="P909" s="109"/>
      <c r="Q909" s="109"/>
      <c r="R909" s="109"/>
      <c r="S909" s="109"/>
      <c r="T909" s="109"/>
      <c r="U909" s="109"/>
      <c r="V909" s="109"/>
      <c r="W909" s="109"/>
      <c r="X909" s="109"/>
      <c r="Y909" s="109"/>
      <c r="Z909" s="109"/>
    </row>
    <row r="910" ht="29.25" customHeight="1">
      <c r="A910" s="109"/>
      <c r="B910" s="109"/>
      <c r="C910" s="109"/>
      <c r="D910" s="109"/>
      <c r="E910" s="109"/>
      <c r="F910" s="109"/>
      <c r="G910" s="317"/>
      <c r="H910" s="109"/>
      <c r="I910" s="109"/>
      <c r="J910" s="109"/>
      <c r="K910" s="109"/>
      <c r="L910" s="109"/>
      <c r="M910" s="109"/>
      <c r="N910" s="109"/>
      <c r="O910" s="109"/>
      <c r="P910" s="109"/>
      <c r="Q910" s="109"/>
      <c r="R910" s="109"/>
      <c r="S910" s="109"/>
      <c r="T910" s="109"/>
      <c r="U910" s="109"/>
      <c r="V910" s="109"/>
      <c r="W910" s="109"/>
      <c r="X910" s="109"/>
      <c r="Y910" s="109"/>
      <c r="Z910" s="109"/>
    </row>
    <row r="911" ht="29.25" customHeight="1">
      <c r="A911" s="109"/>
      <c r="B911" s="109"/>
      <c r="C911" s="109"/>
      <c r="D911" s="109"/>
      <c r="E911" s="109"/>
      <c r="F911" s="109"/>
      <c r="G911" s="317"/>
      <c r="H911" s="109"/>
      <c r="I911" s="109"/>
      <c r="J911" s="109"/>
      <c r="K911" s="109"/>
      <c r="L911" s="109"/>
      <c r="M911" s="109"/>
      <c r="N911" s="109"/>
      <c r="O911" s="109"/>
      <c r="P911" s="109"/>
      <c r="Q911" s="109"/>
      <c r="R911" s="109"/>
      <c r="S911" s="109"/>
      <c r="T911" s="109"/>
      <c r="U911" s="109"/>
      <c r="V911" s="109"/>
      <c r="W911" s="109"/>
      <c r="X911" s="109"/>
      <c r="Y911" s="109"/>
      <c r="Z911" s="109"/>
    </row>
    <row r="912" ht="29.25" customHeight="1">
      <c r="A912" s="109"/>
      <c r="B912" s="109"/>
      <c r="C912" s="109"/>
      <c r="D912" s="109"/>
      <c r="E912" s="109"/>
      <c r="F912" s="109"/>
      <c r="G912" s="317"/>
      <c r="H912" s="109"/>
      <c r="I912" s="109"/>
      <c r="J912" s="109"/>
      <c r="K912" s="109"/>
      <c r="L912" s="109"/>
      <c r="M912" s="109"/>
      <c r="N912" s="109"/>
      <c r="O912" s="109"/>
      <c r="P912" s="109"/>
      <c r="Q912" s="109"/>
      <c r="R912" s="109"/>
      <c r="S912" s="109"/>
      <c r="T912" s="109"/>
      <c r="U912" s="109"/>
      <c r="V912" s="109"/>
      <c r="W912" s="109"/>
      <c r="X912" s="109"/>
      <c r="Y912" s="109"/>
      <c r="Z912" s="109"/>
    </row>
    <row r="913" ht="29.25" customHeight="1">
      <c r="A913" s="109"/>
      <c r="B913" s="109"/>
      <c r="C913" s="109"/>
      <c r="D913" s="109"/>
      <c r="E913" s="109"/>
      <c r="F913" s="109"/>
      <c r="G913" s="317"/>
      <c r="H913" s="109"/>
      <c r="I913" s="109"/>
      <c r="J913" s="109"/>
      <c r="K913" s="109"/>
      <c r="L913" s="109"/>
      <c r="M913" s="109"/>
      <c r="N913" s="109"/>
      <c r="O913" s="109"/>
      <c r="P913" s="109"/>
      <c r="Q913" s="109"/>
      <c r="R913" s="109"/>
      <c r="S913" s="109"/>
      <c r="T913" s="109"/>
      <c r="U913" s="109"/>
      <c r="V913" s="109"/>
      <c r="W913" s="109"/>
      <c r="X913" s="109"/>
      <c r="Y913" s="109"/>
      <c r="Z913" s="109"/>
    </row>
    <row r="914" ht="29.25" customHeight="1">
      <c r="A914" s="109"/>
      <c r="B914" s="109"/>
      <c r="C914" s="109"/>
      <c r="D914" s="109"/>
      <c r="E914" s="109"/>
      <c r="F914" s="109"/>
      <c r="G914" s="317"/>
      <c r="H914" s="109"/>
      <c r="I914" s="109"/>
      <c r="J914" s="109"/>
      <c r="K914" s="109"/>
      <c r="L914" s="109"/>
      <c r="M914" s="109"/>
      <c r="N914" s="109"/>
      <c r="O914" s="109"/>
      <c r="P914" s="109"/>
      <c r="Q914" s="109"/>
      <c r="R914" s="109"/>
      <c r="S914" s="109"/>
      <c r="T914" s="109"/>
      <c r="U914" s="109"/>
      <c r="V914" s="109"/>
      <c r="W914" s="109"/>
      <c r="X914" s="109"/>
      <c r="Y914" s="109"/>
      <c r="Z914" s="109"/>
    </row>
    <row r="915" ht="29.25" customHeight="1">
      <c r="A915" s="109"/>
      <c r="B915" s="109"/>
      <c r="C915" s="109"/>
      <c r="D915" s="109"/>
      <c r="E915" s="109"/>
      <c r="F915" s="109"/>
      <c r="G915" s="317"/>
      <c r="H915" s="109"/>
      <c r="I915" s="109"/>
      <c r="J915" s="109"/>
      <c r="K915" s="109"/>
      <c r="L915" s="109"/>
      <c r="M915" s="109"/>
      <c r="N915" s="109"/>
      <c r="O915" s="109"/>
      <c r="P915" s="109"/>
      <c r="Q915" s="109"/>
      <c r="R915" s="109"/>
      <c r="S915" s="109"/>
      <c r="T915" s="109"/>
      <c r="U915" s="109"/>
      <c r="V915" s="109"/>
      <c r="W915" s="109"/>
      <c r="X915" s="109"/>
      <c r="Y915" s="109"/>
      <c r="Z915" s="109"/>
    </row>
    <row r="916" ht="29.25" customHeight="1">
      <c r="A916" s="109"/>
      <c r="B916" s="109"/>
      <c r="C916" s="109"/>
      <c r="D916" s="109"/>
      <c r="E916" s="109"/>
      <c r="F916" s="109"/>
      <c r="G916" s="317"/>
      <c r="H916" s="109"/>
      <c r="I916" s="109"/>
      <c r="J916" s="109"/>
      <c r="K916" s="109"/>
      <c r="L916" s="109"/>
      <c r="M916" s="109"/>
      <c r="N916" s="109"/>
      <c r="O916" s="109"/>
      <c r="P916" s="109"/>
      <c r="Q916" s="109"/>
      <c r="R916" s="109"/>
      <c r="S916" s="109"/>
      <c r="T916" s="109"/>
      <c r="U916" s="109"/>
      <c r="V916" s="109"/>
      <c r="W916" s="109"/>
      <c r="X916" s="109"/>
      <c r="Y916" s="109"/>
      <c r="Z916" s="109"/>
    </row>
    <row r="917" ht="29.25" customHeight="1">
      <c r="A917" s="109"/>
      <c r="B917" s="109"/>
      <c r="C917" s="109"/>
      <c r="D917" s="109"/>
      <c r="E917" s="109"/>
      <c r="F917" s="109"/>
      <c r="G917" s="317"/>
      <c r="H917" s="109"/>
      <c r="I917" s="109"/>
      <c r="J917" s="109"/>
      <c r="K917" s="109"/>
      <c r="L917" s="109"/>
      <c r="M917" s="109"/>
      <c r="N917" s="109"/>
      <c r="O917" s="109"/>
      <c r="P917" s="109"/>
      <c r="Q917" s="109"/>
      <c r="R917" s="109"/>
      <c r="S917" s="109"/>
      <c r="T917" s="109"/>
      <c r="U917" s="109"/>
      <c r="V917" s="109"/>
      <c r="W917" s="109"/>
      <c r="X917" s="109"/>
      <c r="Y917" s="109"/>
      <c r="Z917" s="109"/>
    </row>
    <row r="918" ht="29.25" customHeight="1">
      <c r="A918" s="109"/>
      <c r="B918" s="109"/>
      <c r="C918" s="109"/>
      <c r="D918" s="109"/>
      <c r="E918" s="109"/>
      <c r="F918" s="109"/>
      <c r="G918" s="317"/>
      <c r="H918" s="109"/>
      <c r="I918" s="109"/>
      <c r="J918" s="109"/>
      <c r="K918" s="109"/>
      <c r="L918" s="109"/>
      <c r="M918" s="109"/>
      <c r="N918" s="109"/>
      <c r="O918" s="109"/>
      <c r="P918" s="109"/>
      <c r="Q918" s="109"/>
      <c r="R918" s="109"/>
      <c r="S918" s="109"/>
      <c r="T918" s="109"/>
      <c r="U918" s="109"/>
      <c r="V918" s="109"/>
      <c r="W918" s="109"/>
      <c r="X918" s="109"/>
      <c r="Y918" s="109"/>
      <c r="Z918" s="109"/>
    </row>
    <row r="919" ht="29.25" customHeight="1">
      <c r="A919" s="109"/>
      <c r="B919" s="109"/>
      <c r="C919" s="109"/>
      <c r="D919" s="109"/>
      <c r="E919" s="109"/>
      <c r="F919" s="109"/>
      <c r="G919" s="317"/>
      <c r="H919" s="109"/>
      <c r="I919" s="109"/>
      <c r="J919" s="109"/>
      <c r="K919" s="109"/>
      <c r="L919" s="109"/>
      <c r="M919" s="109"/>
      <c r="N919" s="109"/>
      <c r="O919" s="109"/>
      <c r="P919" s="109"/>
      <c r="Q919" s="109"/>
      <c r="R919" s="109"/>
      <c r="S919" s="109"/>
      <c r="T919" s="109"/>
      <c r="U919" s="109"/>
      <c r="V919" s="109"/>
      <c r="W919" s="109"/>
      <c r="X919" s="109"/>
      <c r="Y919" s="109"/>
      <c r="Z919" s="109"/>
    </row>
    <row r="920" ht="29.25" customHeight="1">
      <c r="A920" s="109"/>
      <c r="B920" s="109"/>
      <c r="C920" s="109"/>
      <c r="D920" s="109"/>
      <c r="E920" s="109"/>
      <c r="F920" s="109"/>
      <c r="G920" s="317"/>
      <c r="H920" s="109"/>
      <c r="I920" s="109"/>
      <c r="J920" s="109"/>
      <c r="K920" s="109"/>
      <c r="L920" s="109"/>
      <c r="M920" s="109"/>
      <c r="N920" s="109"/>
      <c r="O920" s="109"/>
      <c r="P920" s="109"/>
      <c r="Q920" s="109"/>
      <c r="R920" s="109"/>
      <c r="S920" s="109"/>
      <c r="T920" s="109"/>
      <c r="U920" s="109"/>
      <c r="V920" s="109"/>
      <c r="W920" s="109"/>
      <c r="X920" s="109"/>
      <c r="Y920" s="109"/>
      <c r="Z920" s="109"/>
    </row>
    <row r="921" ht="29.25" customHeight="1">
      <c r="A921" s="109"/>
      <c r="B921" s="109"/>
      <c r="C921" s="109"/>
      <c r="D921" s="109"/>
      <c r="E921" s="109"/>
      <c r="F921" s="109"/>
      <c r="G921" s="317"/>
      <c r="H921" s="109"/>
      <c r="I921" s="109"/>
      <c r="J921" s="109"/>
      <c r="K921" s="109"/>
      <c r="L921" s="109"/>
      <c r="M921" s="109"/>
      <c r="N921" s="109"/>
      <c r="O921" s="109"/>
      <c r="P921" s="109"/>
      <c r="Q921" s="109"/>
      <c r="R921" s="109"/>
      <c r="S921" s="109"/>
      <c r="T921" s="109"/>
      <c r="U921" s="109"/>
      <c r="V921" s="109"/>
      <c r="W921" s="109"/>
      <c r="X921" s="109"/>
      <c r="Y921" s="109"/>
      <c r="Z921" s="109"/>
    </row>
    <row r="922" ht="29.25" customHeight="1">
      <c r="A922" s="109"/>
      <c r="B922" s="109"/>
      <c r="C922" s="109"/>
      <c r="D922" s="109"/>
      <c r="E922" s="109"/>
      <c r="F922" s="109"/>
      <c r="G922" s="317"/>
      <c r="H922" s="109"/>
      <c r="I922" s="109"/>
      <c r="J922" s="109"/>
      <c r="K922" s="109"/>
      <c r="L922" s="109"/>
      <c r="M922" s="109"/>
      <c r="N922" s="109"/>
      <c r="O922" s="109"/>
      <c r="P922" s="109"/>
      <c r="Q922" s="109"/>
      <c r="R922" s="109"/>
      <c r="S922" s="109"/>
      <c r="T922" s="109"/>
      <c r="U922" s="109"/>
      <c r="V922" s="109"/>
      <c r="W922" s="109"/>
      <c r="X922" s="109"/>
      <c r="Y922" s="109"/>
      <c r="Z922" s="109"/>
    </row>
    <row r="923" ht="29.25" customHeight="1">
      <c r="A923" s="109"/>
      <c r="B923" s="109"/>
      <c r="C923" s="109"/>
      <c r="D923" s="109"/>
      <c r="E923" s="109"/>
      <c r="F923" s="109"/>
      <c r="G923" s="317"/>
      <c r="H923" s="109"/>
      <c r="I923" s="109"/>
      <c r="J923" s="109"/>
      <c r="K923" s="109"/>
      <c r="L923" s="109"/>
      <c r="M923" s="109"/>
      <c r="N923" s="109"/>
      <c r="O923" s="109"/>
      <c r="P923" s="109"/>
      <c r="Q923" s="109"/>
      <c r="R923" s="109"/>
      <c r="S923" s="109"/>
      <c r="T923" s="109"/>
      <c r="U923" s="109"/>
      <c r="V923" s="109"/>
      <c r="W923" s="109"/>
      <c r="X923" s="109"/>
      <c r="Y923" s="109"/>
      <c r="Z923" s="109"/>
    </row>
    <row r="924" ht="29.25" customHeight="1">
      <c r="A924" s="109"/>
      <c r="B924" s="109"/>
      <c r="C924" s="109"/>
      <c r="D924" s="109"/>
      <c r="E924" s="109"/>
      <c r="F924" s="109"/>
      <c r="G924" s="317"/>
      <c r="H924" s="109"/>
      <c r="I924" s="109"/>
      <c r="J924" s="109"/>
      <c r="K924" s="109"/>
      <c r="L924" s="109"/>
      <c r="M924" s="109"/>
      <c r="N924" s="109"/>
      <c r="O924" s="109"/>
      <c r="P924" s="109"/>
      <c r="Q924" s="109"/>
      <c r="R924" s="109"/>
      <c r="S924" s="109"/>
      <c r="T924" s="109"/>
      <c r="U924" s="109"/>
      <c r="V924" s="109"/>
      <c r="W924" s="109"/>
      <c r="X924" s="109"/>
      <c r="Y924" s="109"/>
      <c r="Z924" s="109"/>
    </row>
    <row r="925" ht="29.25" customHeight="1">
      <c r="A925" s="109"/>
      <c r="B925" s="109"/>
      <c r="C925" s="109"/>
      <c r="D925" s="109"/>
      <c r="E925" s="109"/>
      <c r="F925" s="109"/>
      <c r="G925" s="317"/>
      <c r="H925" s="109"/>
      <c r="I925" s="109"/>
      <c r="J925" s="109"/>
      <c r="K925" s="109"/>
      <c r="L925" s="109"/>
      <c r="M925" s="109"/>
      <c r="N925" s="109"/>
      <c r="O925" s="109"/>
      <c r="P925" s="109"/>
      <c r="Q925" s="109"/>
      <c r="R925" s="109"/>
      <c r="S925" s="109"/>
      <c r="T925" s="109"/>
      <c r="U925" s="109"/>
      <c r="V925" s="109"/>
      <c r="W925" s="109"/>
      <c r="X925" s="109"/>
      <c r="Y925" s="109"/>
      <c r="Z925" s="109"/>
    </row>
    <row r="926" ht="29.25" customHeight="1">
      <c r="A926" s="109"/>
      <c r="B926" s="109"/>
      <c r="C926" s="109"/>
      <c r="D926" s="109"/>
      <c r="E926" s="109"/>
      <c r="F926" s="109"/>
      <c r="G926" s="317"/>
      <c r="H926" s="109"/>
      <c r="I926" s="109"/>
      <c r="J926" s="109"/>
      <c r="K926" s="109"/>
      <c r="L926" s="109"/>
      <c r="M926" s="109"/>
      <c r="N926" s="109"/>
      <c r="O926" s="109"/>
      <c r="P926" s="109"/>
      <c r="Q926" s="109"/>
      <c r="R926" s="109"/>
      <c r="S926" s="109"/>
      <c r="T926" s="109"/>
      <c r="U926" s="109"/>
      <c r="V926" s="109"/>
      <c r="W926" s="109"/>
      <c r="X926" s="109"/>
      <c r="Y926" s="109"/>
      <c r="Z926" s="109"/>
    </row>
    <row r="927" ht="29.25" customHeight="1">
      <c r="A927" s="109"/>
      <c r="B927" s="109"/>
      <c r="C927" s="109"/>
      <c r="D927" s="109"/>
      <c r="E927" s="109"/>
      <c r="F927" s="109"/>
      <c r="G927" s="317"/>
      <c r="H927" s="109"/>
      <c r="I927" s="109"/>
      <c r="J927" s="109"/>
      <c r="K927" s="109"/>
      <c r="L927" s="109"/>
      <c r="M927" s="109"/>
      <c r="N927" s="109"/>
      <c r="O927" s="109"/>
      <c r="P927" s="109"/>
      <c r="Q927" s="109"/>
      <c r="R927" s="109"/>
      <c r="S927" s="109"/>
      <c r="T927" s="109"/>
      <c r="U927" s="109"/>
      <c r="V927" s="109"/>
      <c r="W927" s="109"/>
      <c r="X927" s="109"/>
      <c r="Y927" s="109"/>
      <c r="Z927" s="109"/>
    </row>
    <row r="928" ht="29.25" customHeight="1">
      <c r="A928" s="109"/>
      <c r="B928" s="109"/>
      <c r="C928" s="109"/>
      <c r="D928" s="109"/>
      <c r="E928" s="109"/>
      <c r="F928" s="109"/>
      <c r="G928" s="317"/>
      <c r="H928" s="109"/>
      <c r="I928" s="109"/>
      <c r="J928" s="109"/>
      <c r="K928" s="109"/>
      <c r="L928" s="109"/>
      <c r="M928" s="109"/>
      <c r="N928" s="109"/>
      <c r="O928" s="109"/>
      <c r="P928" s="109"/>
      <c r="Q928" s="109"/>
      <c r="R928" s="109"/>
      <c r="S928" s="109"/>
      <c r="T928" s="109"/>
      <c r="U928" s="109"/>
      <c r="V928" s="109"/>
      <c r="W928" s="109"/>
      <c r="X928" s="109"/>
      <c r="Y928" s="109"/>
      <c r="Z928" s="109"/>
    </row>
    <row r="929" ht="29.25" customHeight="1">
      <c r="A929" s="109"/>
      <c r="B929" s="109"/>
      <c r="C929" s="109"/>
      <c r="D929" s="109"/>
      <c r="E929" s="109"/>
      <c r="F929" s="109"/>
      <c r="G929" s="317"/>
      <c r="H929" s="109"/>
      <c r="I929" s="109"/>
      <c r="J929" s="109"/>
      <c r="K929" s="109"/>
      <c r="L929" s="109"/>
      <c r="M929" s="109"/>
      <c r="N929" s="109"/>
      <c r="O929" s="109"/>
      <c r="P929" s="109"/>
      <c r="Q929" s="109"/>
      <c r="R929" s="109"/>
      <c r="S929" s="109"/>
      <c r="T929" s="109"/>
      <c r="U929" s="109"/>
      <c r="V929" s="109"/>
      <c r="W929" s="109"/>
      <c r="X929" s="109"/>
      <c r="Y929" s="109"/>
      <c r="Z929" s="109"/>
    </row>
    <row r="930" ht="29.25" customHeight="1">
      <c r="A930" s="109"/>
      <c r="B930" s="109"/>
      <c r="C930" s="109"/>
      <c r="D930" s="109"/>
      <c r="E930" s="109"/>
      <c r="F930" s="109"/>
      <c r="G930" s="317"/>
      <c r="H930" s="109"/>
      <c r="I930" s="109"/>
      <c r="J930" s="109"/>
      <c r="K930" s="109"/>
      <c r="L930" s="109"/>
      <c r="M930" s="109"/>
      <c r="N930" s="109"/>
      <c r="O930" s="109"/>
      <c r="P930" s="109"/>
      <c r="Q930" s="109"/>
      <c r="R930" s="109"/>
      <c r="S930" s="109"/>
      <c r="T930" s="109"/>
      <c r="U930" s="109"/>
      <c r="V930" s="109"/>
      <c r="W930" s="109"/>
      <c r="X930" s="109"/>
      <c r="Y930" s="109"/>
      <c r="Z930" s="109"/>
    </row>
    <row r="931" ht="29.25" customHeight="1">
      <c r="A931" s="109"/>
      <c r="B931" s="109"/>
      <c r="C931" s="109"/>
      <c r="D931" s="109"/>
      <c r="E931" s="109"/>
      <c r="F931" s="109"/>
      <c r="G931" s="317"/>
      <c r="H931" s="109"/>
      <c r="I931" s="109"/>
      <c r="J931" s="109"/>
      <c r="K931" s="109"/>
      <c r="L931" s="109"/>
      <c r="M931" s="109"/>
      <c r="N931" s="109"/>
      <c r="O931" s="109"/>
      <c r="P931" s="109"/>
      <c r="Q931" s="109"/>
      <c r="R931" s="109"/>
      <c r="S931" s="109"/>
      <c r="T931" s="109"/>
      <c r="U931" s="109"/>
      <c r="V931" s="109"/>
      <c r="W931" s="109"/>
      <c r="X931" s="109"/>
      <c r="Y931" s="109"/>
      <c r="Z931" s="109"/>
    </row>
    <row r="932" ht="29.25" customHeight="1">
      <c r="A932" s="109"/>
      <c r="B932" s="109"/>
      <c r="C932" s="109"/>
      <c r="D932" s="109"/>
      <c r="E932" s="109"/>
      <c r="F932" s="109"/>
      <c r="G932" s="317"/>
      <c r="H932" s="109"/>
      <c r="I932" s="109"/>
      <c r="J932" s="109"/>
      <c r="K932" s="109"/>
      <c r="L932" s="109"/>
      <c r="M932" s="109"/>
      <c r="N932" s="109"/>
      <c r="O932" s="109"/>
      <c r="P932" s="109"/>
      <c r="Q932" s="109"/>
      <c r="R932" s="109"/>
      <c r="S932" s="109"/>
      <c r="T932" s="109"/>
      <c r="U932" s="109"/>
      <c r="V932" s="109"/>
      <c r="W932" s="109"/>
      <c r="X932" s="109"/>
      <c r="Y932" s="109"/>
      <c r="Z932" s="109"/>
    </row>
    <row r="933" ht="29.25" customHeight="1">
      <c r="A933" s="109"/>
      <c r="B933" s="109"/>
      <c r="C933" s="109"/>
      <c r="D933" s="109"/>
      <c r="E933" s="109"/>
      <c r="F933" s="109"/>
      <c r="G933" s="317"/>
      <c r="H933" s="109"/>
      <c r="I933" s="109"/>
      <c r="J933" s="109"/>
      <c r="K933" s="109"/>
      <c r="L933" s="109"/>
      <c r="M933" s="109"/>
      <c r="N933" s="109"/>
      <c r="O933" s="109"/>
      <c r="P933" s="109"/>
      <c r="Q933" s="109"/>
      <c r="R933" s="109"/>
      <c r="S933" s="109"/>
      <c r="T933" s="109"/>
      <c r="U933" s="109"/>
      <c r="V933" s="109"/>
      <c r="W933" s="109"/>
      <c r="X933" s="109"/>
      <c r="Y933" s="109"/>
      <c r="Z933" s="109"/>
    </row>
    <row r="934" ht="29.25" customHeight="1">
      <c r="A934" s="109"/>
      <c r="B934" s="109"/>
      <c r="C934" s="109"/>
      <c r="D934" s="109"/>
      <c r="E934" s="109"/>
      <c r="F934" s="109"/>
      <c r="G934" s="317"/>
      <c r="H934" s="109"/>
      <c r="I934" s="109"/>
      <c r="J934" s="109"/>
      <c r="K934" s="109"/>
      <c r="L934" s="109"/>
      <c r="M934" s="109"/>
      <c r="N934" s="109"/>
      <c r="O934" s="109"/>
      <c r="P934" s="109"/>
      <c r="Q934" s="109"/>
      <c r="R934" s="109"/>
      <c r="S934" s="109"/>
      <c r="T934" s="109"/>
      <c r="U934" s="109"/>
      <c r="V934" s="109"/>
      <c r="W934" s="109"/>
      <c r="X934" s="109"/>
      <c r="Y934" s="109"/>
      <c r="Z934" s="109"/>
    </row>
    <row r="935" ht="29.25" customHeight="1">
      <c r="A935" s="109"/>
      <c r="B935" s="109"/>
      <c r="C935" s="109"/>
      <c r="D935" s="109"/>
      <c r="E935" s="109"/>
      <c r="F935" s="109"/>
      <c r="G935" s="317"/>
      <c r="H935" s="109"/>
      <c r="I935" s="109"/>
      <c r="J935" s="109"/>
      <c r="K935" s="109"/>
      <c r="L935" s="109"/>
      <c r="M935" s="109"/>
      <c r="N935" s="109"/>
      <c r="O935" s="109"/>
      <c r="P935" s="109"/>
      <c r="Q935" s="109"/>
      <c r="R935" s="109"/>
      <c r="S935" s="109"/>
      <c r="T935" s="109"/>
      <c r="U935" s="109"/>
      <c r="V935" s="109"/>
      <c r="W935" s="109"/>
      <c r="X935" s="109"/>
      <c r="Y935" s="109"/>
      <c r="Z935" s="109"/>
    </row>
    <row r="936" ht="29.25" customHeight="1">
      <c r="A936" s="109"/>
      <c r="B936" s="109"/>
      <c r="C936" s="109"/>
      <c r="D936" s="109"/>
      <c r="E936" s="109"/>
      <c r="F936" s="109"/>
      <c r="G936" s="317"/>
      <c r="H936" s="109"/>
      <c r="I936" s="109"/>
      <c r="J936" s="109"/>
      <c r="K936" s="109"/>
      <c r="L936" s="109"/>
      <c r="M936" s="109"/>
      <c r="N936" s="109"/>
      <c r="O936" s="109"/>
      <c r="P936" s="109"/>
      <c r="Q936" s="109"/>
      <c r="R936" s="109"/>
      <c r="S936" s="109"/>
      <c r="T936" s="109"/>
      <c r="U936" s="109"/>
      <c r="V936" s="109"/>
      <c r="W936" s="109"/>
      <c r="X936" s="109"/>
      <c r="Y936" s="109"/>
      <c r="Z936" s="109"/>
    </row>
    <row r="937" ht="29.25" customHeight="1">
      <c r="A937" s="109"/>
      <c r="B937" s="109"/>
      <c r="C937" s="109"/>
      <c r="D937" s="109"/>
      <c r="E937" s="109"/>
      <c r="F937" s="109"/>
      <c r="G937" s="317"/>
      <c r="H937" s="109"/>
      <c r="I937" s="109"/>
      <c r="J937" s="109"/>
      <c r="K937" s="109"/>
      <c r="L937" s="109"/>
      <c r="M937" s="109"/>
      <c r="N937" s="109"/>
      <c r="O937" s="109"/>
      <c r="P937" s="109"/>
      <c r="Q937" s="109"/>
      <c r="R937" s="109"/>
      <c r="S937" s="109"/>
      <c r="T937" s="109"/>
      <c r="U937" s="109"/>
      <c r="V937" s="109"/>
      <c r="W937" s="109"/>
      <c r="X937" s="109"/>
      <c r="Y937" s="109"/>
      <c r="Z937" s="109"/>
    </row>
    <row r="938" ht="29.25" customHeight="1">
      <c r="A938" s="109"/>
      <c r="B938" s="109"/>
      <c r="C938" s="109"/>
      <c r="D938" s="109"/>
      <c r="E938" s="109"/>
      <c r="F938" s="109"/>
      <c r="G938" s="317"/>
      <c r="H938" s="109"/>
      <c r="I938" s="109"/>
      <c r="J938" s="109"/>
      <c r="K938" s="109"/>
      <c r="L938" s="109"/>
      <c r="M938" s="109"/>
      <c r="N938" s="109"/>
      <c r="O938" s="109"/>
      <c r="P938" s="109"/>
      <c r="Q938" s="109"/>
      <c r="R938" s="109"/>
      <c r="S938" s="109"/>
      <c r="T938" s="109"/>
      <c r="U938" s="109"/>
      <c r="V938" s="109"/>
      <c r="W938" s="109"/>
      <c r="X938" s="109"/>
      <c r="Y938" s="109"/>
      <c r="Z938" s="109"/>
    </row>
    <row r="939" ht="29.25" customHeight="1">
      <c r="A939" s="109"/>
      <c r="B939" s="109"/>
      <c r="C939" s="109"/>
      <c r="D939" s="109"/>
      <c r="E939" s="109"/>
      <c r="F939" s="109"/>
      <c r="G939" s="317"/>
      <c r="H939" s="109"/>
      <c r="I939" s="109"/>
      <c r="J939" s="109"/>
      <c r="K939" s="109"/>
      <c r="L939" s="109"/>
      <c r="M939" s="109"/>
      <c r="N939" s="109"/>
      <c r="O939" s="109"/>
      <c r="P939" s="109"/>
      <c r="Q939" s="109"/>
      <c r="R939" s="109"/>
      <c r="S939" s="109"/>
      <c r="T939" s="109"/>
      <c r="U939" s="109"/>
      <c r="V939" s="109"/>
      <c r="W939" s="109"/>
      <c r="X939" s="109"/>
      <c r="Y939" s="109"/>
      <c r="Z939" s="109"/>
    </row>
    <row r="940" ht="29.25" customHeight="1">
      <c r="A940" s="109"/>
      <c r="B940" s="109"/>
      <c r="C940" s="109"/>
      <c r="D940" s="109"/>
      <c r="E940" s="109"/>
      <c r="F940" s="109"/>
      <c r="G940" s="317"/>
      <c r="H940" s="109"/>
      <c r="I940" s="109"/>
      <c r="J940" s="109"/>
      <c r="K940" s="109"/>
      <c r="L940" s="109"/>
      <c r="M940" s="109"/>
      <c r="N940" s="109"/>
      <c r="O940" s="109"/>
      <c r="P940" s="109"/>
      <c r="Q940" s="109"/>
      <c r="R940" s="109"/>
      <c r="S940" s="109"/>
      <c r="T940" s="109"/>
      <c r="U940" s="109"/>
      <c r="V940" s="109"/>
      <c r="W940" s="109"/>
      <c r="X940" s="109"/>
      <c r="Y940" s="109"/>
      <c r="Z940" s="109"/>
    </row>
    <row r="941" ht="29.25" customHeight="1">
      <c r="A941" s="109"/>
      <c r="B941" s="109"/>
      <c r="C941" s="109"/>
      <c r="D941" s="109"/>
      <c r="E941" s="109"/>
      <c r="F941" s="109"/>
      <c r="G941" s="317"/>
      <c r="H941" s="109"/>
      <c r="I941" s="109"/>
      <c r="J941" s="109"/>
      <c r="K941" s="109"/>
      <c r="L941" s="109"/>
      <c r="M941" s="109"/>
      <c r="N941" s="109"/>
      <c r="O941" s="109"/>
      <c r="P941" s="109"/>
      <c r="Q941" s="109"/>
      <c r="R941" s="109"/>
      <c r="S941" s="109"/>
      <c r="T941" s="109"/>
      <c r="U941" s="109"/>
      <c r="V941" s="109"/>
      <c r="W941" s="109"/>
      <c r="X941" s="109"/>
      <c r="Y941" s="109"/>
      <c r="Z941" s="109"/>
    </row>
    <row r="942" ht="29.25" customHeight="1">
      <c r="A942" s="109"/>
      <c r="B942" s="109"/>
      <c r="C942" s="109"/>
      <c r="D942" s="109"/>
      <c r="E942" s="109"/>
      <c r="F942" s="109"/>
      <c r="G942" s="317"/>
      <c r="H942" s="109"/>
      <c r="I942" s="109"/>
      <c r="J942" s="109"/>
      <c r="K942" s="109"/>
      <c r="L942" s="109"/>
      <c r="M942" s="109"/>
      <c r="N942" s="109"/>
      <c r="O942" s="109"/>
      <c r="P942" s="109"/>
      <c r="Q942" s="109"/>
      <c r="R942" s="109"/>
      <c r="S942" s="109"/>
      <c r="T942" s="109"/>
      <c r="U942" s="109"/>
      <c r="V942" s="109"/>
      <c r="W942" s="109"/>
      <c r="X942" s="109"/>
      <c r="Y942" s="109"/>
      <c r="Z942" s="109"/>
    </row>
    <row r="943" ht="29.25" customHeight="1">
      <c r="A943" s="109"/>
      <c r="B943" s="109"/>
      <c r="C943" s="109"/>
      <c r="D943" s="109"/>
      <c r="E943" s="109"/>
      <c r="F943" s="109"/>
      <c r="G943" s="317"/>
      <c r="H943" s="109"/>
      <c r="I943" s="109"/>
      <c r="J943" s="109"/>
      <c r="K943" s="109"/>
      <c r="L943" s="109"/>
      <c r="M943" s="109"/>
      <c r="N943" s="109"/>
      <c r="O943" s="109"/>
      <c r="P943" s="109"/>
      <c r="Q943" s="109"/>
      <c r="R943" s="109"/>
      <c r="S943" s="109"/>
      <c r="T943" s="109"/>
      <c r="U943" s="109"/>
      <c r="V943" s="109"/>
      <c r="W943" s="109"/>
      <c r="X943" s="109"/>
      <c r="Y943" s="109"/>
      <c r="Z943" s="109"/>
    </row>
    <row r="944" ht="29.25" customHeight="1">
      <c r="A944" s="109"/>
      <c r="B944" s="109"/>
      <c r="C944" s="109"/>
      <c r="D944" s="109"/>
      <c r="E944" s="109"/>
      <c r="F944" s="109"/>
      <c r="G944" s="317"/>
      <c r="H944" s="109"/>
      <c r="I944" s="109"/>
      <c r="J944" s="109"/>
      <c r="K944" s="109"/>
      <c r="L944" s="109"/>
      <c r="M944" s="109"/>
      <c r="N944" s="109"/>
      <c r="O944" s="109"/>
      <c r="P944" s="109"/>
      <c r="Q944" s="109"/>
      <c r="R944" s="109"/>
      <c r="S944" s="109"/>
      <c r="T944" s="109"/>
      <c r="U944" s="109"/>
      <c r="V944" s="109"/>
      <c r="W944" s="109"/>
      <c r="X944" s="109"/>
      <c r="Y944" s="109"/>
      <c r="Z944" s="109"/>
    </row>
    <row r="945" ht="29.25" customHeight="1">
      <c r="A945" s="109"/>
      <c r="B945" s="109"/>
      <c r="C945" s="109"/>
      <c r="D945" s="109"/>
      <c r="E945" s="109"/>
      <c r="F945" s="109"/>
      <c r="G945" s="317"/>
      <c r="H945" s="109"/>
      <c r="I945" s="109"/>
      <c r="J945" s="109"/>
      <c r="K945" s="109"/>
      <c r="L945" s="109"/>
      <c r="M945" s="109"/>
      <c r="N945" s="109"/>
      <c r="O945" s="109"/>
      <c r="P945" s="109"/>
      <c r="Q945" s="109"/>
      <c r="R945" s="109"/>
      <c r="S945" s="109"/>
      <c r="T945" s="109"/>
      <c r="U945" s="109"/>
      <c r="V945" s="109"/>
      <c r="W945" s="109"/>
      <c r="X945" s="109"/>
      <c r="Y945" s="109"/>
      <c r="Z945" s="109"/>
    </row>
    <row r="946" ht="29.25" customHeight="1">
      <c r="A946" s="109"/>
      <c r="B946" s="109"/>
      <c r="C946" s="109"/>
      <c r="D946" s="109"/>
      <c r="E946" s="109"/>
      <c r="F946" s="109"/>
      <c r="G946" s="317"/>
      <c r="H946" s="109"/>
      <c r="I946" s="109"/>
      <c r="J946" s="109"/>
      <c r="K946" s="109"/>
      <c r="L946" s="109"/>
      <c r="M946" s="109"/>
      <c r="N946" s="109"/>
      <c r="O946" s="109"/>
      <c r="P946" s="109"/>
      <c r="Q946" s="109"/>
      <c r="R946" s="109"/>
      <c r="S946" s="109"/>
      <c r="T946" s="109"/>
      <c r="U946" s="109"/>
      <c r="V946" s="109"/>
      <c r="W946" s="109"/>
      <c r="X946" s="109"/>
      <c r="Y946" s="109"/>
      <c r="Z946" s="109"/>
    </row>
    <row r="947" ht="29.25" customHeight="1">
      <c r="A947" s="109"/>
      <c r="B947" s="109"/>
      <c r="C947" s="109"/>
      <c r="D947" s="109"/>
      <c r="E947" s="109"/>
      <c r="F947" s="109"/>
      <c r="G947" s="317"/>
      <c r="H947" s="109"/>
      <c r="I947" s="109"/>
      <c r="J947" s="109"/>
      <c r="K947" s="109"/>
      <c r="L947" s="109"/>
      <c r="M947" s="109"/>
      <c r="N947" s="109"/>
      <c r="O947" s="109"/>
      <c r="P947" s="109"/>
      <c r="Q947" s="109"/>
      <c r="R947" s="109"/>
      <c r="S947" s="109"/>
      <c r="T947" s="109"/>
      <c r="U947" s="109"/>
      <c r="V947" s="109"/>
      <c r="W947" s="109"/>
      <c r="X947" s="109"/>
      <c r="Y947" s="109"/>
      <c r="Z947" s="109"/>
    </row>
    <row r="948" ht="29.25" customHeight="1">
      <c r="A948" s="109"/>
      <c r="B948" s="109"/>
      <c r="C948" s="109"/>
      <c r="D948" s="109"/>
      <c r="E948" s="109"/>
      <c r="F948" s="109"/>
      <c r="G948" s="317"/>
      <c r="H948" s="109"/>
      <c r="I948" s="109"/>
      <c r="J948" s="109"/>
      <c r="K948" s="109"/>
      <c r="L948" s="109"/>
      <c r="M948" s="109"/>
      <c r="N948" s="109"/>
      <c r="O948" s="109"/>
      <c r="P948" s="109"/>
      <c r="Q948" s="109"/>
      <c r="R948" s="109"/>
      <c r="S948" s="109"/>
      <c r="T948" s="109"/>
      <c r="U948" s="109"/>
      <c r="V948" s="109"/>
      <c r="W948" s="109"/>
      <c r="X948" s="109"/>
      <c r="Y948" s="109"/>
      <c r="Z948" s="109"/>
    </row>
    <row r="949" ht="29.25" customHeight="1">
      <c r="A949" s="109"/>
      <c r="B949" s="109"/>
      <c r="C949" s="109"/>
      <c r="D949" s="109"/>
      <c r="E949" s="109"/>
      <c r="F949" s="109"/>
      <c r="G949" s="317"/>
      <c r="H949" s="109"/>
      <c r="I949" s="109"/>
      <c r="J949" s="109"/>
      <c r="K949" s="109"/>
      <c r="L949" s="109"/>
      <c r="M949" s="109"/>
      <c r="N949" s="109"/>
      <c r="O949" s="109"/>
      <c r="P949" s="109"/>
      <c r="Q949" s="109"/>
      <c r="R949" s="109"/>
      <c r="S949" s="109"/>
      <c r="T949" s="109"/>
      <c r="U949" s="109"/>
      <c r="V949" s="109"/>
      <c r="W949" s="109"/>
      <c r="X949" s="109"/>
      <c r="Y949" s="109"/>
      <c r="Z949" s="109"/>
    </row>
    <row r="950" ht="29.25" customHeight="1">
      <c r="A950" s="109"/>
      <c r="B950" s="109"/>
      <c r="C950" s="109"/>
      <c r="D950" s="109"/>
      <c r="E950" s="109"/>
      <c r="F950" s="109"/>
      <c r="G950" s="317"/>
      <c r="H950" s="109"/>
      <c r="I950" s="109"/>
      <c r="J950" s="109"/>
      <c r="K950" s="109"/>
      <c r="L950" s="109"/>
      <c r="M950" s="109"/>
      <c r="N950" s="109"/>
      <c r="O950" s="109"/>
      <c r="P950" s="109"/>
      <c r="Q950" s="109"/>
      <c r="R950" s="109"/>
      <c r="S950" s="109"/>
      <c r="T950" s="109"/>
      <c r="U950" s="109"/>
      <c r="V950" s="109"/>
      <c r="W950" s="109"/>
      <c r="X950" s="109"/>
      <c r="Y950" s="109"/>
      <c r="Z950" s="109"/>
    </row>
    <row r="951" ht="29.25" customHeight="1">
      <c r="A951" s="109"/>
      <c r="B951" s="109"/>
      <c r="C951" s="109"/>
      <c r="D951" s="109"/>
      <c r="E951" s="109"/>
      <c r="F951" s="109"/>
      <c r="G951" s="317"/>
      <c r="H951" s="109"/>
      <c r="I951" s="109"/>
      <c r="J951" s="109"/>
      <c r="K951" s="109"/>
      <c r="L951" s="109"/>
      <c r="M951" s="109"/>
      <c r="N951" s="109"/>
      <c r="O951" s="109"/>
      <c r="P951" s="109"/>
      <c r="Q951" s="109"/>
      <c r="R951" s="109"/>
      <c r="S951" s="109"/>
      <c r="T951" s="109"/>
      <c r="U951" s="109"/>
      <c r="V951" s="109"/>
      <c r="W951" s="109"/>
      <c r="X951" s="109"/>
      <c r="Y951" s="109"/>
      <c r="Z951" s="109"/>
    </row>
    <row r="952" ht="29.25" customHeight="1">
      <c r="A952" s="109"/>
      <c r="B952" s="109"/>
      <c r="C952" s="109"/>
      <c r="D952" s="109"/>
      <c r="E952" s="109"/>
      <c r="F952" s="109"/>
      <c r="G952" s="317"/>
      <c r="H952" s="109"/>
      <c r="I952" s="109"/>
      <c r="J952" s="109"/>
      <c r="K952" s="109"/>
      <c r="L952" s="109"/>
      <c r="M952" s="109"/>
      <c r="N952" s="109"/>
      <c r="O952" s="109"/>
      <c r="P952" s="109"/>
      <c r="Q952" s="109"/>
      <c r="R952" s="109"/>
      <c r="S952" s="109"/>
      <c r="T952" s="109"/>
      <c r="U952" s="109"/>
      <c r="V952" s="109"/>
      <c r="W952" s="109"/>
      <c r="X952" s="109"/>
      <c r="Y952" s="109"/>
      <c r="Z952" s="109"/>
    </row>
    <row r="953" ht="29.25" customHeight="1">
      <c r="A953" s="109"/>
      <c r="B953" s="109"/>
      <c r="C953" s="109"/>
      <c r="D953" s="109"/>
      <c r="E953" s="109"/>
      <c r="F953" s="109"/>
      <c r="G953" s="317"/>
      <c r="H953" s="109"/>
      <c r="I953" s="109"/>
      <c r="J953" s="109"/>
      <c r="K953" s="109"/>
      <c r="L953" s="109"/>
      <c r="M953" s="109"/>
      <c r="N953" s="109"/>
      <c r="O953" s="109"/>
      <c r="P953" s="109"/>
      <c r="Q953" s="109"/>
      <c r="R953" s="109"/>
      <c r="S953" s="109"/>
      <c r="T953" s="109"/>
      <c r="U953" s="109"/>
      <c r="V953" s="109"/>
      <c r="W953" s="109"/>
      <c r="X953" s="109"/>
      <c r="Y953" s="109"/>
      <c r="Z953" s="109"/>
    </row>
    <row r="954" ht="29.25" customHeight="1">
      <c r="A954" s="109"/>
      <c r="B954" s="109"/>
      <c r="C954" s="109"/>
      <c r="D954" s="109"/>
      <c r="E954" s="109"/>
      <c r="F954" s="109"/>
      <c r="G954" s="317"/>
      <c r="H954" s="109"/>
      <c r="I954" s="109"/>
      <c r="J954" s="109"/>
      <c r="K954" s="109"/>
      <c r="L954" s="109"/>
      <c r="M954" s="109"/>
      <c r="N954" s="109"/>
      <c r="O954" s="109"/>
      <c r="P954" s="109"/>
      <c r="Q954" s="109"/>
      <c r="R954" s="109"/>
      <c r="S954" s="109"/>
      <c r="T954" s="109"/>
      <c r="U954" s="109"/>
      <c r="V954" s="109"/>
      <c r="W954" s="109"/>
      <c r="X954" s="109"/>
      <c r="Y954" s="109"/>
      <c r="Z954" s="109"/>
    </row>
    <row r="955" ht="29.25" customHeight="1">
      <c r="A955" s="109"/>
      <c r="B955" s="109"/>
      <c r="C955" s="109"/>
      <c r="D955" s="109"/>
      <c r="E955" s="109"/>
      <c r="F955" s="109"/>
      <c r="G955" s="317"/>
      <c r="H955" s="109"/>
      <c r="I955" s="109"/>
      <c r="J955" s="109"/>
      <c r="K955" s="109"/>
      <c r="L955" s="109"/>
      <c r="M955" s="109"/>
      <c r="N955" s="109"/>
      <c r="O955" s="109"/>
      <c r="P955" s="109"/>
      <c r="Q955" s="109"/>
      <c r="R955" s="109"/>
      <c r="S955" s="109"/>
      <c r="T955" s="109"/>
      <c r="U955" s="109"/>
      <c r="V955" s="109"/>
      <c r="W955" s="109"/>
      <c r="X955" s="109"/>
      <c r="Y955" s="109"/>
      <c r="Z955" s="109"/>
    </row>
    <row r="956" ht="29.25" customHeight="1">
      <c r="A956" s="109"/>
      <c r="B956" s="109"/>
      <c r="C956" s="109"/>
      <c r="D956" s="109"/>
      <c r="E956" s="109"/>
      <c r="F956" s="109"/>
      <c r="G956" s="317"/>
      <c r="H956" s="109"/>
      <c r="I956" s="109"/>
      <c r="J956" s="109"/>
      <c r="K956" s="109"/>
      <c r="L956" s="109"/>
      <c r="M956" s="109"/>
      <c r="N956" s="109"/>
      <c r="O956" s="109"/>
      <c r="P956" s="109"/>
      <c r="Q956" s="109"/>
      <c r="R956" s="109"/>
      <c r="S956" s="109"/>
      <c r="T956" s="109"/>
      <c r="U956" s="109"/>
      <c r="V956" s="109"/>
      <c r="W956" s="109"/>
      <c r="X956" s="109"/>
      <c r="Y956" s="109"/>
      <c r="Z956" s="109"/>
    </row>
    <row r="957" ht="29.25" customHeight="1">
      <c r="A957" s="109"/>
      <c r="B957" s="109"/>
      <c r="C957" s="109"/>
      <c r="D957" s="109"/>
      <c r="E957" s="109"/>
      <c r="F957" s="109"/>
      <c r="G957" s="317"/>
      <c r="H957" s="109"/>
      <c r="I957" s="109"/>
      <c r="J957" s="109"/>
      <c r="K957" s="109"/>
      <c r="L957" s="109"/>
      <c r="M957" s="109"/>
      <c r="N957" s="109"/>
      <c r="O957" s="109"/>
      <c r="P957" s="109"/>
      <c r="Q957" s="109"/>
      <c r="R957" s="109"/>
      <c r="S957" s="109"/>
      <c r="T957" s="109"/>
      <c r="U957" s="109"/>
      <c r="V957" s="109"/>
      <c r="W957" s="109"/>
      <c r="X957" s="109"/>
      <c r="Y957" s="109"/>
      <c r="Z957" s="109"/>
    </row>
    <row r="958" ht="29.25" customHeight="1">
      <c r="A958" s="109"/>
      <c r="B958" s="109"/>
      <c r="C958" s="109"/>
      <c r="D958" s="109"/>
      <c r="E958" s="109"/>
      <c r="F958" s="109"/>
      <c r="G958" s="317"/>
      <c r="H958" s="109"/>
      <c r="I958" s="109"/>
      <c r="J958" s="109"/>
      <c r="K958" s="109"/>
      <c r="L958" s="109"/>
      <c r="M958" s="109"/>
      <c r="N958" s="109"/>
      <c r="O958" s="109"/>
      <c r="P958" s="109"/>
      <c r="Q958" s="109"/>
      <c r="R958" s="109"/>
      <c r="S958" s="109"/>
      <c r="T958" s="109"/>
      <c r="U958" s="109"/>
      <c r="V958" s="109"/>
      <c r="W958" s="109"/>
      <c r="X958" s="109"/>
      <c r="Y958" s="109"/>
      <c r="Z958" s="109"/>
    </row>
    <row r="959" ht="29.25" customHeight="1">
      <c r="A959" s="109"/>
      <c r="B959" s="109"/>
      <c r="C959" s="109"/>
      <c r="D959" s="109"/>
      <c r="E959" s="109"/>
      <c r="F959" s="109"/>
      <c r="G959" s="317"/>
      <c r="H959" s="109"/>
      <c r="I959" s="109"/>
      <c r="J959" s="109"/>
      <c r="K959" s="109"/>
      <c r="L959" s="109"/>
      <c r="M959" s="109"/>
      <c r="N959" s="109"/>
      <c r="O959" s="109"/>
      <c r="P959" s="109"/>
      <c r="Q959" s="109"/>
      <c r="R959" s="109"/>
      <c r="S959" s="109"/>
      <c r="T959" s="109"/>
      <c r="U959" s="109"/>
      <c r="V959" s="109"/>
      <c r="W959" s="109"/>
      <c r="X959" s="109"/>
      <c r="Y959" s="109"/>
      <c r="Z959" s="109"/>
    </row>
    <row r="960" ht="29.25" customHeight="1">
      <c r="A960" s="109"/>
      <c r="B960" s="109"/>
      <c r="C960" s="109"/>
      <c r="D960" s="109"/>
      <c r="E960" s="109"/>
      <c r="F960" s="109"/>
      <c r="G960" s="317"/>
      <c r="H960" s="109"/>
      <c r="I960" s="109"/>
      <c r="J960" s="109"/>
      <c r="K960" s="109"/>
      <c r="L960" s="109"/>
      <c r="M960" s="109"/>
      <c r="N960" s="109"/>
      <c r="O960" s="109"/>
      <c r="P960" s="109"/>
      <c r="Q960" s="109"/>
      <c r="R960" s="109"/>
      <c r="S960" s="109"/>
      <c r="T960" s="109"/>
      <c r="U960" s="109"/>
      <c r="V960" s="109"/>
      <c r="W960" s="109"/>
      <c r="X960" s="109"/>
      <c r="Y960" s="109"/>
      <c r="Z960" s="109"/>
    </row>
    <row r="961" ht="29.25" customHeight="1">
      <c r="A961" s="109"/>
      <c r="B961" s="109"/>
      <c r="C961" s="109"/>
      <c r="D961" s="109"/>
      <c r="E961" s="109"/>
      <c r="F961" s="109"/>
      <c r="G961" s="317"/>
      <c r="H961" s="109"/>
      <c r="I961" s="109"/>
      <c r="J961" s="109"/>
      <c r="K961" s="109"/>
      <c r="L961" s="109"/>
      <c r="M961" s="109"/>
      <c r="N961" s="109"/>
      <c r="O961" s="109"/>
      <c r="P961" s="109"/>
      <c r="Q961" s="109"/>
      <c r="R961" s="109"/>
      <c r="S961" s="109"/>
      <c r="T961" s="109"/>
      <c r="U961" s="109"/>
      <c r="V961" s="109"/>
      <c r="W961" s="109"/>
      <c r="X961" s="109"/>
      <c r="Y961" s="109"/>
      <c r="Z961" s="109"/>
    </row>
    <row r="962" ht="29.25" customHeight="1">
      <c r="A962" s="109"/>
      <c r="B962" s="109"/>
      <c r="C962" s="109"/>
      <c r="D962" s="109"/>
      <c r="E962" s="109"/>
      <c r="F962" s="109"/>
      <c r="G962" s="317"/>
      <c r="H962" s="109"/>
      <c r="I962" s="109"/>
      <c r="J962" s="109"/>
      <c r="K962" s="109"/>
      <c r="L962" s="109"/>
      <c r="M962" s="109"/>
      <c r="N962" s="109"/>
      <c r="O962" s="109"/>
      <c r="P962" s="109"/>
      <c r="Q962" s="109"/>
      <c r="R962" s="109"/>
      <c r="S962" s="109"/>
      <c r="T962" s="109"/>
      <c r="U962" s="109"/>
      <c r="V962" s="109"/>
      <c r="W962" s="109"/>
      <c r="X962" s="109"/>
      <c r="Y962" s="109"/>
      <c r="Z962" s="109"/>
    </row>
    <row r="963" ht="29.25" customHeight="1">
      <c r="A963" s="109"/>
      <c r="B963" s="109"/>
      <c r="C963" s="109"/>
      <c r="D963" s="109"/>
      <c r="E963" s="109"/>
      <c r="F963" s="109"/>
      <c r="G963" s="317"/>
      <c r="H963" s="109"/>
      <c r="I963" s="109"/>
      <c r="J963" s="109"/>
      <c r="K963" s="109"/>
      <c r="L963" s="109"/>
      <c r="M963" s="109"/>
      <c r="N963" s="109"/>
      <c r="O963" s="109"/>
      <c r="P963" s="109"/>
      <c r="Q963" s="109"/>
      <c r="R963" s="109"/>
      <c r="S963" s="109"/>
      <c r="T963" s="109"/>
      <c r="U963" s="109"/>
      <c r="V963" s="109"/>
      <c r="W963" s="109"/>
      <c r="X963" s="109"/>
      <c r="Y963" s="109"/>
      <c r="Z963" s="109"/>
    </row>
    <row r="964" ht="29.25" customHeight="1">
      <c r="A964" s="109"/>
      <c r="B964" s="109"/>
      <c r="C964" s="109"/>
      <c r="D964" s="109"/>
      <c r="E964" s="109"/>
      <c r="F964" s="109"/>
      <c r="G964" s="317"/>
      <c r="H964" s="109"/>
      <c r="I964" s="109"/>
      <c r="J964" s="109"/>
      <c r="K964" s="109"/>
      <c r="L964" s="109"/>
      <c r="M964" s="109"/>
      <c r="N964" s="109"/>
      <c r="O964" s="109"/>
      <c r="P964" s="109"/>
      <c r="Q964" s="109"/>
      <c r="R964" s="109"/>
      <c r="S964" s="109"/>
      <c r="T964" s="109"/>
      <c r="U964" s="109"/>
      <c r="V964" s="109"/>
      <c r="W964" s="109"/>
      <c r="X964" s="109"/>
      <c r="Y964" s="109"/>
      <c r="Z964" s="109"/>
    </row>
    <row r="965" ht="29.25" customHeight="1">
      <c r="A965" s="109"/>
      <c r="B965" s="109"/>
      <c r="C965" s="109"/>
      <c r="D965" s="109"/>
      <c r="E965" s="109"/>
      <c r="F965" s="109"/>
      <c r="G965" s="317"/>
      <c r="H965" s="109"/>
      <c r="I965" s="109"/>
      <c r="J965" s="109"/>
      <c r="K965" s="109"/>
      <c r="L965" s="109"/>
      <c r="M965" s="109"/>
      <c r="N965" s="109"/>
      <c r="O965" s="109"/>
      <c r="P965" s="109"/>
      <c r="Q965" s="109"/>
      <c r="R965" s="109"/>
      <c r="S965" s="109"/>
      <c r="T965" s="109"/>
      <c r="U965" s="109"/>
      <c r="V965" s="109"/>
      <c r="W965" s="109"/>
      <c r="X965" s="109"/>
      <c r="Y965" s="109"/>
      <c r="Z965" s="109"/>
    </row>
    <row r="966" ht="29.25" customHeight="1">
      <c r="A966" s="109"/>
      <c r="B966" s="109"/>
      <c r="C966" s="109"/>
      <c r="D966" s="109"/>
      <c r="E966" s="109"/>
      <c r="F966" s="109"/>
      <c r="G966" s="317"/>
      <c r="H966" s="109"/>
      <c r="I966" s="109"/>
      <c r="J966" s="109"/>
      <c r="K966" s="109"/>
      <c r="L966" s="109"/>
      <c r="M966" s="109"/>
      <c r="N966" s="109"/>
      <c r="O966" s="109"/>
      <c r="P966" s="109"/>
      <c r="Q966" s="109"/>
      <c r="R966" s="109"/>
      <c r="S966" s="109"/>
      <c r="T966" s="109"/>
      <c r="U966" s="109"/>
      <c r="V966" s="109"/>
      <c r="W966" s="109"/>
      <c r="X966" s="109"/>
      <c r="Y966" s="109"/>
      <c r="Z966" s="109"/>
    </row>
    <row r="967" ht="29.25" customHeight="1">
      <c r="A967" s="109"/>
      <c r="B967" s="109"/>
      <c r="C967" s="109"/>
      <c r="D967" s="109"/>
      <c r="E967" s="109"/>
      <c r="F967" s="109"/>
      <c r="G967" s="317"/>
      <c r="H967" s="109"/>
      <c r="I967" s="109"/>
      <c r="J967" s="109"/>
      <c r="K967" s="109"/>
      <c r="L967" s="109"/>
      <c r="M967" s="109"/>
      <c r="N967" s="109"/>
      <c r="O967" s="109"/>
      <c r="P967" s="109"/>
      <c r="Q967" s="109"/>
      <c r="R967" s="109"/>
      <c r="S967" s="109"/>
      <c r="T967" s="109"/>
      <c r="U967" s="109"/>
      <c r="V967" s="109"/>
      <c r="W967" s="109"/>
      <c r="X967" s="109"/>
      <c r="Y967" s="109"/>
      <c r="Z967" s="109"/>
    </row>
    <row r="968" ht="29.25" customHeight="1">
      <c r="A968" s="109"/>
      <c r="B968" s="109"/>
      <c r="C968" s="109"/>
      <c r="D968" s="109"/>
      <c r="E968" s="109"/>
      <c r="F968" s="109"/>
      <c r="G968" s="317"/>
      <c r="H968" s="109"/>
      <c r="I968" s="109"/>
      <c r="J968" s="109"/>
      <c r="K968" s="109"/>
      <c r="L968" s="109"/>
      <c r="M968" s="109"/>
      <c r="N968" s="109"/>
      <c r="O968" s="109"/>
      <c r="P968" s="109"/>
      <c r="Q968" s="109"/>
      <c r="R968" s="109"/>
      <c r="S968" s="109"/>
      <c r="T968" s="109"/>
      <c r="U968" s="109"/>
      <c r="V968" s="109"/>
      <c r="W968" s="109"/>
      <c r="X968" s="109"/>
      <c r="Y968" s="109"/>
      <c r="Z968" s="109"/>
    </row>
    <row r="969" ht="29.25" customHeight="1">
      <c r="A969" s="109"/>
      <c r="B969" s="109"/>
      <c r="C969" s="109"/>
      <c r="D969" s="109"/>
      <c r="E969" s="109"/>
      <c r="F969" s="109"/>
      <c r="G969" s="317"/>
      <c r="H969" s="109"/>
      <c r="I969" s="109"/>
      <c r="J969" s="109"/>
      <c r="K969" s="109"/>
      <c r="L969" s="109"/>
      <c r="M969" s="109"/>
      <c r="N969" s="109"/>
      <c r="O969" s="109"/>
      <c r="P969" s="109"/>
      <c r="Q969" s="109"/>
      <c r="R969" s="109"/>
      <c r="S969" s="109"/>
      <c r="T969" s="109"/>
      <c r="U969" s="109"/>
      <c r="V969" s="109"/>
      <c r="W969" s="109"/>
      <c r="X969" s="109"/>
      <c r="Y969" s="109"/>
      <c r="Z969" s="109"/>
    </row>
    <row r="970" ht="29.25" customHeight="1">
      <c r="A970" s="109"/>
      <c r="B970" s="109"/>
      <c r="C970" s="109"/>
      <c r="D970" s="109"/>
      <c r="E970" s="109"/>
      <c r="F970" s="109"/>
      <c r="G970" s="317"/>
      <c r="H970" s="109"/>
      <c r="I970" s="109"/>
      <c r="J970" s="109"/>
      <c r="K970" s="109"/>
      <c r="L970" s="109"/>
      <c r="M970" s="109"/>
      <c r="N970" s="109"/>
      <c r="O970" s="109"/>
      <c r="P970" s="109"/>
      <c r="Q970" s="109"/>
      <c r="R970" s="109"/>
      <c r="S970" s="109"/>
      <c r="T970" s="109"/>
      <c r="U970" s="109"/>
      <c r="V970" s="109"/>
      <c r="W970" s="109"/>
      <c r="X970" s="109"/>
      <c r="Y970" s="109"/>
      <c r="Z970" s="109"/>
    </row>
    <row r="971" ht="29.25" customHeight="1">
      <c r="A971" s="109"/>
      <c r="B971" s="109"/>
      <c r="C971" s="109"/>
      <c r="D971" s="109"/>
      <c r="E971" s="109"/>
      <c r="F971" s="109"/>
      <c r="G971" s="317"/>
      <c r="H971" s="109"/>
      <c r="I971" s="109"/>
      <c r="J971" s="109"/>
      <c r="K971" s="109"/>
      <c r="L971" s="109"/>
      <c r="M971" s="109"/>
      <c r="N971" s="109"/>
      <c r="O971" s="109"/>
      <c r="P971" s="109"/>
      <c r="Q971" s="109"/>
      <c r="R971" s="109"/>
      <c r="S971" s="109"/>
      <c r="T971" s="109"/>
      <c r="U971" s="109"/>
      <c r="V971" s="109"/>
      <c r="W971" s="109"/>
      <c r="X971" s="109"/>
      <c r="Y971" s="109"/>
      <c r="Z971" s="109"/>
    </row>
    <row r="972" ht="29.25" customHeight="1">
      <c r="A972" s="109"/>
      <c r="B972" s="109"/>
      <c r="C972" s="109"/>
      <c r="D972" s="109"/>
      <c r="E972" s="109"/>
      <c r="F972" s="109"/>
      <c r="G972" s="317"/>
      <c r="H972" s="109"/>
      <c r="I972" s="109"/>
      <c r="J972" s="109"/>
      <c r="K972" s="109"/>
      <c r="L972" s="109"/>
      <c r="M972" s="109"/>
      <c r="N972" s="109"/>
      <c r="O972" s="109"/>
      <c r="P972" s="109"/>
      <c r="Q972" s="109"/>
      <c r="R972" s="109"/>
      <c r="S972" s="109"/>
      <c r="T972" s="109"/>
      <c r="U972" s="109"/>
      <c r="V972" s="109"/>
      <c r="W972" s="109"/>
      <c r="X972" s="109"/>
      <c r="Y972" s="109"/>
      <c r="Z972" s="109"/>
    </row>
    <row r="973" ht="29.25" customHeight="1">
      <c r="A973" s="109"/>
      <c r="B973" s="109"/>
      <c r="C973" s="109"/>
      <c r="D973" s="109"/>
      <c r="E973" s="109"/>
      <c r="F973" s="109"/>
      <c r="G973" s="317"/>
      <c r="H973" s="109"/>
      <c r="I973" s="109"/>
      <c r="J973" s="109"/>
      <c r="K973" s="109"/>
      <c r="L973" s="109"/>
      <c r="M973" s="109"/>
      <c r="N973" s="109"/>
      <c r="O973" s="109"/>
      <c r="P973" s="109"/>
      <c r="Q973" s="109"/>
      <c r="R973" s="109"/>
      <c r="S973" s="109"/>
      <c r="T973" s="109"/>
      <c r="U973" s="109"/>
      <c r="V973" s="109"/>
      <c r="W973" s="109"/>
      <c r="X973" s="109"/>
      <c r="Y973" s="109"/>
      <c r="Z973" s="109"/>
    </row>
    <row r="974" ht="29.25" customHeight="1">
      <c r="A974" s="109"/>
      <c r="B974" s="109"/>
      <c r="C974" s="109"/>
      <c r="D974" s="109"/>
      <c r="E974" s="109"/>
      <c r="F974" s="109"/>
      <c r="G974" s="317"/>
      <c r="H974" s="109"/>
      <c r="I974" s="109"/>
      <c r="J974" s="109"/>
      <c r="K974" s="109"/>
      <c r="L974" s="109"/>
      <c r="M974" s="109"/>
      <c r="N974" s="109"/>
      <c r="O974" s="109"/>
      <c r="P974" s="109"/>
      <c r="Q974" s="109"/>
      <c r="R974" s="109"/>
      <c r="S974" s="109"/>
      <c r="T974" s="109"/>
      <c r="U974" s="109"/>
      <c r="V974" s="109"/>
      <c r="W974" s="109"/>
      <c r="X974" s="109"/>
      <c r="Y974" s="109"/>
      <c r="Z974" s="109"/>
    </row>
    <row r="975" ht="29.25" customHeight="1">
      <c r="A975" s="109"/>
      <c r="B975" s="109"/>
      <c r="C975" s="109"/>
      <c r="D975" s="109"/>
      <c r="E975" s="109"/>
      <c r="F975" s="109"/>
      <c r="G975" s="317"/>
      <c r="H975" s="109"/>
      <c r="I975" s="109"/>
      <c r="J975" s="109"/>
      <c r="K975" s="109"/>
      <c r="L975" s="109"/>
      <c r="M975" s="109"/>
      <c r="N975" s="109"/>
      <c r="O975" s="109"/>
      <c r="P975" s="109"/>
      <c r="Q975" s="109"/>
      <c r="R975" s="109"/>
      <c r="S975" s="109"/>
      <c r="T975" s="109"/>
      <c r="U975" s="109"/>
      <c r="V975" s="109"/>
      <c r="W975" s="109"/>
      <c r="X975" s="109"/>
      <c r="Y975" s="109"/>
      <c r="Z975" s="109"/>
    </row>
    <row r="976" ht="29.25" customHeight="1">
      <c r="A976" s="109"/>
      <c r="B976" s="109"/>
      <c r="C976" s="109"/>
      <c r="D976" s="109"/>
      <c r="E976" s="109"/>
      <c r="F976" s="109"/>
      <c r="G976" s="317"/>
      <c r="H976" s="109"/>
      <c r="I976" s="109"/>
      <c r="J976" s="109"/>
      <c r="K976" s="109"/>
      <c r="L976" s="109"/>
      <c r="M976" s="109"/>
      <c r="N976" s="109"/>
      <c r="O976" s="109"/>
      <c r="P976" s="109"/>
      <c r="Q976" s="109"/>
      <c r="R976" s="109"/>
      <c r="S976" s="109"/>
      <c r="T976" s="109"/>
      <c r="U976" s="109"/>
      <c r="V976" s="109"/>
      <c r="W976" s="109"/>
      <c r="X976" s="109"/>
      <c r="Y976" s="109"/>
      <c r="Z976" s="109"/>
    </row>
    <row r="977" ht="29.25" customHeight="1">
      <c r="A977" s="109"/>
      <c r="B977" s="109"/>
      <c r="C977" s="109"/>
      <c r="D977" s="109"/>
      <c r="E977" s="109"/>
      <c r="F977" s="109"/>
      <c r="G977" s="317"/>
      <c r="H977" s="109"/>
      <c r="I977" s="109"/>
      <c r="J977" s="109"/>
      <c r="K977" s="109"/>
      <c r="L977" s="109"/>
      <c r="M977" s="109"/>
      <c r="N977" s="109"/>
      <c r="O977" s="109"/>
      <c r="P977" s="109"/>
      <c r="Q977" s="109"/>
      <c r="R977" s="109"/>
      <c r="S977" s="109"/>
      <c r="T977" s="109"/>
      <c r="U977" s="109"/>
      <c r="V977" s="109"/>
      <c r="W977" s="109"/>
      <c r="X977" s="109"/>
      <c r="Y977" s="109"/>
      <c r="Z977" s="109"/>
    </row>
    <row r="978" ht="29.25" customHeight="1">
      <c r="A978" s="109"/>
      <c r="B978" s="109"/>
      <c r="C978" s="109"/>
      <c r="D978" s="109"/>
      <c r="E978" s="109"/>
      <c r="F978" s="109"/>
      <c r="G978" s="317"/>
      <c r="H978" s="109"/>
      <c r="I978" s="109"/>
      <c r="J978" s="109"/>
      <c r="K978" s="109"/>
      <c r="L978" s="109"/>
      <c r="M978" s="109"/>
      <c r="N978" s="109"/>
      <c r="O978" s="109"/>
      <c r="P978" s="109"/>
      <c r="Q978" s="109"/>
      <c r="R978" s="109"/>
      <c r="S978" s="109"/>
      <c r="T978" s="109"/>
      <c r="U978" s="109"/>
      <c r="V978" s="109"/>
      <c r="W978" s="109"/>
      <c r="X978" s="109"/>
      <c r="Y978" s="109"/>
      <c r="Z978" s="109"/>
    </row>
    <row r="979" ht="29.25" customHeight="1">
      <c r="A979" s="109"/>
      <c r="B979" s="109"/>
      <c r="C979" s="109"/>
      <c r="D979" s="109"/>
      <c r="E979" s="109"/>
      <c r="F979" s="109"/>
      <c r="G979" s="317"/>
      <c r="H979" s="109"/>
      <c r="I979" s="109"/>
      <c r="J979" s="109"/>
      <c r="K979" s="109"/>
      <c r="L979" s="109"/>
      <c r="M979" s="109"/>
      <c r="N979" s="109"/>
      <c r="O979" s="109"/>
      <c r="P979" s="109"/>
      <c r="Q979" s="109"/>
      <c r="R979" s="109"/>
      <c r="S979" s="109"/>
      <c r="T979" s="109"/>
      <c r="U979" s="109"/>
      <c r="V979" s="109"/>
      <c r="W979" s="109"/>
      <c r="X979" s="109"/>
      <c r="Y979" s="109"/>
      <c r="Z979" s="109"/>
    </row>
    <row r="980" ht="29.25" customHeight="1">
      <c r="A980" s="109"/>
      <c r="B980" s="109"/>
      <c r="C980" s="109"/>
      <c r="D980" s="109"/>
      <c r="E980" s="109"/>
      <c r="F980" s="109"/>
      <c r="G980" s="317"/>
      <c r="H980" s="109"/>
      <c r="I980" s="109"/>
      <c r="J980" s="109"/>
      <c r="K980" s="109"/>
      <c r="L980" s="109"/>
      <c r="M980" s="109"/>
      <c r="N980" s="109"/>
      <c r="O980" s="109"/>
      <c r="P980" s="109"/>
      <c r="Q980" s="109"/>
      <c r="R980" s="109"/>
      <c r="S980" s="109"/>
      <c r="T980" s="109"/>
      <c r="U980" s="109"/>
      <c r="V980" s="109"/>
      <c r="W980" s="109"/>
      <c r="X980" s="109"/>
      <c r="Y980" s="109"/>
      <c r="Z980" s="109"/>
    </row>
    <row r="981" ht="29.25" customHeight="1">
      <c r="A981" s="109"/>
      <c r="B981" s="109"/>
      <c r="C981" s="109"/>
      <c r="D981" s="109"/>
      <c r="E981" s="109"/>
      <c r="F981" s="109"/>
      <c r="G981" s="317"/>
      <c r="H981" s="109"/>
      <c r="I981" s="109"/>
      <c r="J981" s="109"/>
      <c r="K981" s="109"/>
      <c r="L981" s="109"/>
      <c r="M981" s="109"/>
      <c r="N981" s="109"/>
      <c r="O981" s="109"/>
      <c r="P981" s="109"/>
      <c r="Q981" s="109"/>
      <c r="R981" s="109"/>
      <c r="S981" s="109"/>
      <c r="T981" s="109"/>
      <c r="U981" s="109"/>
      <c r="V981" s="109"/>
      <c r="W981" s="109"/>
      <c r="X981" s="109"/>
      <c r="Y981" s="109"/>
      <c r="Z981" s="109"/>
    </row>
    <row r="982" ht="29.25" customHeight="1">
      <c r="A982" s="109"/>
      <c r="B982" s="109"/>
      <c r="C982" s="109"/>
      <c r="D982" s="109"/>
      <c r="E982" s="109"/>
      <c r="F982" s="109"/>
      <c r="G982" s="317"/>
      <c r="H982" s="109"/>
      <c r="I982" s="109"/>
      <c r="J982" s="109"/>
      <c r="K982" s="109"/>
      <c r="L982" s="109"/>
      <c r="M982" s="109"/>
      <c r="N982" s="109"/>
      <c r="O982" s="109"/>
      <c r="P982" s="109"/>
      <c r="Q982" s="109"/>
      <c r="R982" s="109"/>
      <c r="S982" s="109"/>
      <c r="T982" s="109"/>
      <c r="U982" s="109"/>
      <c r="V982" s="109"/>
      <c r="W982" s="109"/>
      <c r="X982" s="109"/>
      <c r="Y982" s="109"/>
      <c r="Z982" s="109"/>
    </row>
    <row r="983" ht="29.25" customHeight="1">
      <c r="A983" s="109"/>
      <c r="B983" s="109"/>
      <c r="C983" s="109"/>
      <c r="D983" s="109"/>
      <c r="E983" s="109"/>
      <c r="F983" s="109"/>
      <c r="G983" s="317"/>
      <c r="H983" s="109"/>
      <c r="I983" s="109"/>
      <c r="J983" s="109"/>
      <c r="K983" s="109"/>
      <c r="L983" s="109"/>
      <c r="M983" s="109"/>
      <c r="N983" s="109"/>
      <c r="O983" s="109"/>
      <c r="P983" s="109"/>
      <c r="Q983" s="109"/>
      <c r="R983" s="109"/>
      <c r="S983" s="109"/>
      <c r="T983" s="109"/>
      <c r="U983" s="109"/>
      <c r="V983" s="109"/>
      <c r="W983" s="109"/>
      <c r="X983" s="109"/>
      <c r="Y983" s="109"/>
      <c r="Z983" s="109"/>
    </row>
    <row r="984" ht="29.25" customHeight="1">
      <c r="A984" s="109"/>
      <c r="B984" s="109"/>
      <c r="C984" s="109"/>
      <c r="D984" s="109"/>
      <c r="E984" s="109"/>
      <c r="F984" s="109"/>
      <c r="G984" s="317"/>
      <c r="H984" s="109"/>
      <c r="I984" s="109"/>
      <c r="J984" s="109"/>
      <c r="K984" s="109"/>
      <c r="L984" s="109"/>
      <c r="M984" s="109"/>
      <c r="N984" s="109"/>
      <c r="O984" s="109"/>
      <c r="P984" s="109"/>
      <c r="Q984" s="109"/>
      <c r="R984" s="109"/>
      <c r="S984" s="109"/>
      <c r="T984" s="109"/>
      <c r="U984" s="109"/>
      <c r="V984" s="109"/>
      <c r="W984" s="109"/>
      <c r="X984" s="109"/>
      <c r="Y984" s="109"/>
      <c r="Z984" s="109"/>
    </row>
    <row r="985" ht="29.25" customHeight="1">
      <c r="A985" s="109"/>
      <c r="B985" s="109"/>
      <c r="C985" s="109"/>
      <c r="D985" s="109"/>
      <c r="E985" s="109"/>
      <c r="F985" s="109"/>
      <c r="G985" s="317"/>
      <c r="H985" s="109"/>
      <c r="I985" s="109"/>
      <c r="J985" s="109"/>
      <c r="K985" s="109"/>
      <c r="L985" s="109"/>
      <c r="M985" s="109"/>
      <c r="N985" s="109"/>
      <c r="O985" s="109"/>
      <c r="P985" s="109"/>
      <c r="Q985" s="109"/>
      <c r="R985" s="109"/>
      <c r="S985" s="109"/>
      <c r="T985" s="109"/>
      <c r="U985" s="109"/>
      <c r="V985" s="109"/>
      <c r="W985" s="109"/>
      <c r="X985" s="109"/>
      <c r="Y985" s="109"/>
      <c r="Z985" s="109"/>
    </row>
    <row r="986" ht="29.25" customHeight="1">
      <c r="A986" s="109"/>
      <c r="B986" s="109"/>
      <c r="C986" s="109"/>
      <c r="D986" s="109"/>
      <c r="E986" s="109"/>
      <c r="F986" s="109"/>
      <c r="G986" s="317"/>
      <c r="H986" s="109"/>
      <c r="I986" s="109"/>
      <c r="J986" s="109"/>
      <c r="K986" s="109"/>
      <c r="L986" s="109"/>
      <c r="M986" s="109"/>
      <c r="N986" s="109"/>
      <c r="O986" s="109"/>
      <c r="P986" s="109"/>
      <c r="Q986" s="109"/>
      <c r="R986" s="109"/>
      <c r="S986" s="109"/>
      <c r="T986" s="109"/>
      <c r="U986" s="109"/>
      <c r="V986" s="109"/>
      <c r="W986" s="109"/>
      <c r="X986" s="109"/>
      <c r="Y986" s="109"/>
      <c r="Z986" s="109"/>
    </row>
    <row r="987" ht="29.25" customHeight="1">
      <c r="A987" s="109"/>
      <c r="B987" s="109"/>
      <c r="C987" s="109"/>
      <c r="D987" s="109"/>
      <c r="E987" s="109"/>
      <c r="F987" s="109"/>
      <c r="G987" s="317"/>
      <c r="H987" s="109"/>
      <c r="I987" s="109"/>
      <c r="J987" s="109"/>
      <c r="K987" s="109"/>
      <c r="L987" s="109"/>
      <c r="M987" s="109"/>
      <c r="N987" s="109"/>
      <c r="O987" s="109"/>
      <c r="P987" s="109"/>
      <c r="Q987" s="109"/>
      <c r="R987" s="109"/>
      <c r="S987" s="109"/>
      <c r="T987" s="109"/>
      <c r="U987" s="109"/>
      <c r="V987" s="109"/>
      <c r="W987" s="109"/>
      <c r="X987" s="109"/>
      <c r="Y987" s="109"/>
      <c r="Z987" s="109"/>
    </row>
    <row r="988" ht="29.25" customHeight="1">
      <c r="A988" s="109"/>
      <c r="B988" s="109"/>
      <c r="C988" s="109"/>
      <c r="D988" s="109"/>
      <c r="E988" s="109"/>
      <c r="F988" s="109"/>
      <c r="G988" s="317"/>
      <c r="H988" s="109"/>
      <c r="I988" s="109"/>
      <c r="J988" s="109"/>
      <c r="K988" s="109"/>
      <c r="L988" s="109"/>
      <c r="M988" s="109"/>
      <c r="N988" s="109"/>
      <c r="O988" s="109"/>
      <c r="P988" s="109"/>
      <c r="Q988" s="109"/>
      <c r="R988" s="109"/>
      <c r="S988" s="109"/>
      <c r="T988" s="109"/>
      <c r="U988" s="109"/>
      <c r="V988" s="109"/>
      <c r="W988" s="109"/>
      <c r="X988" s="109"/>
      <c r="Y988" s="109"/>
      <c r="Z988" s="109"/>
    </row>
    <row r="989" ht="29.25" customHeight="1">
      <c r="A989" s="109"/>
      <c r="B989" s="109"/>
      <c r="C989" s="109"/>
      <c r="D989" s="109"/>
      <c r="E989" s="109"/>
      <c r="F989" s="109"/>
      <c r="G989" s="317"/>
      <c r="H989" s="109"/>
      <c r="I989" s="109"/>
      <c r="J989" s="109"/>
      <c r="K989" s="109"/>
      <c r="L989" s="109"/>
      <c r="M989" s="109"/>
      <c r="N989" s="109"/>
      <c r="O989" s="109"/>
      <c r="P989" s="109"/>
      <c r="Q989" s="109"/>
      <c r="R989" s="109"/>
      <c r="S989" s="109"/>
      <c r="T989" s="109"/>
      <c r="U989" s="109"/>
      <c r="V989" s="109"/>
      <c r="W989" s="109"/>
      <c r="X989" s="109"/>
      <c r="Y989" s="109"/>
      <c r="Z989" s="109"/>
    </row>
    <row r="990" ht="29.25" customHeight="1">
      <c r="A990" s="109"/>
      <c r="B990" s="109"/>
      <c r="C990" s="109"/>
      <c r="D990" s="109"/>
      <c r="E990" s="109"/>
      <c r="F990" s="109"/>
      <c r="G990" s="317"/>
      <c r="H990" s="109"/>
      <c r="I990" s="109"/>
      <c r="J990" s="109"/>
      <c r="K990" s="109"/>
      <c r="L990" s="109"/>
      <c r="M990" s="109"/>
      <c r="N990" s="109"/>
      <c r="O990" s="109"/>
      <c r="P990" s="109"/>
      <c r="Q990" s="109"/>
      <c r="R990" s="109"/>
      <c r="S990" s="109"/>
      <c r="T990" s="109"/>
      <c r="U990" s="109"/>
      <c r="V990" s="109"/>
      <c r="W990" s="109"/>
      <c r="X990" s="109"/>
      <c r="Y990" s="109"/>
      <c r="Z990" s="109"/>
    </row>
    <row r="991" ht="29.25" customHeight="1">
      <c r="A991" s="109"/>
      <c r="B991" s="109"/>
      <c r="C991" s="109"/>
      <c r="D991" s="109"/>
      <c r="E991" s="109"/>
      <c r="F991" s="109"/>
      <c r="G991" s="317"/>
      <c r="H991" s="109"/>
      <c r="I991" s="109"/>
      <c r="J991" s="109"/>
      <c r="K991" s="109"/>
      <c r="L991" s="109"/>
      <c r="M991" s="109"/>
      <c r="N991" s="109"/>
      <c r="O991" s="109"/>
      <c r="P991" s="109"/>
      <c r="Q991" s="109"/>
      <c r="R991" s="109"/>
      <c r="S991" s="109"/>
      <c r="T991" s="109"/>
      <c r="U991" s="109"/>
      <c r="V991" s="109"/>
      <c r="W991" s="109"/>
      <c r="X991" s="109"/>
      <c r="Y991" s="109"/>
      <c r="Z991" s="109"/>
    </row>
    <row r="992" ht="29.25" customHeight="1">
      <c r="A992" s="109"/>
      <c r="B992" s="109"/>
      <c r="C992" s="109"/>
      <c r="D992" s="109"/>
      <c r="E992" s="109"/>
      <c r="F992" s="109"/>
      <c r="G992" s="317"/>
      <c r="H992" s="109"/>
      <c r="I992" s="109"/>
      <c r="J992" s="109"/>
      <c r="K992" s="109"/>
      <c r="L992" s="109"/>
      <c r="M992" s="109"/>
      <c r="N992" s="109"/>
      <c r="O992" s="109"/>
      <c r="P992" s="109"/>
      <c r="Q992" s="109"/>
      <c r="R992" s="109"/>
      <c r="S992" s="109"/>
      <c r="T992" s="109"/>
      <c r="U992" s="109"/>
      <c r="V992" s="109"/>
      <c r="W992" s="109"/>
      <c r="X992" s="109"/>
      <c r="Y992" s="109"/>
      <c r="Z992" s="109"/>
    </row>
    <row r="993" ht="29.25" customHeight="1">
      <c r="A993" s="109"/>
      <c r="B993" s="109"/>
      <c r="C993" s="109"/>
      <c r="D993" s="109"/>
      <c r="E993" s="109"/>
      <c r="F993" s="109"/>
      <c r="G993" s="317"/>
      <c r="H993" s="109"/>
      <c r="I993" s="109"/>
      <c r="J993" s="109"/>
      <c r="K993" s="109"/>
      <c r="L993" s="109"/>
      <c r="M993" s="109"/>
      <c r="N993" s="109"/>
      <c r="O993" s="109"/>
      <c r="P993" s="109"/>
      <c r="Q993" s="109"/>
      <c r="R993" s="109"/>
      <c r="S993" s="109"/>
      <c r="T993" s="109"/>
      <c r="U993" s="109"/>
      <c r="V993" s="109"/>
      <c r="W993" s="109"/>
      <c r="X993" s="109"/>
      <c r="Y993" s="109"/>
      <c r="Z993" s="109"/>
    </row>
    <row r="994" ht="29.25" customHeight="1">
      <c r="A994" s="109"/>
      <c r="B994" s="109"/>
      <c r="C994" s="109"/>
      <c r="D994" s="109"/>
      <c r="E994" s="109"/>
      <c r="F994" s="109"/>
      <c r="G994" s="317"/>
      <c r="H994" s="109"/>
      <c r="I994" s="109"/>
      <c r="J994" s="109"/>
      <c r="K994" s="109"/>
      <c r="L994" s="109"/>
      <c r="M994" s="109"/>
      <c r="N994" s="109"/>
      <c r="O994" s="109"/>
      <c r="P994" s="109"/>
      <c r="Q994" s="109"/>
      <c r="R994" s="109"/>
      <c r="S994" s="109"/>
      <c r="T994" s="109"/>
      <c r="U994" s="109"/>
      <c r="V994" s="109"/>
      <c r="W994" s="109"/>
      <c r="X994" s="109"/>
      <c r="Y994" s="109"/>
      <c r="Z994" s="109"/>
    </row>
    <row r="995" ht="29.25" customHeight="1">
      <c r="A995" s="109"/>
      <c r="B995" s="109"/>
      <c r="C995" s="109"/>
      <c r="D995" s="109"/>
      <c r="E995" s="109"/>
      <c r="F995" s="109"/>
      <c r="G995" s="317"/>
      <c r="H995" s="109"/>
      <c r="I995" s="109"/>
      <c r="J995" s="109"/>
      <c r="K995" s="109"/>
      <c r="L995" s="109"/>
      <c r="M995" s="109"/>
      <c r="N995" s="109"/>
      <c r="O995" s="109"/>
      <c r="P995" s="109"/>
      <c r="Q995" s="109"/>
      <c r="R995" s="109"/>
      <c r="S995" s="109"/>
      <c r="T995" s="109"/>
      <c r="U995" s="109"/>
      <c r="V995" s="109"/>
      <c r="W995" s="109"/>
      <c r="X995" s="109"/>
      <c r="Y995" s="109"/>
      <c r="Z995" s="109"/>
    </row>
    <row r="996" ht="29.25" customHeight="1">
      <c r="A996" s="109"/>
      <c r="B996" s="109"/>
      <c r="C996" s="109"/>
      <c r="D996" s="109"/>
      <c r="E996" s="109"/>
      <c r="F996" s="109"/>
      <c r="G996" s="317"/>
      <c r="H996" s="109"/>
      <c r="I996" s="109"/>
      <c r="J996" s="109"/>
      <c r="K996" s="109"/>
      <c r="L996" s="109"/>
      <c r="M996" s="109"/>
      <c r="N996" s="109"/>
      <c r="O996" s="109"/>
      <c r="P996" s="109"/>
      <c r="Q996" s="109"/>
      <c r="R996" s="109"/>
      <c r="S996" s="109"/>
      <c r="T996" s="109"/>
      <c r="U996" s="109"/>
      <c r="V996" s="109"/>
      <c r="W996" s="109"/>
      <c r="X996" s="109"/>
      <c r="Y996" s="109"/>
      <c r="Z996" s="109"/>
    </row>
    <row r="997" ht="29.25" customHeight="1">
      <c r="A997" s="109"/>
      <c r="B997" s="109"/>
      <c r="C997" s="109"/>
      <c r="D997" s="109"/>
      <c r="E997" s="109"/>
      <c r="F997" s="109"/>
      <c r="G997" s="317"/>
      <c r="H997" s="109"/>
      <c r="I997" s="109"/>
      <c r="J997" s="109"/>
      <c r="K997" s="109"/>
      <c r="L997" s="109"/>
      <c r="M997" s="109"/>
      <c r="N997" s="109"/>
      <c r="O997" s="109"/>
      <c r="P997" s="109"/>
      <c r="Q997" s="109"/>
      <c r="R997" s="109"/>
      <c r="S997" s="109"/>
      <c r="T997" s="109"/>
      <c r="U997" s="109"/>
      <c r="V997" s="109"/>
      <c r="W997" s="109"/>
      <c r="X997" s="109"/>
      <c r="Y997" s="109"/>
      <c r="Z997" s="109"/>
    </row>
    <row r="998" ht="29.25" customHeight="1">
      <c r="A998" s="109"/>
      <c r="B998" s="109"/>
      <c r="C998" s="109"/>
      <c r="D998" s="109"/>
      <c r="E998" s="109"/>
      <c r="F998" s="109"/>
      <c r="G998" s="317"/>
      <c r="H998" s="109"/>
      <c r="I998" s="109"/>
      <c r="J998" s="109"/>
      <c r="K998" s="109"/>
      <c r="L998" s="109"/>
      <c r="M998" s="109"/>
      <c r="N998" s="109"/>
      <c r="O998" s="109"/>
      <c r="P998" s="109"/>
      <c r="Q998" s="109"/>
      <c r="R998" s="109"/>
      <c r="S998" s="109"/>
      <c r="T998" s="109"/>
      <c r="U998" s="109"/>
      <c r="V998" s="109"/>
      <c r="W998" s="109"/>
      <c r="X998" s="109"/>
      <c r="Y998" s="109"/>
      <c r="Z998" s="109"/>
    </row>
    <row r="999" ht="29.25" customHeight="1">
      <c r="A999" s="109"/>
      <c r="B999" s="109"/>
      <c r="C999" s="109"/>
      <c r="D999" s="109"/>
      <c r="E999" s="109"/>
      <c r="F999" s="109"/>
      <c r="G999" s="317"/>
      <c r="H999" s="109"/>
      <c r="I999" s="109"/>
      <c r="J999" s="109"/>
      <c r="K999" s="109"/>
      <c r="L999" s="109"/>
      <c r="M999" s="109"/>
      <c r="N999" s="109"/>
      <c r="O999" s="109"/>
      <c r="P999" s="109"/>
      <c r="Q999" s="109"/>
      <c r="R999" s="109"/>
      <c r="S999" s="109"/>
      <c r="T999" s="109"/>
      <c r="U999" s="109"/>
      <c r="V999" s="109"/>
      <c r="W999" s="109"/>
      <c r="X999" s="109"/>
      <c r="Y999" s="109"/>
      <c r="Z999" s="109"/>
    </row>
    <row r="1000" ht="29.25" customHeight="1">
      <c r="A1000" s="109"/>
      <c r="B1000" s="109"/>
      <c r="C1000" s="109"/>
      <c r="D1000" s="109"/>
      <c r="E1000" s="109"/>
      <c r="F1000" s="109"/>
      <c r="G1000" s="317"/>
      <c r="H1000" s="109"/>
      <c r="I1000" s="109"/>
      <c r="J1000" s="109"/>
      <c r="K1000" s="109"/>
      <c r="L1000" s="109"/>
      <c r="M1000" s="109"/>
      <c r="N1000" s="109"/>
      <c r="O1000" s="109"/>
      <c r="P1000" s="109"/>
      <c r="Q1000" s="109"/>
      <c r="R1000" s="109"/>
      <c r="S1000" s="109"/>
      <c r="T1000" s="109"/>
      <c r="U1000" s="109"/>
      <c r="V1000" s="109"/>
      <c r="W1000" s="109"/>
      <c r="X1000" s="109"/>
      <c r="Y1000" s="109"/>
      <c r="Z1000" s="109"/>
    </row>
  </sheetData>
  <dataValidations>
    <dataValidation type="list" allowBlank="1" showErrorMessage="1" sqref="F2:F5 F7:F30">
      <formula1>"Interest,Attending"</formula1>
    </dataValidation>
  </dataValidations>
  <hyperlinks>
    <hyperlink r:id="rId1" ref="H2"/>
    <hyperlink r:id="rId2" ref="H3"/>
    <hyperlink r:id="rId3" ref="H8"/>
    <hyperlink r:id="rId4" ref="H9"/>
    <hyperlink r:id="rId5" ref="H11"/>
    <hyperlink r:id="rId6" ref="H12"/>
    <hyperlink r:id="rId7" ref="H20"/>
  </hyperlinks>
  <drawing r:id="rId8"/>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1" width="38.78"/>
    <col customWidth="1" min="2" max="2" width="20.78"/>
    <col customWidth="1" min="3" max="3" width="50.67"/>
    <col customWidth="1" min="4" max="26" width="11.44"/>
  </cols>
  <sheetData>
    <row r="1" ht="37.5" customHeight="1">
      <c r="A1" s="340" t="s">
        <v>8503</v>
      </c>
      <c r="B1" s="340" t="s">
        <v>24</v>
      </c>
      <c r="C1" s="340" t="s">
        <v>67</v>
      </c>
      <c r="D1" s="340"/>
      <c r="E1" s="340"/>
    </row>
    <row r="2">
      <c r="A2" s="295" t="s">
        <v>8504</v>
      </c>
      <c r="B2" s="341" t="str">
        <f>HYPERLINK("http://www.ashleysgreenlife.com/2011/09/how-i-go-green-with-my-pumping-baby.html","http://www.ashleysgreenlife.com/2011/09/how-i-go-green-with-my-pumping-baby.html")</f>
        <v>http://www.ashleysgreenlife.com/2011/09/how-i-go-green-with-my-pumping-baby.html</v>
      </c>
      <c r="C2" s="295" t="s">
        <v>8509</v>
      </c>
      <c r="D2" s="295"/>
      <c r="E2" s="295"/>
    </row>
    <row r="3">
      <c r="A3" s="295" t="s">
        <v>8510</v>
      </c>
      <c r="B3" s="341" t="str">
        <f>HYPERLINK("http://www.myparkingsign.com/blog/student-parking-passes-environmental-policy-implications/","http://www.myparkingsign.com/blog/student-parking-passes-environmental-policy-implications/")</f>
        <v>http://www.myparkingsign.com/blog/student-parking-passes-environmental-policy-implications/</v>
      </c>
      <c r="C3" s="295" t="s">
        <v>8511</v>
      </c>
      <c r="D3" s="295"/>
      <c r="E3" s="295"/>
    </row>
    <row r="4">
      <c r="A4" s="295"/>
      <c r="B4" s="295"/>
      <c r="C4" s="295"/>
      <c r="D4" s="295"/>
      <c r="E4" s="295"/>
    </row>
    <row r="5">
      <c r="A5" s="311"/>
      <c r="B5" s="311"/>
      <c r="C5" s="311"/>
    </row>
    <row r="6">
      <c r="A6" s="311"/>
      <c r="B6" s="311"/>
      <c r="C6" s="311"/>
    </row>
    <row r="7">
      <c r="A7" s="311"/>
      <c r="B7" s="311"/>
      <c r="C7" s="311"/>
    </row>
    <row r="8">
      <c r="A8" s="311"/>
      <c r="B8" s="311"/>
      <c r="C8" s="311"/>
    </row>
    <row r="9">
      <c r="A9" s="311"/>
      <c r="B9" s="311"/>
      <c r="C9" s="311"/>
    </row>
    <row r="10">
      <c r="A10" s="311"/>
      <c r="B10" s="311"/>
      <c r="C10" s="311"/>
    </row>
    <row r="11">
      <c r="A11" s="311"/>
      <c r="B11" s="311"/>
      <c r="C11" s="311"/>
    </row>
    <row r="12">
      <c r="A12" s="311"/>
      <c r="B12" s="311"/>
      <c r="C12" s="311"/>
    </row>
    <row r="13">
      <c r="A13" s="311"/>
      <c r="B13" s="311"/>
      <c r="C13" s="311"/>
    </row>
    <row r="14">
      <c r="A14" s="311"/>
      <c r="B14" s="311"/>
      <c r="C14" s="311"/>
    </row>
    <row r="15">
      <c r="A15" s="311"/>
      <c r="B15" s="311"/>
      <c r="C15" s="311"/>
    </row>
    <row r="16">
      <c r="A16" s="311"/>
      <c r="B16" s="311"/>
      <c r="C16" s="311"/>
    </row>
    <row r="17">
      <c r="A17" s="311"/>
      <c r="B17" s="311"/>
      <c r="C17" s="311"/>
    </row>
    <row r="18">
      <c r="A18" s="311"/>
      <c r="B18" s="311"/>
      <c r="C18" s="311"/>
    </row>
    <row r="19">
      <c r="A19" s="311"/>
      <c r="B19" s="311"/>
      <c r="C19" s="311"/>
    </row>
    <row r="20">
      <c r="A20" s="311"/>
      <c r="B20" s="311"/>
      <c r="C20" s="311"/>
    </row>
    <row r="21">
      <c r="A21" s="311"/>
      <c r="B21" s="311"/>
      <c r="C21" s="311"/>
    </row>
    <row r="22">
      <c r="A22" s="311"/>
      <c r="B22" s="311"/>
      <c r="C22" s="311"/>
    </row>
    <row r="23">
      <c r="A23" s="311"/>
      <c r="B23" s="311"/>
      <c r="C23" s="311"/>
    </row>
    <row r="24">
      <c r="A24" s="311"/>
      <c r="B24" s="311"/>
      <c r="C24" s="311"/>
    </row>
    <row r="25">
      <c r="A25" s="311"/>
      <c r="B25" s="311"/>
      <c r="C25" s="311"/>
    </row>
    <row r="26">
      <c r="A26" s="311"/>
      <c r="B26" s="311"/>
      <c r="C26" s="311"/>
    </row>
    <row r="27">
      <c r="A27" s="311"/>
      <c r="B27" s="311"/>
      <c r="C27" s="311"/>
    </row>
    <row r="28">
      <c r="A28" s="311"/>
      <c r="B28" s="311"/>
      <c r="C28" s="311"/>
    </row>
    <row r="29">
      <c r="A29" s="311"/>
      <c r="B29" s="311"/>
      <c r="C29" s="311"/>
    </row>
    <row r="30">
      <c r="A30" s="311"/>
      <c r="B30" s="311"/>
      <c r="C30" s="311"/>
    </row>
    <row r="31">
      <c r="A31" s="311"/>
      <c r="B31" s="311"/>
      <c r="C31" s="311"/>
    </row>
    <row r="32">
      <c r="A32" s="311"/>
      <c r="B32" s="311"/>
      <c r="C32" s="311"/>
    </row>
    <row r="33">
      <c r="A33" s="311"/>
      <c r="B33" s="311"/>
      <c r="C33" s="311"/>
    </row>
    <row r="34">
      <c r="A34" s="311"/>
      <c r="B34" s="311"/>
      <c r="C34" s="311"/>
    </row>
    <row r="35">
      <c r="A35" s="311"/>
      <c r="B35" s="311"/>
      <c r="C35" s="311"/>
    </row>
    <row r="36">
      <c r="A36" s="311"/>
      <c r="B36" s="311"/>
      <c r="C36" s="311"/>
    </row>
    <row r="37">
      <c r="A37" s="311"/>
      <c r="B37" s="311"/>
      <c r="C37" s="311"/>
    </row>
    <row r="38">
      <c r="A38" s="311"/>
      <c r="B38" s="311"/>
      <c r="C38" s="311"/>
    </row>
    <row r="39">
      <c r="A39" s="311"/>
      <c r="B39" s="311"/>
      <c r="C39" s="311"/>
    </row>
    <row r="40">
      <c r="A40" s="311"/>
      <c r="B40" s="311"/>
      <c r="C40" s="311"/>
    </row>
    <row r="41">
      <c r="A41" s="311"/>
      <c r="B41" s="311"/>
      <c r="C41" s="311"/>
    </row>
    <row r="42">
      <c r="A42" s="311"/>
      <c r="B42" s="311"/>
      <c r="C42" s="311"/>
    </row>
    <row r="43">
      <c r="A43" s="311"/>
      <c r="B43" s="311"/>
      <c r="C43" s="311"/>
    </row>
    <row r="44">
      <c r="A44" s="311"/>
      <c r="B44" s="311"/>
      <c r="C44" s="311"/>
    </row>
    <row r="45">
      <c r="A45" s="311"/>
      <c r="B45" s="311"/>
      <c r="C45" s="311"/>
    </row>
    <row r="46">
      <c r="A46" s="311"/>
      <c r="B46" s="311"/>
      <c r="C46" s="311"/>
    </row>
    <row r="47">
      <c r="A47" s="311"/>
      <c r="B47" s="311"/>
      <c r="C47" s="311"/>
    </row>
    <row r="48">
      <c r="A48" s="311"/>
      <c r="B48" s="311"/>
      <c r="C48" s="311"/>
    </row>
    <row r="49">
      <c r="A49" s="311"/>
      <c r="B49" s="311"/>
      <c r="C49" s="311"/>
    </row>
    <row r="50">
      <c r="A50" s="311"/>
      <c r="B50" s="311"/>
      <c r="C50" s="311"/>
    </row>
    <row r="51">
      <c r="A51" s="311"/>
      <c r="B51" s="311"/>
      <c r="C51" s="311"/>
    </row>
    <row r="52">
      <c r="A52" s="311"/>
      <c r="B52" s="311"/>
      <c r="C52" s="311"/>
    </row>
    <row r="53">
      <c r="A53" s="311"/>
      <c r="B53" s="311"/>
      <c r="C53" s="311"/>
    </row>
    <row r="54">
      <c r="A54" s="311"/>
      <c r="B54" s="311"/>
      <c r="C54" s="311"/>
    </row>
    <row r="55">
      <c r="A55" s="311"/>
      <c r="B55" s="311"/>
      <c r="C55" s="311"/>
    </row>
    <row r="56">
      <c r="A56" s="311"/>
      <c r="B56" s="311"/>
      <c r="C56" s="311"/>
    </row>
    <row r="57">
      <c r="A57" s="311"/>
      <c r="B57" s="311"/>
      <c r="C57" s="311"/>
    </row>
    <row r="58">
      <c r="A58" s="311"/>
      <c r="B58" s="311"/>
      <c r="C58" s="311"/>
    </row>
    <row r="59">
      <c r="A59" s="311"/>
      <c r="B59" s="311"/>
      <c r="C59" s="311"/>
    </row>
    <row r="60">
      <c r="A60" s="311"/>
      <c r="B60" s="311"/>
      <c r="C60" s="311"/>
    </row>
    <row r="61">
      <c r="A61" s="311"/>
      <c r="B61" s="311"/>
      <c r="C61" s="311"/>
    </row>
    <row r="62">
      <c r="A62" s="311"/>
      <c r="B62" s="311"/>
      <c r="C62" s="311"/>
    </row>
    <row r="63">
      <c r="A63" s="311"/>
      <c r="B63" s="311"/>
      <c r="C63" s="311"/>
    </row>
    <row r="64">
      <c r="A64" s="311"/>
      <c r="B64" s="311"/>
      <c r="C64" s="311"/>
    </row>
    <row r="65">
      <c r="A65" s="311"/>
      <c r="B65" s="311"/>
      <c r="C65" s="311"/>
    </row>
    <row r="66">
      <c r="A66" s="311"/>
      <c r="B66" s="311"/>
      <c r="C66" s="311"/>
    </row>
    <row r="67">
      <c r="A67" s="311"/>
      <c r="B67" s="311"/>
      <c r="C67" s="311"/>
    </row>
    <row r="68">
      <c r="A68" s="311"/>
      <c r="B68" s="311"/>
      <c r="C68" s="311"/>
    </row>
    <row r="69">
      <c r="A69" s="311"/>
      <c r="B69" s="311"/>
      <c r="C69" s="311"/>
    </row>
    <row r="70">
      <c r="A70" s="311"/>
      <c r="B70" s="311"/>
      <c r="C70" s="311"/>
    </row>
    <row r="71">
      <c r="A71" s="311"/>
      <c r="B71" s="311"/>
      <c r="C71" s="311"/>
    </row>
    <row r="72">
      <c r="A72" s="311"/>
      <c r="B72" s="311"/>
      <c r="C72" s="311"/>
    </row>
    <row r="73">
      <c r="A73" s="311"/>
      <c r="B73" s="311"/>
      <c r="C73" s="311"/>
    </row>
    <row r="74">
      <c r="A74" s="311"/>
      <c r="B74" s="311"/>
      <c r="C74" s="311"/>
    </row>
    <row r="75">
      <c r="A75" s="311"/>
      <c r="B75" s="311"/>
      <c r="C75" s="311"/>
    </row>
    <row r="76">
      <c r="A76" s="311"/>
      <c r="B76" s="311"/>
      <c r="C76" s="311"/>
    </row>
    <row r="77">
      <c r="A77" s="311"/>
      <c r="B77" s="311"/>
      <c r="C77" s="311"/>
    </row>
    <row r="78">
      <c r="A78" s="311"/>
      <c r="B78" s="311"/>
      <c r="C78" s="311"/>
    </row>
    <row r="79">
      <c r="A79" s="311"/>
      <c r="B79" s="311"/>
      <c r="C79" s="311"/>
    </row>
    <row r="80">
      <c r="A80" s="311"/>
      <c r="B80" s="311"/>
      <c r="C80" s="311"/>
    </row>
    <row r="81">
      <c r="A81" s="311"/>
      <c r="B81" s="311"/>
      <c r="C81" s="311"/>
    </row>
    <row r="82">
      <c r="A82" s="311"/>
      <c r="B82" s="311"/>
      <c r="C82" s="311"/>
    </row>
    <row r="83">
      <c r="A83" s="311"/>
      <c r="B83" s="311"/>
      <c r="C83" s="311"/>
    </row>
    <row r="84">
      <c r="A84" s="311"/>
      <c r="B84" s="311"/>
      <c r="C84" s="311"/>
    </row>
    <row r="85">
      <c r="A85" s="311"/>
      <c r="B85" s="311"/>
      <c r="C85" s="311"/>
    </row>
    <row r="86">
      <c r="A86" s="311"/>
      <c r="B86" s="311"/>
      <c r="C86" s="311"/>
    </row>
    <row r="87">
      <c r="A87" s="311"/>
      <c r="B87" s="311"/>
      <c r="C87" s="311"/>
    </row>
    <row r="88">
      <c r="A88" s="311"/>
      <c r="B88" s="311"/>
      <c r="C88" s="311"/>
    </row>
    <row r="89">
      <c r="A89" s="311"/>
      <c r="B89" s="311"/>
      <c r="C89" s="311"/>
    </row>
    <row r="90">
      <c r="A90" s="311"/>
      <c r="B90" s="311"/>
      <c r="C90" s="311"/>
    </row>
    <row r="91">
      <c r="A91" s="311"/>
      <c r="B91" s="311"/>
      <c r="C91" s="311"/>
    </row>
    <row r="92">
      <c r="A92" s="311"/>
      <c r="B92" s="311"/>
      <c r="C92" s="311"/>
    </row>
    <row r="93">
      <c r="A93" s="311"/>
      <c r="B93" s="311"/>
      <c r="C93" s="311"/>
    </row>
    <row r="94">
      <c r="A94" s="311"/>
      <c r="B94" s="311"/>
      <c r="C94" s="311"/>
    </row>
    <row r="95">
      <c r="A95" s="311"/>
      <c r="B95" s="311"/>
      <c r="C95" s="311"/>
    </row>
    <row r="96">
      <c r="A96" s="311"/>
      <c r="B96" s="311"/>
      <c r="C96" s="311"/>
    </row>
    <row r="97">
      <c r="A97" s="311"/>
      <c r="B97" s="311"/>
      <c r="C97" s="311"/>
    </row>
    <row r="98">
      <c r="A98" s="311"/>
      <c r="B98" s="311"/>
      <c r="C98" s="311"/>
    </row>
    <row r="99">
      <c r="A99" s="311"/>
      <c r="B99" s="311"/>
      <c r="C99" s="311"/>
    </row>
    <row r="100">
      <c r="A100" s="311"/>
      <c r="B100" s="311"/>
      <c r="C100" s="311"/>
    </row>
    <row r="101">
      <c r="A101" s="311"/>
      <c r="B101" s="311"/>
      <c r="C101" s="311"/>
    </row>
    <row r="102">
      <c r="A102" s="311"/>
      <c r="B102" s="311"/>
      <c r="C102" s="311"/>
    </row>
    <row r="103">
      <c r="A103" s="311"/>
      <c r="B103" s="311"/>
      <c r="C103" s="311"/>
    </row>
    <row r="104">
      <c r="A104" s="311"/>
      <c r="B104" s="311"/>
      <c r="C104" s="311"/>
    </row>
    <row r="105">
      <c r="A105" s="311"/>
      <c r="B105" s="311"/>
      <c r="C105" s="311"/>
    </row>
    <row r="106">
      <c r="A106" s="311"/>
      <c r="B106" s="311"/>
      <c r="C106" s="311"/>
    </row>
    <row r="107">
      <c r="A107" s="311"/>
      <c r="B107" s="311"/>
      <c r="C107" s="311"/>
    </row>
    <row r="108">
      <c r="A108" s="311"/>
      <c r="B108" s="311"/>
      <c r="C108" s="311"/>
    </row>
    <row r="109">
      <c r="A109" s="311"/>
      <c r="B109" s="311"/>
      <c r="C109" s="311"/>
    </row>
    <row r="110">
      <c r="A110" s="311"/>
      <c r="B110" s="311"/>
      <c r="C110" s="311"/>
    </row>
    <row r="111">
      <c r="A111" s="311"/>
      <c r="B111" s="311"/>
      <c r="C111" s="311"/>
    </row>
    <row r="112">
      <c r="A112" s="311"/>
      <c r="B112" s="311"/>
      <c r="C112" s="311"/>
    </row>
    <row r="113">
      <c r="A113" s="311"/>
      <c r="B113" s="311"/>
      <c r="C113" s="311"/>
    </row>
    <row r="114">
      <c r="A114" s="311"/>
      <c r="B114" s="311"/>
      <c r="C114" s="311"/>
    </row>
    <row r="115">
      <c r="A115" s="311"/>
      <c r="B115" s="311"/>
      <c r="C115" s="311"/>
    </row>
    <row r="116">
      <c r="A116" s="311"/>
      <c r="B116" s="311"/>
      <c r="C116" s="311"/>
    </row>
    <row r="117">
      <c r="A117" s="311"/>
      <c r="B117" s="311"/>
      <c r="C117" s="311"/>
    </row>
    <row r="118">
      <c r="A118" s="311"/>
      <c r="B118" s="311"/>
      <c r="C118" s="311"/>
    </row>
    <row r="119">
      <c r="A119" s="311"/>
      <c r="B119" s="311"/>
      <c r="C119" s="311"/>
    </row>
    <row r="120">
      <c r="A120" s="311"/>
      <c r="B120" s="311"/>
      <c r="C120" s="311"/>
    </row>
    <row r="121">
      <c r="A121" s="311"/>
      <c r="B121" s="311"/>
      <c r="C121" s="311"/>
    </row>
    <row r="122">
      <c r="A122" s="311"/>
      <c r="B122" s="311"/>
      <c r="C122" s="311"/>
    </row>
    <row r="123">
      <c r="A123" s="311"/>
      <c r="B123" s="311"/>
      <c r="C123" s="311"/>
    </row>
    <row r="124">
      <c r="A124" s="311"/>
      <c r="B124" s="311"/>
      <c r="C124" s="311"/>
    </row>
    <row r="125">
      <c r="A125" s="311"/>
      <c r="B125" s="311"/>
      <c r="C125" s="311"/>
    </row>
    <row r="126">
      <c r="A126" s="311"/>
      <c r="B126" s="311"/>
      <c r="C126" s="311"/>
    </row>
    <row r="127">
      <c r="A127" s="311"/>
      <c r="B127" s="311"/>
      <c r="C127" s="311"/>
    </row>
    <row r="128">
      <c r="A128" s="311"/>
      <c r="B128" s="311"/>
      <c r="C128" s="311"/>
    </row>
    <row r="129">
      <c r="A129" s="311"/>
      <c r="B129" s="311"/>
      <c r="C129" s="311"/>
    </row>
    <row r="130">
      <c r="A130" s="311"/>
      <c r="B130" s="311"/>
      <c r="C130" s="311"/>
    </row>
    <row r="131">
      <c r="A131" s="311"/>
      <c r="B131" s="311"/>
      <c r="C131" s="311"/>
    </row>
    <row r="132">
      <c r="A132" s="311"/>
      <c r="B132" s="311"/>
      <c r="C132" s="311"/>
    </row>
    <row r="133">
      <c r="A133" s="311"/>
      <c r="B133" s="311"/>
      <c r="C133" s="311"/>
    </row>
    <row r="134">
      <c r="A134" s="311"/>
      <c r="B134" s="311"/>
      <c r="C134" s="311"/>
    </row>
    <row r="135">
      <c r="A135" s="311"/>
      <c r="B135" s="311"/>
      <c r="C135" s="311"/>
    </row>
    <row r="136">
      <c r="A136" s="311"/>
      <c r="B136" s="311"/>
      <c r="C136" s="311"/>
    </row>
    <row r="137">
      <c r="A137" s="311"/>
      <c r="B137" s="311"/>
      <c r="C137" s="311"/>
    </row>
    <row r="138">
      <c r="A138" s="311"/>
      <c r="B138" s="311"/>
      <c r="C138" s="311"/>
    </row>
    <row r="139">
      <c r="A139" s="311"/>
      <c r="B139" s="311"/>
      <c r="C139" s="311"/>
    </row>
    <row r="140">
      <c r="A140" s="311"/>
      <c r="B140" s="311"/>
      <c r="C140" s="311"/>
    </row>
    <row r="141">
      <c r="A141" s="311"/>
      <c r="B141" s="311"/>
      <c r="C141" s="311"/>
    </row>
    <row r="142">
      <c r="A142" s="311"/>
      <c r="B142" s="311"/>
      <c r="C142" s="311"/>
    </row>
    <row r="143">
      <c r="A143" s="311"/>
      <c r="B143" s="311"/>
      <c r="C143" s="311"/>
    </row>
    <row r="144">
      <c r="A144" s="311"/>
      <c r="B144" s="311"/>
      <c r="C144" s="311"/>
    </row>
    <row r="145">
      <c r="A145" s="311"/>
      <c r="B145" s="311"/>
      <c r="C145" s="311"/>
    </row>
    <row r="146">
      <c r="A146" s="311"/>
      <c r="B146" s="311"/>
      <c r="C146" s="311"/>
    </row>
    <row r="147">
      <c r="A147" s="311"/>
      <c r="B147" s="311"/>
      <c r="C147" s="311"/>
    </row>
    <row r="148">
      <c r="A148" s="311"/>
      <c r="B148" s="311"/>
      <c r="C148" s="311"/>
    </row>
    <row r="149">
      <c r="A149" s="311"/>
      <c r="B149" s="311"/>
      <c r="C149" s="311"/>
    </row>
    <row r="150">
      <c r="A150" s="311"/>
      <c r="B150" s="311"/>
      <c r="C150" s="311"/>
    </row>
    <row r="151">
      <c r="A151" s="311"/>
      <c r="B151" s="311"/>
      <c r="C151" s="311"/>
    </row>
    <row r="152">
      <c r="A152" s="311"/>
      <c r="B152" s="311"/>
      <c r="C152" s="311"/>
    </row>
    <row r="153">
      <c r="A153" s="311"/>
      <c r="B153" s="311"/>
      <c r="C153" s="311"/>
    </row>
    <row r="154">
      <c r="A154" s="311"/>
      <c r="B154" s="311"/>
      <c r="C154" s="311"/>
    </row>
    <row r="155">
      <c r="A155" s="311"/>
      <c r="B155" s="311"/>
      <c r="C155" s="311"/>
    </row>
    <row r="156">
      <c r="A156" s="311"/>
      <c r="B156" s="311"/>
      <c r="C156" s="311"/>
    </row>
    <row r="157">
      <c r="A157" s="311"/>
      <c r="B157" s="311"/>
      <c r="C157" s="311"/>
    </row>
    <row r="158">
      <c r="A158" s="311"/>
      <c r="B158" s="311"/>
      <c r="C158" s="311"/>
    </row>
    <row r="159">
      <c r="A159" s="311"/>
      <c r="B159" s="311"/>
      <c r="C159" s="311"/>
    </row>
    <row r="160">
      <c r="A160" s="311"/>
      <c r="B160" s="311"/>
      <c r="C160" s="311"/>
    </row>
    <row r="161">
      <c r="A161" s="311"/>
      <c r="B161" s="311"/>
      <c r="C161" s="311"/>
    </row>
    <row r="162">
      <c r="A162" s="311"/>
      <c r="B162" s="311"/>
      <c r="C162" s="311"/>
    </row>
    <row r="163">
      <c r="A163" s="311"/>
      <c r="B163" s="311"/>
      <c r="C163" s="311"/>
    </row>
    <row r="164">
      <c r="A164" s="311"/>
      <c r="B164" s="311"/>
      <c r="C164" s="311"/>
    </row>
    <row r="165">
      <c r="A165" s="311"/>
      <c r="B165" s="311"/>
      <c r="C165" s="311"/>
    </row>
    <row r="166">
      <c r="A166" s="311"/>
      <c r="B166" s="311"/>
      <c r="C166" s="311"/>
    </row>
    <row r="167">
      <c r="A167" s="311"/>
      <c r="B167" s="311"/>
      <c r="C167" s="311"/>
    </row>
    <row r="168">
      <c r="A168" s="311"/>
      <c r="B168" s="311"/>
      <c r="C168" s="311"/>
    </row>
    <row r="169">
      <c r="A169" s="311"/>
      <c r="B169" s="311"/>
      <c r="C169" s="311"/>
    </row>
    <row r="170">
      <c r="A170" s="311"/>
      <c r="B170" s="311"/>
      <c r="C170" s="311"/>
    </row>
    <row r="171">
      <c r="A171" s="311"/>
      <c r="B171" s="311"/>
      <c r="C171" s="311"/>
    </row>
    <row r="172">
      <c r="A172" s="311"/>
      <c r="B172" s="311"/>
      <c r="C172" s="311"/>
    </row>
    <row r="173">
      <c r="A173" s="311"/>
      <c r="B173" s="311"/>
      <c r="C173" s="311"/>
    </row>
    <row r="174">
      <c r="A174" s="311"/>
      <c r="B174" s="311"/>
      <c r="C174" s="311"/>
    </row>
    <row r="175">
      <c r="A175" s="311"/>
      <c r="B175" s="311"/>
      <c r="C175" s="311"/>
    </row>
    <row r="176">
      <c r="A176" s="311"/>
      <c r="B176" s="311"/>
      <c r="C176" s="311"/>
    </row>
    <row r="177">
      <c r="A177" s="311"/>
      <c r="B177" s="311"/>
      <c r="C177" s="311"/>
    </row>
    <row r="178">
      <c r="A178" s="311"/>
      <c r="B178" s="311"/>
      <c r="C178" s="311"/>
    </row>
    <row r="179">
      <c r="A179" s="311"/>
      <c r="B179" s="311"/>
      <c r="C179" s="311"/>
    </row>
    <row r="180">
      <c r="A180" s="311"/>
      <c r="B180" s="311"/>
      <c r="C180" s="311"/>
    </row>
    <row r="181">
      <c r="A181" s="311"/>
      <c r="B181" s="311"/>
      <c r="C181" s="311"/>
    </row>
    <row r="182">
      <c r="A182" s="311"/>
      <c r="B182" s="311"/>
      <c r="C182" s="311"/>
    </row>
    <row r="183">
      <c r="A183" s="311"/>
      <c r="B183" s="311"/>
      <c r="C183" s="311"/>
    </row>
    <row r="184">
      <c r="A184" s="311"/>
      <c r="B184" s="311"/>
      <c r="C184" s="311"/>
    </row>
    <row r="185">
      <c r="A185" s="311"/>
      <c r="B185" s="311"/>
      <c r="C185" s="311"/>
    </row>
    <row r="186">
      <c r="A186" s="311"/>
      <c r="B186" s="311"/>
      <c r="C186" s="311"/>
    </row>
    <row r="187">
      <c r="A187" s="311"/>
      <c r="B187" s="311"/>
      <c r="C187" s="311"/>
    </row>
    <row r="188">
      <c r="A188" s="311"/>
      <c r="B188" s="311"/>
      <c r="C188" s="311"/>
    </row>
    <row r="189">
      <c r="A189" s="311"/>
      <c r="B189" s="311"/>
      <c r="C189" s="311"/>
    </row>
    <row r="190">
      <c r="A190" s="311"/>
      <c r="B190" s="311"/>
      <c r="C190" s="311"/>
    </row>
    <row r="191">
      <c r="A191" s="311"/>
      <c r="B191" s="311"/>
      <c r="C191" s="311"/>
    </row>
    <row r="192">
      <c r="A192" s="311"/>
      <c r="B192" s="311"/>
      <c r="C192" s="311"/>
    </row>
    <row r="193">
      <c r="A193" s="311"/>
      <c r="B193" s="311"/>
      <c r="C193" s="311"/>
    </row>
    <row r="194">
      <c r="A194" s="311"/>
      <c r="B194" s="311"/>
      <c r="C194" s="311"/>
    </row>
    <row r="195">
      <c r="A195" s="311"/>
      <c r="B195" s="311"/>
      <c r="C195" s="311"/>
    </row>
    <row r="196">
      <c r="A196" s="311"/>
      <c r="B196" s="311"/>
      <c r="C196" s="311"/>
    </row>
    <row r="197">
      <c r="A197" s="311"/>
      <c r="B197" s="311"/>
      <c r="C197" s="311"/>
    </row>
    <row r="198">
      <c r="A198" s="311"/>
      <c r="B198" s="311"/>
      <c r="C198" s="311"/>
    </row>
    <row r="199">
      <c r="A199" s="311"/>
      <c r="B199" s="311"/>
      <c r="C199" s="311"/>
    </row>
    <row r="200">
      <c r="A200" s="311"/>
      <c r="B200" s="311"/>
      <c r="C200" s="311"/>
    </row>
    <row r="201">
      <c r="A201" s="311"/>
      <c r="B201" s="311"/>
      <c r="C201" s="311"/>
    </row>
    <row r="202">
      <c r="A202" s="311"/>
      <c r="B202" s="311"/>
      <c r="C202" s="311"/>
    </row>
    <row r="203">
      <c r="A203" s="311"/>
      <c r="B203" s="311"/>
      <c r="C203" s="311"/>
    </row>
    <row r="204">
      <c r="A204" s="311"/>
      <c r="B204" s="311"/>
      <c r="C204" s="311"/>
    </row>
    <row r="205">
      <c r="A205" s="311"/>
      <c r="B205" s="311"/>
      <c r="C205" s="311"/>
    </row>
    <row r="206">
      <c r="A206" s="311"/>
      <c r="B206" s="311"/>
      <c r="C206" s="311"/>
    </row>
    <row r="207">
      <c r="A207" s="311"/>
      <c r="B207" s="311"/>
      <c r="C207" s="311"/>
    </row>
    <row r="208">
      <c r="A208" s="311"/>
      <c r="B208" s="311"/>
      <c r="C208" s="311"/>
    </row>
    <row r="209">
      <c r="A209" s="311"/>
      <c r="B209" s="311"/>
      <c r="C209" s="311"/>
    </row>
    <row r="210">
      <c r="A210" s="311"/>
      <c r="B210" s="311"/>
      <c r="C210" s="311"/>
    </row>
    <row r="211">
      <c r="A211" s="311"/>
      <c r="B211" s="311"/>
      <c r="C211" s="311"/>
    </row>
    <row r="212">
      <c r="A212" s="311"/>
      <c r="B212" s="311"/>
      <c r="C212" s="311"/>
    </row>
    <row r="213">
      <c r="A213" s="311"/>
      <c r="B213" s="311"/>
      <c r="C213" s="311"/>
    </row>
    <row r="214">
      <c r="A214" s="311"/>
      <c r="B214" s="311"/>
      <c r="C214" s="311"/>
    </row>
    <row r="215">
      <c r="A215" s="311"/>
      <c r="B215" s="311"/>
      <c r="C215" s="311"/>
    </row>
    <row r="216">
      <c r="A216" s="311"/>
      <c r="B216" s="311"/>
      <c r="C216" s="311"/>
    </row>
    <row r="217">
      <c r="A217" s="311"/>
      <c r="B217" s="311"/>
      <c r="C217" s="311"/>
    </row>
    <row r="218">
      <c r="A218" s="311"/>
      <c r="B218" s="311"/>
      <c r="C218" s="311"/>
    </row>
    <row r="219">
      <c r="A219" s="311"/>
      <c r="B219" s="311"/>
      <c r="C219" s="311"/>
    </row>
    <row r="220">
      <c r="A220" s="311"/>
      <c r="B220" s="311"/>
      <c r="C220" s="311"/>
    </row>
    <row r="221">
      <c r="A221" s="311"/>
      <c r="B221" s="311"/>
      <c r="C221" s="311"/>
    </row>
    <row r="222">
      <c r="A222" s="311"/>
      <c r="B222" s="311"/>
      <c r="C222" s="311"/>
    </row>
    <row r="223">
      <c r="A223" s="311"/>
      <c r="B223" s="311"/>
      <c r="C223" s="311"/>
    </row>
    <row r="224">
      <c r="A224" s="311"/>
      <c r="B224" s="311"/>
      <c r="C224" s="311"/>
    </row>
    <row r="225">
      <c r="A225" s="311"/>
      <c r="B225" s="311"/>
      <c r="C225" s="311"/>
    </row>
    <row r="226">
      <c r="A226" s="311"/>
      <c r="B226" s="311"/>
      <c r="C226" s="311"/>
    </row>
    <row r="227">
      <c r="A227" s="311"/>
      <c r="B227" s="311"/>
      <c r="C227" s="311"/>
    </row>
    <row r="228">
      <c r="A228" s="311"/>
      <c r="B228" s="311"/>
      <c r="C228" s="311"/>
    </row>
    <row r="229">
      <c r="A229" s="311"/>
      <c r="B229" s="311"/>
      <c r="C229" s="311"/>
    </row>
    <row r="230">
      <c r="A230" s="311"/>
      <c r="B230" s="311"/>
      <c r="C230" s="311"/>
    </row>
    <row r="231">
      <c r="A231" s="311"/>
      <c r="B231" s="311"/>
      <c r="C231" s="311"/>
    </row>
    <row r="232">
      <c r="A232" s="311"/>
      <c r="B232" s="311"/>
      <c r="C232" s="311"/>
    </row>
    <row r="233">
      <c r="A233" s="311"/>
      <c r="B233" s="311"/>
      <c r="C233" s="311"/>
    </row>
    <row r="234">
      <c r="A234" s="311"/>
      <c r="B234" s="311"/>
      <c r="C234" s="311"/>
    </row>
    <row r="235">
      <c r="A235" s="311"/>
      <c r="B235" s="311"/>
      <c r="C235" s="311"/>
    </row>
    <row r="236">
      <c r="A236" s="311"/>
      <c r="B236" s="311"/>
      <c r="C236" s="311"/>
    </row>
    <row r="237">
      <c r="A237" s="311"/>
      <c r="B237" s="311"/>
      <c r="C237" s="311"/>
    </row>
    <row r="238">
      <c r="A238" s="311"/>
      <c r="B238" s="311"/>
      <c r="C238" s="311"/>
    </row>
    <row r="239">
      <c r="A239" s="311"/>
      <c r="B239" s="311"/>
      <c r="C239" s="311"/>
    </row>
    <row r="240">
      <c r="A240" s="311"/>
      <c r="B240" s="311"/>
      <c r="C240" s="311"/>
    </row>
    <row r="241">
      <c r="A241" s="311"/>
      <c r="B241" s="311"/>
      <c r="C241" s="311"/>
    </row>
    <row r="242">
      <c r="A242" s="311"/>
      <c r="B242" s="311"/>
      <c r="C242" s="311"/>
    </row>
    <row r="243">
      <c r="A243" s="311"/>
      <c r="B243" s="311"/>
      <c r="C243" s="311"/>
    </row>
    <row r="244">
      <c r="A244" s="311"/>
      <c r="B244" s="311"/>
      <c r="C244" s="311"/>
    </row>
    <row r="245">
      <c r="A245" s="311"/>
      <c r="B245" s="311"/>
      <c r="C245" s="311"/>
    </row>
    <row r="246">
      <c r="A246" s="311"/>
      <c r="B246" s="311"/>
      <c r="C246" s="311"/>
    </row>
    <row r="247">
      <c r="A247" s="311"/>
      <c r="B247" s="311"/>
      <c r="C247" s="311"/>
    </row>
    <row r="248">
      <c r="A248" s="311"/>
      <c r="B248" s="311"/>
      <c r="C248" s="311"/>
    </row>
    <row r="249">
      <c r="A249" s="311"/>
      <c r="B249" s="311"/>
      <c r="C249" s="311"/>
    </row>
    <row r="250">
      <c r="A250" s="311"/>
      <c r="B250" s="311"/>
      <c r="C250" s="311"/>
    </row>
    <row r="251">
      <c r="A251" s="311"/>
      <c r="B251" s="311"/>
      <c r="C251" s="311"/>
    </row>
    <row r="252">
      <c r="A252" s="311"/>
      <c r="B252" s="311"/>
      <c r="C252" s="311"/>
    </row>
    <row r="253">
      <c r="A253" s="311"/>
      <c r="B253" s="311"/>
      <c r="C253" s="311"/>
    </row>
    <row r="254">
      <c r="A254" s="311"/>
      <c r="B254" s="311"/>
      <c r="C254" s="311"/>
    </row>
    <row r="255">
      <c r="A255" s="311"/>
      <c r="B255" s="311"/>
      <c r="C255" s="311"/>
    </row>
    <row r="256">
      <c r="A256" s="311"/>
      <c r="B256" s="311"/>
      <c r="C256" s="311"/>
    </row>
    <row r="257">
      <c r="A257" s="311"/>
      <c r="B257" s="311"/>
      <c r="C257" s="311"/>
    </row>
    <row r="258">
      <c r="A258" s="311"/>
      <c r="B258" s="311"/>
      <c r="C258" s="311"/>
    </row>
    <row r="259">
      <c r="A259" s="311"/>
      <c r="B259" s="311"/>
      <c r="C259" s="311"/>
    </row>
    <row r="260">
      <c r="A260" s="311"/>
      <c r="B260" s="311"/>
      <c r="C260" s="311"/>
    </row>
    <row r="261">
      <c r="A261" s="311"/>
      <c r="B261" s="311"/>
      <c r="C261" s="311"/>
    </row>
    <row r="262">
      <c r="A262" s="311"/>
      <c r="B262" s="311"/>
      <c r="C262" s="311"/>
    </row>
    <row r="263">
      <c r="A263" s="311"/>
      <c r="B263" s="311"/>
      <c r="C263" s="311"/>
    </row>
    <row r="264">
      <c r="A264" s="311"/>
      <c r="B264" s="311"/>
      <c r="C264" s="311"/>
    </row>
    <row r="265">
      <c r="A265" s="311"/>
      <c r="B265" s="311"/>
      <c r="C265" s="311"/>
    </row>
    <row r="266">
      <c r="A266" s="311"/>
      <c r="B266" s="311"/>
      <c r="C266" s="311"/>
    </row>
    <row r="267">
      <c r="A267" s="311"/>
      <c r="B267" s="311"/>
      <c r="C267" s="311"/>
    </row>
    <row r="268">
      <c r="A268" s="311"/>
      <c r="B268" s="311"/>
      <c r="C268" s="311"/>
    </row>
    <row r="269">
      <c r="A269" s="311"/>
      <c r="B269" s="311"/>
      <c r="C269" s="311"/>
    </row>
    <row r="270">
      <c r="A270" s="311"/>
      <c r="B270" s="311"/>
      <c r="C270" s="311"/>
    </row>
    <row r="271">
      <c r="A271" s="311"/>
      <c r="B271" s="311"/>
      <c r="C271" s="311"/>
    </row>
    <row r="272">
      <c r="A272" s="311"/>
      <c r="B272" s="311"/>
      <c r="C272" s="311"/>
    </row>
    <row r="273">
      <c r="A273" s="311"/>
      <c r="B273" s="311"/>
      <c r="C273" s="311"/>
    </row>
    <row r="274">
      <c r="A274" s="311"/>
      <c r="B274" s="311"/>
      <c r="C274" s="311"/>
    </row>
    <row r="275">
      <c r="A275" s="311"/>
      <c r="B275" s="311"/>
      <c r="C275" s="311"/>
    </row>
    <row r="276">
      <c r="A276" s="311"/>
      <c r="B276" s="311"/>
      <c r="C276" s="311"/>
    </row>
    <row r="277">
      <c r="A277" s="311"/>
      <c r="B277" s="311"/>
      <c r="C277" s="311"/>
    </row>
    <row r="278">
      <c r="A278" s="311"/>
      <c r="B278" s="311"/>
      <c r="C278" s="311"/>
    </row>
    <row r="279">
      <c r="A279" s="311"/>
      <c r="B279" s="311"/>
      <c r="C279" s="311"/>
    </row>
    <row r="280">
      <c r="A280" s="311"/>
      <c r="B280" s="311"/>
      <c r="C280" s="311"/>
    </row>
    <row r="281">
      <c r="A281" s="311"/>
      <c r="B281" s="311"/>
      <c r="C281" s="311"/>
    </row>
    <row r="282">
      <c r="A282" s="311"/>
      <c r="B282" s="311"/>
      <c r="C282" s="311"/>
    </row>
    <row r="283">
      <c r="A283" s="311"/>
      <c r="B283" s="311"/>
      <c r="C283" s="311"/>
    </row>
    <row r="284">
      <c r="A284" s="311"/>
      <c r="B284" s="311"/>
      <c r="C284" s="311"/>
    </row>
    <row r="285">
      <c r="A285" s="311"/>
      <c r="B285" s="311"/>
      <c r="C285" s="311"/>
    </row>
    <row r="286">
      <c r="A286" s="311"/>
      <c r="B286" s="311"/>
      <c r="C286" s="311"/>
    </row>
    <row r="287">
      <c r="A287" s="311"/>
      <c r="B287" s="311"/>
      <c r="C287" s="311"/>
    </row>
    <row r="288">
      <c r="A288" s="311"/>
      <c r="B288" s="311"/>
      <c r="C288" s="311"/>
    </row>
    <row r="289">
      <c r="A289" s="311"/>
      <c r="B289" s="311"/>
      <c r="C289" s="311"/>
    </row>
    <row r="290">
      <c r="A290" s="311"/>
      <c r="B290" s="311"/>
      <c r="C290" s="311"/>
    </row>
    <row r="291">
      <c r="A291" s="311"/>
      <c r="B291" s="311"/>
      <c r="C291" s="311"/>
    </row>
    <row r="292">
      <c r="A292" s="311"/>
      <c r="B292" s="311"/>
      <c r="C292" s="311"/>
    </row>
    <row r="293">
      <c r="A293" s="311"/>
      <c r="B293" s="311"/>
      <c r="C293" s="311"/>
    </row>
    <row r="294">
      <c r="A294" s="311"/>
      <c r="B294" s="311"/>
      <c r="C294" s="311"/>
    </row>
    <row r="295">
      <c r="A295" s="311"/>
      <c r="B295" s="311"/>
      <c r="C295" s="311"/>
    </row>
    <row r="296">
      <c r="A296" s="311"/>
      <c r="B296" s="311"/>
      <c r="C296" s="311"/>
    </row>
    <row r="297">
      <c r="A297" s="311"/>
      <c r="B297" s="311"/>
      <c r="C297" s="311"/>
    </row>
    <row r="298">
      <c r="A298" s="311"/>
      <c r="B298" s="311"/>
      <c r="C298" s="311"/>
    </row>
    <row r="299">
      <c r="A299" s="311"/>
      <c r="B299" s="311"/>
      <c r="C299" s="311"/>
    </row>
    <row r="300">
      <c r="A300" s="311"/>
      <c r="B300" s="311"/>
      <c r="C300" s="311"/>
    </row>
    <row r="301">
      <c r="A301" s="311"/>
      <c r="B301" s="311"/>
      <c r="C301" s="311"/>
    </row>
    <row r="302">
      <c r="A302" s="311"/>
      <c r="B302" s="311"/>
      <c r="C302" s="311"/>
    </row>
    <row r="303">
      <c r="A303" s="311"/>
      <c r="B303" s="311"/>
      <c r="C303" s="311"/>
    </row>
    <row r="304">
      <c r="A304" s="311"/>
      <c r="B304" s="311"/>
      <c r="C304" s="311"/>
    </row>
    <row r="305">
      <c r="A305" s="311"/>
      <c r="B305" s="311"/>
      <c r="C305" s="311"/>
    </row>
    <row r="306">
      <c r="A306" s="311"/>
      <c r="B306" s="311"/>
      <c r="C306" s="311"/>
    </row>
    <row r="307">
      <c r="A307" s="311"/>
      <c r="B307" s="311"/>
      <c r="C307" s="311"/>
    </row>
    <row r="308">
      <c r="A308" s="311"/>
      <c r="B308" s="311"/>
      <c r="C308" s="311"/>
    </row>
    <row r="309">
      <c r="A309" s="311"/>
      <c r="B309" s="311"/>
      <c r="C309" s="311"/>
    </row>
    <row r="310">
      <c r="A310" s="311"/>
      <c r="B310" s="311"/>
      <c r="C310" s="311"/>
    </row>
    <row r="311">
      <c r="A311" s="311"/>
      <c r="B311" s="311"/>
      <c r="C311" s="311"/>
    </row>
    <row r="312">
      <c r="A312" s="311"/>
      <c r="B312" s="311"/>
      <c r="C312" s="311"/>
    </row>
    <row r="313">
      <c r="A313" s="311"/>
      <c r="B313" s="311"/>
      <c r="C313" s="311"/>
    </row>
    <row r="314">
      <c r="A314" s="311"/>
      <c r="B314" s="311"/>
      <c r="C314" s="311"/>
    </row>
    <row r="315">
      <c r="A315" s="311"/>
      <c r="B315" s="311"/>
      <c r="C315" s="311"/>
    </row>
    <row r="316">
      <c r="A316" s="311"/>
      <c r="B316" s="311"/>
      <c r="C316" s="311"/>
    </row>
    <row r="317">
      <c r="A317" s="311"/>
      <c r="B317" s="311"/>
      <c r="C317" s="311"/>
    </row>
    <row r="318">
      <c r="A318" s="311"/>
      <c r="B318" s="311"/>
      <c r="C318" s="311"/>
    </row>
    <row r="319">
      <c r="A319" s="311"/>
      <c r="B319" s="311"/>
      <c r="C319" s="311"/>
    </row>
    <row r="320">
      <c r="A320" s="311"/>
      <c r="B320" s="311"/>
      <c r="C320" s="311"/>
    </row>
    <row r="321">
      <c r="A321" s="311"/>
      <c r="B321" s="311"/>
      <c r="C321" s="311"/>
    </row>
    <row r="322">
      <c r="A322" s="311"/>
      <c r="B322" s="311"/>
      <c r="C322" s="311"/>
    </row>
    <row r="323">
      <c r="A323" s="311"/>
      <c r="B323" s="311"/>
      <c r="C323" s="311"/>
    </row>
    <row r="324">
      <c r="A324" s="311"/>
      <c r="B324" s="311"/>
      <c r="C324" s="311"/>
    </row>
    <row r="325">
      <c r="A325" s="311"/>
      <c r="B325" s="311"/>
      <c r="C325" s="311"/>
    </row>
    <row r="326">
      <c r="A326" s="311"/>
      <c r="B326" s="311"/>
      <c r="C326" s="311"/>
    </row>
    <row r="327">
      <c r="A327" s="311"/>
      <c r="B327" s="311"/>
      <c r="C327" s="311"/>
    </row>
    <row r="328">
      <c r="A328" s="311"/>
      <c r="B328" s="311"/>
      <c r="C328" s="311"/>
    </row>
    <row r="329">
      <c r="A329" s="311"/>
      <c r="B329" s="311"/>
      <c r="C329" s="311"/>
    </row>
    <row r="330">
      <c r="A330" s="311"/>
      <c r="B330" s="311"/>
      <c r="C330" s="311"/>
    </row>
    <row r="331">
      <c r="A331" s="311"/>
      <c r="B331" s="311"/>
      <c r="C331" s="311"/>
    </row>
    <row r="332">
      <c r="A332" s="311"/>
      <c r="B332" s="311"/>
      <c r="C332" s="311"/>
    </row>
    <row r="333">
      <c r="A333" s="311"/>
      <c r="B333" s="311"/>
      <c r="C333" s="311"/>
    </row>
    <row r="334">
      <c r="A334" s="311"/>
      <c r="B334" s="311"/>
      <c r="C334" s="311"/>
    </row>
    <row r="335">
      <c r="A335" s="311"/>
      <c r="B335" s="311"/>
      <c r="C335" s="311"/>
    </row>
    <row r="336">
      <c r="A336" s="311"/>
      <c r="B336" s="311"/>
      <c r="C336" s="311"/>
    </row>
    <row r="337">
      <c r="A337" s="311"/>
      <c r="B337" s="311"/>
      <c r="C337" s="311"/>
    </row>
    <row r="338">
      <c r="A338" s="311"/>
      <c r="B338" s="311"/>
      <c r="C338" s="311"/>
    </row>
    <row r="339">
      <c r="A339" s="311"/>
      <c r="B339" s="311"/>
      <c r="C339" s="311"/>
    </row>
    <row r="340">
      <c r="A340" s="311"/>
      <c r="B340" s="311"/>
      <c r="C340" s="311"/>
    </row>
    <row r="341">
      <c r="A341" s="311"/>
      <c r="B341" s="311"/>
      <c r="C341" s="311"/>
    </row>
    <row r="342">
      <c r="A342" s="311"/>
      <c r="B342" s="311"/>
      <c r="C342" s="311"/>
    </row>
    <row r="343">
      <c r="A343" s="311"/>
      <c r="B343" s="311"/>
      <c r="C343" s="311"/>
    </row>
    <row r="344">
      <c r="A344" s="311"/>
      <c r="B344" s="311"/>
      <c r="C344" s="311"/>
    </row>
    <row r="345">
      <c r="A345" s="311"/>
      <c r="B345" s="311"/>
      <c r="C345" s="311"/>
    </row>
    <row r="346">
      <c r="A346" s="311"/>
      <c r="B346" s="311"/>
      <c r="C346" s="311"/>
    </row>
    <row r="347">
      <c r="A347" s="311"/>
      <c r="B347" s="311"/>
      <c r="C347" s="311"/>
    </row>
    <row r="348">
      <c r="A348" s="311"/>
      <c r="B348" s="311"/>
      <c r="C348" s="311"/>
    </row>
    <row r="349">
      <c r="A349" s="311"/>
      <c r="B349" s="311"/>
      <c r="C349" s="311"/>
    </row>
    <row r="350">
      <c r="A350" s="311"/>
      <c r="B350" s="311"/>
      <c r="C350" s="311"/>
    </row>
    <row r="351">
      <c r="A351" s="311"/>
      <c r="B351" s="311"/>
      <c r="C351" s="311"/>
    </row>
    <row r="352">
      <c r="A352" s="311"/>
      <c r="B352" s="311"/>
      <c r="C352" s="311"/>
    </row>
    <row r="353">
      <c r="A353" s="311"/>
      <c r="B353" s="311"/>
      <c r="C353" s="311"/>
    </row>
    <row r="354">
      <c r="A354" s="311"/>
      <c r="B354" s="311"/>
      <c r="C354" s="311"/>
    </row>
    <row r="355">
      <c r="A355" s="311"/>
      <c r="B355" s="311"/>
      <c r="C355" s="311"/>
    </row>
    <row r="356">
      <c r="A356" s="311"/>
      <c r="B356" s="311"/>
      <c r="C356" s="311"/>
    </row>
    <row r="357">
      <c r="A357" s="311"/>
      <c r="B357" s="311"/>
      <c r="C357" s="311"/>
    </row>
    <row r="358">
      <c r="A358" s="311"/>
      <c r="B358" s="311"/>
      <c r="C358" s="311"/>
    </row>
    <row r="359">
      <c r="A359" s="311"/>
      <c r="B359" s="311"/>
      <c r="C359" s="311"/>
    </row>
    <row r="360">
      <c r="A360" s="311"/>
      <c r="B360" s="311"/>
      <c r="C360" s="311"/>
    </row>
    <row r="361">
      <c r="A361" s="311"/>
      <c r="B361" s="311"/>
      <c r="C361" s="311"/>
    </row>
    <row r="362">
      <c r="A362" s="311"/>
      <c r="B362" s="311"/>
      <c r="C362" s="311"/>
    </row>
    <row r="363">
      <c r="A363" s="311"/>
      <c r="B363" s="311"/>
      <c r="C363" s="311"/>
    </row>
    <row r="364">
      <c r="A364" s="311"/>
      <c r="B364" s="311"/>
      <c r="C364" s="311"/>
    </row>
    <row r="365">
      <c r="A365" s="311"/>
      <c r="B365" s="311"/>
      <c r="C365" s="311"/>
    </row>
    <row r="366">
      <c r="A366" s="311"/>
      <c r="B366" s="311"/>
      <c r="C366" s="311"/>
    </row>
    <row r="367">
      <c r="A367" s="311"/>
      <c r="B367" s="311"/>
      <c r="C367" s="311"/>
    </row>
    <row r="368">
      <c r="A368" s="311"/>
      <c r="B368" s="311"/>
      <c r="C368" s="311"/>
    </row>
    <row r="369">
      <c r="A369" s="311"/>
      <c r="B369" s="311"/>
      <c r="C369" s="311"/>
    </row>
    <row r="370">
      <c r="A370" s="311"/>
      <c r="B370" s="311"/>
      <c r="C370" s="311"/>
    </row>
    <row r="371">
      <c r="A371" s="311"/>
      <c r="B371" s="311"/>
      <c r="C371" s="311"/>
    </row>
    <row r="372">
      <c r="A372" s="311"/>
      <c r="B372" s="311"/>
      <c r="C372" s="311"/>
    </row>
    <row r="373">
      <c r="A373" s="311"/>
      <c r="B373" s="311"/>
      <c r="C373" s="311"/>
    </row>
    <row r="374">
      <c r="A374" s="311"/>
      <c r="B374" s="311"/>
      <c r="C374" s="311"/>
    </row>
    <row r="375">
      <c r="A375" s="311"/>
      <c r="B375" s="311"/>
      <c r="C375" s="311"/>
    </row>
    <row r="376">
      <c r="A376" s="311"/>
      <c r="B376" s="311"/>
      <c r="C376" s="311"/>
    </row>
    <row r="377">
      <c r="A377" s="311"/>
      <c r="B377" s="311"/>
      <c r="C377" s="311"/>
    </row>
    <row r="378">
      <c r="A378" s="311"/>
      <c r="B378" s="311"/>
      <c r="C378" s="311"/>
    </row>
    <row r="379">
      <c r="A379" s="311"/>
      <c r="B379" s="311"/>
      <c r="C379" s="311"/>
    </row>
    <row r="380">
      <c r="A380" s="311"/>
      <c r="B380" s="311"/>
      <c r="C380" s="311"/>
    </row>
    <row r="381">
      <c r="A381" s="311"/>
      <c r="B381" s="311"/>
      <c r="C381" s="311"/>
    </row>
    <row r="382">
      <c r="A382" s="311"/>
      <c r="B382" s="311"/>
      <c r="C382" s="311"/>
    </row>
    <row r="383">
      <c r="A383" s="311"/>
      <c r="B383" s="311"/>
      <c r="C383" s="311"/>
    </row>
    <row r="384">
      <c r="A384" s="311"/>
      <c r="B384" s="311"/>
      <c r="C384" s="311"/>
    </row>
    <row r="385">
      <c r="A385" s="311"/>
      <c r="B385" s="311"/>
      <c r="C385" s="311"/>
    </row>
    <row r="386">
      <c r="A386" s="311"/>
      <c r="B386" s="311"/>
      <c r="C386" s="311"/>
    </row>
    <row r="387">
      <c r="A387" s="311"/>
      <c r="B387" s="311"/>
      <c r="C387" s="311"/>
    </row>
    <row r="388">
      <c r="A388" s="311"/>
      <c r="B388" s="311"/>
      <c r="C388" s="311"/>
    </row>
    <row r="389">
      <c r="A389" s="311"/>
      <c r="B389" s="311"/>
      <c r="C389" s="311"/>
    </row>
    <row r="390">
      <c r="A390" s="311"/>
      <c r="B390" s="311"/>
      <c r="C390" s="311"/>
    </row>
    <row r="391">
      <c r="A391" s="311"/>
      <c r="B391" s="311"/>
      <c r="C391" s="311"/>
    </row>
    <row r="392">
      <c r="A392" s="311"/>
      <c r="B392" s="311"/>
      <c r="C392" s="311"/>
    </row>
    <row r="393">
      <c r="A393" s="311"/>
      <c r="B393" s="311"/>
      <c r="C393" s="311"/>
    </row>
    <row r="394">
      <c r="A394" s="311"/>
      <c r="B394" s="311"/>
      <c r="C394" s="311"/>
    </row>
    <row r="395">
      <c r="A395" s="311"/>
      <c r="B395" s="311"/>
      <c r="C395" s="311"/>
    </row>
    <row r="396">
      <c r="A396" s="311"/>
      <c r="B396" s="311"/>
      <c r="C396" s="311"/>
    </row>
    <row r="397">
      <c r="A397" s="311"/>
      <c r="B397" s="311"/>
      <c r="C397" s="311"/>
    </row>
    <row r="398">
      <c r="A398" s="311"/>
      <c r="B398" s="311"/>
      <c r="C398" s="311"/>
    </row>
    <row r="399">
      <c r="A399" s="311"/>
      <c r="B399" s="311"/>
      <c r="C399" s="311"/>
    </row>
    <row r="400">
      <c r="A400" s="311"/>
      <c r="B400" s="311"/>
      <c r="C400" s="311"/>
    </row>
    <row r="401">
      <c r="A401" s="311"/>
      <c r="B401" s="311"/>
      <c r="C401" s="311"/>
    </row>
    <row r="402">
      <c r="A402" s="311"/>
      <c r="B402" s="311"/>
      <c r="C402" s="311"/>
    </row>
    <row r="403">
      <c r="A403" s="311"/>
      <c r="B403" s="311"/>
      <c r="C403" s="311"/>
    </row>
    <row r="404">
      <c r="A404" s="311"/>
      <c r="B404" s="311"/>
      <c r="C404" s="311"/>
    </row>
    <row r="405">
      <c r="A405" s="311"/>
      <c r="B405" s="311"/>
      <c r="C405" s="311"/>
    </row>
    <row r="406">
      <c r="A406" s="311"/>
      <c r="B406" s="311"/>
      <c r="C406" s="311"/>
    </row>
    <row r="407">
      <c r="A407" s="311"/>
      <c r="B407" s="311"/>
      <c r="C407" s="311"/>
    </row>
    <row r="408">
      <c r="A408" s="311"/>
      <c r="B408" s="311"/>
      <c r="C408" s="311"/>
    </row>
    <row r="409">
      <c r="A409" s="311"/>
      <c r="B409" s="311"/>
      <c r="C409" s="311"/>
    </row>
    <row r="410">
      <c r="A410" s="311"/>
      <c r="B410" s="311"/>
      <c r="C410" s="311"/>
    </row>
    <row r="411">
      <c r="A411" s="311"/>
      <c r="B411" s="311"/>
      <c r="C411" s="311"/>
    </row>
    <row r="412">
      <c r="A412" s="311"/>
      <c r="B412" s="311"/>
      <c r="C412" s="311"/>
    </row>
    <row r="413">
      <c r="A413" s="311"/>
      <c r="B413" s="311"/>
      <c r="C413" s="311"/>
    </row>
    <row r="414">
      <c r="A414" s="311"/>
      <c r="B414" s="311"/>
      <c r="C414" s="311"/>
    </row>
    <row r="415">
      <c r="A415" s="311"/>
      <c r="B415" s="311"/>
      <c r="C415" s="311"/>
    </row>
    <row r="416">
      <c r="A416" s="311"/>
      <c r="B416" s="311"/>
      <c r="C416" s="311"/>
    </row>
    <row r="417">
      <c r="A417" s="311"/>
      <c r="B417" s="311"/>
      <c r="C417" s="311"/>
    </row>
    <row r="418">
      <c r="A418" s="311"/>
      <c r="B418" s="311"/>
      <c r="C418" s="311"/>
    </row>
    <row r="419">
      <c r="A419" s="311"/>
      <c r="B419" s="311"/>
      <c r="C419" s="311"/>
    </row>
    <row r="420">
      <c r="A420" s="311"/>
      <c r="B420" s="311"/>
      <c r="C420" s="311"/>
    </row>
    <row r="421">
      <c r="A421" s="311"/>
      <c r="B421" s="311"/>
      <c r="C421" s="311"/>
    </row>
    <row r="422">
      <c r="A422" s="311"/>
      <c r="B422" s="311"/>
      <c r="C422" s="311"/>
    </row>
    <row r="423">
      <c r="A423" s="311"/>
      <c r="B423" s="311"/>
      <c r="C423" s="311"/>
    </row>
    <row r="424">
      <c r="A424" s="311"/>
      <c r="B424" s="311"/>
      <c r="C424" s="311"/>
    </row>
    <row r="425">
      <c r="A425" s="311"/>
      <c r="B425" s="311"/>
      <c r="C425" s="311"/>
    </row>
    <row r="426">
      <c r="A426" s="311"/>
      <c r="B426" s="311"/>
      <c r="C426" s="311"/>
    </row>
    <row r="427">
      <c r="A427" s="311"/>
      <c r="B427" s="311"/>
      <c r="C427" s="311"/>
    </row>
    <row r="428">
      <c r="A428" s="311"/>
      <c r="B428" s="311"/>
      <c r="C428" s="311"/>
    </row>
    <row r="429">
      <c r="A429" s="311"/>
      <c r="B429" s="311"/>
      <c r="C429" s="311"/>
    </row>
    <row r="430">
      <c r="A430" s="311"/>
      <c r="B430" s="311"/>
      <c r="C430" s="311"/>
    </row>
    <row r="431">
      <c r="A431" s="311"/>
      <c r="B431" s="311"/>
      <c r="C431" s="311"/>
    </row>
    <row r="432">
      <c r="A432" s="311"/>
      <c r="B432" s="311"/>
      <c r="C432" s="311"/>
    </row>
    <row r="433">
      <c r="A433" s="311"/>
      <c r="B433" s="311"/>
      <c r="C433" s="311"/>
    </row>
    <row r="434">
      <c r="A434" s="311"/>
      <c r="B434" s="311"/>
      <c r="C434" s="311"/>
    </row>
    <row r="435">
      <c r="A435" s="311"/>
      <c r="B435" s="311"/>
      <c r="C435" s="311"/>
    </row>
    <row r="436">
      <c r="A436" s="311"/>
      <c r="B436" s="311"/>
      <c r="C436" s="311"/>
    </row>
    <row r="437">
      <c r="A437" s="311"/>
      <c r="B437" s="311"/>
      <c r="C437" s="311"/>
    </row>
    <row r="438">
      <c r="A438" s="311"/>
      <c r="B438" s="311"/>
      <c r="C438" s="311"/>
    </row>
    <row r="439">
      <c r="A439" s="311"/>
      <c r="B439" s="311"/>
      <c r="C439" s="311"/>
    </row>
    <row r="440">
      <c r="A440" s="311"/>
      <c r="B440" s="311"/>
      <c r="C440" s="311"/>
    </row>
    <row r="441">
      <c r="A441" s="311"/>
      <c r="B441" s="311"/>
      <c r="C441" s="311"/>
    </row>
    <row r="442">
      <c r="A442" s="311"/>
      <c r="B442" s="311"/>
      <c r="C442" s="311"/>
    </row>
    <row r="443">
      <c r="A443" s="311"/>
      <c r="B443" s="311"/>
      <c r="C443" s="311"/>
    </row>
    <row r="444">
      <c r="A444" s="311"/>
      <c r="B444" s="311"/>
      <c r="C444" s="311"/>
    </row>
    <row r="445">
      <c r="A445" s="311"/>
      <c r="B445" s="311"/>
      <c r="C445" s="311"/>
    </row>
    <row r="446">
      <c r="A446" s="311"/>
      <c r="B446" s="311"/>
      <c r="C446" s="311"/>
    </row>
    <row r="447">
      <c r="A447" s="311"/>
      <c r="B447" s="311"/>
      <c r="C447" s="311"/>
    </row>
    <row r="448">
      <c r="A448" s="311"/>
      <c r="B448" s="311"/>
      <c r="C448" s="311"/>
    </row>
    <row r="449">
      <c r="A449" s="311"/>
      <c r="B449" s="311"/>
      <c r="C449" s="311"/>
    </row>
    <row r="450">
      <c r="A450" s="311"/>
      <c r="B450" s="311"/>
      <c r="C450" s="311"/>
    </row>
    <row r="451">
      <c r="A451" s="311"/>
      <c r="B451" s="311"/>
      <c r="C451" s="311"/>
    </row>
    <row r="452">
      <c r="A452" s="311"/>
      <c r="B452" s="311"/>
      <c r="C452" s="311"/>
    </row>
    <row r="453">
      <c r="A453" s="311"/>
      <c r="B453" s="311"/>
      <c r="C453" s="311"/>
    </row>
    <row r="454">
      <c r="A454" s="311"/>
      <c r="B454" s="311"/>
      <c r="C454" s="311"/>
    </row>
    <row r="455">
      <c r="A455" s="311"/>
      <c r="B455" s="311"/>
      <c r="C455" s="311"/>
    </row>
    <row r="456">
      <c r="A456" s="311"/>
      <c r="B456" s="311"/>
      <c r="C456" s="311"/>
    </row>
    <row r="457">
      <c r="A457" s="311"/>
      <c r="B457" s="311"/>
      <c r="C457" s="311"/>
    </row>
    <row r="458">
      <c r="A458" s="311"/>
      <c r="B458" s="311"/>
      <c r="C458" s="311"/>
    </row>
    <row r="459">
      <c r="A459" s="311"/>
      <c r="B459" s="311"/>
      <c r="C459" s="311"/>
    </row>
    <row r="460">
      <c r="A460" s="311"/>
      <c r="B460" s="311"/>
      <c r="C460" s="311"/>
    </row>
    <row r="461">
      <c r="A461" s="311"/>
      <c r="B461" s="311"/>
      <c r="C461" s="311"/>
    </row>
    <row r="462">
      <c r="A462" s="311"/>
      <c r="B462" s="311"/>
      <c r="C462" s="311"/>
    </row>
    <row r="463">
      <c r="A463" s="311"/>
      <c r="B463" s="311"/>
      <c r="C463" s="311"/>
    </row>
    <row r="464">
      <c r="A464" s="311"/>
      <c r="B464" s="311"/>
      <c r="C464" s="311"/>
    </row>
    <row r="465">
      <c r="A465" s="311"/>
      <c r="B465" s="311"/>
      <c r="C465" s="311"/>
    </row>
    <row r="466">
      <c r="A466" s="311"/>
      <c r="B466" s="311"/>
      <c r="C466" s="311"/>
    </row>
    <row r="467">
      <c r="A467" s="311"/>
      <c r="B467" s="311"/>
      <c r="C467" s="311"/>
    </row>
    <row r="468">
      <c r="A468" s="311"/>
      <c r="B468" s="311"/>
      <c r="C468" s="311"/>
    </row>
    <row r="469">
      <c r="A469" s="311"/>
      <c r="B469" s="311"/>
      <c r="C469" s="311"/>
    </row>
    <row r="470">
      <c r="A470" s="311"/>
      <c r="B470" s="311"/>
      <c r="C470" s="311"/>
    </row>
    <row r="471">
      <c r="A471" s="311"/>
      <c r="B471" s="311"/>
      <c r="C471" s="311"/>
    </row>
    <row r="472">
      <c r="A472" s="311"/>
      <c r="B472" s="311"/>
      <c r="C472" s="311"/>
    </row>
    <row r="473">
      <c r="A473" s="311"/>
      <c r="B473" s="311"/>
      <c r="C473" s="311"/>
    </row>
    <row r="474">
      <c r="A474" s="311"/>
      <c r="B474" s="311"/>
      <c r="C474" s="311"/>
    </row>
    <row r="475">
      <c r="A475" s="311"/>
      <c r="B475" s="311"/>
      <c r="C475" s="311"/>
    </row>
    <row r="476">
      <c r="A476" s="311"/>
      <c r="B476" s="311"/>
      <c r="C476" s="311"/>
    </row>
    <row r="477">
      <c r="A477" s="311"/>
      <c r="B477" s="311"/>
      <c r="C477" s="311"/>
    </row>
    <row r="478">
      <c r="A478" s="311"/>
      <c r="B478" s="311"/>
      <c r="C478" s="311"/>
    </row>
    <row r="479">
      <c r="A479" s="311"/>
      <c r="B479" s="311"/>
      <c r="C479" s="311"/>
    </row>
    <row r="480">
      <c r="A480" s="311"/>
      <c r="B480" s="311"/>
      <c r="C480" s="311"/>
    </row>
    <row r="481">
      <c r="A481" s="311"/>
      <c r="B481" s="311"/>
      <c r="C481" s="311"/>
    </row>
    <row r="482">
      <c r="A482" s="311"/>
      <c r="B482" s="311"/>
      <c r="C482" s="311"/>
    </row>
    <row r="483">
      <c r="A483" s="311"/>
      <c r="B483" s="311"/>
      <c r="C483" s="311"/>
    </row>
    <row r="484">
      <c r="A484" s="311"/>
      <c r="B484" s="311"/>
      <c r="C484" s="311"/>
    </row>
    <row r="485">
      <c r="A485" s="311"/>
      <c r="B485" s="311"/>
      <c r="C485" s="311"/>
    </row>
    <row r="486">
      <c r="A486" s="311"/>
      <c r="B486" s="311"/>
      <c r="C486" s="311"/>
    </row>
    <row r="487">
      <c r="A487" s="311"/>
      <c r="B487" s="311"/>
      <c r="C487" s="311"/>
    </row>
    <row r="488">
      <c r="A488" s="311"/>
      <c r="B488" s="311"/>
      <c r="C488" s="311"/>
    </row>
    <row r="489">
      <c r="A489" s="311"/>
      <c r="B489" s="311"/>
      <c r="C489" s="311"/>
    </row>
    <row r="490">
      <c r="A490" s="311"/>
      <c r="B490" s="311"/>
      <c r="C490" s="311"/>
    </row>
    <row r="491">
      <c r="A491" s="311"/>
      <c r="B491" s="311"/>
      <c r="C491" s="311"/>
    </row>
    <row r="492">
      <c r="A492" s="311"/>
      <c r="B492" s="311"/>
      <c r="C492" s="311"/>
    </row>
    <row r="493">
      <c r="A493" s="311"/>
      <c r="B493" s="311"/>
      <c r="C493" s="311"/>
    </row>
    <row r="494">
      <c r="A494" s="311"/>
      <c r="B494" s="311"/>
      <c r="C494" s="311"/>
    </row>
    <row r="495">
      <c r="A495" s="311"/>
      <c r="B495" s="311"/>
      <c r="C495" s="311"/>
    </row>
    <row r="496">
      <c r="A496" s="311"/>
      <c r="B496" s="311"/>
      <c r="C496" s="311"/>
    </row>
    <row r="497">
      <c r="A497" s="311"/>
      <c r="B497" s="311"/>
      <c r="C497" s="311"/>
    </row>
    <row r="498">
      <c r="A498" s="311"/>
      <c r="B498" s="311"/>
      <c r="C498" s="311"/>
    </row>
    <row r="499">
      <c r="A499" s="311"/>
      <c r="B499" s="311"/>
      <c r="C499" s="311"/>
    </row>
    <row r="500">
      <c r="A500" s="311"/>
      <c r="B500" s="311"/>
      <c r="C500" s="311"/>
    </row>
    <row r="501">
      <c r="A501" s="311"/>
      <c r="B501" s="311"/>
      <c r="C501" s="311"/>
    </row>
    <row r="502">
      <c r="A502" s="311"/>
      <c r="B502" s="311"/>
      <c r="C502" s="311"/>
    </row>
    <row r="503">
      <c r="A503" s="311"/>
      <c r="B503" s="311"/>
      <c r="C503" s="311"/>
    </row>
    <row r="504">
      <c r="A504" s="311"/>
      <c r="B504" s="311"/>
      <c r="C504" s="311"/>
    </row>
    <row r="505">
      <c r="A505" s="311"/>
      <c r="B505" s="311"/>
      <c r="C505" s="311"/>
    </row>
    <row r="506">
      <c r="A506" s="311"/>
      <c r="B506" s="311"/>
      <c r="C506" s="311"/>
    </row>
    <row r="507">
      <c r="A507" s="311"/>
      <c r="B507" s="311"/>
      <c r="C507" s="311"/>
    </row>
    <row r="508">
      <c r="A508" s="311"/>
      <c r="B508" s="311"/>
      <c r="C508" s="311"/>
    </row>
    <row r="509">
      <c r="A509" s="311"/>
      <c r="B509" s="311"/>
      <c r="C509" s="311"/>
    </row>
    <row r="510">
      <c r="A510" s="311"/>
      <c r="B510" s="311"/>
      <c r="C510" s="311"/>
    </row>
    <row r="511">
      <c r="A511" s="311"/>
      <c r="B511" s="311"/>
      <c r="C511" s="311"/>
    </row>
    <row r="512">
      <c r="A512" s="311"/>
      <c r="B512" s="311"/>
      <c r="C512" s="311"/>
    </row>
    <row r="513">
      <c r="A513" s="311"/>
      <c r="B513" s="311"/>
      <c r="C513" s="311"/>
    </row>
    <row r="514">
      <c r="A514" s="311"/>
      <c r="B514" s="311"/>
      <c r="C514" s="311"/>
    </row>
    <row r="515">
      <c r="A515" s="311"/>
      <c r="B515" s="311"/>
      <c r="C515" s="311"/>
    </row>
    <row r="516">
      <c r="A516" s="311"/>
      <c r="B516" s="311"/>
      <c r="C516" s="311"/>
    </row>
    <row r="517">
      <c r="A517" s="311"/>
      <c r="B517" s="311"/>
      <c r="C517" s="311"/>
    </row>
    <row r="518">
      <c r="A518" s="311"/>
      <c r="B518" s="311"/>
      <c r="C518" s="311"/>
    </row>
    <row r="519">
      <c r="A519" s="311"/>
      <c r="B519" s="311"/>
      <c r="C519" s="311"/>
    </row>
    <row r="520">
      <c r="A520" s="311"/>
      <c r="B520" s="311"/>
      <c r="C520" s="311"/>
    </row>
    <row r="521">
      <c r="A521" s="311"/>
      <c r="B521" s="311"/>
      <c r="C521" s="311"/>
    </row>
    <row r="522">
      <c r="A522" s="311"/>
      <c r="B522" s="311"/>
      <c r="C522" s="311"/>
    </row>
    <row r="523">
      <c r="A523" s="311"/>
      <c r="B523" s="311"/>
      <c r="C523" s="311"/>
    </row>
    <row r="524">
      <c r="A524" s="311"/>
      <c r="B524" s="311"/>
      <c r="C524" s="311"/>
    </row>
    <row r="525">
      <c r="A525" s="311"/>
      <c r="B525" s="311"/>
      <c r="C525" s="311"/>
    </row>
    <row r="526">
      <c r="A526" s="311"/>
      <c r="B526" s="311"/>
      <c r="C526" s="311"/>
    </row>
    <row r="527">
      <c r="A527" s="311"/>
      <c r="B527" s="311"/>
      <c r="C527" s="311"/>
    </row>
    <row r="528">
      <c r="A528" s="311"/>
      <c r="B528" s="311"/>
      <c r="C528" s="311"/>
    </row>
    <row r="529">
      <c r="A529" s="311"/>
      <c r="B529" s="311"/>
      <c r="C529" s="311"/>
    </row>
    <row r="530">
      <c r="A530" s="311"/>
      <c r="B530" s="311"/>
      <c r="C530" s="311"/>
    </row>
    <row r="531">
      <c r="A531" s="311"/>
      <c r="B531" s="311"/>
      <c r="C531" s="311"/>
    </row>
    <row r="532">
      <c r="A532" s="311"/>
      <c r="B532" s="311"/>
      <c r="C532" s="311"/>
    </row>
    <row r="533">
      <c r="A533" s="311"/>
      <c r="B533" s="311"/>
      <c r="C533" s="311"/>
    </row>
    <row r="534">
      <c r="A534" s="311"/>
      <c r="B534" s="311"/>
      <c r="C534" s="311"/>
    </row>
    <row r="535">
      <c r="A535" s="311"/>
      <c r="B535" s="311"/>
      <c r="C535" s="311"/>
    </row>
    <row r="536">
      <c r="A536" s="311"/>
      <c r="B536" s="311"/>
      <c r="C536" s="311"/>
    </row>
    <row r="537">
      <c r="A537" s="311"/>
      <c r="B537" s="311"/>
      <c r="C537" s="311"/>
    </row>
    <row r="538">
      <c r="A538" s="311"/>
      <c r="B538" s="311"/>
      <c r="C538" s="311"/>
    </row>
    <row r="539">
      <c r="A539" s="311"/>
      <c r="B539" s="311"/>
      <c r="C539" s="311"/>
    </row>
    <row r="540">
      <c r="A540" s="311"/>
      <c r="B540" s="311"/>
      <c r="C540" s="311"/>
    </row>
    <row r="541">
      <c r="A541" s="311"/>
      <c r="B541" s="311"/>
      <c r="C541" s="311"/>
    </row>
    <row r="542">
      <c r="A542" s="311"/>
      <c r="B542" s="311"/>
      <c r="C542" s="311"/>
    </row>
    <row r="543">
      <c r="A543" s="311"/>
      <c r="B543" s="311"/>
      <c r="C543" s="311"/>
    </row>
    <row r="544">
      <c r="A544" s="311"/>
      <c r="B544" s="311"/>
      <c r="C544" s="311"/>
    </row>
    <row r="545">
      <c r="A545" s="311"/>
      <c r="B545" s="311"/>
      <c r="C545" s="311"/>
    </row>
    <row r="546">
      <c r="A546" s="311"/>
      <c r="B546" s="311"/>
      <c r="C546" s="311"/>
    </row>
    <row r="547">
      <c r="A547" s="311"/>
      <c r="B547" s="311"/>
      <c r="C547" s="311"/>
    </row>
    <row r="548">
      <c r="A548" s="311"/>
      <c r="B548" s="311"/>
      <c r="C548" s="311"/>
    </row>
    <row r="549">
      <c r="A549" s="311"/>
      <c r="B549" s="311"/>
      <c r="C549" s="311"/>
    </row>
    <row r="550">
      <c r="A550" s="311"/>
      <c r="B550" s="311"/>
      <c r="C550" s="311"/>
    </row>
    <row r="551">
      <c r="A551" s="311"/>
      <c r="B551" s="311"/>
      <c r="C551" s="311"/>
    </row>
    <row r="552">
      <c r="A552" s="311"/>
      <c r="B552" s="311"/>
      <c r="C552" s="311"/>
    </row>
    <row r="553">
      <c r="A553" s="311"/>
      <c r="B553" s="311"/>
      <c r="C553" s="311"/>
    </row>
    <row r="554">
      <c r="A554" s="311"/>
      <c r="B554" s="311"/>
      <c r="C554" s="311"/>
    </row>
    <row r="555">
      <c r="A555" s="311"/>
      <c r="B555" s="311"/>
      <c r="C555" s="311"/>
    </row>
    <row r="556">
      <c r="A556" s="311"/>
      <c r="B556" s="311"/>
      <c r="C556" s="311"/>
    </row>
    <row r="557">
      <c r="A557" s="311"/>
      <c r="B557" s="311"/>
      <c r="C557" s="311"/>
    </row>
    <row r="558">
      <c r="A558" s="311"/>
      <c r="B558" s="311"/>
      <c r="C558" s="311"/>
    </row>
    <row r="559">
      <c r="A559" s="311"/>
      <c r="B559" s="311"/>
      <c r="C559" s="311"/>
    </row>
    <row r="560">
      <c r="A560" s="311"/>
      <c r="B560" s="311"/>
      <c r="C560" s="311"/>
    </row>
    <row r="561">
      <c r="A561" s="311"/>
      <c r="B561" s="311"/>
      <c r="C561" s="311"/>
    </row>
    <row r="562">
      <c r="A562" s="311"/>
      <c r="B562" s="311"/>
      <c r="C562" s="311"/>
    </row>
    <row r="563">
      <c r="A563" s="311"/>
      <c r="B563" s="311"/>
      <c r="C563" s="311"/>
    </row>
    <row r="564">
      <c r="A564" s="311"/>
      <c r="B564" s="311"/>
      <c r="C564" s="311"/>
    </row>
    <row r="565">
      <c r="A565" s="311"/>
      <c r="B565" s="311"/>
      <c r="C565" s="311"/>
    </row>
    <row r="566">
      <c r="A566" s="311"/>
      <c r="B566" s="311"/>
      <c r="C566" s="311"/>
    </row>
    <row r="567">
      <c r="A567" s="311"/>
      <c r="B567" s="311"/>
      <c r="C567" s="311"/>
    </row>
    <row r="568">
      <c r="A568" s="311"/>
      <c r="B568" s="311"/>
      <c r="C568" s="311"/>
    </row>
    <row r="569">
      <c r="A569" s="311"/>
      <c r="B569" s="311"/>
      <c r="C569" s="311"/>
    </row>
    <row r="570">
      <c r="A570" s="311"/>
      <c r="B570" s="311"/>
      <c r="C570" s="311"/>
    </row>
    <row r="571">
      <c r="A571" s="311"/>
      <c r="B571" s="311"/>
      <c r="C571" s="311"/>
    </row>
    <row r="572">
      <c r="A572" s="311"/>
      <c r="B572" s="311"/>
      <c r="C572" s="311"/>
    </row>
    <row r="573">
      <c r="A573" s="311"/>
      <c r="B573" s="311"/>
      <c r="C573" s="311"/>
    </row>
    <row r="574">
      <c r="A574" s="311"/>
      <c r="B574" s="311"/>
      <c r="C574" s="311"/>
    </row>
    <row r="575">
      <c r="A575" s="311"/>
      <c r="B575" s="311"/>
      <c r="C575" s="311"/>
    </row>
    <row r="576">
      <c r="A576" s="311"/>
      <c r="B576" s="311"/>
      <c r="C576" s="311"/>
    </row>
    <row r="577">
      <c r="A577" s="311"/>
      <c r="B577" s="311"/>
      <c r="C577" s="311"/>
    </row>
    <row r="578">
      <c r="A578" s="311"/>
      <c r="B578" s="311"/>
      <c r="C578" s="311"/>
    </row>
    <row r="579">
      <c r="A579" s="311"/>
      <c r="B579" s="311"/>
      <c r="C579" s="311"/>
    </row>
    <row r="580">
      <c r="A580" s="311"/>
      <c r="B580" s="311"/>
      <c r="C580" s="311"/>
    </row>
    <row r="581">
      <c r="A581" s="311"/>
      <c r="B581" s="311"/>
      <c r="C581" s="311"/>
    </row>
    <row r="582">
      <c r="A582" s="311"/>
      <c r="B582" s="311"/>
      <c r="C582" s="311"/>
    </row>
    <row r="583">
      <c r="A583" s="311"/>
      <c r="B583" s="311"/>
      <c r="C583" s="311"/>
    </row>
    <row r="584">
      <c r="A584" s="311"/>
      <c r="B584" s="311"/>
      <c r="C584" s="311"/>
    </row>
    <row r="585">
      <c r="A585" s="311"/>
      <c r="B585" s="311"/>
      <c r="C585" s="311"/>
    </row>
    <row r="586">
      <c r="A586" s="311"/>
      <c r="B586" s="311"/>
      <c r="C586" s="311"/>
    </row>
    <row r="587">
      <c r="A587" s="311"/>
      <c r="B587" s="311"/>
      <c r="C587" s="311"/>
    </row>
    <row r="588">
      <c r="A588" s="311"/>
      <c r="B588" s="311"/>
      <c r="C588" s="311"/>
    </row>
    <row r="589">
      <c r="A589" s="311"/>
      <c r="B589" s="311"/>
      <c r="C589" s="311"/>
    </row>
    <row r="590">
      <c r="A590" s="311"/>
      <c r="B590" s="311"/>
      <c r="C590" s="311"/>
    </row>
    <row r="591">
      <c r="A591" s="311"/>
      <c r="B591" s="311"/>
      <c r="C591" s="311"/>
    </row>
    <row r="592">
      <c r="A592" s="311"/>
      <c r="B592" s="311"/>
      <c r="C592" s="311"/>
    </row>
    <row r="593">
      <c r="A593" s="311"/>
      <c r="B593" s="311"/>
      <c r="C593" s="311"/>
    </row>
    <row r="594">
      <c r="A594" s="311"/>
      <c r="B594" s="311"/>
      <c r="C594" s="311"/>
    </row>
    <row r="595">
      <c r="A595" s="311"/>
      <c r="B595" s="311"/>
      <c r="C595" s="311"/>
    </row>
    <row r="596">
      <c r="A596" s="311"/>
      <c r="B596" s="311"/>
      <c r="C596" s="311"/>
    </row>
    <row r="597">
      <c r="A597" s="311"/>
      <c r="B597" s="311"/>
      <c r="C597" s="311"/>
    </row>
    <row r="598">
      <c r="A598" s="311"/>
      <c r="B598" s="311"/>
      <c r="C598" s="311"/>
    </row>
    <row r="599">
      <c r="A599" s="311"/>
      <c r="B599" s="311"/>
      <c r="C599" s="311"/>
    </row>
    <row r="600">
      <c r="A600" s="311"/>
      <c r="B600" s="311"/>
      <c r="C600" s="311"/>
    </row>
    <row r="601">
      <c r="A601" s="311"/>
      <c r="B601" s="311"/>
      <c r="C601" s="311"/>
    </row>
    <row r="602">
      <c r="A602" s="311"/>
      <c r="B602" s="311"/>
      <c r="C602" s="311"/>
    </row>
    <row r="603">
      <c r="A603" s="311"/>
      <c r="B603" s="311"/>
      <c r="C603" s="311"/>
    </row>
    <row r="604">
      <c r="A604" s="311"/>
      <c r="B604" s="311"/>
      <c r="C604" s="311"/>
    </row>
    <row r="605">
      <c r="A605" s="311"/>
      <c r="B605" s="311"/>
      <c r="C605" s="311"/>
    </row>
    <row r="606">
      <c r="A606" s="311"/>
      <c r="B606" s="311"/>
      <c r="C606" s="311"/>
    </row>
    <row r="607">
      <c r="A607" s="311"/>
      <c r="B607" s="311"/>
      <c r="C607" s="311"/>
    </row>
    <row r="608">
      <c r="A608" s="311"/>
      <c r="B608" s="311"/>
      <c r="C608" s="311"/>
    </row>
    <row r="609">
      <c r="A609" s="311"/>
      <c r="B609" s="311"/>
      <c r="C609" s="311"/>
    </row>
    <row r="610">
      <c r="A610" s="311"/>
      <c r="B610" s="311"/>
      <c r="C610" s="311"/>
    </row>
    <row r="611">
      <c r="A611" s="311"/>
      <c r="B611" s="311"/>
      <c r="C611" s="311"/>
    </row>
    <row r="612">
      <c r="A612" s="311"/>
      <c r="B612" s="311"/>
      <c r="C612" s="311"/>
    </row>
    <row r="613">
      <c r="A613" s="311"/>
      <c r="B613" s="311"/>
      <c r="C613" s="311"/>
    </row>
    <row r="614">
      <c r="A614" s="311"/>
      <c r="B614" s="311"/>
      <c r="C614" s="311"/>
    </row>
    <row r="615">
      <c r="A615" s="311"/>
      <c r="B615" s="311"/>
      <c r="C615" s="311"/>
    </row>
    <row r="616">
      <c r="A616" s="311"/>
      <c r="B616" s="311"/>
      <c r="C616" s="311"/>
    </row>
    <row r="617">
      <c r="A617" s="311"/>
      <c r="B617" s="311"/>
      <c r="C617" s="311"/>
    </row>
    <row r="618">
      <c r="A618" s="311"/>
      <c r="B618" s="311"/>
      <c r="C618" s="311"/>
    </row>
    <row r="619">
      <c r="A619" s="311"/>
      <c r="B619" s="311"/>
      <c r="C619" s="311"/>
    </row>
    <row r="620">
      <c r="A620" s="311"/>
      <c r="B620" s="311"/>
      <c r="C620" s="311"/>
    </row>
    <row r="621">
      <c r="A621" s="311"/>
      <c r="B621" s="311"/>
      <c r="C621" s="311"/>
    </row>
    <row r="622">
      <c r="A622" s="311"/>
      <c r="B622" s="311"/>
      <c r="C622" s="311"/>
    </row>
    <row r="623">
      <c r="A623" s="311"/>
      <c r="B623" s="311"/>
      <c r="C623" s="311"/>
    </row>
    <row r="624">
      <c r="A624" s="311"/>
      <c r="B624" s="311"/>
      <c r="C624" s="311"/>
    </row>
    <row r="625">
      <c r="A625" s="311"/>
      <c r="B625" s="311"/>
      <c r="C625" s="311"/>
    </row>
    <row r="626">
      <c r="A626" s="311"/>
      <c r="B626" s="311"/>
      <c r="C626" s="311"/>
    </row>
    <row r="627">
      <c r="A627" s="311"/>
      <c r="B627" s="311"/>
      <c r="C627" s="311"/>
    </row>
    <row r="628">
      <c r="A628" s="311"/>
      <c r="B628" s="311"/>
      <c r="C628" s="311"/>
    </row>
    <row r="629">
      <c r="A629" s="311"/>
      <c r="B629" s="311"/>
      <c r="C629" s="311"/>
    </row>
    <row r="630">
      <c r="A630" s="311"/>
      <c r="B630" s="311"/>
      <c r="C630" s="311"/>
    </row>
    <row r="631">
      <c r="A631" s="311"/>
      <c r="B631" s="311"/>
      <c r="C631" s="311"/>
    </row>
    <row r="632">
      <c r="A632" s="311"/>
      <c r="B632" s="311"/>
      <c r="C632" s="311"/>
    </row>
    <row r="633">
      <c r="A633" s="311"/>
      <c r="B633" s="311"/>
      <c r="C633" s="311"/>
    </row>
    <row r="634">
      <c r="A634" s="311"/>
      <c r="B634" s="311"/>
      <c r="C634" s="311"/>
    </row>
    <row r="635">
      <c r="A635" s="311"/>
      <c r="B635" s="311"/>
      <c r="C635" s="311"/>
    </row>
    <row r="636">
      <c r="A636" s="311"/>
      <c r="B636" s="311"/>
      <c r="C636" s="311"/>
    </row>
    <row r="637">
      <c r="A637" s="311"/>
      <c r="B637" s="311"/>
      <c r="C637" s="311"/>
    </row>
    <row r="638">
      <c r="A638" s="311"/>
      <c r="B638" s="311"/>
      <c r="C638" s="311"/>
    </row>
    <row r="639">
      <c r="A639" s="311"/>
      <c r="B639" s="311"/>
      <c r="C639" s="311"/>
    </row>
    <row r="640">
      <c r="A640" s="311"/>
      <c r="B640" s="311"/>
      <c r="C640" s="311"/>
    </row>
    <row r="641">
      <c r="A641" s="311"/>
      <c r="B641" s="311"/>
      <c r="C641" s="311"/>
    </row>
    <row r="642">
      <c r="A642" s="311"/>
      <c r="B642" s="311"/>
      <c r="C642" s="311"/>
    </row>
    <row r="643">
      <c r="A643" s="311"/>
      <c r="B643" s="311"/>
      <c r="C643" s="311"/>
    </row>
    <row r="644">
      <c r="A644" s="311"/>
      <c r="B644" s="311"/>
      <c r="C644" s="311"/>
    </row>
    <row r="645">
      <c r="A645" s="311"/>
      <c r="B645" s="311"/>
      <c r="C645" s="311"/>
    </row>
    <row r="646">
      <c r="A646" s="311"/>
      <c r="B646" s="311"/>
      <c r="C646" s="311"/>
    </row>
    <row r="647">
      <c r="A647" s="311"/>
      <c r="B647" s="311"/>
      <c r="C647" s="311"/>
    </row>
    <row r="648">
      <c r="A648" s="311"/>
      <c r="B648" s="311"/>
      <c r="C648" s="311"/>
    </row>
    <row r="649">
      <c r="A649" s="311"/>
      <c r="B649" s="311"/>
      <c r="C649" s="311"/>
    </row>
    <row r="650">
      <c r="A650" s="311"/>
      <c r="B650" s="311"/>
      <c r="C650" s="311"/>
    </row>
    <row r="651">
      <c r="A651" s="311"/>
      <c r="B651" s="311"/>
      <c r="C651" s="311"/>
    </row>
    <row r="652">
      <c r="A652" s="311"/>
      <c r="B652" s="311"/>
      <c r="C652" s="311"/>
    </row>
    <row r="653">
      <c r="A653" s="311"/>
      <c r="B653" s="311"/>
      <c r="C653" s="311"/>
    </row>
    <row r="654">
      <c r="A654" s="311"/>
      <c r="B654" s="311"/>
      <c r="C654" s="311"/>
    </row>
    <row r="655">
      <c r="A655" s="311"/>
      <c r="B655" s="311"/>
      <c r="C655" s="311"/>
    </row>
    <row r="656">
      <c r="A656" s="311"/>
      <c r="B656" s="311"/>
      <c r="C656" s="311"/>
    </row>
    <row r="657">
      <c r="A657" s="311"/>
      <c r="B657" s="311"/>
      <c r="C657" s="311"/>
    </row>
    <row r="658">
      <c r="A658" s="311"/>
      <c r="B658" s="311"/>
      <c r="C658" s="311"/>
    </row>
    <row r="659">
      <c r="A659" s="311"/>
      <c r="B659" s="311"/>
      <c r="C659" s="311"/>
    </row>
    <row r="660">
      <c r="A660" s="311"/>
      <c r="B660" s="311"/>
      <c r="C660" s="311"/>
    </row>
    <row r="661">
      <c r="A661" s="311"/>
      <c r="B661" s="311"/>
      <c r="C661" s="311"/>
    </row>
    <row r="662">
      <c r="A662" s="311"/>
      <c r="B662" s="311"/>
      <c r="C662" s="311"/>
    </row>
    <row r="663">
      <c r="A663" s="311"/>
      <c r="B663" s="311"/>
      <c r="C663" s="311"/>
    </row>
    <row r="664">
      <c r="A664" s="311"/>
      <c r="B664" s="311"/>
      <c r="C664" s="311"/>
    </row>
    <row r="665">
      <c r="A665" s="311"/>
      <c r="B665" s="311"/>
      <c r="C665" s="311"/>
    </row>
    <row r="666">
      <c r="A666" s="311"/>
      <c r="B666" s="311"/>
      <c r="C666" s="311"/>
    </row>
    <row r="667">
      <c r="A667" s="311"/>
      <c r="B667" s="311"/>
      <c r="C667" s="311"/>
    </row>
    <row r="668">
      <c r="A668" s="311"/>
      <c r="B668" s="311"/>
      <c r="C668" s="311"/>
    </row>
    <row r="669">
      <c r="A669" s="311"/>
      <c r="B669" s="311"/>
      <c r="C669" s="311"/>
    </row>
    <row r="670">
      <c r="A670" s="311"/>
      <c r="B670" s="311"/>
      <c r="C670" s="311"/>
    </row>
    <row r="671">
      <c r="A671" s="311"/>
      <c r="B671" s="311"/>
      <c r="C671" s="311"/>
    </row>
    <row r="672">
      <c r="A672" s="311"/>
      <c r="B672" s="311"/>
      <c r="C672" s="311"/>
    </row>
    <row r="673">
      <c r="A673" s="311"/>
      <c r="B673" s="311"/>
      <c r="C673" s="311"/>
    </row>
    <row r="674">
      <c r="A674" s="311"/>
      <c r="B674" s="311"/>
      <c r="C674" s="311"/>
    </row>
    <row r="675">
      <c r="A675" s="311"/>
      <c r="B675" s="311"/>
      <c r="C675" s="311"/>
    </row>
    <row r="676">
      <c r="A676" s="311"/>
      <c r="B676" s="311"/>
      <c r="C676" s="311"/>
    </row>
    <row r="677">
      <c r="A677" s="311"/>
      <c r="B677" s="311"/>
      <c r="C677" s="311"/>
    </row>
    <row r="678">
      <c r="A678" s="311"/>
      <c r="B678" s="311"/>
      <c r="C678" s="311"/>
    </row>
    <row r="679">
      <c r="A679" s="311"/>
      <c r="B679" s="311"/>
      <c r="C679" s="311"/>
    </row>
    <row r="680">
      <c r="A680" s="311"/>
      <c r="B680" s="311"/>
      <c r="C680" s="311"/>
    </row>
    <row r="681">
      <c r="A681" s="311"/>
      <c r="B681" s="311"/>
      <c r="C681" s="311"/>
    </row>
    <row r="682">
      <c r="A682" s="311"/>
      <c r="B682" s="311"/>
      <c r="C682" s="311"/>
    </row>
    <row r="683">
      <c r="A683" s="311"/>
      <c r="B683" s="311"/>
      <c r="C683" s="311"/>
    </row>
    <row r="684">
      <c r="A684" s="311"/>
      <c r="B684" s="311"/>
      <c r="C684" s="311"/>
    </row>
    <row r="685">
      <c r="A685" s="311"/>
      <c r="B685" s="311"/>
      <c r="C685" s="311"/>
    </row>
    <row r="686">
      <c r="A686" s="311"/>
      <c r="B686" s="311"/>
      <c r="C686" s="311"/>
    </row>
    <row r="687">
      <c r="A687" s="311"/>
      <c r="B687" s="311"/>
      <c r="C687" s="311"/>
    </row>
    <row r="688">
      <c r="A688" s="311"/>
      <c r="B688" s="311"/>
      <c r="C688" s="311"/>
    </row>
    <row r="689">
      <c r="A689" s="311"/>
      <c r="B689" s="311"/>
      <c r="C689" s="311"/>
    </row>
    <row r="690">
      <c r="A690" s="311"/>
      <c r="B690" s="311"/>
      <c r="C690" s="311"/>
    </row>
    <row r="691">
      <c r="A691" s="311"/>
      <c r="B691" s="311"/>
      <c r="C691" s="311"/>
    </row>
    <row r="692">
      <c r="A692" s="311"/>
      <c r="B692" s="311"/>
      <c r="C692" s="311"/>
    </row>
    <row r="693">
      <c r="A693" s="311"/>
      <c r="B693" s="311"/>
      <c r="C693" s="311"/>
    </row>
    <row r="694">
      <c r="A694" s="311"/>
      <c r="B694" s="311"/>
      <c r="C694" s="311"/>
    </row>
    <row r="695">
      <c r="A695" s="311"/>
      <c r="B695" s="311"/>
      <c r="C695" s="311"/>
    </row>
    <row r="696">
      <c r="A696" s="311"/>
      <c r="B696" s="311"/>
      <c r="C696" s="311"/>
    </row>
    <row r="697">
      <c r="A697" s="311"/>
      <c r="B697" s="311"/>
      <c r="C697" s="311"/>
    </row>
    <row r="698">
      <c r="A698" s="311"/>
      <c r="B698" s="311"/>
      <c r="C698" s="311"/>
    </row>
    <row r="699">
      <c r="A699" s="311"/>
      <c r="B699" s="311"/>
      <c r="C699" s="311"/>
    </row>
    <row r="700">
      <c r="A700" s="311"/>
      <c r="B700" s="311"/>
      <c r="C700" s="311"/>
    </row>
    <row r="701">
      <c r="A701" s="311"/>
      <c r="B701" s="311"/>
      <c r="C701" s="311"/>
    </row>
    <row r="702">
      <c r="A702" s="311"/>
      <c r="B702" s="311"/>
      <c r="C702" s="311"/>
    </row>
    <row r="703">
      <c r="A703" s="311"/>
      <c r="B703" s="311"/>
      <c r="C703" s="311"/>
    </row>
    <row r="704">
      <c r="A704" s="311"/>
      <c r="B704" s="311"/>
      <c r="C704" s="311"/>
    </row>
    <row r="705">
      <c r="A705" s="311"/>
      <c r="B705" s="311"/>
      <c r="C705" s="311"/>
    </row>
    <row r="706">
      <c r="A706" s="311"/>
      <c r="B706" s="311"/>
      <c r="C706" s="311"/>
    </row>
    <row r="707">
      <c r="A707" s="311"/>
      <c r="B707" s="311"/>
      <c r="C707" s="311"/>
    </row>
    <row r="708">
      <c r="A708" s="311"/>
      <c r="B708" s="311"/>
      <c r="C708" s="311"/>
    </row>
    <row r="709">
      <c r="A709" s="311"/>
      <c r="B709" s="311"/>
      <c r="C709" s="311"/>
    </row>
    <row r="710">
      <c r="A710" s="311"/>
      <c r="B710" s="311"/>
      <c r="C710" s="311"/>
    </row>
    <row r="711">
      <c r="A711" s="311"/>
      <c r="B711" s="311"/>
      <c r="C711" s="311"/>
    </row>
    <row r="712">
      <c r="A712" s="311"/>
      <c r="B712" s="311"/>
      <c r="C712" s="311"/>
    </row>
    <row r="713">
      <c r="A713" s="311"/>
      <c r="B713" s="311"/>
      <c r="C713" s="311"/>
    </row>
    <row r="714">
      <c r="A714" s="311"/>
      <c r="B714" s="311"/>
      <c r="C714" s="311"/>
    </row>
    <row r="715">
      <c r="A715" s="311"/>
      <c r="B715" s="311"/>
      <c r="C715" s="311"/>
    </row>
    <row r="716">
      <c r="A716" s="311"/>
      <c r="B716" s="311"/>
      <c r="C716" s="311"/>
    </row>
    <row r="717">
      <c r="A717" s="311"/>
      <c r="B717" s="311"/>
      <c r="C717" s="311"/>
    </row>
    <row r="718">
      <c r="A718" s="311"/>
      <c r="B718" s="311"/>
      <c r="C718" s="311"/>
    </row>
    <row r="719">
      <c r="A719" s="311"/>
      <c r="B719" s="311"/>
      <c r="C719" s="311"/>
    </row>
    <row r="720">
      <c r="A720" s="311"/>
      <c r="B720" s="311"/>
      <c r="C720" s="311"/>
    </row>
    <row r="721">
      <c r="A721" s="311"/>
      <c r="B721" s="311"/>
      <c r="C721" s="311"/>
    </row>
    <row r="722">
      <c r="A722" s="311"/>
      <c r="B722" s="311"/>
      <c r="C722" s="311"/>
    </row>
    <row r="723">
      <c r="A723" s="311"/>
      <c r="B723" s="311"/>
      <c r="C723" s="311"/>
    </row>
    <row r="724">
      <c r="A724" s="311"/>
      <c r="B724" s="311"/>
      <c r="C724" s="311"/>
    </row>
    <row r="725">
      <c r="A725" s="311"/>
      <c r="B725" s="311"/>
      <c r="C725" s="311"/>
    </row>
    <row r="726">
      <c r="A726" s="311"/>
      <c r="B726" s="311"/>
      <c r="C726" s="311"/>
    </row>
    <row r="727">
      <c r="A727" s="311"/>
      <c r="B727" s="311"/>
      <c r="C727" s="311"/>
    </row>
    <row r="728">
      <c r="A728" s="311"/>
      <c r="B728" s="311"/>
      <c r="C728" s="311"/>
    </row>
    <row r="729">
      <c r="A729" s="311"/>
      <c r="B729" s="311"/>
      <c r="C729" s="311"/>
    </row>
    <row r="730">
      <c r="A730" s="311"/>
      <c r="B730" s="311"/>
      <c r="C730" s="311"/>
    </row>
    <row r="731">
      <c r="A731" s="311"/>
      <c r="B731" s="311"/>
      <c r="C731" s="311"/>
    </row>
    <row r="732">
      <c r="A732" s="311"/>
      <c r="B732" s="311"/>
      <c r="C732" s="311"/>
    </row>
    <row r="733">
      <c r="A733" s="311"/>
      <c r="B733" s="311"/>
      <c r="C733" s="311"/>
    </row>
    <row r="734">
      <c r="A734" s="311"/>
      <c r="B734" s="311"/>
      <c r="C734" s="311"/>
    </row>
    <row r="735">
      <c r="A735" s="311"/>
      <c r="B735" s="311"/>
      <c r="C735" s="311"/>
    </row>
    <row r="736">
      <c r="A736" s="311"/>
      <c r="B736" s="311"/>
      <c r="C736" s="311"/>
    </row>
    <row r="737">
      <c r="A737" s="311"/>
      <c r="B737" s="311"/>
      <c r="C737" s="311"/>
    </row>
    <row r="738">
      <c r="A738" s="311"/>
      <c r="B738" s="311"/>
      <c r="C738" s="311"/>
    </row>
    <row r="739">
      <c r="A739" s="311"/>
      <c r="B739" s="311"/>
      <c r="C739" s="311"/>
    </row>
    <row r="740">
      <c r="A740" s="311"/>
      <c r="B740" s="311"/>
      <c r="C740" s="311"/>
    </row>
    <row r="741">
      <c r="A741" s="311"/>
      <c r="B741" s="311"/>
      <c r="C741" s="311"/>
    </row>
    <row r="742">
      <c r="A742" s="311"/>
      <c r="B742" s="311"/>
      <c r="C742" s="311"/>
    </row>
    <row r="743">
      <c r="A743" s="311"/>
      <c r="B743" s="311"/>
      <c r="C743" s="311"/>
    </row>
    <row r="744">
      <c r="A744" s="311"/>
      <c r="B744" s="311"/>
      <c r="C744" s="311"/>
    </row>
    <row r="745">
      <c r="A745" s="311"/>
      <c r="B745" s="311"/>
      <c r="C745" s="311"/>
    </row>
    <row r="746">
      <c r="A746" s="311"/>
      <c r="B746" s="311"/>
      <c r="C746" s="311"/>
    </row>
    <row r="747">
      <c r="A747" s="311"/>
      <c r="B747" s="311"/>
      <c r="C747" s="311"/>
    </row>
    <row r="748">
      <c r="A748" s="311"/>
      <c r="B748" s="311"/>
      <c r="C748" s="311"/>
    </row>
    <row r="749">
      <c r="A749" s="311"/>
      <c r="B749" s="311"/>
      <c r="C749" s="311"/>
    </row>
    <row r="750">
      <c r="A750" s="311"/>
      <c r="B750" s="311"/>
      <c r="C750" s="311"/>
    </row>
    <row r="751">
      <c r="A751" s="311"/>
      <c r="B751" s="311"/>
      <c r="C751" s="311"/>
    </row>
    <row r="752">
      <c r="A752" s="311"/>
      <c r="B752" s="311"/>
      <c r="C752" s="311"/>
    </row>
    <row r="753">
      <c r="A753" s="311"/>
      <c r="B753" s="311"/>
      <c r="C753" s="311"/>
    </row>
    <row r="754">
      <c r="A754" s="311"/>
      <c r="B754" s="311"/>
      <c r="C754" s="311"/>
    </row>
    <row r="755">
      <c r="A755" s="311"/>
      <c r="B755" s="311"/>
      <c r="C755" s="311"/>
    </row>
    <row r="756">
      <c r="A756" s="311"/>
      <c r="B756" s="311"/>
      <c r="C756" s="311"/>
    </row>
    <row r="757">
      <c r="A757" s="311"/>
      <c r="B757" s="311"/>
      <c r="C757" s="311"/>
    </row>
    <row r="758">
      <c r="A758" s="311"/>
      <c r="B758" s="311"/>
      <c r="C758" s="311"/>
    </row>
    <row r="759">
      <c r="A759" s="311"/>
      <c r="B759" s="311"/>
      <c r="C759" s="311"/>
    </row>
    <row r="760">
      <c r="A760" s="311"/>
      <c r="B760" s="311"/>
      <c r="C760" s="311"/>
    </row>
    <row r="761">
      <c r="A761" s="311"/>
      <c r="B761" s="311"/>
      <c r="C761" s="311"/>
    </row>
    <row r="762">
      <c r="A762" s="311"/>
      <c r="B762" s="311"/>
      <c r="C762" s="311"/>
    </row>
    <row r="763">
      <c r="A763" s="311"/>
      <c r="B763" s="311"/>
      <c r="C763" s="311"/>
    </row>
    <row r="764">
      <c r="A764" s="311"/>
      <c r="B764" s="311"/>
      <c r="C764" s="311"/>
    </row>
    <row r="765">
      <c r="A765" s="311"/>
      <c r="B765" s="311"/>
      <c r="C765" s="311"/>
    </row>
    <row r="766">
      <c r="A766" s="311"/>
      <c r="B766" s="311"/>
      <c r="C766" s="311"/>
    </row>
    <row r="767">
      <c r="A767" s="311"/>
      <c r="B767" s="311"/>
      <c r="C767" s="311"/>
    </row>
    <row r="768">
      <c r="A768" s="311"/>
      <c r="B768" s="311"/>
      <c r="C768" s="311"/>
    </row>
    <row r="769">
      <c r="A769" s="311"/>
      <c r="B769" s="311"/>
      <c r="C769" s="311"/>
    </row>
    <row r="770">
      <c r="A770" s="311"/>
      <c r="B770" s="311"/>
      <c r="C770" s="311"/>
    </row>
    <row r="771">
      <c r="A771" s="311"/>
      <c r="B771" s="311"/>
      <c r="C771" s="311"/>
    </row>
    <row r="772">
      <c r="A772" s="311"/>
      <c r="B772" s="311"/>
      <c r="C772" s="311"/>
    </row>
    <row r="773">
      <c r="A773" s="311"/>
      <c r="B773" s="311"/>
      <c r="C773" s="311"/>
    </row>
    <row r="774">
      <c r="A774" s="311"/>
      <c r="B774" s="311"/>
      <c r="C774" s="311"/>
    </row>
    <row r="775">
      <c r="A775" s="311"/>
      <c r="B775" s="311"/>
      <c r="C775" s="311"/>
    </row>
    <row r="776">
      <c r="A776" s="311"/>
      <c r="B776" s="311"/>
      <c r="C776" s="311"/>
    </row>
    <row r="777">
      <c r="A777" s="311"/>
      <c r="B777" s="311"/>
      <c r="C777" s="311"/>
    </row>
    <row r="778">
      <c r="A778" s="311"/>
      <c r="B778" s="311"/>
      <c r="C778" s="311"/>
    </row>
    <row r="779">
      <c r="A779" s="311"/>
      <c r="B779" s="311"/>
      <c r="C779" s="311"/>
    </row>
    <row r="780">
      <c r="A780" s="311"/>
      <c r="B780" s="311"/>
      <c r="C780" s="311"/>
    </row>
    <row r="781">
      <c r="A781" s="311"/>
      <c r="B781" s="311"/>
      <c r="C781" s="311"/>
    </row>
    <row r="782">
      <c r="A782" s="311"/>
      <c r="B782" s="311"/>
      <c r="C782" s="311"/>
    </row>
    <row r="783">
      <c r="A783" s="311"/>
      <c r="B783" s="311"/>
      <c r="C783" s="311"/>
    </row>
    <row r="784">
      <c r="A784" s="311"/>
      <c r="B784" s="311"/>
      <c r="C784" s="311"/>
    </row>
    <row r="785">
      <c r="A785" s="311"/>
      <c r="B785" s="311"/>
      <c r="C785" s="311"/>
    </row>
    <row r="786">
      <c r="A786" s="311"/>
      <c r="B786" s="311"/>
      <c r="C786" s="311"/>
    </row>
    <row r="787">
      <c r="A787" s="311"/>
      <c r="B787" s="311"/>
      <c r="C787" s="311"/>
    </row>
    <row r="788">
      <c r="A788" s="311"/>
      <c r="B788" s="311"/>
      <c r="C788" s="311"/>
    </row>
    <row r="789">
      <c r="A789" s="311"/>
      <c r="B789" s="311"/>
      <c r="C789" s="311"/>
    </row>
    <row r="790">
      <c r="A790" s="311"/>
      <c r="B790" s="311"/>
      <c r="C790" s="311"/>
    </row>
    <row r="791">
      <c r="A791" s="311"/>
      <c r="B791" s="311"/>
      <c r="C791" s="311"/>
    </row>
    <row r="792">
      <c r="A792" s="311"/>
      <c r="B792" s="311"/>
      <c r="C792" s="311"/>
    </row>
    <row r="793">
      <c r="A793" s="311"/>
      <c r="B793" s="311"/>
      <c r="C793" s="311"/>
    </row>
    <row r="794">
      <c r="A794" s="311"/>
      <c r="B794" s="311"/>
      <c r="C794" s="311"/>
    </row>
    <row r="795">
      <c r="A795" s="311"/>
      <c r="B795" s="311"/>
      <c r="C795" s="311"/>
    </row>
    <row r="796">
      <c r="A796" s="311"/>
      <c r="B796" s="311"/>
      <c r="C796" s="311"/>
    </row>
    <row r="797">
      <c r="A797" s="311"/>
      <c r="B797" s="311"/>
      <c r="C797" s="311"/>
    </row>
    <row r="798">
      <c r="A798" s="311"/>
      <c r="B798" s="311"/>
      <c r="C798" s="311"/>
    </row>
    <row r="799">
      <c r="A799" s="311"/>
      <c r="B799" s="311"/>
      <c r="C799" s="311"/>
    </row>
    <row r="800">
      <c r="A800" s="311"/>
      <c r="B800" s="311"/>
      <c r="C800" s="311"/>
    </row>
    <row r="801">
      <c r="A801" s="311"/>
      <c r="B801" s="311"/>
      <c r="C801" s="311"/>
    </row>
    <row r="802">
      <c r="A802" s="311"/>
      <c r="B802" s="311"/>
      <c r="C802" s="311"/>
    </row>
    <row r="803">
      <c r="A803" s="311"/>
      <c r="B803" s="311"/>
      <c r="C803" s="311"/>
    </row>
    <row r="804">
      <c r="A804" s="311"/>
      <c r="B804" s="311"/>
      <c r="C804" s="311"/>
    </row>
    <row r="805">
      <c r="A805" s="311"/>
      <c r="B805" s="311"/>
      <c r="C805" s="311"/>
    </row>
    <row r="806">
      <c r="A806" s="311"/>
      <c r="B806" s="311"/>
      <c r="C806" s="311"/>
    </row>
    <row r="807">
      <c r="A807" s="311"/>
      <c r="B807" s="311"/>
      <c r="C807" s="311"/>
    </row>
    <row r="808">
      <c r="A808" s="311"/>
      <c r="B808" s="311"/>
      <c r="C808" s="311"/>
    </row>
    <row r="809">
      <c r="A809" s="311"/>
      <c r="B809" s="311"/>
      <c r="C809" s="311"/>
    </row>
    <row r="810">
      <c r="A810" s="311"/>
      <c r="B810" s="311"/>
      <c r="C810" s="311"/>
    </row>
    <row r="811">
      <c r="A811" s="311"/>
      <c r="B811" s="311"/>
      <c r="C811" s="311"/>
    </row>
    <row r="812">
      <c r="A812" s="311"/>
      <c r="B812" s="311"/>
      <c r="C812" s="311"/>
    </row>
    <row r="813">
      <c r="A813" s="311"/>
      <c r="B813" s="311"/>
      <c r="C813" s="311"/>
    </row>
    <row r="814">
      <c r="A814" s="311"/>
      <c r="B814" s="311"/>
      <c r="C814" s="311"/>
    </row>
    <row r="815">
      <c r="A815" s="311"/>
      <c r="B815" s="311"/>
      <c r="C815" s="311"/>
    </row>
    <row r="816">
      <c r="A816" s="311"/>
      <c r="B816" s="311"/>
      <c r="C816" s="311"/>
    </row>
    <row r="817">
      <c r="A817" s="311"/>
      <c r="B817" s="311"/>
      <c r="C817" s="311"/>
    </row>
    <row r="818">
      <c r="A818" s="311"/>
      <c r="B818" s="311"/>
      <c r="C818" s="311"/>
    </row>
    <row r="819">
      <c r="A819" s="311"/>
      <c r="B819" s="311"/>
      <c r="C819" s="311"/>
    </row>
    <row r="820">
      <c r="A820" s="311"/>
      <c r="B820" s="311"/>
      <c r="C820" s="311"/>
    </row>
    <row r="821">
      <c r="A821" s="311"/>
      <c r="B821" s="311"/>
      <c r="C821" s="311"/>
    </row>
    <row r="822">
      <c r="A822" s="311"/>
      <c r="B822" s="311"/>
      <c r="C822" s="311"/>
    </row>
    <row r="823">
      <c r="A823" s="311"/>
      <c r="B823" s="311"/>
      <c r="C823" s="311"/>
    </row>
    <row r="824">
      <c r="A824" s="311"/>
      <c r="B824" s="311"/>
      <c r="C824" s="311"/>
    </row>
    <row r="825">
      <c r="A825" s="311"/>
      <c r="B825" s="311"/>
      <c r="C825" s="311"/>
    </row>
    <row r="826">
      <c r="A826" s="311"/>
      <c r="B826" s="311"/>
      <c r="C826" s="311"/>
    </row>
    <row r="827">
      <c r="A827" s="311"/>
      <c r="B827" s="311"/>
      <c r="C827" s="311"/>
    </row>
    <row r="828">
      <c r="A828" s="311"/>
      <c r="B828" s="311"/>
      <c r="C828" s="311"/>
    </row>
    <row r="829">
      <c r="A829" s="311"/>
      <c r="B829" s="311"/>
      <c r="C829" s="311"/>
    </row>
    <row r="830">
      <c r="A830" s="311"/>
      <c r="B830" s="311"/>
      <c r="C830" s="311"/>
    </row>
    <row r="831">
      <c r="A831" s="311"/>
      <c r="B831" s="311"/>
      <c r="C831" s="311"/>
    </row>
    <row r="832">
      <c r="A832" s="311"/>
      <c r="B832" s="311"/>
      <c r="C832" s="311"/>
    </row>
    <row r="833">
      <c r="A833" s="311"/>
      <c r="B833" s="311"/>
      <c r="C833" s="311"/>
    </row>
    <row r="834">
      <c r="A834" s="311"/>
      <c r="B834" s="311"/>
      <c r="C834" s="311"/>
    </row>
    <row r="835">
      <c r="A835" s="311"/>
      <c r="B835" s="311"/>
      <c r="C835" s="311"/>
    </row>
    <row r="836">
      <c r="A836" s="311"/>
      <c r="B836" s="311"/>
      <c r="C836" s="311"/>
    </row>
    <row r="837">
      <c r="A837" s="311"/>
      <c r="B837" s="311"/>
      <c r="C837" s="311"/>
    </row>
    <row r="838">
      <c r="A838" s="311"/>
      <c r="B838" s="311"/>
      <c r="C838" s="311"/>
    </row>
    <row r="839">
      <c r="A839" s="311"/>
      <c r="B839" s="311"/>
      <c r="C839" s="311"/>
    </row>
    <row r="840">
      <c r="A840" s="311"/>
      <c r="B840" s="311"/>
      <c r="C840" s="311"/>
    </row>
    <row r="841">
      <c r="A841" s="311"/>
      <c r="B841" s="311"/>
      <c r="C841" s="311"/>
    </row>
    <row r="842">
      <c r="A842" s="311"/>
      <c r="B842" s="311"/>
      <c r="C842" s="311"/>
    </row>
    <row r="843">
      <c r="A843" s="311"/>
      <c r="B843" s="311"/>
      <c r="C843" s="311"/>
    </row>
    <row r="844">
      <c r="A844" s="311"/>
      <c r="B844" s="311"/>
      <c r="C844" s="311"/>
    </row>
    <row r="845">
      <c r="A845" s="311"/>
      <c r="B845" s="311"/>
      <c r="C845" s="311"/>
    </row>
    <row r="846">
      <c r="A846" s="311"/>
      <c r="B846" s="311"/>
      <c r="C846" s="311"/>
    </row>
    <row r="847">
      <c r="A847" s="311"/>
      <c r="B847" s="311"/>
      <c r="C847" s="311"/>
    </row>
    <row r="848">
      <c r="A848" s="311"/>
      <c r="B848" s="311"/>
      <c r="C848" s="311"/>
    </row>
    <row r="849">
      <c r="A849" s="311"/>
      <c r="B849" s="311"/>
      <c r="C849" s="311"/>
    </row>
    <row r="850">
      <c r="A850" s="311"/>
      <c r="B850" s="311"/>
      <c r="C850" s="311"/>
    </row>
    <row r="851">
      <c r="A851" s="311"/>
      <c r="B851" s="311"/>
      <c r="C851" s="311"/>
    </row>
    <row r="852">
      <c r="A852" s="311"/>
      <c r="B852" s="311"/>
      <c r="C852" s="311"/>
    </row>
    <row r="853">
      <c r="A853" s="311"/>
      <c r="B853" s="311"/>
      <c r="C853" s="311"/>
    </row>
    <row r="854">
      <c r="A854" s="311"/>
      <c r="B854" s="311"/>
      <c r="C854" s="311"/>
    </row>
    <row r="855">
      <c r="A855" s="311"/>
      <c r="B855" s="311"/>
      <c r="C855" s="311"/>
    </row>
    <row r="856">
      <c r="A856" s="311"/>
      <c r="B856" s="311"/>
      <c r="C856" s="311"/>
    </row>
    <row r="857">
      <c r="A857" s="311"/>
      <c r="B857" s="311"/>
      <c r="C857" s="311"/>
    </row>
    <row r="858">
      <c r="A858" s="311"/>
      <c r="B858" s="311"/>
      <c r="C858" s="311"/>
    </row>
    <row r="859">
      <c r="A859" s="311"/>
      <c r="B859" s="311"/>
      <c r="C859" s="311"/>
    </row>
    <row r="860">
      <c r="A860" s="311"/>
      <c r="B860" s="311"/>
      <c r="C860" s="311"/>
    </row>
    <row r="861">
      <c r="A861" s="311"/>
      <c r="B861" s="311"/>
      <c r="C861" s="311"/>
    </row>
    <row r="862">
      <c r="A862" s="311"/>
      <c r="B862" s="311"/>
      <c r="C862" s="311"/>
    </row>
    <row r="863">
      <c r="A863" s="311"/>
      <c r="B863" s="311"/>
      <c r="C863" s="311"/>
    </row>
    <row r="864">
      <c r="A864" s="311"/>
      <c r="B864" s="311"/>
      <c r="C864" s="311"/>
    </row>
    <row r="865">
      <c r="A865" s="311"/>
      <c r="B865" s="311"/>
      <c r="C865" s="311"/>
    </row>
    <row r="866">
      <c r="A866" s="311"/>
      <c r="B866" s="311"/>
      <c r="C866" s="311"/>
    </row>
    <row r="867">
      <c r="A867" s="311"/>
      <c r="B867" s="311"/>
      <c r="C867" s="311"/>
    </row>
    <row r="868">
      <c r="A868" s="311"/>
      <c r="B868" s="311"/>
      <c r="C868" s="311"/>
    </row>
    <row r="869">
      <c r="A869" s="311"/>
      <c r="B869" s="311"/>
      <c r="C869" s="311"/>
    </row>
    <row r="870">
      <c r="A870" s="311"/>
      <c r="B870" s="311"/>
      <c r="C870" s="311"/>
    </row>
    <row r="871">
      <c r="A871" s="311"/>
      <c r="B871" s="311"/>
      <c r="C871" s="311"/>
    </row>
    <row r="872">
      <c r="A872" s="311"/>
      <c r="B872" s="311"/>
      <c r="C872" s="311"/>
    </row>
    <row r="873">
      <c r="A873" s="311"/>
      <c r="B873" s="311"/>
      <c r="C873" s="311"/>
    </row>
    <row r="874">
      <c r="A874" s="311"/>
      <c r="B874" s="311"/>
      <c r="C874" s="311"/>
    </row>
    <row r="875">
      <c r="A875" s="311"/>
      <c r="B875" s="311"/>
      <c r="C875" s="311"/>
    </row>
    <row r="876">
      <c r="A876" s="311"/>
      <c r="B876" s="311"/>
      <c r="C876" s="311"/>
    </row>
    <row r="877">
      <c r="A877" s="311"/>
      <c r="B877" s="311"/>
      <c r="C877" s="311"/>
    </row>
    <row r="878">
      <c r="A878" s="311"/>
      <c r="B878" s="311"/>
      <c r="C878" s="311"/>
    </row>
    <row r="879">
      <c r="A879" s="311"/>
      <c r="B879" s="311"/>
      <c r="C879" s="311"/>
    </row>
    <row r="880">
      <c r="A880" s="311"/>
      <c r="B880" s="311"/>
      <c r="C880" s="311"/>
    </row>
    <row r="881">
      <c r="A881" s="311"/>
      <c r="B881" s="311"/>
      <c r="C881" s="311"/>
    </row>
    <row r="882">
      <c r="A882" s="311"/>
      <c r="B882" s="311"/>
      <c r="C882" s="311"/>
    </row>
    <row r="883">
      <c r="A883" s="311"/>
      <c r="B883" s="311"/>
      <c r="C883" s="311"/>
    </row>
    <row r="884">
      <c r="A884" s="311"/>
      <c r="B884" s="311"/>
      <c r="C884" s="311"/>
    </row>
    <row r="885">
      <c r="A885" s="311"/>
      <c r="B885" s="311"/>
      <c r="C885" s="311"/>
    </row>
    <row r="886">
      <c r="A886" s="311"/>
      <c r="B886" s="311"/>
      <c r="C886" s="311"/>
    </row>
    <row r="887">
      <c r="A887" s="311"/>
      <c r="B887" s="311"/>
      <c r="C887" s="311"/>
    </row>
    <row r="888">
      <c r="A888" s="311"/>
      <c r="B888" s="311"/>
      <c r="C888" s="311"/>
    </row>
    <row r="889">
      <c r="A889" s="311"/>
      <c r="B889" s="311"/>
      <c r="C889" s="311"/>
    </row>
    <row r="890">
      <c r="A890" s="311"/>
      <c r="B890" s="311"/>
      <c r="C890" s="311"/>
    </row>
    <row r="891">
      <c r="A891" s="311"/>
      <c r="B891" s="311"/>
      <c r="C891" s="311"/>
    </row>
    <row r="892">
      <c r="A892" s="311"/>
      <c r="B892" s="311"/>
      <c r="C892" s="311"/>
    </row>
    <row r="893">
      <c r="A893" s="311"/>
      <c r="B893" s="311"/>
      <c r="C893" s="311"/>
    </row>
    <row r="894">
      <c r="A894" s="311"/>
      <c r="B894" s="311"/>
      <c r="C894" s="311"/>
    </row>
    <row r="895">
      <c r="A895" s="311"/>
      <c r="B895" s="311"/>
      <c r="C895" s="311"/>
    </row>
    <row r="896">
      <c r="A896" s="311"/>
      <c r="B896" s="311"/>
      <c r="C896" s="311"/>
    </row>
    <row r="897">
      <c r="A897" s="311"/>
      <c r="B897" s="311"/>
      <c r="C897" s="311"/>
    </row>
    <row r="898">
      <c r="A898" s="311"/>
      <c r="B898" s="311"/>
      <c r="C898" s="311"/>
    </row>
    <row r="899">
      <c r="A899" s="311"/>
      <c r="B899" s="311"/>
      <c r="C899" s="311"/>
    </row>
    <row r="900">
      <c r="A900" s="311"/>
      <c r="B900" s="311"/>
      <c r="C900" s="311"/>
    </row>
    <row r="901">
      <c r="A901" s="311"/>
      <c r="B901" s="311"/>
      <c r="C901" s="311"/>
    </row>
    <row r="902">
      <c r="A902" s="311"/>
      <c r="B902" s="311"/>
      <c r="C902" s="311"/>
    </row>
    <row r="903">
      <c r="A903" s="311"/>
      <c r="B903" s="311"/>
      <c r="C903" s="311"/>
    </row>
    <row r="904">
      <c r="A904" s="311"/>
      <c r="B904" s="311"/>
      <c r="C904" s="311"/>
    </row>
    <row r="905">
      <c r="A905" s="311"/>
      <c r="B905" s="311"/>
      <c r="C905" s="311"/>
    </row>
    <row r="906">
      <c r="A906" s="311"/>
      <c r="B906" s="311"/>
      <c r="C906" s="311"/>
    </row>
    <row r="907">
      <c r="A907" s="311"/>
      <c r="B907" s="311"/>
      <c r="C907" s="311"/>
    </row>
    <row r="908">
      <c r="A908" s="311"/>
      <c r="B908" s="311"/>
      <c r="C908" s="311"/>
    </row>
    <row r="909">
      <c r="A909" s="311"/>
      <c r="B909" s="311"/>
      <c r="C909" s="311"/>
    </row>
    <row r="910">
      <c r="A910" s="311"/>
      <c r="B910" s="311"/>
      <c r="C910" s="311"/>
    </row>
    <row r="911">
      <c r="A911" s="311"/>
      <c r="B911" s="311"/>
      <c r="C911" s="311"/>
    </row>
    <row r="912">
      <c r="A912" s="311"/>
      <c r="B912" s="311"/>
      <c r="C912" s="311"/>
    </row>
    <row r="913">
      <c r="A913" s="311"/>
      <c r="B913" s="311"/>
      <c r="C913" s="311"/>
    </row>
    <row r="914">
      <c r="A914" s="311"/>
      <c r="B914" s="311"/>
      <c r="C914" s="311"/>
    </row>
    <row r="915">
      <c r="A915" s="311"/>
      <c r="B915" s="311"/>
      <c r="C915" s="311"/>
    </row>
    <row r="916">
      <c r="A916" s="311"/>
      <c r="B916" s="311"/>
      <c r="C916" s="311"/>
    </row>
    <row r="917">
      <c r="A917" s="311"/>
      <c r="B917" s="311"/>
      <c r="C917" s="311"/>
    </row>
    <row r="918">
      <c r="A918" s="311"/>
      <c r="B918" s="311"/>
      <c r="C918" s="311"/>
    </row>
    <row r="919">
      <c r="A919" s="311"/>
      <c r="B919" s="311"/>
      <c r="C919" s="311"/>
    </row>
    <row r="920">
      <c r="A920" s="311"/>
      <c r="B920" s="311"/>
      <c r="C920" s="311"/>
    </row>
    <row r="921">
      <c r="A921" s="311"/>
      <c r="B921" s="311"/>
      <c r="C921" s="311"/>
    </row>
    <row r="922">
      <c r="A922" s="311"/>
      <c r="B922" s="311"/>
      <c r="C922" s="311"/>
    </row>
    <row r="923">
      <c r="A923" s="311"/>
      <c r="B923" s="311"/>
      <c r="C923" s="311"/>
    </row>
    <row r="924">
      <c r="A924" s="311"/>
      <c r="B924" s="311"/>
      <c r="C924" s="311"/>
    </row>
    <row r="925">
      <c r="A925" s="311"/>
      <c r="B925" s="311"/>
      <c r="C925" s="311"/>
    </row>
    <row r="926">
      <c r="A926" s="311"/>
      <c r="B926" s="311"/>
      <c r="C926" s="311"/>
    </row>
    <row r="927">
      <c r="A927" s="311"/>
      <c r="B927" s="311"/>
      <c r="C927" s="311"/>
    </row>
    <row r="928">
      <c r="A928" s="311"/>
      <c r="B928" s="311"/>
      <c r="C928" s="311"/>
    </row>
    <row r="929">
      <c r="A929" s="311"/>
      <c r="B929" s="311"/>
      <c r="C929" s="311"/>
    </row>
    <row r="930">
      <c r="A930" s="311"/>
      <c r="B930" s="311"/>
      <c r="C930" s="311"/>
    </row>
    <row r="931">
      <c r="A931" s="311"/>
      <c r="B931" s="311"/>
      <c r="C931" s="311"/>
    </row>
    <row r="932">
      <c r="A932" s="311"/>
      <c r="B932" s="311"/>
      <c r="C932" s="311"/>
    </row>
    <row r="933">
      <c r="A933" s="311"/>
      <c r="B933" s="311"/>
      <c r="C933" s="311"/>
    </row>
    <row r="934">
      <c r="A934" s="311"/>
      <c r="B934" s="311"/>
      <c r="C934" s="311"/>
    </row>
    <row r="935">
      <c r="A935" s="311"/>
      <c r="B935" s="311"/>
      <c r="C935" s="311"/>
    </row>
    <row r="936">
      <c r="A936" s="311"/>
      <c r="B936" s="311"/>
      <c r="C936" s="311"/>
    </row>
    <row r="937">
      <c r="A937" s="311"/>
      <c r="B937" s="311"/>
      <c r="C937" s="311"/>
    </row>
    <row r="938">
      <c r="A938" s="311"/>
      <c r="B938" s="311"/>
      <c r="C938" s="311"/>
    </row>
    <row r="939">
      <c r="A939" s="311"/>
      <c r="B939" s="311"/>
      <c r="C939" s="311"/>
    </row>
    <row r="940">
      <c r="A940" s="311"/>
      <c r="B940" s="311"/>
      <c r="C940" s="311"/>
    </row>
    <row r="941">
      <c r="A941" s="311"/>
      <c r="B941" s="311"/>
      <c r="C941" s="311"/>
    </row>
    <row r="942">
      <c r="A942" s="311"/>
      <c r="B942" s="311"/>
      <c r="C942" s="311"/>
    </row>
    <row r="943">
      <c r="A943" s="311"/>
      <c r="B943" s="311"/>
      <c r="C943" s="311"/>
    </row>
    <row r="944">
      <c r="A944" s="311"/>
      <c r="B944" s="311"/>
      <c r="C944" s="311"/>
    </row>
    <row r="945">
      <c r="A945" s="311"/>
      <c r="B945" s="311"/>
      <c r="C945" s="311"/>
    </row>
    <row r="946">
      <c r="A946" s="311"/>
      <c r="B946" s="311"/>
      <c r="C946" s="311"/>
    </row>
    <row r="947">
      <c r="A947" s="311"/>
      <c r="B947" s="311"/>
      <c r="C947" s="311"/>
    </row>
    <row r="948">
      <c r="A948" s="311"/>
      <c r="B948" s="311"/>
      <c r="C948" s="311"/>
    </row>
    <row r="949">
      <c r="A949" s="311"/>
      <c r="B949" s="311"/>
      <c r="C949" s="311"/>
    </row>
    <row r="950">
      <c r="A950" s="311"/>
      <c r="B950" s="311"/>
      <c r="C950" s="311"/>
    </row>
    <row r="951">
      <c r="A951" s="311"/>
      <c r="B951" s="311"/>
      <c r="C951" s="311"/>
    </row>
    <row r="952">
      <c r="A952" s="311"/>
      <c r="B952" s="311"/>
      <c r="C952" s="311"/>
    </row>
    <row r="953">
      <c r="A953" s="311"/>
      <c r="B953" s="311"/>
      <c r="C953" s="311"/>
    </row>
    <row r="954">
      <c r="A954" s="311"/>
      <c r="B954" s="311"/>
      <c r="C954" s="311"/>
    </row>
    <row r="955">
      <c r="A955" s="311"/>
      <c r="B955" s="311"/>
      <c r="C955" s="311"/>
    </row>
    <row r="956">
      <c r="A956" s="311"/>
      <c r="B956" s="311"/>
      <c r="C956" s="311"/>
    </row>
    <row r="957">
      <c r="A957" s="311"/>
      <c r="B957" s="311"/>
      <c r="C957" s="311"/>
    </row>
    <row r="958">
      <c r="A958" s="311"/>
      <c r="B958" s="311"/>
      <c r="C958" s="311"/>
    </row>
    <row r="959">
      <c r="A959" s="311"/>
      <c r="B959" s="311"/>
      <c r="C959" s="311"/>
    </row>
    <row r="960">
      <c r="A960" s="311"/>
      <c r="B960" s="311"/>
      <c r="C960" s="311"/>
    </row>
    <row r="961">
      <c r="A961" s="311"/>
      <c r="B961" s="311"/>
      <c r="C961" s="311"/>
    </row>
    <row r="962">
      <c r="A962" s="311"/>
      <c r="B962" s="311"/>
      <c r="C962" s="311"/>
    </row>
    <row r="963">
      <c r="A963" s="311"/>
      <c r="B963" s="311"/>
      <c r="C963" s="311"/>
    </row>
    <row r="964">
      <c r="A964" s="311"/>
      <c r="B964" s="311"/>
      <c r="C964" s="311"/>
    </row>
    <row r="965">
      <c r="A965" s="311"/>
      <c r="B965" s="311"/>
      <c r="C965" s="311"/>
    </row>
    <row r="966">
      <c r="A966" s="311"/>
      <c r="B966" s="311"/>
      <c r="C966" s="311"/>
    </row>
    <row r="967">
      <c r="A967" s="311"/>
      <c r="B967" s="311"/>
      <c r="C967" s="311"/>
    </row>
    <row r="968">
      <c r="A968" s="311"/>
      <c r="B968" s="311"/>
      <c r="C968" s="311"/>
    </row>
    <row r="969">
      <c r="A969" s="311"/>
      <c r="B969" s="311"/>
      <c r="C969" s="311"/>
    </row>
    <row r="970">
      <c r="A970" s="311"/>
      <c r="B970" s="311"/>
      <c r="C970" s="311"/>
    </row>
    <row r="971">
      <c r="A971" s="311"/>
      <c r="B971" s="311"/>
      <c r="C971" s="311"/>
    </row>
    <row r="972">
      <c r="A972" s="311"/>
      <c r="B972" s="311"/>
      <c r="C972" s="311"/>
    </row>
    <row r="973">
      <c r="A973" s="311"/>
      <c r="B973" s="311"/>
      <c r="C973" s="311"/>
    </row>
    <row r="974">
      <c r="A974" s="311"/>
      <c r="B974" s="311"/>
      <c r="C974" s="311"/>
    </row>
    <row r="975">
      <c r="A975" s="311"/>
      <c r="B975" s="311"/>
      <c r="C975" s="311"/>
    </row>
    <row r="976">
      <c r="A976" s="311"/>
      <c r="B976" s="311"/>
      <c r="C976" s="311"/>
    </row>
    <row r="977">
      <c r="A977" s="311"/>
      <c r="B977" s="311"/>
      <c r="C977" s="311"/>
    </row>
    <row r="978">
      <c r="A978" s="311"/>
      <c r="B978" s="311"/>
      <c r="C978" s="311"/>
    </row>
    <row r="979">
      <c r="A979" s="311"/>
      <c r="B979" s="311"/>
      <c r="C979" s="311"/>
    </row>
    <row r="980">
      <c r="A980" s="311"/>
      <c r="B980" s="311"/>
      <c r="C980" s="311"/>
    </row>
    <row r="981">
      <c r="A981" s="311"/>
      <c r="B981" s="311"/>
      <c r="C981" s="311"/>
    </row>
    <row r="982">
      <c r="A982" s="311"/>
      <c r="B982" s="311"/>
      <c r="C982" s="311"/>
    </row>
    <row r="983">
      <c r="A983" s="311"/>
      <c r="B983" s="311"/>
      <c r="C983" s="311"/>
    </row>
    <row r="984">
      <c r="A984" s="311"/>
      <c r="B984" s="311"/>
      <c r="C984" s="311"/>
    </row>
    <row r="985">
      <c r="A985" s="311"/>
      <c r="B985" s="311"/>
      <c r="C985" s="311"/>
    </row>
    <row r="986">
      <c r="A986" s="311"/>
      <c r="B986" s="311"/>
      <c r="C986" s="311"/>
    </row>
    <row r="987">
      <c r="A987" s="311"/>
      <c r="B987" s="311"/>
      <c r="C987" s="311"/>
    </row>
    <row r="988">
      <c r="A988" s="311"/>
      <c r="B988" s="311"/>
      <c r="C988" s="311"/>
    </row>
    <row r="989">
      <c r="A989" s="311"/>
      <c r="B989" s="311"/>
      <c r="C989" s="311"/>
    </row>
    <row r="990">
      <c r="A990" s="311"/>
      <c r="B990" s="311"/>
      <c r="C990" s="311"/>
    </row>
    <row r="991">
      <c r="A991" s="311"/>
      <c r="B991" s="311"/>
      <c r="C991" s="311"/>
    </row>
    <row r="992">
      <c r="A992" s="311"/>
      <c r="B992" s="311"/>
      <c r="C992" s="311"/>
    </row>
    <row r="993">
      <c r="A993" s="311"/>
      <c r="B993" s="311"/>
      <c r="C993" s="311"/>
    </row>
    <row r="994">
      <c r="A994" s="311"/>
      <c r="B994" s="311"/>
      <c r="C994" s="311"/>
    </row>
    <row r="995">
      <c r="A995" s="311"/>
      <c r="B995" s="311"/>
      <c r="C995" s="311"/>
    </row>
    <row r="996">
      <c r="A996" s="311"/>
      <c r="B996" s="311"/>
      <c r="C996" s="311"/>
    </row>
    <row r="997">
      <c r="A997" s="311"/>
      <c r="B997" s="311"/>
      <c r="C997" s="311"/>
    </row>
    <row r="998">
      <c r="A998" s="311"/>
      <c r="B998" s="311"/>
      <c r="C998" s="311"/>
    </row>
    <row r="999">
      <c r="A999" s="311"/>
      <c r="B999" s="311"/>
      <c r="C999" s="311"/>
    </row>
    <row r="1000">
      <c r="A1000" s="311"/>
      <c r="B1000" s="311"/>
      <c r="C1000" s="311"/>
    </row>
  </sheetData>
  <hyperlinks>
    <hyperlink r:id="rId1" ref="B2"/>
    <hyperlink r:id="rId2" ref="B3"/>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1" width="90.33"/>
    <col customWidth="1" min="2" max="2" width="60.67"/>
    <col customWidth="1" min="3" max="3" width="8.78"/>
    <col customWidth="1" min="4" max="4" width="62.0"/>
    <col customWidth="1" min="5" max="26" width="8.78"/>
  </cols>
  <sheetData>
    <row r="1" ht="168.75" customHeight="1">
      <c r="A1" s="288" t="s">
        <v>6441</v>
      </c>
      <c r="B1" s="289" t="s">
        <v>24</v>
      </c>
      <c r="C1" s="289" t="s">
        <v>8675</v>
      </c>
      <c r="D1" s="289" t="s">
        <v>67</v>
      </c>
      <c r="E1" s="289"/>
      <c r="F1" s="289"/>
      <c r="G1" s="289"/>
      <c r="H1" s="289"/>
      <c r="I1" s="289"/>
      <c r="J1" s="289"/>
      <c r="K1" s="289"/>
      <c r="L1" s="290"/>
      <c r="M1" s="291"/>
      <c r="N1" s="292"/>
      <c r="O1" s="288"/>
      <c r="P1" s="288"/>
      <c r="Q1" s="288"/>
      <c r="R1" s="288"/>
      <c r="S1" s="288"/>
      <c r="T1" s="288"/>
      <c r="U1" s="288"/>
      <c r="V1" s="288"/>
      <c r="W1" s="288"/>
      <c r="X1" s="288"/>
      <c r="Y1" s="288"/>
      <c r="Z1" s="288"/>
    </row>
    <row r="2" ht="29.25" customHeight="1">
      <c r="A2" s="109" t="s">
        <v>1336</v>
      </c>
      <c r="B2" s="109" t="s">
        <v>6971</v>
      </c>
      <c r="C2" s="112">
        <v>42517.0</v>
      </c>
      <c r="D2" s="109" t="s">
        <v>8677</v>
      </c>
      <c r="E2" s="109"/>
      <c r="F2" s="109"/>
      <c r="G2" s="109"/>
      <c r="H2" s="109"/>
      <c r="I2" s="109"/>
      <c r="J2" s="109"/>
      <c r="K2" s="109"/>
      <c r="L2" s="109"/>
      <c r="M2" s="109"/>
      <c r="N2" s="109"/>
      <c r="O2" s="109"/>
      <c r="P2" s="109"/>
      <c r="Q2" s="109"/>
      <c r="R2" s="109"/>
      <c r="S2" s="109"/>
      <c r="T2" s="109"/>
      <c r="U2" s="109"/>
      <c r="V2" s="109"/>
      <c r="W2" s="109"/>
      <c r="X2" s="109"/>
      <c r="Y2" s="109"/>
      <c r="Z2" s="109"/>
    </row>
    <row r="3" ht="29.25" customHeight="1">
      <c r="A3" s="339" t="s">
        <v>8678</v>
      </c>
      <c r="B3" s="339" t="s">
        <v>8679</v>
      </c>
      <c r="C3" s="348">
        <v>42521.0</v>
      </c>
      <c r="D3" s="339" t="s">
        <v>8680</v>
      </c>
      <c r="E3" s="339"/>
      <c r="F3" s="339"/>
      <c r="G3" s="339"/>
      <c r="H3" s="339"/>
      <c r="I3" s="339"/>
      <c r="J3" s="339"/>
      <c r="K3" s="339"/>
      <c r="L3" s="339"/>
      <c r="M3" s="339"/>
      <c r="N3" s="339"/>
      <c r="O3" s="339"/>
      <c r="P3" s="339"/>
      <c r="Q3" s="339"/>
      <c r="R3" s="339"/>
      <c r="S3" s="339"/>
      <c r="T3" s="339"/>
      <c r="U3" s="339"/>
      <c r="V3" s="339"/>
      <c r="W3" s="339"/>
      <c r="X3" s="339"/>
      <c r="Y3" s="339"/>
      <c r="Z3" s="339"/>
    </row>
    <row r="4" ht="29.25" customHeight="1">
      <c r="A4" s="109" t="s">
        <v>3850</v>
      </c>
      <c r="B4" s="109" t="s">
        <v>8681</v>
      </c>
      <c r="C4" s="112">
        <v>42522.0</v>
      </c>
      <c r="D4" s="109" t="s">
        <v>8682</v>
      </c>
      <c r="E4" s="109"/>
      <c r="F4" s="109"/>
      <c r="G4" s="109"/>
      <c r="H4" s="109"/>
      <c r="I4" s="109"/>
      <c r="J4" s="109"/>
      <c r="K4" s="109"/>
      <c r="L4" s="109"/>
      <c r="M4" s="109"/>
      <c r="N4" s="109"/>
      <c r="O4" s="109"/>
      <c r="P4" s="109"/>
      <c r="Q4" s="109"/>
      <c r="R4" s="109"/>
      <c r="S4" s="109"/>
      <c r="T4" s="109"/>
      <c r="U4" s="109"/>
      <c r="V4" s="109"/>
      <c r="W4" s="109"/>
      <c r="X4" s="109"/>
      <c r="Y4" s="109"/>
      <c r="Z4" s="109"/>
    </row>
    <row r="5" ht="29.25" customHeight="1">
      <c r="A5" s="109" t="s">
        <v>8683</v>
      </c>
      <c r="B5" s="109" t="s">
        <v>8684</v>
      </c>
      <c r="C5" s="112">
        <v>42522.0</v>
      </c>
      <c r="D5" s="109"/>
      <c r="E5" s="109"/>
      <c r="F5" s="109"/>
      <c r="G5" s="109"/>
      <c r="H5" s="109"/>
      <c r="I5" s="109"/>
      <c r="J5" s="109"/>
      <c r="K5" s="109"/>
      <c r="L5" s="109"/>
      <c r="M5" s="109"/>
      <c r="N5" s="109"/>
      <c r="O5" s="109"/>
      <c r="P5" s="109"/>
      <c r="Q5" s="109"/>
      <c r="R5" s="109"/>
      <c r="S5" s="109"/>
      <c r="T5" s="109"/>
      <c r="U5" s="109"/>
      <c r="V5" s="109"/>
      <c r="W5" s="109"/>
      <c r="X5" s="109"/>
      <c r="Y5" s="109"/>
      <c r="Z5" s="109"/>
    </row>
    <row r="6" ht="29.25" customHeight="1">
      <c r="A6" s="109" t="s">
        <v>8356</v>
      </c>
      <c r="B6" s="346" t="s">
        <v>8685</v>
      </c>
      <c r="C6" s="112">
        <v>42522.0</v>
      </c>
      <c r="D6" s="109" t="s">
        <v>8686</v>
      </c>
      <c r="E6" s="109"/>
      <c r="F6" s="109"/>
      <c r="G6" s="109"/>
      <c r="H6" s="109"/>
      <c r="I6" s="109"/>
      <c r="J6" s="109"/>
      <c r="K6" s="109"/>
      <c r="L6" s="109"/>
      <c r="M6" s="109"/>
      <c r="N6" s="109"/>
      <c r="O6" s="109"/>
      <c r="P6" s="109"/>
      <c r="Q6" s="109"/>
      <c r="R6" s="109"/>
      <c r="S6" s="109"/>
      <c r="T6" s="109"/>
      <c r="U6" s="109"/>
      <c r="V6" s="109"/>
      <c r="W6" s="109"/>
      <c r="X6" s="109"/>
      <c r="Y6" s="109"/>
      <c r="Z6" s="109"/>
    </row>
    <row r="7" ht="29.25" customHeight="1">
      <c r="A7" s="109" t="s">
        <v>1246</v>
      </c>
      <c r="B7" s="109" t="s">
        <v>6652</v>
      </c>
      <c r="C7" s="112">
        <v>42522.0</v>
      </c>
      <c r="D7" s="109" t="s">
        <v>8687</v>
      </c>
      <c r="E7" s="109"/>
      <c r="F7" s="109"/>
      <c r="G7" s="109"/>
      <c r="H7" s="109"/>
      <c r="I7" s="109"/>
      <c r="J7" s="109"/>
      <c r="K7" s="109"/>
      <c r="L7" s="109"/>
      <c r="M7" s="109"/>
      <c r="N7" s="109"/>
      <c r="O7" s="109"/>
      <c r="P7" s="109"/>
      <c r="Q7" s="109"/>
      <c r="R7" s="109"/>
      <c r="S7" s="109"/>
      <c r="T7" s="109"/>
      <c r="U7" s="109"/>
      <c r="V7" s="109"/>
      <c r="W7" s="109"/>
      <c r="X7" s="109"/>
      <c r="Y7" s="109"/>
      <c r="Z7" s="109"/>
    </row>
    <row r="8" ht="29.25" customHeight="1">
      <c r="A8" s="109" t="s">
        <v>8688</v>
      </c>
      <c r="B8" s="109" t="s">
        <v>6690</v>
      </c>
      <c r="C8" s="112">
        <v>42523.0</v>
      </c>
      <c r="D8" s="109" t="s">
        <v>8689</v>
      </c>
      <c r="E8" s="109"/>
      <c r="F8" s="109"/>
      <c r="G8" s="109"/>
      <c r="H8" s="109"/>
      <c r="I8" s="109"/>
      <c r="J8" s="109"/>
      <c r="K8" s="109"/>
      <c r="L8" s="109"/>
      <c r="M8" s="109"/>
      <c r="N8" s="109"/>
      <c r="O8" s="109"/>
      <c r="P8" s="109"/>
      <c r="Q8" s="109"/>
      <c r="R8" s="109"/>
      <c r="S8" s="109"/>
      <c r="T8" s="109"/>
      <c r="U8" s="109"/>
      <c r="V8" s="109"/>
      <c r="W8" s="109"/>
      <c r="X8" s="109"/>
      <c r="Y8" s="109"/>
      <c r="Z8" s="109"/>
    </row>
    <row r="9" ht="29.25" customHeight="1">
      <c r="A9" s="109" t="s">
        <v>1374</v>
      </c>
      <c r="B9" s="109" t="s">
        <v>8690</v>
      </c>
      <c r="C9" s="112">
        <v>42523.0</v>
      </c>
      <c r="D9" s="109" t="s">
        <v>8691</v>
      </c>
      <c r="E9" s="109"/>
      <c r="F9" s="109"/>
      <c r="G9" s="109"/>
      <c r="H9" s="109"/>
      <c r="I9" s="109"/>
      <c r="J9" s="109"/>
      <c r="K9" s="109"/>
      <c r="L9" s="109"/>
      <c r="M9" s="109"/>
      <c r="N9" s="109"/>
      <c r="O9" s="109"/>
      <c r="P9" s="109"/>
      <c r="Q9" s="109"/>
      <c r="R9" s="109"/>
      <c r="S9" s="109"/>
      <c r="T9" s="109"/>
      <c r="U9" s="109"/>
      <c r="V9" s="109"/>
      <c r="W9" s="109"/>
      <c r="X9" s="109"/>
      <c r="Y9" s="109"/>
      <c r="Z9" s="109"/>
    </row>
    <row r="10" ht="29.25" customHeight="1">
      <c r="A10" s="109" t="s">
        <v>1441</v>
      </c>
      <c r="B10" s="109" t="s">
        <v>8692</v>
      </c>
      <c r="C10" s="112">
        <v>42523.0</v>
      </c>
      <c r="D10" s="109" t="s">
        <v>8693</v>
      </c>
      <c r="E10" s="109"/>
      <c r="F10" s="109"/>
      <c r="G10" s="109"/>
      <c r="H10" s="109"/>
      <c r="I10" s="109"/>
      <c r="J10" s="109"/>
      <c r="K10" s="109"/>
      <c r="L10" s="109"/>
      <c r="M10" s="109"/>
      <c r="N10" s="109"/>
      <c r="O10" s="109"/>
      <c r="P10" s="109"/>
      <c r="Q10" s="109"/>
      <c r="R10" s="109"/>
      <c r="S10" s="109"/>
      <c r="T10" s="109"/>
      <c r="U10" s="109"/>
      <c r="V10" s="109"/>
      <c r="W10" s="109"/>
      <c r="X10" s="109"/>
      <c r="Y10" s="109"/>
      <c r="Z10" s="109"/>
    </row>
    <row r="11" ht="29.25" customHeight="1">
      <c r="A11" s="109" t="s">
        <v>1787</v>
      </c>
      <c r="B11" s="109" t="s">
        <v>8694</v>
      </c>
      <c r="C11" s="112">
        <v>42523.0</v>
      </c>
      <c r="D11" s="109" t="s">
        <v>8695</v>
      </c>
      <c r="E11" s="109"/>
      <c r="F11" s="109"/>
      <c r="G11" s="109"/>
      <c r="H11" s="109"/>
      <c r="I11" s="109"/>
      <c r="J11" s="109"/>
      <c r="K11" s="109"/>
      <c r="L11" s="109"/>
      <c r="M11" s="109"/>
      <c r="N11" s="109"/>
      <c r="O11" s="109"/>
      <c r="P11" s="109"/>
      <c r="Q11" s="109"/>
      <c r="R11" s="109"/>
      <c r="S11" s="109"/>
      <c r="T11" s="109"/>
      <c r="U11" s="109"/>
      <c r="V11" s="109"/>
      <c r="W11" s="109"/>
      <c r="X11" s="109"/>
      <c r="Y11" s="109"/>
      <c r="Z11" s="109"/>
    </row>
    <row r="12" ht="29.25" customHeight="1">
      <c r="A12" s="109" t="s">
        <v>1550</v>
      </c>
      <c r="B12" s="109" t="s">
        <v>8696</v>
      </c>
      <c r="C12" s="112">
        <v>42527.0</v>
      </c>
      <c r="D12" s="109" t="s">
        <v>8697</v>
      </c>
      <c r="E12" s="109"/>
      <c r="F12" s="109"/>
      <c r="G12" s="109"/>
      <c r="H12" s="109"/>
      <c r="I12" s="109"/>
      <c r="J12" s="109"/>
      <c r="K12" s="109"/>
      <c r="L12" s="109"/>
      <c r="M12" s="109"/>
      <c r="N12" s="109"/>
      <c r="O12" s="109"/>
      <c r="P12" s="109"/>
      <c r="Q12" s="109"/>
      <c r="R12" s="109"/>
      <c r="S12" s="109"/>
      <c r="T12" s="109"/>
      <c r="U12" s="109"/>
      <c r="V12" s="109"/>
      <c r="W12" s="109"/>
      <c r="X12" s="109"/>
      <c r="Y12" s="109"/>
      <c r="Z12" s="109"/>
    </row>
    <row r="13" ht="29.25" customHeight="1">
      <c r="A13" s="109" t="s">
        <v>2249</v>
      </c>
      <c r="B13" s="109" t="s">
        <v>8698</v>
      </c>
      <c r="C13" s="112">
        <v>42527.0</v>
      </c>
      <c r="D13" s="109" t="s">
        <v>8699</v>
      </c>
      <c r="E13" s="109"/>
      <c r="F13" s="109"/>
      <c r="G13" s="109"/>
      <c r="H13" s="109"/>
      <c r="I13" s="109"/>
      <c r="J13" s="109"/>
      <c r="K13" s="109"/>
      <c r="L13" s="109"/>
      <c r="M13" s="109"/>
      <c r="N13" s="109"/>
      <c r="O13" s="109"/>
      <c r="P13" s="109"/>
      <c r="Q13" s="109"/>
      <c r="R13" s="109"/>
      <c r="S13" s="109"/>
      <c r="T13" s="109"/>
      <c r="U13" s="109"/>
      <c r="V13" s="109"/>
      <c r="W13" s="109"/>
      <c r="X13" s="109"/>
      <c r="Y13" s="109"/>
      <c r="Z13" s="109"/>
    </row>
    <row r="14" ht="29.25" customHeight="1">
      <c r="A14" s="109" t="s">
        <v>8700</v>
      </c>
      <c r="B14" s="109" t="s">
        <v>6624</v>
      </c>
      <c r="C14" s="112">
        <v>42190.0</v>
      </c>
      <c r="D14" s="109"/>
      <c r="E14" s="112"/>
      <c r="F14" s="109"/>
      <c r="G14" s="109"/>
      <c r="H14" s="109"/>
      <c r="I14" s="109"/>
      <c r="J14" s="109"/>
      <c r="K14" s="109"/>
      <c r="L14" s="109"/>
      <c r="M14" s="109"/>
      <c r="N14" s="109"/>
      <c r="O14" s="109"/>
      <c r="P14" s="109"/>
      <c r="Q14" s="109"/>
      <c r="R14" s="109"/>
      <c r="S14" s="109"/>
      <c r="T14" s="109"/>
      <c r="U14" s="109"/>
      <c r="V14" s="109"/>
      <c r="W14" s="109"/>
      <c r="X14" s="109"/>
      <c r="Y14" s="109"/>
      <c r="Z14" s="109"/>
    </row>
    <row r="15" ht="29.25" customHeight="1">
      <c r="A15" s="109" t="s">
        <v>1966</v>
      </c>
      <c r="B15" s="109" t="s">
        <v>8701</v>
      </c>
      <c r="C15" s="349">
        <v>42524.0</v>
      </c>
      <c r="D15" s="109"/>
      <c r="E15" s="109"/>
      <c r="F15" s="109"/>
      <c r="G15" s="109"/>
      <c r="H15" s="109"/>
      <c r="I15" s="109"/>
      <c r="J15" s="109"/>
      <c r="K15" s="109"/>
      <c r="L15" s="109"/>
      <c r="M15" s="109"/>
      <c r="N15" s="109"/>
      <c r="O15" s="109"/>
      <c r="P15" s="109"/>
      <c r="Q15" s="109"/>
      <c r="R15" s="109"/>
      <c r="S15" s="109"/>
      <c r="T15" s="109"/>
      <c r="U15" s="109"/>
      <c r="V15" s="109"/>
      <c r="W15" s="109"/>
      <c r="X15" s="109"/>
      <c r="Y15" s="109"/>
      <c r="Z15" s="109"/>
    </row>
    <row r="16" ht="29.25" customHeight="1">
      <c r="A16" s="109" t="s">
        <v>3766</v>
      </c>
      <c r="B16" s="109" t="s">
        <v>8702</v>
      </c>
      <c r="C16" s="349" t="s">
        <v>8703</v>
      </c>
      <c r="D16" s="109"/>
      <c r="E16" s="109"/>
      <c r="F16" s="109"/>
      <c r="G16" s="109"/>
      <c r="H16" s="109"/>
      <c r="I16" s="109"/>
      <c r="J16" s="109"/>
      <c r="K16" s="109"/>
      <c r="L16" s="109"/>
      <c r="M16" s="109"/>
      <c r="N16" s="109"/>
      <c r="O16" s="109"/>
      <c r="P16" s="109"/>
      <c r="Q16" s="109"/>
      <c r="R16" s="109"/>
      <c r="S16" s="109"/>
      <c r="T16" s="109"/>
      <c r="U16" s="109"/>
      <c r="V16" s="109"/>
      <c r="W16" s="109"/>
      <c r="X16" s="109"/>
      <c r="Y16" s="109"/>
      <c r="Z16" s="109"/>
    </row>
    <row r="17" ht="29.25" customHeight="1">
      <c r="A17" s="109" t="s">
        <v>8704</v>
      </c>
      <c r="B17" s="109" t="s">
        <v>8705</v>
      </c>
      <c r="C17" s="349" t="s">
        <v>8706</v>
      </c>
      <c r="D17" s="109"/>
      <c r="E17" s="109"/>
      <c r="F17" s="109"/>
      <c r="G17" s="109"/>
      <c r="H17" s="109"/>
      <c r="I17" s="109"/>
      <c r="J17" s="109"/>
      <c r="K17" s="109"/>
      <c r="L17" s="109"/>
      <c r="M17" s="109"/>
      <c r="N17" s="109"/>
      <c r="O17" s="109"/>
      <c r="P17" s="109"/>
      <c r="Q17" s="109"/>
      <c r="R17" s="109"/>
      <c r="S17" s="109"/>
      <c r="T17" s="109"/>
      <c r="U17" s="109"/>
      <c r="V17" s="109"/>
      <c r="W17" s="109"/>
      <c r="X17" s="109"/>
      <c r="Y17" s="109"/>
      <c r="Z17" s="109"/>
    </row>
    <row r="18" ht="29.25" customHeight="1">
      <c r="A18" s="109" t="s">
        <v>8707</v>
      </c>
      <c r="B18" s="109" t="s">
        <v>8708</v>
      </c>
      <c r="C18" s="349" t="s">
        <v>8709</v>
      </c>
      <c r="D18" s="109"/>
      <c r="E18" s="109"/>
      <c r="F18" s="109"/>
      <c r="G18" s="109"/>
      <c r="H18" s="109"/>
      <c r="I18" s="109"/>
      <c r="J18" s="109"/>
      <c r="K18" s="109"/>
      <c r="L18" s="109"/>
      <c r="M18" s="109"/>
      <c r="N18" s="109"/>
      <c r="O18" s="109"/>
      <c r="P18" s="109"/>
      <c r="Q18" s="109"/>
      <c r="R18" s="109"/>
      <c r="S18" s="109"/>
      <c r="T18" s="109"/>
      <c r="U18" s="109"/>
      <c r="V18" s="109"/>
      <c r="W18" s="109"/>
      <c r="X18" s="109"/>
      <c r="Y18" s="109"/>
      <c r="Z18" s="109"/>
    </row>
    <row r="19" ht="29.25" customHeight="1">
      <c r="A19" s="109" t="s">
        <v>2891</v>
      </c>
      <c r="B19" s="109" t="s">
        <v>8710</v>
      </c>
      <c r="C19" s="350" t="s">
        <v>8711</v>
      </c>
      <c r="D19" s="109"/>
      <c r="E19" s="109"/>
      <c r="F19" s="109"/>
      <c r="G19" s="109"/>
      <c r="H19" s="109"/>
      <c r="I19" s="109"/>
      <c r="J19" s="109"/>
      <c r="K19" s="109"/>
      <c r="L19" s="109"/>
      <c r="M19" s="109"/>
      <c r="N19" s="109"/>
      <c r="O19" s="109"/>
      <c r="P19" s="109"/>
      <c r="Q19" s="109"/>
      <c r="R19" s="109"/>
      <c r="S19" s="109"/>
      <c r="T19" s="109"/>
      <c r="U19" s="109"/>
      <c r="V19" s="109"/>
      <c r="W19" s="109"/>
      <c r="X19" s="109"/>
      <c r="Y19" s="109"/>
      <c r="Z19" s="109"/>
    </row>
    <row r="20" ht="29.25" customHeight="1">
      <c r="A20" s="109" t="s">
        <v>2616</v>
      </c>
      <c r="B20" s="109" t="s">
        <v>8712</v>
      </c>
      <c r="C20" s="349">
        <v>42524.0</v>
      </c>
      <c r="D20" s="109"/>
      <c r="E20" s="109"/>
      <c r="F20" s="109"/>
      <c r="G20" s="109"/>
      <c r="H20" s="109"/>
      <c r="I20" s="109"/>
      <c r="J20" s="109"/>
      <c r="K20" s="109"/>
      <c r="L20" s="109"/>
      <c r="M20" s="109"/>
      <c r="N20" s="109"/>
      <c r="O20" s="109"/>
      <c r="P20" s="109"/>
      <c r="Q20" s="109"/>
      <c r="R20" s="109"/>
      <c r="S20" s="109"/>
      <c r="T20" s="109"/>
      <c r="U20" s="109"/>
      <c r="V20" s="109"/>
      <c r="W20" s="109"/>
      <c r="X20" s="109"/>
      <c r="Y20" s="109"/>
      <c r="Z20" s="109"/>
    </row>
    <row r="21" ht="29.25" customHeight="1">
      <c r="A21" s="109" t="s">
        <v>8713</v>
      </c>
      <c r="B21" s="109" t="s">
        <v>8714</v>
      </c>
      <c r="C21" s="349">
        <v>42524.0</v>
      </c>
      <c r="D21" s="109"/>
      <c r="E21" s="109"/>
      <c r="F21" s="109"/>
      <c r="G21" s="109"/>
      <c r="H21" s="109"/>
      <c r="I21" s="109"/>
      <c r="J21" s="109"/>
      <c r="K21" s="109"/>
      <c r="L21" s="109"/>
      <c r="M21" s="109"/>
      <c r="N21" s="109"/>
      <c r="O21" s="109"/>
      <c r="P21" s="109"/>
      <c r="Q21" s="109"/>
      <c r="R21" s="109"/>
      <c r="S21" s="109"/>
      <c r="T21" s="109"/>
      <c r="U21" s="109"/>
      <c r="V21" s="109"/>
      <c r="W21" s="109"/>
      <c r="X21" s="109"/>
      <c r="Y21" s="109"/>
      <c r="Z21" s="109"/>
    </row>
    <row r="22" ht="29.25" customHeight="1">
      <c r="A22" s="109" t="s">
        <v>8715</v>
      </c>
      <c r="B22" s="109" t="s">
        <v>8716</v>
      </c>
      <c r="C22" s="350" t="s">
        <v>8717</v>
      </c>
      <c r="D22" s="109"/>
      <c r="E22" s="109"/>
      <c r="F22" s="109"/>
      <c r="G22" s="109"/>
      <c r="H22" s="109"/>
      <c r="I22" s="109"/>
      <c r="J22" s="109"/>
      <c r="K22" s="109"/>
      <c r="L22" s="109"/>
      <c r="M22" s="109"/>
      <c r="N22" s="109"/>
      <c r="O22" s="109"/>
      <c r="P22" s="109"/>
      <c r="Q22" s="109"/>
      <c r="R22" s="109"/>
      <c r="S22" s="109"/>
      <c r="T22" s="109"/>
      <c r="U22" s="109"/>
      <c r="V22" s="109"/>
      <c r="W22" s="109"/>
      <c r="X22" s="109"/>
      <c r="Y22" s="109"/>
      <c r="Z22" s="109"/>
    </row>
    <row r="23" ht="29.25" customHeight="1">
      <c r="A23" s="109" t="s">
        <v>8718</v>
      </c>
      <c r="B23" s="109" t="s">
        <v>8719</v>
      </c>
      <c r="C23" s="349">
        <v>42527.0</v>
      </c>
      <c r="D23" s="109"/>
      <c r="E23" s="109"/>
      <c r="F23" s="109"/>
      <c r="G23" s="109"/>
      <c r="H23" s="109"/>
      <c r="I23" s="109"/>
      <c r="J23" s="109"/>
      <c r="K23" s="109"/>
      <c r="L23" s="109"/>
      <c r="M23" s="109"/>
      <c r="N23" s="109"/>
      <c r="O23" s="109"/>
      <c r="P23" s="109"/>
      <c r="Q23" s="109"/>
      <c r="R23" s="109"/>
      <c r="S23" s="109"/>
      <c r="T23" s="109"/>
      <c r="U23" s="109"/>
      <c r="V23" s="109"/>
      <c r="W23" s="109"/>
      <c r="X23" s="109"/>
      <c r="Y23" s="109"/>
      <c r="Z23" s="109"/>
    </row>
    <row r="24" ht="29.25" customHeight="1">
      <c r="A24" s="109" t="s">
        <v>6871</v>
      </c>
      <c r="B24" s="109" t="s">
        <v>6879</v>
      </c>
      <c r="C24" s="349">
        <v>42522.0</v>
      </c>
      <c r="D24" s="109"/>
      <c r="E24" s="109"/>
      <c r="F24" s="109"/>
      <c r="G24" s="109"/>
      <c r="H24" s="109"/>
      <c r="I24" s="109"/>
      <c r="J24" s="109"/>
      <c r="K24" s="109"/>
      <c r="L24" s="109"/>
      <c r="M24" s="109"/>
      <c r="N24" s="109"/>
      <c r="O24" s="109"/>
      <c r="P24" s="109"/>
      <c r="Q24" s="109"/>
      <c r="R24" s="109"/>
      <c r="S24" s="109"/>
      <c r="T24" s="109"/>
      <c r="U24" s="109"/>
      <c r="V24" s="109"/>
      <c r="W24" s="109"/>
      <c r="X24" s="109"/>
      <c r="Y24" s="109"/>
      <c r="Z24" s="109"/>
    </row>
    <row r="25" ht="29.25" customHeight="1">
      <c r="A25" s="109" t="s">
        <v>1734</v>
      </c>
      <c r="B25" s="109" t="s">
        <v>8720</v>
      </c>
      <c r="C25" s="349">
        <v>42527.0</v>
      </c>
      <c r="D25" s="109"/>
      <c r="E25" s="109"/>
      <c r="F25" s="109"/>
      <c r="G25" s="109"/>
      <c r="H25" s="109"/>
      <c r="I25" s="109"/>
      <c r="J25" s="109"/>
      <c r="K25" s="109"/>
      <c r="L25" s="109"/>
      <c r="M25" s="109"/>
      <c r="N25" s="109"/>
      <c r="O25" s="109"/>
      <c r="P25" s="109"/>
      <c r="Q25" s="109"/>
      <c r="R25" s="109"/>
      <c r="S25" s="109"/>
      <c r="T25" s="109"/>
      <c r="U25" s="109"/>
      <c r="V25" s="109"/>
      <c r="W25" s="109"/>
      <c r="X25" s="109"/>
      <c r="Y25" s="109"/>
      <c r="Z25" s="109"/>
    </row>
    <row r="26" ht="29.25" customHeight="1">
      <c r="A26" s="109" t="s">
        <v>592</v>
      </c>
      <c r="B26" s="109" t="s">
        <v>8721</v>
      </c>
      <c r="C26" s="349">
        <v>42527.0</v>
      </c>
      <c r="D26" s="109"/>
      <c r="E26" s="109"/>
      <c r="F26" s="109"/>
      <c r="G26" s="109"/>
      <c r="H26" s="109"/>
      <c r="I26" s="109"/>
      <c r="J26" s="109"/>
      <c r="K26" s="109"/>
      <c r="L26" s="109"/>
      <c r="M26" s="109"/>
      <c r="N26" s="109"/>
      <c r="O26" s="109"/>
      <c r="P26" s="109"/>
      <c r="Q26" s="109"/>
      <c r="R26" s="109"/>
      <c r="S26" s="109"/>
      <c r="T26" s="109"/>
      <c r="U26" s="109"/>
      <c r="V26" s="109"/>
      <c r="W26" s="109"/>
      <c r="X26" s="109"/>
      <c r="Y26" s="109"/>
      <c r="Z26" s="109"/>
    </row>
    <row r="27" ht="29.25" customHeight="1">
      <c r="A27" s="109" t="s">
        <v>8722</v>
      </c>
      <c r="B27" s="109" t="s">
        <v>8723</v>
      </c>
      <c r="C27" s="349">
        <v>42527.0</v>
      </c>
      <c r="D27" s="109"/>
      <c r="E27" s="109"/>
      <c r="F27" s="109"/>
      <c r="G27" s="109"/>
      <c r="H27" s="109"/>
      <c r="I27" s="109"/>
      <c r="J27" s="109"/>
      <c r="K27" s="109"/>
      <c r="L27" s="109"/>
      <c r="M27" s="109"/>
      <c r="N27" s="109"/>
      <c r="O27" s="109"/>
      <c r="P27" s="109"/>
      <c r="Q27" s="109"/>
      <c r="R27" s="109"/>
      <c r="S27" s="109"/>
      <c r="T27" s="109"/>
      <c r="U27" s="109"/>
      <c r="V27" s="109"/>
      <c r="W27" s="109"/>
      <c r="X27" s="109"/>
      <c r="Y27" s="109"/>
      <c r="Z27" s="109"/>
    </row>
    <row r="28" ht="29.25" customHeight="1">
      <c r="A28" s="109" t="s">
        <v>2659</v>
      </c>
      <c r="B28" s="109" t="s">
        <v>6908</v>
      </c>
      <c r="C28" s="349">
        <v>42522.0</v>
      </c>
      <c r="D28" s="109"/>
      <c r="E28" s="109"/>
      <c r="F28" s="109"/>
      <c r="G28" s="109"/>
      <c r="H28" s="109"/>
      <c r="I28" s="109"/>
      <c r="J28" s="109"/>
      <c r="K28" s="109"/>
      <c r="L28" s="109"/>
      <c r="M28" s="109"/>
      <c r="N28" s="109"/>
      <c r="O28" s="109"/>
      <c r="P28" s="109"/>
      <c r="Q28" s="109"/>
      <c r="R28" s="109"/>
      <c r="S28" s="109"/>
      <c r="T28" s="109"/>
      <c r="U28" s="109"/>
      <c r="V28" s="109"/>
      <c r="W28" s="109"/>
      <c r="X28" s="109"/>
      <c r="Y28" s="109"/>
      <c r="Z28" s="109"/>
    </row>
    <row r="29" ht="29.25" customHeight="1">
      <c r="A29" s="109" t="s">
        <v>1281</v>
      </c>
      <c r="B29" s="109" t="s">
        <v>8724</v>
      </c>
      <c r="C29" s="349">
        <v>42523.0</v>
      </c>
      <c r="D29" s="109"/>
      <c r="E29" s="112"/>
      <c r="F29" s="109"/>
      <c r="G29" s="109"/>
      <c r="H29" s="109"/>
      <c r="I29" s="109"/>
      <c r="J29" s="109"/>
      <c r="K29" s="109"/>
      <c r="L29" s="109"/>
      <c r="M29" s="109"/>
      <c r="N29" s="109"/>
      <c r="O29" s="109"/>
      <c r="P29" s="109"/>
      <c r="Q29" s="109"/>
      <c r="R29" s="109"/>
      <c r="S29" s="109"/>
      <c r="T29" s="109"/>
      <c r="U29" s="109"/>
      <c r="V29" s="109"/>
      <c r="W29" s="109"/>
      <c r="X29" s="109"/>
      <c r="Y29" s="109"/>
      <c r="Z29" s="109"/>
    </row>
    <row r="30" ht="29.25" customHeight="1">
      <c r="A30" s="109" t="s">
        <v>8725</v>
      </c>
      <c r="B30" s="109" t="s">
        <v>8726</v>
      </c>
      <c r="C30" s="349">
        <v>42523.0</v>
      </c>
      <c r="D30" s="109"/>
      <c r="E30" s="109"/>
      <c r="F30" s="109"/>
      <c r="G30" s="109"/>
      <c r="H30" s="109"/>
      <c r="I30" s="109"/>
      <c r="J30" s="109"/>
      <c r="K30" s="109"/>
      <c r="L30" s="109"/>
      <c r="M30" s="109"/>
      <c r="N30" s="109"/>
      <c r="O30" s="109"/>
      <c r="P30" s="109"/>
      <c r="Q30" s="109"/>
      <c r="R30" s="109"/>
      <c r="S30" s="109"/>
      <c r="T30" s="109"/>
      <c r="U30" s="109"/>
      <c r="V30" s="109"/>
      <c r="W30" s="109"/>
      <c r="X30" s="109"/>
      <c r="Y30" s="109"/>
      <c r="Z30" s="109"/>
    </row>
    <row r="31" ht="29.25" customHeight="1">
      <c r="A31" s="109" t="s">
        <v>8727</v>
      </c>
      <c r="B31" s="109" t="s">
        <v>8728</v>
      </c>
      <c r="C31" s="349" t="s">
        <v>1867</v>
      </c>
      <c r="D31" s="109"/>
      <c r="E31" s="109"/>
      <c r="F31" s="109"/>
      <c r="G31" s="109"/>
      <c r="H31" s="109"/>
      <c r="I31" s="109"/>
      <c r="J31" s="109"/>
      <c r="K31" s="109"/>
      <c r="L31" s="109"/>
      <c r="M31" s="109"/>
      <c r="N31" s="109"/>
      <c r="O31" s="109"/>
      <c r="P31" s="109"/>
      <c r="Q31" s="109"/>
      <c r="R31" s="109"/>
      <c r="S31" s="109"/>
      <c r="T31" s="109"/>
      <c r="U31" s="109"/>
      <c r="V31" s="109"/>
      <c r="W31" s="109"/>
      <c r="X31" s="109"/>
      <c r="Y31" s="109"/>
      <c r="Z31" s="109"/>
    </row>
    <row r="32" ht="29.25" customHeight="1">
      <c r="A32" s="109" t="s">
        <v>8729</v>
      </c>
      <c r="B32" s="109"/>
      <c r="C32" s="112"/>
      <c r="D32" s="109"/>
      <c r="E32" s="109"/>
      <c r="F32" s="109"/>
      <c r="G32" s="109"/>
      <c r="H32" s="109"/>
      <c r="I32" s="109"/>
      <c r="J32" s="109"/>
      <c r="K32" s="109"/>
      <c r="L32" s="109"/>
      <c r="M32" s="109"/>
      <c r="N32" s="109"/>
      <c r="O32" s="109"/>
      <c r="P32" s="109"/>
      <c r="Q32" s="109"/>
      <c r="R32" s="109"/>
      <c r="S32" s="109"/>
      <c r="T32" s="109"/>
      <c r="U32" s="109"/>
      <c r="V32" s="109"/>
      <c r="W32" s="109"/>
      <c r="X32" s="109"/>
      <c r="Y32" s="109"/>
      <c r="Z32" s="109"/>
    </row>
    <row r="33" ht="29.25" customHeight="1">
      <c r="A33" s="109"/>
      <c r="B33" s="109"/>
      <c r="C33" s="109"/>
      <c r="D33" s="109"/>
      <c r="E33" s="109"/>
      <c r="F33" s="109"/>
      <c r="G33" s="109"/>
      <c r="H33" s="109"/>
      <c r="I33" s="109"/>
      <c r="J33" s="109"/>
      <c r="K33" s="109"/>
      <c r="L33" s="109"/>
      <c r="M33" s="109"/>
      <c r="N33" s="109"/>
      <c r="O33" s="109"/>
      <c r="P33" s="109"/>
      <c r="Q33" s="109"/>
      <c r="R33" s="109"/>
      <c r="S33" s="109"/>
      <c r="T33" s="109"/>
      <c r="U33" s="109"/>
      <c r="V33" s="109"/>
      <c r="W33" s="109"/>
      <c r="X33" s="109"/>
      <c r="Y33" s="109"/>
      <c r="Z33" s="109"/>
    </row>
    <row r="34" ht="29.25" customHeight="1">
      <c r="A34" s="351" t="s">
        <v>8730</v>
      </c>
      <c r="B34" s="351"/>
      <c r="C34" s="351"/>
      <c r="D34" s="351"/>
      <c r="E34" s="351"/>
      <c r="F34" s="351"/>
      <c r="G34" s="351"/>
      <c r="H34" s="351"/>
      <c r="I34" s="351"/>
      <c r="J34" s="351"/>
      <c r="K34" s="351"/>
      <c r="L34" s="351"/>
      <c r="M34" s="351"/>
      <c r="N34" s="351"/>
      <c r="O34" s="351"/>
      <c r="P34" s="351"/>
      <c r="Q34" s="351"/>
      <c r="R34" s="351"/>
      <c r="S34" s="351"/>
      <c r="T34" s="351"/>
      <c r="U34" s="351"/>
      <c r="V34" s="351"/>
      <c r="W34" s="351"/>
      <c r="X34" s="351"/>
      <c r="Y34" s="351"/>
      <c r="Z34" s="351"/>
    </row>
    <row r="35" ht="29.25" customHeight="1">
      <c r="A35" s="109" t="s">
        <v>8731</v>
      </c>
      <c r="B35" s="109" t="s">
        <v>8732</v>
      </c>
      <c r="C35" s="112">
        <v>42156.0</v>
      </c>
      <c r="D35" s="109" t="s">
        <v>8733</v>
      </c>
      <c r="E35" s="109"/>
      <c r="F35" s="109"/>
      <c r="G35" s="109"/>
      <c r="H35" s="109"/>
      <c r="I35" s="109"/>
      <c r="J35" s="109"/>
      <c r="K35" s="109"/>
      <c r="L35" s="109"/>
      <c r="M35" s="109"/>
      <c r="N35" s="109"/>
      <c r="O35" s="109"/>
      <c r="P35" s="109"/>
      <c r="Q35" s="109"/>
      <c r="R35" s="109"/>
      <c r="S35" s="109"/>
      <c r="T35" s="109"/>
      <c r="U35" s="109"/>
      <c r="V35" s="109"/>
      <c r="W35" s="109"/>
      <c r="X35" s="109"/>
      <c r="Y35" s="109"/>
      <c r="Z35" s="109"/>
    </row>
    <row r="36" ht="29.25" customHeight="1">
      <c r="A36" s="109" t="s">
        <v>8734</v>
      </c>
      <c r="B36" s="109" t="s">
        <v>8735</v>
      </c>
      <c r="C36" s="112">
        <v>42156.0</v>
      </c>
      <c r="D36" s="109" t="s">
        <v>8733</v>
      </c>
      <c r="E36" s="109"/>
      <c r="F36" s="109"/>
      <c r="G36" s="109"/>
      <c r="H36" s="109"/>
      <c r="I36" s="109"/>
      <c r="J36" s="109"/>
      <c r="K36" s="109"/>
      <c r="L36" s="109"/>
      <c r="M36" s="109"/>
      <c r="N36" s="109"/>
      <c r="O36" s="109"/>
      <c r="P36" s="109"/>
      <c r="Q36" s="109"/>
      <c r="R36" s="109"/>
      <c r="S36" s="109"/>
      <c r="T36" s="109"/>
      <c r="U36" s="109"/>
      <c r="V36" s="109"/>
      <c r="W36" s="109"/>
      <c r="X36" s="109"/>
      <c r="Y36" s="109"/>
      <c r="Z36" s="109"/>
    </row>
    <row r="37" ht="29.25" customHeight="1">
      <c r="A37" s="109" t="s">
        <v>2665</v>
      </c>
      <c r="B37" s="109" t="s">
        <v>8736</v>
      </c>
      <c r="C37" s="112">
        <v>42156.0</v>
      </c>
      <c r="D37" s="109" t="s">
        <v>8733</v>
      </c>
      <c r="E37" s="109"/>
      <c r="F37" s="109"/>
      <c r="G37" s="109"/>
      <c r="H37" s="109"/>
      <c r="I37" s="109"/>
      <c r="J37" s="109"/>
      <c r="K37" s="109"/>
      <c r="L37" s="109"/>
      <c r="M37" s="109"/>
      <c r="N37" s="109"/>
      <c r="O37" s="109"/>
      <c r="P37" s="109"/>
      <c r="Q37" s="109"/>
      <c r="R37" s="109"/>
      <c r="S37" s="109"/>
      <c r="T37" s="109"/>
      <c r="U37" s="109"/>
      <c r="V37" s="109"/>
      <c r="W37" s="109"/>
      <c r="X37" s="109"/>
      <c r="Y37" s="109"/>
      <c r="Z37" s="109"/>
    </row>
    <row r="38" ht="29.25" customHeight="1">
      <c r="A38" s="109" t="s">
        <v>6909</v>
      </c>
      <c r="B38" s="109" t="s">
        <v>8737</v>
      </c>
      <c r="C38" s="112">
        <v>42156.0</v>
      </c>
      <c r="D38" s="109" t="s">
        <v>8733</v>
      </c>
      <c r="E38" s="109"/>
      <c r="F38" s="109"/>
      <c r="G38" s="109"/>
      <c r="H38" s="109"/>
      <c r="I38" s="109"/>
      <c r="J38" s="109"/>
      <c r="K38" s="109"/>
      <c r="L38" s="109"/>
      <c r="M38" s="109"/>
      <c r="N38" s="109"/>
      <c r="O38" s="109"/>
      <c r="P38" s="109"/>
      <c r="Q38" s="109"/>
      <c r="R38" s="109"/>
      <c r="S38" s="109"/>
      <c r="T38" s="109"/>
      <c r="U38" s="109"/>
      <c r="V38" s="109"/>
      <c r="W38" s="109"/>
      <c r="X38" s="109"/>
      <c r="Y38" s="109"/>
      <c r="Z38" s="109"/>
    </row>
    <row r="39" ht="29.25" customHeight="1">
      <c r="A39" s="109" t="s">
        <v>1303</v>
      </c>
      <c r="B39" s="109" t="s">
        <v>8738</v>
      </c>
      <c r="C39" s="112">
        <v>42269.0</v>
      </c>
      <c r="D39" s="109" t="s">
        <v>8733</v>
      </c>
      <c r="E39" s="109"/>
      <c r="F39" s="109"/>
      <c r="G39" s="109"/>
      <c r="H39" s="109"/>
      <c r="I39" s="109"/>
      <c r="J39" s="109"/>
      <c r="K39" s="109"/>
      <c r="L39" s="109"/>
      <c r="M39" s="109"/>
      <c r="N39" s="109"/>
      <c r="O39" s="109"/>
      <c r="P39" s="109"/>
      <c r="Q39" s="109"/>
      <c r="R39" s="109"/>
      <c r="S39" s="109"/>
      <c r="T39" s="109"/>
      <c r="U39" s="109"/>
      <c r="V39" s="109"/>
      <c r="W39" s="109"/>
      <c r="X39" s="109"/>
      <c r="Y39" s="109"/>
      <c r="Z39" s="109"/>
    </row>
    <row r="40" ht="29.25" customHeight="1">
      <c r="A40" s="109" t="s">
        <v>8739</v>
      </c>
      <c r="B40" s="109" t="s">
        <v>8740</v>
      </c>
      <c r="C40" s="112">
        <v>42269.0</v>
      </c>
      <c r="D40" s="109" t="s">
        <v>8741</v>
      </c>
      <c r="E40" s="109"/>
      <c r="F40" s="109"/>
      <c r="G40" s="109"/>
      <c r="H40" s="109"/>
      <c r="I40" s="109"/>
      <c r="J40" s="109"/>
      <c r="K40" s="109"/>
      <c r="L40" s="109"/>
      <c r="M40" s="109"/>
      <c r="N40" s="109"/>
      <c r="O40" s="109"/>
      <c r="P40" s="109"/>
      <c r="Q40" s="109"/>
      <c r="R40" s="109"/>
      <c r="S40" s="109"/>
      <c r="T40" s="109"/>
      <c r="U40" s="109"/>
      <c r="V40" s="109"/>
      <c r="W40" s="109"/>
      <c r="X40" s="109"/>
      <c r="Y40" s="109"/>
      <c r="Z40" s="109"/>
    </row>
    <row r="41" ht="29.25" customHeight="1">
      <c r="A41" s="109" t="s">
        <v>8742</v>
      </c>
      <c r="B41" s="109" t="s">
        <v>8743</v>
      </c>
      <c r="C41" s="112">
        <v>42269.0</v>
      </c>
      <c r="D41" s="109" t="s">
        <v>8741</v>
      </c>
      <c r="E41" s="109"/>
      <c r="F41" s="109"/>
      <c r="G41" s="109"/>
      <c r="H41" s="109"/>
      <c r="I41" s="109"/>
      <c r="J41" s="109"/>
      <c r="K41" s="109"/>
      <c r="L41" s="109"/>
      <c r="M41" s="109"/>
      <c r="N41" s="109"/>
      <c r="O41" s="109"/>
      <c r="P41" s="109"/>
      <c r="Q41" s="109"/>
      <c r="R41" s="109"/>
      <c r="S41" s="109"/>
      <c r="T41" s="109"/>
      <c r="U41" s="109"/>
      <c r="V41" s="109"/>
      <c r="W41" s="109"/>
      <c r="X41" s="109"/>
      <c r="Y41" s="109"/>
      <c r="Z41" s="109"/>
    </row>
    <row r="42" ht="29.25" customHeight="1">
      <c r="A42" s="109" t="s">
        <v>8744</v>
      </c>
      <c r="B42" s="109" t="s">
        <v>8745</v>
      </c>
      <c r="C42" s="112">
        <v>42156.0</v>
      </c>
      <c r="D42" s="109" t="s">
        <v>8746</v>
      </c>
      <c r="E42" s="109"/>
      <c r="F42" s="109"/>
      <c r="G42" s="109"/>
      <c r="H42" s="109"/>
      <c r="I42" s="109"/>
      <c r="J42" s="109"/>
      <c r="K42" s="109"/>
      <c r="L42" s="109"/>
      <c r="M42" s="109"/>
      <c r="N42" s="109"/>
      <c r="O42" s="109"/>
      <c r="P42" s="109"/>
      <c r="Q42" s="109"/>
      <c r="R42" s="109"/>
      <c r="S42" s="109"/>
      <c r="T42" s="109"/>
      <c r="U42" s="109"/>
      <c r="V42" s="109"/>
      <c r="W42" s="109"/>
      <c r="X42" s="109"/>
      <c r="Y42" s="109"/>
      <c r="Z42" s="109"/>
    </row>
    <row r="43" ht="29.25" customHeight="1">
      <c r="A43" s="109" t="s">
        <v>8747</v>
      </c>
      <c r="B43" s="109" t="s">
        <v>8748</v>
      </c>
      <c r="C43" s="109"/>
      <c r="D43" s="109" t="s">
        <v>8746</v>
      </c>
      <c r="E43" s="109"/>
      <c r="F43" s="109"/>
      <c r="G43" s="109"/>
      <c r="H43" s="109"/>
      <c r="I43" s="109"/>
      <c r="J43" s="109"/>
      <c r="K43" s="109"/>
      <c r="L43" s="109"/>
      <c r="M43" s="109"/>
      <c r="N43" s="109"/>
      <c r="O43" s="109"/>
      <c r="P43" s="109"/>
      <c r="Q43" s="109"/>
      <c r="R43" s="109"/>
      <c r="S43" s="109"/>
      <c r="T43" s="109"/>
      <c r="U43" s="109"/>
      <c r="V43" s="109"/>
      <c r="W43" s="109"/>
      <c r="X43" s="109"/>
      <c r="Y43" s="109"/>
      <c r="Z43" s="109"/>
    </row>
    <row r="44" ht="29.25" customHeight="1">
      <c r="A44" s="109" t="s">
        <v>7972</v>
      </c>
      <c r="B44" s="109"/>
      <c r="C44" s="109"/>
      <c r="D44" s="109" t="s">
        <v>8746</v>
      </c>
      <c r="E44" s="109"/>
      <c r="F44" s="109"/>
      <c r="G44" s="109"/>
      <c r="H44" s="109"/>
      <c r="I44" s="109"/>
      <c r="J44" s="109"/>
      <c r="K44" s="109"/>
      <c r="L44" s="109"/>
      <c r="M44" s="109"/>
      <c r="N44" s="109"/>
      <c r="O44" s="109"/>
      <c r="P44" s="109"/>
      <c r="Q44" s="109"/>
      <c r="R44" s="109"/>
      <c r="S44" s="109"/>
      <c r="T44" s="109"/>
      <c r="U44" s="109"/>
      <c r="V44" s="109"/>
      <c r="W44" s="109"/>
      <c r="X44" s="109"/>
      <c r="Y44" s="109"/>
      <c r="Z44" s="109"/>
    </row>
    <row r="45" ht="29.25" customHeight="1">
      <c r="A45" s="109" t="s">
        <v>7904</v>
      </c>
      <c r="B45" s="109"/>
      <c r="C45" s="109"/>
      <c r="D45" s="109" t="s">
        <v>8746</v>
      </c>
      <c r="E45" s="109"/>
      <c r="F45" s="109"/>
      <c r="G45" s="109"/>
      <c r="H45" s="109"/>
      <c r="I45" s="109"/>
      <c r="J45" s="109"/>
      <c r="K45" s="109"/>
      <c r="L45" s="109"/>
      <c r="M45" s="109"/>
      <c r="N45" s="109"/>
      <c r="O45" s="109"/>
      <c r="P45" s="109"/>
      <c r="Q45" s="109"/>
      <c r="R45" s="109"/>
      <c r="S45" s="109"/>
      <c r="T45" s="109"/>
      <c r="U45" s="109"/>
      <c r="V45" s="109"/>
      <c r="W45" s="109"/>
      <c r="X45" s="109"/>
      <c r="Y45" s="109"/>
      <c r="Z45" s="109"/>
    </row>
    <row r="46" ht="29.25" customHeight="1">
      <c r="A46" s="352" t="s">
        <v>8749</v>
      </c>
      <c r="B46" s="352" t="s">
        <v>8750</v>
      </c>
      <c r="C46" s="353">
        <v>42522.0</v>
      </c>
      <c r="D46" s="352" t="s">
        <v>8751</v>
      </c>
      <c r="E46" s="352"/>
      <c r="F46" s="352"/>
      <c r="G46" s="352"/>
      <c r="H46" s="352"/>
      <c r="I46" s="352"/>
      <c r="J46" s="352"/>
      <c r="K46" s="352"/>
      <c r="L46" s="352"/>
      <c r="M46" s="352"/>
      <c r="N46" s="352"/>
      <c r="O46" s="352"/>
      <c r="P46" s="352"/>
      <c r="Q46" s="352"/>
      <c r="R46" s="352"/>
      <c r="S46" s="352"/>
      <c r="T46" s="352"/>
      <c r="U46" s="352"/>
      <c r="V46" s="352"/>
      <c r="W46" s="352"/>
      <c r="X46" s="352"/>
      <c r="Y46" s="352"/>
      <c r="Z46" s="352"/>
    </row>
    <row r="47" ht="29.25" customHeight="1">
      <c r="A47" s="352" t="s">
        <v>1564</v>
      </c>
      <c r="B47" s="352" t="s">
        <v>8752</v>
      </c>
      <c r="C47" s="353">
        <v>42522.0</v>
      </c>
      <c r="D47" s="352" t="s">
        <v>8753</v>
      </c>
      <c r="E47" s="352"/>
      <c r="F47" s="352"/>
      <c r="G47" s="352"/>
      <c r="H47" s="352"/>
      <c r="I47" s="352"/>
      <c r="J47" s="352"/>
      <c r="K47" s="352"/>
      <c r="L47" s="352"/>
      <c r="M47" s="352"/>
      <c r="N47" s="352"/>
      <c r="O47" s="352"/>
      <c r="P47" s="352"/>
      <c r="Q47" s="352"/>
      <c r="R47" s="352"/>
      <c r="S47" s="352"/>
      <c r="T47" s="352"/>
      <c r="U47" s="352"/>
      <c r="V47" s="352"/>
      <c r="W47" s="352"/>
      <c r="X47" s="352"/>
      <c r="Y47" s="352"/>
      <c r="Z47" s="352"/>
    </row>
    <row r="48" ht="29.25" customHeight="1">
      <c r="A48" s="352" t="s">
        <v>2841</v>
      </c>
      <c r="B48" s="352" t="s">
        <v>8754</v>
      </c>
      <c r="C48" s="353">
        <v>42522.0</v>
      </c>
      <c r="D48" s="352" t="s">
        <v>8755</v>
      </c>
      <c r="E48" s="352"/>
      <c r="F48" s="352"/>
      <c r="G48" s="352"/>
      <c r="H48" s="352"/>
      <c r="I48" s="352"/>
      <c r="J48" s="352"/>
      <c r="K48" s="352"/>
      <c r="L48" s="352"/>
      <c r="M48" s="352"/>
      <c r="N48" s="352"/>
      <c r="O48" s="352"/>
      <c r="P48" s="352"/>
      <c r="Q48" s="352"/>
      <c r="R48" s="352"/>
      <c r="S48" s="352"/>
      <c r="T48" s="352"/>
      <c r="U48" s="352"/>
      <c r="V48" s="352"/>
      <c r="W48" s="352"/>
      <c r="X48" s="352"/>
      <c r="Y48" s="352"/>
      <c r="Z48" s="352"/>
    </row>
    <row r="49" ht="29.25" customHeight="1">
      <c r="A49" s="352" t="s">
        <v>8756</v>
      </c>
      <c r="B49" s="352" t="s">
        <v>8757</v>
      </c>
      <c r="C49" s="353">
        <v>42523.0</v>
      </c>
      <c r="D49" s="352" t="s">
        <v>8758</v>
      </c>
      <c r="E49" s="352"/>
      <c r="F49" s="352"/>
      <c r="G49" s="352"/>
      <c r="H49" s="352"/>
      <c r="I49" s="352"/>
      <c r="J49" s="352"/>
      <c r="K49" s="352"/>
      <c r="L49" s="352"/>
      <c r="M49" s="352"/>
      <c r="N49" s="352"/>
      <c r="O49" s="352"/>
      <c r="P49" s="352"/>
      <c r="Q49" s="352"/>
      <c r="R49" s="352"/>
      <c r="S49" s="352"/>
      <c r="T49" s="352"/>
      <c r="U49" s="352"/>
      <c r="V49" s="352"/>
      <c r="W49" s="352"/>
      <c r="X49" s="352"/>
      <c r="Y49" s="352"/>
      <c r="Z49" s="352"/>
    </row>
    <row r="50" ht="29.25" customHeight="1">
      <c r="A50" s="352" t="s">
        <v>3594</v>
      </c>
      <c r="B50" s="352" t="s">
        <v>8759</v>
      </c>
      <c r="C50" s="353">
        <v>42527.0</v>
      </c>
      <c r="D50" s="352" t="s">
        <v>8760</v>
      </c>
      <c r="E50" s="352"/>
      <c r="F50" s="352"/>
      <c r="G50" s="352"/>
      <c r="H50" s="352"/>
      <c r="I50" s="352"/>
      <c r="J50" s="352"/>
      <c r="K50" s="352"/>
      <c r="L50" s="352"/>
      <c r="M50" s="352"/>
      <c r="N50" s="352"/>
      <c r="O50" s="352"/>
      <c r="P50" s="352"/>
      <c r="Q50" s="352"/>
      <c r="R50" s="352"/>
      <c r="S50" s="352"/>
      <c r="T50" s="352"/>
      <c r="U50" s="352"/>
      <c r="V50" s="352"/>
      <c r="W50" s="352"/>
      <c r="X50" s="352"/>
      <c r="Y50" s="352"/>
      <c r="Z50" s="352"/>
    </row>
    <row r="51" ht="29.25" customHeight="1">
      <c r="A51" s="109"/>
      <c r="B51" s="109"/>
      <c r="C51" s="109"/>
      <c r="D51" s="109"/>
      <c r="E51" s="109"/>
      <c r="F51" s="109"/>
      <c r="G51" s="109"/>
      <c r="H51" s="109"/>
      <c r="I51" s="109"/>
      <c r="J51" s="109"/>
      <c r="K51" s="109"/>
      <c r="L51" s="109"/>
      <c r="M51" s="109"/>
      <c r="N51" s="109"/>
      <c r="O51" s="109"/>
      <c r="P51" s="109"/>
      <c r="Q51" s="109"/>
      <c r="R51" s="109"/>
      <c r="S51" s="109"/>
      <c r="T51" s="109"/>
      <c r="U51" s="109"/>
      <c r="V51" s="109"/>
      <c r="W51" s="109"/>
      <c r="X51" s="109"/>
      <c r="Y51" s="109"/>
      <c r="Z51" s="109"/>
    </row>
    <row r="52" ht="29.25" customHeight="1">
      <c r="A52" s="109"/>
      <c r="B52" s="109"/>
      <c r="C52" s="109"/>
      <c r="D52" s="109"/>
      <c r="E52" s="109"/>
      <c r="F52" s="109"/>
      <c r="G52" s="109"/>
      <c r="H52" s="109"/>
      <c r="I52" s="109"/>
      <c r="J52" s="109"/>
      <c r="K52" s="109"/>
      <c r="L52" s="109"/>
      <c r="M52" s="109"/>
      <c r="N52" s="109"/>
      <c r="O52" s="109"/>
      <c r="P52" s="109"/>
      <c r="Q52" s="109"/>
      <c r="R52" s="109"/>
      <c r="S52" s="109"/>
      <c r="T52" s="109"/>
      <c r="U52" s="109"/>
      <c r="V52" s="109"/>
      <c r="W52" s="109"/>
      <c r="X52" s="109"/>
      <c r="Y52" s="109"/>
      <c r="Z52" s="109"/>
    </row>
    <row r="53" ht="29.25" customHeight="1">
      <c r="A53" s="109"/>
      <c r="B53" s="109"/>
      <c r="C53" s="109"/>
      <c r="D53" s="109"/>
      <c r="E53" s="109"/>
      <c r="F53" s="109"/>
      <c r="G53" s="109"/>
      <c r="H53" s="109"/>
      <c r="I53" s="109"/>
      <c r="J53" s="109"/>
      <c r="K53" s="109"/>
      <c r="L53" s="109"/>
      <c r="M53" s="109"/>
      <c r="N53" s="109"/>
      <c r="O53" s="109"/>
      <c r="P53" s="109"/>
      <c r="Q53" s="109"/>
      <c r="R53" s="109"/>
      <c r="S53" s="109"/>
      <c r="T53" s="109"/>
      <c r="U53" s="109"/>
      <c r="V53" s="109"/>
      <c r="W53" s="109"/>
      <c r="X53" s="109"/>
      <c r="Y53" s="109"/>
      <c r="Z53" s="109"/>
    </row>
    <row r="54" ht="29.25" customHeight="1">
      <c r="A54" s="109"/>
      <c r="B54" s="109"/>
      <c r="C54" s="109"/>
      <c r="D54" s="109"/>
      <c r="E54" s="109"/>
      <c r="F54" s="109"/>
      <c r="G54" s="109"/>
      <c r="H54" s="109"/>
      <c r="I54" s="109"/>
      <c r="J54" s="109"/>
      <c r="K54" s="109"/>
      <c r="L54" s="109"/>
      <c r="M54" s="109"/>
      <c r="N54" s="109"/>
      <c r="O54" s="109"/>
      <c r="P54" s="109"/>
      <c r="Q54" s="109"/>
      <c r="R54" s="109"/>
      <c r="S54" s="109"/>
      <c r="T54" s="109"/>
      <c r="U54" s="109"/>
      <c r="V54" s="109"/>
      <c r="W54" s="109"/>
      <c r="X54" s="109"/>
      <c r="Y54" s="109"/>
      <c r="Z54" s="109"/>
    </row>
    <row r="55" ht="29.25" customHeight="1">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c r="Y55" s="109"/>
      <c r="Z55" s="109"/>
    </row>
    <row r="56" ht="29.25" customHeight="1">
      <c r="A56" s="109"/>
      <c r="B56" s="109"/>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row>
    <row r="57" ht="29.25" customHeight="1">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c r="Y57" s="109"/>
      <c r="Z57" s="109"/>
    </row>
    <row r="58" ht="29.25" customHeight="1">
      <c r="A58" s="109"/>
      <c r="B58" s="109"/>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row>
    <row r="59" ht="29.25" customHeight="1">
      <c r="A59" s="109"/>
      <c r="B59" s="109"/>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row>
    <row r="60" ht="29.25" customHeight="1">
      <c r="A60" s="109"/>
      <c r="B60" s="109"/>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row>
    <row r="61" ht="29.25" customHeight="1">
      <c r="A61" s="109"/>
      <c r="B61" s="109"/>
      <c r="C61" s="109"/>
      <c r="D61" s="109"/>
      <c r="E61" s="109"/>
      <c r="F61" s="109"/>
      <c r="G61" s="109"/>
      <c r="H61" s="109"/>
      <c r="I61" s="109"/>
      <c r="J61" s="109"/>
      <c r="K61" s="109"/>
      <c r="L61" s="109"/>
      <c r="M61" s="109"/>
      <c r="N61" s="109"/>
      <c r="O61" s="109"/>
      <c r="P61" s="109"/>
      <c r="Q61" s="109"/>
      <c r="R61" s="109"/>
      <c r="S61" s="109"/>
      <c r="T61" s="109"/>
      <c r="U61" s="109"/>
      <c r="V61" s="109"/>
      <c r="W61" s="109"/>
      <c r="X61" s="109"/>
      <c r="Y61" s="109"/>
      <c r="Z61" s="109"/>
    </row>
    <row r="62" ht="29.25" customHeight="1">
      <c r="A62" s="109"/>
      <c r="B62" s="109"/>
      <c r="C62" s="109"/>
      <c r="D62" s="109"/>
      <c r="E62" s="109"/>
      <c r="F62" s="109"/>
      <c r="G62" s="109"/>
      <c r="H62" s="109"/>
      <c r="I62" s="109"/>
      <c r="J62" s="109"/>
      <c r="K62" s="109"/>
      <c r="L62" s="109"/>
      <c r="M62" s="109"/>
      <c r="N62" s="109"/>
      <c r="O62" s="109"/>
      <c r="P62" s="109"/>
      <c r="Q62" s="109"/>
      <c r="R62" s="109"/>
      <c r="S62" s="109"/>
      <c r="T62" s="109"/>
      <c r="U62" s="109"/>
      <c r="V62" s="109"/>
      <c r="W62" s="109"/>
      <c r="X62" s="109"/>
      <c r="Y62" s="109"/>
      <c r="Z62" s="109"/>
    </row>
    <row r="63" ht="29.25" customHeight="1">
      <c r="A63" s="109"/>
      <c r="B63" s="109"/>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row>
    <row r="64" ht="29.25" customHeight="1">
      <c r="A64" s="109"/>
      <c r="B64" s="109"/>
      <c r="C64" s="109"/>
      <c r="D64" s="109"/>
      <c r="E64" s="109"/>
      <c r="F64" s="109"/>
      <c r="G64" s="109"/>
      <c r="H64" s="109"/>
      <c r="I64" s="109"/>
      <c r="J64" s="109"/>
      <c r="K64" s="109"/>
      <c r="L64" s="109"/>
      <c r="M64" s="109"/>
      <c r="N64" s="109"/>
      <c r="O64" s="109"/>
      <c r="P64" s="109"/>
      <c r="Q64" s="109"/>
      <c r="R64" s="109"/>
      <c r="S64" s="109"/>
      <c r="T64" s="109"/>
      <c r="U64" s="109"/>
      <c r="V64" s="109"/>
      <c r="W64" s="109"/>
      <c r="X64" s="109"/>
      <c r="Y64" s="109"/>
      <c r="Z64" s="109"/>
    </row>
    <row r="65" ht="29.25" customHeight="1">
      <c r="A65" s="109"/>
      <c r="B65" s="109"/>
      <c r="C65" s="109"/>
      <c r="D65" s="109"/>
      <c r="E65" s="109"/>
      <c r="F65" s="109"/>
      <c r="G65" s="109"/>
      <c r="H65" s="109"/>
      <c r="I65" s="109"/>
      <c r="J65" s="109"/>
      <c r="K65" s="109"/>
      <c r="L65" s="109"/>
      <c r="M65" s="109"/>
      <c r="N65" s="109"/>
      <c r="O65" s="109"/>
      <c r="P65" s="109"/>
      <c r="Q65" s="109"/>
      <c r="R65" s="109"/>
      <c r="S65" s="109"/>
      <c r="T65" s="109"/>
      <c r="U65" s="109"/>
      <c r="V65" s="109"/>
      <c r="W65" s="109"/>
      <c r="X65" s="109"/>
      <c r="Y65" s="109"/>
      <c r="Z65" s="109"/>
    </row>
    <row r="66" ht="29.25" customHeight="1">
      <c r="A66" s="109"/>
      <c r="B66" s="109"/>
      <c r="C66" s="109"/>
      <c r="D66" s="109"/>
      <c r="E66" s="109"/>
      <c r="F66" s="109"/>
      <c r="G66" s="109"/>
      <c r="H66" s="109"/>
      <c r="I66" s="109"/>
      <c r="J66" s="109"/>
      <c r="K66" s="109"/>
      <c r="L66" s="109"/>
      <c r="M66" s="109"/>
      <c r="N66" s="109"/>
      <c r="O66" s="109"/>
      <c r="P66" s="109"/>
      <c r="Q66" s="109"/>
      <c r="R66" s="109"/>
      <c r="S66" s="109"/>
      <c r="T66" s="109"/>
      <c r="U66" s="109"/>
      <c r="V66" s="109"/>
      <c r="W66" s="109"/>
      <c r="X66" s="109"/>
      <c r="Y66" s="109"/>
      <c r="Z66" s="109"/>
    </row>
    <row r="67" ht="29.25" customHeight="1">
      <c r="A67" s="109"/>
      <c r="B67" s="109"/>
      <c r="C67" s="109"/>
      <c r="D67" s="109"/>
      <c r="E67" s="109"/>
      <c r="F67" s="109"/>
      <c r="G67" s="109"/>
      <c r="H67" s="109"/>
      <c r="I67" s="109"/>
      <c r="J67" s="109"/>
      <c r="K67" s="109"/>
      <c r="L67" s="109"/>
      <c r="M67" s="109"/>
      <c r="N67" s="109"/>
      <c r="O67" s="109"/>
      <c r="P67" s="109"/>
      <c r="Q67" s="109"/>
      <c r="R67" s="109"/>
      <c r="S67" s="109"/>
      <c r="T67" s="109"/>
      <c r="U67" s="109"/>
      <c r="V67" s="109"/>
      <c r="W67" s="109"/>
      <c r="X67" s="109"/>
      <c r="Y67" s="109"/>
      <c r="Z67" s="109"/>
    </row>
    <row r="68" ht="29.25" customHeight="1">
      <c r="A68" s="109"/>
      <c r="B68" s="109"/>
      <c r="C68" s="109"/>
      <c r="D68" s="109"/>
      <c r="E68" s="109"/>
      <c r="F68" s="109"/>
      <c r="G68" s="109"/>
      <c r="H68" s="109"/>
      <c r="I68" s="109"/>
      <c r="J68" s="109"/>
      <c r="K68" s="109"/>
      <c r="L68" s="109"/>
      <c r="M68" s="109"/>
      <c r="N68" s="109"/>
      <c r="O68" s="109"/>
      <c r="P68" s="109"/>
      <c r="Q68" s="109"/>
      <c r="R68" s="109"/>
      <c r="S68" s="109"/>
      <c r="T68" s="109"/>
      <c r="U68" s="109"/>
      <c r="V68" s="109"/>
      <c r="W68" s="109"/>
      <c r="X68" s="109"/>
      <c r="Y68" s="109"/>
      <c r="Z68" s="109"/>
    </row>
    <row r="69" ht="29.25" customHeight="1">
      <c r="A69" s="109"/>
      <c r="B69" s="109"/>
      <c r="C69" s="109"/>
      <c r="D69" s="109"/>
      <c r="E69" s="109"/>
      <c r="F69" s="109"/>
      <c r="G69" s="109"/>
      <c r="H69" s="109"/>
      <c r="I69" s="109"/>
      <c r="J69" s="109"/>
      <c r="K69" s="109"/>
      <c r="L69" s="109"/>
      <c r="M69" s="109"/>
      <c r="N69" s="109"/>
      <c r="O69" s="109"/>
      <c r="P69" s="109"/>
      <c r="Q69" s="109"/>
      <c r="R69" s="109"/>
      <c r="S69" s="109"/>
      <c r="T69" s="109"/>
      <c r="U69" s="109"/>
      <c r="V69" s="109"/>
      <c r="W69" s="109"/>
      <c r="X69" s="109"/>
      <c r="Y69" s="109"/>
      <c r="Z69" s="109"/>
    </row>
    <row r="70" ht="29.25" customHeight="1">
      <c r="A70" s="109"/>
      <c r="B70" s="109"/>
      <c r="C70" s="109"/>
      <c r="D70" s="109"/>
      <c r="E70" s="109"/>
      <c r="F70" s="109"/>
      <c r="G70" s="109"/>
      <c r="H70" s="109"/>
      <c r="I70" s="109"/>
      <c r="J70" s="109"/>
      <c r="K70" s="109"/>
      <c r="L70" s="109"/>
      <c r="M70" s="109"/>
      <c r="N70" s="109"/>
      <c r="O70" s="109"/>
      <c r="P70" s="109"/>
      <c r="Q70" s="109"/>
      <c r="R70" s="109"/>
      <c r="S70" s="109"/>
      <c r="T70" s="109"/>
      <c r="U70" s="109"/>
      <c r="V70" s="109"/>
      <c r="W70" s="109"/>
      <c r="X70" s="109"/>
      <c r="Y70" s="109"/>
      <c r="Z70" s="109"/>
    </row>
    <row r="71" ht="29.25" customHeight="1">
      <c r="A71" s="109"/>
      <c r="B71" s="109"/>
      <c r="C71" s="109"/>
      <c r="D71" s="109"/>
      <c r="E71" s="109"/>
      <c r="F71" s="109"/>
      <c r="G71" s="109"/>
      <c r="H71" s="109"/>
      <c r="I71" s="109"/>
      <c r="J71" s="109"/>
      <c r="K71" s="109"/>
      <c r="L71" s="109"/>
      <c r="M71" s="109"/>
      <c r="N71" s="109"/>
      <c r="O71" s="109"/>
      <c r="P71" s="109"/>
      <c r="Q71" s="109"/>
      <c r="R71" s="109"/>
      <c r="S71" s="109"/>
      <c r="T71" s="109"/>
      <c r="U71" s="109"/>
      <c r="V71" s="109"/>
      <c r="W71" s="109"/>
      <c r="X71" s="109"/>
      <c r="Y71" s="109"/>
      <c r="Z71" s="109"/>
    </row>
    <row r="72" ht="29.25" customHeight="1">
      <c r="A72" s="109"/>
      <c r="B72" s="109"/>
      <c r="C72" s="109"/>
      <c r="D72" s="109"/>
      <c r="E72" s="109"/>
      <c r="F72" s="109"/>
      <c r="G72" s="109"/>
      <c r="H72" s="109"/>
      <c r="I72" s="109"/>
      <c r="J72" s="109"/>
      <c r="K72" s="109"/>
      <c r="L72" s="109"/>
      <c r="M72" s="109"/>
      <c r="N72" s="109"/>
      <c r="O72" s="109"/>
      <c r="P72" s="109"/>
      <c r="Q72" s="109"/>
      <c r="R72" s="109"/>
      <c r="S72" s="109"/>
      <c r="T72" s="109"/>
      <c r="U72" s="109"/>
      <c r="V72" s="109"/>
      <c r="W72" s="109"/>
      <c r="X72" s="109"/>
      <c r="Y72" s="109"/>
      <c r="Z72" s="109"/>
    </row>
    <row r="73" ht="29.25" customHeight="1">
      <c r="A73" s="109"/>
      <c r="B73" s="109"/>
      <c r="C73" s="109"/>
      <c r="D73" s="109"/>
      <c r="E73" s="109"/>
      <c r="F73" s="109"/>
      <c r="G73" s="109"/>
      <c r="H73" s="109"/>
      <c r="I73" s="109"/>
      <c r="J73" s="109"/>
      <c r="K73" s="109"/>
      <c r="L73" s="109"/>
      <c r="M73" s="109"/>
      <c r="N73" s="109"/>
      <c r="O73" s="109"/>
      <c r="P73" s="109"/>
      <c r="Q73" s="109"/>
      <c r="R73" s="109"/>
      <c r="S73" s="109"/>
      <c r="T73" s="109"/>
      <c r="U73" s="109"/>
      <c r="V73" s="109"/>
      <c r="W73" s="109"/>
      <c r="X73" s="109"/>
      <c r="Y73" s="109"/>
      <c r="Z73" s="109"/>
    </row>
    <row r="74" ht="29.25" customHeight="1">
      <c r="A74" s="109"/>
      <c r="B74" s="109"/>
      <c r="C74" s="109"/>
      <c r="D74" s="109"/>
      <c r="E74" s="109"/>
      <c r="F74" s="109"/>
      <c r="G74" s="109"/>
      <c r="H74" s="109"/>
      <c r="I74" s="109"/>
      <c r="J74" s="109"/>
      <c r="K74" s="109"/>
      <c r="L74" s="109"/>
      <c r="M74" s="109"/>
      <c r="N74" s="109"/>
      <c r="O74" s="109"/>
      <c r="P74" s="109"/>
      <c r="Q74" s="109"/>
      <c r="R74" s="109"/>
      <c r="S74" s="109"/>
      <c r="T74" s="109"/>
      <c r="U74" s="109"/>
      <c r="V74" s="109"/>
      <c r="W74" s="109"/>
      <c r="X74" s="109"/>
      <c r="Y74" s="109"/>
      <c r="Z74" s="109"/>
    </row>
    <row r="75" ht="29.25" customHeight="1">
      <c r="A75" s="109"/>
      <c r="B75" s="109"/>
      <c r="C75" s="109"/>
      <c r="D75" s="109"/>
      <c r="E75" s="109"/>
      <c r="F75" s="109"/>
      <c r="G75" s="109"/>
      <c r="H75" s="109"/>
      <c r="I75" s="109"/>
      <c r="J75" s="109"/>
      <c r="K75" s="109"/>
      <c r="L75" s="109"/>
      <c r="M75" s="109"/>
      <c r="N75" s="109"/>
      <c r="O75" s="109"/>
      <c r="P75" s="109"/>
      <c r="Q75" s="109"/>
      <c r="R75" s="109"/>
      <c r="S75" s="109"/>
      <c r="T75" s="109"/>
      <c r="U75" s="109"/>
      <c r="V75" s="109"/>
      <c r="W75" s="109"/>
      <c r="X75" s="109"/>
      <c r="Y75" s="109"/>
      <c r="Z75" s="109"/>
    </row>
    <row r="76" ht="29.25" customHeight="1">
      <c r="A76" s="109"/>
      <c r="B76" s="109"/>
      <c r="C76" s="109"/>
      <c r="D76" s="109"/>
      <c r="E76" s="109"/>
      <c r="F76" s="109"/>
      <c r="G76" s="109"/>
      <c r="H76" s="109"/>
      <c r="I76" s="109"/>
      <c r="J76" s="109"/>
      <c r="K76" s="109"/>
      <c r="L76" s="109"/>
      <c r="M76" s="109"/>
      <c r="N76" s="109"/>
      <c r="O76" s="109"/>
      <c r="P76" s="109"/>
      <c r="Q76" s="109"/>
      <c r="R76" s="109"/>
      <c r="S76" s="109"/>
      <c r="T76" s="109"/>
      <c r="U76" s="109"/>
      <c r="V76" s="109"/>
      <c r="W76" s="109"/>
      <c r="X76" s="109"/>
      <c r="Y76" s="109"/>
      <c r="Z76" s="109"/>
    </row>
    <row r="77" ht="29.25" customHeight="1">
      <c r="A77" s="109"/>
      <c r="B77" s="109"/>
      <c r="C77" s="109"/>
      <c r="D77" s="109"/>
      <c r="E77" s="109"/>
      <c r="F77" s="109"/>
      <c r="G77" s="109"/>
      <c r="H77" s="109"/>
      <c r="I77" s="109"/>
      <c r="J77" s="109"/>
      <c r="K77" s="109"/>
      <c r="L77" s="109"/>
      <c r="M77" s="109"/>
      <c r="N77" s="109"/>
      <c r="O77" s="109"/>
      <c r="P77" s="109"/>
      <c r="Q77" s="109"/>
      <c r="R77" s="109"/>
      <c r="S77" s="109"/>
      <c r="T77" s="109"/>
      <c r="U77" s="109"/>
      <c r="V77" s="109"/>
      <c r="W77" s="109"/>
      <c r="X77" s="109"/>
      <c r="Y77" s="109"/>
      <c r="Z77" s="109"/>
    </row>
    <row r="78" ht="29.25" customHeight="1">
      <c r="A78" s="109"/>
      <c r="B78" s="109"/>
      <c r="C78" s="109"/>
      <c r="D78" s="109"/>
      <c r="E78" s="109"/>
      <c r="F78" s="109"/>
      <c r="G78" s="109"/>
      <c r="H78" s="109"/>
      <c r="I78" s="109"/>
      <c r="J78" s="109"/>
      <c r="K78" s="109"/>
      <c r="L78" s="109"/>
      <c r="M78" s="109"/>
      <c r="N78" s="109"/>
      <c r="O78" s="109"/>
      <c r="P78" s="109"/>
      <c r="Q78" s="109"/>
      <c r="R78" s="109"/>
      <c r="S78" s="109"/>
      <c r="T78" s="109"/>
      <c r="U78" s="109"/>
      <c r="V78" s="109"/>
      <c r="W78" s="109"/>
      <c r="X78" s="109"/>
      <c r="Y78" s="109"/>
      <c r="Z78" s="109"/>
    </row>
    <row r="79" ht="29.25" customHeight="1">
      <c r="A79" s="109"/>
      <c r="B79" s="109"/>
      <c r="C79" s="109"/>
      <c r="D79" s="109"/>
      <c r="E79" s="109"/>
      <c r="F79" s="109"/>
      <c r="G79" s="109"/>
      <c r="H79" s="109"/>
      <c r="I79" s="109"/>
      <c r="J79" s="109"/>
      <c r="K79" s="109"/>
      <c r="L79" s="109"/>
      <c r="M79" s="109"/>
      <c r="N79" s="109"/>
      <c r="O79" s="109"/>
      <c r="P79" s="109"/>
      <c r="Q79" s="109"/>
      <c r="R79" s="109"/>
      <c r="S79" s="109"/>
      <c r="T79" s="109"/>
      <c r="U79" s="109"/>
      <c r="V79" s="109"/>
      <c r="W79" s="109"/>
      <c r="X79" s="109"/>
      <c r="Y79" s="109"/>
      <c r="Z79" s="109"/>
    </row>
    <row r="80" ht="29.25" customHeight="1">
      <c r="A80" s="109"/>
      <c r="B80" s="109"/>
      <c r="C80" s="109"/>
      <c r="D80" s="109"/>
      <c r="E80" s="109"/>
      <c r="F80" s="109"/>
      <c r="G80" s="109"/>
      <c r="H80" s="109"/>
      <c r="I80" s="109"/>
      <c r="J80" s="109"/>
      <c r="K80" s="109"/>
      <c r="L80" s="109"/>
      <c r="M80" s="109"/>
      <c r="N80" s="109"/>
      <c r="O80" s="109"/>
      <c r="P80" s="109"/>
      <c r="Q80" s="109"/>
      <c r="R80" s="109"/>
      <c r="S80" s="109"/>
      <c r="T80" s="109"/>
      <c r="U80" s="109"/>
      <c r="V80" s="109"/>
      <c r="W80" s="109"/>
      <c r="X80" s="109"/>
      <c r="Y80" s="109"/>
      <c r="Z80" s="109"/>
    </row>
    <row r="81" ht="29.25" customHeight="1">
      <c r="A81" s="109"/>
      <c r="B81" s="109"/>
      <c r="C81" s="109"/>
      <c r="D81" s="109"/>
      <c r="E81" s="109"/>
      <c r="F81" s="109"/>
      <c r="G81" s="109"/>
      <c r="H81" s="109"/>
      <c r="I81" s="109"/>
      <c r="J81" s="109"/>
      <c r="K81" s="109"/>
      <c r="L81" s="109"/>
      <c r="M81" s="109"/>
      <c r="N81" s="109"/>
      <c r="O81" s="109"/>
      <c r="P81" s="109"/>
      <c r="Q81" s="109"/>
      <c r="R81" s="109"/>
      <c r="S81" s="109"/>
      <c r="T81" s="109"/>
      <c r="U81" s="109"/>
      <c r="V81" s="109"/>
      <c r="W81" s="109"/>
      <c r="X81" s="109"/>
      <c r="Y81" s="109"/>
      <c r="Z81" s="109"/>
    </row>
    <row r="82" ht="29.25" customHeight="1">
      <c r="A82" s="109"/>
      <c r="B82" s="109"/>
      <c r="C82" s="109"/>
      <c r="D82" s="109"/>
      <c r="E82" s="109"/>
      <c r="F82" s="109"/>
      <c r="G82" s="109"/>
      <c r="H82" s="109"/>
      <c r="I82" s="109"/>
      <c r="J82" s="109"/>
      <c r="K82" s="109"/>
      <c r="L82" s="109"/>
      <c r="M82" s="109"/>
      <c r="N82" s="109"/>
      <c r="O82" s="109"/>
      <c r="P82" s="109"/>
      <c r="Q82" s="109"/>
      <c r="R82" s="109"/>
      <c r="S82" s="109"/>
      <c r="T82" s="109"/>
      <c r="U82" s="109"/>
      <c r="V82" s="109"/>
      <c r="W82" s="109"/>
      <c r="X82" s="109"/>
      <c r="Y82" s="109"/>
      <c r="Z82" s="109"/>
    </row>
    <row r="83" ht="29.25" customHeight="1">
      <c r="A83" s="109"/>
      <c r="B83" s="109"/>
      <c r="C83" s="109"/>
      <c r="D83" s="109"/>
      <c r="E83" s="109"/>
      <c r="F83" s="109"/>
      <c r="G83" s="109"/>
      <c r="H83" s="109"/>
      <c r="I83" s="109"/>
      <c r="J83" s="109"/>
      <c r="K83" s="109"/>
      <c r="L83" s="109"/>
      <c r="M83" s="109"/>
      <c r="N83" s="109"/>
      <c r="O83" s="109"/>
      <c r="P83" s="109"/>
      <c r="Q83" s="109"/>
      <c r="R83" s="109"/>
      <c r="S83" s="109"/>
      <c r="T83" s="109"/>
      <c r="U83" s="109"/>
      <c r="V83" s="109"/>
      <c r="W83" s="109"/>
      <c r="X83" s="109"/>
      <c r="Y83" s="109"/>
      <c r="Z83" s="109"/>
    </row>
    <row r="84" ht="29.25" customHeight="1">
      <c r="A84" s="109"/>
      <c r="B84" s="109"/>
      <c r="C84" s="109"/>
      <c r="D84" s="109"/>
      <c r="E84" s="109"/>
      <c r="F84" s="109"/>
      <c r="G84" s="109"/>
      <c r="H84" s="109"/>
      <c r="I84" s="109"/>
      <c r="J84" s="109"/>
      <c r="K84" s="109"/>
      <c r="L84" s="109"/>
      <c r="M84" s="109"/>
      <c r="N84" s="109"/>
      <c r="O84" s="109"/>
      <c r="P84" s="109"/>
      <c r="Q84" s="109"/>
      <c r="R84" s="109"/>
      <c r="S84" s="109"/>
      <c r="T84" s="109"/>
      <c r="U84" s="109"/>
      <c r="V84" s="109"/>
      <c r="W84" s="109"/>
      <c r="X84" s="109"/>
      <c r="Y84" s="109"/>
      <c r="Z84" s="109"/>
    </row>
    <row r="85" ht="29.25" customHeight="1">
      <c r="A85" s="109"/>
      <c r="B85" s="109"/>
      <c r="C85" s="109"/>
      <c r="D85" s="109"/>
      <c r="E85" s="109"/>
      <c r="F85" s="109"/>
      <c r="G85" s="109"/>
      <c r="H85" s="109"/>
      <c r="I85" s="109"/>
      <c r="J85" s="109"/>
      <c r="K85" s="109"/>
      <c r="L85" s="109"/>
      <c r="M85" s="109"/>
      <c r="N85" s="109"/>
      <c r="O85" s="109"/>
      <c r="P85" s="109"/>
      <c r="Q85" s="109"/>
      <c r="R85" s="109"/>
      <c r="S85" s="109"/>
      <c r="T85" s="109"/>
      <c r="U85" s="109"/>
      <c r="V85" s="109"/>
      <c r="W85" s="109"/>
      <c r="X85" s="109"/>
      <c r="Y85" s="109"/>
      <c r="Z85" s="109"/>
    </row>
    <row r="86" ht="29.25" customHeight="1">
      <c r="A86" s="109"/>
      <c r="B86" s="109"/>
      <c r="C86" s="109"/>
      <c r="D86" s="109"/>
      <c r="E86" s="109"/>
      <c r="F86" s="109"/>
      <c r="G86" s="109"/>
      <c r="H86" s="109"/>
      <c r="I86" s="109"/>
      <c r="J86" s="109"/>
      <c r="K86" s="109"/>
      <c r="L86" s="109"/>
      <c r="M86" s="109"/>
      <c r="N86" s="109"/>
      <c r="O86" s="109"/>
      <c r="P86" s="109"/>
      <c r="Q86" s="109"/>
      <c r="R86" s="109"/>
      <c r="S86" s="109"/>
      <c r="T86" s="109"/>
      <c r="U86" s="109"/>
      <c r="V86" s="109"/>
      <c r="W86" s="109"/>
      <c r="X86" s="109"/>
      <c r="Y86" s="109"/>
      <c r="Z86" s="109"/>
    </row>
    <row r="87" ht="29.25" customHeight="1">
      <c r="A87" s="109"/>
      <c r="B87" s="109"/>
      <c r="C87" s="109"/>
      <c r="D87" s="109"/>
      <c r="E87" s="109"/>
      <c r="F87" s="109"/>
      <c r="G87" s="109"/>
      <c r="H87" s="109"/>
      <c r="I87" s="109"/>
      <c r="J87" s="109"/>
      <c r="K87" s="109"/>
      <c r="L87" s="109"/>
      <c r="M87" s="109"/>
      <c r="N87" s="109"/>
      <c r="O87" s="109"/>
      <c r="P87" s="109"/>
      <c r="Q87" s="109"/>
      <c r="R87" s="109"/>
      <c r="S87" s="109"/>
      <c r="T87" s="109"/>
      <c r="U87" s="109"/>
      <c r="V87" s="109"/>
      <c r="W87" s="109"/>
      <c r="X87" s="109"/>
      <c r="Y87" s="109"/>
      <c r="Z87" s="109"/>
    </row>
    <row r="88" ht="29.25" customHeight="1">
      <c r="A88" s="109"/>
      <c r="B88" s="109"/>
      <c r="C88" s="109"/>
      <c r="D88" s="109"/>
      <c r="E88" s="109"/>
      <c r="F88" s="109"/>
      <c r="G88" s="109"/>
      <c r="H88" s="109"/>
      <c r="I88" s="109"/>
      <c r="J88" s="109"/>
      <c r="K88" s="109"/>
      <c r="L88" s="109"/>
      <c r="M88" s="109"/>
      <c r="N88" s="109"/>
      <c r="O88" s="109"/>
      <c r="P88" s="109"/>
      <c r="Q88" s="109"/>
      <c r="R88" s="109"/>
      <c r="S88" s="109"/>
      <c r="T88" s="109"/>
      <c r="U88" s="109"/>
      <c r="V88" s="109"/>
      <c r="W88" s="109"/>
      <c r="X88" s="109"/>
      <c r="Y88" s="109"/>
      <c r="Z88" s="109"/>
    </row>
    <row r="89" ht="29.25" customHeight="1">
      <c r="A89" s="109"/>
      <c r="B89" s="109"/>
      <c r="C89" s="109"/>
      <c r="D89" s="109"/>
      <c r="E89" s="109"/>
      <c r="F89" s="109"/>
      <c r="G89" s="109"/>
      <c r="H89" s="109"/>
      <c r="I89" s="109"/>
      <c r="J89" s="109"/>
      <c r="K89" s="109"/>
      <c r="L89" s="109"/>
      <c r="M89" s="109"/>
      <c r="N89" s="109"/>
      <c r="O89" s="109"/>
      <c r="P89" s="109"/>
      <c r="Q89" s="109"/>
      <c r="R89" s="109"/>
      <c r="S89" s="109"/>
      <c r="T89" s="109"/>
      <c r="U89" s="109"/>
      <c r="V89" s="109"/>
      <c r="W89" s="109"/>
      <c r="X89" s="109"/>
      <c r="Y89" s="109"/>
      <c r="Z89" s="109"/>
    </row>
    <row r="90" ht="29.25" customHeight="1">
      <c r="A90" s="109"/>
      <c r="B90" s="109"/>
      <c r="C90" s="109"/>
      <c r="D90" s="109"/>
      <c r="E90" s="109"/>
      <c r="F90" s="109"/>
      <c r="G90" s="109"/>
      <c r="H90" s="109"/>
      <c r="I90" s="109"/>
      <c r="J90" s="109"/>
      <c r="K90" s="109"/>
      <c r="L90" s="109"/>
      <c r="M90" s="109"/>
      <c r="N90" s="109"/>
      <c r="O90" s="109"/>
      <c r="P90" s="109"/>
      <c r="Q90" s="109"/>
      <c r="R90" s="109"/>
      <c r="S90" s="109"/>
      <c r="T90" s="109"/>
      <c r="U90" s="109"/>
      <c r="V90" s="109"/>
      <c r="W90" s="109"/>
      <c r="X90" s="109"/>
      <c r="Y90" s="109"/>
      <c r="Z90" s="109"/>
    </row>
    <row r="91" ht="29.25" customHeight="1">
      <c r="A91" s="109"/>
      <c r="B91" s="109"/>
      <c r="C91" s="109"/>
      <c r="D91" s="109"/>
      <c r="E91" s="109"/>
      <c r="F91" s="109"/>
      <c r="G91" s="109"/>
      <c r="H91" s="109"/>
      <c r="I91" s="109"/>
      <c r="J91" s="109"/>
      <c r="K91" s="109"/>
      <c r="L91" s="109"/>
      <c r="M91" s="109"/>
      <c r="N91" s="109"/>
      <c r="O91" s="109"/>
      <c r="P91" s="109"/>
      <c r="Q91" s="109"/>
      <c r="R91" s="109"/>
      <c r="S91" s="109"/>
      <c r="T91" s="109"/>
      <c r="U91" s="109"/>
      <c r="V91" s="109"/>
      <c r="W91" s="109"/>
      <c r="X91" s="109"/>
      <c r="Y91" s="109"/>
      <c r="Z91" s="109"/>
    </row>
    <row r="92" ht="29.25" customHeight="1">
      <c r="A92" s="109"/>
      <c r="B92" s="109"/>
      <c r="C92" s="109"/>
      <c r="D92" s="109"/>
      <c r="E92" s="109"/>
      <c r="F92" s="109"/>
      <c r="G92" s="109"/>
      <c r="H92" s="109"/>
      <c r="I92" s="109"/>
      <c r="J92" s="109"/>
      <c r="K92" s="109"/>
      <c r="L92" s="109"/>
      <c r="M92" s="109"/>
      <c r="N92" s="109"/>
      <c r="O92" s="109"/>
      <c r="P92" s="109"/>
      <c r="Q92" s="109"/>
      <c r="R92" s="109"/>
      <c r="S92" s="109"/>
      <c r="T92" s="109"/>
      <c r="U92" s="109"/>
      <c r="V92" s="109"/>
      <c r="W92" s="109"/>
      <c r="X92" s="109"/>
      <c r="Y92" s="109"/>
      <c r="Z92" s="109"/>
    </row>
    <row r="93" ht="29.25" customHeight="1">
      <c r="A93" s="109"/>
      <c r="B93" s="109"/>
      <c r="C93" s="109"/>
      <c r="D93" s="109"/>
      <c r="E93" s="109"/>
      <c r="F93" s="109"/>
      <c r="G93" s="109"/>
      <c r="H93" s="109"/>
      <c r="I93" s="109"/>
      <c r="J93" s="109"/>
      <c r="K93" s="109"/>
      <c r="L93" s="109"/>
      <c r="M93" s="109"/>
      <c r="N93" s="109"/>
      <c r="O93" s="109"/>
      <c r="P93" s="109"/>
      <c r="Q93" s="109"/>
      <c r="R93" s="109"/>
      <c r="S93" s="109"/>
      <c r="T93" s="109"/>
      <c r="U93" s="109"/>
      <c r="V93" s="109"/>
      <c r="W93" s="109"/>
      <c r="X93" s="109"/>
      <c r="Y93" s="109"/>
      <c r="Z93" s="109"/>
    </row>
    <row r="94" ht="29.25" customHeight="1">
      <c r="A94" s="109"/>
      <c r="B94" s="109"/>
      <c r="C94" s="109"/>
      <c r="D94" s="109"/>
      <c r="E94" s="109"/>
      <c r="F94" s="109"/>
      <c r="G94" s="109"/>
      <c r="H94" s="109"/>
      <c r="I94" s="109"/>
      <c r="J94" s="109"/>
      <c r="K94" s="109"/>
      <c r="L94" s="109"/>
      <c r="M94" s="109"/>
      <c r="N94" s="109"/>
      <c r="O94" s="109"/>
      <c r="P94" s="109"/>
      <c r="Q94" s="109"/>
      <c r="R94" s="109"/>
      <c r="S94" s="109"/>
      <c r="T94" s="109"/>
      <c r="U94" s="109"/>
      <c r="V94" s="109"/>
      <c r="W94" s="109"/>
      <c r="X94" s="109"/>
      <c r="Y94" s="109"/>
      <c r="Z94" s="109"/>
    </row>
    <row r="95" ht="29.25" customHeight="1">
      <c r="A95" s="109"/>
      <c r="B95" s="109"/>
      <c r="C95" s="109"/>
      <c r="D95" s="109"/>
      <c r="E95" s="109"/>
      <c r="F95" s="109"/>
      <c r="G95" s="109"/>
      <c r="H95" s="109"/>
      <c r="I95" s="109"/>
      <c r="J95" s="109"/>
      <c r="K95" s="109"/>
      <c r="L95" s="109"/>
      <c r="M95" s="109"/>
      <c r="N95" s="109"/>
      <c r="O95" s="109"/>
      <c r="P95" s="109"/>
      <c r="Q95" s="109"/>
      <c r="R95" s="109"/>
      <c r="S95" s="109"/>
      <c r="T95" s="109"/>
      <c r="U95" s="109"/>
      <c r="V95" s="109"/>
      <c r="W95" s="109"/>
      <c r="X95" s="109"/>
      <c r="Y95" s="109"/>
      <c r="Z95" s="109"/>
    </row>
    <row r="96" ht="29.25" customHeight="1">
      <c r="A96" s="109"/>
      <c r="B96" s="109"/>
      <c r="C96" s="109"/>
      <c r="D96" s="109"/>
      <c r="E96" s="109"/>
      <c r="F96" s="109"/>
      <c r="G96" s="109"/>
      <c r="H96" s="109"/>
      <c r="I96" s="109"/>
      <c r="J96" s="109"/>
      <c r="K96" s="109"/>
      <c r="L96" s="109"/>
      <c r="M96" s="109"/>
      <c r="N96" s="109"/>
      <c r="O96" s="109"/>
      <c r="P96" s="109"/>
      <c r="Q96" s="109"/>
      <c r="R96" s="109"/>
      <c r="S96" s="109"/>
      <c r="T96" s="109"/>
      <c r="U96" s="109"/>
      <c r="V96" s="109"/>
      <c r="W96" s="109"/>
      <c r="X96" s="109"/>
      <c r="Y96" s="109"/>
      <c r="Z96" s="109"/>
    </row>
    <row r="97" ht="29.25" customHeight="1">
      <c r="A97" s="109"/>
      <c r="B97" s="109"/>
      <c r="C97" s="109"/>
      <c r="D97" s="109"/>
      <c r="E97" s="109"/>
      <c r="F97" s="109"/>
      <c r="G97" s="109"/>
      <c r="H97" s="109"/>
      <c r="I97" s="109"/>
      <c r="J97" s="109"/>
      <c r="K97" s="109"/>
      <c r="L97" s="109"/>
      <c r="M97" s="109"/>
      <c r="N97" s="109"/>
      <c r="O97" s="109"/>
      <c r="P97" s="109"/>
      <c r="Q97" s="109"/>
      <c r="R97" s="109"/>
      <c r="S97" s="109"/>
      <c r="T97" s="109"/>
      <c r="U97" s="109"/>
      <c r="V97" s="109"/>
      <c r="W97" s="109"/>
      <c r="X97" s="109"/>
      <c r="Y97" s="109"/>
      <c r="Z97" s="109"/>
    </row>
    <row r="98" ht="29.25" customHeight="1">
      <c r="A98" s="109"/>
      <c r="B98" s="109"/>
      <c r="C98" s="109"/>
      <c r="D98" s="109"/>
      <c r="E98" s="109"/>
      <c r="F98" s="109"/>
      <c r="G98" s="109"/>
      <c r="H98" s="109"/>
      <c r="I98" s="109"/>
      <c r="J98" s="109"/>
      <c r="K98" s="109"/>
      <c r="L98" s="109"/>
      <c r="M98" s="109"/>
      <c r="N98" s="109"/>
      <c r="O98" s="109"/>
      <c r="P98" s="109"/>
      <c r="Q98" s="109"/>
      <c r="R98" s="109"/>
      <c r="S98" s="109"/>
      <c r="T98" s="109"/>
      <c r="U98" s="109"/>
      <c r="V98" s="109"/>
      <c r="W98" s="109"/>
      <c r="X98" s="109"/>
      <c r="Y98" s="109"/>
      <c r="Z98" s="109"/>
    </row>
    <row r="99" ht="29.25" customHeight="1">
      <c r="A99" s="109"/>
      <c r="B99" s="109"/>
      <c r="C99" s="109"/>
      <c r="D99" s="109"/>
      <c r="E99" s="109"/>
      <c r="F99" s="109"/>
      <c r="G99" s="109"/>
      <c r="H99" s="109"/>
      <c r="I99" s="109"/>
      <c r="J99" s="109"/>
      <c r="K99" s="109"/>
      <c r="L99" s="109"/>
      <c r="M99" s="109"/>
      <c r="N99" s="109"/>
      <c r="O99" s="109"/>
      <c r="P99" s="109"/>
      <c r="Q99" s="109"/>
      <c r="R99" s="109"/>
      <c r="S99" s="109"/>
      <c r="T99" s="109"/>
      <c r="U99" s="109"/>
      <c r="V99" s="109"/>
      <c r="W99" s="109"/>
      <c r="X99" s="109"/>
      <c r="Y99" s="109"/>
      <c r="Z99" s="109"/>
    </row>
    <row r="100" ht="29.25" customHeight="1">
      <c r="A100" s="109"/>
      <c r="B100" s="109"/>
      <c r="C100" s="109"/>
      <c r="D100" s="109"/>
      <c r="E100" s="109"/>
      <c r="F100" s="109"/>
      <c r="G100" s="109"/>
      <c r="H100" s="109"/>
      <c r="I100" s="109"/>
      <c r="J100" s="109"/>
      <c r="K100" s="109"/>
      <c r="L100" s="109"/>
      <c r="M100" s="109"/>
      <c r="N100" s="109"/>
      <c r="O100" s="109"/>
      <c r="P100" s="109"/>
      <c r="Q100" s="109"/>
      <c r="R100" s="109"/>
      <c r="S100" s="109"/>
      <c r="T100" s="109"/>
      <c r="U100" s="109"/>
      <c r="V100" s="109"/>
      <c r="W100" s="109"/>
      <c r="X100" s="109"/>
      <c r="Y100" s="109"/>
      <c r="Z100" s="109"/>
    </row>
    <row r="101" ht="29.25" customHeight="1">
      <c r="A101" s="109"/>
      <c r="B101" s="109"/>
      <c r="C101" s="109"/>
      <c r="D101" s="109"/>
      <c r="E101" s="109"/>
      <c r="F101" s="109"/>
      <c r="G101" s="109"/>
      <c r="H101" s="109"/>
      <c r="I101" s="109"/>
      <c r="J101" s="109"/>
      <c r="K101" s="109"/>
      <c r="L101" s="109"/>
      <c r="M101" s="109"/>
      <c r="N101" s="109"/>
      <c r="O101" s="109"/>
      <c r="P101" s="109"/>
      <c r="Q101" s="109"/>
      <c r="R101" s="109"/>
      <c r="S101" s="109"/>
      <c r="T101" s="109"/>
      <c r="U101" s="109"/>
      <c r="V101" s="109"/>
      <c r="W101" s="109"/>
      <c r="X101" s="109"/>
      <c r="Y101" s="109"/>
      <c r="Z101" s="109"/>
    </row>
    <row r="102" ht="29.25" customHeight="1">
      <c r="A102" s="109"/>
      <c r="B102" s="109"/>
      <c r="C102" s="109"/>
      <c r="D102" s="109"/>
      <c r="E102" s="109"/>
      <c r="F102" s="109"/>
      <c r="G102" s="109"/>
      <c r="H102" s="109"/>
      <c r="I102" s="109"/>
      <c r="J102" s="109"/>
      <c r="K102" s="109"/>
      <c r="L102" s="109"/>
      <c r="M102" s="109"/>
      <c r="N102" s="109"/>
      <c r="O102" s="109"/>
      <c r="P102" s="109"/>
      <c r="Q102" s="109"/>
      <c r="R102" s="109"/>
      <c r="S102" s="109"/>
      <c r="T102" s="109"/>
      <c r="U102" s="109"/>
      <c r="V102" s="109"/>
      <c r="W102" s="109"/>
      <c r="X102" s="109"/>
      <c r="Y102" s="109"/>
      <c r="Z102" s="109"/>
    </row>
    <row r="103" ht="29.25" customHeight="1">
      <c r="A103" s="109"/>
      <c r="B103" s="109"/>
      <c r="C103" s="109"/>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row>
    <row r="104" ht="29.25" customHeight="1">
      <c r="A104" s="109"/>
      <c r="B104" s="109"/>
      <c r="C104" s="109"/>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row>
    <row r="105" ht="29.25" customHeight="1">
      <c r="A105" s="109"/>
      <c r="B105" s="109"/>
      <c r="C105" s="109"/>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row>
    <row r="106" ht="29.25" customHeight="1">
      <c r="A106" s="109"/>
      <c r="B106" s="109"/>
      <c r="C106" s="109"/>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row>
    <row r="107" ht="29.25" customHeight="1">
      <c r="A107" s="109"/>
      <c r="B107" s="109"/>
      <c r="C107" s="109"/>
      <c r="D107" s="109"/>
      <c r="E107" s="109"/>
      <c r="F107" s="109"/>
      <c r="G107" s="109"/>
      <c r="H107" s="109"/>
      <c r="I107" s="109"/>
      <c r="J107" s="109"/>
      <c r="K107" s="109"/>
      <c r="L107" s="109"/>
      <c r="M107" s="109"/>
      <c r="N107" s="109"/>
      <c r="O107" s="109"/>
      <c r="P107" s="109"/>
      <c r="Q107" s="109"/>
      <c r="R107" s="109"/>
      <c r="S107" s="109"/>
      <c r="T107" s="109"/>
      <c r="U107" s="109"/>
      <c r="V107" s="109"/>
      <c r="W107" s="109"/>
      <c r="X107" s="109"/>
      <c r="Y107" s="109"/>
      <c r="Z107" s="109"/>
    </row>
    <row r="108" ht="29.25" customHeight="1">
      <c r="A108" s="109"/>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row>
    <row r="109" ht="29.25" customHeight="1">
      <c r="A109" s="109"/>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row>
    <row r="110" ht="29.25" customHeight="1">
      <c r="A110" s="109"/>
      <c r="B110" s="109"/>
      <c r="C110" s="109"/>
      <c r="D110" s="109"/>
      <c r="E110" s="109"/>
      <c r="F110" s="109"/>
      <c r="G110" s="109"/>
      <c r="H110" s="109"/>
      <c r="I110" s="109"/>
      <c r="J110" s="109"/>
      <c r="K110" s="109"/>
      <c r="L110" s="109"/>
      <c r="M110" s="109"/>
      <c r="N110" s="109"/>
      <c r="O110" s="109"/>
      <c r="P110" s="109"/>
      <c r="Q110" s="109"/>
      <c r="R110" s="109"/>
      <c r="S110" s="109"/>
      <c r="T110" s="109"/>
      <c r="U110" s="109"/>
      <c r="V110" s="109"/>
      <c r="W110" s="109"/>
      <c r="X110" s="109"/>
      <c r="Y110" s="109"/>
      <c r="Z110" s="109"/>
    </row>
    <row r="111" ht="29.25" customHeight="1">
      <c r="A111" s="109"/>
      <c r="B111" s="109"/>
      <c r="C111" s="109"/>
      <c r="D111" s="109"/>
      <c r="E111" s="109"/>
      <c r="F111" s="109"/>
      <c r="G111" s="109"/>
      <c r="H111" s="109"/>
      <c r="I111" s="109"/>
      <c r="J111" s="109"/>
      <c r="K111" s="109"/>
      <c r="L111" s="109"/>
      <c r="M111" s="109"/>
      <c r="N111" s="109"/>
      <c r="O111" s="109"/>
      <c r="P111" s="109"/>
      <c r="Q111" s="109"/>
      <c r="R111" s="109"/>
      <c r="S111" s="109"/>
      <c r="T111" s="109"/>
      <c r="U111" s="109"/>
      <c r="V111" s="109"/>
      <c r="W111" s="109"/>
      <c r="X111" s="109"/>
      <c r="Y111" s="109"/>
      <c r="Z111" s="109"/>
    </row>
    <row r="112" ht="29.25" customHeight="1">
      <c r="A112" s="109"/>
      <c r="B112" s="109"/>
      <c r="C112" s="109"/>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c r="Z112" s="109"/>
    </row>
    <row r="113" ht="29.25" customHeight="1">
      <c r="A113" s="109"/>
      <c r="B113" s="109"/>
      <c r="C113" s="109"/>
      <c r="D113" s="109"/>
      <c r="E113" s="109"/>
      <c r="F113" s="109"/>
      <c r="G113" s="109"/>
      <c r="H113" s="109"/>
      <c r="I113" s="109"/>
      <c r="J113" s="109"/>
      <c r="K113" s="109"/>
      <c r="L113" s="109"/>
      <c r="M113" s="109"/>
      <c r="N113" s="109"/>
      <c r="O113" s="109"/>
      <c r="P113" s="109"/>
      <c r="Q113" s="109"/>
      <c r="R113" s="109"/>
      <c r="S113" s="109"/>
      <c r="T113" s="109"/>
      <c r="U113" s="109"/>
      <c r="V113" s="109"/>
      <c r="W113" s="109"/>
      <c r="X113" s="109"/>
      <c r="Y113" s="109"/>
      <c r="Z113" s="109"/>
    </row>
    <row r="114" ht="29.25" customHeight="1">
      <c r="A114" s="109"/>
      <c r="B114" s="109"/>
      <c r="C114" s="109"/>
      <c r="D114" s="109"/>
      <c r="E114" s="109"/>
      <c r="F114" s="109"/>
      <c r="G114" s="109"/>
      <c r="H114" s="109"/>
      <c r="I114" s="109"/>
      <c r="J114" s="109"/>
      <c r="K114" s="109"/>
      <c r="L114" s="109"/>
      <c r="M114" s="109"/>
      <c r="N114" s="109"/>
      <c r="O114" s="109"/>
      <c r="P114" s="109"/>
      <c r="Q114" s="109"/>
      <c r="R114" s="109"/>
      <c r="S114" s="109"/>
      <c r="T114" s="109"/>
      <c r="U114" s="109"/>
      <c r="V114" s="109"/>
      <c r="W114" s="109"/>
      <c r="X114" s="109"/>
      <c r="Y114" s="109"/>
      <c r="Z114" s="109"/>
    </row>
    <row r="115" ht="29.25" customHeight="1">
      <c r="A115" s="109"/>
      <c r="B115" s="109"/>
      <c r="C115" s="109"/>
      <c r="D115" s="109"/>
      <c r="E115" s="109"/>
      <c r="F115" s="109"/>
      <c r="G115" s="109"/>
      <c r="H115" s="109"/>
      <c r="I115" s="109"/>
      <c r="J115" s="109"/>
      <c r="K115" s="109"/>
      <c r="L115" s="109"/>
      <c r="M115" s="109"/>
      <c r="N115" s="109"/>
      <c r="O115" s="109"/>
      <c r="P115" s="109"/>
      <c r="Q115" s="109"/>
      <c r="R115" s="109"/>
      <c r="S115" s="109"/>
      <c r="T115" s="109"/>
      <c r="U115" s="109"/>
      <c r="V115" s="109"/>
      <c r="W115" s="109"/>
      <c r="X115" s="109"/>
      <c r="Y115" s="109"/>
      <c r="Z115" s="109"/>
    </row>
    <row r="116" ht="29.25" customHeight="1">
      <c r="A116" s="109"/>
      <c r="B116" s="109"/>
      <c r="C116" s="109"/>
      <c r="D116" s="109"/>
      <c r="E116" s="109"/>
      <c r="F116" s="109"/>
      <c r="G116" s="109"/>
      <c r="H116" s="109"/>
      <c r="I116" s="109"/>
      <c r="J116" s="109"/>
      <c r="K116" s="109"/>
      <c r="L116" s="109"/>
      <c r="M116" s="109"/>
      <c r="N116" s="109"/>
      <c r="O116" s="109"/>
      <c r="P116" s="109"/>
      <c r="Q116" s="109"/>
      <c r="R116" s="109"/>
      <c r="S116" s="109"/>
      <c r="T116" s="109"/>
      <c r="U116" s="109"/>
      <c r="V116" s="109"/>
      <c r="W116" s="109"/>
      <c r="X116" s="109"/>
      <c r="Y116" s="109"/>
      <c r="Z116" s="109"/>
    </row>
    <row r="117" ht="29.25" customHeight="1">
      <c r="A117" s="109"/>
      <c r="B117" s="109"/>
      <c r="C117" s="109"/>
      <c r="D117" s="109"/>
      <c r="E117" s="109"/>
      <c r="F117" s="109"/>
      <c r="G117" s="109"/>
      <c r="H117" s="109"/>
      <c r="I117" s="109"/>
      <c r="J117" s="109"/>
      <c r="K117" s="109"/>
      <c r="L117" s="109"/>
      <c r="M117" s="109"/>
      <c r="N117" s="109"/>
      <c r="O117" s="109"/>
      <c r="P117" s="109"/>
      <c r="Q117" s="109"/>
      <c r="R117" s="109"/>
      <c r="S117" s="109"/>
      <c r="T117" s="109"/>
      <c r="U117" s="109"/>
      <c r="V117" s="109"/>
      <c r="W117" s="109"/>
      <c r="X117" s="109"/>
      <c r="Y117" s="109"/>
      <c r="Z117" s="109"/>
    </row>
    <row r="118" ht="29.25" customHeight="1">
      <c r="A118" s="109"/>
      <c r="B118" s="109"/>
      <c r="C118" s="109"/>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row>
    <row r="119" ht="29.25" customHeight="1">
      <c r="A119" s="109"/>
      <c r="B119" s="109"/>
      <c r="C119" s="109"/>
      <c r="D119" s="109"/>
      <c r="E119" s="109"/>
      <c r="F119" s="109"/>
      <c r="G119" s="109"/>
      <c r="H119" s="109"/>
      <c r="I119" s="109"/>
      <c r="J119" s="109"/>
      <c r="K119" s="109"/>
      <c r="L119" s="109"/>
      <c r="M119" s="109"/>
      <c r="N119" s="109"/>
      <c r="O119" s="109"/>
      <c r="P119" s="109"/>
      <c r="Q119" s="109"/>
      <c r="R119" s="109"/>
      <c r="S119" s="109"/>
      <c r="T119" s="109"/>
      <c r="U119" s="109"/>
      <c r="V119" s="109"/>
      <c r="W119" s="109"/>
      <c r="X119" s="109"/>
      <c r="Y119" s="109"/>
      <c r="Z119" s="109"/>
    </row>
    <row r="120" ht="29.25" customHeight="1">
      <c r="A120" s="109"/>
      <c r="B120" s="109"/>
      <c r="C120" s="109"/>
      <c r="D120" s="109"/>
      <c r="E120" s="109"/>
      <c r="F120" s="109"/>
      <c r="G120" s="109"/>
      <c r="H120" s="109"/>
      <c r="I120" s="109"/>
      <c r="J120" s="109"/>
      <c r="K120" s="109"/>
      <c r="L120" s="109"/>
      <c r="M120" s="109"/>
      <c r="N120" s="109"/>
      <c r="O120" s="109"/>
      <c r="P120" s="109"/>
      <c r="Q120" s="109"/>
      <c r="R120" s="109"/>
      <c r="S120" s="109"/>
      <c r="T120" s="109"/>
      <c r="U120" s="109"/>
      <c r="V120" s="109"/>
      <c r="W120" s="109"/>
      <c r="X120" s="109"/>
      <c r="Y120" s="109"/>
      <c r="Z120" s="109"/>
    </row>
    <row r="121" ht="29.25" customHeight="1">
      <c r="A121" s="109"/>
      <c r="B121" s="109"/>
      <c r="C121" s="109"/>
      <c r="D121" s="109"/>
      <c r="E121" s="109"/>
      <c r="F121" s="109"/>
      <c r="G121" s="109"/>
      <c r="H121" s="109"/>
      <c r="I121" s="109"/>
      <c r="J121" s="109"/>
      <c r="K121" s="109"/>
      <c r="L121" s="109"/>
      <c r="M121" s="109"/>
      <c r="N121" s="109"/>
      <c r="O121" s="109"/>
      <c r="P121" s="109"/>
      <c r="Q121" s="109"/>
      <c r="R121" s="109"/>
      <c r="S121" s="109"/>
      <c r="T121" s="109"/>
      <c r="U121" s="109"/>
      <c r="V121" s="109"/>
      <c r="W121" s="109"/>
      <c r="X121" s="109"/>
      <c r="Y121" s="109"/>
      <c r="Z121" s="109"/>
    </row>
    <row r="122" ht="29.25" customHeight="1">
      <c r="A122" s="109"/>
      <c r="B122" s="109"/>
      <c r="C122" s="109"/>
      <c r="D122" s="109"/>
      <c r="E122" s="109"/>
      <c r="F122" s="109"/>
      <c r="G122" s="109"/>
      <c r="H122" s="109"/>
      <c r="I122" s="109"/>
      <c r="J122" s="109"/>
      <c r="K122" s="109"/>
      <c r="L122" s="109"/>
      <c r="M122" s="109"/>
      <c r="N122" s="109"/>
      <c r="O122" s="109"/>
      <c r="P122" s="109"/>
      <c r="Q122" s="109"/>
      <c r="R122" s="109"/>
      <c r="S122" s="109"/>
      <c r="T122" s="109"/>
      <c r="U122" s="109"/>
      <c r="V122" s="109"/>
      <c r="W122" s="109"/>
      <c r="X122" s="109"/>
      <c r="Y122" s="109"/>
      <c r="Z122" s="109"/>
    </row>
    <row r="123" ht="29.25" customHeight="1">
      <c r="A123" s="109"/>
      <c r="B123" s="109"/>
      <c r="C123" s="109"/>
      <c r="D123" s="109"/>
      <c r="E123" s="109"/>
      <c r="F123" s="109"/>
      <c r="G123" s="109"/>
      <c r="H123" s="109"/>
      <c r="I123" s="109"/>
      <c r="J123" s="109"/>
      <c r="K123" s="109"/>
      <c r="L123" s="109"/>
      <c r="M123" s="109"/>
      <c r="N123" s="109"/>
      <c r="O123" s="109"/>
      <c r="P123" s="109"/>
      <c r="Q123" s="109"/>
      <c r="R123" s="109"/>
      <c r="S123" s="109"/>
      <c r="T123" s="109"/>
      <c r="U123" s="109"/>
      <c r="V123" s="109"/>
      <c r="W123" s="109"/>
      <c r="X123" s="109"/>
      <c r="Y123" s="109"/>
      <c r="Z123" s="109"/>
    </row>
    <row r="124" ht="29.25" customHeight="1">
      <c r="A124" s="109"/>
      <c r="B124" s="109"/>
      <c r="C124" s="109"/>
      <c r="D124" s="109"/>
      <c r="E124" s="109"/>
      <c r="F124" s="109"/>
      <c r="G124" s="109"/>
      <c r="H124" s="109"/>
      <c r="I124" s="109"/>
      <c r="J124" s="109"/>
      <c r="K124" s="109"/>
      <c r="L124" s="109"/>
      <c r="M124" s="109"/>
      <c r="N124" s="109"/>
      <c r="O124" s="109"/>
      <c r="P124" s="109"/>
      <c r="Q124" s="109"/>
      <c r="R124" s="109"/>
      <c r="S124" s="109"/>
      <c r="T124" s="109"/>
      <c r="U124" s="109"/>
      <c r="V124" s="109"/>
      <c r="W124" s="109"/>
      <c r="X124" s="109"/>
      <c r="Y124" s="109"/>
      <c r="Z124" s="109"/>
    </row>
    <row r="125" ht="29.25" customHeight="1">
      <c r="A125" s="109"/>
      <c r="B125" s="109"/>
      <c r="C125" s="109"/>
      <c r="D125" s="109"/>
      <c r="E125" s="109"/>
      <c r="F125" s="109"/>
      <c r="G125" s="109"/>
      <c r="H125" s="109"/>
      <c r="I125" s="109"/>
      <c r="J125" s="109"/>
      <c r="K125" s="109"/>
      <c r="L125" s="109"/>
      <c r="M125" s="109"/>
      <c r="N125" s="109"/>
      <c r="O125" s="109"/>
      <c r="P125" s="109"/>
      <c r="Q125" s="109"/>
      <c r="R125" s="109"/>
      <c r="S125" s="109"/>
      <c r="T125" s="109"/>
      <c r="U125" s="109"/>
      <c r="V125" s="109"/>
      <c r="W125" s="109"/>
      <c r="X125" s="109"/>
      <c r="Y125" s="109"/>
      <c r="Z125" s="109"/>
    </row>
    <row r="126" ht="29.25" customHeight="1">
      <c r="A126" s="109"/>
      <c r="B126" s="109"/>
      <c r="C126" s="109"/>
      <c r="D126" s="109"/>
      <c r="E126" s="109"/>
      <c r="F126" s="109"/>
      <c r="G126" s="109"/>
      <c r="H126" s="109"/>
      <c r="I126" s="109"/>
      <c r="J126" s="109"/>
      <c r="K126" s="109"/>
      <c r="L126" s="109"/>
      <c r="M126" s="109"/>
      <c r="N126" s="109"/>
      <c r="O126" s="109"/>
      <c r="P126" s="109"/>
      <c r="Q126" s="109"/>
      <c r="R126" s="109"/>
      <c r="S126" s="109"/>
      <c r="T126" s="109"/>
      <c r="U126" s="109"/>
      <c r="V126" s="109"/>
      <c r="W126" s="109"/>
      <c r="X126" s="109"/>
      <c r="Y126" s="109"/>
      <c r="Z126" s="109"/>
    </row>
    <row r="127" ht="29.25" customHeight="1">
      <c r="A127" s="109"/>
      <c r="B127" s="109"/>
      <c r="C127" s="109"/>
      <c r="D127" s="109"/>
      <c r="E127" s="109"/>
      <c r="F127" s="109"/>
      <c r="G127" s="109"/>
      <c r="H127" s="109"/>
      <c r="I127" s="109"/>
      <c r="J127" s="109"/>
      <c r="K127" s="109"/>
      <c r="L127" s="109"/>
      <c r="M127" s="109"/>
      <c r="N127" s="109"/>
      <c r="O127" s="109"/>
      <c r="P127" s="109"/>
      <c r="Q127" s="109"/>
      <c r="R127" s="109"/>
      <c r="S127" s="109"/>
      <c r="T127" s="109"/>
      <c r="U127" s="109"/>
      <c r="V127" s="109"/>
      <c r="W127" s="109"/>
      <c r="X127" s="109"/>
      <c r="Y127" s="109"/>
      <c r="Z127" s="109"/>
    </row>
    <row r="128" ht="29.25" customHeight="1">
      <c r="A128" s="109"/>
      <c r="B128" s="109"/>
      <c r="C128" s="109"/>
      <c r="D128" s="109"/>
      <c r="E128" s="109"/>
      <c r="F128" s="109"/>
      <c r="G128" s="109"/>
      <c r="H128" s="109"/>
      <c r="I128" s="109"/>
      <c r="J128" s="109"/>
      <c r="K128" s="109"/>
      <c r="L128" s="109"/>
      <c r="M128" s="109"/>
      <c r="N128" s="109"/>
      <c r="O128" s="109"/>
      <c r="P128" s="109"/>
      <c r="Q128" s="109"/>
      <c r="R128" s="109"/>
      <c r="S128" s="109"/>
      <c r="T128" s="109"/>
      <c r="U128" s="109"/>
      <c r="V128" s="109"/>
      <c r="W128" s="109"/>
      <c r="X128" s="109"/>
      <c r="Y128" s="109"/>
      <c r="Z128" s="109"/>
    </row>
    <row r="129" ht="29.25" customHeight="1">
      <c r="A129" s="109"/>
      <c r="B129" s="109"/>
      <c r="C129" s="109"/>
      <c r="D129" s="109"/>
      <c r="E129" s="109"/>
      <c r="F129" s="109"/>
      <c r="G129" s="109"/>
      <c r="H129" s="109"/>
      <c r="I129" s="109"/>
      <c r="J129" s="109"/>
      <c r="K129" s="109"/>
      <c r="L129" s="109"/>
      <c r="M129" s="109"/>
      <c r="N129" s="109"/>
      <c r="O129" s="109"/>
      <c r="P129" s="109"/>
      <c r="Q129" s="109"/>
      <c r="R129" s="109"/>
      <c r="S129" s="109"/>
      <c r="T129" s="109"/>
      <c r="U129" s="109"/>
      <c r="V129" s="109"/>
      <c r="W129" s="109"/>
      <c r="X129" s="109"/>
      <c r="Y129" s="109"/>
      <c r="Z129" s="109"/>
    </row>
    <row r="130" ht="29.25" customHeight="1">
      <c r="A130" s="109"/>
      <c r="B130" s="109"/>
      <c r="C130" s="109"/>
      <c r="D130" s="109"/>
      <c r="E130" s="109"/>
      <c r="F130" s="109"/>
      <c r="G130" s="109"/>
      <c r="H130" s="109"/>
      <c r="I130" s="109"/>
      <c r="J130" s="109"/>
      <c r="K130" s="109"/>
      <c r="L130" s="109"/>
      <c r="M130" s="109"/>
      <c r="N130" s="109"/>
      <c r="O130" s="109"/>
      <c r="P130" s="109"/>
      <c r="Q130" s="109"/>
      <c r="R130" s="109"/>
      <c r="S130" s="109"/>
      <c r="T130" s="109"/>
      <c r="U130" s="109"/>
      <c r="V130" s="109"/>
      <c r="W130" s="109"/>
      <c r="X130" s="109"/>
      <c r="Y130" s="109"/>
      <c r="Z130" s="109"/>
    </row>
    <row r="131" ht="29.25" customHeight="1">
      <c r="A131" s="109"/>
      <c r="B131" s="109"/>
      <c r="C131" s="109"/>
      <c r="D131" s="109"/>
      <c r="E131" s="109"/>
      <c r="F131" s="109"/>
      <c r="G131" s="109"/>
      <c r="H131" s="109"/>
      <c r="I131" s="109"/>
      <c r="J131" s="109"/>
      <c r="K131" s="109"/>
      <c r="L131" s="109"/>
      <c r="M131" s="109"/>
      <c r="N131" s="109"/>
      <c r="O131" s="109"/>
      <c r="P131" s="109"/>
      <c r="Q131" s="109"/>
      <c r="R131" s="109"/>
      <c r="S131" s="109"/>
      <c r="T131" s="109"/>
      <c r="U131" s="109"/>
      <c r="V131" s="109"/>
      <c r="W131" s="109"/>
      <c r="X131" s="109"/>
      <c r="Y131" s="109"/>
      <c r="Z131" s="109"/>
    </row>
    <row r="132" ht="29.25" customHeight="1">
      <c r="A132" s="109"/>
      <c r="B132" s="109"/>
      <c r="C132" s="109"/>
      <c r="D132" s="109"/>
      <c r="E132" s="109"/>
      <c r="F132" s="109"/>
      <c r="G132" s="109"/>
      <c r="H132" s="109"/>
      <c r="I132" s="109"/>
      <c r="J132" s="109"/>
      <c r="K132" s="109"/>
      <c r="L132" s="109"/>
      <c r="M132" s="109"/>
      <c r="N132" s="109"/>
      <c r="O132" s="109"/>
      <c r="P132" s="109"/>
      <c r="Q132" s="109"/>
      <c r="R132" s="109"/>
      <c r="S132" s="109"/>
      <c r="T132" s="109"/>
      <c r="U132" s="109"/>
      <c r="V132" s="109"/>
      <c r="W132" s="109"/>
      <c r="X132" s="109"/>
      <c r="Y132" s="109"/>
      <c r="Z132" s="109"/>
    </row>
    <row r="133" ht="29.25" customHeight="1">
      <c r="A133" s="109"/>
      <c r="B133" s="109"/>
      <c r="C133" s="109"/>
      <c r="D133" s="109"/>
      <c r="E133" s="109"/>
      <c r="F133" s="109"/>
      <c r="G133" s="109"/>
      <c r="H133" s="109"/>
      <c r="I133" s="109"/>
      <c r="J133" s="109"/>
      <c r="K133" s="109"/>
      <c r="L133" s="109"/>
      <c r="M133" s="109"/>
      <c r="N133" s="109"/>
      <c r="O133" s="109"/>
      <c r="P133" s="109"/>
      <c r="Q133" s="109"/>
      <c r="R133" s="109"/>
      <c r="S133" s="109"/>
      <c r="T133" s="109"/>
      <c r="U133" s="109"/>
      <c r="V133" s="109"/>
      <c r="W133" s="109"/>
      <c r="X133" s="109"/>
      <c r="Y133" s="109"/>
      <c r="Z133" s="109"/>
    </row>
    <row r="134" ht="29.25" customHeight="1">
      <c r="A134" s="109"/>
      <c r="B134" s="109"/>
      <c r="C134" s="109"/>
      <c r="D134" s="109"/>
      <c r="E134" s="109"/>
      <c r="F134" s="109"/>
      <c r="G134" s="109"/>
      <c r="H134" s="109"/>
      <c r="I134" s="109"/>
      <c r="J134" s="109"/>
      <c r="K134" s="109"/>
      <c r="L134" s="109"/>
      <c r="M134" s="109"/>
      <c r="N134" s="109"/>
      <c r="O134" s="109"/>
      <c r="P134" s="109"/>
      <c r="Q134" s="109"/>
      <c r="R134" s="109"/>
      <c r="S134" s="109"/>
      <c r="T134" s="109"/>
      <c r="U134" s="109"/>
      <c r="V134" s="109"/>
      <c r="W134" s="109"/>
      <c r="X134" s="109"/>
      <c r="Y134" s="109"/>
      <c r="Z134" s="109"/>
    </row>
    <row r="135" ht="29.25" customHeight="1">
      <c r="A135" s="109"/>
      <c r="B135" s="109"/>
      <c r="C135" s="109"/>
      <c r="D135" s="109"/>
      <c r="E135" s="109"/>
      <c r="F135" s="109"/>
      <c r="G135" s="109"/>
      <c r="H135" s="109"/>
      <c r="I135" s="109"/>
      <c r="J135" s="109"/>
      <c r="K135" s="109"/>
      <c r="L135" s="109"/>
      <c r="M135" s="109"/>
      <c r="N135" s="109"/>
      <c r="O135" s="109"/>
      <c r="P135" s="109"/>
      <c r="Q135" s="109"/>
      <c r="R135" s="109"/>
      <c r="S135" s="109"/>
      <c r="T135" s="109"/>
      <c r="U135" s="109"/>
      <c r="V135" s="109"/>
      <c r="W135" s="109"/>
      <c r="X135" s="109"/>
      <c r="Y135" s="109"/>
      <c r="Z135" s="109"/>
    </row>
    <row r="136" ht="29.25" customHeight="1">
      <c r="A136" s="109"/>
      <c r="B136" s="109"/>
      <c r="C136" s="109"/>
      <c r="D136" s="109"/>
      <c r="E136" s="109"/>
      <c r="F136" s="109"/>
      <c r="G136" s="109"/>
      <c r="H136" s="109"/>
      <c r="I136" s="109"/>
      <c r="J136" s="109"/>
      <c r="K136" s="109"/>
      <c r="L136" s="109"/>
      <c r="M136" s="109"/>
      <c r="N136" s="109"/>
      <c r="O136" s="109"/>
      <c r="P136" s="109"/>
      <c r="Q136" s="109"/>
      <c r="R136" s="109"/>
      <c r="S136" s="109"/>
      <c r="T136" s="109"/>
      <c r="U136" s="109"/>
      <c r="V136" s="109"/>
      <c r="W136" s="109"/>
      <c r="X136" s="109"/>
      <c r="Y136" s="109"/>
      <c r="Z136" s="109"/>
    </row>
    <row r="137" ht="29.25" customHeight="1">
      <c r="A137" s="109"/>
      <c r="B137" s="109"/>
      <c r="C137" s="109"/>
      <c r="D137" s="109"/>
      <c r="E137" s="109"/>
      <c r="F137" s="109"/>
      <c r="G137" s="109"/>
      <c r="H137" s="109"/>
      <c r="I137" s="109"/>
      <c r="J137" s="109"/>
      <c r="K137" s="109"/>
      <c r="L137" s="109"/>
      <c r="M137" s="109"/>
      <c r="N137" s="109"/>
      <c r="O137" s="109"/>
      <c r="P137" s="109"/>
      <c r="Q137" s="109"/>
      <c r="R137" s="109"/>
      <c r="S137" s="109"/>
      <c r="T137" s="109"/>
      <c r="U137" s="109"/>
      <c r="V137" s="109"/>
      <c r="W137" s="109"/>
      <c r="X137" s="109"/>
      <c r="Y137" s="109"/>
      <c r="Z137" s="109"/>
    </row>
    <row r="138" ht="29.25" customHeight="1">
      <c r="A138" s="109"/>
      <c r="B138" s="109"/>
      <c r="C138" s="109"/>
      <c r="D138" s="109"/>
      <c r="E138" s="109"/>
      <c r="F138" s="109"/>
      <c r="G138" s="109"/>
      <c r="H138" s="109"/>
      <c r="I138" s="109"/>
      <c r="J138" s="109"/>
      <c r="K138" s="109"/>
      <c r="L138" s="109"/>
      <c r="M138" s="109"/>
      <c r="N138" s="109"/>
      <c r="O138" s="109"/>
      <c r="P138" s="109"/>
      <c r="Q138" s="109"/>
      <c r="R138" s="109"/>
      <c r="S138" s="109"/>
      <c r="T138" s="109"/>
      <c r="U138" s="109"/>
      <c r="V138" s="109"/>
      <c r="W138" s="109"/>
      <c r="X138" s="109"/>
      <c r="Y138" s="109"/>
      <c r="Z138" s="109"/>
    </row>
    <row r="139" ht="29.25" customHeight="1">
      <c r="A139" s="109"/>
      <c r="B139" s="109"/>
      <c r="C139" s="109"/>
      <c r="D139" s="109"/>
      <c r="E139" s="109"/>
      <c r="F139" s="109"/>
      <c r="G139" s="109"/>
      <c r="H139" s="109"/>
      <c r="I139" s="109"/>
      <c r="J139" s="109"/>
      <c r="K139" s="109"/>
      <c r="L139" s="109"/>
      <c r="M139" s="109"/>
      <c r="N139" s="109"/>
      <c r="O139" s="109"/>
      <c r="P139" s="109"/>
      <c r="Q139" s="109"/>
      <c r="R139" s="109"/>
      <c r="S139" s="109"/>
      <c r="T139" s="109"/>
      <c r="U139" s="109"/>
      <c r="V139" s="109"/>
      <c r="W139" s="109"/>
      <c r="X139" s="109"/>
      <c r="Y139" s="109"/>
      <c r="Z139" s="109"/>
    </row>
    <row r="140" ht="29.25" customHeight="1">
      <c r="A140" s="109"/>
      <c r="B140" s="109"/>
      <c r="C140" s="109"/>
      <c r="D140" s="109"/>
      <c r="E140" s="109"/>
      <c r="F140" s="109"/>
      <c r="G140" s="109"/>
      <c r="H140" s="109"/>
      <c r="I140" s="109"/>
      <c r="J140" s="109"/>
      <c r="K140" s="109"/>
      <c r="L140" s="109"/>
      <c r="M140" s="109"/>
      <c r="N140" s="109"/>
      <c r="O140" s="109"/>
      <c r="P140" s="109"/>
      <c r="Q140" s="109"/>
      <c r="R140" s="109"/>
      <c r="S140" s="109"/>
      <c r="T140" s="109"/>
      <c r="U140" s="109"/>
      <c r="V140" s="109"/>
      <c r="W140" s="109"/>
      <c r="X140" s="109"/>
      <c r="Y140" s="109"/>
      <c r="Z140" s="109"/>
    </row>
    <row r="141" ht="29.25" customHeight="1">
      <c r="A141" s="109"/>
      <c r="B141" s="109"/>
      <c r="C141" s="109"/>
      <c r="D141" s="109"/>
      <c r="E141" s="109"/>
      <c r="F141" s="109"/>
      <c r="G141" s="109"/>
      <c r="H141" s="109"/>
      <c r="I141" s="109"/>
      <c r="J141" s="109"/>
      <c r="K141" s="109"/>
      <c r="L141" s="109"/>
      <c r="M141" s="109"/>
      <c r="N141" s="109"/>
      <c r="O141" s="109"/>
      <c r="P141" s="109"/>
      <c r="Q141" s="109"/>
      <c r="R141" s="109"/>
      <c r="S141" s="109"/>
      <c r="T141" s="109"/>
      <c r="U141" s="109"/>
      <c r="V141" s="109"/>
      <c r="W141" s="109"/>
      <c r="X141" s="109"/>
      <c r="Y141" s="109"/>
      <c r="Z141" s="109"/>
    </row>
    <row r="142" ht="29.25" customHeight="1">
      <c r="A142" s="109"/>
      <c r="B142" s="109"/>
      <c r="C142" s="109"/>
      <c r="D142" s="109"/>
      <c r="E142" s="109"/>
      <c r="F142" s="109"/>
      <c r="G142" s="109"/>
      <c r="H142" s="109"/>
      <c r="I142" s="109"/>
      <c r="J142" s="109"/>
      <c r="K142" s="109"/>
      <c r="L142" s="109"/>
      <c r="M142" s="109"/>
      <c r="N142" s="109"/>
      <c r="O142" s="109"/>
      <c r="P142" s="109"/>
      <c r="Q142" s="109"/>
      <c r="R142" s="109"/>
      <c r="S142" s="109"/>
      <c r="T142" s="109"/>
      <c r="U142" s="109"/>
      <c r="V142" s="109"/>
      <c r="W142" s="109"/>
      <c r="X142" s="109"/>
      <c r="Y142" s="109"/>
      <c r="Z142" s="109"/>
    </row>
    <row r="143" ht="29.25" customHeight="1">
      <c r="A143" s="109"/>
      <c r="B143" s="109"/>
      <c r="C143" s="109"/>
      <c r="D143" s="109"/>
      <c r="E143" s="109"/>
      <c r="F143" s="109"/>
      <c r="G143" s="109"/>
      <c r="H143" s="109"/>
      <c r="I143" s="109"/>
      <c r="J143" s="109"/>
      <c r="K143" s="109"/>
      <c r="L143" s="109"/>
      <c r="M143" s="109"/>
      <c r="N143" s="109"/>
      <c r="O143" s="109"/>
      <c r="P143" s="109"/>
      <c r="Q143" s="109"/>
      <c r="R143" s="109"/>
      <c r="S143" s="109"/>
      <c r="T143" s="109"/>
      <c r="U143" s="109"/>
      <c r="V143" s="109"/>
      <c r="W143" s="109"/>
      <c r="X143" s="109"/>
      <c r="Y143" s="109"/>
      <c r="Z143" s="109"/>
    </row>
    <row r="144" ht="29.25" customHeight="1">
      <c r="A144" s="109"/>
      <c r="B144" s="109"/>
      <c r="C144" s="109"/>
      <c r="D144" s="109"/>
      <c r="E144" s="109"/>
      <c r="F144" s="109"/>
      <c r="G144" s="109"/>
      <c r="H144" s="109"/>
      <c r="I144" s="109"/>
      <c r="J144" s="109"/>
      <c r="K144" s="109"/>
      <c r="L144" s="109"/>
      <c r="M144" s="109"/>
      <c r="N144" s="109"/>
      <c r="O144" s="109"/>
      <c r="P144" s="109"/>
      <c r="Q144" s="109"/>
      <c r="R144" s="109"/>
      <c r="S144" s="109"/>
      <c r="T144" s="109"/>
      <c r="U144" s="109"/>
      <c r="V144" s="109"/>
      <c r="W144" s="109"/>
      <c r="X144" s="109"/>
      <c r="Y144" s="109"/>
      <c r="Z144" s="109"/>
    </row>
    <row r="145" ht="29.25" customHeight="1">
      <c r="A145" s="109"/>
      <c r="B145" s="109"/>
      <c r="C145" s="109"/>
      <c r="D145" s="109"/>
      <c r="E145" s="109"/>
      <c r="F145" s="109"/>
      <c r="G145" s="109"/>
      <c r="H145" s="109"/>
      <c r="I145" s="109"/>
      <c r="J145" s="109"/>
      <c r="K145" s="109"/>
      <c r="L145" s="109"/>
      <c r="M145" s="109"/>
      <c r="N145" s="109"/>
      <c r="O145" s="109"/>
      <c r="P145" s="109"/>
      <c r="Q145" s="109"/>
      <c r="R145" s="109"/>
      <c r="S145" s="109"/>
      <c r="T145" s="109"/>
      <c r="U145" s="109"/>
      <c r="V145" s="109"/>
      <c r="W145" s="109"/>
      <c r="X145" s="109"/>
      <c r="Y145" s="109"/>
      <c r="Z145" s="109"/>
    </row>
    <row r="146" ht="29.25" customHeight="1">
      <c r="A146" s="109"/>
      <c r="B146" s="109"/>
      <c r="C146" s="109"/>
      <c r="D146" s="109"/>
      <c r="E146" s="109"/>
      <c r="F146" s="109"/>
      <c r="G146" s="109"/>
      <c r="H146" s="109"/>
      <c r="I146" s="109"/>
      <c r="J146" s="109"/>
      <c r="K146" s="109"/>
      <c r="L146" s="109"/>
      <c r="M146" s="109"/>
      <c r="N146" s="109"/>
      <c r="O146" s="109"/>
      <c r="P146" s="109"/>
      <c r="Q146" s="109"/>
      <c r="R146" s="109"/>
      <c r="S146" s="109"/>
      <c r="T146" s="109"/>
      <c r="U146" s="109"/>
      <c r="V146" s="109"/>
      <c r="W146" s="109"/>
      <c r="X146" s="109"/>
      <c r="Y146" s="109"/>
      <c r="Z146" s="109"/>
    </row>
    <row r="147" ht="29.25" customHeight="1">
      <c r="A147" s="109"/>
      <c r="B147" s="109"/>
      <c r="C147" s="109"/>
      <c r="D147" s="109"/>
      <c r="E147" s="109"/>
      <c r="F147" s="109"/>
      <c r="G147" s="109"/>
      <c r="H147" s="109"/>
      <c r="I147" s="109"/>
      <c r="J147" s="109"/>
      <c r="K147" s="109"/>
      <c r="L147" s="109"/>
      <c r="M147" s="109"/>
      <c r="N147" s="109"/>
      <c r="O147" s="109"/>
      <c r="P147" s="109"/>
      <c r="Q147" s="109"/>
      <c r="R147" s="109"/>
      <c r="S147" s="109"/>
      <c r="T147" s="109"/>
      <c r="U147" s="109"/>
      <c r="V147" s="109"/>
      <c r="W147" s="109"/>
      <c r="X147" s="109"/>
      <c r="Y147" s="109"/>
      <c r="Z147" s="109"/>
    </row>
    <row r="148" ht="29.25" customHeight="1">
      <c r="A148" s="109"/>
      <c r="B148" s="109"/>
      <c r="C148" s="109"/>
      <c r="D148" s="109"/>
      <c r="E148" s="109"/>
      <c r="F148" s="109"/>
      <c r="G148" s="109"/>
      <c r="H148" s="109"/>
      <c r="I148" s="109"/>
      <c r="J148" s="109"/>
      <c r="K148" s="109"/>
      <c r="L148" s="109"/>
      <c r="M148" s="109"/>
      <c r="N148" s="109"/>
      <c r="O148" s="109"/>
      <c r="P148" s="109"/>
      <c r="Q148" s="109"/>
      <c r="R148" s="109"/>
      <c r="S148" s="109"/>
      <c r="T148" s="109"/>
      <c r="U148" s="109"/>
      <c r="V148" s="109"/>
      <c r="W148" s="109"/>
      <c r="X148" s="109"/>
      <c r="Y148" s="109"/>
      <c r="Z148" s="109"/>
    </row>
    <row r="149" ht="29.25" customHeight="1">
      <c r="A149" s="109"/>
      <c r="B149" s="109"/>
      <c r="C149" s="109"/>
      <c r="D149" s="109"/>
      <c r="E149" s="109"/>
      <c r="F149" s="109"/>
      <c r="G149" s="109"/>
      <c r="H149" s="109"/>
      <c r="I149" s="109"/>
      <c r="J149" s="109"/>
      <c r="K149" s="109"/>
      <c r="L149" s="109"/>
      <c r="M149" s="109"/>
      <c r="N149" s="109"/>
      <c r="O149" s="109"/>
      <c r="P149" s="109"/>
      <c r="Q149" s="109"/>
      <c r="R149" s="109"/>
      <c r="S149" s="109"/>
      <c r="T149" s="109"/>
      <c r="U149" s="109"/>
      <c r="V149" s="109"/>
      <c r="W149" s="109"/>
      <c r="X149" s="109"/>
      <c r="Y149" s="109"/>
      <c r="Z149" s="109"/>
    </row>
    <row r="150" ht="29.25" customHeight="1">
      <c r="A150" s="109"/>
      <c r="B150" s="109"/>
      <c r="C150" s="109"/>
      <c r="D150" s="109"/>
      <c r="E150" s="109"/>
      <c r="F150" s="109"/>
      <c r="G150" s="109"/>
      <c r="H150" s="109"/>
      <c r="I150" s="109"/>
      <c r="J150" s="109"/>
      <c r="K150" s="109"/>
      <c r="L150" s="109"/>
      <c r="M150" s="109"/>
      <c r="N150" s="109"/>
      <c r="O150" s="109"/>
      <c r="P150" s="109"/>
      <c r="Q150" s="109"/>
      <c r="R150" s="109"/>
      <c r="S150" s="109"/>
      <c r="T150" s="109"/>
      <c r="U150" s="109"/>
      <c r="V150" s="109"/>
      <c r="W150" s="109"/>
      <c r="X150" s="109"/>
      <c r="Y150" s="109"/>
      <c r="Z150" s="109"/>
    </row>
    <row r="151" ht="29.25" customHeight="1">
      <c r="A151" s="109"/>
      <c r="B151" s="109"/>
      <c r="C151" s="109"/>
      <c r="D151" s="109"/>
      <c r="E151" s="109"/>
      <c r="F151" s="109"/>
      <c r="G151" s="109"/>
      <c r="H151" s="109"/>
      <c r="I151" s="109"/>
      <c r="J151" s="109"/>
      <c r="K151" s="109"/>
      <c r="L151" s="109"/>
      <c r="M151" s="109"/>
      <c r="N151" s="109"/>
      <c r="O151" s="109"/>
      <c r="P151" s="109"/>
      <c r="Q151" s="109"/>
      <c r="R151" s="109"/>
      <c r="S151" s="109"/>
      <c r="T151" s="109"/>
      <c r="U151" s="109"/>
      <c r="V151" s="109"/>
      <c r="W151" s="109"/>
      <c r="X151" s="109"/>
      <c r="Y151" s="109"/>
      <c r="Z151" s="109"/>
    </row>
    <row r="152" ht="29.25" customHeight="1">
      <c r="A152" s="109"/>
      <c r="B152" s="109"/>
      <c r="C152" s="109"/>
      <c r="D152" s="109"/>
      <c r="E152" s="109"/>
      <c r="F152" s="109"/>
      <c r="G152" s="109"/>
      <c r="H152" s="109"/>
      <c r="I152" s="109"/>
      <c r="J152" s="109"/>
      <c r="K152" s="109"/>
      <c r="L152" s="109"/>
      <c r="M152" s="109"/>
      <c r="N152" s="109"/>
      <c r="O152" s="109"/>
      <c r="P152" s="109"/>
      <c r="Q152" s="109"/>
      <c r="R152" s="109"/>
      <c r="S152" s="109"/>
      <c r="T152" s="109"/>
      <c r="U152" s="109"/>
      <c r="V152" s="109"/>
      <c r="W152" s="109"/>
      <c r="X152" s="109"/>
      <c r="Y152" s="109"/>
      <c r="Z152" s="109"/>
    </row>
    <row r="153" ht="29.25" customHeight="1">
      <c r="A153" s="109"/>
      <c r="B153" s="109"/>
      <c r="C153" s="109"/>
      <c r="D153" s="109"/>
      <c r="E153" s="109"/>
      <c r="F153" s="109"/>
      <c r="G153" s="109"/>
      <c r="H153" s="109"/>
      <c r="I153" s="109"/>
      <c r="J153" s="109"/>
      <c r="K153" s="109"/>
      <c r="L153" s="109"/>
      <c r="M153" s="109"/>
      <c r="N153" s="109"/>
      <c r="O153" s="109"/>
      <c r="P153" s="109"/>
      <c r="Q153" s="109"/>
      <c r="R153" s="109"/>
      <c r="S153" s="109"/>
      <c r="T153" s="109"/>
      <c r="U153" s="109"/>
      <c r="V153" s="109"/>
      <c r="W153" s="109"/>
      <c r="X153" s="109"/>
      <c r="Y153" s="109"/>
      <c r="Z153" s="109"/>
    </row>
    <row r="154" ht="29.25" customHeight="1">
      <c r="A154" s="109"/>
      <c r="B154" s="109"/>
      <c r="C154" s="109"/>
      <c r="D154" s="109"/>
      <c r="E154" s="109"/>
      <c r="F154" s="109"/>
      <c r="G154" s="109"/>
      <c r="H154" s="109"/>
      <c r="I154" s="109"/>
      <c r="J154" s="109"/>
      <c r="K154" s="109"/>
      <c r="L154" s="109"/>
      <c r="M154" s="109"/>
      <c r="N154" s="109"/>
      <c r="O154" s="109"/>
      <c r="P154" s="109"/>
      <c r="Q154" s="109"/>
      <c r="R154" s="109"/>
      <c r="S154" s="109"/>
      <c r="T154" s="109"/>
      <c r="U154" s="109"/>
      <c r="V154" s="109"/>
      <c r="W154" s="109"/>
      <c r="X154" s="109"/>
      <c r="Y154" s="109"/>
      <c r="Z154" s="109"/>
    </row>
    <row r="155" ht="29.25" customHeight="1">
      <c r="A155" s="109"/>
      <c r="B155" s="109"/>
      <c r="C155" s="109"/>
      <c r="D155" s="109"/>
      <c r="E155" s="109"/>
      <c r="F155" s="109"/>
      <c r="G155" s="109"/>
      <c r="H155" s="109"/>
      <c r="I155" s="109"/>
      <c r="J155" s="109"/>
      <c r="K155" s="109"/>
      <c r="L155" s="109"/>
      <c r="M155" s="109"/>
      <c r="N155" s="109"/>
      <c r="O155" s="109"/>
      <c r="P155" s="109"/>
      <c r="Q155" s="109"/>
      <c r="R155" s="109"/>
      <c r="S155" s="109"/>
      <c r="T155" s="109"/>
      <c r="U155" s="109"/>
      <c r="V155" s="109"/>
      <c r="W155" s="109"/>
      <c r="X155" s="109"/>
      <c r="Y155" s="109"/>
      <c r="Z155" s="109"/>
    </row>
    <row r="156" ht="29.25" customHeight="1">
      <c r="A156" s="109"/>
      <c r="B156" s="109"/>
      <c r="C156" s="109"/>
      <c r="D156" s="109"/>
      <c r="E156" s="109"/>
      <c r="F156" s="109"/>
      <c r="G156" s="109"/>
      <c r="H156" s="109"/>
      <c r="I156" s="109"/>
      <c r="J156" s="109"/>
      <c r="K156" s="109"/>
      <c r="L156" s="109"/>
      <c r="M156" s="109"/>
      <c r="N156" s="109"/>
      <c r="O156" s="109"/>
      <c r="P156" s="109"/>
      <c r="Q156" s="109"/>
      <c r="R156" s="109"/>
      <c r="S156" s="109"/>
      <c r="T156" s="109"/>
      <c r="U156" s="109"/>
      <c r="V156" s="109"/>
      <c r="W156" s="109"/>
      <c r="X156" s="109"/>
      <c r="Y156" s="109"/>
      <c r="Z156" s="109"/>
    </row>
    <row r="157" ht="29.25" customHeight="1">
      <c r="A157" s="109"/>
      <c r="B157" s="109"/>
      <c r="C157" s="109"/>
      <c r="D157" s="109"/>
      <c r="E157" s="109"/>
      <c r="F157" s="109"/>
      <c r="G157" s="109"/>
      <c r="H157" s="109"/>
      <c r="I157" s="109"/>
      <c r="J157" s="109"/>
      <c r="K157" s="109"/>
      <c r="L157" s="109"/>
      <c r="M157" s="109"/>
      <c r="N157" s="109"/>
      <c r="O157" s="109"/>
      <c r="P157" s="109"/>
      <c r="Q157" s="109"/>
      <c r="R157" s="109"/>
      <c r="S157" s="109"/>
      <c r="T157" s="109"/>
      <c r="U157" s="109"/>
      <c r="V157" s="109"/>
      <c r="W157" s="109"/>
      <c r="X157" s="109"/>
      <c r="Y157" s="109"/>
      <c r="Z157" s="109"/>
    </row>
    <row r="158" ht="29.25" customHeight="1">
      <c r="A158" s="109"/>
      <c r="B158" s="109"/>
      <c r="C158" s="109"/>
      <c r="D158" s="109"/>
      <c r="E158" s="109"/>
      <c r="F158" s="109"/>
      <c r="G158" s="109"/>
      <c r="H158" s="109"/>
      <c r="I158" s="109"/>
      <c r="J158" s="109"/>
      <c r="K158" s="109"/>
      <c r="L158" s="109"/>
      <c r="M158" s="109"/>
      <c r="N158" s="109"/>
      <c r="O158" s="109"/>
      <c r="P158" s="109"/>
      <c r="Q158" s="109"/>
      <c r="R158" s="109"/>
      <c r="S158" s="109"/>
      <c r="T158" s="109"/>
      <c r="U158" s="109"/>
      <c r="V158" s="109"/>
      <c r="W158" s="109"/>
      <c r="X158" s="109"/>
      <c r="Y158" s="109"/>
      <c r="Z158" s="109"/>
    </row>
    <row r="159" ht="29.25" customHeight="1">
      <c r="A159" s="109"/>
      <c r="B159" s="109"/>
      <c r="C159" s="109"/>
      <c r="D159" s="109"/>
      <c r="E159" s="109"/>
      <c r="F159" s="109"/>
      <c r="G159" s="109"/>
      <c r="H159" s="109"/>
      <c r="I159" s="109"/>
      <c r="J159" s="109"/>
      <c r="K159" s="109"/>
      <c r="L159" s="109"/>
      <c r="M159" s="109"/>
      <c r="N159" s="109"/>
      <c r="O159" s="109"/>
      <c r="P159" s="109"/>
      <c r="Q159" s="109"/>
      <c r="R159" s="109"/>
      <c r="S159" s="109"/>
      <c r="T159" s="109"/>
      <c r="U159" s="109"/>
      <c r="V159" s="109"/>
      <c r="W159" s="109"/>
      <c r="X159" s="109"/>
      <c r="Y159" s="109"/>
      <c r="Z159" s="109"/>
    </row>
    <row r="160" ht="29.25" customHeight="1">
      <c r="A160" s="109"/>
      <c r="B160" s="109"/>
      <c r="C160" s="109"/>
      <c r="D160" s="109"/>
      <c r="E160" s="109"/>
      <c r="F160" s="109"/>
      <c r="G160" s="109"/>
      <c r="H160" s="109"/>
      <c r="I160" s="109"/>
      <c r="J160" s="109"/>
      <c r="K160" s="109"/>
      <c r="L160" s="109"/>
      <c r="M160" s="109"/>
      <c r="N160" s="109"/>
      <c r="O160" s="109"/>
      <c r="P160" s="109"/>
      <c r="Q160" s="109"/>
      <c r="R160" s="109"/>
      <c r="S160" s="109"/>
      <c r="T160" s="109"/>
      <c r="U160" s="109"/>
      <c r="V160" s="109"/>
      <c r="W160" s="109"/>
      <c r="X160" s="109"/>
      <c r="Y160" s="109"/>
      <c r="Z160" s="109"/>
    </row>
    <row r="161" ht="29.25" customHeight="1">
      <c r="A161" s="109"/>
      <c r="B161" s="109"/>
      <c r="C161" s="109"/>
      <c r="D161" s="109"/>
      <c r="E161" s="109"/>
      <c r="F161" s="109"/>
      <c r="G161" s="109"/>
      <c r="H161" s="109"/>
      <c r="I161" s="109"/>
      <c r="J161" s="109"/>
      <c r="K161" s="109"/>
      <c r="L161" s="109"/>
      <c r="M161" s="109"/>
      <c r="N161" s="109"/>
      <c r="O161" s="109"/>
      <c r="P161" s="109"/>
      <c r="Q161" s="109"/>
      <c r="R161" s="109"/>
      <c r="S161" s="109"/>
      <c r="T161" s="109"/>
      <c r="U161" s="109"/>
      <c r="V161" s="109"/>
      <c r="W161" s="109"/>
      <c r="X161" s="109"/>
      <c r="Y161" s="109"/>
      <c r="Z161" s="109"/>
    </row>
    <row r="162" ht="29.25" customHeight="1">
      <c r="A162" s="109"/>
      <c r="B162" s="109"/>
      <c r="C162" s="109"/>
      <c r="D162" s="109"/>
      <c r="E162" s="109"/>
      <c r="F162" s="109"/>
      <c r="G162" s="109"/>
      <c r="H162" s="109"/>
      <c r="I162" s="109"/>
      <c r="J162" s="109"/>
      <c r="K162" s="109"/>
      <c r="L162" s="109"/>
      <c r="M162" s="109"/>
      <c r="N162" s="109"/>
      <c r="O162" s="109"/>
      <c r="P162" s="109"/>
      <c r="Q162" s="109"/>
      <c r="R162" s="109"/>
      <c r="S162" s="109"/>
      <c r="T162" s="109"/>
      <c r="U162" s="109"/>
      <c r="V162" s="109"/>
      <c r="W162" s="109"/>
      <c r="X162" s="109"/>
      <c r="Y162" s="109"/>
      <c r="Z162" s="109"/>
    </row>
    <row r="163" ht="29.25" customHeight="1">
      <c r="A163" s="109"/>
      <c r="B163" s="109"/>
      <c r="C163" s="109"/>
      <c r="D163" s="109"/>
      <c r="E163" s="109"/>
      <c r="F163" s="109"/>
      <c r="G163" s="109"/>
      <c r="H163" s="109"/>
      <c r="I163" s="109"/>
      <c r="J163" s="109"/>
      <c r="K163" s="109"/>
      <c r="L163" s="109"/>
      <c r="M163" s="109"/>
      <c r="N163" s="109"/>
      <c r="O163" s="109"/>
      <c r="P163" s="109"/>
      <c r="Q163" s="109"/>
      <c r="R163" s="109"/>
      <c r="S163" s="109"/>
      <c r="T163" s="109"/>
      <c r="U163" s="109"/>
      <c r="V163" s="109"/>
      <c r="W163" s="109"/>
      <c r="X163" s="109"/>
      <c r="Y163" s="109"/>
      <c r="Z163" s="109"/>
    </row>
    <row r="164" ht="29.25" customHeight="1">
      <c r="A164" s="109"/>
      <c r="B164" s="109"/>
      <c r="C164" s="109"/>
      <c r="D164" s="109"/>
      <c r="E164" s="109"/>
      <c r="F164" s="109"/>
      <c r="G164" s="109"/>
      <c r="H164" s="109"/>
      <c r="I164" s="109"/>
      <c r="J164" s="109"/>
      <c r="K164" s="109"/>
      <c r="L164" s="109"/>
      <c r="M164" s="109"/>
      <c r="N164" s="109"/>
      <c r="O164" s="109"/>
      <c r="P164" s="109"/>
      <c r="Q164" s="109"/>
      <c r="R164" s="109"/>
      <c r="S164" s="109"/>
      <c r="T164" s="109"/>
      <c r="U164" s="109"/>
      <c r="V164" s="109"/>
      <c r="W164" s="109"/>
      <c r="X164" s="109"/>
      <c r="Y164" s="109"/>
      <c r="Z164" s="109"/>
    </row>
    <row r="165" ht="29.25" customHeight="1">
      <c r="A165" s="109"/>
      <c r="B165" s="109"/>
      <c r="C165" s="109"/>
      <c r="D165" s="109"/>
      <c r="E165" s="109"/>
      <c r="F165" s="109"/>
      <c r="G165" s="109"/>
      <c r="H165" s="109"/>
      <c r="I165" s="109"/>
      <c r="J165" s="109"/>
      <c r="K165" s="109"/>
      <c r="L165" s="109"/>
      <c r="M165" s="109"/>
      <c r="N165" s="109"/>
      <c r="O165" s="109"/>
      <c r="P165" s="109"/>
      <c r="Q165" s="109"/>
      <c r="R165" s="109"/>
      <c r="S165" s="109"/>
      <c r="T165" s="109"/>
      <c r="U165" s="109"/>
      <c r="V165" s="109"/>
      <c r="W165" s="109"/>
      <c r="X165" s="109"/>
      <c r="Y165" s="109"/>
      <c r="Z165" s="109"/>
    </row>
    <row r="166" ht="29.25" customHeight="1">
      <c r="A166" s="109"/>
      <c r="B166" s="109"/>
      <c r="C166" s="109"/>
      <c r="D166" s="109"/>
      <c r="E166" s="109"/>
      <c r="F166" s="109"/>
      <c r="G166" s="109"/>
      <c r="H166" s="109"/>
      <c r="I166" s="109"/>
      <c r="J166" s="109"/>
      <c r="K166" s="109"/>
      <c r="L166" s="109"/>
      <c r="M166" s="109"/>
      <c r="N166" s="109"/>
      <c r="O166" s="109"/>
      <c r="P166" s="109"/>
      <c r="Q166" s="109"/>
      <c r="R166" s="109"/>
      <c r="S166" s="109"/>
      <c r="T166" s="109"/>
      <c r="U166" s="109"/>
      <c r="V166" s="109"/>
      <c r="W166" s="109"/>
      <c r="X166" s="109"/>
      <c r="Y166" s="109"/>
      <c r="Z166" s="109"/>
    </row>
    <row r="167" ht="29.25" customHeight="1">
      <c r="A167" s="109"/>
      <c r="B167" s="109"/>
      <c r="C167" s="109"/>
      <c r="D167" s="109"/>
      <c r="E167" s="109"/>
      <c r="F167" s="109"/>
      <c r="G167" s="109"/>
      <c r="H167" s="109"/>
      <c r="I167" s="109"/>
      <c r="J167" s="109"/>
      <c r="K167" s="109"/>
      <c r="L167" s="109"/>
      <c r="M167" s="109"/>
      <c r="N167" s="109"/>
      <c r="O167" s="109"/>
      <c r="P167" s="109"/>
      <c r="Q167" s="109"/>
      <c r="R167" s="109"/>
      <c r="S167" s="109"/>
      <c r="T167" s="109"/>
      <c r="U167" s="109"/>
      <c r="V167" s="109"/>
      <c r="W167" s="109"/>
      <c r="X167" s="109"/>
      <c r="Y167" s="109"/>
      <c r="Z167" s="109"/>
    </row>
    <row r="168" ht="29.25" customHeight="1">
      <c r="A168" s="109"/>
      <c r="B168" s="109"/>
      <c r="C168" s="109"/>
      <c r="D168" s="109"/>
      <c r="E168" s="109"/>
      <c r="F168" s="109"/>
      <c r="G168" s="109"/>
      <c r="H168" s="109"/>
      <c r="I168" s="109"/>
      <c r="J168" s="109"/>
      <c r="K168" s="109"/>
      <c r="L168" s="109"/>
      <c r="M168" s="109"/>
      <c r="N168" s="109"/>
      <c r="O168" s="109"/>
      <c r="P168" s="109"/>
      <c r="Q168" s="109"/>
      <c r="R168" s="109"/>
      <c r="S168" s="109"/>
      <c r="T168" s="109"/>
      <c r="U168" s="109"/>
      <c r="V168" s="109"/>
      <c r="W168" s="109"/>
      <c r="X168" s="109"/>
      <c r="Y168" s="109"/>
      <c r="Z168" s="109"/>
    </row>
    <row r="169" ht="29.25" customHeight="1">
      <c r="A169" s="109"/>
      <c r="B169" s="109"/>
      <c r="C169" s="109"/>
      <c r="D169" s="109"/>
      <c r="E169" s="109"/>
      <c r="F169" s="109"/>
      <c r="G169" s="109"/>
      <c r="H169" s="109"/>
      <c r="I169" s="109"/>
      <c r="J169" s="109"/>
      <c r="K169" s="109"/>
      <c r="L169" s="109"/>
      <c r="M169" s="109"/>
      <c r="N169" s="109"/>
      <c r="O169" s="109"/>
      <c r="P169" s="109"/>
      <c r="Q169" s="109"/>
      <c r="R169" s="109"/>
      <c r="S169" s="109"/>
      <c r="T169" s="109"/>
      <c r="U169" s="109"/>
      <c r="V169" s="109"/>
      <c r="W169" s="109"/>
      <c r="X169" s="109"/>
      <c r="Y169" s="109"/>
      <c r="Z169" s="109"/>
    </row>
    <row r="170" ht="29.25" customHeight="1">
      <c r="A170" s="109"/>
      <c r="B170" s="109"/>
      <c r="C170" s="109"/>
      <c r="D170" s="109"/>
      <c r="E170" s="109"/>
      <c r="F170" s="109"/>
      <c r="G170" s="109"/>
      <c r="H170" s="109"/>
      <c r="I170" s="109"/>
      <c r="J170" s="109"/>
      <c r="K170" s="109"/>
      <c r="L170" s="109"/>
      <c r="M170" s="109"/>
      <c r="N170" s="109"/>
      <c r="O170" s="109"/>
      <c r="P170" s="109"/>
      <c r="Q170" s="109"/>
      <c r="R170" s="109"/>
      <c r="S170" s="109"/>
      <c r="T170" s="109"/>
      <c r="U170" s="109"/>
      <c r="V170" s="109"/>
      <c r="W170" s="109"/>
      <c r="X170" s="109"/>
      <c r="Y170" s="109"/>
      <c r="Z170" s="109"/>
    </row>
    <row r="171" ht="29.25" customHeight="1">
      <c r="A171" s="109"/>
      <c r="B171" s="109"/>
      <c r="C171" s="109"/>
      <c r="D171" s="109"/>
      <c r="E171" s="109"/>
      <c r="F171" s="109"/>
      <c r="G171" s="109"/>
      <c r="H171" s="109"/>
      <c r="I171" s="109"/>
      <c r="J171" s="109"/>
      <c r="K171" s="109"/>
      <c r="L171" s="109"/>
      <c r="M171" s="109"/>
      <c r="N171" s="109"/>
      <c r="O171" s="109"/>
      <c r="P171" s="109"/>
      <c r="Q171" s="109"/>
      <c r="R171" s="109"/>
      <c r="S171" s="109"/>
      <c r="T171" s="109"/>
      <c r="U171" s="109"/>
      <c r="V171" s="109"/>
      <c r="W171" s="109"/>
      <c r="X171" s="109"/>
      <c r="Y171" s="109"/>
      <c r="Z171" s="109"/>
    </row>
    <row r="172" ht="29.25" customHeight="1">
      <c r="A172" s="109"/>
      <c r="B172" s="109"/>
      <c r="C172" s="109"/>
      <c r="D172" s="109"/>
      <c r="E172" s="109"/>
      <c r="F172" s="109"/>
      <c r="G172" s="109"/>
      <c r="H172" s="109"/>
      <c r="I172" s="109"/>
      <c r="J172" s="109"/>
      <c r="K172" s="109"/>
      <c r="L172" s="109"/>
      <c r="M172" s="109"/>
      <c r="N172" s="109"/>
      <c r="O172" s="109"/>
      <c r="P172" s="109"/>
      <c r="Q172" s="109"/>
      <c r="R172" s="109"/>
      <c r="S172" s="109"/>
      <c r="T172" s="109"/>
      <c r="U172" s="109"/>
      <c r="V172" s="109"/>
      <c r="W172" s="109"/>
      <c r="X172" s="109"/>
      <c r="Y172" s="109"/>
      <c r="Z172" s="109"/>
    </row>
    <row r="173" ht="29.25" customHeight="1">
      <c r="A173" s="109"/>
      <c r="B173" s="109"/>
      <c r="C173" s="109"/>
      <c r="D173" s="109"/>
      <c r="E173" s="109"/>
      <c r="F173" s="109"/>
      <c r="G173" s="109"/>
      <c r="H173" s="109"/>
      <c r="I173" s="109"/>
      <c r="J173" s="109"/>
      <c r="K173" s="109"/>
      <c r="L173" s="109"/>
      <c r="M173" s="109"/>
      <c r="N173" s="109"/>
      <c r="O173" s="109"/>
      <c r="P173" s="109"/>
      <c r="Q173" s="109"/>
      <c r="R173" s="109"/>
      <c r="S173" s="109"/>
      <c r="T173" s="109"/>
      <c r="U173" s="109"/>
      <c r="V173" s="109"/>
      <c r="W173" s="109"/>
      <c r="X173" s="109"/>
      <c r="Y173" s="109"/>
      <c r="Z173" s="109"/>
    </row>
    <row r="174" ht="29.25" customHeight="1">
      <c r="A174" s="109"/>
      <c r="B174" s="109"/>
      <c r="C174" s="109"/>
      <c r="D174" s="109"/>
      <c r="E174" s="109"/>
      <c r="F174" s="109"/>
      <c r="G174" s="109"/>
      <c r="H174" s="109"/>
      <c r="I174" s="109"/>
      <c r="J174" s="109"/>
      <c r="K174" s="109"/>
      <c r="L174" s="109"/>
      <c r="M174" s="109"/>
      <c r="N174" s="109"/>
      <c r="O174" s="109"/>
      <c r="P174" s="109"/>
      <c r="Q174" s="109"/>
      <c r="R174" s="109"/>
      <c r="S174" s="109"/>
      <c r="T174" s="109"/>
      <c r="U174" s="109"/>
      <c r="V174" s="109"/>
      <c r="W174" s="109"/>
      <c r="X174" s="109"/>
      <c r="Y174" s="109"/>
      <c r="Z174" s="109"/>
    </row>
    <row r="175" ht="29.25" customHeight="1">
      <c r="A175" s="109"/>
      <c r="B175" s="109"/>
      <c r="C175" s="109"/>
      <c r="D175" s="109"/>
      <c r="E175" s="109"/>
      <c r="F175" s="109"/>
      <c r="G175" s="109"/>
      <c r="H175" s="109"/>
      <c r="I175" s="109"/>
      <c r="J175" s="109"/>
      <c r="K175" s="109"/>
      <c r="L175" s="109"/>
      <c r="M175" s="109"/>
      <c r="N175" s="109"/>
      <c r="O175" s="109"/>
      <c r="P175" s="109"/>
      <c r="Q175" s="109"/>
      <c r="R175" s="109"/>
      <c r="S175" s="109"/>
      <c r="T175" s="109"/>
      <c r="U175" s="109"/>
      <c r="V175" s="109"/>
      <c r="W175" s="109"/>
      <c r="X175" s="109"/>
      <c r="Y175" s="109"/>
      <c r="Z175" s="109"/>
    </row>
    <row r="176" ht="29.25" customHeight="1">
      <c r="A176" s="109"/>
      <c r="B176" s="109"/>
      <c r="C176" s="109"/>
      <c r="D176" s="109"/>
      <c r="E176" s="109"/>
      <c r="F176" s="109"/>
      <c r="G176" s="109"/>
      <c r="H176" s="109"/>
      <c r="I176" s="109"/>
      <c r="J176" s="109"/>
      <c r="K176" s="109"/>
      <c r="L176" s="109"/>
      <c r="M176" s="109"/>
      <c r="N176" s="109"/>
      <c r="O176" s="109"/>
      <c r="P176" s="109"/>
      <c r="Q176" s="109"/>
      <c r="R176" s="109"/>
      <c r="S176" s="109"/>
      <c r="T176" s="109"/>
      <c r="U176" s="109"/>
      <c r="V176" s="109"/>
      <c r="W176" s="109"/>
      <c r="X176" s="109"/>
      <c r="Y176" s="109"/>
      <c r="Z176" s="109"/>
    </row>
    <row r="177" ht="29.25" customHeight="1">
      <c r="A177" s="109"/>
      <c r="B177" s="109"/>
      <c r="C177" s="109"/>
      <c r="D177" s="109"/>
      <c r="E177" s="109"/>
      <c r="F177" s="109"/>
      <c r="G177" s="109"/>
      <c r="H177" s="109"/>
      <c r="I177" s="109"/>
      <c r="J177" s="109"/>
      <c r="K177" s="109"/>
      <c r="L177" s="109"/>
      <c r="M177" s="109"/>
      <c r="N177" s="109"/>
      <c r="O177" s="109"/>
      <c r="P177" s="109"/>
      <c r="Q177" s="109"/>
      <c r="R177" s="109"/>
      <c r="S177" s="109"/>
      <c r="T177" s="109"/>
      <c r="U177" s="109"/>
      <c r="V177" s="109"/>
      <c r="W177" s="109"/>
      <c r="X177" s="109"/>
      <c r="Y177" s="109"/>
      <c r="Z177" s="109"/>
    </row>
    <row r="178" ht="29.25" customHeight="1">
      <c r="A178" s="109"/>
      <c r="B178" s="109"/>
      <c r="C178" s="109"/>
      <c r="D178" s="109"/>
      <c r="E178" s="109"/>
      <c r="F178" s="109"/>
      <c r="G178" s="109"/>
      <c r="H178" s="109"/>
      <c r="I178" s="109"/>
      <c r="J178" s="109"/>
      <c r="K178" s="109"/>
      <c r="L178" s="109"/>
      <c r="M178" s="109"/>
      <c r="N178" s="109"/>
      <c r="O178" s="109"/>
      <c r="P178" s="109"/>
      <c r="Q178" s="109"/>
      <c r="R178" s="109"/>
      <c r="S178" s="109"/>
      <c r="T178" s="109"/>
      <c r="U178" s="109"/>
      <c r="V178" s="109"/>
      <c r="W178" s="109"/>
      <c r="X178" s="109"/>
      <c r="Y178" s="109"/>
      <c r="Z178" s="109"/>
    </row>
    <row r="179" ht="29.25" customHeight="1">
      <c r="A179" s="109"/>
      <c r="B179" s="109"/>
      <c r="C179" s="109"/>
      <c r="D179" s="109"/>
      <c r="E179" s="109"/>
      <c r="F179" s="109"/>
      <c r="G179" s="109"/>
      <c r="H179" s="109"/>
      <c r="I179" s="109"/>
      <c r="J179" s="109"/>
      <c r="K179" s="109"/>
      <c r="L179" s="109"/>
      <c r="M179" s="109"/>
      <c r="N179" s="109"/>
      <c r="O179" s="109"/>
      <c r="P179" s="109"/>
      <c r="Q179" s="109"/>
      <c r="R179" s="109"/>
      <c r="S179" s="109"/>
      <c r="T179" s="109"/>
      <c r="U179" s="109"/>
      <c r="V179" s="109"/>
      <c r="W179" s="109"/>
      <c r="X179" s="109"/>
      <c r="Y179" s="109"/>
      <c r="Z179" s="109"/>
    </row>
    <row r="180" ht="29.25" customHeight="1">
      <c r="A180" s="109"/>
      <c r="B180" s="109"/>
      <c r="C180" s="109"/>
      <c r="D180" s="109"/>
      <c r="E180" s="109"/>
      <c r="F180" s="109"/>
      <c r="G180" s="109"/>
      <c r="H180" s="109"/>
      <c r="I180" s="109"/>
      <c r="J180" s="109"/>
      <c r="K180" s="109"/>
      <c r="L180" s="109"/>
      <c r="M180" s="109"/>
      <c r="N180" s="109"/>
      <c r="O180" s="109"/>
      <c r="P180" s="109"/>
      <c r="Q180" s="109"/>
      <c r="R180" s="109"/>
      <c r="S180" s="109"/>
      <c r="T180" s="109"/>
      <c r="U180" s="109"/>
      <c r="V180" s="109"/>
      <c r="W180" s="109"/>
      <c r="X180" s="109"/>
      <c r="Y180" s="109"/>
      <c r="Z180" s="109"/>
    </row>
    <row r="181" ht="29.25" customHeight="1">
      <c r="A181" s="109"/>
      <c r="B181" s="109"/>
      <c r="C181" s="109"/>
      <c r="D181" s="109"/>
      <c r="E181" s="109"/>
      <c r="F181" s="109"/>
      <c r="G181" s="109"/>
      <c r="H181" s="109"/>
      <c r="I181" s="109"/>
      <c r="J181" s="109"/>
      <c r="K181" s="109"/>
      <c r="L181" s="109"/>
      <c r="M181" s="109"/>
      <c r="N181" s="109"/>
      <c r="O181" s="109"/>
      <c r="P181" s="109"/>
      <c r="Q181" s="109"/>
      <c r="R181" s="109"/>
      <c r="S181" s="109"/>
      <c r="T181" s="109"/>
      <c r="U181" s="109"/>
      <c r="V181" s="109"/>
      <c r="W181" s="109"/>
      <c r="X181" s="109"/>
      <c r="Y181" s="109"/>
      <c r="Z181" s="109"/>
    </row>
    <row r="182" ht="29.25" customHeight="1">
      <c r="A182" s="109"/>
      <c r="B182" s="109"/>
      <c r="C182" s="109"/>
      <c r="D182" s="109"/>
      <c r="E182" s="109"/>
      <c r="F182" s="109"/>
      <c r="G182" s="109"/>
      <c r="H182" s="109"/>
      <c r="I182" s="109"/>
      <c r="J182" s="109"/>
      <c r="K182" s="109"/>
      <c r="L182" s="109"/>
      <c r="M182" s="109"/>
      <c r="N182" s="109"/>
      <c r="O182" s="109"/>
      <c r="P182" s="109"/>
      <c r="Q182" s="109"/>
      <c r="R182" s="109"/>
      <c r="S182" s="109"/>
      <c r="T182" s="109"/>
      <c r="U182" s="109"/>
      <c r="V182" s="109"/>
      <c r="W182" s="109"/>
      <c r="X182" s="109"/>
      <c r="Y182" s="109"/>
      <c r="Z182" s="109"/>
    </row>
    <row r="183" ht="29.25" customHeight="1">
      <c r="A183" s="109"/>
      <c r="B183" s="109"/>
      <c r="C183" s="109"/>
      <c r="D183" s="109"/>
      <c r="E183" s="109"/>
      <c r="F183" s="109"/>
      <c r="G183" s="109"/>
      <c r="H183" s="109"/>
      <c r="I183" s="109"/>
      <c r="J183" s="109"/>
      <c r="K183" s="109"/>
      <c r="L183" s="109"/>
      <c r="M183" s="109"/>
      <c r="N183" s="109"/>
      <c r="O183" s="109"/>
      <c r="P183" s="109"/>
      <c r="Q183" s="109"/>
      <c r="R183" s="109"/>
      <c r="S183" s="109"/>
      <c r="T183" s="109"/>
      <c r="U183" s="109"/>
      <c r="V183" s="109"/>
      <c r="W183" s="109"/>
      <c r="X183" s="109"/>
      <c r="Y183" s="109"/>
      <c r="Z183" s="109"/>
    </row>
    <row r="184" ht="29.25" customHeight="1">
      <c r="A184" s="109"/>
      <c r="B184" s="109"/>
      <c r="C184" s="109"/>
      <c r="D184" s="109"/>
      <c r="E184" s="109"/>
      <c r="F184" s="109"/>
      <c r="G184" s="109"/>
      <c r="H184" s="109"/>
      <c r="I184" s="109"/>
      <c r="J184" s="109"/>
      <c r="K184" s="109"/>
      <c r="L184" s="109"/>
      <c r="M184" s="109"/>
      <c r="N184" s="109"/>
      <c r="O184" s="109"/>
      <c r="P184" s="109"/>
      <c r="Q184" s="109"/>
      <c r="R184" s="109"/>
      <c r="S184" s="109"/>
      <c r="T184" s="109"/>
      <c r="U184" s="109"/>
      <c r="V184" s="109"/>
      <c r="W184" s="109"/>
      <c r="X184" s="109"/>
      <c r="Y184" s="109"/>
      <c r="Z184" s="109"/>
    </row>
    <row r="185" ht="29.25" customHeight="1">
      <c r="A185" s="109"/>
      <c r="B185" s="109"/>
      <c r="C185" s="109"/>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09"/>
      <c r="Z185" s="109"/>
    </row>
    <row r="186" ht="29.25" customHeight="1">
      <c r="A186" s="109"/>
      <c r="B186" s="109"/>
      <c r="C186" s="109"/>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09"/>
      <c r="Z186" s="109"/>
    </row>
    <row r="187" ht="29.25" customHeight="1">
      <c r="A187" s="109"/>
      <c r="B187" s="109"/>
      <c r="C187" s="109"/>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09"/>
      <c r="Z187" s="109"/>
    </row>
    <row r="188" ht="29.25" customHeight="1">
      <c r="A188" s="109"/>
      <c r="B188" s="109"/>
      <c r="C188" s="109"/>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09"/>
      <c r="Z188" s="109"/>
    </row>
    <row r="189" ht="29.25" customHeight="1">
      <c r="A189" s="109"/>
      <c r="B189" s="109"/>
      <c r="C189" s="109"/>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09"/>
      <c r="Z189" s="109"/>
    </row>
    <row r="190" ht="29.25" customHeight="1">
      <c r="A190" s="109"/>
      <c r="B190" s="109"/>
      <c r="C190" s="109"/>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09"/>
      <c r="Z190" s="109"/>
    </row>
    <row r="191" ht="29.25" customHeight="1">
      <c r="A191" s="109"/>
      <c r="B191" s="109"/>
      <c r="C191" s="109"/>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09"/>
      <c r="Z191" s="109"/>
    </row>
    <row r="192" ht="29.25" customHeight="1">
      <c r="A192" s="109"/>
      <c r="B192" s="109"/>
      <c r="C192" s="109"/>
      <c r="D192" s="109"/>
      <c r="E192" s="109"/>
      <c r="F192" s="109"/>
      <c r="G192" s="109"/>
      <c r="H192" s="109"/>
      <c r="I192" s="109"/>
      <c r="J192" s="109"/>
      <c r="K192" s="109"/>
      <c r="L192" s="109"/>
      <c r="M192" s="109"/>
      <c r="N192" s="109"/>
      <c r="O192" s="109"/>
      <c r="P192" s="109"/>
      <c r="Q192" s="109"/>
      <c r="R192" s="109"/>
      <c r="S192" s="109"/>
      <c r="T192" s="109"/>
      <c r="U192" s="109"/>
      <c r="V192" s="109"/>
      <c r="W192" s="109"/>
      <c r="X192" s="109"/>
      <c r="Y192" s="109"/>
      <c r="Z192" s="109"/>
    </row>
    <row r="193" ht="29.25" customHeight="1">
      <c r="A193" s="109"/>
      <c r="B193" s="109"/>
      <c r="C193" s="109"/>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09"/>
      <c r="Z193" s="109"/>
    </row>
    <row r="194" ht="29.25" customHeight="1">
      <c r="A194" s="109"/>
      <c r="B194" s="109"/>
      <c r="C194" s="109"/>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09"/>
      <c r="Z194" s="109"/>
    </row>
    <row r="195" ht="29.25" customHeight="1">
      <c r="A195" s="109"/>
      <c r="B195" s="109"/>
      <c r="C195" s="109"/>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09"/>
      <c r="Z195" s="109"/>
    </row>
    <row r="196" ht="29.25" customHeight="1">
      <c r="A196" s="109"/>
      <c r="B196" s="109"/>
      <c r="C196" s="109"/>
      <c r="D196" s="109"/>
      <c r="E196" s="109"/>
      <c r="F196" s="109"/>
      <c r="G196" s="109"/>
      <c r="H196" s="109"/>
      <c r="I196" s="109"/>
      <c r="J196" s="109"/>
      <c r="K196" s="109"/>
      <c r="L196" s="109"/>
      <c r="M196" s="109"/>
      <c r="N196" s="109"/>
      <c r="O196" s="109"/>
      <c r="P196" s="109"/>
      <c r="Q196" s="109"/>
      <c r="R196" s="109"/>
      <c r="S196" s="109"/>
      <c r="T196" s="109"/>
      <c r="U196" s="109"/>
      <c r="V196" s="109"/>
      <c r="W196" s="109"/>
      <c r="X196" s="109"/>
      <c r="Y196" s="109"/>
      <c r="Z196" s="109"/>
    </row>
    <row r="197" ht="29.25" customHeight="1">
      <c r="A197" s="109"/>
      <c r="B197" s="109"/>
      <c r="C197" s="109"/>
      <c r="D197" s="109"/>
      <c r="E197" s="109"/>
      <c r="F197" s="109"/>
      <c r="G197" s="109"/>
      <c r="H197" s="109"/>
      <c r="I197" s="109"/>
      <c r="J197" s="109"/>
      <c r="K197" s="109"/>
      <c r="L197" s="109"/>
      <c r="M197" s="109"/>
      <c r="N197" s="109"/>
      <c r="O197" s="109"/>
      <c r="P197" s="109"/>
      <c r="Q197" s="109"/>
      <c r="R197" s="109"/>
      <c r="S197" s="109"/>
      <c r="T197" s="109"/>
      <c r="U197" s="109"/>
      <c r="V197" s="109"/>
      <c r="W197" s="109"/>
      <c r="X197" s="109"/>
      <c r="Y197" s="109"/>
      <c r="Z197" s="109"/>
    </row>
    <row r="198" ht="29.25" customHeight="1">
      <c r="A198" s="109"/>
      <c r="B198" s="109"/>
      <c r="C198" s="109"/>
      <c r="D198" s="109"/>
      <c r="E198" s="109"/>
      <c r="F198" s="109"/>
      <c r="G198" s="109"/>
      <c r="H198" s="109"/>
      <c r="I198" s="109"/>
      <c r="J198" s="109"/>
      <c r="K198" s="109"/>
      <c r="L198" s="109"/>
      <c r="M198" s="109"/>
      <c r="N198" s="109"/>
      <c r="O198" s="109"/>
      <c r="P198" s="109"/>
      <c r="Q198" s="109"/>
      <c r="R198" s="109"/>
      <c r="S198" s="109"/>
      <c r="T198" s="109"/>
      <c r="U198" s="109"/>
      <c r="V198" s="109"/>
      <c r="W198" s="109"/>
      <c r="X198" s="109"/>
      <c r="Y198" s="109"/>
      <c r="Z198" s="109"/>
    </row>
    <row r="199" ht="29.25" customHeight="1">
      <c r="A199" s="109"/>
      <c r="B199" s="109"/>
      <c r="C199" s="109"/>
      <c r="D199" s="109"/>
      <c r="E199" s="109"/>
      <c r="F199" s="109"/>
      <c r="G199" s="109"/>
      <c r="H199" s="109"/>
      <c r="I199" s="109"/>
      <c r="J199" s="109"/>
      <c r="K199" s="109"/>
      <c r="L199" s="109"/>
      <c r="M199" s="109"/>
      <c r="N199" s="109"/>
      <c r="O199" s="109"/>
      <c r="P199" s="109"/>
      <c r="Q199" s="109"/>
      <c r="R199" s="109"/>
      <c r="S199" s="109"/>
      <c r="T199" s="109"/>
      <c r="U199" s="109"/>
      <c r="V199" s="109"/>
      <c r="W199" s="109"/>
      <c r="X199" s="109"/>
      <c r="Y199" s="109"/>
      <c r="Z199" s="109"/>
    </row>
    <row r="200" ht="29.25" customHeight="1">
      <c r="A200" s="109"/>
      <c r="B200" s="109"/>
      <c r="C200" s="109"/>
      <c r="D200" s="109"/>
      <c r="E200" s="109"/>
      <c r="F200" s="109"/>
      <c r="G200" s="109"/>
      <c r="H200" s="109"/>
      <c r="I200" s="109"/>
      <c r="J200" s="109"/>
      <c r="K200" s="109"/>
      <c r="L200" s="109"/>
      <c r="M200" s="109"/>
      <c r="N200" s="109"/>
      <c r="O200" s="109"/>
      <c r="P200" s="109"/>
      <c r="Q200" s="109"/>
      <c r="R200" s="109"/>
      <c r="S200" s="109"/>
      <c r="T200" s="109"/>
      <c r="U200" s="109"/>
      <c r="V200" s="109"/>
      <c r="W200" s="109"/>
      <c r="X200" s="109"/>
      <c r="Y200" s="109"/>
      <c r="Z200" s="109"/>
    </row>
    <row r="201" ht="29.25" customHeight="1">
      <c r="A201" s="109"/>
      <c r="B201" s="109"/>
      <c r="C201" s="109"/>
      <c r="D201" s="109"/>
      <c r="E201" s="109"/>
      <c r="F201" s="109"/>
      <c r="G201" s="109"/>
      <c r="H201" s="109"/>
      <c r="I201" s="109"/>
      <c r="J201" s="109"/>
      <c r="K201" s="109"/>
      <c r="L201" s="109"/>
      <c r="M201" s="109"/>
      <c r="N201" s="109"/>
      <c r="O201" s="109"/>
      <c r="P201" s="109"/>
      <c r="Q201" s="109"/>
      <c r="R201" s="109"/>
      <c r="S201" s="109"/>
      <c r="T201" s="109"/>
      <c r="U201" s="109"/>
      <c r="V201" s="109"/>
      <c r="W201" s="109"/>
      <c r="X201" s="109"/>
      <c r="Y201" s="109"/>
      <c r="Z201" s="109"/>
    </row>
    <row r="202" ht="29.25" customHeight="1">
      <c r="A202" s="109"/>
      <c r="B202" s="109"/>
      <c r="C202" s="109"/>
      <c r="D202" s="109"/>
      <c r="E202" s="109"/>
      <c r="F202" s="109"/>
      <c r="G202" s="109"/>
      <c r="H202" s="109"/>
      <c r="I202" s="109"/>
      <c r="J202" s="109"/>
      <c r="K202" s="109"/>
      <c r="L202" s="109"/>
      <c r="M202" s="109"/>
      <c r="N202" s="109"/>
      <c r="O202" s="109"/>
      <c r="P202" s="109"/>
      <c r="Q202" s="109"/>
      <c r="R202" s="109"/>
      <c r="S202" s="109"/>
      <c r="T202" s="109"/>
      <c r="U202" s="109"/>
      <c r="V202" s="109"/>
      <c r="W202" s="109"/>
      <c r="X202" s="109"/>
      <c r="Y202" s="109"/>
      <c r="Z202" s="109"/>
    </row>
    <row r="203" ht="29.25" customHeight="1">
      <c r="A203" s="109"/>
      <c r="B203" s="109"/>
      <c r="C203" s="109"/>
      <c r="D203" s="109"/>
      <c r="E203" s="109"/>
      <c r="F203" s="109"/>
      <c r="G203" s="109"/>
      <c r="H203" s="109"/>
      <c r="I203" s="109"/>
      <c r="J203" s="109"/>
      <c r="K203" s="109"/>
      <c r="L203" s="109"/>
      <c r="M203" s="109"/>
      <c r="N203" s="109"/>
      <c r="O203" s="109"/>
      <c r="P203" s="109"/>
      <c r="Q203" s="109"/>
      <c r="R203" s="109"/>
      <c r="S203" s="109"/>
      <c r="T203" s="109"/>
      <c r="U203" s="109"/>
      <c r="V203" s="109"/>
      <c r="W203" s="109"/>
      <c r="X203" s="109"/>
      <c r="Y203" s="109"/>
      <c r="Z203" s="109"/>
    </row>
    <row r="204" ht="29.25" customHeight="1">
      <c r="A204" s="109"/>
      <c r="B204" s="109"/>
      <c r="C204" s="109"/>
      <c r="D204" s="109"/>
      <c r="E204" s="109"/>
      <c r="F204" s="109"/>
      <c r="G204" s="109"/>
      <c r="H204" s="109"/>
      <c r="I204" s="109"/>
      <c r="J204" s="109"/>
      <c r="K204" s="109"/>
      <c r="L204" s="109"/>
      <c r="M204" s="109"/>
      <c r="N204" s="109"/>
      <c r="O204" s="109"/>
      <c r="P204" s="109"/>
      <c r="Q204" s="109"/>
      <c r="R204" s="109"/>
      <c r="S204" s="109"/>
      <c r="T204" s="109"/>
      <c r="U204" s="109"/>
      <c r="V204" s="109"/>
      <c r="W204" s="109"/>
      <c r="X204" s="109"/>
      <c r="Y204" s="109"/>
      <c r="Z204" s="109"/>
    </row>
    <row r="205" ht="29.25" customHeight="1">
      <c r="A205" s="109"/>
      <c r="B205" s="109"/>
      <c r="C205" s="109"/>
      <c r="D205" s="109"/>
      <c r="E205" s="109"/>
      <c r="F205" s="109"/>
      <c r="G205" s="109"/>
      <c r="H205" s="109"/>
      <c r="I205" s="109"/>
      <c r="J205" s="109"/>
      <c r="K205" s="109"/>
      <c r="L205" s="109"/>
      <c r="M205" s="109"/>
      <c r="N205" s="109"/>
      <c r="O205" s="109"/>
      <c r="P205" s="109"/>
      <c r="Q205" s="109"/>
      <c r="R205" s="109"/>
      <c r="S205" s="109"/>
      <c r="T205" s="109"/>
      <c r="U205" s="109"/>
      <c r="V205" s="109"/>
      <c r="W205" s="109"/>
      <c r="X205" s="109"/>
      <c r="Y205" s="109"/>
      <c r="Z205" s="109"/>
    </row>
    <row r="206" ht="29.25" customHeight="1">
      <c r="A206" s="109"/>
      <c r="B206" s="109"/>
      <c r="C206" s="109"/>
      <c r="D206" s="109"/>
      <c r="E206" s="109"/>
      <c r="F206" s="109"/>
      <c r="G206" s="109"/>
      <c r="H206" s="109"/>
      <c r="I206" s="109"/>
      <c r="J206" s="109"/>
      <c r="K206" s="109"/>
      <c r="L206" s="109"/>
      <c r="M206" s="109"/>
      <c r="N206" s="109"/>
      <c r="O206" s="109"/>
      <c r="P206" s="109"/>
      <c r="Q206" s="109"/>
      <c r="R206" s="109"/>
      <c r="S206" s="109"/>
      <c r="T206" s="109"/>
      <c r="U206" s="109"/>
      <c r="V206" s="109"/>
      <c r="W206" s="109"/>
      <c r="X206" s="109"/>
      <c r="Y206" s="109"/>
      <c r="Z206" s="109"/>
    </row>
    <row r="207" ht="29.25" customHeight="1">
      <c r="A207" s="109"/>
      <c r="B207" s="109"/>
      <c r="C207" s="109"/>
      <c r="D207" s="109"/>
      <c r="E207" s="109"/>
      <c r="F207" s="109"/>
      <c r="G207" s="109"/>
      <c r="H207" s="109"/>
      <c r="I207" s="109"/>
      <c r="J207" s="109"/>
      <c r="K207" s="109"/>
      <c r="L207" s="109"/>
      <c r="M207" s="109"/>
      <c r="N207" s="109"/>
      <c r="O207" s="109"/>
      <c r="P207" s="109"/>
      <c r="Q207" s="109"/>
      <c r="R207" s="109"/>
      <c r="S207" s="109"/>
      <c r="T207" s="109"/>
      <c r="U207" s="109"/>
      <c r="V207" s="109"/>
      <c r="W207" s="109"/>
      <c r="X207" s="109"/>
      <c r="Y207" s="109"/>
      <c r="Z207" s="109"/>
    </row>
    <row r="208" ht="29.25" customHeight="1">
      <c r="A208" s="109"/>
      <c r="B208" s="109"/>
      <c r="C208" s="109"/>
      <c r="D208" s="109"/>
      <c r="E208" s="109"/>
      <c r="F208" s="109"/>
      <c r="G208" s="109"/>
      <c r="H208" s="109"/>
      <c r="I208" s="109"/>
      <c r="J208" s="109"/>
      <c r="K208" s="109"/>
      <c r="L208" s="109"/>
      <c r="M208" s="109"/>
      <c r="N208" s="109"/>
      <c r="O208" s="109"/>
      <c r="P208" s="109"/>
      <c r="Q208" s="109"/>
      <c r="R208" s="109"/>
      <c r="S208" s="109"/>
      <c r="T208" s="109"/>
      <c r="U208" s="109"/>
      <c r="V208" s="109"/>
      <c r="W208" s="109"/>
      <c r="X208" s="109"/>
      <c r="Y208" s="109"/>
      <c r="Z208" s="109"/>
    </row>
    <row r="209" ht="29.25" customHeight="1">
      <c r="A209" s="109"/>
      <c r="B209" s="109"/>
      <c r="C209" s="109"/>
      <c r="D209" s="109"/>
      <c r="E209" s="109"/>
      <c r="F209" s="109"/>
      <c r="G209" s="109"/>
      <c r="H209" s="109"/>
      <c r="I209" s="109"/>
      <c r="J209" s="109"/>
      <c r="K209" s="109"/>
      <c r="L209" s="109"/>
      <c r="M209" s="109"/>
      <c r="N209" s="109"/>
      <c r="O209" s="109"/>
      <c r="P209" s="109"/>
      <c r="Q209" s="109"/>
      <c r="R209" s="109"/>
      <c r="S209" s="109"/>
      <c r="T209" s="109"/>
      <c r="U209" s="109"/>
      <c r="V209" s="109"/>
      <c r="W209" s="109"/>
      <c r="X209" s="109"/>
      <c r="Y209" s="109"/>
      <c r="Z209" s="109"/>
    </row>
    <row r="210" ht="29.25" customHeight="1">
      <c r="A210" s="109"/>
      <c r="B210" s="109"/>
      <c r="C210" s="109"/>
      <c r="D210" s="109"/>
      <c r="E210" s="109"/>
      <c r="F210" s="109"/>
      <c r="G210" s="109"/>
      <c r="H210" s="109"/>
      <c r="I210" s="109"/>
      <c r="J210" s="109"/>
      <c r="K210" s="109"/>
      <c r="L210" s="109"/>
      <c r="M210" s="109"/>
      <c r="N210" s="109"/>
      <c r="O210" s="109"/>
      <c r="P210" s="109"/>
      <c r="Q210" s="109"/>
      <c r="R210" s="109"/>
      <c r="S210" s="109"/>
      <c r="T210" s="109"/>
      <c r="U210" s="109"/>
      <c r="V210" s="109"/>
      <c r="W210" s="109"/>
      <c r="X210" s="109"/>
      <c r="Y210" s="109"/>
      <c r="Z210" s="109"/>
    </row>
    <row r="211" ht="29.25" customHeight="1">
      <c r="A211" s="109"/>
      <c r="B211" s="109"/>
      <c r="C211" s="109"/>
      <c r="D211" s="109"/>
      <c r="E211" s="109"/>
      <c r="F211" s="109"/>
      <c r="G211" s="109"/>
      <c r="H211" s="109"/>
      <c r="I211" s="109"/>
      <c r="J211" s="109"/>
      <c r="K211" s="109"/>
      <c r="L211" s="109"/>
      <c r="M211" s="109"/>
      <c r="N211" s="109"/>
      <c r="O211" s="109"/>
      <c r="P211" s="109"/>
      <c r="Q211" s="109"/>
      <c r="R211" s="109"/>
      <c r="S211" s="109"/>
      <c r="T211" s="109"/>
      <c r="U211" s="109"/>
      <c r="V211" s="109"/>
      <c r="W211" s="109"/>
      <c r="X211" s="109"/>
      <c r="Y211" s="109"/>
      <c r="Z211" s="109"/>
    </row>
    <row r="212" ht="29.25" customHeight="1">
      <c r="A212" s="109"/>
      <c r="B212" s="109"/>
      <c r="C212" s="109"/>
      <c r="D212" s="109"/>
      <c r="E212" s="109"/>
      <c r="F212" s="109"/>
      <c r="G212" s="109"/>
      <c r="H212" s="109"/>
      <c r="I212" s="109"/>
      <c r="J212" s="109"/>
      <c r="K212" s="109"/>
      <c r="L212" s="109"/>
      <c r="M212" s="109"/>
      <c r="N212" s="109"/>
      <c r="O212" s="109"/>
      <c r="P212" s="109"/>
      <c r="Q212" s="109"/>
      <c r="R212" s="109"/>
      <c r="S212" s="109"/>
      <c r="T212" s="109"/>
      <c r="U212" s="109"/>
      <c r="V212" s="109"/>
      <c r="W212" s="109"/>
      <c r="X212" s="109"/>
      <c r="Y212" s="109"/>
      <c r="Z212" s="109"/>
    </row>
    <row r="213" ht="29.25" customHeight="1">
      <c r="A213" s="109"/>
      <c r="B213" s="109"/>
      <c r="C213" s="109"/>
      <c r="D213" s="109"/>
      <c r="E213" s="109"/>
      <c r="F213" s="109"/>
      <c r="G213" s="109"/>
      <c r="H213" s="109"/>
      <c r="I213" s="109"/>
      <c r="J213" s="109"/>
      <c r="K213" s="109"/>
      <c r="L213" s="109"/>
      <c r="M213" s="109"/>
      <c r="N213" s="109"/>
      <c r="O213" s="109"/>
      <c r="P213" s="109"/>
      <c r="Q213" s="109"/>
      <c r="R213" s="109"/>
      <c r="S213" s="109"/>
      <c r="T213" s="109"/>
      <c r="U213" s="109"/>
      <c r="V213" s="109"/>
      <c r="W213" s="109"/>
      <c r="X213" s="109"/>
      <c r="Y213" s="109"/>
      <c r="Z213" s="109"/>
    </row>
    <row r="214" ht="29.25" customHeight="1">
      <c r="A214" s="109"/>
      <c r="B214" s="109"/>
      <c r="C214" s="109"/>
      <c r="D214" s="109"/>
      <c r="E214" s="109"/>
      <c r="F214" s="109"/>
      <c r="G214" s="109"/>
      <c r="H214" s="109"/>
      <c r="I214" s="109"/>
      <c r="J214" s="109"/>
      <c r="K214" s="109"/>
      <c r="L214" s="109"/>
      <c r="M214" s="109"/>
      <c r="N214" s="109"/>
      <c r="O214" s="109"/>
      <c r="P214" s="109"/>
      <c r="Q214" s="109"/>
      <c r="R214" s="109"/>
      <c r="S214" s="109"/>
      <c r="T214" s="109"/>
      <c r="U214" s="109"/>
      <c r="V214" s="109"/>
      <c r="W214" s="109"/>
      <c r="X214" s="109"/>
      <c r="Y214" s="109"/>
      <c r="Z214" s="109"/>
    </row>
    <row r="215" ht="29.25" customHeight="1">
      <c r="A215" s="109"/>
      <c r="B215" s="109"/>
      <c r="C215" s="109"/>
      <c r="D215" s="109"/>
      <c r="E215" s="109"/>
      <c r="F215" s="109"/>
      <c r="G215" s="109"/>
      <c r="H215" s="109"/>
      <c r="I215" s="109"/>
      <c r="J215" s="109"/>
      <c r="K215" s="109"/>
      <c r="L215" s="109"/>
      <c r="M215" s="109"/>
      <c r="N215" s="109"/>
      <c r="O215" s="109"/>
      <c r="P215" s="109"/>
      <c r="Q215" s="109"/>
      <c r="R215" s="109"/>
      <c r="S215" s="109"/>
      <c r="T215" s="109"/>
      <c r="U215" s="109"/>
      <c r="V215" s="109"/>
      <c r="W215" s="109"/>
      <c r="X215" s="109"/>
      <c r="Y215" s="109"/>
      <c r="Z215" s="109"/>
    </row>
    <row r="216" ht="29.25" customHeight="1">
      <c r="A216" s="109"/>
      <c r="B216" s="109"/>
      <c r="C216" s="109"/>
      <c r="D216" s="109"/>
      <c r="E216" s="109"/>
      <c r="F216" s="109"/>
      <c r="G216" s="109"/>
      <c r="H216" s="109"/>
      <c r="I216" s="109"/>
      <c r="J216" s="109"/>
      <c r="K216" s="109"/>
      <c r="L216" s="109"/>
      <c r="M216" s="109"/>
      <c r="N216" s="109"/>
      <c r="O216" s="109"/>
      <c r="P216" s="109"/>
      <c r="Q216" s="109"/>
      <c r="R216" s="109"/>
      <c r="S216" s="109"/>
      <c r="T216" s="109"/>
      <c r="U216" s="109"/>
      <c r="V216" s="109"/>
      <c r="W216" s="109"/>
      <c r="X216" s="109"/>
      <c r="Y216" s="109"/>
      <c r="Z216" s="109"/>
    </row>
    <row r="217" ht="29.25" customHeight="1">
      <c r="A217" s="109"/>
      <c r="B217" s="109"/>
      <c r="C217" s="109"/>
      <c r="D217" s="109"/>
      <c r="E217" s="109"/>
      <c r="F217" s="109"/>
      <c r="G217" s="109"/>
      <c r="H217" s="109"/>
      <c r="I217" s="109"/>
      <c r="J217" s="109"/>
      <c r="K217" s="109"/>
      <c r="L217" s="109"/>
      <c r="M217" s="109"/>
      <c r="N217" s="109"/>
      <c r="O217" s="109"/>
      <c r="P217" s="109"/>
      <c r="Q217" s="109"/>
      <c r="R217" s="109"/>
      <c r="S217" s="109"/>
      <c r="T217" s="109"/>
      <c r="U217" s="109"/>
      <c r="V217" s="109"/>
      <c r="W217" s="109"/>
      <c r="X217" s="109"/>
      <c r="Y217" s="109"/>
      <c r="Z217" s="109"/>
    </row>
    <row r="218" ht="29.25" customHeight="1">
      <c r="A218" s="109"/>
      <c r="B218" s="109"/>
      <c r="C218" s="109"/>
      <c r="D218" s="109"/>
      <c r="E218" s="109"/>
      <c r="F218" s="109"/>
      <c r="G218" s="109"/>
      <c r="H218" s="109"/>
      <c r="I218" s="109"/>
      <c r="J218" s="109"/>
      <c r="K218" s="109"/>
      <c r="L218" s="109"/>
      <c r="M218" s="109"/>
      <c r="N218" s="109"/>
      <c r="O218" s="109"/>
      <c r="P218" s="109"/>
      <c r="Q218" s="109"/>
      <c r="R218" s="109"/>
      <c r="S218" s="109"/>
      <c r="T218" s="109"/>
      <c r="U218" s="109"/>
      <c r="V218" s="109"/>
      <c r="W218" s="109"/>
      <c r="X218" s="109"/>
      <c r="Y218" s="109"/>
      <c r="Z218" s="109"/>
    </row>
    <row r="219" ht="29.25" customHeight="1">
      <c r="A219" s="109"/>
      <c r="B219" s="109"/>
      <c r="C219" s="109"/>
      <c r="D219" s="109"/>
      <c r="E219" s="109"/>
      <c r="F219" s="109"/>
      <c r="G219" s="109"/>
      <c r="H219" s="109"/>
      <c r="I219" s="109"/>
      <c r="J219" s="109"/>
      <c r="K219" s="109"/>
      <c r="L219" s="109"/>
      <c r="M219" s="109"/>
      <c r="N219" s="109"/>
      <c r="O219" s="109"/>
      <c r="P219" s="109"/>
      <c r="Q219" s="109"/>
      <c r="R219" s="109"/>
      <c r="S219" s="109"/>
      <c r="T219" s="109"/>
      <c r="U219" s="109"/>
      <c r="V219" s="109"/>
      <c r="W219" s="109"/>
      <c r="X219" s="109"/>
      <c r="Y219" s="109"/>
      <c r="Z219" s="109"/>
    </row>
    <row r="220" ht="29.25" customHeight="1">
      <c r="A220" s="109"/>
      <c r="B220" s="109"/>
      <c r="C220" s="109"/>
      <c r="D220" s="109"/>
      <c r="E220" s="109"/>
      <c r="F220" s="109"/>
      <c r="G220" s="109"/>
      <c r="H220" s="109"/>
      <c r="I220" s="109"/>
      <c r="J220" s="109"/>
      <c r="K220" s="109"/>
      <c r="L220" s="109"/>
      <c r="M220" s="109"/>
      <c r="N220" s="109"/>
      <c r="O220" s="109"/>
      <c r="P220" s="109"/>
      <c r="Q220" s="109"/>
      <c r="R220" s="109"/>
      <c r="S220" s="109"/>
      <c r="T220" s="109"/>
      <c r="U220" s="109"/>
      <c r="V220" s="109"/>
      <c r="W220" s="109"/>
      <c r="X220" s="109"/>
      <c r="Y220" s="109"/>
      <c r="Z220" s="109"/>
    </row>
    <row r="221" ht="29.25" customHeight="1">
      <c r="A221" s="109"/>
      <c r="B221" s="109"/>
      <c r="C221" s="109"/>
      <c r="D221" s="109"/>
      <c r="E221" s="109"/>
      <c r="F221" s="109"/>
      <c r="G221" s="109"/>
      <c r="H221" s="109"/>
      <c r="I221" s="109"/>
      <c r="J221" s="109"/>
      <c r="K221" s="109"/>
      <c r="L221" s="109"/>
      <c r="M221" s="109"/>
      <c r="N221" s="109"/>
      <c r="O221" s="109"/>
      <c r="P221" s="109"/>
      <c r="Q221" s="109"/>
      <c r="R221" s="109"/>
      <c r="S221" s="109"/>
      <c r="T221" s="109"/>
      <c r="U221" s="109"/>
      <c r="V221" s="109"/>
      <c r="W221" s="109"/>
      <c r="X221" s="109"/>
      <c r="Y221" s="109"/>
      <c r="Z221" s="109"/>
    </row>
    <row r="222" ht="29.25" customHeight="1">
      <c r="A222" s="109"/>
      <c r="B222" s="109"/>
      <c r="C222" s="109"/>
      <c r="D222" s="109"/>
      <c r="E222" s="109"/>
      <c r="F222" s="109"/>
      <c r="G222" s="109"/>
      <c r="H222" s="109"/>
      <c r="I222" s="109"/>
      <c r="J222" s="109"/>
      <c r="K222" s="109"/>
      <c r="L222" s="109"/>
      <c r="M222" s="109"/>
      <c r="N222" s="109"/>
      <c r="O222" s="109"/>
      <c r="P222" s="109"/>
      <c r="Q222" s="109"/>
      <c r="R222" s="109"/>
      <c r="S222" s="109"/>
      <c r="T222" s="109"/>
      <c r="U222" s="109"/>
      <c r="V222" s="109"/>
      <c r="W222" s="109"/>
      <c r="X222" s="109"/>
      <c r="Y222" s="109"/>
      <c r="Z222" s="109"/>
    </row>
    <row r="223" ht="29.25" customHeight="1">
      <c r="A223" s="109"/>
      <c r="B223" s="109"/>
      <c r="C223" s="109"/>
      <c r="D223" s="109"/>
      <c r="E223" s="109"/>
      <c r="F223" s="109"/>
      <c r="G223" s="109"/>
      <c r="H223" s="109"/>
      <c r="I223" s="109"/>
      <c r="J223" s="109"/>
      <c r="K223" s="109"/>
      <c r="L223" s="109"/>
      <c r="M223" s="109"/>
      <c r="N223" s="109"/>
      <c r="O223" s="109"/>
      <c r="P223" s="109"/>
      <c r="Q223" s="109"/>
      <c r="R223" s="109"/>
      <c r="S223" s="109"/>
      <c r="T223" s="109"/>
      <c r="U223" s="109"/>
      <c r="V223" s="109"/>
      <c r="W223" s="109"/>
      <c r="X223" s="109"/>
      <c r="Y223" s="109"/>
      <c r="Z223" s="109"/>
    </row>
    <row r="224" ht="29.25" customHeight="1">
      <c r="A224" s="109"/>
      <c r="B224" s="109"/>
      <c r="C224" s="109"/>
      <c r="D224" s="109"/>
      <c r="E224" s="109"/>
      <c r="F224" s="109"/>
      <c r="G224" s="109"/>
      <c r="H224" s="109"/>
      <c r="I224" s="109"/>
      <c r="J224" s="109"/>
      <c r="K224" s="109"/>
      <c r="L224" s="109"/>
      <c r="M224" s="109"/>
      <c r="N224" s="109"/>
      <c r="O224" s="109"/>
      <c r="P224" s="109"/>
      <c r="Q224" s="109"/>
      <c r="R224" s="109"/>
      <c r="S224" s="109"/>
      <c r="T224" s="109"/>
      <c r="U224" s="109"/>
      <c r="V224" s="109"/>
      <c r="W224" s="109"/>
      <c r="X224" s="109"/>
      <c r="Y224" s="109"/>
      <c r="Z224" s="109"/>
    </row>
    <row r="225" ht="29.25" customHeight="1">
      <c r="A225" s="109"/>
      <c r="B225" s="109"/>
      <c r="C225" s="109"/>
      <c r="D225" s="109"/>
      <c r="E225" s="109"/>
      <c r="F225" s="109"/>
      <c r="G225" s="109"/>
      <c r="H225" s="109"/>
      <c r="I225" s="109"/>
      <c r="J225" s="109"/>
      <c r="K225" s="109"/>
      <c r="L225" s="109"/>
      <c r="M225" s="109"/>
      <c r="N225" s="109"/>
      <c r="O225" s="109"/>
      <c r="P225" s="109"/>
      <c r="Q225" s="109"/>
      <c r="R225" s="109"/>
      <c r="S225" s="109"/>
      <c r="T225" s="109"/>
      <c r="U225" s="109"/>
      <c r="V225" s="109"/>
      <c r="W225" s="109"/>
      <c r="X225" s="109"/>
      <c r="Y225" s="109"/>
      <c r="Z225" s="109"/>
    </row>
    <row r="226" ht="29.25" customHeight="1">
      <c r="A226" s="109"/>
      <c r="B226" s="109"/>
      <c r="C226" s="109"/>
      <c r="D226" s="109"/>
      <c r="E226" s="109"/>
      <c r="F226" s="109"/>
      <c r="G226" s="109"/>
      <c r="H226" s="109"/>
      <c r="I226" s="109"/>
      <c r="J226" s="109"/>
      <c r="K226" s="109"/>
      <c r="L226" s="109"/>
      <c r="M226" s="109"/>
      <c r="N226" s="109"/>
      <c r="O226" s="109"/>
      <c r="P226" s="109"/>
      <c r="Q226" s="109"/>
      <c r="R226" s="109"/>
      <c r="S226" s="109"/>
      <c r="T226" s="109"/>
      <c r="U226" s="109"/>
      <c r="V226" s="109"/>
      <c r="W226" s="109"/>
      <c r="X226" s="109"/>
      <c r="Y226" s="109"/>
      <c r="Z226" s="109"/>
    </row>
    <row r="227" ht="29.25" customHeight="1">
      <c r="A227" s="109"/>
      <c r="B227" s="109"/>
      <c r="C227" s="109"/>
      <c r="D227" s="109"/>
      <c r="E227" s="109"/>
      <c r="F227" s="109"/>
      <c r="G227" s="109"/>
      <c r="H227" s="109"/>
      <c r="I227" s="109"/>
      <c r="J227" s="109"/>
      <c r="K227" s="109"/>
      <c r="L227" s="109"/>
      <c r="M227" s="109"/>
      <c r="N227" s="109"/>
      <c r="O227" s="109"/>
      <c r="P227" s="109"/>
      <c r="Q227" s="109"/>
      <c r="R227" s="109"/>
      <c r="S227" s="109"/>
      <c r="T227" s="109"/>
      <c r="U227" s="109"/>
      <c r="V227" s="109"/>
      <c r="W227" s="109"/>
      <c r="X227" s="109"/>
      <c r="Y227" s="109"/>
      <c r="Z227" s="109"/>
    </row>
    <row r="228" ht="29.25" customHeight="1">
      <c r="A228" s="109"/>
      <c r="B228" s="109"/>
      <c r="C228" s="109"/>
      <c r="D228" s="109"/>
      <c r="E228" s="109"/>
      <c r="F228" s="109"/>
      <c r="G228" s="109"/>
      <c r="H228" s="109"/>
      <c r="I228" s="109"/>
      <c r="J228" s="109"/>
      <c r="K228" s="109"/>
      <c r="L228" s="109"/>
      <c r="M228" s="109"/>
      <c r="N228" s="109"/>
      <c r="O228" s="109"/>
      <c r="P228" s="109"/>
      <c r="Q228" s="109"/>
      <c r="R228" s="109"/>
      <c r="S228" s="109"/>
      <c r="T228" s="109"/>
      <c r="U228" s="109"/>
      <c r="V228" s="109"/>
      <c r="W228" s="109"/>
      <c r="X228" s="109"/>
      <c r="Y228" s="109"/>
      <c r="Z228" s="109"/>
    </row>
    <row r="229" ht="29.25" customHeight="1">
      <c r="A229" s="109"/>
      <c r="B229" s="109"/>
      <c r="C229" s="109"/>
      <c r="D229" s="109"/>
      <c r="E229" s="109"/>
      <c r="F229" s="109"/>
      <c r="G229" s="109"/>
      <c r="H229" s="109"/>
      <c r="I229" s="109"/>
      <c r="J229" s="109"/>
      <c r="K229" s="109"/>
      <c r="L229" s="109"/>
      <c r="M229" s="109"/>
      <c r="N229" s="109"/>
      <c r="O229" s="109"/>
      <c r="P229" s="109"/>
      <c r="Q229" s="109"/>
      <c r="R229" s="109"/>
      <c r="S229" s="109"/>
      <c r="T229" s="109"/>
      <c r="U229" s="109"/>
      <c r="V229" s="109"/>
      <c r="W229" s="109"/>
      <c r="X229" s="109"/>
      <c r="Y229" s="109"/>
      <c r="Z229" s="109"/>
    </row>
    <row r="230" ht="29.25" customHeight="1">
      <c r="A230" s="109"/>
      <c r="B230" s="109"/>
      <c r="C230" s="109"/>
      <c r="D230" s="109"/>
      <c r="E230" s="109"/>
      <c r="F230" s="109"/>
      <c r="G230" s="109"/>
      <c r="H230" s="109"/>
      <c r="I230" s="109"/>
      <c r="J230" s="109"/>
      <c r="K230" s="109"/>
      <c r="L230" s="109"/>
      <c r="M230" s="109"/>
      <c r="N230" s="109"/>
      <c r="O230" s="109"/>
      <c r="P230" s="109"/>
      <c r="Q230" s="109"/>
      <c r="R230" s="109"/>
      <c r="S230" s="109"/>
      <c r="T230" s="109"/>
      <c r="U230" s="109"/>
      <c r="V230" s="109"/>
      <c r="W230" s="109"/>
      <c r="X230" s="109"/>
      <c r="Y230" s="109"/>
      <c r="Z230" s="109"/>
    </row>
    <row r="231" ht="29.25" customHeight="1">
      <c r="A231" s="109"/>
      <c r="B231" s="109"/>
      <c r="C231" s="109"/>
      <c r="D231" s="109"/>
      <c r="E231" s="109"/>
      <c r="F231" s="109"/>
      <c r="G231" s="109"/>
      <c r="H231" s="109"/>
      <c r="I231" s="109"/>
      <c r="J231" s="109"/>
      <c r="K231" s="109"/>
      <c r="L231" s="109"/>
      <c r="M231" s="109"/>
      <c r="N231" s="109"/>
      <c r="O231" s="109"/>
      <c r="P231" s="109"/>
      <c r="Q231" s="109"/>
      <c r="R231" s="109"/>
      <c r="S231" s="109"/>
      <c r="T231" s="109"/>
      <c r="U231" s="109"/>
      <c r="V231" s="109"/>
      <c r="W231" s="109"/>
      <c r="X231" s="109"/>
      <c r="Y231" s="109"/>
      <c r="Z231" s="109"/>
    </row>
    <row r="232" ht="29.25" customHeight="1">
      <c r="A232" s="109"/>
      <c r="B232" s="109"/>
      <c r="C232" s="109"/>
      <c r="D232" s="109"/>
      <c r="E232" s="109"/>
      <c r="F232" s="109"/>
      <c r="G232" s="109"/>
      <c r="H232" s="109"/>
      <c r="I232" s="109"/>
      <c r="J232" s="109"/>
      <c r="K232" s="109"/>
      <c r="L232" s="109"/>
      <c r="M232" s="109"/>
      <c r="N232" s="109"/>
      <c r="O232" s="109"/>
      <c r="P232" s="109"/>
      <c r="Q232" s="109"/>
      <c r="R232" s="109"/>
      <c r="S232" s="109"/>
      <c r="T232" s="109"/>
      <c r="U232" s="109"/>
      <c r="V232" s="109"/>
      <c r="W232" s="109"/>
      <c r="X232" s="109"/>
      <c r="Y232" s="109"/>
      <c r="Z232" s="109"/>
    </row>
    <row r="233" ht="29.25" customHeight="1">
      <c r="A233" s="109"/>
      <c r="B233" s="109"/>
      <c r="C233" s="109"/>
      <c r="D233" s="109"/>
      <c r="E233" s="109"/>
      <c r="F233" s="109"/>
      <c r="G233" s="109"/>
      <c r="H233" s="109"/>
      <c r="I233" s="109"/>
      <c r="J233" s="109"/>
      <c r="K233" s="109"/>
      <c r="L233" s="109"/>
      <c r="M233" s="109"/>
      <c r="N233" s="109"/>
      <c r="O233" s="109"/>
      <c r="P233" s="109"/>
      <c r="Q233" s="109"/>
      <c r="R233" s="109"/>
      <c r="S233" s="109"/>
      <c r="T233" s="109"/>
      <c r="U233" s="109"/>
      <c r="V233" s="109"/>
      <c r="W233" s="109"/>
      <c r="X233" s="109"/>
      <c r="Y233" s="109"/>
      <c r="Z233" s="109"/>
    </row>
    <row r="234" ht="29.25" customHeight="1">
      <c r="A234" s="109"/>
      <c r="B234" s="109"/>
      <c r="C234" s="109"/>
      <c r="D234" s="109"/>
      <c r="E234" s="109"/>
      <c r="F234" s="109"/>
      <c r="G234" s="109"/>
      <c r="H234" s="109"/>
      <c r="I234" s="109"/>
      <c r="J234" s="109"/>
      <c r="K234" s="109"/>
      <c r="L234" s="109"/>
      <c r="M234" s="109"/>
      <c r="N234" s="109"/>
      <c r="O234" s="109"/>
      <c r="P234" s="109"/>
      <c r="Q234" s="109"/>
      <c r="R234" s="109"/>
      <c r="S234" s="109"/>
      <c r="T234" s="109"/>
      <c r="U234" s="109"/>
      <c r="V234" s="109"/>
      <c r="W234" s="109"/>
      <c r="X234" s="109"/>
      <c r="Y234" s="109"/>
      <c r="Z234" s="109"/>
    </row>
    <row r="235" ht="29.25" customHeight="1">
      <c r="A235" s="109"/>
      <c r="B235" s="109"/>
      <c r="C235" s="109"/>
      <c r="D235" s="109"/>
      <c r="E235" s="109"/>
      <c r="F235" s="109"/>
      <c r="G235" s="109"/>
      <c r="H235" s="109"/>
      <c r="I235" s="109"/>
      <c r="J235" s="109"/>
      <c r="K235" s="109"/>
      <c r="L235" s="109"/>
      <c r="M235" s="109"/>
      <c r="N235" s="109"/>
      <c r="O235" s="109"/>
      <c r="P235" s="109"/>
      <c r="Q235" s="109"/>
      <c r="R235" s="109"/>
      <c r="S235" s="109"/>
      <c r="T235" s="109"/>
      <c r="U235" s="109"/>
      <c r="V235" s="109"/>
      <c r="W235" s="109"/>
      <c r="X235" s="109"/>
      <c r="Y235" s="109"/>
      <c r="Z235" s="109"/>
    </row>
    <row r="236" ht="29.25" customHeight="1">
      <c r="A236" s="109"/>
      <c r="B236" s="109"/>
      <c r="C236" s="109"/>
      <c r="D236" s="109"/>
      <c r="E236" s="109"/>
      <c r="F236" s="109"/>
      <c r="G236" s="109"/>
      <c r="H236" s="109"/>
      <c r="I236" s="109"/>
      <c r="J236" s="109"/>
      <c r="K236" s="109"/>
      <c r="L236" s="109"/>
      <c r="M236" s="109"/>
      <c r="N236" s="109"/>
      <c r="O236" s="109"/>
      <c r="P236" s="109"/>
      <c r="Q236" s="109"/>
      <c r="R236" s="109"/>
      <c r="S236" s="109"/>
      <c r="T236" s="109"/>
      <c r="U236" s="109"/>
      <c r="V236" s="109"/>
      <c r="W236" s="109"/>
      <c r="X236" s="109"/>
      <c r="Y236" s="109"/>
      <c r="Z236" s="109"/>
    </row>
    <row r="237" ht="29.25" customHeight="1">
      <c r="A237" s="109"/>
      <c r="B237" s="109"/>
      <c r="C237" s="109"/>
      <c r="D237" s="109"/>
      <c r="E237" s="109"/>
      <c r="F237" s="109"/>
      <c r="G237" s="109"/>
      <c r="H237" s="109"/>
      <c r="I237" s="109"/>
      <c r="J237" s="109"/>
      <c r="K237" s="109"/>
      <c r="L237" s="109"/>
      <c r="M237" s="109"/>
      <c r="N237" s="109"/>
      <c r="O237" s="109"/>
      <c r="P237" s="109"/>
      <c r="Q237" s="109"/>
      <c r="R237" s="109"/>
      <c r="S237" s="109"/>
      <c r="T237" s="109"/>
      <c r="U237" s="109"/>
      <c r="V237" s="109"/>
      <c r="W237" s="109"/>
      <c r="X237" s="109"/>
      <c r="Y237" s="109"/>
      <c r="Z237" s="109"/>
    </row>
    <row r="238" ht="29.25" customHeight="1">
      <c r="A238" s="109"/>
      <c r="B238" s="109"/>
      <c r="C238" s="109"/>
      <c r="D238" s="109"/>
      <c r="E238" s="109"/>
      <c r="F238" s="109"/>
      <c r="G238" s="109"/>
      <c r="H238" s="109"/>
      <c r="I238" s="109"/>
      <c r="J238" s="109"/>
      <c r="K238" s="109"/>
      <c r="L238" s="109"/>
      <c r="M238" s="109"/>
      <c r="N238" s="109"/>
      <c r="O238" s="109"/>
      <c r="P238" s="109"/>
      <c r="Q238" s="109"/>
      <c r="R238" s="109"/>
      <c r="S238" s="109"/>
      <c r="T238" s="109"/>
      <c r="U238" s="109"/>
      <c r="V238" s="109"/>
      <c r="W238" s="109"/>
      <c r="X238" s="109"/>
      <c r="Y238" s="109"/>
      <c r="Z238" s="109"/>
    </row>
    <row r="239" ht="29.25" customHeight="1">
      <c r="A239" s="109"/>
      <c r="B239" s="109"/>
      <c r="C239" s="109"/>
      <c r="D239" s="109"/>
      <c r="E239" s="109"/>
      <c r="F239" s="109"/>
      <c r="G239" s="109"/>
      <c r="H239" s="109"/>
      <c r="I239" s="109"/>
      <c r="J239" s="109"/>
      <c r="K239" s="109"/>
      <c r="L239" s="109"/>
      <c r="M239" s="109"/>
      <c r="N239" s="109"/>
      <c r="O239" s="109"/>
      <c r="P239" s="109"/>
      <c r="Q239" s="109"/>
      <c r="R239" s="109"/>
      <c r="S239" s="109"/>
      <c r="T239" s="109"/>
      <c r="U239" s="109"/>
      <c r="V239" s="109"/>
      <c r="W239" s="109"/>
      <c r="X239" s="109"/>
      <c r="Y239" s="109"/>
      <c r="Z239" s="109"/>
    </row>
    <row r="240" ht="29.25" customHeight="1">
      <c r="A240" s="109"/>
      <c r="B240" s="109"/>
      <c r="C240" s="109"/>
      <c r="D240" s="109"/>
      <c r="E240" s="109"/>
      <c r="F240" s="109"/>
      <c r="G240" s="109"/>
      <c r="H240" s="109"/>
      <c r="I240" s="109"/>
      <c r="J240" s="109"/>
      <c r="K240" s="109"/>
      <c r="L240" s="109"/>
      <c r="M240" s="109"/>
      <c r="N240" s="109"/>
      <c r="O240" s="109"/>
      <c r="P240" s="109"/>
      <c r="Q240" s="109"/>
      <c r="R240" s="109"/>
      <c r="S240" s="109"/>
      <c r="T240" s="109"/>
      <c r="U240" s="109"/>
      <c r="V240" s="109"/>
      <c r="W240" s="109"/>
      <c r="X240" s="109"/>
      <c r="Y240" s="109"/>
      <c r="Z240" s="109"/>
    </row>
    <row r="241" ht="29.25" customHeight="1">
      <c r="A241" s="109"/>
      <c r="B241" s="109"/>
      <c r="C241" s="109"/>
      <c r="D241" s="109"/>
      <c r="E241" s="109"/>
      <c r="F241" s="109"/>
      <c r="G241" s="109"/>
      <c r="H241" s="109"/>
      <c r="I241" s="109"/>
      <c r="J241" s="109"/>
      <c r="K241" s="109"/>
      <c r="L241" s="109"/>
      <c r="M241" s="109"/>
      <c r="N241" s="109"/>
      <c r="O241" s="109"/>
      <c r="P241" s="109"/>
      <c r="Q241" s="109"/>
      <c r="R241" s="109"/>
      <c r="S241" s="109"/>
      <c r="T241" s="109"/>
      <c r="U241" s="109"/>
      <c r="V241" s="109"/>
      <c r="W241" s="109"/>
      <c r="X241" s="109"/>
      <c r="Y241" s="109"/>
      <c r="Z241" s="109"/>
    </row>
    <row r="242" ht="29.25" customHeight="1">
      <c r="A242" s="109"/>
      <c r="B242" s="109"/>
      <c r="C242" s="109"/>
      <c r="D242" s="109"/>
      <c r="E242" s="109"/>
      <c r="F242" s="109"/>
      <c r="G242" s="109"/>
      <c r="H242" s="109"/>
      <c r="I242" s="109"/>
      <c r="J242" s="109"/>
      <c r="K242" s="109"/>
      <c r="L242" s="109"/>
      <c r="M242" s="109"/>
      <c r="N242" s="109"/>
      <c r="O242" s="109"/>
      <c r="P242" s="109"/>
      <c r="Q242" s="109"/>
      <c r="R242" s="109"/>
      <c r="S242" s="109"/>
      <c r="T242" s="109"/>
      <c r="U242" s="109"/>
      <c r="V242" s="109"/>
      <c r="W242" s="109"/>
      <c r="X242" s="109"/>
      <c r="Y242" s="109"/>
      <c r="Z242" s="109"/>
    </row>
    <row r="243" ht="29.25" customHeight="1">
      <c r="A243" s="109"/>
      <c r="B243" s="109"/>
      <c r="C243" s="109"/>
      <c r="D243" s="109"/>
      <c r="E243" s="109"/>
      <c r="F243" s="109"/>
      <c r="G243" s="109"/>
      <c r="H243" s="109"/>
      <c r="I243" s="109"/>
      <c r="J243" s="109"/>
      <c r="K243" s="109"/>
      <c r="L243" s="109"/>
      <c r="M243" s="109"/>
      <c r="N243" s="109"/>
      <c r="O243" s="109"/>
      <c r="P243" s="109"/>
      <c r="Q243" s="109"/>
      <c r="R243" s="109"/>
      <c r="S243" s="109"/>
      <c r="T243" s="109"/>
      <c r="U243" s="109"/>
      <c r="V243" s="109"/>
      <c r="W243" s="109"/>
      <c r="X243" s="109"/>
      <c r="Y243" s="109"/>
      <c r="Z243" s="109"/>
    </row>
    <row r="244" ht="29.25" customHeight="1">
      <c r="A244" s="109"/>
      <c r="B244" s="109"/>
      <c r="C244" s="109"/>
      <c r="D244" s="109"/>
      <c r="E244" s="109"/>
      <c r="F244" s="109"/>
      <c r="G244" s="109"/>
      <c r="H244" s="109"/>
      <c r="I244" s="109"/>
      <c r="J244" s="109"/>
      <c r="K244" s="109"/>
      <c r="L244" s="109"/>
      <c r="M244" s="109"/>
      <c r="N244" s="109"/>
      <c r="O244" s="109"/>
      <c r="P244" s="109"/>
      <c r="Q244" s="109"/>
      <c r="R244" s="109"/>
      <c r="S244" s="109"/>
      <c r="T244" s="109"/>
      <c r="U244" s="109"/>
      <c r="V244" s="109"/>
      <c r="W244" s="109"/>
      <c r="X244" s="109"/>
      <c r="Y244" s="109"/>
      <c r="Z244" s="109"/>
    </row>
    <row r="245" ht="29.25" customHeight="1">
      <c r="A245" s="109"/>
      <c r="B245" s="109"/>
      <c r="C245" s="109"/>
      <c r="D245" s="109"/>
      <c r="E245" s="109"/>
      <c r="F245" s="109"/>
      <c r="G245" s="109"/>
      <c r="H245" s="109"/>
      <c r="I245" s="109"/>
      <c r="J245" s="109"/>
      <c r="K245" s="109"/>
      <c r="L245" s="109"/>
      <c r="M245" s="109"/>
      <c r="N245" s="109"/>
      <c r="O245" s="109"/>
      <c r="P245" s="109"/>
      <c r="Q245" s="109"/>
      <c r="R245" s="109"/>
      <c r="S245" s="109"/>
      <c r="T245" s="109"/>
      <c r="U245" s="109"/>
      <c r="V245" s="109"/>
      <c r="W245" s="109"/>
      <c r="X245" s="109"/>
      <c r="Y245" s="109"/>
      <c r="Z245" s="109"/>
    </row>
    <row r="246" ht="29.25" customHeight="1">
      <c r="A246" s="109"/>
      <c r="B246" s="109"/>
      <c r="C246" s="109"/>
      <c r="D246" s="109"/>
      <c r="E246" s="109"/>
      <c r="F246" s="109"/>
      <c r="G246" s="109"/>
      <c r="H246" s="109"/>
      <c r="I246" s="109"/>
      <c r="J246" s="109"/>
      <c r="K246" s="109"/>
      <c r="L246" s="109"/>
      <c r="M246" s="109"/>
      <c r="N246" s="109"/>
      <c r="O246" s="109"/>
      <c r="P246" s="109"/>
      <c r="Q246" s="109"/>
      <c r="R246" s="109"/>
      <c r="S246" s="109"/>
      <c r="T246" s="109"/>
      <c r="U246" s="109"/>
      <c r="V246" s="109"/>
      <c r="W246" s="109"/>
      <c r="X246" s="109"/>
      <c r="Y246" s="109"/>
      <c r="Z246" s="109"/>
    </row>
    <row r="247" ht="29.25" customHeight="1">
      <c r="A247" s="109"/>
      <c r="B247" s="109"/>
      <c r="C247" s="109"/>
      <c r="D247" s="109"/>
      <c r="E247" s="109"/>
      <c r="F247" s="109"/>
      <c r="G247" s="109"/>
      <c r="H247" s="109"/>
      <c r="I247" s="109"/>
      <c r="J247" s="109"/>
      <c r="K247" s="109"/>
      <c r="L247" s="109"/>
      <c r="M247" s="109"/>
      <c r="N247" s="109"/>
      <c r="O247" s="109"/>
      <c r="P247" s="109"/>
      <c r="Q247" s="109"/>
      <c r="R247" s="109"/>
      <c r="S247" s="109"/>
      <c r="T247" s="109"/>
      <c r="U247" s="109"/>
      <c r="V247" s="109"/>
      <c r="W247" s="109"/>
      <c r="X247" s="109"/>
      <c r="Y247" s="109"/>
      <c r="Z247" s="109"/>
    </row>
    <row r="248" ht="29.25" customHeight="1">
      <c r="A248" s="109"/>
      <c r="B248" s="109"/>
      <c r="C248" s="109"/>
      <c r="D248" s="109"/>
      <c r="E248" s="109"/>
      <c r="F248" s="109"/>
      <c r="G248" s="109"/>
      <c r="H248" s="109"/>
      <c r="I248" s="109"/>
      <c r="J248" s="109"/>
      <c r="K248" s="109"/>
      <c r="L248" s="109"/>
      <c r="M248" s="109"/>
      <c r="N248" s="109"/>
      <c r="O248" s="109"/>
      <c r="P248" s="109"/>
      <c r="Q248" s="109"/>
      <c r="R248" s="109"/>
      <c r="S248" s="109"/>
      <c r="T248" s="109"/>
      <c r="U248" s="109"/>
      <c r="V248" s="109"/>
      <c r="W248" s="109"/>
      <c r="X248" s="109"/>
      <c r="Y248" s="109"/>
      <c r="Z248" s="109"/>
    </row>
    <row r="249" ht="29.25" customHeight="1">
      <c r="A249" s="109"/>
      <c r="B249" s="109"/>
      <c r="C249" s="109"/>
      <c r="D249" s="109"/>
      <c r="E249" s="109"/>
      <c r="F249" s="109"/>
      <c r="G249" s="109"/>
      <c r="H249" s="109"/>
      <c r="I249" s="109"/>
      <c r="J249" s="109"/>
      <c r="K249" s="109"/>
      <c r="L249" s="109"/>
      <c r="M249" s="109"/>
      <c r="N249" s="109"/>
      <c r="O249" s="109"/>
      <c r="P249" s="109"/>
      <c r="Q249" s="109"/>
      <c r="R249" s="109"/>
      <c r="S249" s="109"/>
      <c r="T249" s="109"/>
      <c r="U249" s="109"/>
      <c r="V249" s="109"/>
      <c r="W249" s="109"/>
      <c r="X249" s="109"/>
      <c r="Y249" s="109"/>
      <c r="Z249" s="109"/>
    </row>
    <row r="250" ht="29.25" customHeight="1">
      <c r="A250" s="109"/>
      <c r="B250" s="109"/>
      <c r="C250" s="109"/>
      <c r="D250" s="109"/>
      <c r="E250" s="109"/>
      <c r="F250" s="109"/>
      <c r="G250" s="109"/>
      <c r="H250" s="109"/>
      <c r="I250" s="109"/>
      <c r="J250" s="109"/>
      <c r="K250" s="109"/>
      <c r="L250" s="109"/>
      <c r="M250" s="109"/>
      <c r="N250" s="109"/>
      <c r="O250" s="109"/>
      <c r="P250" s="109"/>
      <c r="Q250" s="109"/>
      <c r="R250" s="109"/>
      <c r="S250" s="109"/>
      <c r="T250" s="109"/>
      <c r="U250" s="109"/>
      <c r="V250" s="109"/>
      <c r="W250" s="109"/>
      <c r="X250" s="109"/>
      <c r="Y250" s="109"/>
      <c r="Z250" s="109"/>
    </row>
    <row r="251" ht="29.25" customHeight="1">
      <c r="A251" s="109"/>
      <c r="B251" s="109"/>
      <c r="C251" s="109"/>
      <c r="D251" s="109"/>
      <c r="E251" s="109"/>
      <c r="F251" s="109"/>
      <c r="G251" s="109"/>
      <c r="H251" s="109"/>
      <c r="I251" s="109"/>
      <c r="J251" s="109"/>
      <c r="K251" s="109"/>
      <c r="L251" s="109"/>
      <c r="M251" s="109"/>
      <c r="N251" s="109"/>
      <c r="O251" s="109"/>
      <c r="P251" s="109"/>
      <c r="Q251" s="109"/>
      <c r="R251" s="109"/>
      <c r="S251" s="109"/>
      <c r="T251" s="109"/>
      <c r="U251" s="109"/>
      <c r="V251" s="109"/>
      <c r="W251" s="109"/>
      <c r="X251" s="109"/>
      <c r="Y251" s="109"/>
      <c r="Z251" s="109"/>
    </row>
    <row r="252" ht="29.25" customHeight="1">
      <c r="A252" s="109"/>
      <c r="B252" s="109"/>
      <c r="C252" s="109"/>
      <c r="D252" s="109"/>
      <c r="E252" s="109"/>
      <c r="F252" s="109"/>
      <c r="G252" s="109"/>
      <c r="H252" s="109"/>
      <c r="I252" s="109"/>
      <c r="J252" s="109"/>
      <c r="K252" s="109"/>
      <c r="L252" s="109"/>
      <c r="M252" s="109"/>
      <c r="N252" s="109"/>
      <c r="O252" s="109"/>
      <c r="P252" s="109"/>
      <c r="Q252" s="109"/>
      <c r="R252" s="109"/>
      <c r="S252" s="109"/>
      <c r="T252" s="109"/>
      <c r="U252" s="109"/>
      <c r="V252" s="109"/>
      <c r="W252" s="109"/>
      <c r="X252" s="109"/>
      <c r="Y252" s="109"/>
      <c r="Z252" s="109"/>
    </row>
    <row r="253" ht="29.25" customHeight="1">
      <c r="A253" s="109"/>
      <c r="B253" s="109"/>
      <c r="C253" s="109"/>
      <c r="D253" s="109"/>
      <c r="E253" s="109"/>
      <c r="F253" s="109"/>
      <c r="G253" s="109"/>
      <c r="H253" s="109"/>
      <c r="I253" s="109"/>
      <c r="J253" s="109"/>
      <c r="K253" s="109"/>
      <c r="L253" s="109"/>
      <c r="M253" s="109"/>
      <c r="N253" s="109"/>
      <c r="O253" s="109"/>
      <c r="P253" s="109"/>
      <c r="Q253" s="109"/>
      <c r="R253" s="109"/>
      <c r="S253" s="109"/>
      <c r="T253" s="109"/>
      <c r="U253" s="109"/>
      <c r="V253" s="109"/>
      <c r="W253" s="109"/>
      <c r="X253" s="109"/>
      <c r="Y253" s="109"/>
      <c r="Z253" s="109"/>
    </row>
    <row r="254" ht="29.25" customHeight="1">
      <c r="A254" s="109"/>
      <c r="B254" s="109"/>
      <c r="C254" s="109"/>
      <c r="D254" s="109"/>
      <c r="E254" s="109"/>
      <c r="F254" s="109"/>
      <c r="G254" s="109"/>
      <c r="H254" s="109"/>
      <c r="I254" s="109"/>
      <c r="J254" s="109"/>
      <c r="K254" s="109"/>
      <c r="L254" s="109"/>
      <c r="M254" s="109"/>
      <c r="N254" s="109"/>
      <c r="O254" s="109"/>
      <c r="P254" s="109"/>
      <c r="Q254" s="109"/>
      <c r="R254" s="109"/>
      <c r="S254" s="109"/>
      <c r="T254" s="109"/>
      <c r="U254" s="109"/>
      <c r="V254" s="109"/>
      <c r="W254" s="109"/>
      <c r="X254" s="109"/>
      <c r="Y254" s="109"/>
      <c r="Z254" s="109"/>
    </row>
    <row r="255" ht="29.25" customHeight="1">
      <c r="A255" s="109"/>
      <c r="B255" s="109"/>
      <c r="C255" s="109"/>
      <c r="D255" s="109"/>
      <c r="E255" s="109"/>
      <c r="F255" s="109"/>
      <c r="G255" s="109"/>
      <c r="H255" s="109"/>
      <c r="I255" s="109"/>
      <c r="J255" s="109"/>
      <c r="K255" s="109"/>
      <c r="L255" s="109"/>
      <c r="M255" s="109"/>
      <c r="N255" s="109"/>
      <c r="O255" s="109"/>
      <c r="P255" s="109"/>
      <c r="Q255" s="109"/>
      <c r="R255" s="109"/>
      <c r="S255" s="109"/>
      <c r="T255" s="109"/>
      <c r="U255" s="109"/>
      <c r="V255" s="109"/>
      <c r="W255" s="109"/>
      <c r="X255" s="109"/>
      <c r="Y255" s="109"/>
      <c r="Z255" s="109"/>
    </row>
    <row r="256" ht="29.25" customHeight="1">
      <c r="A256" s="109"/>
      <c r="B256" s="109"/>
      <c r="C256" s="109"/>
      <c r="D256" s="109"/>
      <c r="E256" s="109"/>
      <c r="F256" s="109"/>
      <c r="G256" s="109"/>
      <c r="H256" s="109"/>
      <c r="I256" s="109"/>
      <c r="J256" s="109"/>
      <c r="K256" s="109"/>
      <c r="L256" s="109"/>
      <c r="M256" s="109"/>
      <c r="N256" s="109"/>
      <c r="O256" s="109"/>
      <c r="P256" s="109"/>
      <c r="Q256" s="109"/>
      <c r="R256" s="109"/>
      <c r="S256" s="109"/>
      <c r="T256" s="109"/>
      <c r="U256" s="109"/>
      <c r="V256" s="109"/>
      <c r="W256" s="109"/>
      <c r="X256" s="109"/>
      <c r="Y256" s="109"/>
      <c r="Z256" s="109"/>
    </row>
    <row r="257" ht="29.25" customHeight="1">
      <c r="A257" s="109"/>
      <c r="B257" s="109"/>
      <c r="C257" s="109"/>
      <c r="D257" s="109"/>
      <c r="E257" s="109"/>
      <c r="F257" s="109"/>
      <c r="G257" s="109"/>
      <c r="H257" s="109"/>
      <c r="I257" s="109"/>
      <c r="J257" s="109"/>
      <c r="K257" s="109"/>
      <c r="L257" s="109"/>
      <c r="M257" s="109"/>
      <c r="N257" s="109"/>
      <c r="O257" s="109"/>
      <c r="P257" s="109"/>
      <c r="Q257" s="109"/>
      <c r="R257" s="109"/>
      <c r="S257" s="109"/>
      <c r="T257" s="109"/>
      <c r="U257" s="109"/>
      <c r="V257" s="109"/>
      <c r="W257" s="109"/>
      <c r="X257" s="109"/>
      <c r="Y257" s="109"/>
      <c r="Z257" s="109"/>
    </row>
    <row r="258" ht="29.25" customHeight="1">
      <c r="A258" s="109"/>
      <c r="B258" s="109"/>
      <c r="C258" s="109"/>
      <c r="D258" s="109"/>
      <c r="E258" s="109"/>
      <c r="F258" s="109"/>
      <c r="G258" s="109"/>
      <c r="H258" s="109"/>
      <c r="I258" s="109"/>
      <c r="J258" s="109"/>
      <c r="K258" s="109"/>
      <c r="L258" s="109"/>
      <c r="M258" s="109"/>
      <c r="N258" s="109"/>
      <c r="O258" s="109"/>
      <c r="P258" s="109"/>
      <c r="Q258" s="109"/>
      <c r="R258" s="109"/>
      <c r="S258" s="109"/>
      <c r="T258" s="109"/>
      <c r="U258" s="109"/>
      <c r="V258" s="109"/>
      <c r="W258" s="109"/>
      <c r="X258" s="109"/>
      <c r="Y258" s="109"/>
      <c r="Z258" s="109"/>
    </row>
    <row r="259" ht="29.25" customHeight="1">
      <c r="A259" s="109"/>
      <c r="B259" s="109"/>
      <c r="C259" s="109"/>
      <c r="D259" s="109"/>
      <c r="E259" s="109"/>
      <c r="F259" s="109"/>
      <c r="G259" s="109"/>
      <c r="H259" s="109"/>
      <c r="I259" s="109"/>
      <c r="J259" s="109"/>
      <c r="K259" s="109"/>
      <c r="L259" s="109"/>
      <c r="M259" s="109"/>
      <c r="N259" s="109"/>
      <c r="O259" s="109"/>
      <c r="P259" s="109"/>
      <c r="Q259" s="109"/>
      <c r="R259" s="109"/>
      <c r="S259" s="109"/>
      <c r="T259" s="109"/>
      <c r="U259" s="109"/>
      <c r="V259" s="109"/>
      <c r="W259" s="109"/>
      <c r="X259" s="109"/>
      <c r="Y259" s="109"/>
      <c r="Z259" s="109"/>
    </row>
    <row r="260" ht="29.25" customHeight="1">
      <c r="A260" s="109"/>
      <c r="B260" s="109"/>
      <c r="C260" s="109"/>
      <c r="D260" s="109"/>
      <c r="E260" s="109"/>
      <c r="F260" s="109"/>
      <c r="G260" s="109"/>
      <c r="H260" s="109"/>
      <c r="I260" s="109"/>
      <c r="J260" s="109"/>
      <c r="K260" s="109"/>
      <c r="L260" s="109"/>
      <c r="M260" s="109"/>
      <c r="N260" s="109"/>
      <c r="O260" s="109"/>
      <c r="P260" s="109"/>
      <c r="Q260" s="109"/>
      <c r="R260" s="109"/>
      <c r="S260" s="109"/>
      <c r="T260" s="109"/>
      <c r="U260" s="109"/>
      <c r="V260" s="109"/>
      <c r="W260" s="109"/>
      <c r="X260" s="109"/>
      <c r="Y260" s="109"/>
      <c r="Z260" s="109"/>
    </row>
    <row r="261" ht="29.25" customHeight="1">
      <c r="A261" s="109"/>
      <c r="B261" s="109"/>
      <c r="C261" s="109"/>
      <c r="D261" s="109"/>
      <c r="E261" s="109"/>
      <c r="F261" s="109"/>
      <c r="G261" s="109"/>
      <c r="H261" s="109"/>
      <c r="I261" s="109"/>
      <c r="J261" s="109"/>
      <c r="K261" s="109"/>
      <c r="L261" s="109"/>
      <c r="M261" s="109"/>
      <c r="N261" s="109"/>
      <c r="O261" s="109"/>
      <c r="P261" s="109"/>
      <c r="Q261" s="109"/>
      <c r="R261" s="109"/>
      <c r="S261" s="109"/>
      <c r="T261" s="109"/>
      <c r="U261" s="109"/>
      <c r="V261" s="109"/>
      <c r="W261" s="109"/>
      <c r="X261" s="109"/>
      <c r="Y261" s="109"/>
      <c r="Z261" s="109"/>
    </row>
    <row r="262" ht="29.25" customHeight="1">
      <c r="A262" s="109"/>
      <c r="B262" s="109"/>
      <c r="C262" s="109"/>
      <c r="D262" s="109"/>
      <c r="E262" s="109"/>
      <c r="F262" s="109"/>
      <c r="G262" s="109"/>
      <c r="H262" s="109"/>
      <c r="I262" s="109"/>
      <c r="J262" s="109"/>
      <c r="K262" s="109"/>
      <c r="L262" s="109"/>
      <c r="M262" s="109"/>
      <c r="N262" s="109"/>
      <c r="O262" s="109"/>
      <c r="P262" s="109"/>
      <c r="Q262" s="109"/>
      <c r="R262" s="109"/>
      <c r="S262" s="109"/>
      <c r="T262" s="109"/>
      <c r="U262" s="109"/>
      <c r="V262" s="109"/>
      <c r="W262" s="109"/>
      <c r="X262" s="109"/>
      <c r="Y262" s="109"/>
      <c r="Z262" s="109"/>
    </row>
    <row r="263" ht="29.25" customHeight="1">
      <c r="A263" s="109"/>
      <c r="B263" s="109"/>
      <c r="C263" s="109"/>
      <c r="D263" s="109"/>
      <c r="E263" s="109"/>
      <c r="F263" s="109"/>
      <c r="G263" s="109"/>
      <c r="H263" s="109"/>
      <c r="I263" s="109"/>
      <c r="J263" s="109"/>
      <c r="K263" s="109"/>
      <c r="L263" s="109"/>
      <c r="M263" s="109"/>
      <c r="N263" s="109"/>
      <c r="O263" s="109"/>
      <c r="P263" s="109"/>
      <c r="Q263" s="109"/>
      <c r="R263" s="109"/>
      <c r="S263" s="109"/>
      <c r="T263" s="109"/>
      <c r="U263" s="109"/>
      <c r="V263" s="109"/>
      <c r="W263" s="109"/>
      <c r="X263" s="109"/>
      <c r="Y263" s="109"/>
      <c r="Z263" s="109"/>
    </row>
    <row r="264" ht="29.25" customHeight="1">
      <c r="A264" s="109"/>
      <c r="B264" s="109"/>
      <c r="C264" s="109"/>
      <c r="D264" s="109"/>
      <c r="E264" s="109"/>
      <c r="F264" s="109"/>
      <c r="G264" s="109"/>
      <c r="H264" s="109"/>
      <c r="I264" s="109"/>
      <c r="J264" s="109"/>
      <c r="K264" s="109"/>
      <c r="L264" s="109"/>
      <c r="M264" s="109"/>
      <c r="N264" s="109"/>
      <c r="O264" s="109"/>
      <c r="P264" s="109"/>
      <c r="Q264" s="109"/>
      <c r="R264" s="109"/>
      <c r="S264" s="109"/>
      <c r="T264" s="109"/>
      <c r="U264" s="109"/>
      <c r="V264" s="109"/>
      <c r="W264" s="109"/>
      <c r="X264" s="109"/>
      <c r="Y264" s="109"/>
      <c r="Z264" s="109"/>
    </row>
    <row r="265" ht="29.25" customHeight="1">
      <c r="A265" s="109"/>
      <c r="B265" s="109"/>
      <c r="C265" s="109"/>
      <c r="D265" s="109"/>
      <c r="E265" s="109"/>
      <c r="F265" s="109"/>
      <c r="G265" s="109"/>
      <c r="H265" s="109"/>
      <c r="I265" s="109"/>
      <c r="J265" s="109"/>
      <c r="K265" s="109"/>
      <c r="L265" s="109"/>
      <c r="M265" s="109"/>
      <c r="N265" s="109"/>
      <c r="O265" s="109"/>
      <c r="P265" s="109"/>
      <c r="Q265" s="109"/>
      <c r="R265" s="109"/>
      <c r="S265" s="109"/>
      <c r="T265" s="109"/>
      <c r="U265" s="109"/>
      <c r="V265" s="109"/>
      <c r="W265" s="109"/>
      <c r="X265" s="109"/>
      <c r="Y265" s="109"/>
      <c r="Z265" s="109"/>
    </row>
    <row r="266" ht="29.25" customHeight="1">
      <c r="A266" s="109"/>
      <c r="B266" s="109"/>
      <c r="C266" s="109"/>
      <c r="D266" s="109"/>
      <c r="E266" s="109"/>
      <c r="F266" s="109"/>
      <c r="G266" s="109"/>
      <c r="H266" s="109"/>
      <c r="I266" s="109"/>
      <c r="J266" s="109"/>
      <c r="K266" s="109"/>
      <c r="L266" s="109"/>
      <c r="M266" s="109"/>
      <c r="N266" s="109"/>
      <c r="O266" s="109"/>
      <c r="P266" s="109"/>
      <c r="Q266" s="109"/>
      <c r="R266" s="109"/>
      <c r="S266" s="109"/>
      <c r="T266" s="109"/>
      <c r="U266" s="109"/>
      <c r="V266" s="109"/>
      <c r="W266" s="109"/>
      <c r="X266" s="109"/>
      <c r="Y266" s="109"/>
      <c r="Z266" s="109"/>
    </row>
    <row r="267" ht="29.25" customHeight="1">
      <c r="A267" s="109"/>
      <c r="B267" s="109"/>
      <c r="C267" s="109"/>
      <c r="D267" s="109"/>
      <c r="E267" s="109"/>
      <c r="F267" s="109"/>
      <c r="G267" s="109"/>
      <c r="H267" s="109"/>
      <c r="I267" s="109"/>
      <c r="J267" s="109"/>
      <c r="K267" s="109"/>
      <c r="L267" s="109"/>
      <c r="M267" s="109"/>
      <c r="N267" s="109"/>
      <c r="O267" s="109"/>
      <c r="P267" s="109"/>
      <c r="Q267" s="109"/>
      <c r="R267" s="109"/>
      <c r="S267" s="109"/>
      <c r="T267" s="109"/>
      <c r="U267" s="109"/>
      <c r="V267" s="109"/>
      <c r="W267" s="109"/>
      <c r="X267" s="109"/>
      <c r="Y267" s="109"/>
      <c r="Z267" s="109"/>
    </row>
    <row r="268" ht="29.25" customHeight="1">
      <c r="A268" s="109"/>
      <c r="B268" s="109"/>
      <c r="C268" s="109"/>
      <c r="D268" s="109"/>
      <c r="E268" s="109"/>
      <c r="F268" s="109"/>
      <c r="G268" s="109"/>
      <c r="H268" s="109"/>
      <c r="I268" s="109"/>
      <c r="J268" s="109"/>
      <c r="K268" s="109"/>
      <c r="L268" s="109"/>
      <c r="M268" s="109"/>
      <c r="N268" s="109"/>
      <c r="O268" s="109"/>
      <c r="P268" s="109"/>
      <c r="Q268" s="109"/>
      <c r="R268" s="109"/>
      <c r="S268" s="109"/>
      <c r="T268" s="109"/>
      <c r="U268" s="109"/>
      <c r="V268" s="109"/>
      <c r="W268" s="109"/>
      <c r="X268" s="109"/>
      <c r="Y268" s="109"/>
      <c r="Z268" s="109"/>
    </row>
    <row r="269" ht="29.25" customHeight="1">
      <c r="A269" s="109"/>
      <c r="B269" s="109"/>
      <c r="C269" s="109"/>
      <c r="D269" s="109"/>
      <c r="E269" s="109"/>
      <c r="F269" s="109"/>
      <c r="G269" s="109"/>
      <c r="H269" s="109"/>
      <c r="I269" s="109"/>
      <c r="J269" s="109"/>
      <c r="K269" s="109"/>
      <c r="L269" s="109"/>
      <c r="M269" s="109"/>
      <c r="N269" s="109"/>
      <c r="O269" s="109"/>
      <c r="P269" s="109"/>
      <c r="Q269" s="109"/>
      <c r="R269" s="109"/>
      <c r="S269" s="109"/>
      <c r="T269" s="109"/>
      <c r="U269" s="109"/>
      <c r="V269" s="109"/>
      <c r="W269" s="109"/>
      <c r="X269" s="109"/>
      <c r="Y269" s="109"/>
      <c r="Z269" s="109"/>
    </row>
    <row r="270" ht="29.25" customHeight="1">
      <c r="A270" s="109"/>
      <c r="B270" s="109"/>
      <c r="C270" s="109"/>
      <c r="D270" s="109"/>
      <c r="E270" s="109"/>
      <c r="F270" s="109"/>
      <c r="G270" s="109"/>
      <c r="H270" s="109"/>
      <c r="I270" s="109"/>
      <c r="J270" s="109"/>
      <c r="K270" s="109"/>
      <c r="L270" s="109"/>
      <c r="M270" s="109"/>
      <c r="N270" s="109"/>
      <c r="O270" s="109"/>
      <c r="P270" s="109"/>
      <c r="Q270" s="109"/>
      <c r="R270" s="109"/>
      <c r="S270" s="109"/>
      <c r="T270" s="109"/>
      <c r="U270" s="109"/>
      <c r="V270" s="109"/>
      <c r="W270" s="109"/>
      <c r="X270" s="109"/>
      <c r="Y270" s="109"/>
      <c r="Z270" s="109"/>
    </row>
    <row r="271" ht="29.25" customHeight="1">
      <c r="A271" s="109"/>
      <c r="B271" s="109"/>
      <c r="C271" s="109"/>
      <c r="D271" s="109"/>
      <c r="E271" s="109"/>
      <c r="F271" s="109"/>
      <c r="G271" s="109"/>
      <c r="H271" s="109"/>
      <c r="I271" s="109"/>
      <c r="J271" s="109"/>
      <c r="K271" s="109"/>
      <c r="L271" s="109"/>
      <c r="M271" s="109"/>
      <c r="N271" s="109"/>
      <c r="O271" s="109"/>
      <c r="P271" s="109"/>
      <c r="Q271" s="109"/>
      <c r="R271" s="109"/>
      <c r="S271" s="109"/>
      <c r="T271" s="109"/>
      <c r="U271" s="109"/>
      <c r="V271" s="109"/>
      <c r="W271" s="109"/>
      <c r="X271" s="109"/>
      <c r="Y271" s="109"/>
      <c r="Z271" s="109"/>
    </row>
    <row r="272" ht="29.25" customHeight="1">
      <c r="A272" s="109"/>
      <c r="B272" s="109"/>
      <c r="C272" s="109"/>
      <c r="D272" s="109"/>
      <c r="E272" s="109"/>
      <c r="F272" s="109"/>
      <c r="G272" s="109"/>
      <c r="H272" s="109"/>
      <c r="I272" s="109"/>
      <c r="J272" s="109"/>
      <c r="K272" s="109"/>
      <c r="L272" s="109"/>
      <c r="M272" s="109"/>
      <c r="N272" s="109"/>
      <c r="O272" s="109"/>
      <c r="P272" s="109"/>
      <c r="Q272" s="109"/>
      <c r="R272" s="109"/>
      <c r="S272" s="109"/>
      <c r="T272" s="109"/>
      <c r="U272" s="109"/>
      <c r="V272" s="109"/>
      <c r="W272" s="109"/>
      <c r="X272" s="109"/>
      <c r="Y272" s="109"/>
      <c r="Z272" s="109"/>
    </row>
    <row r="273" ht="29.25" customHeight="1">
      <c r="A273" s="109"/>
      <c r="B273" s="109"/>
      <c r="C273" s="109"/>
      <c r="D273" s="109"/>
      <c r="E273" s="109"/>
      <c r="F273" s="109"/>
      <c r="G273" s="109"/>
      <c r="H273" s="109"/>
      <c r="I273" s="109"/>
      <c r="J273" s="109"/>
      <c r="K273" s="109"/>
      <c r="L273" s="109"/>
      <c r="M273" s="109"/>
      <c r="N273" s="109"/>
      <c r="O273" s="109"/>
      <c r="P273" s="109"/>
      <c r="Q273" s="109"/>
      <c r="R273" s="109"/>
      <c r="S273" s="109"/>
      <c r="T273" s="109"/>
      <c r="U273" s="109"/>
      <c r="V273" s="109"/>
      <c r="W273" s="109"/>
      <c r="X273" s="109"/>
      <c r="Y273" s="109"/>
      <c r="Z273" s="109"/>
    </row>
    <row r="274" ht="29.25" customHeight="1">
      <c r="A274" s="109"/>
      <c r="B274" s="109"/>
      <c r="C274" s="109"/>
      <c r="D274" s="109"/>
      <c r="E274" s="109"/>
      <c r="F274" s="109"/>
      <c r="G274" s="109"/>
      <c r="H274" s="109"/>
      <c r="I274" s="109"/>
      <c r="J274" s="109"/>
      <c r="K274" s="109"/>
      <c r="L274" s="109"/>
      <c r="M274" s="109"/>
      <c r="N274" s="109"/>
      <c r="O274" s="109"/>
      <c r="P274" s="109"/>
      <c r="Q274" s="109"/>
      <c r="R274" s="109"/>
      <c r="S274" s="109"/>
      <c r="T274" s="109"/>
      <c r="U274" s="109"/>
      <c r="V274" s="109"/>
      <c r="W274" s="109"/>
      <c r="X274" s="109"/>
      <c r="Y274" s="109"/>
      <c r="Z274" s="109"/>
    </row>
    <row r="275" ht="29.25" customHeight="1">
      <c r="A275" s="109"/>
      <c r="B275" s="109"/>
      <c r="C275" s="109"/>
      <c r="D275" s="109"/>
      <c r="E275" s="109"/>
      <c r="F275" s="109"/>
      <c r="G275" s="109"/>
      <c r="H275" s="109"/>
      <c r="I275" s="109"/>
      <c r="J275" s="109"/>
      <c r="K275" s="109"/>
      <c r="L275" s="109"/>
      <c r="M275" s="109"/>
      <c r="N275" s="109"/>
      <c r="O275" s="109"/>
      <c r="P275" s="109"/>
      <c r="Q275" s="109"/>
      <c r="R275" s="109"/>
      <c r="S275" s="109"/>
      <c r="T275" s="109"/>
      <c r="U275" s="109"/>
      <c r="V275" s="109"/>
      <c r="W275" s="109"/>
      <c r="X275" s="109"/>
      <c r="Y275" s="109"/>
      <c r="Z275" s="109"/>
    </row>
    <row r="276" ht="29.25" customHeight="1">
      <c r="A276" s="109"/>
      <c r="B276" s="109"/>
      <c r="C276" s="109"/>
      <c r="D276" s="109"/>
      <c r="E276" s="109"/>
      <c r="F276" s="109"/>
      <c r="G276" s="109"/>
      <c r="H276" s="109"/>
      <c r="I276" s="109"/>
      <c r="J276" s="109"/>
      <c r="K276" s="109"/>
      <c r="L276" s="109"/>
      <c r="M276" s="109"/>
      <c r="N276" s="109"/>
      <c r="O276" s="109"/>
      <c r="P276" s="109"/>
      <c r="Q276" s="109"/>
      <c r="R276" s="109"/>
      <c r="S276" s="109"/>
      <c r="T276" s="109"/>
      <c r="U276" s="109"/>
      <c r="V276" s="109"/>
      <c r="W276" s="109"/>
      <c r="X276" s="109"/>
      <c r="Y276" s="109"/>
      <c r="Z276" s="109"/>
    </row>
    <row r="277" ht="29.25" customHeight="1">
      <c r="A277" s="109"/>
      <c r="B277" s="109"/>
      <c r="C277" s="109"/>
      <c r="D277" s="109"/>
      <c r="E277" s="109"/>
      <c r="F277" s="109"/>
      <c r="G277" s="109"/>
      <c r="H277" s="109"/>
      <c r="I277" s="109"/>
      <c r="J277" s="109"/>
      <c r="K277" s="109"/>
      <c r="L277" s="109"/>
      <c r="M277" s="109"/>
      <c r="N277" s="109"/>
      <c r="O277" s="109"/>
      <c r="P277" s="109"/>
      <c r="Q277" s="109"/>
      <c r="R277" s="109"/>
      <c r="S277" s="109"/>
      <c r="T277" s="109"/>
      <c r="U277" s="109"/>
      <c r="V277" s="109"/>
      <c r="W277" s="109"/>
      <c r="X277" s="109"/>
      <c r="Y277" s="109"/>
      <c r="Z277" s="109"/>
    </row>
    <row r="278" ht="29.25" customHeight="1">
      <c r="A278" s="109"/>
      <c r="B278" s="109"/>
      <c r="C278" s="109"/>
      <c r="D278" s="109"/>
      <c r="E278" s="109"/>
      <c r="F278" s="109"/>
      <c r="G278" s="109"/>
      <c r="H278" s="109"/>
      <c r="I278" s="109"/>
      <c r="J278" s="109"/>
      <c r="K278" s="109"/>
      <c r="L278" s="109"/>
      <c r="M278" s="109"/>
      <c r="N278" s="109"/>
      <c r="O278" s="109"/>
      <c r="P278" s="109"/>
      <c r="Q278" s="109"/>
      <c r="R278" s="109"/>
      <c r="S278" s="109"/>
      <c r="T278" s="109"/>
      <c r="U278" s="109"/>
      <c r="V278" s="109"/>
      <c r="W278" s="109"/>
      <c r="X278" s="109"/>
      <c r="Y278" s="109"/>
      <c r="Z278" s="109"/>
    </row>
    <row r="279" ht="29.25" customHeight="1">
      <c r="A279" s="109"/>
      <c r="B279" s="109"/>
      <c r="C279" s="109"/>
      <c r="D279" s="109"/>
      <c r="E279" s="109"/>
      <c r="F279" s="109"/>
      <c r="G279" s="109"/>
      <c r="H279" s="109"/>
      <c r="I279" s="109"/>
      <c r="J279" s="109"/>
      <c r="K279" s="109"/>
      <c r="L279" s="109"/>
      <c r="M279" s="109"/>
      <c r="N279" s="109"/>
      <c r="O279" s="109"/>
      <c r="P279" s="109"/>
      <c r="Q279" s="109"/>
      <c r="R279" s="109"/>
      <c r="S279" s="109"/>
      <c r="T279" s="109"/>
      <c r="U279" s="109"/>
      <c r="V279" s="109"/>
      <c r="W279" s="109"/>
      <c r="X279" s="109"/>
      <c r="Y279" s="109"/>
      <c r="Z279" s="109"/>
    </row>
    <row r="280" ht="29.25" customHeight="1">
      <c r="A280" s="109"/>
      <c r="B280" s="109"/>
      <c r="C280" s="109"/>
      <c r="D280" s="109"/>
      <c r="E280" s="109"/>
      <c r="F280" s="109"/>
      <c r="G280" s="109"/>
      <c r="H280" s="109"/>
      <c r="I280" s="109"/>
      <c r="J280" s="109"/>
      <c r="K280" s="109"/>
      <c r="L280" s="109"/>
      <c r="M280" s="109"/>
      <c r="N280" s="109"/>
      <c r="O280" s="109"/>
      <c r="P280" s="109"/>
      <c r="Q280" s="109"/>
      <c r="R280" s="109"/>
      <c r="S280" s="109"/>
      <c r="T280" s="109"/>
      <c r="U280" s="109"/>
      <c r="V280" s="109"/>
      <c r="W280" s="109"/>
      <c r="X280" s="109"/>
      <c r="Y280" s="109"/>
      <c r="Z280" s="109"/>
    </row>
    <row r="281" ht="29.25" customHeight="1">
      <c r="A281" s="109"/>
      <c r="B281" s="109"/>
      <c r="C281" s="109"/>
      <c r="D281" s="109"/>
      <c r="E281" s="109"/>
      <c r="F281" s="109"/>
      <c r="G281" s="109"/>
      <c r="H281" s="109"/>
      <c r="I281" s="109"/>
      <c r="J281" s="109"/>
      <c r="K281" s="109"/>
      <c r="L281" s="109"/>
      <c r="M281" s="109"/>
      <c r="N281" s="109"/>
      <c r="O281" s="109"/>
      <c r="P281" s="109"/>
      <c r="Q281" s="109"/>
      <c r="R281" s="109"/>
      <c r="S281" s="109"/>
      <c r="T281" s="109"/>
      <c r="U281" s="109"/>
      <c r="V281" s="109"/>
      <c r="W281" s="109"/>
      <c r="X281" s="109"/>
      <c r="Y281" s="109"/>
      <c r="Z281" s="109"/>
    </row>
    <row r="282" ht="29.25" customHeight="1">
      <c r="A282" s="109"/>
      <c r="B282" s="109"/>
      <c r="C282" s="109"/>
      <c r="D282" s="109"/>
      <c r="E282" s="109"/>
      <c r="F282" s="109"/>
      <c r="G282" s="109"/>
      <c r="H282" s="109"/>
      <c r="I282" s="109"/>
      <c r="J282" s="109"/>
      <c r="K282" s="109"/>
      <c r="L282" s="109"/>
      <c r="M282" s="109"/>
      <c r="N282" s="109"/>
      <c r="O282" s="109"/>
      <c r="P282" s="109"/>
      <c r="Q282" s="109"/>
      <c r="R282" s="109"/>
      <c r="S282" s="109"/>
      <c r="T282" s="109"/>
      <c r="U282" s="109"/>
      <c r="V282" s="109"/>
      <c r="W282" s="109"/>
      <c r="X282" s="109"/>
      <c r="Y282" s="109"/>
      <c r="Z282" s="109"/>
    </row>
    <row r="283" ht="29.25" customHeight="1">
      <c r="A283" s="109"/>
      <c r="B283" s="109"/>
      <c r="C283" s="109"/>
      <c r="D283" s="109"/>
      <c r="E283" s="109"/>
      <c r="F283" s="109"/>
      <c r="G283" s="109"/>
      <c r="H283" s="109"/>
      <c r="I283" s="109"/>
      <c r="J283" s="109"/>
      <c r="K283" s="109"/>
      <c r="L283" s="109"/>
      <c r="M283" s="109"/>
      <c r="N283" s="109"/>
      <c r="O283" s="109"/>
      <c r="P283" s="109"/>
      <c r="Q283" s="109"/>
      <c r="R283" s="109"/>
      <c r="S283" s="109"/>
      <c r="T283" s="109"/>
      <c r="U283" s="109"/>
      <c r="V283" s="109"/>
      <c r="W283" s="109"/>
      <c r="X283" s="109"/>
      <c r="Y283" s="109"/>
      <c r="Z283" s="109"/>
    </row>
    <row r="284" ht="29.25" customHeight="1">
      <c r="A284" s="109"/>
      <c r="B284" s="109"/>
      <c r="C284" s="109"/>
      <c r="D284" s="109"/>
      <c r="E284" s="109"/>
      <c r="F284" s="109"/>
      <c r="G284" s="109"/>
      <c r="H284" s="109"/>
      <c r="I284" s="109"/>
      <c r="J284" s="109"/>
      <c r="K284" s="109"/>
      <c r="L284" s="109"/>
      <c r="M284" s="109"/>
      <c r="N284" s="109"/>
      <c r="O284" s="109"/>
      <c r="P284" s="109"/>
      <c r="Q284" s="109"/>
      <c r="R284" s="109"/>
      <c r="S284" s="109"/>
      <c r="T284" s="109"/>
      <c r="U284" s="109"/>
      <c r="V284" s="109"/>
      <c r="W284" s="109"/>
      <c r="X284" s="109"/>
      <c r="Y284" s="109"/>
      <c r="Z284" s="109"/>
    </row>
    <row r="285" ht="29.25" customHeight="1">
      <c r="A285" s="109"/>
      <c r="B285" s="109"/>
      <c r="C285" s="109"/>
      <c r="D285" s="109"/>
      <c r="E285" s="109"/>
      <c r="F285" s="109"/>
      <c r="G285" s="109"/>
      <c r="H285" s="109"/>
      <c r="I285" s="109"/>
      <c r="J285" s="109"/>
      <c r="K285" s="109"/>
      <c r="L285" s="109"/>
      <c r="M285" s="109"/>
      <c r="N285" s="109"/>
      <c r="O285" s="109"/>
      <c r="P285" s="109"/>
      <c r="Q285" s="109"/>
      <c r="R285" s="109"/>
      <c r="S285" s="109"/>
      <c r="T285" s="109"/>
      <c r="U285" s="109"/>
      <c r="V285" s="109"/>
      <c r="W285" s="109"/>
      <c r="X285" s="109"/>
      <c r="Y285" s="109"/>
      <c r="Z285" s="109"/>
    </row>
    <row r="286" ht="29.25" customHeight="1">
      <c r="A286" s="109"/>
      <c r="B286" s="109"/>
      <c r="C286" s="109"/>
      <c r="D286" s="109"/>
      <c r="E286" s="109"/>
      <c r="F286" s="109"/>
      <c r="G286" s="109"/>
      <c r="H286" s="109"/>
      <c r="I286" s="109"/>
      <c r="J286" s="109"/>
      <c r="K286" s="109"/>
      <c r="L286" s="109"/>
      <c r="M286" s="109"/>
      <c r="N286" s="109"/>
      <c r="O286" s="109"/>
      <c r="P286" s="109"/>
      <c r="Q286" s="109"/>
      <c r="R286" s="109"/>
      <c r="S286" s="109"/>
      <c r="T286" s="109"/>
      <c r="U286" s="109"/>
      <c r="V286" s="109"/>
      <c r="W286" s="109"/>
      <c r="X286" s="109"/>
      <c r="Y286" s="109"/>
      <c r="Z286" s="109"/>
    </row>
    <row r="287" ht="29.25" customHeight="1">
      <c r="A287" s="109"/>
      <c r="B287" s="109"/>
      <c r="C287" s="109"/>
      <c r="D287" s="109"/>
      <c r="E287" s="109"/>
      <c r="F287" s="109"/>
      <c r="G287" s="109"/>
      <c r="H287" s="109"/>
      <c r="I287" s="109"/>
      <c r="J287" s="109"/>
      <c r="K287" s="109"/>
      <c r="L287" s="109"/>
      <c r="M287" s="109"/>
      <c r="N287" s="109"/>
      <c r="O287" s="109"/>
      <c r="P287" s="109"/>
      <c r="Q287" s="109"/>
      <c r="R287" s="109"/>
      <c r="S287" s="109"/>
      <c r="T287" s="109"/>
      <c r="U287" s="109"/>
      <c r="V287" s="109"/>
      <c r="W287" s="109"/>
      <c r="X287" s="109"/>
      <c r="Y287" s="109"/>
      <c r="Z287" s="109"/>
    </row>
    <row r="288" ht="29.25" customHeight="1">
      <c r="A288" s="109"/>
      <c r="B288" s="109"/>
      <c r="C288" s="109"/>
      <c r="D288" s="109"/>
      <c r="E288" s="109"/>
      <c r="F288" s="109"/>
      <c r="G288" s="109"/>
      <c r="H288" s="109"/>
      <c r="I288" s="109"/>
      <c r="J288" s="109"/>
      <c r="K288" s="109"/>
      <c r="L288" s="109"/>
      <c r="M288" s="109"/>
      <c r="N288" s="109"/>
      <c r="O288" s="109"/>
      <c r="P288" s="109"/>
      <c r="Q288" s="109"/>
      <c r="R288" s="109"/>
      <c r="S288" s="109"/>
      <c r="T288" s="109"/>
      <c r="U288" s="109"/>
      <c r="V288" s="109"/>
      <c r="W288" s="109"/>
      <c r="X288" s="109"/>
      <c r="Y288" s="109"/>
      <c r="Z288" s="109"/>
    </row>
    <row r="289" ht="29.25" customHeight="1">
      <c r="A289" s="109"/>
      <c r="B289" s="109"/>
      <c r="C289" s="109"/>
      <c r="D289" s="109"/>
      <c r="E289" s="109"/>
      <c r="F289" s="109"/>
      <c r="G289" s="109"/>
      <c r="H289" s="109"/>
      <c r="I289" s="109"/>
      <c r="J289" s="109"/>
      <c r="K289" s="109"/>
      <c r="L289" s="109"/>
      <c r="M289" s="109"/>
      <c r="N289" s="109"/>
      <c r="O289" s="109"/>
      <c r="P289" s="109"/>
      <c r="Q289" s="109"/>
      <c r="R289" s="109"/>
      <c r="S289" s="109"/>
      <c r="T289" s="109"/>
      <c r="U289" s="109"/>
      <c r="V289" s="109"/>
      <c r="W289" s="109"/>
      <c r="X289" s="109"/>
      <c r="Y289" s="109"/>
      <c r="Z289" s="109"/>
    </row>
    <row r="290" ht="29.25" customHeight="1">
      <c r="A290" s="109"/>
      <c r="B290" s="109"/>
      <c r="C290" s="109"/>
      <c r="D290" s="109"/>
      <c r="E290" s="109"/>
      <c r="F290" s="109"/>
      <c r="G290" s="109"/>
      <c r="H290" s="109"/>
      <c r="I290" s="109"/>
      <c r="J290" s="109"/>
      <c r="K290" s="109"/>
      <c r="L290" s="109"/>
      <c r="M290" s="109"/>
      <c r="N290" s="109"/>
      <c r="O290" s="109"/>
      <c r="P290" s="109"/>
      <c r="Q290" s="109"/>
      <c r="R290" s="109"/>
      <c r="S290" s="109"/>
      <c r="T290" s="109"/>
      <c r="U290" s="109"/>
      <c r="V290" s="109"/>
      <c r="W290" s="109"/>
      <c r="X290" s="109"/>
      <c r="Y290" s="109"/>
      <c r="Z290" s="109"/>
    </row>
    <row r="291" ht="29.25" customHeight="1">
      <c r="A291" s="109"/>
      <c r="B291" s="109"/>
      <c r="C291" s="109"/>
      <c r="D291" s="109"/>
      <c r="E291" s="109"/>
      <c r="F291" s="109"/>
      <c r="G291" s="109"/>
      <c r="H291" s="109"/>
      <c r="I291" s="109"/>
      <c r="J291" s="109"/>
      <c r="K291" s="109"/>
      <c r="L291" s="109"/>
      <c r="M291" s="109"/>
      <c r="N291" s="109"/>
      <c r="O291" s="109"/>
      <c r="P291" s="109"/>
      <c r="Q291" s="109"/>
      <c r="R291" s="109"/>
      <c r="S291" s="109"/>
      <c r="T291" s="109"/>
      <c r="U291" s="109"/>
      <c r="V291" s="109"/>
      <c r="W291" s="109"/>
      <c r="X291" s="109"/>
      <c r="Y291" s="109"/>
      <c r="Z291" s="109"/>
    </row>
    <row r="292" ht="29.25" customHeight="1">
      <c r="A292" s="109"/>
      <c r="B292" s="109"/>
      <c r="C292" s="109"/>
      <c r="D292" s="109"/>
      <c r="E292" s="109"/>
      <c r="F292" s="109"/>
      <c r="G292" s="109"/>
      <c r="H292" s="109"/>
      <c r="I292" s="109"/>
      <c r="J292" s="109"/>
      <c r="K292" s="109"/>
      <c r="L292" s="109"/>
      <c r="M292" s="109"/>
      <c r="N292" s="109"/>
      <c r="O292" s="109"/>
      <c r="P292" s="109"/>
      <c r="Q292" s="109"/>
      <c r="R292" s="109"/>
      <c r="S292" s="109"/>
      <c r="T292" s="109"/>
      <c r="U292" s="109"/>
      <c r="V292" s="109"/>
      <c r="W292" s="109"/>
      <c r="X292" s="109"/>
      <c r="Y292" s="109"/>
      <c r="Z292" s="109"/>
    </row>
    <row r="293" ht="29.25" customHeight="1">
      <c r="A293" s="109"/>
      <c r="B293" s="109"/>
      <c r="C293" s="109"/>
      <c r="D293" s="109"/>
      <c r="E293" s="109"/>
      <c r="F293" s="109"/>
      <c r="G293" s="109"/>
      <c r="H293" s="109"/>
      <c r="I293" s="109"/>
      <c r="J293" s="109"/>
      <c r="K293" s="109"/>
      <c r="L293" s="109"/>
      <c r="M293" s="109"/>
      <c r="N293" s="109"/>
      <c r="O293" s="109"/>
      <c r="P293" s="109"/>
      <c r="Q293" s="109"/>
      <c r="R293" s="109"/>
      <c r="S293" s="109"/>
      <c r="T293" s="109"/>
      <c r="U293" s="109"/>
      <c r="V293" s="109"/>
      <c r="W293" s="109"/>
      <c r="X293" s="109"/>
      <c r="Y293" s="109"/>
      <c r="Z293" s="109"/>
    </row>
    <row r="294" ht="29.25" customHeight="1">
      <c r="A294" s="109"/>
      <c r="B294" s="109"/>
      <c r="C294" s="109"/>
      <c r="D294" s="109"/>
      <c r="E294" s="109"/>
      <c r="F294" s="109"/>
      <c r="G294" s="109"/>
      <c r="H294" s="109"/>
      <c r="I294" s="109"/>
      <c r="J294" s="109"/>
      <c r="K294" s="109"/>
      <c r="L294" s="109"/>
      <c r="M294" s="109"/>
      <c r="N294" s="109"/>
      <c r="O294" s="109"/>
      <c r="P294" s="109"/>
      <c r="Q294" s="109"/>
      <c r="R294" s="109"/>
      <c r="S294" s="109"/>
      <c r="T294" s="109"/>
      <c r="U294" s="109"/>
      <c r="V294" s="109"/>
      <c r="W294" s="109"/>
      <c r="X294" s="109"/>
      <c r="Y294" s="109"/>
      <c r="Z294" s="109"/>
    </row>
    <row r="295" ht="29.25" customHeight="1">
      <c r="A295" s="109"/>
      <c r="B295" s="109"/>
      <c r="C295" s="109"/>
      <c r="D295" s="109"/>
      <c r="E295" s="109"/>
      <c r="F295" s="109"/>
      <c r="G295" s="109"/>
      <c r="H295" s="109"/>
      <c r="I295" s="109"/>
      <c r="J295" s="109"/>
      <c r="K295" s="109"/>
      <c r="L295" s="109"/>
      <c r="M295" s="109"/>
      <c r="N295" s="109"/>
      <c r="O295" s="109"/>
      <c r="P295" s="109"/>
      <c r="Q295" s="109"/>
      <c r="R295" s="109"/>
      <c r="S295" s="109"/>
      <c r="T295" s="109"/>
      <c r="U295" s="109"/>
      <c r="V295" s="109"/>
      <c r="W295" s="109"/>
      <c r="X295" s="109"/>
      <c r="Y295" s="109"/>
      <c r="Z295" s="109"/>
    </row>
    <row r="296" ht="29.25" customHeight="1">
      <c r="A296" s="109"/>
      <c r="B296" s="109"/>
      <c r="C296" s="109"/>
      <c r="D296" s="109"/>
      <c r="E296" s="109"/>
      <c r="F296" s="109"/>
      <c r="G296" s="109"/>
      <c r="H296" s="109"/>
      <c r="I296" s="109"/>
      <c r="J296" s="109"/>
      <c r="K296" s="109"/>
      <c r="L296" s="109"/>
      <c r="M296" s="109"/>
      <c r="N296" s="109"/>
      <c r="O296" s="109"/>
      <c r="P296" s="109"/>
      <c r="Q296" s="109"/>
      <c r="R296" s="109"/>
      <c r="S296" s="109"/>
      <c r="T296" s="109"/>
      <c r="U296" s="109"/>
      <c r="V296" s="109"/>
      <c r="W296" s="109"/>
      <c r="X296" s="109"/>
      <c r="Y296" s="109"/>
      <c r="Z296" s="109"/>
    </row>
    <row r="297" ht="29.25" customHeight="1">
      <c r="A297" s="109"/>
      <c r="B297" s="109"/>
      <c r="C297" s="109"/>
      <c r="D297" s="109"/>
      <c r="E297" s="109"/>
      <c r="F297" s="109"/>
      <c r="G297" s="109"/>
      <c r="H297" s="109"/>
      <c r="I297" s="109"/>
      <c r="J297" s="109"/>
      <c r="K297" s="109"/>
      <c r="L297" s="109"/>
      <c r="M297" s="109"/>
      <c r="N297" s="109"/>
      <c r="O297" s="109"/>
      <c r="P297" s="109"/>
      <c r="Q297" s="109"/>
      <c r="R297" s="109"/>
      <c r="S297" s="109"/>
      <c r="T297" s="109"/>
      <c r="U297" s="109"/>
      <c r="V297" s="109"/>
      <c r="W297" s="109"/>
      <c r="X297" s="109"/>
      <c r="Y297" s="109"/>
      <c r="Z297" s="109"/>
    </row>
    <row r="298" ht="29.25" customHeight="1">
      <c r="A298" s="109"/>
      <c r="B298" s="109"/>
      <c r="C298" s="109"/>
      <c r="D298" s="109"/>
      <c r="E298" s="109"/>
      <c r="F298" s="109"/>
      <c r="G298" s="109"/>
      <c r="H298" s="109"/>
      <c r="I298" s="109"/>
      <c r="J298" s="109"/>
      <c r="K298" s="109"/>
      <c r="L298" s="109"/>
      <c r="M298" s="109"/>
      <c r="N298" s="109"/>
      <c r="O298" s="109"/>
      <c r="P298" s="109"/>
      <c r="Q298" s="109"/>
      <c r="R298" s="109"/>
      <c r="S298" s="109"/>
      <c r="T298" s="109"/>
      <c r="U298" s="109"/>
      <c r="V298" s="109"/>
      <c r="W298" s="109"/>
      <c r="X298" s="109"/>
      <c r="Y298" s="109"/>
      <c r="Z298" s="109"/>
    </row>
    <row r="299" ht="29.25" customHeight="1">
      <c r="A299" s="109"/>
      <c r="B299" s="109"/>
      <c r="C299" s="109"/>
      <c r="D299" s="109"/>
      <c r="E299" s="109"/>
      <c r="F299" s="109"/>
      <c r="G299" s="109"/>
      <c r="H299" s="109"/>
      <c r="I299" s="109"/>
      <c r="J299" s="109"/>
      <c r="K299" s="109"/>
      <c r="L299" s="109"/>
      <c r="M299" s="109"/>
      <c r="N299" s="109"/>
      <c r="O299" s="109"/>
      <c r="P299" s="109"/>
      <c r="Q299" s="109"/>
      <c r="R299" s="109"/>
      <c r="S299" s="109"/>
      <c r="T299" s="109"/>
      <c r="U299" s="109"/>
      <c r="V299" s="109"/>
      <c r="W299" s="109"/>
      <c r="X299" s="109"/>
      <c r="Y299" s="109"/>
      <c r="Z299" s="109"/>
    </row>
    <row r="300" ht="29.25" customHeight="1">
      <c r="A300" s="109"/>
      <c r="B300" s="109"/>
      <c r="C300" s="109"/>
      <c r="D300" s="109"/>
      <c r="E300" s="109"/>
      <c r="F300" s="109"/>
      <c r="G300" s="109"/>
      <c r="H300" s="109"/>
      <c r="I300" s="109"/>
      <c r="J300" s="109"/>
      <c r="K300" s="109"/>
      <c r="L300" s="109"/>
      <c r="M300" s="109"/>
      <c r="N300" s="109"/>
      <c r="O300" s="109"/>
      <c r="P300" s="109"/>
      <c r="Q300" s="109"/>
      <c r="R300" s="109"/>
      <c r="S300" s="109"/>
      <c r="T300" s="109"/>
      <c r="U300" s="109"/>
      <c r="V300" s="109"/>
      <c r="W300" s="109"/>
      <c r="X300" s="109"/>
      <c r="Y300" s="109"/>
      <c r="Z300" s="109"/>
    </row>
    <row r="301" ht="29.25" customHeight="1">
      <c r="A301" s="109"/>
      <c r="B301" s="109"/>
      <c r="C301" s="109"/>
      <c r="D301" s="109"/>
      <c r="E301" s="109"/>
      <c r="F301" s="109"/>
      <c r="G301" s="109"/>
      <c r="H301" s="109"/>
      <c r="I301" s="109"/>
      <c r="J301" s="109"/>
      <c r="K301" s="109"/>
      <c r="L301" s="109"/>
      <c r="M301" s="109"/>
      <c r="N301" s="109"/>
      <c r="O301" s="109"/>
      <c r="P301" s="109"/>
      <c r="Q301" s="109"/>
      <c r="R301" s="109"/>
      <c r="S301" s="109"/>
      <c r="T301" s="109"/>
      <c r="U301" s="109"/>
      <c r="V301" s="109"/>
      <c r="W301" s="109"/>
      <c r="X301" s="109"/>
      <c r="Y301" s="109"/>
      <c r="Z301" s="109"/>
    </row>
    <row r="302" ht="29.25" customHeight="1">
      <c r="A302" s="109"/>
      <c r="B302" s="109"/>
      <c r="C302" s="109"/>
      <c r="D302" s="109"/>
      <c r="E302" s="109"/>
      <c r="F302" s="109"/>
      <c r="G302" s="109"/>
      <c r="H302" s="109"/>
      <c r="I302" s="109"/>
      <c r="J302" s="109"/>
      <c r="K302" s="109"/>
      <c r="L302" s="109"/>
      <c r="M302" s="109"/>
      <c r="N302" s="109"/>
      <c r="O302" s="109"/>
      <c r="P302" s="109"/>
      <c r="Q302" s="109"/>
      <c r="R302" s="109"/>
      <c r="S302" s="109"/>
      <c r="T302" s="109"/>
      <c r="U302" s="109"/>
      <c r="V302" s="109"/>
      <c r="W302" s="109"/>
      <c r="X302" s="109"/>
      <c r="Y302" s="109"/>
      <c r="Z302" s="109"/>
    </row>
    <row r="303" ht="29.25" customHeight="1">
      <c r="A303" s="109"/>
      <c r="B303" s="109"/>
      <c r="C303" s="109"/>
      <c r="D303" s="109"/>
      <c r="E303" s="109"/>
      <c r="F303" s="109"/>
      <c r="G303" s="109"/>
      <c r="H303" s="109"/>
      <c r="I303" s="109"/>
      <c r="J303" s="109"/>
      <c r="K303" s="109"/>
      <c r="L303" s="109"/>
      <c r="M303" s="109"/>
      <c r="N303" s="109"/>
      <c r="O303" s="109"/>
      <c r="P303" s="109"/>
      <c r="Q303" s="109"/>
      <c r="R303" s="109"/>
      <c r="S303" s="109"/>
      <c r="T303" s="109"/>
      <c r="U303" s="109"/>
      <c r="V303" s="109"/>
      <c r="W303" s="109"/>
      <c r="X303" s="109"/>
      <c r="Y303" s="109"/>
      <c r="Z303" s="109"/>
    </row>
    <row r="304" ht="29.25" customHeight="1">
      <c r="A304" s="109"/>
      <c r="B304" s="109"/>
      <c r="C304" s="109"/>
      <c r="D304" s="109"/>
      <c r="E304" s="109"/>
      <c r="F304" s="109"/>
      <c r="G304" s="109"/>
      <c r="H304" s="109"/>
      <c r="I304" s="109"/>
      <c r="J304" s="109"/>
      <c r="K304" s="109"/>
      <c r="L304" s="109"/>
      <c r="M304" s="109"/>
      <c r="N304" s="109"/>
      <c r="O304" s="109"/>
      <c r="P304" s="109"/>
      <c r="Q304" s="109"/>
      <c r="R304" s="109"/>
      <c r="S304" s="109"/>
      <c r="T304" s="109"/>
      <c r="U304" s="109"/>
      <c r="V304" s="109"/>
      <c r="W304" s="109"/>
      <c r="X304" s="109"/>
      <c r="Y304" s="109"/>
      <c r="Z304" s="109"/>
    </row>
    <row r="305" ht="29.25" customHeight="1">
      <c r="A305" s="109"/>
      <c r="B305" s="109"/>
      <c r="C305" s="109"/>
      <c r="D305" s="109"/>
      <c r="E305" s="109"/>
      <c r="F305" s="109"/>
      <c r="G305" s="109"/>
      <c r="H305" s="109"/>
      <c r="I305" s="109"/>
      <c r="J305" s="109"/>
      <c r="K305" s="109"/>
      <c r="L305" s="109"/>
      <c r="M305" s="109"/>
      <c r="N305" s="109"/>
      <c r="O305" s="109"/>
      <c r="P305" s="109"/>
      <c r="Q305" s="109"/>
      <c r="R305" s="109"/>
      <c r="S305" s="109"/>
      <c r="T305" s="109"/>
      <c r="U305" s="109"/>
      <c r="V305" s="109"/>
      <c r="W305" s="109"/>
      <c r="X305" s="109"/>
      <c r="Y305" s="109"/>
      <c r="Z305" s="109"/>
    </row>
    <row r="306" ht="29.25" customHeight="1">
      <c r="A306" s="109"/>
      <c r="B306" s="109"/>
      <c r="C306" s="109"/>
      <c r="D306" s="109"/>
      <c r="E306" s="109"/>
      <c r="F306" s="109"/>
      <c r="G306" s="109"/>
      <c r="H306" s="109"/>
      <c r="I306" s="109"/>
      <c r="J306" s="109"/>
      <c r="K306" s="109"/>
      <c r="L306" s="109"/>
      <c r="M306" s="109"/>
      <c r="N306" s="109"/>
      <c r="O306" s="109"/>
      <c r="P306" s="109"/>
      <c r="Q306" s="109"/>
      <c r="R306" s="109"/>
      <c r="S306" s="109"/>
      <c r="T306" s="109"/>
      <c r="U306" s="109"/>
      <c r="V306" s="109"/>
      <c r="W306" s="109"/>
      <c r="X306" s="109"/>
      <c r="Y306" s="109"/>
      <c r="Z306" s="109"/>
    </row>
    <row r="307" ht="29.25" customHeight="1">
      <c r="A307" s="109"/>
      <c r="B307" s="109"/>
      <c r="C307" s="109"/>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c r="Z307" s="109"/>
    </row>
    <row r="308" ht="29.25" customHeight="1">
      <c r="A308" s="109"/>
      <c r="B308" s="109"/>
      <c r="C308" s="109"/>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row>
    <row r="309" ht="29.25" customHeight="1">
      <c r="A309" s="109"/>
      <c r="B309" s="109"/>
      <c r="C309" s="109"/>
      <c r="D309" s="109"/>
      <c r="E309" s="109"/>
      <c r="F309" s="109"/>
      <c r="G309" s="109"/>
      <c r="H309" s="109"/>
      <c r="I309" s="109"/>
      <c r="J309" s="109"/>
      <c r="K309" s="109"/>
      <c r="L309" s="109"/>
      <c r="M309" s="109"/>
      <c r="N309" s="109"/>
      <c r="O309" s="109"/>
      <c r="P309" s="109"/>
      <c r="Q309" s="109"/>
      <c r="R309" s="109"/>
      <c r="S309" s="109"/>
      <c r="T309" s="109"/>
      <c r="U309" s="109"/>
      <c r="V309" s="109"/>
      <c r="W309" s="109"/>
      <c r="X309" s="109"/>
      <c r="Y309" s="109"/>
      <c r="Z309" s="109"/>
    </row>
    <row r="310" ht="29.25" customHeight="1">
      <c r="A310" s="109"/>
      <c r="B310" s="109"/>
      <c r="C310" s="109"/>
      <c r="D310" s="109"/>
      <c r="E310" s="109"/>
      <c r="F310" s="109"/>
      <c r="G310" s="109"/>
      <c r="H310" s="109"/>
      <c r="I310" s="109"/>
      <c r="J310" s="109"/>
      <c r="K310" s="109"/>
      <c r="L310" s="109"/>
      <c r="M310" s="109"/>
      <c r="N310" s="109"/>
      <c r="O310" s="109"/>
      <c r="P310" s="109"/>
      <c r="Q310" s="109"/>
      <c r="R310" s="109"/>
      <c r="S310" s="109"/>
      <c r="T310" s="109"/>
      <c r="U310" s="109"/>
      <c r="V310" s="109"/>
      <c r="W310" s="109"/>
      <c r="X310" s="109"/>
      <c r="Y310" s="109"/>
      <c r="Z310" s="109"/>
    </row>
    <row r="311" ht="29.25" customHeight="1">
      <c r="A311" s="109"/>
      <c r="B311" s="109"/>
      <c r="C311" s="109"/>
      <c r="D311" s="109"/>
      <c r="E311" s="109"/>
      <c r="F311" s="109"/>
      <c r="G311" s="109"/>
      <c r="H311" s="109"/>
      <c r="I311" s="109"/>
      <c r="J311" s="109"/>
      <c r="K311" s="109"/>
      <c r="L311" s="109"/>
      <c r="M311" s="109"/>
      <c r="N311" s="109"/>
      <c r="O311" s="109"/>
      <c r="P311" s="109"/>
      <c r="Q311" s="109"/>
      <c r="R311" s="109"/>
      <c r="S311" s="109"/>
      <c r="T311" s="109"/>
      <c r="U311" s="109"/>
      <c r="V311" s="109"/>
      <c r="W311" s="109"/>
      <c r="X311" s="109"/>
      <c r="Y311" s="109"/>
      <c r="Z311" s="109"/>
    </row>
    <row r="312" ht="29.25" customHeight="1">
      <c r="A312" s="109"/>
      <c r="B312" s="109"/>
      <c r="C312" s="109"/>
      <c r="D312" s="109"/>
      <c r="E312" s="109"/>
      <c r="F312" s="109"/>
      <c r="G312" s="109"/>
      <c r="H312" s="109"/>
      <c r="I312" s="109"/>
      <c r="J312" s="109"/>
      <c r="K312" s="109"/>
      <c r="L312" s="109"/>
      <c r="M312" s="109"/>
      <c r="N312" s="109"/>
      <c r="O312" s="109"/>
      <c r="P312" s="109"/>
      <c r="Q312" s="109"/>
      <c r="R312" s="109"/>
      <c r="S312" s="109"/>
      <c r="T312" s="109"/>
      <c r="U312" s="109"/>
      <c r="V312" s="109"/>
      <c r="W312" s="109"/>
      <c r="X312" s="109"/>
      <c r="Y312" s="109"/>
      <c r="Z312" s="109"/>
    </row>
    <row r="313" ht="29.25" customHeight="1">
      <c r="A313" s="109"/>
      <c r="B313" s="109"/>
      <c r="C313" s="109"/>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c r="Z313" s="109"/>
    </row>
    <row r="314" ht="29.25" customHeight="1">
      <c r="A314" s="109"/>
      <c r="B314" s="109"/>
      <c r="C314" s="109"/>
      <c r="D314" s="109"/>
      <c r="E314" s="109"/>
      <c r="F314" s="109"/>
      <c r="G314" s="109"/>
      <c r="H314" s="109"/>
      <c r="I314" s="109"/>
      <c r="J314" s="109"/>
      <c r="K314" s="109"/>
      <c r="L314" s="109"/>
      <c r="M314" s="109"/>
      <c r="N314" s="109"/>
      <c r="O314" s="109"/>
      <c r="P314" s="109"/>
      <c r="Q314" s="109"/>
      <c r="R314" s="109"/>
      <c r="S314" s="109"/>
      <c r="T314" s="109"/>
      <c r="U314" s="109"/>
      <c r="V314" s="109"/>
      <c r="W314" s="109"/>
      <c r="X314" s="109"/>
      <c r="Y314" s="109"/>
      <c r="Z314" s="109"/>
    </row>
    <row r="315" ht="29.25" customHeight="1">
      <c r="A315" s="109"/>
      <c r="B315" s="109"/>
      <c r="C315" s="109"/>
      <c r="D315" s="109"/>
      <c r="E315" s="109"/>
      <c r="F315" s="109"/>
      <c r="G315" s="109"/>
      <c r="H315" s="109"/>
      <c r="I315" s="109"/>
      <c r="J315" s="109"/>
      <c r="K315" s="109"/>
      <c r="L315" s="109"/>
      <c r="M315" s="109"/>
      <c r="N315" s="109"/>
      <c r="O315" s="109"/>
      <c r="P315" s="109"/>
      <c r="Q315" s="109"/>
      <c r="R315" s="109"/>
      <c r="S315" s="109"/>
      <c r="T315" s="109"/>
      <c r="U315" s="109"/>
      <c r="V315" s="109"/>
      <c r="W315" s="109"/>
      <c r="X315" s="109"/>
      <c r="Y315" s="109"/>
      <c r="Z315" s="109"/>
    </row>
    <row r="316" ht="29.25" customHeight="1">
      <c r="A316" s="109"/>
      <c r="B316" s="109"/>
      <c r="C316" s="109"/>
      <c r="D316" s="109"/>
      <c r="E316" s="109"/>
      <c r="F316" s="109"/>
      <c r="G316" s="109"/>
      <c r="H316" s="109"/>
      <c r="I316" s="109"/>
      <c r="J316" s="109"/>
      <c r="K316" s="109"/>
      <c r="L316" s="109"/>
      <c r="M316" s="109"/>
      <c r="N316" s="109"/>
      <c r="O316" s="109"/>
      <c r="P316" s="109"/>
      <c r="Q316" s="109"/>
      <c r="R316" s="109"/>
      <c r="S316" s="109"/>
      <c r="T316" s="109"/>
      <c r="U316" s="109"/>
      <c r="V316" s="109"/>
      <c r="W316" s="109"/>
      <c r="X316" s="109"/>
      <c r="Y316" s="109"/>
      <c r="Z316" s="109"/>
    </row>
    <row r="317" ht="29.25" customHeight="1">
      <c r="A317" s="109"/>
      <c r="B317" s="109"/>
      <c r="C317" s="109"/>
      <c r="D317" s="109"/>
      <c r="E317" s="109"/>
      <c r="F317" s="109"/>
      <c r="G317" s="109"/>
      <c r="H317" s="109"/>
      <c r="I317" s="109"/>
      <c r="J317" s="109"/>
      <c r="K317" s="109"/>
      <c r="L317" s="109"/>
      <c r="M317" s="109"/>
      <c r="N317" s="109"/>
      <c r="O317" s="109"/>
      <c r="P317" s="109"/>
      <c r="Q317" s="109"/>
      <c r="R317" s="109"/>
      <c r="S317" s="109"/>
      <c r="T317" s="109"/>
      <c r="U317" s="109"/>
      <c r="V317" s="109"/>
      <c r="W317" s="109"/>
      <c r="X317" s="109"/>
      <c r="Y317" s="109"/>
      <c r="Z317" s="109"/>
    </row>
    <row r="318" ht="29.25" customHeight="1">
      <c r="A318" s="109"/>
      <c r="B318" s="109"/>
      <c r="C318" s="109"/>
      <c r="D318" s="109"/>
      <c r="E318" s="109"/>
      <c r="F318" s="109"/>
      <c r="G318" s="109"/>
      <c r="H318" s="109"/>
      <c r="I318" s="109"/>
      <c r="J318" s="109"/>
      <c r="K318" s="109"/>
      <c r="L318" s="109"/>
      <c r="M318" s="109"/>
      <c r="N318" s="109"/>
      <c r="O318" s="109"/>
      <c r="P318" s="109"/>
      <c r="Q318" s="109"/>
      <c r="R318" s="109"/>
      <c r="S318" s="109"/>
      <c r="T318" s="109"/>
      <c r="U318" s="109"/>
      <c r="V318" s="109"/>
      <c r="W318" s="109"/>
      <c r="X318" s="109"/>
      <c r="Y318" s="109"/>
      <c r="Z318" s="109"/>
    </row>
    <row r="319" ht="29.25" customHeight="1">
      <c r="A319" s="109"/>
      <c r="B319" s="109"/>
      <c r="C319" s="109"/>
      <c r="D319" s="109"/>
      <c r="E319" s="109"/>
      <c r="F319" s="109"/>
      <c r="G319" s="109"/>
      <c r="H319" s="109"/>
      <c r="I319" s="109"/>
      <c r="J319" s="109"/>
      <c r="K319" s="109"/>
      <c r="L319" s="109"/>
      <c r="M319" s="109"/>
      <c r="N319" s="109"/>
      <c r="O319" s="109"/>
      <c r="P319" s="109"/>
      <c r="Q319" s="109"/>
      <c r="R319" s="109"/>
      <c r="S319" s="109"/>
      <c r="T319" s="109"/>
      <c r="U319" s="109"/>
      <c r="V319" s="109"/>
      <c r="W319" s="109"/>
      <c r="X319" s="109"/>
      <c r="Y319" s="109"/>
      <c r="Z319" s="109"/>
    </row>
    <row r="320" ht="29.25" customHeight="1">
      <c r="A320" s="109"/>
      <c r="B320" s="109"/>
      <c r="C320" s="109"/>
      <c r="D320" s="109"/>
      <c r="E320" s="109"/>
      <c r="F320" s="109"/>
      <c r="G320" s="109"/>
      <c r="H320" s="109"/>
      <c r="I320" s="109"/>
      <c r="J320" s="109"/>
      <c r="K320" s="109"/>
      <c r="L320" s="109"/>
      <c r="M320" s="109"/>
      <c r="N320" s="109"/>
      <c r="O320" s="109"/>
      <c r="P320" s="109"/>
      <c r="Q320" s="109"/>
      <c r="R320" s="109"/>
      <c r="S320" s="109"/>
      <c r="T320" s="109"/>
      <c r="U320" s="109"/>
      <c r="V320" s="109"/>
      <c r="W320" s="109"/>
      <c r="X320" s="109"/>
      <c r="Y320" s="109"/>
      <c r="Z320" s="109"/>
    </row>
    <row r="321" ht="29.25" customHeight="1">
      <c r="A321" s="109"/>
      <c r="B321" s="109"/>
      <c r="C321" s="109"/>
      <c r="D321" s="109"/>
      <c r="E321" s="109"/>
      <c r="F321" s="109"/>
      <c r="G321" s="109"/>
      <c r="H321" s="109"/>
      <c r="I321" s="109"/>
      <c r="J321" s="109"/>
      <c r="K321" s="109"/>
      <c r="L321" s="109"/>
      <c r="M321" s="109"/>
      <c r="N321" s="109"/>
      <c r="O321" s="109"/>
      <c r="P321" s="109"/>
      <c r="Q321" s="109"/>
      <c r="R321" s="109"/>
      <c r="S321" s="109"/>
      <c r="T321" s="109"/>
      <c r="U321" s="109"/>
      <c r="V321" s="109"/>
      <c r="W321" s="109"/>
      <c r="X321" s="109"/>
      <c r="Y321" s="109"/>
      <c r="Z321" s="109"/>
    </row>
    <row r="322" ht="29.25" customHeight="1">
      <c r="A322" s="109"/>
      <c r="B322" s="109"/>
      <c r="C322" s="109"/>
      <c r="D322" s="109"/>
      <c r="E322" s="109"/>
      <c r="F322" s="109"/>
      <c r="G322" s="109"/>
      <c r="H322" s="109"/>
      <c r="I322" s="109"/>
      <c r="J322" s="109"/>
      <c r="K322" s="109"/>
      <c r="L322" s="109"/>
      <c r="M322" s="109"/>
      <c r="N322" s="109"/>
      <c r="O322" s="109"/>
      <c r="P322" s="109"/>
      <c r="Q322" s="109"/>
      <c r="R322" s="109"/>
      <c r="S322" s="109"/>
      <c r="T322" s="109"/>
      <c r="U322" s="109"/>
      <c r="V322" s="109"/>
      <c r="W322" s="109"/>
      <c r="X322" s="109"/>
      <c r="Y322" s="109"/>
      <c r="Z322" s="109"/>
    </row>
    <row r="323" ht="29.25" customHeight="1">
      <c r="A323" s="109"/>
      <c r="B323" s="109"/>
      <c r="C323" s="109"/>
      <c r="D323" s="109"/>
      <c r="E323" s="109"/>
      <c r="F323" s="109"/>
      <c r="G323" s="109"/>
      <c r="H323" s="109"/>
      <c r="I323" s="109"/>
      <c r="J323" s="109"/>
      <c r="K323" s="109"/>
      <c r="L323" s="109"/>
      <c r="M323" s="109"/>
      <c r="N323" s="109"/>
      <c r="O323" s="109"/>
      <c r="P323" s="109"/>
      <c r="Q323" s="109"/>
      <c r="R323" s="109"/>
      <c r="S323" s="109"/>
      <c r="T323" s="109"/>
      <c r="U323" s="109"/>
      <c r="V323" s="109"/>
      <c r="W323" s="109"/>
      <c r="X323" s="109"/>
      <c r="Y323" s="109"/>
      <c r="Z323" s="109"/>
    </row>
    <row r="324" ht="29.25" customHeight="1">
      <c r="A324" s="109"/>
      <c r="B324" s="109"/>
      <c r="C324" s="109"/>
      <c r="D324" s="109"/>
      <c r="E324" s="109"/>
      <c r="F324" s="109"/>
      <c r="G324" s="109"/>
      <c r="H324" s="109"/>
      <c r="I324" s="109"/>
      <c r="J324" s="109"/>
      <c r="K324" s="109"/>
      <c r="L324" s="109"/>
      <c r="M324" s="109"/>
      <c r="N324" s="109"/>
      <c r="O324" s="109"/>
      <c r="P324" s="109"/>
      <c r="Q324" s="109"/>
      <c r="R324" s="109"/>
      <c r="S324" s="109"/>
      <c r="T324" s="109"/>
      <c r="U324" s="109"/>
      <c r="V324" s="109"/>
      <c r="W324" s="109"/>
      <c r="X324" s="109"/>
      <c r="Y324" s="109"/>
      <c r="Z324" s="109"/>
    </row>
    <row r="325" ht="29.25" customHeight="1">
      <c r="A325" s="109"/>
      <c r="B325" s="109"/>
      <c r="C325" s="109"/>
      <c r="D325" s="109"/>
      <c r="E325" s="109"/>
      <c r="F325" s="109"/>
      <c r="G325" s="109"/>
      <c r="H325" s="109"/>
      <c r="I325" s="109"/>
      <c r="J325" s="109"/>
      <c r="K325" s="109"/>
      <c r="L325" s="109"/>
      <c r="M325" s="109"/>
      <c r="N325" s="109"/>
      <c r="O325" s="109"/>
      <c r="P325" s="109"/>
      <c r="Q325" s="109"/>
      <c r="R325" s="109"/>
      <c r="S325" s="109"/>
      <c r="T325" s="109"/>
      <c r="U325" s="109"/>
      <c r="V325" s="109"/>
      <c r="W325" s="109"/>
      <c r="X325" s="109"/>
      <c r="Y325" s="109"/>
      <c r="Z325" s="109"/>
    </row>
    <row r="326" ht="29.25" customHeight="1">
      <c r="A326" s="109"/>
      <c r="B326" s="109"/>
      <c r="C326" s="109"/>
      <c r="D326" s="109"/>
      <c r="E326" s="109"/>
      <c r="F326" s="109"/>
      <c r="G326" s="109"/>
      <c r="H326" s="109"/>
      <c r="I326" s="109"/>
      <c r="J326" s="109"/>
      <c r="K326" s="109"/>
      <c r="L326" s="109"/>
      <c r="M326" s="109"/>
      <c r="N326" s="109"/>
      <c r="O326" s="109"/>
      <c r="P326" s="109"/>
      <c r="Q326" s="109"/>
      <c r="R326" s="109"/>
      <c r="S326" s="109"/>
      <c r="T326" s="109"/>
      <c r="U326" s="109"/>
      <c r="V326" s="109"/>
      <c r="W326" s="109"/>
      <c r="X326" s="109"/>
      <c r="Y326" s="109"/>
      <c r="Z326" s="109"/>
    </row>
    <row r="327" ht="29.25" customHeight="1">
      <c r="A327" s="109"/>
      <c r="B327" s="109"/>
      <c r="C327" s="109"/>
      <c r="D327" s="109"/>
      <c r="E327" s="109"/>
      <c r="F327" s="109"/>
      <c r="G327" s="109"/>
      <c r="H327" s="109"/>
      <c r="I327" s="109"/>
      <c r="J327" s="109"/>
      <c r="K327" s="109"/>
      <c r="L327" s="109"/>
      <c r="M327" s="109"/>
      <c r="N327" s="109"/>
      <c r="O327" s="109"/>
      <c r="P327" s="109"/>
      <c r="Q327" s="109"/>
      <c r="R327" s="109"/>
      <c r="S327" s="109"/>
      <c r="T327" s="109"/>
      <c r="U327" s="109"/>
      <c r="V327" s="109"/>
      <c r="W327" s="109"/>
      <c r="X327" s="109"/>
      <c r="Y327" s="109"/>
      <c r="Z327" s="109"/>
    </row>
    <row r="328" ht="29.25" customHeight="1">
      <c r="A328" s="109"/>
      <c r="B328" s="109"/>
      <c r="C328" s="109"/>
      <c r="D328" s="109"/>
      <c r="E328" s="109"/>
      <c r="F328" s="109"/>
      <c r="G328" s="109"/>
      <c r="H328" s="109"/>
      <c r="I328" s="109"/>
      <c r="J328" s="109"/>
      <c r="K328" s="109"/>
      <c r="L328" s="109"/>
      <c r="M328" s="109"/>
      <c r="N328" s="109"/>
      <c r="O328" s="109"/>
      <c r="P328" s="109"/>
      <c r="Q328" s="109"/>
      <c r="R328" s="109"/>
      <c r="S328" s="109"/>
      <c r="T328" s="109"/>
      <c r="U328" s="109"/>
      <c r="V328" s="109"/>
      <c r="W328" s="109"/>
      <c r="X328" s="109"/>
      <c r="Y328" s="109"/>
      <c r="Z328" s="109"/>
    </row>
    <row r="329" ht="29.25" customHeight="1">
      <c r="A329" s="109"/>
      <c r="B329" s="109"/>
      <c r="C329" s="109"/>
      <c r="D329" s="109"/>
      <c r="E329" s="109"/>
      <c r="F329" s="109"/>
      <c r="G329" s="109"/>
      <c r="H329" s="109"/>
      <c r="I329" s="109"/>
      <c r="J329" s="109"/>
      <c r="K329" s="109"/>
      <c r="L329" s="109"/>
      <c r="M329" s="109"/>
      <c r="N329" s="109"/>
      <c r="O329" s="109"/>
      <c r="P329" s="109"/>
      <c r="Q329" s="109"/>
      <c r="R329" s="109"/>
      <c r="S329" s="109"/>
      <c r="T329" s="109"/>
      <c r="U329" s="109"/>
      <c r="V329" s="109"/>
      <c r="W329" s="109"/>
      <c r="X329" s="109"/>
      <c r="Y329" s="109"/>
      <c r="Z329" s="109"/>
    </row>
    <row r="330" ht="29.25" customHeight="1">
      <c r="A330" s="109"/>
      <c r="B330" s="109"/>
      <c r="C330" s="109"/>
      <c r="D330" s="109"/>
      <c r="E330" s="109"/>
      <c r="F330" s="109"/>
      <c r="G330" s="109"/>
      <c r="H330" s="109"/>
      <c r="I330" s="109"/>
      <c r="J330" s="109"/>
      <c r="K330" s="109"/>
      <c r="L330" s="109"/>
      <c r="M330" s="109"/>
      <c r="N330" s="109"/>
      <c r="O330" s="109"/>
      <c r="P330" s="109"/>
      <c r="Q330" s="109"/>
      <c r="R330" s="109"/>
      <c r="S330" s="109"/>
      <c r="T330" s="109"/>
      <c r="U330" s="109"/>
      <c r="V330" s="109"/>
      <c r="W330" s="109"/>
      <c r="X330" s="109"/>
      <c r="Y330" s="109"/>
      <c r="Z330" s="109"/>
    </row>
    <row r="331" ht="29.25" customHeight="1">
      <c r="A331" s="109"/>
      <c r="B331" s="109"/>
      <c r="C331" s="109"/>
      <c r="D331" s="109"/>
      <c r="E331" s="109"/>
      <c r="F331" s="109"/>
      <c r="G331" s="109"/>
      <c r="H331" s="109"/>
      <c r="I331" s="109"/>
      <c r="J331" s="109"/>
      <c r="K331" s="109"/>
      <c r="L331" s="109"/>
      <c r="M331" s="109"/>
      <c r="N331" s="109"/>
      <c r="O331" s="109"/>
      <c r="P331" s="109"/>
      <c r="Q331" s="109"/>
      <c r="R331" s="109"/>
      <c r="S331" s="109"/>
      <c r="T331" s="109"/>
      <c r="U331" s="109"/>
      <c r="V331" s="109"/>
      <c r="W331" s="109"/>
      <c r="X331" s="109"/>
      <c r="Y331" s="109"/>
      <c r="Z331" s="109"/>
    </row>
    <row r="332" ht="29.25" customHeight="1">
      <c r="A332" s="109"/>
      <c r="B332" s="109"/>
      <c r="C332" s="109"/>
      <c r="D332" s="109"/>
      <c r="E332" s="109"/>
      <c r="F332" s="109"/>
      <c r="G332" s="109"/>
      <c r="H332" s="109"/>
      <c r="I332" s="109"/>
      <c r="J332" s="109"/>
      <c r="K332" s="109"/>
      <c r="L332" s="109"/>
      <c r="M332" s="109"/>
      <c r="N332" s="109"/>
      <c r="O332" s="109"/>
      <c r="P332" s="109"/>
      <c r="Q332" s="109"/>
      <c r="R332" s="109"/>
      <c r="S332" s="109"/>
      <c r="T332" s="109"/>
      <c r="U332" s="109"/>
      <c r="V332" s="109"/>
      <c r="W332" s="109"/>
      <c r="X332" s="109"/>
      <c r="Y332" s="109"/>
      <c r="Z332" s="109"/>
    </row>
    <row r="333" ht="29.25" customHeight="1">
      <c r="A333" s="109"/>
      <c r="B333" s="109"/>
      <c r="C333" s="109"/>
      <c r="D333" s="109"/>
      <c r="E333" s="109"/>
      <c r="F333" s="109"/>
      <c r="G333" s="109"/>
      <c r="H333" s="109"/>
      <c r="I333" s="109"/>
      <c r="J333" s="109"/>
      <c r="K333" s="109"/>
      <c r="L333" s="109"/>
      <c r="M333" s="109"/>
      <c r="N333" s="109"/>
      <c r="O333" s="109"/>
      <c r="P333" s="109"/>
      <c r="Q333" s="109"/>
      <c r="R333" s="109"/>
      <c r="S333" s="109"/>
      <c r="T333" s="109"/>
      <c r="U333" s="109"/>
      <c r="V333" s="109"/>
      <c r="W333" s="109"/>
      <c r="X333" s="109"/>
      <c r="Y333" s="109"/>
      <c r="Z333" s="109"/>
    </row>
    <row r="334" ht="29.25" customHeight="1">
      <c r="A334" s="109"/>
      <c r="B334" s="109"/>
      <c r="C334" s="109"/>
      <c r="D334" s="109"/>
      <c r="E334" s="109"/>
      <c r="F334" s="109"/>
      <c r="G334" s="109"/>
      <c r="H334" s="109"/>
      <c r="I334" s="109"/>
      <c r="J334" s="109"/>
      <c r="K334" s="109"/>
      <c r="L334" s="109"/>
      <c r="M334" s="109"/>
      <c r="N334" s="109"/>
      <c r="O334" s="109"/>
      <c r="P334" s="109"/>
      <c r="Q334" s="109"/>
      <c r="R334" s="109"/>
      <c r="S334" s="109"/>
      <c r="T334" s="109"/>
      <c r="U334" s="109"/>
      <c r="V334" s="109"/>
      <c r="W334" s="109"/>
      <c r="X334" s="109"/>
      <c r="Y334" s="109"/>
      <c r="Z334" s="109"/>
    </row>
    <row r="335" ht="29.25" customHeight="1">
      <c r="A335" s="109"/>
      <c r="B335" s="109"/>
      <c r="C335" s="109"/>
      <c r="D335" s="109"/>
      <c r="E335" s="109"/>
      <c r="F335" s="109"/>
      <c r="G335" s="109"/>
      <c r="H335" s="109"/>
      <c r="I335" s="109"/>
      <c r="J335" s="109"/>
      <c r="K335" s="109"/>
      <c r="L335" s="109"/>
      <c r="M335" s="109"/>
      <c r="N335" s="109"/>
      <c r="O335" s="109"/>
      <c r="P335" s="109"/>
      <c r="Q335" s="109"/>
      <c r="R335" s="109"/>
      <c r="S335" s="109"/>
      <c r="T335" s="109"/>
      <c r="U335" s="109"/>
      <c r="V335" s="109"/>
      <c r="W335" s="109"/>
      <c r="X335" s="109"/>
      <c r="Y335" s="109"/>
      <c r="Z335" s="109"/>
    </row>
    <row r="336" ht="29.25" customHeight="1">
      <c r="A336" s="109"/>
      <c r="B336" s="109"/>
      <c r="C336" s="109"/>
      <c r="D336" s="109"/>
      <c r="E336" s="109"/>
      <c r="F336" s="109"/>
      <c r="G336" s="109"/>
      <c r="H336" s="109"/>
      <c r="I336" s="109"/>
      <c r="J336" s="109"/>
      <c r="K336" s="109"/>
      <c r="L336" s="109"/>
      <c r="M336" s="109"/>
      <c r="N336" s="109"/>
      <c r="O336" s="109"/>
      <c r="P336" s="109"/>
      <c r="Q336" s="109"/>
      <c r="R336" s="109"/>
      <c r="S336" s="109"/>
      <c r="T336" s="109"/>
      <c r="U336" s="109"/>
      <c r="V336" s="109"/>
      <c r="W336" s="109"/>
      <c r="X336" s="109"/>
      <c r="Y336" s="109"/>
      <c r="Z336" s="109"/>
    </row>
    <row r="337" ht="29.25" customHeight="1">
      <c r="A337" s="109"/>
      <c r="B337" s="109"/>
      <c r="C337" s="109"/>
      <c r="D337" s="109"/>
      <c r="E337" s="109"/>
      <c r="F337" s="109"/>
      <c r="G337" s="109"/>
      <c r="H337" s="109"/>
      <c r="I337" s="109"/>
      <c r="J337" s="109"/>
      <c r="K337" s="109"/>
      <c r="L337" s="109"/>
      <c r="M337" s="109"/>
      <c r="N337" s="109"/>
      <c r="O337" s="109"/>
      <c r="P337" s="109"/>
      <c r="Q337" s="109"/>
      <c r="R337" s="109"/>
      <c r="S337" s="109"/>
      <c r="T337" s="109"/>
      <c r="U337" s="109"/>
      <c r="V337" s="109"/>
      <c r="W337" s="109"/>
      <c r="X337" s="109"/>
      <c r="Y337" s="109"/>
      <c r="Z337" s="109"/>
    </row>
    <row r="338" ht="29.25" customHeight="1">
      <c r="A338" s="109"/>
      <c r="B338" s="109"/>
      <c r="C338" s="109"/>
      <c r="D338" s="109"/>
      <c r="E338" s="109"/>
      <c r="F338" s="109"/>
      <c r="G338" s="109"/>
      <c r="H338" s="109"/>
      <c r="I338" s="109"/>
      <c r="J338" s="109"/>
      <c r="K338" s="109"/>
      <c r="L338" s="109"/>
      <c r="M338" s="109"/>
      <c r="N338" s="109"/>
      <c r="O338" s="109"/>
      <c r="P338" s="109"/>
      <c r="Q338" s="109"/>
      <c r="R338" s="109"/>
      <c r="S338" s="109"/>
      <c r="T338" s="109"/>
      <c r="U338" s="109"/>
      <c r="V338" s="109"/>
      <c r="W338" s="109"/>
      <c r="X338" s="109"/>
      <c r="Y338" s="109"/>
      <c r="Z338" s="109"/>
    </row>
    <row r="339" ht="29.25" customHeight="1">
      <c r="A339" s="109"/>
      <c r="B339" s="109"/>
      <c r="C339" s="109"/>
      <c r="D339" s="109"/>
      <c r="E339" s="109"/>
      <c r="F339" s="109"/>
      <c r="G339" s="109"/>
      <c r="H339" s="109"/>
      <c r="I339" s="109"/>
      <c r="J339" s="109"/>
      <c r="K339" s="109"/>
      <c r="L339" s="109"/>
      <c r="M339" s="109"/>
      <c r="N339" s="109"/>
      <c r="O339" s="109"/>
      <c r="P339" s="109"/>
      <c r="Q339" s="109"/>
      <c r="R339" s="109"/>
      <c r="S339" s="109"/>
      <c r="T339" s="109"/>
      <c r="U339" s="109"/>
      <c r="V339" s="109"/>
      <c r="W339" s="109"/>
      <c r="X339" s="109"/>
      <c r="Y339" s="109"/>
      <c r="Z339" s="109"/>
    </row>
    <row r="340" ht="29.25" customHeight="1">
      <c r="A340" s="109"/>
      <c r="B340" s="109"/>
      <c r="C340" s="109"/>
      <c r="D340" s="109"/>
      <c r="E340" s="109"/>
      <c r="F340" s="109"/>
      <c r="G340" s="109"/>
      <c r="H340" s="109"/>
      <c r="I340" s="109"/>
      <c r="J340" s="109"/>
      <c r="K340" s="109"/>
      <c r="L340" s="109"/>
      <c r="M340" s="109"/>
      <c r="N340" s="109"/>
      <c r="O340" s="109"/>
      <c r="P340" s="109"/>
      <c r="Q340" s="109"/>
      <c r="R340" s="109"/>
      <c r="S340" s="109"/>
      <c r="T340" s="109"/>
      <c r="U340" s="109"/>
      <c r="V340" s="109"/>
      <c r="W340" s="109"/>
      <c r="X340" s="109"/>
      <c r="Y340" s="109"/>
      <c r="Z340" s="109"/>
    </row>
    <row r="341" ht="29.25" customHeight="1">
      <c r="A341" s="109"/>
      <c r="B341" s="109"/>
      <c r="C341" s="109"/>
      <c r="D341" s="109"/>
      <c r="E341" s="109"/>
      <c r="F341" s="109"/>
      <c r="G341" s="109"/>
      <c r="H341" s="109"/>
      <c r="I341" s="109"/>
      <c r="J341" s="109"/>
      <c r="K341" s="109"/>
      <c r="L341" s="109"/>
      <c r="M341" s="109"/>
      <c r="N341" s="109"/>
      <c r="O341" s="109"/>
      <c r="P341" s="109"/>
      <c r="Q341" s="109"/>
      <c r="R341" s="109"/>
      <c r="S341" s="109"/>
      <c r="T341" s="109"/>
      <c r="U341" s="109"/>
      <c r="V341" s="109"/>
      <c r="W341" s="109"/>
      <c r="X341" s="109"/>
      <c r="Y341" s="109"/>
      <c r="Z341" s="109"/>
    </row>
    <row r="342" ht="29.25" customHeight="1">
      <c r="A342" s="109"/>
      <c r="B342" s="109"/>
      <c r="C342" s="109"/>
      <c r="D342" s="109"/>
      <c r="E342" s="109"/>
      <c r="F342" s="109"/>
      <c r="G342" s="109"/>
      <c r="H342" s="109"/>
      <c r="I342" s="109"/>
      <c r="J342" s="109"/>
      <c r="K342" s="109"/>
      <c r="L342" s="109"/>
      <c r="M342" s="109"/>
      <c r="N342" s="109"/>
      <c r="O342" s="109"/>
      <c r="P342" s="109"/>
      <c r="Q342" s="109"/>
      <c r="R342" s="109"/>
      <c r="S342" s="109"/>
      <c r="T342" s="109"/>
      <c r="U342" s="109"/>
      <c r="V342" s="109"/>
      <c r="W342" s="109"/>
      <c r="X342" s="109"/>
      <c r="Y342" s="109"/>
      <c r="Z342" s="109"/>
    </row>
    <row r="343" ht="29.25" customHeight="1">
      <c r="A343" s="109"/>
      <c r="B343" s="109"/>
      <c r="C343" s="109"/>
      <c r="D343" s="109"/>
      <c r="E343" s="109"/>
      <c r="F343" s="109"/>
      <c r="G343" s="109"/>
      <c r="H343" s="109"/>
      <c r="I343" s="109"/>
      <c r="J343" s="109"/>
      <c r="K343" s="109"/>
      <c r="L343" s="109"/>
      <c r="M343" s="109"/>
      <c r="N343" s="109"/>
      <c r="O343" s="109"/>
      <c r="P343" s="109"/>
      <c r="Q343" s="109"/>
      <c r="R343" s="109"/>
      <c r="S343" s="109"/>
      <c r="T343" s="109"/>
      <c r="U343" s="109"/>
      <c r="V343" s="109"/>
      <c r="W343" s="109"/>
      <c r="X343" s="109"/>
      <c r="Y343" s="109"/>
      <c r="Z343" s="109"/>
    </row>
    <row r="344" ht="29.25" customHeight="1">
      <c r="A344" s="109"/>
      <c r="B344" s="109"/>
      <c r="C344" s="109"/>
      <c r="D344" s="109"/>
      <c r="E344" s="109"/>
      <c r="F344" s="109"/>
      <c r="G344" s="109"/>
      <c r="H344" s="109"/>
      <c r="I344" s="109"/>
      <c r="J344" s="109"/>
      <c r="K344" s="109"/>
      <c r="L344" s="109"/>
      <c r="M344" s="109"/>
      <c r="N344" s="109"/>
      <c r="O344" s="109"/>
      <c r="P344" s="109"/>
      <c r="Q344" s="109"/>
      <c r="R344" s="109"/>
      <c r="S344" s="109"/>
      <c r="T344" s="109"/>
      <c r="U344" s="109"/>
      <c r="V344" s="109"/>
      <c r="W344" s="109"/>
      <c r="X344" s="109"/>
      <c r="Y344" s="109"/>
      <c r="Z344" s="109"/>
    </row>
    <row r="345" ht="29.25" customHeight="1">
      <c r="A345" s="109"/>
      <c r="B345" s="109"/>
      <c r="C345" s="109"/>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c r="Z345" s="109"/>
    </row>
    <row r="346" ht="29.25" customHeight="1">
      <c r="A346" s="109"/>
      <c r="B346" s="109"/>
      <c r="C346" s="109"/>
      <c r="D346" s="109"/>
      <c r="E346" s="109"/>
      <c r="F346" s="109"/>
      <c r="G346" s="109"/>
      <c r="H346" s="109"/>
      <c r="I346" s="109"/>
      <c r="J346" s="109"/>
      <c r="K346" s="109"/>
      <c r="L346" s="109"/>
      <c r="M346" s="109"/>
      <c r="N346" s="109"/>
      <c r="O346" s="109"/>
      <c r="P346" s="109"/>
      <c r="Q346" s="109"/>
      <c r="R346" s="109"/>
      <c r="S346" s="109"/>
      <c r="T346" s="109"/>
      <c r="U346" s="109"/>
      <c r="V346" s="109"/>
      <c r="W346" s="109"/>
      <c r="X346" s="109"/>
      <c r="Y346" s="109"/>
      <c r="Z346" s="109"/>
    </row>
    <row r="347" ht="29.25" customHeight="1">
      <c r="A347" s="109"/>
      <c r="B347" s="109"/>
      <c r="C347" s="109"/>
      <c r="D347" s="109"/>
      <c r="E347" s="109"/>
      <c r="F347" s="109"/>
      <c r="G347" s="109"/>
      <c r="H347" s="109"/>
      <c r="I347" s="109"/>
      <c r="J347" s="109"/>
      <c r="K347" s="109"/>
      <c r="L347" s="109"/>
      <c r="M347" s="109"/>
      <c r="N347" s="109"/>
      <c r="O347" s="109"/>
      <c r="P347" s="109"/>
      <c r="Q347" s="109"/>
      <c r="R347" s="109"/>
      <c r="S347" s="109"/>
      <c r="T347" s="109"/>
      <c r="U347" s="109"/>
      <c r="V347" s="109"/>
      <c r="W347" s="109"/>
      <c r="X347" s="109"/>
      <c r="Y347" s="109"/>
      <c r="Z347" s="109"/>
    </row>
    <row r="348" ht="29.25" customHeight="1">
      <c r="A348" s="109"/>
      <c r="B348" s="109"/>
      <c r="C348" s="109"/>
      <c r="D348" s="109"/>
      <c r="E348" s="109"/>
      <c r="F348" s="109"/>
      <c r="G348" s="109"/>
      <c r="H348" s="109"/>
      <c r="I348" s="109"/>
      <c r="J348" s="109"/>
      <c r="K348" s="109"/>
      <c r="L348" s="109"/>
      <c r="M348" s="109"/>
      <c r="N348" s="109"/>
      <c r="O348" s="109"/>
      <c r="P348" s="109"/>
      <c r="Q348" s="109"/>
      <c r="R348" s="109"/>
      <c r="S348" s="109"/>
      <c r="T348" s="109"/>
      <c r="U348" s="109"/>
      <c r="V348" s="109"/>
      <c r="W348" s="109"/>
      <c r="X348" s="109"/>
      <c r="Y348" s="109"/>
      <c r="Z348" s="109"/>
    </row>
    <row r="349" ht="29.25" customHeight="1">
      <c r="A349" s="109"/>
      <c r="B349" s="109"/>
      <c r="C349" s="109"/>
      <c r="D349" s="109"/>
      <c r="E349" s="109"/>
      <c r="F349" s="109"/>
      <c r="G349" s="109"/>
      <c r="H349" s="109"/>
      <c r="I349" s="109"/>
      <c r="J349" s="109"/>
      <c r="K349" s="109"/>
      <c r="L349" s="109"/>
      <c r="M349" s="109"/>
      <c r="N349" s="109"/>
      <c r="O349" s="109"/>
      <c r="P349" s="109"/>
      <c r="Q349" s="109"/>
      <c r="R349" s="109"/>
      <c r="S349" s="109"/>
      <c r="T349" s="109"/>
      <c r="U349" s="109"/>
      <c r="V349" s="109"/>
      <c r="W349" s="109"/>
      <c r="X349" s="109"/>
      <c r="Y349" s="109"/>
      <c r="Z349" s="109"/>
    </row>
    <row r="350" ht="29.25" customHeight="1">
      <c r="A350" s="109"/>
      <c r="B350" s="109"/>
      <c r="C350" s="109"/>
      <c r="D350" s="109"/>
      <c r="E350" s="109"/>
      <c r="F350" s="109"/>
      <c r="G350" s="109"/>
      <c r="H350" s="109"/>
      <c r="I350" s="109"/>
      <c r="J350" s="109"/>
      <c r="K350" s="109"/>
      <c r="L350" s="109"/>
      <c r="M350" s="109"/>
      <c r="N350" s="109"/>
      <c r="O350" s="109"/>
      <c r="P350" s="109"/>
      <c r="Q350" s="109"/>
      <c r="R350" s="109"/>
      <c r="S350" s="109"/>
      <c r="T350" s="109"/>
      <c r="U350" s="109"/>
      <c r="V350" s="109"/>
      <c r="W350" s="109"/>
      <c r="X350" s="109"/>
      <c r="Y350" s="109"/>
      <c r="Z350" s="109"/>
    </row>
    <row r="351" ht="29.25" customHeight="1">
      <c r="A351" s="109"/>
      <c r="B351" s="109"/>
      <c r="C351" s="109"/>
      <c r="D351" s="109"/>
      <c r="E351" s="109"/>
      <c r="F351" s="109"/>
      <c r="G351" s="109"/>
      <c r="H351" s="109"/>
      <c r="I351" s="109"/>
      <c r="J351" s="109"/>
      <c r="K351" s="109"/>
      <c r="L351" s="109"/>
      <c r="M351" s="109"/>
      <c r="N351" s="109"/>
      <c r="O351" s="109"/>
      <c r="P351" s="109"/>
      <c r="Q351" s="109"/>
      <c r="R351" s="109"/>
      <c r="S351" s="109"/>
      <c r="T351" s="109"/>
      <c r="U351" s="109"/>
      <c r="V351" s="109"/>
      <c r="W351" s="109"/>
      <c r="X351" s="109"/>
      <c r="Y351" s="109"/>
      <c r="Z351" s="109"/>
    </row>
    <row r="352" ht="29.25" customHeight="1">
      <c r="A352" s="109"/>
      <c r="B352" s="109"/>
      <c r="C352" s="109"/>
      <c r="D352" s="109"/>
      <c r="E352" s="109"/>
      <c r="F352" s="109"/>
      <c r="G352" s="109"/>
      <c r="H352" s="109"/>
      <c r="I352" s="109"/>
      <c r="J352" s="109"/>
      <c r="K352" s="109"/>
      <c r="L352" s="109"/>
      <c r="M352" s="109"/>
      <c r="N352" s="109"/>
      <c r="O352" s="109"/>
      <c r="P352" s="109"/>
      <c r="Q352" s="109"/>
      <c r="R352" s="109"/>
      <c r="S352" s="109"/>
      <c r="T352" s="109"/>
      <c r="U352" s="109"/>
      <c r="V352" s="109"/>
      <c r="W352" s="109"/>
      <c r="X352" s="109"/>
      <c r="Y352" s="109"/>
      <c r="Z352" s="109"/>
    </row>
    <row r="353" ht="29.25" customHeight="1">
      <c r="A353" s="109"/>
      <c r="B353" s="109"/>
      <c r="C353" s="109"/>
      <c r="D353" s="109"/>
      <c r="E353" s="109"/>
      <c r="F353" s="109"/>
      <c r="G353" s="109"/>
      <c r="H353" s="109"/>
      <c r="I353" s="109"/>
      <c r="J353" s="109"/>
      <c r="K353" s="109"/>
      <c r="L353" s="109"/>
      <c r="M353" s="109"/>
      <c r="N353" s="109"/>
      <c r="O353" s="109"/>
      <c r="P353" s="109"/>
      <c r="Q353" s="109"/>
      <c r="R353" s="109"/>
      <c r="S353" s="109"/>
      <c r="T353" s="109"/>
      <c r="U353" s="109"/>
      <c r="V353" s="109"/>
      <c r="W353" s="109"/>
      <c r="X353" s="109"/>
      <c r="Y353" s="109"/>
      <c r="Z353" s="109"/>
    </row>
    <row r="354" ht="29.25" customHeight="1">
      <c r="A354" s="109"/>
      <c r="B354" s="109"/>
      <c r="C354" s="109"/>
      <c r="D354" s="109"/>
      <c r="E354" s="109"/>
      <c r="F354" s="109"/>
      <c r="G354" s="109"/>
      <c r="H354" s="109"/>
      <c r="I354" s="109"/>
      <c r="J354" s="109"/>
      <c r="K354" s="109"/>
      <c r="L354" s="109"/>
      <c r="M354" s="109"/>
      <c r="N354" s="109"/>
      <c r="O354" s="109"/>
      <c r="P354" s="109"/>
      <c r="Q354" s="109"/>
      <c r="R354" s="109"/>
      <c r="S354" s="109"/>
      <c r="T354" s="109"/>
      <c r="U354" s="109"/>
      <c r="V354" s="109"/>
      <c r="W354" s="109"/>
      <c r="X354" s="109"/>
      <c r="Y354" s="109"/>
      <c r="Z354" s="109"/>
    </row>
    <row r="355" ht="29.25" customHeight="1">
      <c r="A355" s="109"/>
      <c r="B355" s="109"/>
      <c r="C355" s="109"/>
      <c r="D355" s="109"/>
      <c r="E355" s="109"/>
      <c r="F355" s="109"/>
      <c r="G355" s="109"/>
      <c r="H355" s="109"/>
      <c r="I355" s="109"/>
      <c r="J355" s="109"/>
      <c r="K355" s="109"/>
      <c r="L355" s="109"/>
      <c r="M355" s="109"/>
      <c r="N355" s="109"/>
      <c r="O355" s="109"/>
      <c r="P355" s="109"/>
      <c r="Q355" s="109"/>
      <c r="R355" s="109"/>
      <c r="S355" s="109"/>
      <c r="T355" s="109"/>
      <c r="U355" s="109"/>
      <c r="V355" s="109"/>
      <c r="W355" s="109"/>
      <c r="X355" s="109"/>
      <c r="Y355" s="109"/>
      <c r="Z355" s="109"/>
    </row>
    <row r="356" ht="29.25" customHeight="1">
      <c r="A356" s="109"/>
      <c r="B356" s="109"/>
      <c r="C356" s="109"/>
      <c r="D356" s="109"/>
      <c r="E356" s="109"/>
      <c r="F356" s="109"/>
      <c r="G356" s="109"/>
      <c r="H356" s="109"/>
      <c r="I356" s="109"/>
      <c r="J356" s="109"/>
      <c r="K356" s="109"/>
      <c r="L356" s="109"/>
      <c r="M356" s="109"/>
      <c r="N356" s="109"/>
      <c r="O356" s="109"/>
      <c r="P356" s="109"/>
      <c r="Q356" s="109"/>
      <c r="R356" s="109"/>
      <c r="S356" s="109"/>
      <c r="T356" s="109"/>
      <c r="U356" s="109"/>
      <c r="V356" s="109"/>
      <c r="W356" s="109"/>
      <c r="X356" s="109"/>
      <c r="Y356" s="109"/>
      <c r="Z356" s="109"/>
    </row>
    <row r="357" ht="29.25" customHeight="1">
      <c r="A357" s="109"/>
      <c r="B357" s="109"/>
      <c r="C357" s="109"/>
      <c r="D357" s="109"/>
      <c r="E357" s="109"/>
      <c r="F357" s="109"/>
      <c r="G357" s="109"/>
      <c r="H357" s="109"/>
      <c r="I357" s="109"/>
      <c r="J357" s="109"/>
      <c r="K357" s="109"/>
      <c r="L357" s="109"/>
      <c r="M357" s="109"/>
      <c r="N357" s="109"/>
      <c r="O357" s="109"/>
      <c r="P357" s="109"/>
      <c r="Q357" s="109"/>
      <c r="R357" s="109"/>
      <c r="S357" s="109"/>
      <c r="T357" s="109"/>
      <c r="U357" s="109"/>
      <c r="V357" s="109"/>
      <c r="W357" s="109"/>
      <c r="X357" s="109"/>
      <c r="Y357" s="109"/>
      <c r="Z357" s="109"/>
    </row>
    <row r="358" ht="29.25" customHeight="1">
      <c r="A358" s="109"/>
      <c r="B358" s="109"/>
      <c r="C358" s="109"/>
      <c r="D358" s="109"/>
      <c r="E358" s="109"/>
      <c r="F358" s="109"/>
      <c r="G358" s="109"/>
      <c r="H358" s="109"/>
      <c r="I358" s="109"/>
      <c r="J358" s="109"/>
      <c r="K358" s="109"/>
      <c r="L358" s="109"/>
      <c r="M358" s="109"/>
      <c r="N358" s="109"/>
      <c r="O358" s="109"/>
      <c r="P358" s="109"/>
      <c r="Q358" s="109"/>
      <c r="R358" s="109"/>
      <c r="S358" s="109"/>
      <c r="T358" s="109"/>
      <c r="U358" s="109"/>
      <c r="V358" s="109"/>
      <c r="W358" s="109"/>
      <c r="X358" s="109"/>
      <c r="Y358" s="109"/>
      <c r="Z358" s="109"/>
    </row>
    <row r="359" ht="29.25" customHeight="1">
      <c r="A359" s="109"/>
      <c r="B359" s="109"/>
      <c r="C359" s="109"/>
      <c r="D359" s="109"/>
      <c r="E359" s="109"/>
      <c r="F359" s="109"/>
      <c r="G359" s="109"/>
      <c r="H359" s="109"/>
      <c r="I359" s="109"/>
      <c r="J359" s="109"/>
      <c r="K359" s="109"/>
      <c r="L359" s="109"/>
      <c r="M359" s="109"/>
      <c r="N359" s="109"/>
      <c r="O359" s="109"/>
      <c r="P359" s="109"/>
      <c r="Q359" s="109"/>
      <c r="R359" s="109"/>
      <c r="S359" s="109"/>
      <c r="T359" s="109"/>
      <c r="U359" s="109"/>
      <c r="V359" s="109"/>
      <c r="W359" s="109"/>
      <c r="X359" s="109"/>
      <c r="Y359" s="109"/>
      <c r="Z359" s="109"/>
    </row>
    <row r="360" ht="29.25" customHeight="1">
      <c r="A360" s="109"/>
      <c r="B360" s="109"/>
      <c r="C360" s="109"/>
      <c r="D360" s="109"/>
      <c r="E360" s="109"/>
      <c r="F360" s="109"/>
      <c r="G360" s="109"/>
      <c r="H360" s="109"/>
      <c r="I360" s="109"/>
      <c r="J360" s="109"/>
      <c r="K360" s="109"/>
      <c r="L360" s="109"/>
      <c r="M360" s="109"/>
      <c r="N360" s="109"/>
      <c r="O360" s="109"/>
      <c r="P360" s="109"/>
      <c r="Q360" s="109"/>
      <c r="R360" s="109"/>
      <c r="S360" s="109"/>
      <c r="T360" s="109"/>
      <c r="U360" s="109"/>
      <c r="V360" s="109"/>
      <c r="W360" s="109"/>
      <c r="X360" s="109"/>
      <c r="Y360" s="109"/>
      <c r="Z360" s="109"/>
    </row>
    <row r="361" ht="29.25" customHeight="1">
      <c r="A361" s="109"/>
      <c r="B361" s="109"/>
      <c r="C361" s="109"/>
      <c r="D361" s="109"/>
      <c r="E361" s="109"/>
      <c r="F361" s="109"/>
      <c r="G361" s="109"/>
      <c r="H361" s="109"/>
      <c r="I361" s="109"/>
      <c r="J361" s="109"/>
      <c r="K361" s="109"/>
      <c r="L361" s="109"/>
      <c r="M361" s="109"/>
      <c r="N361" s="109"/>
      <c r="O361" s="109"/>
      <c r="P361" s="109"/>
      <c r="Q361" s="109"/>
      <c r="R361" s="109"/>
      <c r="S361" s="109"/>
      <c r="T361" s="109"/>
      <c r="U361" s="109"/>
      <c r="V361" s="109"/>
      <c r="W361" s="109"/>
      <c r="X361" s="109"/>
      <c r="Y361" s="109"/>
      <c r="Z361" s="109"/>
    </row>
    <row r="362" ht="29.25" customHeight="1">
      <c r="A362" s="109"/>
      <c r="B362" s="109"/>
      <c r="C362" s="109"/>
      <c r="D362" s="109"/>
      <c r="E362" s="109"/>
      <c r="F362" s="109"/>
      <c r="G362" s="109"/>
      <c r="H362" s="109"/>
      <c r="I362" s="109"/>
      <c r="J362" s="109"/>
      <c r="K362" s="109"/>
      <c r="L362" s="109"/>
      <c r="M362" s="109"/>
      <c r="N362" s="109"/>
      <c r="O362" s="109"/>
      <c r="P362" s="109"/>
      <c r="Q362" s="109"/>
      <c r="R362" s="109"/>
      <c r="S362" s="109"/>
      <c r="T362" s="109"/>
      <c r="U362" s="109"/>
      <c r="V362" s="109"/>
      <c r="W362" s="109"/>
      <c r="X362" s="109"/>
      <c r="Y362" s="109"/>
      <c r="Z362" s="109"/>
    </row>
    <row r="363" ht="29.25" customHeight="1">
      <c r="A363" s="109"/>
      <c r="B363" s="109"/>
      <c r="C363" s="109"/>
      <c r="D363" s="109"/>
      <c r="E363" s="109"/>
      <c r="F363" s="109"/>
      <c r="G363" s="109"/>
      <c r="H363" s="109"/>
      <c r="I363" s="109"/>
      <c r="J363" s="109"/>
      <c r="K363" s="109"/>
      <c r="L363" s="109"/>
      <c r="M363" s="109"/>
      <c r="N363" s="109"/>
      <c r="O363" s="109"/>
      <c r="P363" s="109"/>
      <c r="Q363" s="109"/>
      <c r="R363" s="109"/>
      <c r="S363" s="109"/>
      <c r="T363" s="109"/>
      <c r="U363" s="109"/>
      <c r="V363" s="109"/>
      <c r="W363" s="109"/>
      <c r="X363" s="109"/>
      <c r="Y363" s="109"/>
      <c r="Z363" s="109"/>
    </row>
    <row r="364" ht="29.25" customHeight="1">
      <c r="A364" s="109"/>
      <c r="B364" s="109"/>
      <c r="C364" s="109"/>
      <c r="D364" s="109"/>
      <c r="E364" s="109"/>
      <c r="F364" s="109"/>
      <c r="G364" s="109"/>
      <c r="H364" s="109"/>
      <c r="I364" s="109"/>
      <c r="J364" s="109"/>
      <c r="K364" s="109"/>
      <c r="L364" s="109"/>
      <c r="M364" s="109"/>
      <c r="N364" s="109"/>
      <c r="O364" s="109"/>
      <c r="P364" s="109"/>
      <c r="Q364" s="109"/>
      <c r="R364" s="109"/>
      <c r="S364" s="109"/>
      <c r="T364" s="109"/>
      <c r="U364" s="109"/>
      <c r="V364" s="109"/>
      <c r="W364" s="109"/>
      <c r="X364" s="109"/>
      <c r="Y364" s="109"/>
      <c r="Z364" s="109"/>
    </row>
    <row r="365" ht="29.25" customHeight="1">
      <c r="A365" s="109"/>
      <c r="B365" s="109"/>
      <c r="C365" s="109"/>
      <c r="D365" s="109"/>
      <c r="E365" s="109"/>
      <c r="F365" s="109"/>
      <c r="G365" s="109"/>
      <c r="H365" s="109"/>
      <c r="I365" s="109"/>
      <c r="J365" s="109"/>
      <c r="K365" s="109"/>
      <c r="L365" s="109"/>
      <c r="M365" s="109"/>
      <c r="N365" s="109"/>
      <c r="O365" s="109"/>
      <c r="P365" s="109"/>
      <c r="Q365" s="109"/>
      <c r="R365" s="109"/>
      <c r="S365" s="109"/>
      <c r="T365" s="109"/>
      <c r="U365" s="109"/>
      <c r="V365" s="109"/>
      <c r="W365" s="109"/>
      <c r="X365" s="109"/>
      <c r="Y365" s="109"/>
      <c r="Z365" s="109"/>
    </row>
    <row r="366" ht="29.25" customHeight="1">
      <c r="A366" s="109"/>
      <c r="B366" s="109"/>
      <c r="C366" s="109"/>
      <c r="D366" s="109"/>
      <c r="E366" s="109"/>
      <c r="F366" s="109"/>
      <c r="G366" s="109"/>
      <c r="H366" s="109"/>
      <c r="I366" s="109"/>
      <c r="J366" s="109"/>
      <c r="K366" s="109"/>
      <c r="L366" s="109"/>
      <c r="M366" s="109"/>
      <c r="N366" s="109"/>
      <c r="O366" s="109"/>
      <c r="P366" s="109"/>
      <c r="Q366" s="109"/>
      <c r="R366" s="109"/>
      <c r="S366" s="109"/>
      <c r="T366" s="109"/>
      <c r="U366" s="109"/>
      <c r="V366" s="109"/>
      <c r="W366" s="109"/>
      <c r="X366" s="109"/>
      <c r="Y366" s="109"/>
      <c r="Z366" s="109"/>
    </row>
    <row r="367" ht="29.25" customHeight="1">
      <c r="A367" s="109"/>
      <c r="B367" s="109"/>
      <c r="C367" s="109"/>
      <c r="D367" s="109"/>
      <c r="E367" s="109"/>
      <c r="F367" s="109"/>
      <c r="G367" s="109"/>
      <c r="H367" s="109"/>
      <c r="I367" s="109"/>
      <c r="J367" s="109"/>
      <c r="K367" s="109"/>
      <c r="L367" s="109"/>
      <c r="M367" s="109"/>
      <c r="N367" s="109"/>
      <c r="O367" s="109"/>
      <c r="P367" s="109"/>
      <c r="Q367" s="109"/>
      <c r="R367" s="109"/>
      <c r="S367" s="109"/>
      <c r="T367" s="109"/>
      <c r="U367" s="109"/>
      <c r="V367" s="109"/>
      <c r="W367" s="109"/>
      <c r="X367" s="109"/>
      <c r="Y367" s="109"/>
      <c r="Z367" s="109"/>
    </row>
    <row r="368" ht="29.25" customHeight="1">
      <c r="A368" s="109"/>
      <c r="B368" s="109"/>
      <c r="C368" s="109"/>
      <c r="D368" s="109"/>
      <c r="E368" s="109"/>
      <c r="F368" s="109"/>
      <c r="G368" s="109"/>
      <c r="H368" s="109"/>
      <c r="I368" s="109"/>
      <c r="J368" s="109"/>
      <c r="K368" s="109"/>
      <c r="L368" s="109"/>
      <c r="M368" s="109"/>
      <c r="N368" s="109"/>
      <c r="O368" s="109"/>
      <c r="P368" s="109"/>
      <c r="Q368" s="109"/>
      <c r="R368" s="109"/>
      <c r="S368" s="109"/>
      <c r="T368" s="109"/>
      <c r="U368" s="109"/>
      <c r="V368" s="109"/>
      <c r="W368" s="109"/>
      <c r="X368" s="109"/>
      <c r="Y368" s="109"/>
      <c r="Z368" s="109"/>
    </row>
    <row r="369" ht="29.25" customHeight="1">
      <c r="A369" s="109"/>
      <c r="B369" s="109"/>
      <c r="C369" s="109"/>
      <c r="D369" s="109"/>
      <c r="E369" s="109"/>
      <c r="F369" s="109"/>
      <c r="G369" s="109"/>
      <c r="H369" s="109"/>
      <c r="I369" s="109"/>
      <c r="J369" s="109"/>
      <c r="K369" s="109"/>
      <c r="L369" s="109"/>
      <c r="M369" s="109"/>
      <c r="N369" s="109"/>
      <c r="O369" s="109"/>
      <c r="P369" s="109"/>
      <c r="Q369" s="109"/>
      <c r="R369" s="109"/>
      <c r="S369" s="109"/>
      <c r="T369" s="109"/>
      <c r="U369" s="109"/>
      <c r="V369" s="109"/>
      <c r="W369" s="109"/>
      <c r="X369" s="109"/>
      <c r="Y369" s="109"/>
      <c r="Z369" s="109"/>
    </row>
    <row r="370" ht="29.25" customHeight="1">
      <c r="A370" s="109"/>
      <c r="B370" s="109"/>
      <c r="C370" s="109"/>
      <c r="D370" s="109"/>
      <c r="E370" s="109"/>
      <c r="F370" s="109"/>
      <c r="G370" s="109"/>
      <c r="H370" s="109"/>
      <c r="I370" s="109"/>
      <c r="J370" s="109"/>
      <c r="K370" s="109"/>
      <c r="L370" s="109"/>
      <c r="M370" s="109"/>
      <c r="N370" s="109"/>
      <c r="O370" s="109"/>
      <c r="P370" s="109"/>
      <c r="Q370" s="109"/>
      <c r="R370" s="109"/>
      <c r="S370" s="109"/>
      <c r="T370" s="109"/>
      <c r="U370" s="109"/>
      <c r="V370" s="109"/>
      <c r="W370" s="109"/>
      <c r="X370" s="109"/>
      <c r="Y370" s="109"/>
      <c r="Z370" s="109"/>
    </row>
    <row r="371" ht="29.25" customHeight="1">
      <c r="A371" s="109"/>
      <c r="B371" s="109"/>
      <c r="C371" s="109"/>
      <c r="D371" s="109"/>
      <c r="E371" s="109"/>
      <c r="F371" s="109"/>
      <c r="G371" s="109"/>
      <c r="H371" s="109"/>
      <c r="I371" s="109"/>
      <c r="J371" s="109"/>
      <c r="K371" s="109"/>
      <c r="L371" s="109"/>
      <c r="M371" s="109"/>
      <c r="N371" s="109"/>
      <c r="O371" s="109"/>
      <c r="P371" s="109"/>
      <c r="Q371" s="109"/>
      <c r="R371" s="109"/>
      <c r="S371" s="109"/>
      <c r="T371" s="109"/>
      <c r="U371" s="109"/>
      <c r="V371" s="109"/>
      <c r="W371" s="109"/>
      <c r="X371" s="109"/>
      <c r="Y371" s="109"/>
      <c r="Z371" s="109"/>
    </row>
    <row r="372" ht="29.25" customHeight="1">
      <c r="A372" s="109"/>
      <c r="B372" s="109"/>
      <c r="C372" s="109"/>
      <c r="D372" s="109"/>
      <c r="E372" s="109"/>
      <c r="F372" s="109"/>
      <c r="G372" s="109"/>
      <c r="H372" s="109"/>
      <c r="I372" s="109"/>
      <c r="J372" s="109"/>
      <c r="K372" s="109"/>
      <c r="L372" s="109"/>
      <c r="M372" s="109"/>
      <c r="N372" s="109"/>
      <c r="O372" s="109"/>
      <c r="P372" s="109"/>
      <c r="Q372" s="109"/>
      <c r="R372" s="109"/>
      <c r="S372" s="109"/>
      <c r="T372" s="109"/>
      <c r="U372" s="109"/>
      <c r="V372" s="109"/>
      <c r="W372" s="109"/>
      <c r="X372" s="109"/>
      <c r="Y372" s="109"/>
      <c r="Z372" s="109"/>
    </row>
    <row r="373" ht="29.25" customHeight="1">
      <c r="A373" s="109"/>
      <c r="B373" s="109"/>
      <c r="C373" s="109"/>
      <c r="D373" s="109"/>
      <c r="E373" s="109"/>
      <c r="F373" s="109"/>
      <c r="G373" s="109"/>
      <c r="H373" s="109"/>
      <c r="I373" s="109"/>
      <c r="J373" s="109"/>
      <c r="K373" s="109"/>
      <c r="L373" s="109"/>
      <c r="M373" s="109"/>
      <c r="N373" s="109"/>
      <c r="O373" s="109"/>
      <c r="P373" s="109"/>
      <c r="Q373" s="109"/>
      <c r="R373" s="109"/>
      <c r="S373" s="109"/>
      <c r="T373" s="109"/>
      <c r="U373" s="109"/>
      <c r="V373" s="109"/>
      <c r="W373" s="109"/>
      <c r="X373" s="109"/>
      <c r="Y373" s="109"/>
      <c r="Z373" s="109"/>
    </row>
    <row r="374" ht="29.25" customHeight="1">
      <c r="A374" s="109"/>
      <c r="B374" s="109"/>
      <c r="C374" s="109"/>
      <c r="D374" s="109"/>
      <c r="E374" s="109"/>
      <c r="F374" s="109"/>
      <c r="G374" s="109"/>
      <c r="H374" s="109"/>
      <c r="I374" s="109"/>
      <c r="J374" s="109"/>
      <c r="K374" s="109"/>
      <c r="L374" s="109"/>
      <c r="M374" s="109"/>
      <c r="N374" s="109"/>
      <c r="O374" s="109"/>
      <c r="P374" s="109"/>
      <c r="Q374" s="109"/>
      <c r="R374" s="109"/>
      <c r="S374" s="109"/>
      <c r="T374" s="109"/>
      <c r="U374" s="109"/>
      <c r="V374" s="109"/>
      <c r="W374" s="109"/>
      <c r="X374" s="109"/>
      <c r="Y374" s="109"/>
      <c r="Z374" s="109"/>
    </row>
    <row r="375" ht="29.25" customHeight="1">
      <c r="A375" s="109"/>
      <c r="B375" s="109"/>
      <c r="C375" s="109"/>
      <c r="D375" s="109"/>
      <c r="E375" s="109"/>
      <c r="F375" s="109"/>
      <c r="G375" s="109"/>
      <c r="H375" s="109"/>
      <c r="I375" s="109"/>
      <c r="J375" s="109"/>
      <c r="K375" s="109"/>
      <c r="L375" s="109"/>
      <c r="M375" s="109"/>
      <c r="N375" s="109"/>
      <c r="O375" s="109"/>
      <c r="P375" s="109"/>
      <c r="Q375" s="109"/>
      <c r="R375" s="109"/>
      <c r="S375" s="109"/>
      <c r="T375" s="109"/>
      <c r="U375" s="109"/>
      <c r="V375" s="109"/>
      <c r="W375" s="109"/>
      <c r="X375" s="109"/>
      <c r="Y375" s="109"/>
      <c r="Z375" s="109"/>
    </row>
    <row r="376" ht="29.25" customHeight="1">
      <c r="A376" s="109"/>
      <c r="B376" s="109"/>
      <c r="C376" s="109"/>
      <c r="D376" s="109"/>
      <c r="E376" s="109"/>
      <c r="F376" s="109"/>
      <c r="G376" s="109"/>
      <c r="H376" s="109"/>
      <c r="I376" s="109"/>
      <c r="J376" s="109"/>
      <c r="K376" s="109"/>
      <c r="L376" s="109"/>
      <c r="M376" s="109"/>
      <c r="N376" s="109"/>
      <c r="O376" s="109"/>
      <c r="P376" s="109"/>
      <c r="Q376" s="109"/>
      <c r="R376" s="109"/>
      <c r="S376" s="109"/>
      <c r="T376" s="109"/>
      <c r="U376" s="109"/>
      <c r="V376" s="109"/>
      <c r="W376" s="109"/>
      <c r="X376" s="109"/>
      <c r="Y376" s="109"/>
      <c r="Z376" s="109"/>
    </row>
    <row r="377" ht="29.25" customHeight="1">
      <c r="A377" s="109"/>
      <c r="B377" s="109"/>
      <c r="C377" s="109"/>
      <c r="D377" s="109"/>
      <c r="E377" s="109"/>
      <c r="F377" s="109"/>
      <c r="G377" s="109"/>
      <c r="H377" s="109"/>
      <c r="I377" s="109"/>
      <c r="J377" s="109"/>
      <c r="K377" s="109"/>
      <c r="L377" s="109"/>
      <c r="M377" s="109"/>
      <c r="N377" s="109"/>
      <c r="O377" s="109"/>
      <c r="P377" s="109"/>
      <c r="Q377" s="109"/>
      <c r="R377" s="109"/>
      <c r="S377" s="109"/>
      <c r="T377" s="109"/>
      <c r="U377" s="109"/>
      <c r="V377" s="109"/>
      <c r="W377" s="109"/>
      <c r="X377" s="109"/>
      <c r="Y377" s="109"/>
      <c r="Z377" s="109"/>
    </row>
    <row r="378" ht="29.25" customHeight="1">
      <c r="A378" s="109"/>
      <c r="B378" s="109"/>
      <c r="C378" s="109"/>
      <c r="D378" s="109"/>
      <c r="E378" s="109"/>
      <c r="F378" s="109"/>
      <c r="G378" s="109"/>
      <c r="H378" s="109"/>
      <c r="I378" s="109"/>
      <c r="J378" s="109"/>
      <c r="K378" s="109"/>
      <c r="L378" s="109"/>
      <c r="M378" s="109"/>
      <c r="N378" s="109"/>
      <c r="O378" s="109"/>
      <c r="P378" s="109"/>
      <c r="Q378" s="109"/>
      <c r="R378" s="109"/>
      <c r="S378" s="109"/>
      <c r="T378" s="109"/>
      <c r="U378" s="109"/>
      <c r="V378" s="109"/>
      <c r="W378" s="109"/>
      <c r="X378" s="109"/>
      <c r="Y378" s="109"/>
      <c r="Z378" s="109"/>
    </row>
    <row r="379" ht="29.25" customHeight="1">
      <c r="A379" s="109"/>
      <c r="B379" s="109"/>
      <c r="C379" s="109"/>
      <c r="D379" s="109"/>
      <c r="E379" s="109"/>
      <c r="F379" s="109"/>
      <c r="G379" s="109"/>
      <c r="H379" s="109"/>
      <c r="I379" s="109"/>
      <c r="J379" s="109"/>
      <c r="K379" s="109"/>
      <c r="L379" s="109"/>
      <c r="M379" s="109"/>
      <c r="N379" s="109"/>
      <c r="O379" s="109"/>
      <c r="P379" s="109"/>
      <c r="Q379" s="109"/>
      <c r="R379" s="109"/>
      <c r="S379" s="109"/>
      <c r="T379" s="109"/>
      <c r="U379" s="109"/>
      <c r="V379" s="109"/>
      <c r="W379" s="109"/>
      <c r="X379" s="109"/>
      <c r="Y379" s="109"/>
      <c r="Z379" s="109"/>
    </row>
    <row r="380" ht="29.25" customHeight="1">
      <c r="A380" s="109"/>
      <c r="B380" s="109"/>
      <c r="C380" s="109"/>
      <c r="D380" s="109"/>
      <c r="E380" s="109"/>
      <c r="F380" s="109"/>
      <c r="G380" s="109"/>
      <c r="H380" s="109"/>
      <c r="I380" s="109"/>
      <c r="J380" s="109"/>
      <c r="K380" s="109"/>
      <c r="L380" s="109"/>
      <c r="M380" s="109"/>
      <c r="N380" s="109"/>
      <c r="O380" s="109"/>
      <c r="P380" s="109"/>
      <c r="Q380" s="109"/>
      <c r="R380" s="109"/>
      <c r="S380" s="109"/>
      <c r="T380" s="109"/>
      <c r="U380" s="109"/>
      <c r="V380" s="109"/>
      <c r="W380" s="109"/>
      <c r="X380" s="109"/>
      <c r="Y380" s="109"/>
      <c r="Z380" s="109"/>
    </row>
    <row r="381" ht="29.25" customHeight="1">
      <c r="A381" s="109"/>
      <c r="B381" s="109"/>
      <c r="C381" s="109"/>
      <c r="D381" s="109"/>
      <c r="E381" s="109"/>
      <c r="F381" s="109"/>
      <c r="G381" s="109"/>
      <c r="H381" s="109"/>
      <c r="I381" s="109"/>
      <c r="J381" s="109"/>
      <c r="K381" s="109"/>
      <c r="L381" s="109"/>
      <c r="M381" s="109"/>
      <c r="N381" s="109"/>
      <c r="O381" s="109"/>
      <c r="P381" s="109"/>
      <c r="Q381" s="109"/>
      <c r="R381" s="109"/>
      <c r="S381" s="109"/>
      <c r="T381" s="109"/>
      <c r="U381" s="109"/>
      <c r="V381" s="109"/>
      <c r="W381" s="109"/>
      <c r="X381" s="109"/>
      <c r="Y381" s="109"/>
      <c r="Z381" s="109"/>
    </row>
    <row r="382" ht="29.25" customHeight="1">
      <c r="A382" s="109"/>
      <c r="B382" s="109"/>
      <c r="C382" s="109"/>
      <c r="D382" s="109"/>
      <c r="E382" s="109"/>
      <c r="F382" s="109"/>
      <c r="G382" s="109"/>
      <c r="H382" s="109"/>
      <c r="I382" s="109"/>
      <c r="J382" s="109"/>
      <c r="K382" s="109"/>
      <c r="L382" s="109"/>
      <c r="M382" s="109"/>
      <c r="N382" s="109"/>
      <c r="O382" s="109"/>
      <c r="P382" s="109"/>
      <c r="Q382" s="109"/>
      <c r="R382" s="109"/>
      <c r="S382" s="109"/>
      <c r="T382" s="109"/>
      <c r="U382" s="109"/>
      <c r="V382" s="109"/>
      <c r="W382" s="109"/>
      <c r="X382" s="109"/>
      <c r="Y382" s="109"/>
      <c r="Z382" s="109"/>
    </row>
    <row r="383" ht="29.25" customHeight="1">
      <c r="A383" s="109"/>
      <c r="B383" s="109"/>
      <c r="C383" s="109"/>
      <c r="D383" s="109"/>
      <c r="E383" s="109"/>
      <c r="F383" s="109"/>
      <c r="G383" s="109"/>
      <c r="H383" s="109"/>
      <c r="I383" s="109"/>
      <c r="J383" s="109"/>
      <c r="K383" s="109"/>
      <c r="L383" s="109"/>
      <c r="M383" s="109"/>
      <c r="N383" s="109"/>
      <c r="O383" s="109"/>
      <c r="P383" s="109"/>
      <c r="Q383" s="109"/>
      <c r="R383" s="109"/>
      <c r="S383" s="109"/>
      <c r="T383" s="109"/>
      <c r="U383" s="109"/>
      <c r="V383" s="109"/>
      <c r="W383" s="109"/>
      <c r="X383" s="109"/>
      <c r="Y383" s="109"/>
      <c r="Z383" s="109"/>
    </row>
    <row r="384" ht="29.25" customHeight="1">
      <c r="A384" s="109"/>
      <c r="B384" s="109"/>
      <c r="C384" s="109"/>
      <c r="D384" s="109"/>
      <c r="E384" s="109"/>
      <c r="F384" s="109"/>
      <c r="G384" s="109"/>
      <c r="H384" s="109"/>
      <c r="I384" s="109"/>
      <c r="J384" s="109"/>
      <c r="K384" s="109"/>
      <c r="L384" s="109"/>
      <c r="M384" s="109"/>
      <c r="N384" s="109"/>
      <c r="O384" s="109"/>
      <c r="P384" s="109"/>
      <c r="Q384" s="109"/>
      <c r="R384" s="109"/>
      <c r="S384" s="109"/>
      <c r="T384" s="109"/>
      <c r="U384" s="109"/>
      <c r="V384" s="109"/>
      <c r="W384" s="109"/>
      <c r="X384" s="109"/>
      <c r="Y384" s="109"/>
      <c r="Z384" s="109"/>
    </row>
    <row r="385" ht="29.25" customHeight="1">
      <c r="A385" s="109"/>
      <c r="B385" s="109"/>
      <c r="C385" s="109"/>
      <c r="D385" s="109"/>
      <c r="E385" s="109"/>
      <c r="F385" s="109"/>
      <c r="G385" s="109"/>
      <c r="H385" s="109"/>
      <c r="I385" s="109"/>
      <c r="J385" s="109"/>
      <c r="K385" s="109"/>
      <c r="L385" s="109"/>
      <c r="M385" s="109"/>
      <c r="N385" s="109"/>
      <c r="O385" s="109"/>
      <c r="P385" s="109"/>
      <c r="Q385" s="109"/>
      <c r="R385" s="109"/>
      <c r="S385" s="109"/>
      <c r="T385" s="109"/>
      <c r="U385" s="109"/>
      <c r="V385" s="109"/>
      <c r="W385" s="109"/>
      <c r="X385" s="109"/>
      <c r="Y385" s="109"/>
      <c r="Z385" s="109"/>
    </row>
    <row r="386" ht="29.25" customHeight="1">
      <c r="A386" s="109"/>
      <c r="B386" s="109"/>
      <c r="C386" s="109"/>
      <c r="D386" s="109"/>
      <c r="E386" s="109"/>
      <c r="F386" s="109"/>
      <c r="G386" s="109"/>
      <c r="H386" s="109"/>
      <c r="I386" s="109"/>
      <c r="J386" s="109"/>
      <c r="K386" s="109"/>
      <c r="L386" s="109"/>
      <c r="M386" s="109"/>
      <c r="N386" s="109"/>
      <c r="O386" s="109"/>
      <c r="P386" s="109"/>
      <c r="Q386" s="109"/>
      <c r="R386" s="109"/>
      <c r="S386" s="109"/>
      <c r="T386" s="109"/>
      <c r="U386" s="109"/>
      <c r="V386" s="109"/>
      <c r="W386" s="109"/>
      <c r="X386" s="109"/>
      <c r="Y386" s="109"/>
      <c r="Z386" s="109"/>
    </row>
    <row r="387" ht="29.25" customHeight="1">
      <c r="A387" s="109"/>
      <c r="B387" s="109"/>
      <c r="C387" s="109"/>
      <c r="D387" s="109"/>
      <c r="E387" s="109"/>
      <c r="F387" s="109"/>
      <c r="G387" s="109"/>
      <c r="H387" s="109"/>
      <c r="I387" s="109"/>
      <c r="J387" s="109"/>
      <c r="K387" s="109"/>
      <c r="L387" s="109"/>
      <c r="M387" s="109"/>
      <c r="N387" s="109"/>
      <c r="O387" s="109"/>
      <c r="P387" s="109"/>
      <c r="Q387" s="109"/>
      <c r="R387" s="109"/>
      <c r="S387" s="109"/>
      <c r="T387" s="109"/>
      <c r="U387" s="109"/>
      <c r="V387" s="109"/>
      <c r="W387" s="109"/>
      <c r="X387" s="109"/>
      <c r="Y387" s="109"/>
      <c r="Z387" s="109"/>
    </row>
    <row r="388" ht="29.25" customHeight="1">
      <c r="A388" s="109"/>
      <c r="B388" s="109"/>
      <c r="C388" s="109"/>
      <c r="D388" s="109"/>
      <c r="E388" s="109"/>
      <c r="F388" s="109"/>
      <c r="G388" s="109"/>
      <c r="H388" s="109"/>
      <c r="I388" s="109"/>
      <c r="J388" s="109"/>
      <c r="K388" s="109"/>
      <c r="L388" s="109"/>
      <c r="M388" s="109"/>
      <c r="N388" s="109"/>
      <c r="O388" s="109"/>
      <c r="P388" s="109"/>
      <c r="Q388" s="109"/>
      <c r="R388" s="109"/>
      <c r="S388" s="109"/>
      <c r="T388" s="109"/>
      <c r="U388" s="109"/>
      <c r="V388" s="109"/>
      <c r="W388" s="109"/>
      <c r="X388" s="109"/>
      <c r="Y388" s="109"/>
      <c r="Z388" s="109"/>
    </row>
    <row r="389" ht="29.25" customHeight="1">
      <c r="A389" s="109"/>
      <c r="B389" s="109"/>
      <c r="C389" s="109"/>
      <c r="D389" s="109"/>
      <c r="E389" s="109"/>
      <c r="F389" s="109"/>
      <c r="G389" s="109"/>
      <c r="H389" s="109"/>
      <c r="I389" s="109"/>
      <c r="J389" s="109"/>
      <c r="K389" s="109"/>
      <c r="L389" s="109"/>
      <c r="M389" s="109"/>
      <c r="N389" s="109"/>
      <c r="O389" s="109"/>
      <c r="P389" s="109"/>
      <c r="Q389" s="109"/>
      <c r="R389" s="109"/>
      <c r="S389" s="109"/>
      <c r="T389" s="109"/>
      <c r="U389" s="109"/>
      <c r="V389" s="109"/>
      <c r="W389" s="109"/>
      <c r="X389" s="109"/>
      <c r="Y389" s="109"/>
      <c r="Z389" s="109"/>
    </row>
    <row r="390" ht="29.25" customHeight="1">
      <c r="A390" s="109"/>
      <c r="B390" s="109"/>
      <c r="C390" s="109"/>
      <c r="D390" s="109"/>
      <c r="E390" s="109"/>
      <c r="F390" s="109"/>
      <c r="G390" s="109"/>
      <c r="H390" s="109"/>
      <c r="I390" s="109"/>
      <c r="J390" s="109"/>
      <c r="K390" s="109"/>
      <c r="L390" s="109"/>
      <c r="M390" s="109"/>
      <c r="N390" s="109"/>
      <c r="O390" s="109"/>
      <c r="P390" s="109"/>
      <c r="Q390" s="109"/>
      <c r="R390" s="109"/>
      <c r="S390" s="109"/>
      <c r="T390" s="109"/>
      <c r="U390" s="109"/>
      <c r="V390" s="109"/>
      <c r="W390" s="109"/>
      <c r="X390" s="109"/>
      <c r="Y390" s="109"/>
      <c r="Z390" s="109"/>
    </row>
    <row r="391" ht="29.25" customHeight="1">
      <c r="A391" s="109"/>
      <c r="B391" s="109"/>
      <c r="C391" s="109"/>
      <c r="D391" s="109"/>
      <c r="E391" s="109"/>
      <c r="F391" s="109"/>
      <c r="G391" s="109"/>
      <c r="H391" s="109"/>
      <c r="I391" s="109"/>
      <c r="J391" s="109"/>
      <c r="K391" s="109"/>
      <c r="L391" s="109"/>
      <c r="M391" s="109"/>
      <c r="N391" s="109"/>
      <c r="O391" s="109"/>
      <c r="P391" s="109"/>
      <c r="Q391" s="109"/>
      <c r="R391" s="109"/>
      <c r="S391" s="109"/>
      <c r="T391" s="109"/>
      <c r="U391" s="109"/>
      <c r="V391" s="109"/>
      <c r="W391" s="109"/>
      <c r="X391" s="109"/>
      <c r="Y391" s="109"/>
      <c r="Z391" s="109"/>
    </row>
    <row r="392" ht="29.25" customHeight="1">
      <c r="A392" s="109"/>
      <c r="B392" s="109"/>
      <c r="C392" s="109"/>
      <c r="D392" s="109"/>
      <c r="E392" s="109"/>
      <c r="F392" s="109"/>
      <c r="G392" s="109"/>
      <c r="H392" s="109"/>
      <c r="I392" s="109"/>
      <c r="J392" s="109"/>
      <c r="K392" s="109"/>
      <c r="L392" s="109"/>
      <c r="M392" s="109"/>
      <c r="N392" s="109"/>
      <c r="O392" s="109"/>
      <c r="P392" s="109"/>
      <c r="Q392" s="109"/>
      <c r="R392" s="109"/>
      <c r="S392" s="109"/>
      <c r="T392" s="109"/>
      <c r="U392" s="109"/>
      <c r="V392" s="109"/>
      <c r="W392" s="109"/>
      <c r="X392" s="109"/>
      <c r="Y392" s="109"/>
      <c r="Z392" s="109"/>
    </row>
    <row r="393" ht="29.25" customHeight="1">
      <c r="A393" s="109"/>
      <c r="B393" s="109"/>
      <c r="C393" s="109"/>
      <c r="D393" s="109"/>
      <c r="E393" s="109"/>
      <c r="F393" s="109"/>
      <c r="G393" s="109"/>
      <c r="H393" s="109"/>
      <c r="I393" s="109"/>
      <c r="J393" s="109"/>
      <c r="K393" s="109"/>
      <c r="L393" s="109"/>
      <c r="M393" s="109"/>
      <c r="N393" s="109"/>
      <c r="O393" s="109"/>
      <c r="P393" s="109"/>
      <c r="Q393" s="109"/>
      <c r="R393" s="109"/>
      <c r="S393" s="109"/>
      <c r="T393" s="109"/>
      <c r="U393" s="109"/>
      <c r="V393" s="109"/>
      <c r="W393" s="109"/>
      <c r="X393" s="109"/>
      <c r="Y393" s="109"/>
      <c r="Z393" s="109"/>
    </row>
    <row r="394" ht="29.25" customHeight="1">
      <c r="A394" s="109"/>
      <c r="B394" s="109"/>
      <c r="C394" s="109"/>
      <c r="D394" s="109"/>
      <c r="E394" s="109"/>
      <c r="F394" s="109"/>
      <c r="G394" s="109"/>
      <c r="H394" s="109"/>
      <c r="I394" s="109"/>
      <c r="J394" s="109"/>
      <c r="K394" s="109"/>
      <c r="L394" s="109"/>
      <c r="M394" s="109"/>
      <c r="N394" s="109"/>
      <c r="O394" s="109"/>
      <c r="P394" s="109"/>
      <c r="Q394" s="109"/>
      <c r="R394" s="109"/>
      <c r="S394" s="109"/>
      <c r="T394" s="109"/>
      <c r="U394" s="109"/>
      <c r="V394" s="109"/>
      <c r="W394" s="109"/>
      <c r="X394" s="109"/>
      <c r="Y394" s="109"/>
      <c r="Z394" s="109"/>
    </row>
    <row r="395" ht="29.25" customHeight="1">
      <c r="A395" s="109"/>
      <c r="B395" s="109"/>
      <c r="C395" s="109"/>
      <c r="D395" s="109"/>
      <c r="E395" s="109"/>
      <c r="F395" s="109"/>
      <c r="G395" s="109"/>
      <c r="H395" s="109"/>
      <c r="I395" s="109"/>
      <c r="J395" s="109"/>
      <c r="K395" s="109"/>
      <c r="L395" s="109"/>
      <c r="M395" s="109"/>
      <c r="N395" s="109"/>
      <c r="O395" s="109"/>
      <c r="P395" s="109"/>
      <c r="Q395" s="109"/>
      <c r="R395" s="109"/>
      <c r="S395" s="109"/>
      <c r="T395" s="109"/>
      <c r="U395" s="109"/>
      <c r="V395" s="109"/>
      <c r="W395" s="109"/>
      <c r="X395" s="109"/>
      <c r="Y395" s="109"/>
      <c r="Z395" s="109"/>
    </row>
    <row r="396" ht="29.25" customHeight="1">
      <c r="A396" s="109"/>
      <c r="B396" s="109"/>
      <c r="C396" s="109"/>
      <c r="D396" s="109"/>
      <c r="E396" s="109"/>
      <c r="F396" s="109"/>
      <c r="G396" s="109"/>
      <c r="H396" s="109"/>
      <c r="I396" s="109"/>
      <c r="J396" s="109"/>
      <c r="K396" s="109"/>
      <c r="L396" s="109"/>
      <c r="M396" s="109"/>
      <c r="N396" s="109"/>
      <c r="O396" s="109"/>
      <c r="P396" s="109"/>
      <c r="Q396" s="109"/>
      <c r="R396" s="109"/>
      <c r="S396" s="109"/>
      <c r="T396" s="109"/>
      <c r="U396" s="109"/>
      <c r="V396" s="109"/>
      <c r="W396" s="109"/>
      <c r="X396" s="109"/>
      <c r="Y396" s="109"/>
      <c r="Z396" s="109"/>
    </row>
    <row r="397" ht="29.25" customHeight="1">
      <c r="A397" s="109"/>
      <c r="B397" s="109"/>
      <c r="C397" s="109"/>
      <c r="D397" s="109"/>
      <c r="E397" s="109"/>
      <c r="F397" s="109"/>
      <c r="G397" s="109"/>
      <c r="H397" s="109"/>
      <c r="I397" s="109"/>
      <c r="J397" s="109"/>
      <c r="K397" s="109"/>
      <c r="L397" s="109"/>
      <c r="M397" s="109"/>
      <c r="N397" s="109"/>
      <c r="O397" s="109"/>
      <c r="P397" s="109"/>
      <c r="Q397" s="109"/>
      <c r="R397" s="109"/>
      <c r="S397" s="109"/>
      <c r="T397" s="109"/>
      <c r="U397" s="109"/>
      <c r="V397" s="109"/>
      <c r="W397" s="109"/>
      <c r="X397" s="109"/>
      <c r="Y397" s="109"/>
      <c r="Z397" s="109"/>
    </row>
    <row r="398" ht="29.25" customHeight="1">
      <c r="A398" s="109"/>
      <c r="B398" s="109"/>
      <c r="C398" s="109"/>
      <c r="D398" s="109"/>
      <c r="E398" s="109"/>
      <c r="F398" s="109"/>
      <c r="G398" s="109"/>
      <c r="H398" s="109"/>
      <c r="I398" s="109"/>
      <c r="J398" s="109"/>
      <c r="K398" s="109"/>
      <c r="L398" s="109"/>
      <c r="M398" s="109"/>
      <c r="N398" s="109"/>
      <c r="O398" s="109"/>
      <c r="P398" s="109"/>
      <c r="Q398" s="109"/>
      <c r="R398" s="109"/>
      <c r="S398" s="109"/>
      <c r="T398" s="109"/>
      <c r="U398" s="109"/>
      <c r="V398" s="109"/>
      <c r="W398" s="109"/>
      <c r="X398" s="109"/>
      <c r="Y398" s="109"/>
      <c r="Z398" s="109"/>
    </row>
    <row r="399" ht="29.25" customHeight="1">
      <c r="A399" s="109"/>
      <c r="B399" s="109"/>
      <c r="C399" s="109"/>
      <c r="D399" s="109"/>
      <c r="E399" s="109"/>
      <c r="F399" s="109"/>
      <c r="G399" s="109"/>
      <c r="H399" s="109"/>
      <c r="I399" s="109"/>
      <c r="J399" s="109"/>
      <c r="K399" s="109"/>
      <c r="L399" s="109"/>
      <c r="M399" s="109"/>
      <c r="N399" s="109"/>
      <c r="O399" s="109"/>
      <c r="P399" s="109"/>
      <c r="Q399" s="109"/>
      <c r="R399" s="109"/>
      <c r="S399" s="109"/>
      <c r="T399" s="109"/>
      <c r="U399" s="109"/>
      <c r="V399" s="109"/>
      <c r="W399" s="109"/>
      <c r="X399" s="109"/>
      <c r="Y399" s="109"/>
      <c r="Z399" s="109"/>
    </row>
    <row r="400" ht="29.25" customHeight="1">
      <c r="A400" s="109"/>
      <c r="B400" s="109"/>
      <c r="C400" s="109"/>
      <c r="D400" s="109"/>
      <c r="E400" s="109"/>
      <c r="F400" s="109"/>
      <c r="G400" s="109"/>
      <c r="H400" s="109"/>
      <c r="I400" s="109"/>
      <c r="J400" s="109"/>
      <c r="K400" s="109"/>
      <c r="L400" s="109"/>
      <c r="M400" s="109"/>
      <c r="N400" s="109"/>
      <c r="O400" s="109"/>
      <c r="P400" s="109"/>
      <c r="Q400" s="109"/>
      <c r="R400" s="109"/>
      <c r="S400" s="109"/>
      <c r="T400" s="109"/>
      <c r="U400" s="109"/>
      <c r="V400" s="109"/>
      <c r="W400" s="109"/>
      <c r="X400" s="109"/>
      <c r="Y400" s="109"/>
      <c r="Z400" s="109"/>
    </row>
    <row r="401" ht="29.25" customHeight="1">
      <c r="A401" s="109"/>
      <c r="B401" s="109"/>
      <c r="C401" s="109"/>
      <c r="D401" s="109"/>
      <c r="E401" s="109"/>
      <c r="F401" s="109"/>
      <c r="G401" s="109"/>
      <c r="H401" s="109"/>
      <c r="I401" s="109"/>
      <c r="J401" s="109"/>
      <c r="K401" s="109"/>
      <c r="L401" s="109"/>
      <c r="M401" s="109"/>
      <c r="N401" s="109"/>
      <c r="O401" s="109"/>
      <c r="P401" s="109"/>
      <c r="Q401" s="109"/>
      <c r="R401" s="109"/>
      <c r="S401" s="109"/>
      <c r="T401" s="109"/>
      <c r="U401" s="109"/>
      <c r="V401" s="109"/>
      <c r="W401" s="109"/>
      <c r="X401" s="109"/>
      <c r="Y401" s="109"/>
      <c r="Z401" s="109"/>
    </row>
    <row r="402" ht="29.25" customHeight="1">
      <c r="A402" s="109"/>
      <c r="B402" s="109"/>
      <c r="C402" s="109"/>
      <c r="D402" s="109"/>
      <c r="E402" s="109"/>
      <c r="F402" s="109"/>
      <c r="G402" s="109"/>
      <c r="H402" s="109"/>
      <c r="I402" s="109"/>
      <c r="J402" s="109"/>
      <c r="K402" s="109"/>
      <c r="L402" s="109"/>
      <c r="M402" s="109"/>
      <c r="N402" s="109"/>
      <c r="O402" s="109"/>
      <c r="P402" s="109"/>
      <c r="Q402" s="109"/>
      <c r="R402" s="109"/>
      <c r="S402" s="109"/>
      <c r="T402" s="109"/>
      <c r="U402" s="109"/>
      <c r="V402" s="109"/>
      <c r="W402" s="109"/>
      <c r="X402" s="109"/>
      <c r="Y402" s="109"/>
      <c r="Z402" s="109"/>
    </row>
    <row r="403" ht="29.25" customHeight="1">
      <c r="A403" s="109"/>
      <c r="B403" s="109"/>
      <c r="C403" s="109"/>
      <c r="D403" s="109"/>
      <c r="E403" s="109"/>
      <c r="F403" s="109"/>
      <c r="G403" s="109"/>
      <c r="H403" s="109"/>
      <c r="I403" s="109"/>
      <c r="J403" s="109"/>
      <c r="K403" s="109"/>
      <c r="L403" s="109"/>
      <c r="M403" s="109"/>
      <c r="N403" s="109"/>
      <c r="O403" s="109"/>
      <c r="P403" s="109"/>
      <c r="Q403" s="109"/>
      <c r="R403" s="109"/>
      <c r="S403" s="109"/>
      <c r="T403" s="109"/>
      <c r="U403" s="109"/>
      <c r="V403" s="109"/>
      <c r="W403" s="109"/>
      <c r="X403" s="109"/>
      <c r="Y403" s="109"/>
      <c r="Z403" s="109"/>
    </row>
    <row r="404" ht="29.25" customHeight="1">
      <c r="A404" s="109"/>
      <c r="B404" s="109"/>
      <c r="C404" s="109"/>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c r="Z404" s="109"/>
    </row>
    <row r="405" ht="29.25" customHeight="1">
      <c r="A405" s="109"/>
      <c r="B405" s="109"/>
      <c r="C405" s="109"/>
      <c r="D405" s="109"/>
      <c r="E405" s="109"/>
      <c r="F405" s="109"/>
      <c r="G405" s="109"/>
      <c r="H405" s="109"/>
      <c r="I405" s="109"/>
      <c r="J405" s="109"/>
      <c r="K405" s="109"/>
      <c r="L405" s="109"/>
      <c r="M405" s="109"/>
      <c r="N405" s="109"/>
      <c r="O405" s="109"/>
      <c r="P405" s="109"/>
      <c r="Q405" s="109"/>
      <c r="R405" s="109"/>
      <c r="S405" s="109"/>
      <c r="T405" s="109"/>
      <c r="U405" s="109"/>
      <c r="V405" s="109"/>
      <c r="W405" s="109"/>
      <c r="X405" s="109"/>
      <c r="Y405" s="109"/>
      <c r="Z405" s="109"/>
    </row>
    <row r="406" ht="29.25" customHeight="1">
      <c r="A406" s="109"/>
      <c r="B406" s="109"/>
      <c r="C406" s="109"/>
      <c r="D406" s="109"/>
      <c r="E406" s="109"/>
      <c r="F406" s="109"/>
      <c r="G406" s="109"/>
      <c r="H406" s="109"/>
      <c r="I406" s="109"/>
      <c r="J406" s="109"/>
      <c r="K406" s="109"/>
      <c r="L406" s="109"/>
      <c r="M406" s="109"/>
      <c r="N406" s="109"/>
      <c r="O406" s="109"/>
      <c r="P406" s="109"/>
      <c r="Q406" s="109"/>
      <c r="R406" s="109"/>
      <c r="S406" s="109"/>
      <c r="T406" s="109"/>
      <c r="U406" s="109"/>
      <c r="V406" s="109"/>
      <c r="W406" s="109"/>
      <c r="X406" s="109"/>
      <c r="Y406" s="109"/>
      <c r="Z406" s="109"/>
    </row>
    <row r="407" ht="29.25" customHeight="1">
      <c r="A407" s="109"/>
      <c r="B407" s="109"/>
      <c r="C407" s="109"/>
      <c r="D407" s="109"/>
      <c r="E407" s="109"/>
      <c r="F407" s="109"/>
      <c r="G407" s="109"/>
      <c r="H407" s="109"/>
      <c r="I407" s="109"/>
      <c r="J407" s="109"/>
      <c r="K407" s="109"/>
      <c r="L407" s="109"/>
      <c r="M407" s="109"/>
      <c r="N407" s="109"/>
      <c r="O407" s="109"/>
      <c r="P407" s="109"/>
      <c r="Q407" s="109"/>
      <c r="R407" s="109"/>
      <c r="S407" s="109"/>
      <c r="T407" s="109"/>
      <c r="U407" s="109"/>
      <c r="V407" s="109"/>
      <c r="W407" s="109"/>
      <c r="X407" s="109"/>
      <c r="Y407" s="109"/>
      <c r="Z407" s="109"/>
    </row>
    <row r="408" ht="29.25" customHeight="1">
      <c r="A408" s="109"/>
      <c r="B408" s="109"/>
      <c r="C408" s="109"/>
      <c r="D408" s="109"/>
      <c r="E408" s="109"/>
      <c r="F408" s="109"/>
      <c r="G408" s="109"/>
      <c r="H408" s="109"/>
      <c r="I408" s="109"/>
      <c r="J408" s="109"/>
      <c r="K408" s="109"/>
      <c r="L408" s="109"/>
      <c r="M408" s="109"/>
      <c r="N408" s="109"/>
      <c r="O408" s="109"/>
      <c r="P408" s="109"/>
      <c r="Q408" s="109"/>
      <c r="R408" s="109"/>
      <c r="S408" s="109"/>
      <c r="T408" s="109"/>
      <c r="U408" s="109"/>
      <c r="V408" s="109"/>
      <c r="W408" s="109"/>
      <c r="X408" s="109"/>
      <c r="Y408" s="109"/>
      <c r="Z408" s="109"/>
    </row>
    <row r="409" ht="29.25" customHeight="1">
      <c r="A409" s="109"/>
      <c r="B409" s="109"/>
      <c r="C409" s="109"/>
      <c r="D409" s="109"/>
      <c r="E409" s="109"/>
      <c r="F409" s="109"/>
      <c r="G409" s="109"/>
      <c r="H409" s="109"/>
      <c r="I409" s="109"/>
      <c r="J409" s="109"/>
      <c r="K409" s="109"/>
      <c r="L409" s="109"/>
      <c r="M409" s="109"/>
      <c r="N409" s="109"/>
      <c r="O409" s="109"/>
      <c r="P409" s="109"/>
      <c r="Q409" s="109"/>
      <c r="R409" s="109"/>
      <c r="S409" s="109"/>
      <c r="T409" s="109"/>
      <c r="U409" s="109"/>
      <c r="V409" s="109"/>
      <c r="W409" s="109"/>
      <c r="X409" s="109"/>
      <c r="Y409" s="109"/>
      <c r="Z409" s="109"/>
    </row>
    <row r="410" ht="29.25" customHeight="1">
      <c r="A410" s="109"/>
      <c r="B410" s="109"/>
      <c r="C410" s="109"/>
      <c r="D410" s="109"/>
      <c r="E410" s="109"/>
      <c r="F410" s="109"/>
      <c r="G410" s="109"/>
      <c r="H410" s="109"/>
      <c r="I410" s="109"/>
      <c r="J410" s="109"/>
      <c r="K410" s="109"/>
      <c r="L410" s="109"/>
      <c r="M410" s="109"/>
      <c r="N410" s="109"/>
      <c r="O410" s="109"/>
      <c r="P410" s="109"/>
      <c r="Q410" s="109"/>
      <c r="R410" s="109"/>
      <c r="S410" s="109"/>
      <c r="T410" s="109"/>
      <c r="U410" s="109"/>
      <c r="V410" s="109"/>
      <c r="W410" s="109"/>
      <c r="X410" s="109"/>
      <c r="Y410" s="109"/>
      <c r="Z410" s="109"/>
    </row>
    <row r="411" ht="29.25" customHeight="1">
      <c r="A411" s="109"/>
      <c r="B411" s="109"/>
      <c r="C411" s="109"/>
      <c r="D411" s="109"/>
      <c r="E411" s="109"/>
      <c r="F411" s="109"/>
      <c r="G411" s="109"/>
      <c r="H411" s="109"/>
      <c r="I411" s="109"/>
      <c r="J411" s="109"/>
      <c r="K411" s="109"/>
      <c r="L411" s="109"/>
      <c r="M411" s="109"/>
      <c r="N411" s="109"/>
      <c r="O411" s="109"/>
      <c r="P411" s="109"/>
      <c r="Q411" s="109"/>
      <c r="R411" s="109"/>
      <c r="S411" s="109"/>
      <c r="T411" s="109"/>
      <c r="U411" s="109"/>
      <c r="V411" s="109"/>
      <c r="W411" s="109"/>
      <c r="X411" s="109"/>
      <c r="Y411" s="109"/>
      <c r="Z411" s="109"/>
    </row>
    <row r="412" ht="29.25" customHeight="1">
      <c r="A412" s="109"/>
      <c r="B412" s="109"/>
      <c r="C412" s="109"/>
      <c r="D412" s="109"/>
      <c r="E412" s="109"/>
      <c r="F412" s="109"/>
      <c r="G412" s="109"/>
      <c r="H412" s="109"/>
      <c r="I412" s="109"/>
      <c r="J412" s="109"/>
      <c r="K412" s="109"/>
      <c r="L412" s="109"/>
      <c r="M412" s="109"/>
      <c r="N412" s="109"/>
      <c r="O412" s="109"/>
      <c r="P412" s="109"/>
      <c r="Q412" s="109"/>
      <c r="R412" s="109"/>
      <c r="S412" s="109"/>
      <c r="T412" s="109"/>
      <c r="U412" s="109"/>
      <c r="V412" s="109"/>
      <c r="W412" s="109"/>
      <c r="X412" s="109"/>
      <c r="Y412" s="109"/>
      <c r="Z412" s="109"/>
    </row>
    <row r="413" ht="29.25" customHeight="1">
      <c r="A413" s="109"/>
      <c r="B413" s="109"/>
      <c r="C413" s="109"/>
      <c r="D413" s="109"/>
      <c r="E413" s="109"/>
      <c r="F413" s="109"/>
      <c r="G413" s="109"/>
      <c r="H413" s="109"/>
      <c r="I413" s="109"/>
      <c r="J413" s="109"/>
      <c r="K413" s="109"/>
      <c r="L413" s="109"/>
      <c r="M413" s="109"/>
      <c r="N413" s="109"/>
      <c r="O413" s="109"/>
      <c r="P413" s="109"/>
      <c r="Q413" s="109"/>
      <c r="R413" s="109"/>
      <c r="S413" s="109"/>
      <c r="T413" s="109"/>
      <c r="U413" s="109"/>
      <c r="V413" s="109"/>
      <c r="W413" s="109"/>
      <c r="X413" s="109"/>
      <c r="Y413" s="109"/>
      <c r="Z413" s="109"/>
    </row>
    <row r="414" ht="29.25" customHeight="1">
      <c r="A414" s="109"/>
      <c r="B414" s="109"/>
      <c r="C414" s="109"/>
      <c r="D414" s="109"/>
      <c r="E414" s="109"/>
      <c r="F414" s="109"/>
      <c r="G414" s="109"/>
      <c r="H414" s="109"/>
      <c r="I414" s="109"/>
      <c r="J414" s="109"/>
      <c r="K414" s="109"/>
      <c r="L414" s="109"/>
      <c r="M414" s="109"/>
      <c r="N414" s="109"/>
      <c r="O414" s="109"/>
      <c r="P414" s="109"/>
      <c r="Q414" s="109"/>
      <c r="R414" s="109"/>
      <c r="S414" s="109"/>
      <c r="T414" s="109"/>
      <c r="U414" s="109"/>
      <c r="V414" s="109"/>
      <c r="W414" s="109"/>
      <c r="X414" s="109"/>
      <c r="Y414" s="109"/>
      <c r="Z414" s="109"/>
    </row>
    <row r="415" ht="29.25" customHeight="1">
      <c r="A415" s="109"/>
      <c r="B415" s="109"/>
      <c r="C415" s="109"/>
      <c r="D415" s="109"/>
      <c r="E415" s="109"/>
      <c r="F415" s="109"/>
      <c r="G415" s="109"/>
      <c r="H415" s="109"/>
      <c r="I415" s="109"/>
      <c r="J415" s="109"/>
      <c r="K415" s="109"/>
      <c r="L415" s="109"/>
      <c r="M415" s="109"/>
      <c r="N415" s="109"/>
      <c r="O415" s="109"/>
      <c r="P415" s="109"/>
      <c r="Q415" s="109"/>
      <c r="R415" s="109"/>
      <c r="S415" s="109"/>
      <c r="T415" s="109"/>
      <c r="U415" s="109"/>
      <c r="V415" s="109"/>
      <c r="W415" s="109"/>
      <c r="X415" s="109"/>
      <c r="Y415" s="109"/>
      <c r="Z415" s="109"/>
    </row>
    <row r="416" ht="29.25" customHeight="1">
      <c r="A416" s="109"/>
      <c r="B416" s="109"/>
      <c r="C416" s="109"/>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c r="Z416" s="109"/>
    </row>
    <row r="417" ht="29.25" customHeight="1">
      <c r="A417" s="109"/>
      <c r="B417" s="109"/>
      <c r="C417" s="109"/>
      <c r="D417" s="109"/>
      <c r="E417" s="109"/>
      <c r="F417" s="109"/>
      <c r="G417" s="109"/>
      <c r="H417" s="109"/>
      <c r="I417" s="109"/>
      <c r="J417" s="109"/>
      <c r="K417" s="109"/>
      <c r="L417" s="109"/>
      <c r="M417" s="109"/>
      <c r="N417" s="109"/>
      <c r="O417" s="109"/>
      <c r="P417" s="109"/>
      <c r="Q417" s="109"/>
      <c r="R417" s="109"/>
      <c r="S417" s="109"/>
      <c r="T417" s="109"/>
      <c r="U417" s="109"/>
      <c r="V417" s="109"/>
      <c r="W417" s="109"/>
      <c r="X417" s="109"/>
      <c r="Y417" s="109"/>
      <c r="Z417" s="109"/>
    </row>
    <row r="418" ht="29.25" customHeight="1">
      <c r="A418" s="109"/>
      <c r="B418" s="109"/>
      <c r="C418" s="109"/>
      <c r="D418" s="109"/>
      <c r="E418" s="109"/>
      <c r="F418" s="109"/>
      <c r="G418" s="109"/>
      <c r="H418" s="109"/>
      <c r="I418" s="109"/>
      <c r="J418" s="109"/>
      <c r="K418" s="109"/>
      <c r="L418" s="109"/>
      <c r="M418" s="109"/>
      <c r="N418" s="109"/>
      <c r="O418" s="109"/>
      <c r="P418" s="109"/>
      <c r="Q418" s="109"/>
      <c r="R418" s="109"/>
      <c r="S418" s="109"/>
      <c r="T418" s="109"/>
      <c r="U418" s="109"/>
      <c r="V418" s="109"/>
      <c r="W418" s="109"/>
      <c r="X418" s="109"/>
      <c r="Y418" s="109"/>
      <c r="Z418" s="109"/>
    </row>
    <row r="419" ht="29.25" customHeight="1">
      <c r="A419" s="109"/>
      <c r="B419" s="109"/>
      <c r="C419" s="109"/>
      <c r="D419" s="109"/>
      <c r="E419" s="109"/>
      <c r="F419" s="109"/>
      <c r="G419" s="109"/>
      <c r="H419" s="109"/>
      <c r="I419" s="109"/>
      <c r="J419" s="109"/>
      <c r="K419" s="109"/>
      <c r="L419" s="109"/>
      <c r="M419" s="109"/>
      <c r="N419" s="109"/>
      <c r="O419" s="109"/>
      <c r="P419" s="109"/>
      <c r="Q419" s="109"/>
      <c r="R419" s="109"/>
      <c r="S419" s="109"/>
      <c r="T419" s="109"/>
      <c r="U419" s="109"/>
      <c r="V419" s="109"/>
      <c r="W419" s="109"/>
      <c r="X419" s="109"/>
      <c r="Y419" s="109"/>
      <c r="Z419" s="109"/>
    </row>
    <row r="420" ht="29.25" customHeight="1">
      <c r="A420" s="109"/>
      <c r="B420" s="109"/>
      <c r="C420" s="109"/>
      <c r="D420" s="109"/>
      <c r="E420" s="109"/>
      <c r="F420" s="109"/>
      <c r="G420" s="109"/>
      <c r="H420" s="109"/>
      <c r="I420" s="109"/>
      <c r="J420" s="109"/>
      <c r="K420" s="109"/>
      <c r="L420" s="109"/>
      <c r="M420" s="109"/>
      <c r="N420" s="109"/>
      <c r="O420" s="109"/>
      <c r="P420" s="109"/>
      <c r="Q420" s="109"/>
      <c r="R420" s="109"/>
      <c r="S420" s="109"/>
      <c r="T420" s="109"/>
      <c r="U420" s="109"/>
      <c r="V420" s="109"/>
      <c r="W420" s="109"/>
      <c r="X420" s="109"/>
      <c r="Y420" s="109"/>
      <c r="Z420" s="109"/>
    </row>
    <row r="421" ht="29.25" customHeight="1">
      <c r="A421" s="109"/>
      <c r="B421" s="109"/>
      <c r="C421" s="109"/>
      <c r="D421" s="109"/>
      <c r="E421" s="109"/>
      <c r="F421" s="109"/>
      <c r="G421" s="109"/>
      <c r="H421" s="109"/>
      <c r="I421" s="109"/>
      <c r="J421" s="109"/>
      <c r="K421" s="109"/>
      <c r="L421" s="109"/>
      <c r="M421" s="109"/>
      <c r="N421" s="109"/>
      <c r="O421" s="109"/>
      <c r="P421" s="109"/>
      <c r="Q421" s="109"/>
      <c r="R421" s="109"/>
      <c r="S421" s="109"/>
      <c r="T421" s="109"/>
      <c r="U421" s="109"/>
      <c r="V421" s="109"/>
      <c r="W421" s="109"/>
      <c r="X421" s="109"/>
      <c r="Y421" s="109"/>
      <c r="Z421" s="109"/>
    </row>
    <row r="422" ht="29.25" customHeight="1">
      <c r="A422" s="109"/>
      <c r="B422" s="109"/>
      <c r="C422" s="109"/>
      <c r="D422" s="109"/>
      <c r="E422" s="109"/>
      <c r="F422" s="109"/>
      <c r="G422" s="109"/>
      <c r="H422" s="109"/>
      <c r="I422" s="109"/>
      <c r="J422" s="109"/>
      <c r="K422" s="109"/>
      <c r="L422" s="109"/>
      <c r="M422" s="109"/>
      <c r="N422" s="109"/>
      <c r="O422" s="109"/>
      <c r="P422" s="109"/>
      <c r="Q422" s="109"/>
      <c r="R422" s="109"/>
      <c r="S422" s="109"/>
      <c r="T422" s="109"/>
      <c r="U422" s="109"/>
      <c r="V422" s="109"/>
      <c r="W422" s="109"/>
      <c r="X422" s="109"/>
      <c r="Y422" s="109"/>
      <c r="Z422" s="109"/>
    </row>
    <row r="423" ht="29.25" customHeight="1">
      <c r="A423" s="109"/>
      <c r="B423" s="109"/>
      <c r="C423" s="109"/>
      <c r="D423" s="109"/>
      <c r="E423" s="109"/>
      <c r="F423" s="109"/>
      <c r="G423" s="109"/>
      <c r="H423" s="109"/>
      <c r="I423" s="109"/>
      <c r="J423" s="109"/>
      <c r="K423" s="109"/>
      <c r="L423" s="109"/>
      <c r="M423" s="109"/>
      <c r="N423" s="109"/>
      <c r="O423" s="109"/>
      <c r="P423" s="109"/>
      <c r="Q423" s="109"/>
      <c r="R423" s="109"/>
      <c r="S423" s="109"/>
      <c r="T423" s="109"/>
      <c r="U423" s="109"/>
      <c r="V423" s="109"/>
      <c r="W423" s="109"/>
      <c r="X423" s="109"/>
      <c r="Y423" s="109"/>
      <c r="Z423" s="109"/>
    </row>
    <row r="424" ht="29.25" customHeight="1">
      <c r="A424" s="109"/>
      <c r="B424" s="109"/>
      <c r="C424" s="109"/>
      <c r="D424" s="109"/>
      <c r="E424" s="109"/>
      <c r="F424" s="109"/>
      <c r="G424" s="109"/>
      <c r="H424" s="109"/>
      <c r="I424" s="109"/>
      <c r="J424" s="109"/>
      <c r="K424" s="109"/>
      <c r="L424" s="109"/>
      <c r="M424" s="109"/>
      <c r="N424" s="109"/>
      <c r="O424" s="109"/>
      <c r="P424" s="109"/>
      <c r="Q424" s="109"/>
      <c r="R424" s="109"/>
      <c r="S424" s="109"/>
      <c r="T424" s="109"/>
      <c r="U424" s="109"/>
      <c r="V424" s="109"/>
      <c r="W424" s="109"/>
      <c r="X424" s="109"/>
      <c r="Y424" s="109"/>
      <c r="Z424" s="109"/>
    </row>
    <row r="425" ht="29.25" customHeight="1">
      <c r="A425" s="109"/>
      <c r="B425" s="109"/>
      <c r="C425" s="109"/>
      <c r="D425" s="109"/>
      <c r="E425" s="109"/>
      <c r="F425" s="109"/>
      <c r="G425" s="109"/>
      <c r="H425" s="109"/>
      <c r="I425" s="109"/>
      <c r="J425" s="109"/>
      <c r="K425" s="109"/>
      <c r="L425" s="109"/>
      <c r="M425" s="109"/>
      <c r="N425" s="109"/>
      <c r="O425" s="109"/>
      <c r="P425" s="109"/>
      <c r="Q425" s="109"/>
      <c r="R425" s="109"/>
      <c r="S425" s="109"/>
      <c r="T425" s="109"/>
      <c r="U425" s="109"/>
      <c r="V425" s="109"/>
      <c r="W425" s="109"/>
      <c r="X425" s="109"/>
      <c r="Y425" s="109"/>
      <c r="Z425" s="109"/>
    </row>
    <row r="426" ht="29.25" customHeight="1">
      <c r="A426" s="109"/>
      <c r="B426" s="109"/>
      <c r="C426" s="109"/>
      <c r="D426" s="109"/>
      <c r="E426" s="109"/>
      <c r="F426" s="109"/>
      <c r="G426" s="109"/>
      <c r="H426" s="109"/>
      <c r="I426" s="109"/>
      <c r="J426" s="109"/>
      <c r="K426" s="109"/>
      <c r="L426" s="109"/>
      <c r="M426" s="109"/>
      <c r="N426" s="109"/>
      <c r="O426" s="109"/>
      <c r="P426" s="109"/>
      <c r="Q426" s="109"/>
      <c r="R426" s="109"/>
      <c r="S426" s="109"/>
      <c r="T426" s="109"/>
      <c r="U426" s="109"/>
      <c r="V426" s="109"/>
      <c r="W426" s="109"/>
      <c r="X426" s="109"/>
      <c r="Y426" s="109"/>
      <c r="Z426" s="109"/>
    </row>
    <row r="427" ht="29.25" customHeight="1">
      <c r="A427" s="109"/>
      <c r="B427" s="109"/>
      <c r="C427" s="109"/>
      <c r="D427" s="109"/>
      <c r="E427" s="109"/>
      <c r="F427" s="109"/>
      <c r="G427" s="109"/>
      <c r="H427" s="109"/>
      <c r="I427" s="109"/>
      <c r="J427" s="109"/>
      <c r="K427" s="109"/>
      <c r="L427" s="109"/>
      <c r="M427" s="109"/>
      <c r="N427" s="109"/>
      <c r="O427" s="109"/>
      <c r="P427" s="109"/>
      <c r="Q427" s="109"/>
      <c r="R427" s="109"/>
      <c r="S427" s="109"/>
      <c r="T427" s="109"/>
      <c r="U427" s="109"/>
      <c r="V427" s="109"/>
      <c r="W427" s="109"/>
      <c r="X427" s="109"/>
      <c r="Y427" s="109"/>
      <c r="Z427" s="109"/>
    </row>
    <row r="428" ht="29.25" customHeight="1">
      <c r="A428" s="109"/>
      <c r="B428" s="109"/>
      <c r="C428" s="109"/>
      <c r="D428" s="109"/>
      <c r="E428" s="109"/>
      <c r="F428" s="109"/>
      <c r="G428" s="109"/>
      <c r="H428" s="109"/>
      <c r="I428" s="109"/>
      <c r="J428" s="109"/>
      <c r="K428" s="109"/>
      <c r="L428" s="109"/>
      <c r="M428" s="109"/>
      <c r="N428" s="109"/>
      <c r="O428" s="109"/>
      <c r="P428" s="109"/>
      <c r="Q428" s="109"/>
      <c r="R428" s="109"/>
      <c r="S428" s="109"/>
      <c r="T428" s="109"/>
      <c r="U428" s="109"/>
      <c r="V428" s="109"/>
      <c r="W428" s="109"/>
      <c r="X428" s="109"/>
      <c r="Y428" s="109"/>
      <c r="Z428" s="109"/>
    </row>
    <row r="429" ht="29.25" customHeight="1">
      <c r="A429" s="109"/>
      <c r="B429" s="109"/>
      <c r="C429" s="109"/>
      <c r="D429" s="109"/>
      <c r="E429" s="109"/>
      <c r="F429" s="109"/>
      <c r="G429" s="109"/>
      <c r="H429" s="109"/>
      <c r="I429" s="109"/>
      <c r="J429" s="109"/>
      <c r="K429" s="109"/>
      <c r="L429" s="109"/>
      <c r="M429" s="109"/>
      <c r="N429" s="109"/>
      <c r="O429" s="109"/>
      <c r="P429" s="109"/>
      <c r="Q429" s="109"/>
      <c r="R429" s="109"/>
      <c r="S429" s="109"/>
      <c r="T429" s="109"/>
      <c r="U429" s="109"/>
      <c r="V429" s="109"/>
      <c r="W429" s="109"/>
      <c r="X429" s="109"/>
      <c r="Y429" s="109"/>
      <c r="Z429" s="109"/>
    </row>
    <row r="430" ht="29.25" customHeight="1">
      <c r="A430" s="109"/>
      <c r="B430" s="109"/>
      <c r="C430" s="109"/>
      <c r="D430" s="109"/>
      <c r="E430" s="109"/>
      <c r="F430" s="109"/>
      <c r="G430" s="109"/>
      <c r="H430" s="109"/>
      <c r="I430" s="109"/>
      <c r="J430" s="109"/>
      <c r="K430" s="109"/>
      <c r="L430" s="109"/>
      <c r="M430" s="109"/>
      <c r="N430" s="109"/>
      <c r="O430" s="109"/>
      <c r="P430" s="109"/>
      <c r="Q430" s="109"/>
      <c r="R430" s="109"/>
      <c r="S430" s="109"/>
      <c r="T430" s="109"/>
      <c r="U430" s="109"/>
      <c r="V430" s="109"/>
      <c r="W430" s="109"/>
      <c r="X430" s="109"/>
      <c r="Y430" s="109"/>
      <c r="Z430" s="109"/>
    </row>
    <row r="431" ht="29.25" customHeight="1">
      <c r="A431" s="109"/>
      <c r="B431" s="109"/>
      <c r="C431" s="109"/>
      <c r="D431" s="109"/>
      <c r="E431" s="109"/>
      <c r="F431" s="109"/>
      <c r="G431" s="109"/>
      <c r="H431" s="109"/>
      <c r="I431" s="109"/>
      <c r="J431" s="109"/>
      <c r="K431" s="109"/>
      <c r="L431" s="109"/>
      <c r="M431" s="109"/>
      <c r="N431" s="109"/>
      <c r="O431" s="109"/>
      <c r="P431" s="109"/>
      <c r="Q431" s="109"/>
      <c r="R431" s="109"/>
      <c r="S431" s="109"/>
      <c r="T431" s="109"/>
      <c r="U431" s="109"/>
      <c r="V431" s="109"/>
      <c r="W431" s="109"/>
      <c r="X431" s="109"/>
      <c r="Y431" s="109"/>
      <c r="Z431" s="109"/>
    </row>
    <row r="432" ht="29.25" customHeight="1">
      <c r="A432" s="109"/>
      <c r="B432" s="109"/>
      <c r="C432" s="109"/>
      <c r="D432" s="109"/>
      <c r="E432" s="109"/>
      <c r="F432" s="109"/>
      <c r="G432" s="109"/>
      <c r="H432" s="109"/>
      <c r="I432" s="109"/>
      <c r="J432" s="109"/>
      <c r="K432" s="109"/>
      <c r="L432" s="109"/>
      <c r="M432" s="109"/>
      <c r="N432" s="109"/>
      <c r="O432" s="109"/>
      <c r="P432" s="109"/>
      <c r="Q432" s="109"/>
      <c r="R432" s="109"/>
      <c r="S432" s="109"/>
      <c r="T432" s="109"/>
      <c r="U432" s="109"/>
      <c r="V432" s="109"/>
      <c r="W432" s="109"/>
      <c r="X432" s="109"/>
      <c r="Y432" s="109"/>
      <c r="Z432" s="109"/>
    </row>
    <row r="433" ht="29.25" customHeight="1">
      <c r="A433" s="109"/>
      <c r="B433" s="109"/>
      <c r="C433" s="109"/>
      <c r="D433" s="109"/>
      <c r="E433" s="109"/>
      <c r="F433" s="109"/>
      <c r="G433" s="109"/>
      <c r="H433" s="109"/>
      <c r="I433" s="109"/>
      <c r="J433" s="109"/>
      <c r="K433" s="109"/>
      <c r="L433" s="109"/>
      <c r="M433" s="109"/>
      <c r="N433" s="109"/>
      <c r="O433" s="109"/>
      <c r="P433" s="109"/>
      <c r="Q433" s="109"/>
      <c r="R433" s="109"/>
      <c r="S433" s="109"/>
      <c r="T433" s="109"/>
      <c r="U433" s="109"/>
      <c r="V433" s="109"/>
      <c r="W433" s="109"/>
      <c r="X433" s="109"/>
      <c r="Y433" s="109"/>
      <c r="Z433" s="109"/>
    </row>
    <row r="434" ht="29.25" customHeight="1">
      <c r="A434" s="109"/>
      <c r="B434" s="109"/>
      <c r="C434" s="109"/>
      <c r="D434" s="109"/>
      <c r="E434" s="109"/>
      <c r="F434" s="109"/>
      <c r="G434" s="109"/>
      <c r="H434" s="109"/>
      <c r="I434" s="109"/>
      <c r="J434" s="109"/>
      <c r="K434" s="109"/>
      <c r="L434" s="109"/>
      <c r="M434" s="109"/>
      <c r="N434" s="109"/>
      <c r="O434" s="109"/>
      <c r="P434" s="109"/>
      <c r="Q434" s="109"/>
      <c r="R434" s="109"/>
      <c r="S434" s="109"/>
      <c r="T434" s="109"/>
      <c r="U434" s="109"/>
      <c r="V434" s="109"/>
      <c r="W434" s="109"/>
      <c r="X434" s="109"/>
      <c r="Y434" s="109"/>
      <c r="Z434" s="109"/>
    </row>
    <row r="435" ht="29.25" customHeight="1">
      <c r="A435" s="109"/>
      <c r="B435" s="109"/>
      <c r="C435" s="109"/>
      <c r="D435" s="109"/>
      <c r="E435" s="109"/>
      <c r="F435" s="109"/>
      <c r="G435" s="109"/>
      <c r="H435" s="109"/>
      <c r="I435" s="109"/>
      <c r="J435" s="109"/>
      <c r="K435" s="109"/>
      <c r="L435" s="109"/>
      <c r="M435" s="109"/>
      <c r="N435" s="109"/>
      <c r="O435" s="109"/>
      <c r="P435" s="109"/>
      <c r="Q435" s="109"/>
      <c r="R435" s="109"/>
      <c r="S435" s="109"/>
      <c r="T435" s="109"/>
      <c r="U435" s="109"/>
      <c r="V435" s="109"/>
      <c r="W435" s="109"/>
      <c r="X435" s="109"/>
      <c r="Y435" s="109"/>
      <c r="Z435" s="109"/>
    </row>
    <row r="436" ht="29.25" customHeight="1">
      <c r="A436" s="109"/>
      <c r="B436" s="109"/>
      <c r="C436" s="109"/>
      <c r="D436" s="109"/>
      <c r="E436" s="109"/>
      <c r="F436" s="109"/>
      <c r="G436" s="109"/>
      <c r="H436" s="109"/>
      <c r="I436" s="109"/>
      <c r="J436" s="109"/>
      <c r="K436" s="109"/>
      <c r="L436" s="109"/>
      <c r="M436" s="109"/>
      <c r="N436" s="109"/>
      <c r="O436" s="109"/>
      <c r="P436" s="109"/>
      <c r="Q436" s="109"/>
      <c r="R436" s="109"/>
      <c r="S436" s="109"/>
      <c r="T436" s="109"/>
      <c r="U436" s="109"/>
      <c r="V436" s="109"/>
      <c r="W436" s="109"/>
      <c r="X436" s="109"/>
      <c r="Y436" s="109"/>
      <c r="Z436" s="109"/>
    </row>
    <row r="437" ht="29.25" customHeight="1">
      <c r="A437" s="109"/>
      <c r="B437" s="109"/>
      <c r="C437" s="109"/>
      <c r="D437" s="109"/>
      <c r="E437" s="109"/>
      <c r="F437" s="109"/>
      <c r="G437" s="109"/>
      <c r="H437" s="109"/>
      <c r="I437" s="109"/>
      <c r="J437" s="109"/>
      <c r="K437" s="109"/>
      <c r="L437" s="109"/>
      <c r="M437" s="109"/>
      <c r="N437" s="109"/>
      <c r="O437" s="109"/>
      <c r="P437" s="109"/>
      <c r="Q437" s="109"/>
      <c r="R437" s="109"/>
      <c r="S437" s="109"/>
      <c r="T437" s="109"/>
      <c r="U437" s="109"/>
      <c r="V437" s="109"/>
      <c r="W437" s="109"/>
      <c r="X437" s="109"/>
      <c r="Y437" s="109"/>
      <c r="Z437" s="109"/>
    </row>
    <row r="438" ht="29.25" customHeight="1">
      <c r="A438" s="109"/>
      <c r="B438" s="109"/>
      <c r="C438" s="109"/>
      <c r="D438" s="109"/>
      <c r="E438" s="109"/>
      <c r="F438" s="109"/>
      <c r="G438" s="109"/>
      <c r="H438" s="109"/>
      <c r="I438" s="109"/>
      <c r="J438" s="109"/>
      <c r="K438" s="109"/>
      <c r="L438" s="109"/>
      <c r="M438" s="109"/>
      <c r="N438" s="109"/>
      <c r="O438" s="109"/>
      <c r="P438" s="109"/>
      <c r="Q438" s="109"/>
      <c r="R438" s="109"/>
      <c r="S438" s="109"/>
      <c r="T438" s="109"/>
      <c r="U438" s="109"/>
      <c r="V438" s="109"/>
      <c r="W438" s="109"/>
      <c r="X438" s="109"/>
      <c r="Y438" s="109"/>
      <c r="Z438" s="109"/>
    </row>
    <row r="439" ht="29.25" customHeight="1">
      <c r="A439" s="109"/>
      <c r="B439" s="109"/>
      <c r="C439" s="109"/>
      <c r="D439" s="109"/>
      <c r="E439" s="109"/>
      <c r="F439" s="109"/>
      <c r="G439" s="109"/>
      <c r="H439" s="109"/>
      <c r="I439" s="109"/>
      <c r="J439" s="109"/>
      <c r="K439" s="109"/>
      <c r="L439" s="109"/>
      <c r="M439" s="109"/>
      <c r="N439" s="109"/>
      <c r="O439" s="109"/>
      <c r="P439" s="109"/>
      <c r="Q439" s="109"/>
      <c r="R439" s="109"/>
      <c r="S439" s="109"/>
      <c r="T439" s="109"/>
      <c r="U439" s="109"/>
      <c r="V439" s="109"/>
      <c r="W439" s="109"/>
      <c r="X439" s="109"/>
      <c r="Y439" s="109"/>
      <c r="Z439" s="109"/>
    </row>
    <row r="440" ht="29.25" customHeight="1">
      <c r="A440" s="109"/>
      <c r="B440" s="109"/>
      <c r="C440" s="109"/>
      <c r="D440" s="109"/>
      <c r="E440" s="109"/>
      <c r="F440" s="109"/>
      <c r="G440" s="109"/>
      <c r="H440" s="109"/>
      <c r="I440" s="109"/>
      <c r="J440" s="109"/>
      <c r="K440" s="109"/>
      <c r="L440" s="109"/>
      <c r="M440" s="109"/>
      <c r="N440" s="109"/>
      <c r="O440" s="109"/>
      <c r="P440" s="109"/>
      <c r="Q440" s="109"/>
      <c r="R440" s="109"/>
      <c r="S440" s="109"/>
      <c r="T440" s="109"/>
      <c r="U440" s="109"/>
      <c r="V440" s="109"/>
      <c r="W440" s="109"/>
      <c r="X440" s="109"/>
      <c r="Y440" s="109"/>
      <c r="Z440" s="109"/>
    </row>
    <row r="441" ht="29.25" customHeight="1">
      <c r="A441" s="109"/>
      <c r="B441" s="109"/>
      <c r="C441" s="109"/>
      <c r="D441" s="109"/>
      <c r="E441" s="109"/>
      <c r="F441" s="109"/>
      <c r="G441" s="109"/>
      <c r="H441" s="109"/>
      <c r="I441" s="109"/>
      <c r="J441" s="109"/>
      <c r="K441" s="109"/>
      <c r="L441" s="109"/>
      <c r="M441" s="109"/>
      <c r="N441" s="109"/>
      <c r="O441" s="109"/>
      <c r="P441" s="109"/>
      <c r="Q441" s="109"/>
      <c r="R441" s="109"/>
      <c r="S441" s="109"/>
      <c r="T441" s="109"/>
      <c r="U441" s="109"/>
      <c r="V441" s="109"/>
      <c r="W441" s="109"/>
      <c r="X441" s="109"/>
      <c r="Y441" s="109"/>
      <c r="Z441" s="109"/>
    </row>
    <row r="442" ht="29.25" customHeight="1">
      <c r="A442" s="109"/>
      <c r="B442" s="109"/>
      <c r="C442" s="109"/>
      <c r="D442" s="109"/>
      <c r="E442" s="109"/>
      <c r="F442" s="109"/>
      <c r="G442" s="109"/>
      <c r="H442" s="109"/>
      <c r="I442" s="109"/>
      <c r="J442" s="109"/>
      <c r="K442" s="109"/>
      <c r="L442" s="109"/>
      <c r="M442" s="109"/>
      <c r="N442" s="109"/>
      <c r="O442" s="109"/>
      <c r="P442" s="109"/>
      <c r="Q442" s="109"/>
      <c r="R442" s="109"/>
      <c r="S442" s="109"/>
      <c r="T442" s="109"/>
      <c r="U442" s="109"/>
      <c r="V442" s="109"/>
      <c r="W442" s="109"/>
      <c r="X442" s="109"/>
      <c r="Y442" s="109"/>
      <c r="Z442" s="109"/>
    </row>
    <row r="443" ht="29.25" customHeight="1">
      <c r="A443" s="109"/>
      <c r="B443" s="109"/>
      <c r="C443" s="109"/>
      <c r="D443" s="109"/>
      <c r="E443" s="109"/>
      <c r="F443" s="109"/>
      <c r="G443" s="109"/>
      <c r="H443" s="109"/>
      <c r="I443" s="109"/>
      <c r="J443" s="109"/>
      <c r="K443" s="109"/>
      <c r="L443" s="109"/>
      <c r="M443" s="109"/>
      <c r="N443" s="109"/>
      <c r="O443" s="109"/>
      <c r="P443" s="109"/>
      <c r="Q443" s="109"/>
      <c r="R443" s="109"/>
      <c r="S443" s="109"/>
      <c r="T443" s="109"/>
      <c r="U443" s="109"/>
      <c r="V443" s="109"/>
      <c r="W443" s="109"/>
      <c r="X443" s="109"/>
      <c r="Y443" s="109"/>
      <c r="Z443" s="109"/>
    </row>
    <row r="444" ht="29.25" customHeight="1">
      <c r="A444" s="109"/>
      <c r="B444" s="109"/>
      <c r="C444" s="109"/>
      <c r="D444" s="109"/>
      <c r="E444" s="109"/>
      <c r="F444" s="109"/>
      <c r="G444" s="109"/>
      <c r="H444" s="109"/>
      <c r="I444" s="109"/>
      <c r="J444" s="109"/>
      <c r="K444" s="109"/>
      <c r="L444" s="109"/>
      <c r="M444" s="109"/>
      <c r="N444" s="109"/>
      <c r="O444" s="109"/>
      <c r="P444" s="109"/>
      <c r="Q444" s="109"/>
      <c r="R444" s="109"/>
      <c r="S444" s="109"/>
      <c r="T444" s="109"/>
      <c r="U444" s="109"/>
      <c r="V444" s="109"/>
      <c r="W444" s="109"/>
      <c r="X444" s="109"/>
      <c r="Y444" s="109"/>
      <c r="Z444" s="109"/>
    </row>
    <row r="445" ht="29.25" customHeight="1">
      <c r="A445" s="109"/>
      <c r="B445" s="109"/>
      <c r="C445" s="109"/>
      <c r="D445" s="109"/>
      <c r="E445" s="109"/>
      <c r="F445" s="109"/>
      <c r="G445" s="109"/>
      <c r="H445" s="109"/>
      <c r="I445" s="109"/>
      <c r="J445" s="109"/>
      <c r="K445" s="109"/>
      <c r="L445" s="109"/>
      <c r="M445" s="109"/>
      <c r="N445" s="109"/>
      <c r="O445" s="109"/>
      <c r="P445" s="109"/>
      <c r="Q445" s="109"/>
      <c r="R445" s="109"/>
      <c r="S445" s="109"/>
      <c r="T445" s="109"/>
      <c r="U445" s="109"/>
      <c r="V445" s="109"/>
      <c r="W445" s="109"/>
      <c r="X445" s="109"/>
      <c r="Y445" s="109"/>
      <c r="Z445" s="109"/>
    </row>
    <row r="446" ht="29.25" customHeight="1">
      <c r="A446" s="109"/>
      <c r="B446" s="109"/>
      <c r="C446" s="109"/>
      <c r="D446" s="109"/>
      <c r="E446" s="109"/>
      <c r="F446" s="109"/>
      <c r="G446" s="109"/>
      <c r="H446" s="109"/>
      <c r="I446" s="109"/>
      <c r="J446" s="109"/>
      <c r="K446" s="109"/>
      <c r="L446" s="109"/>
      <c r="M446" s="109"/>
      <c r="N446" s="109"/>
      <c r="O446" s="109"/>
      <c r="P446" s="109"/>
      <c r="Q446" s="109"/>
      <c r="R446" s="109"/>
      <c r="S446" s="109"/>
      <c r="T446" s="109"/>
      <c r="U446" s="109"/>
      <c r="V446" s="109"/>
      <c r="W446" s="109"/>
      <c r="X446" s="109"/>
      <c r="Y446" s="109"/>
      <c r="Z446" s="109"/>
    </row>
    <row r="447" ht="29.25" customHeight="1">
      <c r="A447" s="109"/>
      <c r="B447" s="109"/>
      <c r="C447" s="109"/>
      <c r="D447" s="109"/>
      <c r="E447" s="109"/>
      <c r="F447" s="109"/>
      <c r="G447" s="109"/>
      <c r="H447" s="109"/>
      <c r="I447" s="109"/>
      <c r="J447" s="109"/>
      <c r="K447" s="109"/>
      <c r="L447" s="109"/>
      <c r="M447" s="109"/>
      <c r="N447" s="109"/>
      <c r="O447" s="109"/>
      <c r="P447" s="109"/>
      <c r="Q447" s="109"/>
      <c r="R447" s="109"/>
      <c r="S447" s="109"/>
      <c r="T447" s="109"/>
      <c r="U447" s="109"/>
      <c r="V447" s="109"/>
      <c r="W447" s="109"/>
      <c r="X447" s="109"/>
      <c r="Y447" s="109"/>
      <c r="Z447" s="109"/>
    </row>
    <row r="448" ht="29.25" customHeight="1">
      <c r="A448" s="109"/>
      <c r="B448" s="109"/>
      <c r="C448" s="109"/>
      <c r="D448" s="109"/>
      <c r="E448" s="109"/>
      <c r="F448" s="109"/>
      <c r="G448" s="109"/>
      <c r="H448" s="109"/>
      <c r="I448" s="109"/>
      <c r="J448" s="109"/>
      <c r="K448" s="109"/>
      <c r="L448" s="109"/>
      <c r="M448" s="109"/>
      <c r="N448" s="109"/>
      <c r="O448" s="109"/>
      <c r="P448" s="109"/>
      <c r="Q448" s="109"/>
      <c r="R448" s="109"/>
      <c r="S448" s="109"/>
      <c r="T448" s="109"/>
      <c r="U448" s="109"/>
      <c r="V448" s="109"/>
      <c r="W448" s="109"/>
      <c r="X448" s="109"/>
      <c r="Y448" s="109"/>
      <c r="Z448" s="109"/>
    </row>
    <row r="449" ht="29.25" customHeight="1">
      <c r="A449" s="109"/>
      <c r="B449" s="109"/>
      <c r="C449" s="109"/>
      <c r="D449" s="109"/>
      <c r="E449" s="109"/>
      <c r="F449" s="109"/>
      <c r="G449" s="109"/>
      <c r="H449" s="109"/>
      <c r="I449" s="109"/>
      <c r="J449" s="109"/>
      <c r="K449" s="109"/>
      <c r="L449" s="109"/>
      <c r="M449" s="109"/>
      <c r="N449" s="109"/>
      <c r="O449" s="109"/>
      <c r="P449" s="109"/>
      <c r="Q449" s="109"/>
      <c r="R449" s="109"/>
      <c r="S449" s="109"/>
      <c r="T449" s="109"/>
      <c r="U449" s="109"/>
      <c r="V449" s="109"/>
      <c r="W449" s="109"/>
      <c r="X449" s="109"/>
      <c r="Y449" s="109"/>
      <c r="Z449" s="109"/>
    </row>
    <row r="450" ht="29.25" customHeight="1">
      <c r="A450" s="109"/>
      <c r="B450" s="109"/>
      <c r="C450" s="109"/>
      <c r="D450" s="109"/>
      <c r="E450" s="109"/>
      <c r="F450" s="109"/>
      <c r="G450" s="109"/>
      <c r="H450" s="109"/>
      <c r="I450" s="109"/>
      <c r="J450" s="109"/>
      <c r="K450" s="109"/>
      <c r="L450" s="109"/>
      <c r="M450" s="109"/>
      <c r="N450" s="109"/>
      <c r="O450" s="109"/>
      <c r="P450" s="109"/>
      <c r="Q450" s="109"/>
      <c r="R450" s="109"/>
      <c r="S450" s="109"/>
      <c r="T450" s="109"/>
      <c r="U450" s="109"/>
      <c r="V450" s="109"/>
      <c r="W450" s="109"/>
      <c r="X450" s="109"/>
      <c r="Y450" s="109"/>
      <c r="Z450" s="109"/>
    </row>
    <row r="451" ht="29.25" customHeight="1">
      <c r="A451" s="109"/>
      <c r="B451" s="109"/>
      <c r="C451" s="109"/>
      <c r="D451" s="109"/>
      <c r="E451" s="109"/>
      <c r="F451" s="109"/>
      <c r="G451" s="109"/>
      <c r="H451" s="109"/>
      <c r="I451" s="109"/>
      <c r="J451" s="109"/>
      <c r="K451" s="109"/>
      <c r="L451" s="109"/>
      <c r="M451" s="109"/>
      <c r="N451" s="109"/>
      <c r="O451" s="109"/>
      <c r="P451" s="109"/>
      <c r="Q451" s="109"/>
      <c r="R451" s="109"/>
      <c r="S451" s="109"/>
      <c r="T451" s="109"/>
      <c r="U451" s="109"/>
      <c r="V451" s="109"/>
      <c r="W451" s="109"/>
      <c r="X451" s="109"/>
      <c r="Y451" s="109"/>
      <c r="Z451" s="109"/>
    </row>
    <row r="452" ht="29.25" customHeight="1">
      <c r="A452" s="109"/>
      <c r="B452" s="109"/>
      <c r="C452" s="109"/>
      <c r="D452" s="109"/>
      <c r="E452" s="109"/>
      <c r="F452" s="109"/>
      <c r="G452" s="109"/>
      <c r="H452" s="109"/>
      <c r="I452" s="109"/>
      <c r="J452" s="109"/>
      <c r="K452" s="109"/>
      <c r="L452" s="109"/>
      <c r="M452" s="109"/>
      <c r="N452" s="109"/>
      <c r="O452" s="109"/>
      <c r="P452" s="109"/>
      <c r="Q452" s="109"/>
      <c r="R452" s="109"/>
      <c r="S452" s="109"/>
      <c r="T452" s="109"/>
      <c r="U452" s="109"/>
      <c r="V452" s="109"/>
      <c r="W452" s="109"/>
      <c r="X452" s="109"/>
      <c r="Y452" s="109"/>
      <c r="Z452" s="109"/>
    </row>
    <row r="453" ht="29.25" customHeight="1">
      <c r="A453" s="109"/>
      <c r="B453" s="109"/>
      <c r="C453" s="109"/>
      <c r="D453" s="109"/>
      <c r="E453" s="109"/>
      <c r="F453" s="109"/>
      <c r="G453" s="109"/>
      <c r="H453" s="109"/>
      <c r="I453" s="109"/>
      <c r="J453" s="109"/>
      <c r="K453" s="109"/>
      <c r="L453" s="109"/>
      <c r="M453" s="109"/>
      <c r="N453" s="109"/>
      <c r="O453" s="109"/>
      <c r="P453" s="109"/>
      <c r="Q453" s="109"/>
      <c r="R453" s="109"/>
      <c r="S453" s="109"/>
      <c r="T453" s="109"/>
      <c r="U453" s="109"/>
      <c r="V453" s="109"/>
      <c r="W453" s="109"/>
      <c r="X453" s="109"/>
      <c r="Y453" s="109"/>
      <c r="Z453" s="109"/>
    </row>
    <row r="454" ht="29.25" customHeight="1">
      <c r="A454" s="109"/>
      <c r="B454" s="109"/>
      <c r="C454" s="109"/>
      <c r="D454" s="109"/>
      <c r="E454" s="109"/>
      <c r="F454" s="109"/>
      <c r="G454" s="109"/>
      <c r="H454" s="109"/>
      <c r="I454" s="109"/>
      <c r="J454" s="109"/>
      <c r="K454" s="109"/>
      <c r="L454" s="109"/>
      <c r="M454" s="109"/>
      <c r="N454" s="109"/>
      <c r="O454" s="109"/>
      <c r="P454" s="109"/>
      <c r="Q454" s="109"/>
      <c r="R454" s="109"/>
      <c r="S454" s="109"/>
      <c r="T454" s="109"/>
      <c r="U454" s="109"/>
      <c r="V454" s="109"/>
      <c r="W454" s="109"/>
      <c r="X454" s="109"/>
      <c r="Y454" s="109"/>
      <c r="Z454" s="109"/>
    </row>
    <row r="455" ht="29.25" customHeight="1">
      <c r="A455" s="109"/>
      <c r="B455" s="109"/>
      <c r="C455" s="109"/>
      <c r="D455" s="109"/>
      <c r="E455" s="109"/>
      <c r="F455" s="109"/>
      <c r="G455" s="109"/>
      <c r="H455" s="109"/>
      <c r="I455" s="109"/>
      <c r="J455" s="109"/>
      <c r="K455" s="109"/>
      <c r="L455" s="109"/>
      <c r="M455" s="109"/>
      <c r="N455" s="109"/>
      <c r="O455" s="109"/>
      <c r="P455" s="109"/>
      <c r="Q455" s="109"/>
      <c r="R455" s="109"/>
      <c r="S455" s="109"/>
      <c r="T455" s="109"/>
      <c r="U455" s="109"/>
      <c r="V455" s="109"/>
      <c r="W455" s="109"/>
      <c r="X455" s="109"/>
      <c r="Y455" s="109"/>
      <c r="Z455" s="109"/>
    </row>
    <row r="456" ht="29.25" customHeight="1">
      <c r="A456" s="109"/>
      <c r="B456" s="109"/>
      <c r="C456" s="109"/>
      <c r="D456" s="109"/>
      <c r="E456" s="109"/>
      <c r="F456" s="109"/>
      <c r="G456" s="109"/>
      <c r="H456" s="109"/>
      <c r="I456" s="109"/>
      <c r="J456" s="109"/>
      <c r="K456" s="109"/>
      <c r="L456" s="109"/>
      <c r="M456" s="109"/>
      <c r="N456" s="109"/>
      <c r="O456" s="109"/>
      <c r="P456" s="109"/>
      <c r="Q456" s="109"/>
      <c r="R456" s="109"/>
      <c r="S456" s="109"/>
      <c r="T456" s="109"/>
      <c r="U456" s="109"/>
      <c r="V456" s="109"/>
      <c r="W456" s="109"/>
      <c r="X456" s="109"/>
      <c r="Y456" s="109"/>
      <c r="Z456" s="109"/>
    </row>
    <row r="457" ht="29.25" customHeight="1">
      <c r="A457" s="109"/>
      <c r="B457" s="109"/>
      <c r="C457" s="109"/>
      <c r="D457" s="109"/>
      <c r="E457" s="109"/>
      <c r="F457" s="109"/>
      <c r="G457" s="109"/>
      <c r="H457" s="109"/>
      <c r="I457" s="109"/>
      <c r="J457" s="109"/>
      <c r="K457" s="109"/>
      <c r="L457" s="109"/>
      <c r="M457" s="109"/>
      <c r="N457" s="109"/>
      <c r="O457" s="109"/>
      <c r="P457" s="109"/>
      <c r="Q457" s="109"/>
      <c r="R457" s="109"/>
      <c r="S457" s="109"/>
      <c r="T457" s="109"/>
      <c r="U457" s="109"/>
      <c r="V457" s="109"/>
      <c r="W457" s="109"/>
      <c r="X457" s="109"/>
      <c r="Y457" s="109"/>
      <c r="Z457" s="109"/>
    </row>
    <row r="458" ht="29.25" customHeight="1">
      <c r="A458" s="109"/>
      <c r="B458" s="109"/>
      <c r="C458" s="109"/>
      <c r="D458" s="109"/>
      <c r="E458" s="109"/>
      <c r="F458" s="109"/>
      <c r="G458" s="109"/>
      <c r="H458" s="109"/>
      <c r="I458" s="109"/>
      <c r="J458" s="109"/>
      <c r="K458" s="109"/>
      <c r="L458" s="109"/>
      <c r="M458" s="109"/>
      <c r="N458" s="109"/>
      <c r="O458" s="109"/>
      <c r="P458" s="109"/>
      <c r="Q458" s="109"/>
      <c r="R458" s="109"/>
      <c r="S458" s="109"/>
      <c r="T458" s="109"/>
      <c r="U458" s="109"/>
      <c r="V458" s="109"/>
      <c r="W458" s="109"/>
      <c r="X458" s="109"/>
      <c r="Y458" s="109"/>
      <c r="Z458" s="109"/>
    </row>
    <row r="459" ht="29.25" customHeight="1">
      <c r="A459" s="109"/>
      <c r="B459" s="109"/>
      <c r="C459" s="109"/>
      <c r="D459" s="109"/>
      <c r="E459" s="109"/>
      <c r="F459" s="109"/>
      <c r="G459" s="109"/>
      <c r="H459" s="109"/>
      <c r="I459" s="109"/>
      <c r="J459" s="109"/>
      <c r="K459" s="109"/>
      <c r="L459" s="109"/>
      <c r="M459" s="109"/>
      <c r="N459" s="109"/>
      <c r="O459" s="109"/>
      <c r="P459" s="109"/>
      <c r="Q459" s="109"/>
      <c r="R459" s="109"/>
      <c r="S459" s="109"/>
      <c r="T459" s="109"/>
      <c r="U459" s="109"/>
      <c r="V459" s="109"/>
      <c r="W459" s="109"/>
      <c r="X459" s="109"/>
      <c r="Y459" s="109"/>
      <c r="Z459" s="109"/>
    </row>
    <row r="460" ht="29.25" customHeight="1">
      <c r="A460" s="109"/>
      <c r="B460" s="109"/>
      <c r="C460" s="109"/>
      <c r="D460" s="109"/>
      <c r="E460" s="109"/>
      <c r="F460" s="109"/>
      <c r="G460" s="109"/>
      <c r="H460" s="109"/>
      <c r="I460" s="109"/>
      <c r="J460" s="109"/>
      <c r="K460" s="109"/>
      <c r="L460" s="109"/>
      <c r="M460" s="109"/>
      <c r="N460" s="109"/>
      <c r="O460" s="109"/>
      <c r="P460" s="109"/>
      <c r="Q460" s="109"/>
      <c r="R460" s="109"/>
      <c r="S460" s="109"/>
      <c r="T460" s="109"/>
      <c r="U460" s="109"/>
      <c r="V460" s="109"/>
      <c r="W460" s="109"/>
      <c r="X460" s="109"/>
      <c r="Y460" s="109"/>
      <c r="Z460" s="109"/>
    </row>
    <row r="461" ht="29.25" customHeight="1">
      <c r="A461" s="109"/>
      <c r="B461" s="109"/>
      <c r="C461" s="109"/>
      <c r="D461" s="109"/>
      <c r="E461" s="109"/>
      <c r="F461" s="109"/>
      <c r="G461" s="109"/>
      <c r="H461" s="109"/>
      <c r="I461" s="109"/>
      <c r="J461" s="109"/>
      <c r="K461" s="109"/>
      <c r="L461" s="109"/>
      <c r="M461" s="109"/>
      <c r="N461" s="109"/>
      <c r="O461" s="109"/>
      <c r="P461" s="109"/>
      <c r="Q461" s="109"/>
      <c r="R461" s="109"/>
      <c r="S461" s="109"/>
      <c r="T461" s="109"/>
      <c r="U461" s="109"/>
      <c r="V461" s="109"/>
      <c r="W461" s="109"/>
      <c r="X461" s="109"/>
      <c r="Y461" s="109"/>
      <c r="Z461" s="109"/>
    </row>
    <row r="462" ht="29.25" customHeight="1">
      <c r="A462" s="109"/>
      <c r="B462" s="109"/>
      <c r="C462" s="109"/>
      <c r="D462" s="109"/>
      <c r="E462" s="109"/>
      <c r="F462" s="109"/>
      <c r="G462" s="109"/>
      <c r="H462" s="109"/>
      <c r="I462" s="109"/>
      <c r="J462" s="109"/>
      <c r="K462" s="109"/>
      <c r="L462" s="109"/>
      <c r="M462" s="109"/>
      <c r="N462" s="109"/>
      <c r="O462" s="109"/>
      <c r="P462" s="109"/>
      <c r="Q462" s="109"/>
      <c r="R462" s="109"/>
      <c r="S462" s="109"/>
      <c r="T462" s="109"/>
      <c r="U462" s="109"/>
      <c r="V462" s="109"/>
      <c r="W462" s="109"/>
      <c r="X462" s="109"/>
      <c r="Y462" s="109"/>
      <c r="Z462" s="109"/>
    </row>
    <row r="463" ht="29.25" customHeight="1">
      <c r="A463" s="109"/>
      <c r="B463" s="109"/>
      <c r="C463" s="109"/>
      <c r="D463" s="109"/>
      <c r="E463" s="109"/>
      <c r="F463" s="109"/>
      <c r="G463" s="109"/>
      <c r="H463" s="109"/>
      <c r="I463" s="109"/>
      <c r="J463" s="109"/>
      <c r="K463" s="109"/>
      <c r="L463" s="109"/>
      <c r="M463" s="109"/>
      <c r="N463" s="109"/>
      <c r="O463" s="109"/>
      <c r="P463" s="109"/>
      <c r="Q463" s="109"/>
      <c r="R463" s="109"/>
      <c r="S463" s="109"/>
      <c r="T463" s="109"/>
      <c r="U463" s="109"/>
      <c r="V463" s="109"/>
      <c r="W463" s="109"/>
      <c r="X463" s="109"/>
      <c r="Y463" s="109"/>
      <c r="Z463" s="109"/>
    </row>
    <row r="464" ht="29.25" customHeight="1">
      <c r="A464" s="109"/>
      <c r="B464" s="109"/>
      <c r="C464" s="109"/>
      <c r="D464" s="109"/>
      <c r="E464" s="109"/>
      <c r="F464" s="109"/>
      <c r="G464" s="109"/>
      <c r="H464" s="109"/>
      <c r="I464" s="109"/>
      <c r="J464" s="109"/>
      <c r="K464" s="109"/>
      <c r="L464" s="109"/>
      <c r="M464" s="109"/>
      <c r="N464" s="109"/>
      <c r="O464" s="109"/>
      <c r="P464" s="109"/>
      <c r="Q464" s="109"/>
      <c r="R464" s="109"/>
      <c r="S464" s="109"/>
      <c r="T464" s="109"/>
      <c r="U464" s="109"/>
      <c r="V464" s="109"/>
      <c r="W464" s="109"/>
      <c r="X464" s="109"/>
      <c r="Y464" s="109"/>
      <c r="Z464" s="109"/>
    </row>
    <row r="465" ht="29.25" customHeight="1">
      <c r="A465" s="109"/>
      <c r="B465" s="109"/>
      <c r="C465" s="109"/>
      <c r="D465" s="109"/>
      <c r="E465" s="109"/>
      <c r="F465" s="109"/>
      <c r="G465" s="109"/>
      <c r="H465" s="109"/>
      <c r="I465" s="109"/>
      <c r="J465" s="109"/>
      <c r="K465" s="109"/>
      <c r="L465" s="109"/>
      <c r="M465" s="109"/>
      <c r="N465" s="109"/>
      <c r="O465" s="109"/>
      <c r="P465" s="109"/>
      <c r="Q465" s="109"/>
      <c r="R465" s="109"/>
      <c r="S465" s="109"/>
      <c r="T465" s="109"/>
      <c r="U465" s="109"/>
      <c r="V465" s="109"/>
      <c r="W465" s="109"/>
      <c r="X465" s="109"/>
      <c r="Y465" s="109"/>
      <c r="Z465" s="109"/>
    </row>
    <row r="466" ht="29.25" customHeight="1">
      <c r="A466" s="109"/>
      <c r="B466" s="109"/>
      <c r="C466" s="109"/>
      <c r="D466" s="109"/>
      <c r="E466" s="109"/>
      <c r="F466" s="109"/>
      <c r="G466" s="109"/>
      <c r="H466" s="109"/>
      <c r="I466" s="109"/>
      <c r="J466" s="109"/>
      <c r="K466" s="109"/>
      <c r="L466" s="109"/>
      <c r="M466" s="109"/>
      <c r="N466" s="109"/>
      <c r="O466" s="109"/>
      <c r="P466" s="109"/>
      <c r="Q466" s="109"/>
      <c r="R466" s="109"/>
      <c r="S466" s="109"/>
      <c r="T466" s="109"/>
      <c r="U466" s="109"/>
      <c r="V466" s="109"/>
      <c r="W466" s="109"/>
      <c r="X466" s="109"/>
      <c r="Y466" s="109"/>
      <c r="Z466" s="109"/>
    </row>
    <row r="467" ht="29.25" customHeight="1">
      <c r="A467" s="109"/>
      <c r="B467" s="109"/>
      <c r="C467" s="109"/>
      <c r="D467" s="109"/>
      <c r="E467" s="109"/>
      <c r="F467" s="109"/>
      <c r="G467" s="109"/>
      <c r="H467" s="109"/>
      <c r="I467" s="109"/>
      <c r="J467" s="109"/>
      <c r="K467" s="109"/>
      <c r="L467" s="109"/>
      <c r="M467" s="109"/>
      <c r="N467" s="109"/>
      <c r="O467" s="109"/>
      <c r="P467" s="109"/>
      <c r="Q467" s="109"/>
      <c r="R467" s="109"/>
      <c r="S467" s="109"/>
      <c r="T467" s="109"/>
      <c r="U467" s="109"/>
      <c r="V467" s="109"/>
      <c r="W467" s="109"/>
      <c r="X467" s="109"/>
      <c r="Y467" s="109"/>
      <c r="Z467" s="109"/>
    </row>
    <row r="468" ht="29.25" customHeight="1">
      <c r="A468" s="109"/>
      <c r="B468" s="109"/>
      <c r="C468" s="109"/>
      <c r="D468" s="109"/>
      <c r="E468" s="109"/>
      <c r="F468" s="109"/>
      <c r="G468" s="109"/>
      <c r="H468" s="109"/>
      <c r="I468" s="109"/>
      <c r="J468" s="109"/>
      <c r="K468" s="109"/>
      <c r="L468" s="109"/>
      <c r="M468" s="109"/>
      <c r="N468" s="109"/>
      <c r="O468" s="109"/>
      <c r="P468" s="109"/>
      <c r="Q468" s="109"/>
      <c r="R468" s="109"/>
      <c r="S468" s="109"/>
      <c r="T468" s="109"/>
      <c r="U468" s="109"/>
      <c r="V468" s="109"/>
      <c r="W468" s="109"/>
      <c r="X468" s="109"/>
      <c r="Y468" s="109"/>
      <c r="Z468" s="109"/>
    </row>
    <row r="469" ht="29.25" customHeight="1">
      <c r="A469" s="109"/>
      <c r="B469" s="109"/>
      <c r="C469" s="109"/>
      <c r="D469" s="109"/>
      <c r="E469" s="109"/>
      <c r="F469" s="109"/>
      <c r="G469" s="109"/>
      <c r="H469" s="109"/>
      <c r="I469" s="109"/>
      <c r="J469" s="109"/>
      <c r="K469" s="109"/>
      <c r="L469" s="109"/>
      <c r="M469" s="109"/>
      <c r="N469" s="109"/>
      <c r="O469" s="109"/>
      <c r="P469" s="109"/>
      <c r="Q469" s="109"/>
      <c r="R469" s="109"/>
      <c r="S469" s="109"/>
      <c r="T469" s="109"/>
      <c r="U469" s="109"/>
      <c r="V469" s="109"/>
      <c r="W469" s="109"/>
      <c r="X469" s="109"/>
      <c r="Y469" s="109"/>
      <c r="Z469" s="109"/>
    </row>
    <row r="470" ht="29.25" customHeight="1">
      <c r="A470" s="109"/>
      <c r="B470" s="109"/>
      <c r="C470" s="109"/>
      <c r="D470" s="109"/>
      <c r="E470" s="109"/>
      <c r="F470" s="109"/>
      <c r="G470" s="109"/>
      <c r="H470" s="109"/>
      <c r="I470" s="109"/>
      <c r="J470" s="109"/>
      <c r="K470" s="109"/>
      <c r="L470" s="109"/>
      <c r="M470" s="109"/>
      <c r="N470" s="109"/>
      <c r="O470" s="109"/>
      <c r="P470" s="109"/>
      <c r="Q470" s="109"/>
      <c r="R470" s="109"/>
      <c r="S470" s="109"/>
      <c r="T470" s="109"/>
      <c r="U470" s="109"/>
      <c r="V470" s="109"/>
      <c r="W470" s="109"/>
      <c r="X470" s="109"/>
      <c r="Y470" s="109"/>
      <c r="Z470" s="109"/>
    </row>
    <row r="471" ht="29.25" customHeight="1">
      <c r="A471" s="109"/>
      <c r="B471" s="109"/>
      <c r="C471" s="109"/>
      <c r="D471" s="109"/>
      <c r="E471" s="109"/>
      <c r="F471" s="109"/>
      <c r="G471" s="109"/>
      <c r="H471" s="109"/>
      <c r="I471" s="109"/>
      <c r="J471" s="109"/>
      <c r="K471" s="109"/>
      <c r="L471" s="109"/>
      <c r="M471" s="109"/>
      <c r="N471" s="109"/>
      <c r="O471" s="109"/>
      <c r="P471" s="109"/>
      <c r="Q471" s="109"/>
      <c r="R471" s="109"/>
      <c r="S471" s="109"/>
      <c r="T471" s="109"/>
      <c r="U471" s="109"/>
      <c r="V471" s="109"/>
      <c r="W471" s="109"/>
      <c r="X471" s="109"/>
      <c r="Y471" s="109"/>
      <c r="Z471" s="109"/>
    </row>
    <row r="472" ht="29.25" customHeight="1">
      <c r="A472" s="109"/>
      <c r="B472" s="109"/>
      <c r="C472" s="109"/>
      <c r="D472" s="109"/>
      <c r="E472" s="109"/>
      <c r="F472" s="109"/>
      <c r="G472" s="109"/>
      <c r="H472" s="109"/>
      <c r="I472" s="109"/>
      <c r="J472" s="109"/>
      <c r="K472" s="109"/>
      <c r="L472" s="109"/>
      <c r="M472" s="109"/>
      <c r="N472" s="109"/>
      <c r="O472" s="109"/>
      <c r="P472" s="109"/>
      <c r="Q472" s="109"/>
      <c r="R472" s="109"/>
      <c r="S472" s="109"/>
      <c r="T472" s="109"/>
      <c r="U472" s="109"/>
      <c r="V472" s="109"/>
      <c r="W472" s="109"/>
      <c r="X472" s="109"/>
      <c r="Y472" s="109"/>
      <c r="Z472" s="109"/>
    </row>
    <row r="473" ht="29.25" customHeight="1">
      <c r="A473" s="109"/>
      <c r="B473" s="109"/>
      <c r="C473" s="109"/>
      <c r="D473" s="109"/>
      <c r="E473" s="109"/>
      <c r="F473" s="109"/>
      <c r="G473" s="109"/>
      <c r="H473" s="109"/>
      <c r="I473" s="109"/>
      <c r="J473" s="109"/>
      <c r="K473" s="109"/>
      <c r="L473" s="109"/>
      <c r="M473" s="109"/>
      <c r="N473" s="109"/>
      <c r="O473" s="109"/>
      <c r="P473" s="109"/>
      <c r="Q473" s="109"/>
      <c r="R473" s="109"/>
      <c r="S473" s="109"/>
      <c r="T473" s="109"/>
      <c r="U473" s="109"/>
      <c r="V473" s="109"/>
      <c r="W473" s="109"/>
      <c r="X473" s="109"/>
      <c r="Y473" s="109"/>
      <c r="Z473" s="109"/>
    </row>
    <row r="474" ht="29.25" customHeight="1">
      <c r="A474" s="109"/>
      <c r="B474" s="109"/>
      <c r="C474" s="109"/>
      <c r="D474" s="109"/>
      <c r="E474" s="109"/>
      <c r="F474" s="109"/>
      <c r="G474" s="109"/>
      <c r="H474" s="109"/>
      <c r="I474" s="109"/>
      <c r="J474" s="109"/>
      <c r="K474" s="109"/>
      <c r="L474" s="109"/>
      <c r="M474" s="109"/>
      <c r="N474" s="109"/>
      <c r="O474" s="109"/>
      <c r="P474" s="109"/>
      <c r="Q474" s="109"/>
      <c r="R474" s="109"/>
      <c r="S474" s="109"/>
      <c r="T474" s="109"/>
      <c r="U474" s="109"/>
      <c r="V474" s="109"/>
      <c r="W474" s="109"/>
      <c r="X474" s="109"/>
      <c r="Y474" s="109"/>
      <c r="Z474" s="109"/>
    </row>
    <row r="475" ht="29.25" customHeight="1">
      <c r="A475" s="109"/>
      <c r="B475" s="109"/>
      <c r="C475" s="109"/>
      <c r="D475" s="109"/>
      <c r="E475" s="109"/>
      <c r="F475" s="109"/>
      <c r="G475" s="109"/>
      <c r="H475" s="109"/>
      <c r="I475" s="109"/>
      <c r="J475" s="109"/>
      <c r="K475" s="109"/>
      <c r="L475" s="109"/>
      <c r="M475" s="109"/>
      <c r="N475" s="109"/>
      <c r="O475" s="109"/>
      <c r="P475" s="109"/>
      <c r="Q475" s="109"/>
      <c r="R475" s="109"/>
      <c r="S475" s="109"/>
      <c r="T475" s="109"/>
      <c r="U475" s="109"/>
      <c r="V475" s="109"/>
      <c r="W475" s="109"/>
      <c r="X475" s="109"/>
      <c r="Y475" s="109"/>
      <c r="Z475" s="109"/>
    </row>
    <row r="476" ht="29.25" customHeight="1">
      <c r="A476" s="109"/>
      <c r="B476" s="109"/>
      <c r="C476" s="109"/>
      <c r="D476" s="109"/>
      <c r="E476" s="109"/>
      <c r="F476" s="109"/>
      <c r="G476" s="109"/>
      <c r="H476" s="109"/>
      <c r="I476" s="109"/>
      <c r="J476" s="109"/>
      <c r="K476" s="109"/>
      <c r="L476" s="109"/>
      <c r="M476" s="109"/>
      <c r="N476" s="109"/>
      <c r="O476" s="109"/>
      <c r="P476" s="109"/>
      <c r="Q476" s="109"/>
      <c r="R476" s="109"/>
      <c r="S476" s="109"/>
      <c r="T476" s="109"/>
      <c r="U476" s="109"/>
      <c r="V476" s="109"/>
      <c r="W476" s="109"/>
      <c r="X476" s="109"/>
      <c r="Y476" s="109"/>
      <c r="Z476" s="109"/>
    </row>
    <row r="477" ht="29.25" customHeight="1">
      <c r="A477" s="109"/>
      <c r="B477" s="109"/>
      <c r="C477" s="109"/>
      <c r="D477" s="109"/>
      <c r="E477" s="109"/>
      <c r="F477" s="109"/>
      <c r="G477" s="109"/>
      <c r="H477" s="109"/>
      <c r="I477" s="109"/>
      <c r="J477" s="109"/>
      <c r="K477" s="109"/>
      <c r="L477" s="109"/>
      <c r="M477" s="109"/>
      <c r="N477" s="109"/>
      <c r="O477" s="109"/>
      <c r="P477" s="109"/>
      <c r="Q477" s="109"/>
      <c r="R477" s="109"/>
      <c r="S477" s="109"/>
      <c r="T477" s="109"/>
      <c r="U477" s="109"/>
      <c r="V477" s="109"/>
      <c r="W477" s="109"/>
      <c r="X477" s="109"/>
      <c r="Y477" s="109"/>
      <c r="Z477" s="109"/>
    </row>
    <row r="478" ht="29.25" customHeight="1">
      <c r="A478" s="109"/>
      <c r="B478" s="109"/>
      <c r="C478" s="109"/>
      <c r="D478" s="109"/>
      <c r="E478" s="109"/>
      <c r="F478" s="109"/>
      <c r="G478" s="109"/>
      <c r="H478" s="109"/>
      <c r="I478" s="109"/>
      <c r="J478" s="109"/>
      <c r="K478" s="109"/>
      <c r="L478" s="109"/>
      <c r="M478" s="109"/>
      <c r="N478" s="109"/>
      <c r="O478" s="109"/>
      <c r="P478" s="109"/>
      <c r="Q478" s="109"/>
      <c r="R478" s="109"/>
      <c r="S478" s="109"/>
      <c r="T478" s="109"/>
      <c r="U478" s="109"/>
      <c r="V478" s="109"/>
      <c r="W478" s="109"/>
      <c r="X478" s="109"/>
      <c r="Y478" s="109"/>
      <c r="Z478" s="109"/>
    </row>
    <row r="479" ht="29.25" customHeight="1">
      <c r="A479" s="109"/>
      <c r="B479" s="109"/>
      <c r="C479" s="109"/>
      <c r="D479" s="109"/>
      <c r="E479" s="109"/>
      <c r="F479" s="109"/>
      <c r="G479" s="109"/>
      <c r="H479" s="109"/>
      <c r="I479" s="109"/>
      <c r="J479" s="109"/>
      <c r="K479" s="109"/>
      <c r="L479" s="109"/>
      <c r="M479" s="109"/>
      <c r="N479" s="109"/>
      <c r="O479" s="109"/>
      <c r="P479" s="109"/>
      <c r="Q479" s="109"/>
      <c r="R479" s="109"/>
      <c r="S479" s="109"/>
      <c r="T479" s="109"/>
      <c r="U479" s="109"/>
      <c r="V479" s="109"/>
      <c r="W479" s="109"/>
      <c r="X479" s="109"/>
      <c r="Y479" s="109"/>
      <c r="Z479" s="109"/>
    </row>
    <row r="480" ht="29.25" customHeight="1">
      <c r="A480" s="109"/>
      <c r="B480" s="109"/>
      <c r="C480" s="109"/>
      <c r="D480" s="109"/>
      <c r="E480" s="109"/>
      <c r="F480" s="109"/>
      <c r="G480" s="109"/>
      <c r="H480" s="109"/>
      <c r="I480" s="109"/>
      <c r="J480" s="109"/>
      <c r="K480" s="109"/>
      <c r="L480" s="109"/>
      <c r="M480" s="109"/>
      <c r="N480" s="109"/>
      <c r="O480" s="109"/>
      <c r="P480" s="109"/>
      <c r="Q480" s="109"/>
      <c r="R480" s="109"/>
      <c r="S480" s="109"/>
      <c r="T480" s="109"/>
      <c r="U480" s="109"/>
      <c r="V480" s="109"/>
      <c r="W480" s="109"/>
      <c r="X480" s="109"/>
      <c r="Y480" s="109"/>
      <c r="Z480" s="109"/>
    </row>
    <row r="481" ht="29.25" customHeight="1">
      <c r="A481" s="109"/>
      <c r="B481" s="109"/>
      <c r="C481" s="109"/>
      <c r="D481" s="109"/>
      <c r="E481" s="109"/>
      <c r="F481" s="109"/>
      <c r="G481" s="109"/>
      <c r="H481" s="109"/>
      <c r="I481" s="109"/>
      <c r="J481" s="109"/>
      <c r="K481" s="109"/>
      <c r="L481" s="109"/>
      <c r="M481" s="109"/>
      <c r="N481" s="109"/>
      <c r="O481" s="109"/>
      <c r="P481" s="109"/>
      <c r="Q481" s="109"/>
      <c r="R481" s="109"/>
      <c r="S481" s="109"/>
      <c r="T481" s="109"/>
      <c r="U481" s="109"/>
      <c r="V481" s="109"/>
      <c r="W481" s="109"/>
      <c r="X481" s="109"/>
      <c r="Y481" s="109"/>
      <c r="Z481" s="109"/>
    </row>
    <row r="482" ht="29.25" customHeight="1">
      <c r="A482" s="109"/>
      <c r="B482" s="109"/>
      <c r="C482" s="109"/>
      <c r="D482" s="109"/>
      <c r="E482" s="109"/>
      <c r="F482" s="109"/>
      <c r="G482" s="109"/>
      <c r="H482" s="109"/>
      <c r="I482" s="109"/>
      <c r="J482" s="109"/>
      <c r="K482" s="109"/>
      <c r="L482" s="109"/>
      <c r="M482" s="109"/>
      <c r="N482" s="109"/>
      <c r="O482" s="109"/>
      <c r="P482" s="109"/>
      <c r="Q482" s="109"/>
      <c r="R482" s="109"/>
      <c r="S482" s="109"/>
      <c r="T482" s="109"/>
      <c r="U482" s="109"/>
      <c r="V482" s="109"/>
      <c r="W482" s="109"/>
      <c r="X482" s="109"/>
      <c r="Y482" s="109"/>
      <c r="Z482" s="109"/>
    </row>
    <row r="483" ht="29.25" customHeight="1">
      <c r="A483" s="109"/>
      <c r="B483" s="109"/>
      <c r="C483" s="109"/>
      <c r="D483" s="109"/>
      <c r="E483" s="109"/>
      <c r="F483" s="109"/>
      <c r="G483" s="109"/>
      <c r="H483" s="109"/>
      <c r="I483" s="109"/>
      <c r="J483" s="109"/>
      <c r="K483" s="109"/>
      <c r="L483" s="109"/>
      <c r="M483" s="109"/>
      <c r="N483" s="109"/>
      <c r="O483" s="109"/>
      <c r="P483" s="109"/>
      <c r="Q483" s="109"/>
      <c r="R483" s="109"/>
      <c r="S483" s="109"/>
      <c r="T483" s="109"/>
      <c r="U483" s="109"/>
      <c r="V483" s="109"/>
      <c r="W483" s="109"/>
      <c r="X483" s="109"/>
      <c r="Y483" s="109"/>
      <c r="Z483" s="109"/>
    </row>
    <row r="484" ht="29.25" customHeight="1">
      <c r="A484" s="109"/>
      <c r="B484" s="109"/>
      <c r="C484" s="109"/>
      <c r="D484" s="109"/>
      <c r="E484" s="109"/>
      <c r="F484" s="109"/>
      <c r="G484" s="109"/>
      <c r="H484" s="109"/>
      <c r="I484" s="109"/>
      <c r="J484" s="109"/>
      <c r="K484" s="109"/>
      <c r="L484" s="109"/>
      <c r="M484" s="109"/>
      <c r="N484" s="109"/>
      <c r="O484" s="109"/>
      <c r="P484" s="109"/>
      <c r="Q484" s="109"/>
      <c r="R484" s="109"/>
      <c r="S484" s="109"/>
      <c r="T484" s="109"/>
      <c r="U484" s="109"/>
      <c r="V484" s="109"/>
      <c r="W484" s="109"/>
      <c r="X484" s="109"/>
      <c r="Y484" s="109"/>
      <c r="Z484" s="109"/>
    </row>
    <row r="485" ht="29.25" customHeight="1">
      <c r="A485" s="109"/>
      <c r="B485" s="109"/>
      <c r="C485" s="109"/>
      <c r="D485" s="109"/>
      <c r="E485" s="109"/>
      <c r="F485" s="109"/>
      <c r="G485" s="109"/>
      <c r="H485" s="109"/>
      <c r="I485" s="109"/>
      <c r="J485" s="109"/>
      <c r="K485" s="109"/>
      <c r="L485" s="109"/>
      <c r="M485" s="109"/>
      <c r="N485" s="109"/>
      <c r="O485" s="109"/>
      <c r="P485" s="109"/>
      <c r="Q485" s="109"/>
      <c r="R485" s="109"/>
      <c r="S485" s="109"/>
      <c r="T485" s="109"/>
      <c r="U485" s="109"/>
      <c r="V485" s="109"/>
      <c r="W485" s="109"/>
      <c r="X485" s="109"/>
      <c r="Y485" s="109"/>
      <c r="Z485" s="109"/>
    </row>
    <row r="486" ht="29.25" customHeight="1">
      <c r="A486" s="109"/>
      <c r="B486" s="109"/>
      <c r="C486" s="109"/>
      <c r="D486" s="109"/>
      <c r="E486" s="109"/>
      <c r="F486" s="109"/>
      <c r="G486" s="109"/>
      <c r="H486" s="109"/>
      <c r="I486" s="109"/>
      <c r="J486" s="109"/>
      <c r="K486" s="109"/>
      <c r="L486" s="109"/>
      <c r="M486" s="109"/>
      <c r="N486" s="109"/>
      <c r="O486" s="109"/>
      <c r="P486" s="109"/>
      <c r="Q486" s="109"/>
      <c r="R486" s="109"/>
      <c r="S486" s="109"/>
      <c r="T486" s="109"/>
      <c r="U486" s="109"/>
      <c r="V486" s="109"/>
      <c r="W486" s="109"/>
      <c r="X486" s="109"/>
      <c r="Y486" s="109"/>
      <c r="Z486" s="109"/>
    </row>
    <row r="487" ht="29.25" customHeight="1">
      <c r="A487" s="109"/>
      <c r="B487" s="109"/>
      <c r="C487" s="109"/>
      <c r="D487" s="109"/>
      <c r="E487" s="109"/>
      <c r="F487" s="109"/>
      <c r="G487" s="109"/>
      <c r="H487" s="109"/>
      <c r="I487" s="109"/>
      <c r="J487" s="109"/>
      <c r="K487" s="109"/>
      <c r="L487" s="109"/>
      <c r="M487" s="109"/>
      <c r="N487" s="109"/>
      <c r="O487" s="109"/>
      <c r="P487" s="109"/>
      <c r="Q487" s="109"/>
      <c r="R487" s="109"/>
      <c r="S487" s="109"/>
      <c r="T487" s="109"/>
      <c r="U487" s="109"/>
      <c r="V487" s="109"/>
      <c r="W487" s="109"/>
      <c r="X487" s="109"/>
      <c r="Y487" s="109"/>
      <c r="Z487" s="109"/>
    </row>
    <row r="488" ht="29.25" customHeight="1">
      <c r="A488" s="109"/>
      <c r="B488" s="109"/>
      <c r="C488" s="109"/>
      <c r="D488" s="109"/>
      <c r="E488" s="109"/>
      <c r="F488" s="109"/>
      <c r="G488" s="109"/>
      <c r="H488" s="109"/>
      <c r="I488" s="109"/>
      <c r="J488" s="109"/>
      <c r="K488" s="109"/>
      <c r="L488" s="109"/>
      <c r="M488" s="109"/>
      <c r="N488" s="109"/>
      <c r="O488" s="109"/>
      <c r="P488" s="109"/>
      <c r="Q488" s="109"/>
      <c r="R488" s="109"/>
      <c r="S488" s="109"/>
      <c r="T488" s="109"/>
      <c r="U488" s="109"/>
      <c r="V488" s="109"/>
      <c r="W488" s="109"/>
      <c r="X488" s="109"/>
      <c r="Y488" s="109"/>
      <c r="Z488" s="109"/>
    </row>
    <row r="489" ht="29.25" customHeight="1">
      <c r="A489" s="109"/>
      <c r="B489" s="109"/>
      <c r="C489" s="109"/>
      <c r="D489" s="109"/>
      <c r="E489" s="109"/>
      <c r="F489" s="109"/>
      <c r="G489" s="109"/>
      <c r="H489" s="109"/>
      <c r="I489" s="109"/>
      <c r="J489" s="109"/>
      <c r="K489" s="109"/>
      <c r="L489" s="109"/>
      <c r="M489" s="109"/>
      <c r="N489" s="109"/>
      <c r="O489" s="109"/>
      <c r="P489" s="109"/>
      <c r="Q489" s="109"/>
      <c r="R489" s="109"/>
      <c r="S489" s="109"/>
      <c r="T489" s="109"/>
      <c r="U489" s="109"/>
      <c r="V489" s="109"/>
      <c r="W489" s="109"/>
      <c r="X489" s="109"/>
      <c r="Y489" s="109"/>
      <c r="Z489" s="109"/>
    </row>
    <row r="490" ht="29.25" customHeight="1">
      <c r="A490" s="109"/>
      <c r="B490" s="109"/>
      <c r="C490" s="109"/>
      <c r="D490" s="109"/>
      <c r="E490" s="109"/>
      <c r="F490" s="109"/>
      <c r="G490" s="109"/>
      <c r="H490" s="109"/>
      <c r="I490" s="109"/>
      <c r="J490" s="109"/>
      <c r="K490" s="109"/>
      <c r="L490" s="109"/>
      <c r="M490" s="109"/>
      <c r="N490" s="109"/>
      <c r="O490" s="109"/>
      <c r="P490" s="109"/>
      <c r="Q490" s="109"/>
      <c r="R490" s="109"/>
      <c r="S490" s="109"/>
      <c r="T490" s="109"/>
      <c r="U490" s="109"/>
      <c r="V490" s="109"/>
      <c r="W490" s="109"/>
      <c r="X490" s="109"/>
      <c r="Y490" s="109"/>
      <c r="Z490" s="109"/>
    </row>
    <row r="491" ht="29.25" customHeight="1">
      <c r="A491" s="109"/>
      <c r="B491" s="109"/>
      <c r="C491" s="109"/>
      <c r="D491" s="109"/>
      <c r="E491" s="109"/>
      <c r="F491" s="109"/>
      <c r="G491" s="109"/>
      <c r="H491" s="109"/>
      <c r="I491" s="109"/>
      <c r="J491" s="109"/>
      <c r="K491" s="109"/>
      <c r="L491" s="109"/>
      <c r="M491" s="109"/>
      <c r="N491" s="109"/>
      <c r="O491" s="109"/>
      <c r="P491" s="109"/>
      <c r="Q491" s="109"/>
      <c r="R491" s="109"/>
      <c r="S491" s="109"/>
      <c r="T491" s="109"/>
      <c r="U491" s="109"/>
      <c r="V491" s="109"/>
      <c r="W491" s="109"/>
      <c r="X491" s="109"/>
      <c r="Y491" s="109"/>
      <c r="Z491" s="109"/>
    </row>
    <row r="492" ht="29.25" customHeight="1">
      <c r="A492" s="109"/>
      <c r="B492" s="109"/>
      <c r="C492" s="109"/>
      <c r="D492" s="109"/>
      <c r="E492" s="109"/>
      <c r="F492" s="109"/>
      <c r="G492" s="109"/>
      <c r="H492" s="109"/>
      <c r="I492" s="109"/>
      <c r="J492" s="109"/>
      <c r="K492" s="109"/>
      <c r="L492" s="109"/>
      <c r="M492" s="109"/>
      <c r="N492" s="109"/>
      <c r="O492" s="109"/>
      <c r="P492" s="109"/>
      <c r="Q492" s="109"/>
      <c r="R492" s="109"/>
      <c r="S492" s="109"/>
      <c r="T492" s="109"/>
      <c r="U492" s="109"/>
      <c r="V492" s="109"/>
      <c r="W492" s="109"/>
      <c r="X492" s="109"/>
      <c r="Y492" s="109"/>
      <c r="Z492" s="109"/>
    </row>
    <row r="493" ht="29.25" customHeight="1">
      <c r="A493" s="109"/>
      <c r="B493" s="109"/>
      <c r="C493" s="109"/>
      <c r="D493" s="109"/>
      <c r="E493" s="109"/>
      <c r="F493" s="109"/>
      <c r="G493" s="109"/>
      <c r="H493" s="109"/>
      <c r="I493" s="109"/>
      <c r="J493" s="109"/>
      <c r="K493" s="109"/>
      <c r="L493" s="109"/>
      <c r="M493" s="109"/>
      <c r="N493" s="109"/>
      <c r="O493" s="109"/>
      <c r="P493" s="109"/>
      <c r="Q493" s="109"/>
      <c r="R493" s="109"/>
      <c r="S493" s="109"/>
      <c r="T493" s="109"/>
      <c r="U493" s="109"/>
      <c r="V493" s="109"/>
      <c r="W493" s="109"/>
      <c r="X493" s="109"/>
      <c r="Y493" s="109"/>
      <c r="Z493" s="109"/>
    </row>
    <row r="494" ht="29.25" customHeight="1">
      <c r="A494" s="109"/>
      <c r="B494" s="109"/>
      <c r="C494" s="109"/>
      <c r="D494" s="109"/>
      <c r="E494" s="109"/>
      <c r="F494" s="109"/>
      <c r="G494" s="109"/>
      <c r="H494" s="109"/>
      <c r="I494" s="109"/>
      <c r="J494" s="109"/>
      <c r="K494" s="109"/>
      <c r="L494" s="109"/>
      <c r="M494" s="109"/>
      <c r="N494" s="109"/>
      <c r="O494" s="109"/>
      <c r="P494" s="109"/>
      <c r="Q494" s="109"/>
      <c r="R494" s="109"/>
      <c r="S494" s="109"/>
      <c r="T494" s="109"/>
      <c r="U494" s="109"/>
      <c r="V494" s="109"/>
      <c r="W494" s="109"/>
      <c r="X494" s="109"/>
      <c r="Y494" s="109"/>
      <c r="Z494" s="109"/>
    </row>
    <row r="495" ht="29.25" customHeight="1">
      <c r="A495" s="109"/>
      <c r="B495" s="109"/>
      <c r="C495" s="109"/>
      <c r="D495" s="109"/>
      <c r="E495" s="109"/>
      <c r="F495" s="109"/>
      <c r="G495" s="109"/>
      <c r="H495" s="109"/>
      <c r="I495" s="109"/>
      <c r="J495" s="109"/>
      <c r="K495" s="109"/>
      <c r="L495" s="109"/>
      <c r="M495" s="109"/>
      <c r="N495" s="109"/>
      <c r="O495" s="109"/>
      <c r="P495" s="109"/>
      <c r="Q495" s="109"/>
      <c r="R495" s="109"/>
      <c r="S495" s="109"/>
      <c r="T495" s="109"/>
      <c r="U495" s="109"/>
      <c r="V495" s="109"/>
      <c r="W495" s="109"/>
      <c r="X495" s="109"/>
      <c r="Y495" s="109"/>
      <c r="Z495" s="109"/>
    </row>
    <row r="496" ht="29.25" customHeight="1">
      <c r="A496" s="109"/>
      <c r="B496" s="109"/>
      <c r="C496" s="109"/>
      <c r="D496" s="109"/>
      <c r="E496" s="109"/>
      <c r="F496" s="109"/>
      <c r="G496" s="109"/>
      <c r="H496" s="109"/>
      <c r="I496" s="109"/>
      <c r="J496" s="109"/>
      <c r="K496" s="109"/>
      <c r="L496" s="109"/>
      <c r="M496" s="109"/>
      <c r="N496" s="109"/>
      <c r="O496" s="109"/>
      <c r="P496" s="109"/>
      <c r="Q496" s="109"/>
      <c r="R496" s="109"/>
      <c r="S496" s="109"/>
      <c r="T496" s="109"/>
      <c r="U496" s="109"/>
      <c r="V496" s="109"/>
      <c r="W496" s="109"/>
      <c r="X496" s="109"/>
      <c r="Y496" s="109"/>
      <c r="Z496" s="109"/>
    </row>
    <row r="497" ht="29.25" customHeight="1">
      <c r="A497" s="109"/>
      <c r="B497" s="109"/>
      <c r="C497" s="109"/>
      <c r="D497" s="109"/>
      <c r="E497" s="109"/>
      <c r="F497" s="109"/>
      <c r="G497" s="109"/>
      <c r="H497" s="109"/>
      <c r="I497" s="109"/>
      <c r="J497" s="109"/>
      <c r="K497" s="109"/>
      <c r="L497" s="109"/>
      <c r="M497" s="109"/>
      <c r="N497" s="109"/>
      <c r="O497" s="109"/>
      <c r="P497" s="109"/>
      <c r="Q497" s="109"/>
      <c r="R497" s="109"/>
      <c r="S497" s="109"/>
      <c r="T497" s="109"/>
      <c r="U497" s="109"/>
      <c r="V497" s="109"/>
      <c r="W497" s="109"/>
      <c r="X497" s="109"/>
      <c r="Y497" s="109"/>
      <c r="Z497" s="109"/>
    </row>
    <row r="498" ht="29.25" customHeight="1">
      <c r="A498" s="109"/>
      <c r="B498" s="109"/>
      <c r="C498" s="109"/>
      <c r="D498" s="109"/>
      <c r="E498" s="109"/>
      <c r="F498" s="109"/>
      <c r="G498" s="109"/>
      <c r="H498" s="109"/>
      <c r="I498" s="109"/>
      <c r="J498" s="109"/>
      <c r="K498" s="109"/>
      <c r="L498" s="109"/>
      <c r="M498" s="109"/>
      <c r="N498" s="109"/>
      <c r="O498" s="109"/>
      <c r="P498" s="109"/>
      <c r="Q498" s="109"/>
      <c r="R498" s="109"/>
      <c r="S498" s="109"/>
      <c r="T498" s="109"/>
      <c r="U498" s="109"/>
      <c r="V498" s="109"/>
      <c r="W498" s="109"/>
      <c r="X498" s="109"/>
      <c r="Y498" s="109"/>
      <c r="Z498" s="109"/>
    </row>
    <row r="499" ht="29.25" customHeight="1">
      <c r="A499" s="109"/>
      <c r="B499" s="109"/>
      <c r="C499" s="109"/>
      <c r="D499" s="109"/>
      <c r="E499" s="109"/>
      <c r="F499" s="109"/>
      <c r="G499" s="109"/>
      <c r="H499" s="109"/>
      <c r="I499" s="109"/>
      <c r="J499" s="109"/>
      <c r="K499" s="109"/>
      <c r="L499" s="109"/>
      <c r="M499" s="109"/>
      <c r="N499" s="109"/>
      <c r="O499" s="109"/>
      <c r="P499" s="109"/>
      <c r="Q499" s="109"/>
      <c r="R499" s="109"/>
      <c r="S499" s="109"/>
      <c r="T499" s="109"/>
      <c r="U499" s="109"/>
      <c r="V499" s="109"/>
      <c r="W499" s="109"/>
      <c r="X499" s="109"/>
      <c r="Y499" s="109"/>
      <c r="Z499" s="109"/>
    </row>
    <row r="500" ht="29.25" customHeight="1">
      <c r="A500" s="109"/>
      <c r="B500" s="109"/>
      <c r="C500" s="109"/>
      <c r="D500" s="109"/>
      <c r="E500" s="109"/>
      <c r="F500" s="109"/>
      <c r="G500" s="109"/>
      <c r="H500" s="109"/>
      <c r="I500" s="109"/>
      <c r="J500" s="109"/>
      <c r="K500" s="109"/>
      <c r="L500" s="109"/>
      <c r="M500" s="109"/>
      <c r="N500" s="109"/>
      <c r="O500" s="109"/>
      <c r="P500" s="109"/>
      <c r="Q500" s="109"/>
      <c r="R500" s="109"/>
      <c r="S500" s="109"/>
      <c r="T500" s="109"/>
      <c r="U500" s="109"/>
      <c r="V500" s="109"/>
      <c r="W500" s="109"/>
      <c r="X500" s="109"/>
      <c r="Y500" s="109"/>
      <c r="Z500" s="109"/>
    </row>
    <row r="501" ht="29.25" customHeight="1">
      <c r="A501" s="109"/>
      <c r="B501" s="109"/>
      <c r="C501" s="109"/>
      <c r="D501" s="109"/>
      <c r="E501" s="109"/>
      <c r="F501" s="109"/>
      <c r="G501" s="109"/>
      <c r="H501" s="109"/>
      <c r="I501" s="109"/>
      <c r="J501" s="109"/>
      <c r="K501" s="109"/>
      <c r="L501" s="109"/>
      <c r="M501" s="109"/>
      <c r="N501" s="109"/>
      <c r="O501" s="109"/>
      <c r="P501" s="109"/>
      <c r="Q501" s="109"/>
      <c r="R501" s="109"/>
      <c r="S501" s="109"/>
      <c r="T501" s="109"/>
      <c r="U501" s="109"/>
      <c r="V501" s="109"/>
      <c r="W501" s="109"/>
      <c r="X501" s="109"/>
      <c r="Y501" s="109"/>
      <c r="Z501" s="109"/>
    </row>
    <row r="502" ht="29.25" customHeight="1">
      <c r="A502" s="109"/>
      <c r="B502" s="109"/>
      <c r="C502" s="109"/>
      <c r="D502" s="109"/>
      <c r="E502" s="109"/>
      <c r="F502" s="109"/>
      <c r="G502" s="109"/>
      <c r="H502" s="109"/>
      <c r="I502" s="109"/>
      <c r="J502" s="109"/>
      <c r="K502" s="109"/>
      <c r="L502" s="109"/>
      <c r="M502" s="109"/>
      <c r="N502" s="109"/>
      <c r="O502" s="109"/>
      <c r="P502" s="109"/>
      <c r="Q502" s="109"/>
      <c r="R502" s="109"/>
      <c r="S502" s="109"/>
      <c r="T502" s="109"/>
      <c r="U502" s="109"/>
      <c r="V502" s="109"/>
      <c r="W502" s="109"/>
      <c r="X502" s="109"/>
      <c r="Y502" s="109"/>
      <c r="Z502" s="109"/>
    </row>
    <row r="503" ht="29.25" customHeight="1">
      <c r="A503" s="109"/>
      <c r="B503" s="109"/>
      <c r="C503" s="109"/>
      <c r="D503" s="109"/>
      <c r="E503" s="109"/>
      <c r="F503" s="109"/>
      <c r="G503" s="109"/>
      <c r="H503" s="109"/>
      <c r="I503" s="109"/>
      <c r="J503" s="109"/>
      <c r="K503" s="109"/>
      <c r="L503" s="109"/>
      <c r="M503" s="109"/>
      <c r="N503" s="109"/>
      <c r="O503" s="109"/>
      <c r="P503" s="109"/>
      <c r="Q503" s="109"/>
      <c r="R503" s="109"/>
      <c r="S503" s="109"/>
      <c r="T503" s="109"/>
      <c r="U503" s="109"/>
      <c r="V503" s="109"/>
      <c r="W503" s="109"/>
      <c r="X503" s="109"/>
      <c r="Y503" s="109"/>
      <c r="Z503" s="109"/>
    </row>
    <row r="504" ht="29.25" customHeight="1">
      <c r="A504" s="109"/>
      <c r="B504" s="109"/>
      <c r="C504" s="109"/>
      <c r="D504" s="109"/>
      <c r="E504" s="109"/>
      <c r="F504" s="109"/>
      <c r="G504" s="109"/>
      <c r="H504" s="109"/>
      <c r="I504" s="109"/>
      <c r="J504" s="109"/>
      <c r="K504" s="109"/>
      <c r="L504" s="109"/>
      <c r="M504" s="109"/>
      <c r="N504" s="109"/>
      <c r="O504" s="109"/>
      <c r="P504" s="109"/>
      <c r="Q504" s="109"/>
      <c r="R504" s="109"/>
      <c r="S504" s="109"/>
      <c r="T504" s="109"/>
      <c r="U504" s="109"/>
      <c r="V504" s="109"/>
      <c r="W504" s="109"/>
      <c r="X504" s="109"/>
      <c r="Y504" s="109"/>
      <c r="Z504" s="109"/>
    </row>
    <row r="505" ht="29.25" customHeight="1">
      <c r="A505" s="109"/>
      <c r="B505" s="109"/>
      <c r="C505" s="109"/>
      <c r="D505" s="109"/>
      <c r="E505" s="109"/>
      <c r="F505" s="109"/>
      <c r="G505" s="109"/>
      <c r="H505" s="109"/>
      <c r="I505" s="109"/>
      <c r="J505" s="109"/>
      <c r="K505" s="109"/>
      <c r="L505" s="109"/>
      <c r="M505" s="109"/>
      <c r="N505" s="109"/>
      <c r="O505" s="109"/>
      <c r="P505" s="109"/>
      <c r="Q505" s="109"/>
      <c r="R505" s="109"/>
      <c r="S505" s="109"/>
      <c r="T505" s="109"/>
      <c r="U505" s="109"/>
      <c r="V505" s="109"/>
      <c r="W505" s="109"/>
      <c r="X505" s="109"/>
      <c r="Y505" s="109"/>
      <c r="Z505" s="109"/>
    </row>
    <row r="506" ht="29.25" customHeight="1">
      <c r="A506" s="109"/>
      <c r="B506" s="109"/>
      <c r="C506" s="109"/>
      <c r="D506" s="109"/>
      <c r="E506" s="109"/>
      <c r="F506" s="109"/>
      <c r="G506" s="109"/>
      <c r="H506" s="109"/>
      <c r="I506" s="109"/>
      <c r="J506" s="109"/>
      <c r="K506" s="109"/>
      <c r="L506" s="109"/>
      <c r="M506" s="109"/>
      <c r="N506" s="109"/>
      <c r="O506" s="109"/>
      <c r="P506" s="109"/>
      <c r="Q506" s="109"/>
      <c r="R506" s="109"/>
      <c r="S506" s="109"/>
      <c r="T506" s="109"/>
      <c r="U506" s="109"/>
      <c r="V506" s="109"/>
      <c r="W506" s="109"/>
      <c r="X506" s="109"/>
      <c r="Y506" s="109"/>
      <c r="Z506" s="109"/>
    </row>
    <row r="507" ht="29.25" customHeight="1">
      <c r="A507" s="109"/>
      <c r="B507" s="109"/>
      <c r="C507" s="109"/>
      <c r="D507" s="109"/>
      <c r="E507" s="109"/>
      <c r="F507" s="109"/>
      <c r="G507" s="109"/>
      <c r="H507" s="109"/>
      <c r="I507" s="109"/>
      <c r="J507" s="109"/>
      <c r="K507" s="109"/>
      <c r="L507" s="109"/>
      <c r="M507" s="109"/>
      <c r="N507" s="109"/>
      <c r="O507" s="109"/>
      <c r="P507" s="109"/>
      <c r="Q507" s="109"/>
      <c r="R507" s="109"/>
      <c r="S507" s="109"/>
      <c r="T507" s="109"/>
      <c r="U507" s="109"/>
      <c r="V507" s="109"/>
      <c r="W507" s="109"/>
      <c r="X507" s="109"/>
      <c r="Y507" s="109"/>
      <c r="Z507" s="109"/>
    </row>
    <row r="508" ht="29.25" customHeight="1">
      <c r="A508" s="109"/>
      <c r="B508" s="109"/>
      <c r="C508" s="109"/>
      <c r="D508" s="109"/>
      <c r="E508" s="109"/>
      <c r="F508" s="109"/>
      <c r="G508" s="109"/>
      <c r="H508" s="109"/>
      <c r="I508" s="109"/>
      <c r="J508" s="109"/>
      <c r="K508" s="109"/>
      <c r="L508" s="109"/>
      <c r="M508" s="109"/>
      <c r="N508" s="109"/>
      <c r="O508" s="109"/>
      <c r="P508" s="109"/>
      <c r="Q508" s="109"/>
      <c r="R508" s="109"/>
      <c r="S508" s="109"/>
      <c r="T508" s="109"/>
      <c r="U508" s="109"/>
      <c r="V508" s="109"/>
      <c r="W508" s="109"/>
      <c r="X508" s="109"/>
      <c r="Y508" s="109"/>
      <c r="Z508" s="109"/>
    </row>
    <row r="509" ht="29.25" customHeight="1">
      <c r="A509" s="109"/>
      <c r="B509" s="109"/>
      <c r="C509" s="109"/>
      <c r="D509" s="109"/>
      <c r="E509" s="109"/>
      <c r="F509" s="109"/>
      <c r="G509" s="109"/>
      <c r="H509" s="109"/>
      <c r="I509" s="109"/>
      <c r="J509" s="109"/>
      <c r="K509" s="109"/>
      <c r="L509" s="109"/>
      <c r="M509" s="109"/>
      <c r="N509" s="109"/>
      <c r="O509" s="109"/>
      <c r="P509" s="109"/>
      <c r="Q509" s="109"/>
      <c r="R509" s="109"/>
      <c r="S509" s="109"/>
      <c r="T509" s="109"/>
      <c r="U509" s="109"/>
      <c r="V509" s="109"/>
      <c r="W509" s="109"/>
      <c r="X509" s="109"/>
      <c r="Y509" s="109"/>
      <c r="Z509" s="109"/>
    </row>
    <row r="510" ht="29.25" customHeight="1">
      <c r="A510" s="109"/>
      <c r="B510" s="109"/>
      <c r="C510" s="109"/>
      <c r="D510" s="109"/>
      <c r="E510" s="109"/>
      <c r="F510" s="109"/>
      <c r="G510" s="109"/>
      <c r="H510" s="109"/>
      <c r="I510" s="109"/>
      <c r="J510" s="109"/>
      <c r="K510" s="109"/>
      <c r="L510" s="109"/>
      <c r="M510" s="109"/>
      <c r="N510" s="109"/>
      <c r="O510" s="109"/>
      <c r="P510" s="109"/>
      <c r="Q510" s="109"/>
      <c r="R510" s="109"/>
      <c r="S510" s="109"/>
      <c r="T510" s="109"/>
      <c r="U510" s="109"/>
      <c r="V510" s="109"/>
      <c r="W510" s="109"/>
      <c r="X510" s="109"/>
      <c r="Y510" s="109"/>
      <c r="Z510" s="109"/>
    </row>
    <row r="511" ht="29.25" customHeight="1">
      <c r="A511" s="109"/>
      <c r="B511" s="109"/>
      <c r="C511" s="109"/>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row>
    <row r="512" ht="29.25" customHeight="1">
      <c r="A512" s="109"/>
      <c r="B512" s="109"/>
      <c r="C512" s="109"/>
      <c r="D512" s="109"/>
      <c r="E512" s="109"/>
      <c r="F512" s="109"/>
      <c r="G512" s="109"/>
      <c r="H512" s="109"/>
      <c r="I512" s="109"/>
      <c r="J512" s="109"/>
      <c r="K512" s="109"/>
      <c r="L512" s="109"/>
      <c r="M512" s="109"/>
      <c r="N512" s="109"/>
      <c r="O512" s="109"/>
      <c r="P512" s="109"/>
      <c r="Q512" s="109"/>
      <c r="R512" s="109"/>
      <c r="S512" s="109"/>
      <c r="T512" s="109"/>
      <c r="U512" s="109"/>
      <c r="V512" s="109"/>
      <c r="W512" s="109"/>
      <c r="X512" s="109"/>
      <c r="Y512" s="109"/>
      <c r="Z512" s="109"/>
    </row>
    <row r="513" ht="29.25" customHeight="1">
      <c r="A513" s="109"/>
      <c r="B513" s="109"/>
      <c r="C513" s="109"/>
      <c r="D513" s="109"/>
      <c r="E513" s="109"/>
      <c r="F513" s="109"/>
      <c r="G513" s="109"/>
      <c r="H513" s="109"/>
      <c r="I513" s="109"/>
      <c r="J513" s="109"/>
      <c r="K513" s="109"/>
      <c r="L513" s="109"/>
      <c r="M513" s="109"/>
      <c r="N513" s="109"/>
      <c r="O513" s="109"/>
      <c r="P513" s="109"/>
      <c r="Q513" s="109"/>
      <c r="R513" s="109"/>
      <c r="S513" s="109"/>
      <c r="T513" s="109"/>
      <c r="U513" s="109"/>
      <c r="V513" s="109"/>
      <c r="W513" s="109"/>
      <c r="X513" s="109"/>
      <c r="Y513" s="109"/>
      <c r="Z513" s="109"/>
    </row>
    <row r="514" ht="29.25" customHeight="1">
      <c r="A514" s="109"/>
      <c r="B514" s="109"/>
      <c r="C514" s="109"/>
      <c r="D514" s="109"/>
      <c r="E514" s="109"/>
      <c r="F514" s="109"/>
      <c r="G514" s="109"/>
      <c r="H514" s="109"/>
      <c r="I514" s="109"/>
      <c r="J514" s="109"/>
      <c r="K514" s="109"/>
      <c r="L514" s="109"/>
      <c r="M514" s="109"/>
      <c r="N514" s="109"/>
      <c r="O514" s="109"/>
      <c r="P514" s="109"/>
      <c r="Q514" s="109"/>
      <c r="R514" s="109"/>
      <c r="S514" s="109"/>
      <c r="T514" s="109"/>
      <c r="U514" s="109"/>
      <c r="V514" s="109"/>
      <c r="W514" s="109"/>
      <c r="X514" s="109"/>
      <c r="Y514" s="109"/>
      <c r="Z514" s="109"/>
    </row>
    <row r="515" ht="29.25" customHeight="1">
      <c r="A515" s="109"/>
      <c r="B515" s="109"/>
      <c r="C515" s="109"/>
      <c r="D515" s="109"/>
      <c r="E515" s="109"/>
      <c r="F515" s="109"/>
      <c r="G515" s="109"/>
      <c r="H515" s="109"/>
      <c r="I515" s="109"/>
      <c r="J515" s="109"/>
      <c r="K515" s="109"/>
      <c r="L515" s="109"/>
      <c r="M515" s="109"/>
      <c r="N515" s="109"/>
      <c r="O515" s="109"/>
      <c r="P515" s="109"/>
      <c r="Q515" s="109"/>
      <c r="R515" s="109"/>
      <c r="S515" s="109"/>
      <c r="T515" s="109"/>
      <c r="U515" s="109"/>
      <c r="V515" s="109"/>
      <c r="W515" s="109"/>
      <c r="X515" s="109"/>
      <c r="Y515" s="109"/>
      <c r="Z515" s="109"/>
    </row>
    <row r="516" ht="29.25" customHeight="1">
      <c r="A516" s="109"/>
      <c r="B516" s="109"/>
      <c r="C516" s="109"/>
      <c r="D516" s="109"/>
      <c r="E516" s="109"/>
      <c r="F516" s="109"/>
      <c r="G516" s="109"/>
      <c r="H516" s="109"/>
      <c r="I516" s="109"/>
      <c r="J516" s="109"/>
      <c r="K516" s="109"/>
      <c r="L516" s="109"/>
      <c r="M516" s="109"/>
      <c r="N516" s="109"/>
      <c r="O516" s="109"/>
      <c r="P516" s="109"/>
      <c r="Q516" s="109"/>
      <c r="R516" s="109"/>
      <c r="S516" s="109"/>
      <c r="T516" s="109"/>
      <c r="U516" s="109"/>
      <c r="V516" s="109"/>
      <c r="W516" s="109"/>
      <c r="X516" s="109"/>
      <c r="Y516" s="109"/>
      <c r="Z516" s="109"/>
    </row>
    <row r="517" ht="29.25" customHeight="1">
      <c r="A517" s="109"/>
      <c r="B517" s="109"/>
      <c r="C517" s="109"/>
      <c r="D517" s="109"/>
      <c r="E517" s="109"/>
      <c r="F517" s="109"/>
      <c r="G517" s="109"/>
      <c r="H517" s="109"/>
      <c r="I517" s="109"/>
      <c r="J517" s="109"/>
      <c r="K517" s="109"/>
      <c r="L517" s="109"/>
      <c r="M517" s="109"/>
      <c r="N517" s="109"/>
      <c r="O517" s="109"/>
      <c r="P517" s="109"/>
      <c r="Q517" s="109"/>
      <c r="R517" s="109"/>
      <c r="S517" s="109"/>
      <c r="T517" s="109"/>
      <c r="U517" s="109"/>
      <c r="V517" s="109"/>
      <c r="W517" s="109"/>
      <c r="X517" s="109"/>
      <c r="Y517" s="109"/>
      <c r="Z517" s="109"/>
    </row>
    <row r="518" ht="29.25" customHeight="1">
      <c r="A518" s="109"/>
      <c r="B518" s="109"/>
      <c r="C518" s="109"/>
      <c r="D518" s="109"/>
      <c r="E518" s="109"/>
      <c r="F518" s="109"/>
      <c r="G518" s="109"/>
      <c r="H518" s="109"/>
      <c r="I518" s="109"/>
      <c r="J518" s="109"/>
      <c r="K518" s="109"/>
      <c r="L518" s="109"/>
      <c r="M518" s="109"/>
      <c r="N518" s="109"/>
      <c r="O518" s="109"/>
      <c r="P518" s="109"/>
      <c r="Q518" s="109"/>
      <c r="R518" s="109"/>
      <c r="S518" s="109"/>
      <c r="T518" s="109"/>
      <c r="U518" s="109"/>
      <c r="V518" s="109"/>
      <c r="W518" s="109"/>
      <c r="X518" s="109"/>
      <c r="Y518" s="109"/>
      <c r="Z518" s="109"/>
    </row>
    <row r="519" ht="29.25" customHeight="1">
      <c r="A519" s="109"/>
      <c r="B519" s="109"/>
      <c r="C519" s="109"/>
      <c r="D519" s="109"/>
      <c r="E519" s="109"/>
      <c r="F519" s="109"/>
      <c r="G519" s="109"/>
      <c r="H519" s="109"/>
      <c r="I519" s="109"/>
      <c r="J519" s="109"/>
      <c r="K519" s="109"/>
      <c r="L519" s="109"/>
      <c r="M519" s="109"/>
      <c r="N519" s="109"/>
      <c r="O519" s="109"/>
      <c r="P519" s="109"/>
      <c r="Q519" s="109"/>
      <c r="R519" s="109"/>
      <c r="S519" s="109"/>
      <c r="T519" s="109"/>
      <c r="U519" s="109"/>
      <c r="V519" s="109"/>
      <c r="W519" s="109"/>
      <c r="X519" s="109"/>
      <c r="Y519" s="109"/>
      <c r="Z519" s="109"/>
    </row>
    <row r="520" ht="29.25" customHeight="1">
      <c r="A520" s="109"/>
      <c r="B520" s="109"/>
      <c r="C520" s="109"/>
      <c r="D520" s="109"/>
      <c r="E520" s="109"/>
      <c r="F520" s="109"/>
      <c r="G520" s="109"/>
      <c r="H520" s="109"/>
      <c r="I520" s="109"/>
      <c r="J520" s="109"/>
      <c r="K520" s="109"/>
      <c r="L520" s="109"/>
      <c r="M520" s="109"/>
      <c r="N520" s="109"/>
      <c r="O520" s="109"/>
      <c r="P520" s="109"/>
      <c r="Q520" s="109"/>
      <c r="R520" s="109"/>
      <c r="S520" s="109"/>
      <c r="T520" s="109"/>
      <c r="U520" s="109"/>
      <c r="V520" s="109"/>
      <c r="W520" s="109"/>
      <c r="X520" s="109"/>
      <c r="Y520" s="109"/>
      <c r="Z520" s="109"/>
    </row>
    <row r="521" ht="29.25" customHeight="1">
      <c r="A521" s="109"/>
      <c r="B521" s="109"/>
      <c r="C521" s="109"/>
      <c r="D521" s="109"/>
      <c r="E521" s="109"/>
      <c r="F521" s="109"/>
      <c r="G521" s="109"/>
      <c r="H521" s="109"/>
      <c r="I521" s="109"/>
      <c r="J521" s="109"/>
      <c r="K521" s="109"/>
      <c r="L521" s="109"/>
      <c r="M521" s="109"/>
      <c r="N521" s="109"/>
      <c r="O521" s="109"/>
      <c r="P521" s="109"/>
      <c r="Q521" s="109"/>
      <c r="R521" s="109"/>
      <c r="S521" s="109"/>
      <c r="T521" s="109"/>
      <c r="U521" s="109"/>
      <c r="V521" s="109"/>
      <c r="W521" s="109"/>
      <c r="X521" s="109"/>
      <c r="Y521" s="109"/>
      <c r="Z521" s="109"/>
    </row>
    <row r="522" ht="29.25" customHeight="1">
      <c r="A522" s="109"/>
      <c r="B522" s="109"/>
      <c r="C522" s="109"/>
      <c r="D522" s="109"/>
      <c r="E522" s="109"/>
      <c r="F522" s="109"/>
      <c r="G522" s="109"/>
      <c r="H522" s="109"/>
      <c r="I522" s="109"/>
      <c r="J522" s="109"/>
      <c r="K522" s="109"/>
      <c r="L522" s="109"/>
      <c r="M522" s="109"/>
      <c r="N522" s="109"/>
      <c r="O522" s="109"/>
      <c r="P522" s="109"/>
      <c r="Q522" s="109"/>
      <c r="R522" s="109"/>
      <c r="S522" s="109"/>
      <c r="T522" s="109"/>
      <c r="U522" s="109"/>
      <c r="V522" s="109"/>
      <c r="W522" s="109"/>
      <c r="X522" s="109"/>
      <c r="Y522" s="109"/>
      <c r="Z522" s="109"/>
    </row>
    <row r="523" ht="29.25" customHeight="1">
      <c r="A523" s="109"/>
      <c r="B523" s="109"/>
      <c r="C523" s="109"/>
      <c r="D523" s="109"/>
      <c r="E523" s="109"/>
      <c r="F523" s="109"/>
      <c r="G523" s="109"/>
      <c r="H523" s="109"/>
      <c r="I523" s="109"/>
      <c r="J523" s="109"/>
      <c r="K523" s="109"/>
      <c r="L523" s="109"/>
      <c r="M523" s="109"/>
      <c r="N523" s="109"/>
      <c r="O523" s="109"/>
      <c r="P523" s="109"/>
      <c r="Q523" s="109"/>
      <c r="R523" s="109"/>
      <c r="S523" s="109"/>
      <c r="T523" s="109"/>
      <c r="U523" s="109"/>
      <c r="V523" s="109"/>
      <c r="W523" s="109"/>
      <c r="X523" s="109"/>
      <c r="Y523" s="109"/>
      <c r="Z523" s="109"/>
    </row>
    <row r="524" ht="29.25" customHeight="1">
      <c r="A524" s="109"/>
      <c r="B524" s="109"/>
      <c r="C524" s="109"/>
      <c r="D524" s="109"/>
      <c r="E524" s="109"/>
      <c r="F524" s="109"/>
      <c r="G524" s="109"/>
      <c r="H524" s="109"/>
      <c r="I524" s="109"/>
      <c r="J524" s="109"/>
      <c r="K524" s="109"/>
      <c r="L524" s="109"/>
      <c r="M524" s="109"/>
      <c r="N524" s="109"/>
      <c r="O524" s="109"/>
      <c r="P524" s="109"/>
      <c r="Q524" s="109"/>
      <c r="R524" s="109"/>
      <c r="S524" s="109"/>
      <c r="T524" s="109"/>
      <c r="U524" s="109"/>
      <c r="V524" s="109"/>
      <c r="W524" s="109"/>
      <c r="X524" s="109"/>
      <c r="Y524" s="109"/>
      <c r="Z524" s="109"/>
    </row>
    <row r="525" ht="29.25" customHeight="1">
      <c r="A525" s="109"/>
      <c r="B525" s="109"/>
      <c r="C525" s="109"/>
      <c r="D525" s="109"/>
      <c r="E525" s="109"/>
      <c r="F525" s="109"/>
      <c r="G525" s="109"/>
      <c r="H525" s="109"/>
      <c r="I525" s="109"/>
      <c r="J525" s="109"/>
      <c r="K525" s="109"/>
      <c r="L525" s="109"/>
      <c r="M525" s="109"/>
      <c r="N525" s="109"/>
      <c r="O525" s="109"/>
      <c r="P525" s="109"/>
      <c r="Q525" s="109"/>
      <c r="R525" s="109"/>
      <c r="S525" s="109"/>
      <c r="T525" s="109"/>
      <c r="U525" s="109"/>
      <c r="V525" s="109"/>
      <c r="W525" s="109"/>
      <c r="X525" s="109"/>
      <c r="Y525" s="109"/>
      <c r="Z525" s="109"/>
    </row>
    <row r="526" ht="29.25" customHeight="1">
      <c r="A526" s="109"/>
      <c r="B526" s="109"/>
      <c r="C526" s="109"/>
      <c r="D526" s="109"/>
      <c r="E526" s="109"/>
      <c r="F526" s="109"/>
      <c r="G526" s="109"/>
      <c r="H526" s="109"/>
      <c r="I526" s="109"/>
      <c r="J526" s="109"/>
      <c r="K526" s="109"/>
      <c r="L526" s="109"/>
      <c r="M526" s="109"/>
      <c r="N526" s="109"/>
      <c r="O526" s="109"/>
      <c r="P526" s="109"/>
      <c r="Q526" s="109"/>
      <c r="R526" s="109"/>
      <c r="S526" s="109"/>
      <c r="T526" s="109"/>
      <c r="U526" s="109"/>
      <c r="V526" s="109"/>
      <c r="W526" s="109"/>
      <c r="X526" s="109"/>
      <c r="Y526" s="109"/>
      <c r="Z526" s="109"/>
    </row>
    <row r="527" ht="29.25" customHeight="1">
      <c r="A527" s="109"/>
      <c r="B527" s="109"/>
      <c r="C527" s="109"/>
      <c r="D527" s="109"/>
      <c r="E527" s="109"/>
      <c r="F527" s="109"/>
      <c r="G527" s="109"/>
      <c r="H527" s="109"/>
      <c r="I527" s="109"/>
      <c r="J527" s="109"/>
      <c r="K527" s="109"/>
      <c r="L527" s="109"/>
      <c r="M527" s="109"/>
      <c r="N527" s="109"/>
      <c r="O527" s="109"/>
      <c r="P527" s="109"/>
      <c r="Q527" s="109"/>
      <c r="R527" s="109"/>
      <c r="S527" s="109"/>
      <c r="T527" s="109"/>
      <c r="U527" s="109"/>
      <c r="V527" s="109"/>
      <c r="W527" s="109"/>
      <c r="X527" s="109"/>
      <c r="Y527" s="109"/>
      <c r="Z527" s="109"/>
    </row>
    <row r="528" ht="29.25" customHeight="1">
      <c r="A528" s="109"/>
      <c r="B528" s="109"/>
      <c r="C528" s="109"/>
      <c r="D528" s="109"/>
      <c r="E528" s="109"/>
      <c r="F528" s="109"/>
      <c r="G528" s="109"/>
      <c r="H528" s="109"/>
      <c r="I528" s="109"/>
      <c r="J528" s="109"/>
      <c r="K528" s="109"/>
      <c r="L528" s="109"/>
      <c r="M528" s="109"/>
      <c r="N528" s="109"/>
      <c r="O528" s="109"/>
      <c r="P528" s="109"/>
      <c r="Q528" s="109"/>
      <c r="R528" s="109"/>
      <c r="S528" s="109"/>
      <c r="T528" s="109"/>
      <c r="U528" s="109"/>
      <c r="V528" s="109"/>
      <c r="W528" s="109"/>
      <c r="X528" s="109"/>
      <c r="Y528" s="109"/>
      <c r="Z528" s="109"/>
    </row>
    <row r="529" ht="29.25" customHeight="1">
      <c r="A529" s="109"/>
      <c r="B529" s="109"/>
      <c r="C529" s="109"/>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c r="Z529" s="109"/>
    </row>
    <row r="530" ht="29.25" customHeight="1">
      <c r="A530" s="109"/>
      <c r="B530" s="109"/>
      <c r="C530" s="109"/>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row>
    <row r="531" ht="29.25" customHeight="1">
      <c r="A531" s="109"/>
      <c r="B531" s="109"/>
      <c r="C531" s="109"/>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row>
    <row r="532" ht="29.25" customHeight="1">
      <c r="A532" s="109"/>
      <c r="B532" s="109"/>
      <c r="C532" s="109"/>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row>
    <row r="533" ht="29.25" customHeight="1">
      <c r="A533" s="109"/>
      <c r="B533" s="109"/>
      <c r="C533" s="109"/>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row>
    <row r="534" ht="29.25" customHeight="1">
      <c r="A534" s="109"/>
      <c r="B534" s="109"/>
      <c r="C534" s="109"/>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row>
    <row r="535" ht="29.25" customHeight="1">
      <c r="A535" s="109"/>
      <c r="B535" s="109"/>
      <c r="C535" s="109"/>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c r="Z535" s="109"/>
    </row>
    <row r="536" ht="29.25" customHeight="1">
      <c r="A536" s="109"/>
      <c r="B536" s="109"/>
      <c r="C536" s="109"/>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c r="Z536" s="109"/>
    </row>
    <row r="537" ht="29.25" customHeight="1">
      <c r="A537" s="109"/>
      <c r="B537" s="109"/>
      <c r="C537" s="109"/>
      <c r="D537" s="109"/>
      <c r="E537" s="109"/>
      <c r="F537" s="109"/>
      <c r="G537" s="109"/>
      <c r="H537" s="109"/>
      <c r="I537" s="109"/>
      <c r="J537" s="109"/>
      <c r="K537" s="109"/>
      <c r="L537" s="109"/>
      <c r="M537" s="109"/>
      <c r="N537" s="109"/>
      <c r="O537" s="109"/>
      <c r="P537" s="109"/>
      <c r="Q537" s="109"/>
      <c r="R537" s="109"/>
      <c r="S537" s="109"/>
      <c r="T537" s="109"/>
      <c r="U537" s="109"/>
      <c r="V537" s="109"/>
      <c r="W537" s="109"/>
      <c r="X537" s="109"/>
      <c r="Y537" s="109"/>
      <c r="Z537" s="109"/>
    </row>
    <row r="538" ht="29.25" customHeight="1">
      <c r="A538" s="109"/>
      <c r="B538" s="109"/>
      <c r="C538" s="109"/>
      <c r="D538" s="109"/>
      <c r="E538" s="109"/>
      <c r="F538" s="109"/>
      <c r="G538" s="109"/>
      <c r="H538" s="109"/>
      <c r="I538" s="109"/>
      <c r="J538" s="109"/>
      <c r="K538" s="109"/>
      <c r="L538" s="109"/>
      <c r="M538" s="109"/>
      <c r="N538" s="109"/>
      <c r="O538" s="109"/>
      <c r="P538" s="109"/>
      <c r="Q538" s="109"/>
      <c r="R538" s="109"/>
      <c r="S538" s="109"/>
      <c r="T538" s="109"/>
      <c r="U538" s="109"/>
      <c r="V538" s="109"/>
      <c r="W538" s="109"/>
      <c r="X538" s="109"/>
      <c r="Y538" s="109"/>
      <c r="Z538" s="109"/>
    </row>
    <row r="539" ht="29.25" customHeight="1">
      <c r="A539" s="109"/>
      <c r="B539" s="109"/>
      <c r="C539" s="109"/>
      <c r="D539" s="109"/>
      <c r="E539" s="109"/>
      <c r="F539" s="109"/>
      <c r="G539" s="109"/>
      <c r="H539" s="109"/>
      <c r="I539" s="109"/>
      <c r="J539" s="109"/>
      <c r="K539" s="109"/>
      <c r="L539" s="109"/>
      <c r="M539" s="109"/>
      <c r="N539" s="109"/>
      <c r="O539" s="109"/>
      <c r="P539" s="109"/>
      <c r="Q539" s="109"/>
      <c r="R539" s="109"/>
      <c r="S539" s="109"/>
      <c r="T539" s="109"/>
      <c r="U539" s="109"/>
      <c r="V539" s="109"/>
      <c r="W539" s="109"/>
      <c r="X539" s="109"/>
      <c r="Y539" s="109"/>
      <c r="Z539" s="109"/>
    </row>
    <row r="540" ht="29.25" customHeight="1">
      <c r="A540" s="109"/>
      <c r="B540" s="109"/>
      <c r="C540" s="109"/>
      <c r="D540" s="109"/>
      <c r="E540" s="109"/>
      <c r="F540" s="109"/>
      <c r="G540" s="109"/>
      <c r="H540" s="109"/>
      <c r="I540" s="109"/>
      <c r="J540" s="109"/>
      <c r="K540" s="109"/>
      <c r="L540" s="109"/>
      <c r="M540" s="109"/>
      <c r="N540" s="109"/>
      <c r="O540" s="109"/>
      <c r="P540" s="109"/>
      <c r="Q540" s="109"/>
      <c r="R540" s="109"/>
      <c r="S540" s="109"/>
      <c r="T540" s="109"/>
      <c r="U540" s="109"/>
      <c r="V540" s="109"/>
      <c r="W540" s="109"/>
      <c r="X540" s="109"/>
      <c r="Y540" s="109"/>
      <c r="Z540" s="109"/>
    </row>
    <row r="541" ht="29.25" customHeight="1">
      <c r="A541" s="109"/>
      <c r="B541" s="109"/>
      <c r="C541" s="109"/>
      <c r="D541" s="109"/>
      <c r="E541" s="109"/>
      <c r="F541" s="109"/>
      <c r="G541" s="109"/>
      <c r="H541" s="109"/>
      <c r="I541" s="109"/>
      <c r="J541" s="109"/>
      <c r="K541" s="109"/>
      <c r="L541" s="109"/>
      <c r="M541" s="109"/>
      <c r="N541" s="109"/>
      <c r="O541" s="109"/>
      <c r="P541" s="109"/>
      <c r="Q541" s="109"/>
      <c r="R541" s="109"/>
      <c r="S541" s="109"/>
      <c r="T541" s="109"/>
      <c r="U541" s="109"/>
      <c r="V541" s="109"/>
      <c r="W541" s="109"/>
      <c r="X541" s="109"/>
      <c r="Y541" s="109"/>
      <c r="Z541" s="109"/>
    </row>
    <row r="542" ht="29.25" customHeight="1">
      <c r="A542" s="109"/>
      <c r="B542" s="109"/>
      <c r="C542" s="109"/>
      <c r="D542" s="109"/>
      <c r="E542" s="109"/>
      <c r="F542" s="109"/>
      <c r="G542" s="109"/>
      <c r="H542" s="109"/>
      <c r="I542" s="109"/>
      <c r="J542" s="109"/>
      <c r="K542" s="109"/>
      <c r="L542" s="109"/>
      <c r="M542" s="109"/>
      <c r="N542" s="109"/>
      <c r="O542" s="109"/>
      <c r="P542" s="109"/>
      <c r="Q542" s="109"/>
      <c r="R542" s="109"/>
      <c r="S542" s="109"/>
      <c r="T542" s="109"/>
      <c r="U542" s="109"/>
      <c r="V542" s="109"/>
      <c r="W542" s="109"/>
      <c r="X542" s="109"/>
      <c r="Y542" s="109"/>
      <c r="Z542" s="109"/>
    </row>
    <row r="543" ht="29.25" customHeight="1">
      <c r="A543" s="109"/>
      <c r="B543" s="109"/>
      <c r="C543" s="109"/>
      <c r="D543" s="109"/>
      <c r="E543" s="109"/>
      <c r="F543" s="109"/>
      <c r="G543" s="109"/>
      <c r="H543" s="109"/>
      <c r="I543" s="109"/>
      <c r="J543" s="109"/>
      <c r="K543" s="109"/>
      <c r="L543" s="109"/>
      <c r="M543" s="109"/>
      <c r="N543" s="109"/>
      <c r="O543" s="109"/>
      <c r="P543" s="109"/>
      <c r="Q543" s="109"/>
      <c r="R543" s="109"/>
      <c r="S543" s="109"/>
      <c r="T543" s="109"/>
      <c r="U543" s="109"/>
      <c r="V543" s="109"/>
      <c r="W543" s="109"/>
      <c r="X543" s="109"/>
      <c r="Y543" s="109"/>
      <c r="Z543" s="109"/>
    </row>
    <row r="544" ht="29.25" customHeight="1">
      <c r="A544" s="109"/>
      <c r="B544" s="109"/>
      <c r="C544" s="109"/>
      <c r="D544" s="109"/>
      <c r="E544" s="109"/>
      <c r="F544" s="109"/>
      <c r="G544" s="109"/>
      <c r="H544" s="109"/>
      <c r="I544" s="109"/>
      <c r="J544" s="109"/>
      <c r="K544" s="109"/>
      <c r="L544" s="109"/>
      <c r="M544" s="109"/>
      <c r="N544" s="109"/>
      <c r="O544" s="109"/>
      <c r="P544" s="109"/>
      <c r="Q544" s="109"/>
      <c r="R544" s="109"/>
      <c r="S544" s="109"/>
      <c r="T544" s="109"/>
      <c r="U544" s="109"/>
      <c r="V544" s="109"/>
      <c r="W544" s="109"/>
      <c r="X544" s="109"/>
      <c r="Y544" s="109"/>
      <c r="Z544" s="109"/>
    </row>
    <row r="545" ht="29.25" customHeight="1">
      <c r="A545" s="109"/>
      <c r="B545" s="109"/>
      <c r="C545" s="109"/>
      <c r="D545" s="109"/>
      <c r="E545" s="109"/>
      <c r="F545" s="109"/>
      <c r="G545" s="109"/>
      <c r="H545" s="109"/>
      <c r="I545" s="109"/>
      <c r="J545" s="109"/>
      <c r="K545" s="109"/>
      <c r="L545" s="109"/>
      <c r="M545" s="109"/>
      <c r="N545" s="109"/>
      <c r="O545" s="109"/>
      <c r="P545" s="109"/>
      <c r="Q545" s="109"/>
      <c r="R545" s="109"/>
      <c r="S545" s="109"/>
      <c r="T545" s="109"/>
      <c r="U545" s="109"/>
      <c r="V545" s="109"/>
      <c r="W545" s="109"/>
      <c r="X545" s="109"/>
      <c r="Y545" s="109"/>
      <c r="Z545" s="109"/>
    </row>
    <row r="546" ht="29.25" customHeight="1">
      <c r="A546" s="109"/>
      <c r="B546" s="109"/>
      <c r="C546" s="109"/>
      <c r="D546" s="109"/>
      <c r="E546" s="109"/>
      <c r="F546" s="109"/>
      <c r="G546" s="109"/>
      <c r="H546" s="109"/>
      <c r="I546" s="109"/>
      <c r="J546" s="109"/>
      <c r="K546" s="109"/>
      <c r="L546" s="109"/>
      <c r="M546" s="109"/>
      <c r="N546" s="109"/>
      <c r="O546" s="109"/>
      <c r="P546" s="109"/>
      <c r="Q546" s="109"/>
      <c r="R546" s="109"/>
      <c r="S546" s="109"/>
      <c r="T546" s="109"/>
      <c r="U546" s="109"/>
      <c r="V546" s="109"/>
      <c r="W546" s="109"/>
      <c r="X546" s="109"/>
      <c r="Y546" s="109"/>
      <c r="Z546" s="109"/>
    </row>
    <row r="547" ht="29.25" customHeight="1">
      <c r="A547" s="109"/>
      <c r="B547" s="109"/>
      <c r="C547" s="109"/>
      <c r="D547" s="109"/>
      <c r="E547" s="109"/>
      <c r="F547" s="109"/>
      <c r="G547" s="109"/>
      <c r="H547" s="109"/>
      <c r="I547" s="109"/>
      <c r="J547" s="109"/>
      <c r="K547" s="109"/>
      <c r="L547" s="109"/>
      <c r="M547" s="109"/>
      <c r="N547" s="109"/>
      <c r="O547" s="109"/>
      <c r="P547" s="109"/>
      <c r="Q547" s="109"/>
      <c r="R547" s="109"/>
      <c r="S547" s="109"/>
      <c r="T547" s="109"/>
      <c r="U547" s="109"/>
      <c r="V547" s="109"/>
      <c r="W547" s="109"/>
      <c r="X547" s="109"/>
      <c r="Y547" s="109"/>
      <c r="Z547" s="109"/>
    </row>
    <row r="548" ht="29.25" customHeight="1">
      <c r="A548" s="109"/>
      <c r="B548" s="109"/>
      <c r="C548" s="109"/>
      <c r="D548" s="109"/>
      <c r="E548" s="109"/>
      <c r="F548" s="109"/>
      <c r="G548" s="109"/>
      <c r="H548" s="109"/>
      <c r="I548" s="109"/>
      <c r="J548" s="109"/>
      <c r="K548" s="109"/>
      <c r="L548" s="109"/>
      <c r="M548" s="109"/>
      <c r="N548" s="109"/>
      <c r="O548" s="109"/>
      <c r="P548" s="109"/>
      <c r="Q548" s="109"/>
      <c r="R548" s="109"/>
      <c r="S548" s="109"/>
      <c r="T548" s="109"/>
      <c r="U548" s="109"/>
      <c r="V548" s="109"/>
      <c r="W548" s="109"/>
      <c r="X548" s="109"/>
      <c r="Y548" s="109"/>
      <c r="Z548" s="109"/>
    </row>
    <row r="549" ht="29.25" customHeight="1">
      <c r="A549" s="109"/>
      <c r="B549" s="109"/>
      <c r="C549" s="109"/>
      <c r="D549" s="109"/>
      <c r="E549" s="109"/>
      <c r="F549" s="109"/>
      <c r="G549" s="109"/>
      <c r="H549" s="109"/>
      <c r="I549" s="109"/>
      <c r="J549" s="109"/>
      <c r="K549" s="109"/>
      <c r="L549" s="109"/>
      <c r="M549" s="109"/>
      <c r="N549" s="109"/>
      <c r="O549" s="109"/>
      <c r="P549" s="109"/>
      <c r="Q549" s="109"/>
      <c r="R549" s="109"/>
      <c r="S549" s="109"/>
      <c r="T549" s="109"/>
      <c r="U549" s="109"/>
      <c r="V549" s="109"/>
      <c r="W549" s="109"/>
      <c r="X549" s="109"/>
      <c r="Y549" s="109"/>
      <c r="Z549" s="109"/>
    </row>
    <row r="550" ht="29.25" customHeight="1">
      <c r="A550" s="109"/>
      <c r="B550" s="109"/>
      <c r="C550" s="109"/>
      <c r="D550" s="109"/>
      <c r="E550" s="109"/>
      <c r="F550" s="109"/>
      <c r="G550" s="109"/>
      <c r="H550" s="109"/>
      <c r="I550" s="109"/>
      <c r="J550" s="109"/>
      <c r="K550" s="109"/>
      <c r="L550" s="109"/>
      <c r="M550" s="109"/>
      <c r="N550" s="109"/>
      <c r="O550" s="109"/>
      <c r="P550" s="109"/>
      <c r="Q550" s="109"/>
      <c r="R550" s="109"/>
      <c r="S550" s="109"/>
      <c r="T550" s="109"/>
      <c r="U550" s="109"/>
      <c r="V550" s="109"/>
      <c r="W550" s="109"/>
      <c r="X550" s="109"/>
      <c r="Y550" s="109"/>
      <c r="Z550" s="109"/>
    </row>
    <row r="551" ht="29.25" customHeight="1">
      <c r="A551" s="109"/>
      <c r="B551" s="109"/>
      <c r="C551" s="109"/>
      <c r="D551" s="109"/>
      <c r="E551" s="109"/>
      <c r="F551" s="109"/>
      <c r="G551" s="109"/>
      <c r="H551" s="109"/>
      <c r="I551" s="109"/>
      <c r="J551" s="109"/>
      <c r="K551" s="109"/>
      <c r="L551" s="109"/>
      <c r="M551" s="109"/>
      <c r="N551" s="109"/>
      <c r="O551" s="109"/>
      <c r="P551" s="109"/>
      <c r="Q551" s="109"/>
      <c r="R551" s="109"/>
      <c r="S551" s="109"/>
      <c r="T551" s="109"/>
      <c r="U551" s="109"/>
      <c r="V551" s="109"/>
      <c r="W551" s="109"/>
      <c r="X551" s="109"/>
      <c r="Y551" s="109"/>
      <c r="Z551" s="109"/>
    </row>
    <row r="552" ht="29.25" customHeight="1">
      <c r="A552" s="109"/>
      <c r="B552" s="109"/>
      <c r="C552" s="109"/>
      <c r="D552" s="109"/>
      <c r="E552" s="109"/>
      <c r="F552" s="109"/>
      <c r="G552" s="109"/>
      <c r="H552" s="109"/>
      <c r="I552" s="109"/>
      <c r="J552" s="109"/>
      <c r="K552" s="109"/>
      <c r="L552" s="109"/>
      <c r="M552" s="109"/>
      <c r="N552" s="109"/>
      <c r="O552" s="109"/>
      <c r="P552" s="109"/>
      <c r="Q552" s="109"/>
      <c r="R552" s="109"/>
      <c r="S552" s="109"/>
      <c r="T552" s="109"/>
      <c r="U552" s="109"/>
      <c r="V552" s="109"/>
      <c r="W552" s="109"/>
      <c r="X552" s="109"/>
      <c r="Y552" s="109"/>
      <c r="Z552" s="109"/>
    </row>
    <row r="553" ht="29.25" customHeight="1">
      <c r="A553" s="109"/>
      <c r="B553" s="109"/>
      <c r="C553" s="109"/>
      <c r="D553" s="109"/>
      <c r="E553" s="109"/>
      <c r="F553" s="109"/>
      <c r="G553" s="109"/>
      <c r="H553" s="109"/>
      <c r="I553" s="109"/>
      <c r="J553" s="109"/>
      <c r="K553" s="109"/>
      <c r="L553" s="109"/>
      <c r="M553" s="109"/>
      <c r="N553" s="109"/>
      <c r="O553" s="109"/>
      <c r="P553" s="109"/>
      <c r="Q553" s="109"/>
      <c r="R553" s="109"/>
      <c r="S553" s="109"/>
      <c r="T553" s="109"/>
      <c r="U553" s="109"/>
      <c r="V553" s="109"/>
      <c r="W553" s="109"/>
      <c r="X553" s="109"/>
      <c r="Y553" s="109"/>
      <c r="Z553" s="109"/>
    </row>
    <row r="554" ht="29.25" customHeight="1">
      <c r="A554" s="109"/>
      <c r="B554" s="109"/>
      <c r="C554" s="109"/>
      <c r="D554" s="109"/>
      <c r="E554" s="109"/>
      <c r="F554" s="109"/>
      <c r="G554" s="109"/>
      <c r="H554" s="109"/>
      <c r="I554" s="109"/>
      <c r="J554" s="109"/>
      <c r="K554" s="109"/>
      <c r="L554" s="109"/>
      <c r="M554" s="109"/>
      <c r="N554" s="109"/>
      <c r="O554" s="109"/>
      <c r="P554" s="109"/>
      <c r="Q554" s="109"/>
      <c r="R554" s="109"/>
      <c r="S554" s="109"/>
      <c r="T554" s="109"/>
      <c r="U554" s="109"/>
      <c r="V554" s="109"/>
      <c r="W554" s="109"/>
      <c r="X554" s="109"/>
      <c r="Y554" s="109"/>
      <c r="Z554" s="109"/>
    </row>
    <row r="555" ht="29.25" customHeight="1">
      <c r="A555" s="109"/>
      <c r="B555" s="109"/>
      <c r="C555" s="109"/>
      <c r="D555" s="109"/>
      <c r="E555" s="109"/>
      <c r="F555" s="109"/>
      <c r="G555" s="109"/>
      <c r="H555" s="109"/>
      <c r="I555" s="109"/>
      <c r="J555" s="109"/>
      <c r="K555" s="109"/>
      <c r="L555" s="109"/>
      <c r="M555" s="109"/>
      <c r="N555" s="109"/>
      <c r="O555" s="109"/>
      <c r="P555" s="109"/>
      <c r="Q555" s="109"/>
      <c r="R555" s="109"/>
      <c r="S555" s="109"/>
      <c r="T555" s="109"/>
      <c r="U555" s="109"/>
      <c r="V555" s="109"/>
      <c r="W555" s="109"/>
      <c r="X555" s="109"/>
      <c r="Y555" s="109"/>
      <c r="Z555" s="109"/>
    </row>
    <row r="556" ht="29.25" customHeight="1">
      <c r="A556" s="109"/>
      <c r="B556" s="109"/>
      <c r="C556" s="109"/>
      <c r="D556" s="109"/>
      <c r="E556" s="109"/>
      <c r="F556" s="109"/>
      <c r="G556" s="109"/>
      <c r="H556" s="109"/>
      <c r="I556" s="109"/>
      <c r="J556" s="109"/>
      <c r="K556" s="109"/>
      <c r="L556" s="109"/>
      <c r="M556" s="109"/>
      <c r="N556" s="109"/>
      <c r="O556" s="109"/>
      <c r="P556" s="109"/>
      <c r="Q556" s="109"/>
      <c r="R556" s="109"/>
      <c r="S556" s="109"/>
      <c r="T556" s="109"/>
      <c r="U556" s="109"/>
      <c r="V556" s="109"/>
      <c r="W556" s="109"/>
      <c r="X556" s="109"/>
      <c r="Y556" s="109"/>
      <c r="Z556" s="109"/>
    </row>
    <row r="557" ht="29.25" customHeight="1">
      <c r="A557" s="109"/>
      <c r="B557" s="109"/>
      <c r="C557" s="109"/>
      <c r="D557" s="109"/>
      <c r="E557" s="109"/>
      <c r="F557" s="109"/>
      <c r="G557" s="109"/>
      <c r="H557" s="109"/>
      <c r="I557" s="109"/>
      <c r="J557" s="109"/>
      <c r="K557" s="109"/>
      <c r="L557" s="109"/>
      <c r="M557" s="109"/>
      <c r="N557" s="109"/>
      <c r="O557" s="109"/>
      <c r="P557" s="109"/>
      <c r="Q557" s="109"/>
      <c r="R557" s="109"/>
      <c r="S557" s="109"/>
      <c r="T557" s="109"/>
      <c r="U557" s="109"/>
      <c r="V557" s="109"/>
      <c r="W557" s="109"/>
      <c r="X557" s="109"/>
      <c r="Y557" s="109"/>
      <c r="Z557" s="109"/>
    </row>
    <row r="558" ht="29.25" customHeight="1">
      <c r="A558" s="109"/>
      <c r="B558" s="109"/>
      <c r="C558" s="109"/>
      <c r="D558" s="109"/>
      <c r="E558" s="109"/>
      <c r="F558" s="109"/>
      <c r="G558" s="109"/>
      <c r="H558" s="109"/>
      <c r="I558" s="109"/>
      <c r="J558" s="109"/>
      <c r="K558" s="109"/>
      <c r="L558" s="109"/>
      <c r="M558" s="109"/>
      <c r="N558" s="109"/>
      <c r="O558" s="109"/>
      <c r="P558" s="109"/>
      <c r="Q558" s="109"/>
      <c r="R558" s="109"/>
      <c r="S558" s="109"/>
      <c r="T558" s="109"/>
      <c r="U558" s="109"/>
      <c r="V558" s="109"/>
      <c r="W558" s="109"/>
      <c r="X558" s="109"/>
      <c r="Y558" s="109"/>
      <c r="Z558" s="109"/>
    </row>
    <row r="559" ht="29.25" customHeight="1">
      <c r="A559" s="109"/>
      <c r="B559" s="109"/>
      <c r="C559" s="109"/>
      <c r="D559" s="109"/>
      <c r="E559" s="109"/>
      <c r="F559" s="109"/>
      <c r="G559" s="109"/>
      <c r="H559" s="109"/>
      <c r="I559" s="109"/>
      <c r="J559" s="109"/>
      <c r="K559" s="109"/>
      <c r="L559" s="109"/>
      <c r="M559" s="109"/>
      <c r="N559" s="109"/>
      <c r="O559" s="109"/>
      <c r="P559" s="109"/>
      <c r="Q559" s="109"/>
      <c r="R559" s="109"/>
      <c r="S559" s="109"/>
      <c r="T559" s="109"/>
      <c r="U559" s="109"/>
      <c r="V559" s="109"/>
      <c r="W559" s="109"/>
      <c r="X559" s="109"/>
      <c r="Y559" s="109"/>
      <c r="Z559" s="109"/>
    </row>
    <row r="560" ht="29.25" customHeight="1">
      <c r="A560" s="109"/>
      <c r="B560" s="109"/>
      <c r="C560" s="109"/>
      <c r="D560" s="109"/>
      <c r="E560" s="109"/>
      <c r="F560" s="109"/>
      <c r="G560" s="109"/>
      <c r="H560" s="109"/>
      <c r="I560" s="109"/>
      <c r="J560" s="109"/>
      <c r="K560" s="109"/>
      <c r="L560" s="109"/>
      <c r="M560" s="109"/>
      <c r="N560" s="109"/>
      <c r="O560" s="109"/>
      <c r="P560" s="109"/>
      <c r="Q560" s="109"/>
      <c r="R560" s="109"/>
      <c r="S560" s="109"/>
      <c r="T560" s="109"/>
      <c r="U560" s="109"/>
      <c r="V560" s="109"/>
      <c r="W560" s="109"/>
      <c r="X560" s="109"/>
      <c r="Y560" s="109"/>
      <c r="Z560" s="109"/>
    </row>
    <row r="561" ht="29.25" customHeight="1">
      <c r="A561" s="109"/>
      <c r="B561" s="109"/>
      <c r="C561" s="109"/>
      <c r="D561" s="109"/>
      <c r="E561" s="109"/>
      <c r="F561" s="109"/>
      <c r="G561" s="109"/>
      <c r="H561" s="109"/>
      <c r="I561" s="109"/>
      <c r="J561" s="109"/>
      <c r="K561" s="109"/>
      <c r="L561" s="109"/>
      <c r="M561" s="109"/>
      <c r="N561" s="109"/>
      <c r="O561" s="109"/>
      <c r="P561" s="109"/>
      <c r="Q561" s="109"/>
      <c r="R561" s="109"/>
      <c r="S561" s="109"/>
      <c r="T561" s="109"/>
      <c r="U561" s="109"/>
      <c r="V561" s="109"/>
      <c r="W561" s="109"/>
      <c r="X561" s="109"/>
      <c r="Y561" s="109"/>
      <c r="Z561" s="109"/>
    </row>
    <row r="562" ht="29.25" customHeight="1">
      <c r="A562" s="109"/>
      <c r="B562" s="109"/>
      <c r="C562" s="109"/>
      <c r="D562" s="109"/>
      <c r="E562" s="109"/>
      <c r="F562" s="109"/>
      <c r="G562" s="109"/>
      <c r="H562" s="109"/>
      <c r="I562" s="109"/>
      <c r="J562" s="109"/>
      <c r="K562" s="109"/>
      <c r="L562" s="109"/>
      <c r="M562" s="109"/>
      <c r="N562" s="109"/>
      <c r="O562" s="109"/>
      <c r="P562" s="109"/>
      <c r="Q562" s="109"/>
      <c r="R562" s="109"/>
      <c r="S562" s="109"/>
      <c r="T562" s="109"/>
      <c r="U562" s="109"/>
      <c r="V562" s="109"/>
      <c r="W562" s="109"/>
      <c r="X562" s="109"/>
      <c r="Y562" s="109"/>
      <c r="Z562" s="109"/>
    </row>
    <row r="563" ht="29.25" customHeight="1">
      <c r="A563" s="109"/>
      <c r="B563" s="109"/>
      <c r="C563" s="109"/>
      <c r="D563" s="109"/>
      <c r="E563" s="109"/>
      <c r="F563" s="109"/>
      <c r="G563" s="109"/>
      <c r="H563" s="109"/>
      <c r="I563" s="109"/>
      <c r="J563" s="109"/>
      <c r="K563" s="109"/>
      <c r="L563" s="109"/>
      <c r="M563" s="109"/>
      <c r="N563" s="109"/>
      <c r="O563" s="109"/>
      <c r="P563" s="109"/>
      <c r="Q563" s="109"/>
      <c r="R563" s="109"/>
      <c r="S563" s="109"/>
      <c r="T563" s="109"/>
      <c r="U563" s="109"/>
      <c r="V563" s="109"/>
      <c r="W563" s="109"/>
      <c r="X563" s="109"/>
      <c r="Y563" s="109"/>
      <c r="Z563" s="109"/>
    </row>
    <row r="564" ht="29.25" customHeight="1">
      <c r="A564" s="109"/>
      <c r="B564" s="109"/>
      <c r="C564" s="109"/>
      <c r="D564" s="109"/>
      <c r="E564" s="109"/>
      <c r="F564" s="109"/>
      <c r="G564" s="109"/>
      <c r="H564" s="109"/>
      <c r="I564" s="109"/>
      <c r="J564" s="109"/>
      <c r="K564" s="109"/>
      <c r="L564" s="109"/>
      <c r="M564" s="109"/>
      <c r="N564" s="109"/>
      <c r="O564" s="109"/>
      <c r="P564" s="109"/>
      <c r="Q564" s="109"/>
      <c r="R564" s="109"/>
      <c r="S564" s="109"/>
      <c r="T564" s="109"/>
      <c r="U564" s="109"/>
      <c r="V564" s="109"/>
      <c r="W564" s="109"/>
      <c r="X564" s="109"/>
      <c r="Y564" s="109"/>
      <c r="Z564" s="109"/>
    </row>
    <row r="565" ht="29.25" customHeight="1">
      <c r="A565" s="109"/>
      <c r="B565" s="109"/>
      <c r="C565" s="109"/>
      <c r="D565" s="109"/>
      <c r="E565" s="109"/>
      <c r="F565" s="109"/>
      <c r="G565" s="109"/>
      <c r="H565" s="109"/>
      <c r="I565" s="109"/>
      <c r="J565" s="109"/>
      <c r="K565" s="109"/>
      <c r="L565" s="109"/>
      <c r="M565" s="109"/>
      <c r="N565" s="109"/>
      <c r="O565" s="109"/>
      <c r="P565" s="109"/>
      <c r="Q565" s="109"/>
      <c r="R565" s="109"/>
      <c r="S565" s="109"/>
      <c r="T565" s="109"/>
      <c r="U565" s="109"/>
      <c r="V565" s="109"/>
      <c r="W565" s="109"/>
      <c r="X565" s="109"/>
      <c r="Y565" s="109"/>
      <c r="Z565" s="109"/>
    </row>
    <row r="566" ht="29.25" customHeight="1">
      <c r="A566" s="109"/>
      <c r="B566" s="109"/>
      <c r="C566" s="109"/>
      <c r="D566" s="109"/>
      <c r="E566" s="109"/>
      <c r="F566" s="109"/>
      <c r="G566" s="109"/>
      <c r="H566" s="109"/>
      <c r="I566" s="109"/>
      <c r="J566" s="109"/>
      <c r="K566" s="109"/>
      <c r="L566" s="109"/>
      <c r="M566" s="109"/>
      <c r="N566" s="109"/>
      <c r="O566" s="109"/>
      <c r="P566" s="109"/>
      <c r="Q566" s="109"/>
      <c r="R566" s="109"/>
      <c r="S566" s="109"/>
      <c r="T566" s="109"/>
      <c r="U566" s="109"/>
      <c r="V566" s="109"/>
      <c r="W566" s="109"/>
      <c r="X566" s="109"/>
      <c r="Y566" s="109"/>
      <c r="Z566" s="109"/>
    </row>
    <row r="567" ht="29.25" customHeight="1">
      <c r="A567" s="109"/>
      <c r="B567" s="109"/>
      <c r="C567" s="109"/>
      <c r="D567" s="109"/>
      <c r="E567" s="109"/>
      <c r="F567" s="109"/>
      <c r="G567" s="109"/>
      <c r="H567" s="109"/>
      <c r="I567" s="109"/>
      <c r="J567" s="109"/>
      <c r="K567" s="109"/>
      <c r="L567" s="109"/>
      <c r="M567" s="109"/>
      <c r="N567" s="109"/>
      <c r="O567" s="109"/>
      <c r="P567" s="109"/>
      <c r="Q567" s="109"/>
      <c r="R567" s="109"/>
      <c r="S567" s="109"/>
      <c r="T567" s="109"/>
      <c r="U567" s="109"/>
      <c r="V567" s="109"/>
      <c r="W567" s="109"/>
      <c r="X567" s="109"/>
      <c r="Y567" s="109"/>
      <c r="Z567" s="109"/>
    </row>
    <row r="568" ht="29.25" customHeight="1">
      <c r="A568" s="109"/>
      <c r="B568" s="109"/>
      <c r="C568" s="109"/>
      <c r="D568" s="109"/>
      <c r="E568" s="109"/>
      <c r="F568" s="109"/>
      <c r="G568" s="109"/>
      <c r="H568" s="109"/>
      <c r="I568" s="109"/>
      <c r="J568" s="109"/>
      <c r="K568" s="109"/>
      <c r="L568" s="109"/>
      <c r="M568" s="109"/>
      <c r="N568" s="109"/>
      <c r="O568" s="109"/>
      <c r="P568" s="109"/>
      <c r="Q568" s="109"/>
      <c r="R568" s="109"/>
      <c r="S568" s="109"/>
      <c r="T568" s="109"/>
      <c r="U568" s="109"/>
      <c r="V568" s="109"/>
      <c r="W568" s="109"/>
      <c r="X568" s="109"/>
      <c r="Y568" s="109"/>
      <c r="Z568" s="109"/>
    </row>
    <row r="569" ht="29.25" customHeight="1">
      <c r="A569" s="109"/>
      <c r="B569" s="109"/>
      <c r="C569" s="109"/>
      <c r="D569" s="109"/>
      <c r="E569" s="109"/>
      <c r="F569" s="109"/>
      <c r="G569" s="109"/>
      <c r="H569" s="109"/>
      <c r="I569" s="109"/>
      <c r="J569" s="109"/>
      <c r="K569" s="109"/>
      <c r="L569" s="109"/>
      <c r="M569" s="109"/>
      <c r="N569" s="109"/>
      <c r="O569" s="109"/>
      <c r="P569" s="109"/>
      <c r="Q569" s="109"/>
      <c r="R569" s="109"/>
      <c r="S569" s="109"/>
      <c r="T569" s="109"/>
      <c r="U569" s="109"/>
      <c r="V569" s="109"/>
      <c r="W569" s="109"/>
      <c r="X569" s="109"/>
      <c r="Y569" s="109"/>
      <c r="Z569" s="109"/>
    </row>
    <row r="570" ht="29.25" customHeight="1">
      <c r="A570" s="109"/>
      <c r="B570" s="109"/>
      <c r="C570" s="109"/>
      <c r="D570" s="109"/>
      <c r="E570" s="109"/>
      <c r="F570" s="109"/>
      <c r="G570" s="109"/>
      <c r="H570" s="109"/>
      <c r="I570" s="109"/>
      <c r="J570" s="109"/>
      <c r="K570" s="109"/>
      <c r="L570" s="109"/>
      <c r="M570" s="109"/>
      <c r="N570" s="109"/>
      <c r="O570" s="109"/>
      <c r="P570" s="109"/>
      <c r="Q570" s="109"/>
      <c r="R570" s="109"/>
      <c r="S570" s="109"/>
      <c r="T570" s="109"/>
      <c r="U570" s="109"/>
      <c r="V570" s="109"/>
      <c r="W570" s="109"/>
      <c r="X570" s="109"/>
      <c r="Y570" s="109"/>
      <c r="Z570" s="109"/>
    </row>
    <row r="571" ht="29.25" customHeight="1">
      <c r="A571" s="109"/>
      <c r="B571" s="109"/>
      <c r="C571" s="109"/>
      <c r="D571" s="109"/>
      <c r="E571" s="109"/>
      <c r="F571" s="109"/>
      <c r="G571" s="109"/>
      <c r="H571" s="109"/>
      <c r="I571" s="109"/>
      <c r="J571" s="109"/>
      <c r="K571" s="109"/>
      <c r="L571" s="109"/>
      <c r="M571" s="109"/>
      <c r="N571" s="109"/>
      <c r="O571" s="109"/>
      <c r="P571" s="109"/>
      <c r="Q571" s="109"/>
      <c r="R571" s="109"/>
      <c r="S571" s="109"/>
      <c r="T571" s="109"/>
      <c r="U571" s="109"/>
      <c r="V571" s="109"/>
      <c r="W571" s="109"/>
      <c r="X571" s="109"/>
      <c r="Y571" s="109"/>
      <c r="Z571" s="109"/>
    </row>
    <row r="572" ht="29.25" customHeight="1">
      <c r="A572" s="109"/>
      <c r="B572" s="109"/>
      <c r="C572" s="109"/>
      <c r="D572" s="109"/>
      <c r="E572" s="109"/>
      <c r="F572" s="109"/>
      <c r="G572" s="109"/>
      <c r="H572" s="109"/>
      <c r="I572" s="109"/>
      <c r="J572" s="109"/>
      <c r="K572" s="109"/>
      <c r="L572" s="109"/>
      <c r="M572" s="109"/>
      <c r="N572" s="109"/>
      <c r="O572" s="109"/>
      <c r="P572" s="109"/>
      <c r="Q572" s="109"/>
      <c r="R572" s="109"/>
      <c r="S572" s="109"/>
      <c r="T572" s="109"/>
      <c r="U572" s="109"/>
      <c r="V572" s="109"/>
      <c r="W572" s="109"/>
      <c r="X572" s="109"/>
      <c r="Y572" s="109"/>
      <c r="Z572" s="109"/>
    </row>
    <row r="573" ht="29.25" customHeight="1">
      <c r="A573" s="109"/>
      <c r="B573" s="109"/>
      <c r="C573" s="109"/>
      <c r="D573" s="109"/>
      <c r="E573" s="109"/>
      <c r="F573" s="109"/>
      <c r="G573" s="109"/>
      <c r="H573" s="109"/>
      <c r="I573" s="109"/>
      <c r="J573" s="109"/>
      <c r="K573" s="109"/>
      <c r="L573" s="109"/>
      <c r="M573" s="109"/>
      <c r="N573" s="109"/>
      <c r="O573" s="109"/>
      <c r="P573" s="109"/>
      <c r="Q573" s="109"/>
      <c r="R573" s="109"/>
      <c r="S573" s="109"/>
      <c r="T573" s="109"/>
      <c r="U573" s="109"/>
      <c r="V573" s="109"/>
      <c r="W573" s="109"/>
      <c r="X573" s="109"/>
      <c r="Y573" s="109"/>
      <c r="Z573" s="109"/>
    </row>
    <row r="574" ht="29.25" customHeight="1">
      <c r="A574" s="109"/>
      <c r="B574" s="109"/>
      <c r="C574" s="109"/>
      <c r="D574" s="109"/>
      <c r="E574" s="109"/>
      <c r="F574" s="109"/>
      <c r="G574" s="109"/>
      <c r="H574" s="109"/>
      <c r="I574" s="109"/>
      <c r="J574" s="109"/>
      <c r="K574" s="109"/>
      <c r="L574" s="109"/>
      <c r="M574" s="109"/>
      <c r="N574" s="109"/>
      <c r="O574" s="109"/>
      <c r="P574" s="109"/>
      <c r="Q574" s="109"/>
      <c r="R574" s="109"/>
      <c r="S574" s="109"/>
      <c r="T574" s="109"/>
      <c r="U574" s="109"/>
      <c r="V574" s="109"/>
      <c r="W574" s="109"/>
      <c r="X574" s="109"/>
      <c r="Y574" s="109"/>
      <c r="Z574" s="109"/>
    </row>
    <row r="575" ht="29.25" customHeight="1">
      <c r="A575" s="109"/>
      <c r="B575" s="109"/>
      <c r="C575" s="109"/>
      <c r="D575" s="109"/>
      <c r="E575" s="109"/>
      <c r="F575" s="109"/>
      <c r="G575" s="109"/>
      <c r="H575" s="109"/>
      <c r="I575" s="109"/>
      <c r="J575" s="109"/>
      <c r="K575" s="109"/>
      <c r="L575" s="109"/>
      <c r="M575" s="109"/>
      <c r="N575" s="109"/>
      <c r="O575" s="109"/>
      <c r="P575" s="109"/>
      <c r="Q575" s="109"/>
      <c r="R575" s="109"/>
      <c r="S575" s="109"/>
      <c r="T575" s="109"/>
      <c r="U575" s="109"/>
      <c r="V575" s="109"/>
      <c r="W575" s="109"/>
      <c r="X575" s="109"/>
      <c r="Y575" s="109"/>
      <c r="Z575" s="109"/>
    </row>
    <row r="576" ht="29.25" customHeight="1">
      <c r="A576" s="109"/>
      <c r="B576" s="109"/>
      <c r="C576" s="109"/>
      <c r="D576" s="109"/>
      <c r="E576" s="109"/>
      <c r="F576" s="109"/>
      <c r="G576" s="109"/>
      <c r="H576" s="109"/>
      <c r="I576" s="109"/>
      <c r="J576" s="109"/>
      <c r="K576" s="109"/>
      <c r="L576" s="109"/>
      <c r="M576" s="109"/>
      <c r="N576" s="109"/>
      <c r="O576" s="109"/>
      <c r="P576" s="109"/>
      <c r="Q576" s="109"/>
      <c r="R576" s="109"/>
      <c r="S576" s="109"/>
      <c r="T576" s="109"/>
      <c r="U576" s="109"/>
      <c r="V576" s="109"/>
      <c r="W576" s="109"/>
      <c r="X576" s="109"/>
      <c r="Y576" s="109"/>
      <c r="Z576" s="109"/>
    </row>
    <row r="577" ht="29.25" customHeight="1">
      <c r="A577" s="109"/>
      <c r="B577" s="109"/>
      <c r="C577" s="109"/>
      <c r="D577" s="109"/>
      <c r="E577" s="109"/>
      <c r="F577" s="109"/>
      <c r="G577" s="109"/>
      <c r="H577" s="109"/>
      <c r="I577" s="109"/>
      <c r="J577" s="109"/>
      <c r="K577" s="109"/>
      <c r="L577" s="109"/>
      <c r="M577" s="109"/>
      <c r="N577" s="109"/>
      <c r="O577" s="109"/>
      <c r="P577" s="109"/>
      <c r="Q577" s="109"/>
      <c r="R577" s="109"/>
      <c r="S577" s="109"/>
      <c r="T577" s="109"/>
      <c r="U577" s="109"/>
      <c r="V577" s="109"/>
      <c r="W577" s="109"/>
      <c r="X577" s="109"/>
      <c r="Y577" s="109"/>
      <c r="Z577" s="109"/>
    </row>
    <row r="578" ht="29.25" customHeight="1">
      <c r="A578" s="109"/>
      <c r="B578" s="109"/>
      <c r="C578" s="109"/>
      <c r="D578" s="109"/>
      <c r="E578" s="109"/>
      <c r="F578" s="109"/>
      <c r="G578" s="109"/>
      <c r="H578" s="109"/>
      <c r="I578" s="109"/>
      <c r="J578" s="109"/>
      <c r="K578" s="109"/>
      <c r="L578" s="109"/>
      <c r="M578" s="109"/>
      <c r="N578" s="109"/>
      <c r="O578" s="109"/>
      <c r="P578" s="109"/>
      <c r="Q578" s="109"/>
      <c r="R578" s="109"/>
      <c r="S578" s="109"/>
      <c r="T578" s="109"/>
      <c r="U578" s="109"/>
      <c r="V578" s="109"/>
      <c r="W578" s="109"/>
      <c r="X578" s="109"/>
      <c r="Y578" s="109"/>
      <c r="Z578" s="109"/>
    </row>
    <row r="579" ht="29.25" customHeight="1">
      <c r="A579" s="109"/>
      <c r="B579" s="109"/>
      <c r="C579" s="109"/>
      <c r="D579" s="109"/>
      <c r="E579" s="109"/>
      <c r="F579" s="109"/>
      <c r="G579" s="109"/>
      <c r="H579" s="109"/>
      <c r="I579" s="109"/>
      <c r="J579" s="109"/>
      <c r="K579" s="109"/>
      <c r="L579" s="109"/>
      <c r="M579" s="109"/>
      <c r="N579" s="109"/>
      <c r="O579" s="109"/>
      <c r="P579" s="109"/>
      <c r="Q579" s="109"/>
      <c r="R579" s="109"/>
      <c r="S579" s="109"/>
      <c r="T579" s="109"/>
      <c r="U579" s="109"/>
      <c r="V579" s="109"/>
      <c r="W579" s="109"/>
      <c r="X579" s="109"/>
      <c r="Y579" s="109"/>
      <c r="Z579" s="109"/>
    </row>
    <row r="580" ht="29.25" customHeight="1">
      <c r="A580" s="109"/>
      <c r="B580" s="109"/>
      <c r="C580" s="109"/>
      <c r="D580" s="109"/>
      <c r="E580" s="109"/>
      <c r="F580" s="109"/>
      <c r="G580" s="109"/>
      <c r="H580" s="109"/>
      <c r="I580" s="109"/>
      <c r="J580" s="109"/>
      <c r="K580" s="109"/>
      <c r="L580" s="109"/>
      <c r="M580" s="109"/>
      <c r="N580" s="109"/>
      <c r="O580" s="109"/>
      <c r="P580" s="109"/>
      <c r="Q580" s="109"/>
      <c r="R580" s="109"/>
      <c r="S580" s="109"/>
      <c r="T580" s="109"/>
      <c r="U580" s="109"/>
      <c r="V580" s="109"/>
      <c r="W580" s="109"/>
      <c r="X580" s="109"/>
      <c r="Y580" s="109"/>
      <c r="Z580" s="109"/>
    </row>
    <row r="581" ht="29.25" customHeight="1">
      <c r="A581" s="109"/>
      <c r="B581" s="109"/>
      <c r="C581" s="109"/>
      <c r="D581" s="109"/>
      <c r="E581" s="109"/>
      <c r="F581" s="109"/>
      <c r="G581" s="109"/>
      <c r="H581" s="109"/>
      <c r="I581" s="109"/>
      <c r="J581" s="109"/>
      <c r="K581" s="109"/>
      <c r="L581" s="109"/>
      <c r="M581" s="109"/>
      <c r="N581" s="109"/>
      <c r="O581" s="109"/>
      <c r="P581" s="109"/>
      <c r="Q581" s="109"/>
      <c r="R581" s="109"/>
      <c r="S581" s="109"/>
      <c r="T581" s="109"/>
      <c r="U581" s="109"/>
      <c r="V581" s="109"/>
      <c r="W581" s="109"/>
      <c r="X581" s="109"/>
      <c r="Y581" s="109"/>
      <c r="Z581" s="109"/>
    </row>
    <row r="582" ht="29.25" customHeight="1">
      <c r="A582" s="109"/>
      <c r="B582" s="109"/>
      <c r="C582" s="109"/>
      <c r="D582" s="109"/>
      <c r="E582" s="109"/>
      <c r="F582" s="109"/>
      <c r="G582" s="109"/>
      <c r="H582" s="109"/>
      <c r="I582" s="109"/>
      <c r="J582" s="109"/>
      <c r="K582" s="109"/>
      <c r="L582" s="109"/>
      <c r="M582" s="109"/>
      <c r="N582" s="109"/>
      <c r="O582" s="109"/>
      <c r="P582" s="109"/>
      <c r="Q582" s="109"/>
      <c r="R582" s="109"/>
      <c r="S582" s="109"/>
      <c r="T582" s="109"/>
      <c r="U582" s="109"/>
      <c r="V582" s="109"/>
      <c r="W582" s="109"/>
      <c r="X582" s="109"/>
      <c r="Y582" s="109"/>
      <c r="Z582" s="109"/>
    </row>
    <row r="583" ht="29.25" customHeight="1">
      <c r="A583" s="109"/>
      <c r="B583" s="109"/>
      <c r="C583" s="109"/>
      <c r="D583" s="109"/>
      <c r="E583" s="109"/>
      <c r="F583" s="109"/>
      <c r="G583" s="109"/>
      <c r="H583" s="109"/>
      <c r="I583" s="109"/>
      <c r="J583" s="109"/>
      <c r="K583" s="109"/>
      <c r="L583" s="109"/>
      <c r="M583" s="109"/>
      <c r="N583" s="109"/>
      <c r="O583" s="109"/>
      <c r="P583" s="109"/>
      <c r="Q583" s="109"/>
      <c r="R583" s="109"/>
      <c r="S583" s="109"/>
      <c r="T583" s="109"/>
      <c r="U583" s="109"/>
      <c r="V583" s="109"/>
      <c r="W583" s="109"/>
      <c r="X583" s="109"/>
      <c r="Y583" s="109"/>
      <c r="Z583" s="109"/>
    </row>
    <row r="584" ht="29.25" customHeight="1">
      <c r="A584" s="109"/>
      <c r="B584" s="109"/>
      <c r="C584" s="109"/>
      <c r="D584" s="109"/>
      <c r="E584" s="109"/>
      <c r="F584" s="109"/>
      <c r="G584" s="109"/>
      <c r="H584" s="109"/>
      <c r="I584" s="109"/>
      <c r="J584" s="109"/>
      <c r="K584" s="109"/>
      <c r="L584" s="109"/>
      <c r="M584" s="109"/>
      <c r="N584" s="109"/>
      <c r="O584" s="109"/>
      <c r="P584" s="109"/>
      <c r="Q584" s="109"/>
      <c r="R584" s="109"/>
      <c r="S584" s="109"/>
      <c r="T584" s="109"/>
      <c r="U584" s="109"/>
      <c r="V584" s="109"/>
      <c r="W584" s="109"/>
      <c r="X584" s="109"/>
      <c r="Y584" s="109"/>
      <c r="Z584" s="109"/>
    </row>
    <row r="585" ht="29.25" customHeight="1">
      <c r="A585" s="109"/>
      <c r="B585" s="109"/>
      <c r="C585" s="109"/>
      <c r="D585" s="109"/>
      <c r="E585" s="109"/>
      <c r="F585" s="109"/>
      <c r="G585" s="109"/>
      <c r="H585" s="109"/>
      <c r="I585" s="109"/>
      <c r="J585" s="109"/>
      <c r="K585" s="109"/>
      <c r="L585" s="109"/>
      <c r="M585" s="109"/>
      <c r="N585" s="109"/>
      <c r="O585" s="109"/>
      <c r="P585" s="109"/>
      <c r="Q585" s="109"/>
      <c r="R585" s="109"/>
      <c r="S585" s="109"/>
      <c r="T585" s="109"/>
      <c r="U585" s="109"/>
      <c r="V585" s="109"/>
      <c r="W585" s="109"/>
      <c r="X585" s="109"/>
      <c r="Y585" s="109"/>
      <c r="Z585" s="109"/>
    </row>
    <row r="586" ht="29.25" customHeight="1">
      <c r="A586" s="109"/>
      <c r="B586" s="109"/>
      <c r="C586" s="109"/>
      <c r="D586" s="109"/>
      <c r="E586" s="109"/>
      <c r="F586" s="109"/>
      <c r="G586" s="109"/>
      <c r="H586" s="109"/>
      <c r="I586" s="109"/>
      <c r="J586" s="109"/>
      <c r="K586" s="109"/>
      <c r="L586" s="109"/>
      <c r="M586" s="109"/>
      <c r="N586" s="109"/>
      <c r="O586" s="109"/>
      <c r="P586" s="109"/>
      <c r="Q586" s="109"/>
      <c r="R586" s="109"/>
      <c r="S586" s="109"/>
      <c r="T586" s="109"/>
      <c r="U586" s="109"/>
      <c r="V586" s="109"/>
      <c r="W586" s="109"/>
      <c r="X586" s="109"/>
      <c r="Y586" s="109"/>
      <c r="Z586" s="109"/>
    </row>
    <row r="587" ht="29.25" customHeight="1">
      <c r="A587" s="109"/>
      <c r="B587" s="109"/>
      <c r="C587" s="109"/>
      <c r="D587" s="109"/>
      <c r="E587" s="109"/>
      <c r="F587" s="109"/>
      <c r="G587" s="109"/>
      <c r="H587" s="109"/>
      <c r="I587" s="109"/>
      <c r="J587" s="109"/>
      <c r="K587" s="109"/>
      <c r="L587" s="109"/>
      <c r="M587" s="109"/>
      <c r="N587" s="109"/>
      <c r="O587" s="109"/>
      <c r="P587" s="109"/>
      <c r="Q587" s="109"/>
      <c r="R587" s="109"/>
      <c r="S587" s="109"/>
      <c r="T587" s="109"/>
      <c r="U587" s="109"/>
      <c r="V587" s="109"/>
      <c r="W587" s="109"/>
      <c r="X587" s="109"/>
      <c r="Y587" s="109"/>
      <c r="Z587" s="109"/>
    </row>
    <row r="588" ht="29.25" customHeight="1">
      <c r="A588" s="109"/>
      <c r="B588" s="109"/>
      <c r="C588" s="109"/>
      <c r="D588" s="109"/>
      <c r="E588" s="109"/>
      <c r="F588" s="109"/>
      <c r="G588" s="109"/>
      <c r="H588" s="109"/>
      <c r="I588" s="109"/>
      <c r="J588" s="109"/>
      <c r="K588" s="109"/>
      <c r="L588" s="109"/>
      <c r="M588" s="109"/>
      <c r="N588" s="109"/>
      <c r="O588" s="109"/>
      <c r="P588" s="109"/>
      <c r="Q588" s="109"/>
      <c r="R588" s="109"/>
      <c r="S588" s="109"/>
      <c r="T588" s="109"/>
      <c r="U588" s="109"/>
      <c r="V588" s="109"/>
      <c r="W588" s="109"/>
      <c r="X588" s="109"/>
      <c r="Y588" s="109"/>
      <c r="Z588" s="109"/>
    </row>
    <row r="589" ht="29.25" customHeight="1">
      <c r="A589" s="109"/>
      <c r="B589" s="109"/>
      <c r="C589" s="109"/>
      <c r="D589" s="109"/>
      <c r="E589" s="109"/>
      <c r="F589" s="109"/>
      <c r="G589" s="109"/>
      <c r="H589" s="109"/>
      <c r="I589" s="109"/>
      <c r="J589" s="109"/>
      <c r="K589" s="109"/>
      <c r="L589" s="109"/>
      <c r="M589" s="109"/>
      <c r="N589" s="109"/>
      <c r="O589" s="109"/>
      <c r="P589" s="109"/>
      <c r="Q589" s="109"/>
      <c r="R589" s="109"/>
      <c r="S589" s="109"/>
      <c r="T589" s="109"/>
      <c r="U589" s="109"/>
      <c r="V589" s="109"/>
      <c r="W589" s="109"/>
      <c r="X589" s="109"/>
      <c r="Y589" s="109"/>
      <c r="Z589" s="109"/>
    </row>
    <row r="590" ht="29.25" customHeight="1">
      <c r="A590" s="109"/>
      <c r="B590" s="109"/>
      <c r="C590" s="109"/>
      <c r="D590" s="109"/>
      <c r="E590" s="109"/>
      <c r="F590" s="109"/>
      <c r="G590" s="109"/>
      <c r="H590" s="109"/>
      <c r="I590" s="109"/>
      <c r="J590" s="109"/>
      <c r="K590" s="109"/>
      <c r="L590" s="109"/>
      <c r="M590" s="109"/>
      <c r="N590" s="109"/>
      <c r="O590" s="109"/>
      <c r="P590" s="109"/>
      <c r="Q590" s="109"/>
      <c r="R590" s="109"/>
      <c r="S590" s="109"/>
      <c r="T590" s="109"/>
      <c r="U590" s="109"/>
      <c r="V590" s="109"/>
      <c r="W590" s="109"/>
      <c r="X590" s="109"/>
      <c r="Y590" s="109"/>
      <c r="Z590" s="109"/>
    </row>
    <row r="591" ht="29.25" customHeight="1">
      <c r="A591" s="109"/>
      <c r="B591" s="109"/>
      <c r="C591" s="109"/>
      <c r="D591" s="109"/>
      <c r="E591" s="109"/>
      <c r="F591" s="109"/>
      <c r="G591" s="109"/>
      <c r="H591" s="109"/>
      <c r="I591" s="109"/>
      <c r="J591" s="109"/>
      <c r="K591" s="109"/>
      <c r="L591" s="109"/>
      <c r="M591" s="109"/>
      <c r="N591" s="109"/>
      <c r="O591" s="109"/>
      <c r="P591" s="109"/>
      <c r="Q591" s="109"/>
      <c r="R591" s="109"/>
      <c r="S591" s="109"/>
      <c r="T591" s="109"/>
      <c r="U591" s="109"/>
      <c r="V591" s="109"/>
      <c r="W591" s="109"/>
      <c r="X591" s="109"/>
      <c r="Y591" s="109"/>
      <c r="Z591" s="109"/>
    </row>
    <row r="592" ht="29.25" customHeight="1">
      <c r="A592" s="109"/>
      <c r="B592" s="109"/>
      <c r="C592" s="109"/>
      <c r="D592" s="109"/>
      <c r="E592" s="109"/>
      <c r="F592" s="109"/>
      <c r="G592" s="109"/>
      <c r="H592" s="109"/>
      <c r="I592" s="109"/>
      <c r="J592" s="109"/>
      <c r="K592" s="109"/>
      <c r="L592" s="109"/>
      <c r="M592" s="109"/>
      <c r="N592" s="109"/>
      <c r="O592" s="109"/>
      <c r="P592" s="109"/>
      <c r="Q592" s="109"/>
      <c r="R592" s="109"/>
      <c r="S592" s="109"/>
      <c r="T592" s="109"/>
      <c r="U592" s="109"/>
      <c r="V592" s="109"/>
      <c r="W592" s="109"/>
      <c r="X592" s="109"/>
      <c r="Y592" s="109"/>
      <c r="Z592" s="109"/>
    </row>
    <row r="593" ht="29.25" customHeight="1">
      <c r="A593" s="109"/>
      <c r="B593" s="109"/>
      <c r="C593" s="109"/>
      <c r="D593" s="109"/>
      <c r="E593" s="109"/>
      <c r="F593" s="109"/>
      <c r="G593" s="109"/>
      <c r="H593" s="109"/>
      <c r="I593" s="109"/>
      <c r="J593" s="109"/>
      <c r="K593" s="109"/>
      <c r="L593" s="109"/>
      <c r="M593" s="109"/>
      <c r="N593" s="109"/>
      <c r="O593" s="109"/>
      <c r="P593" s="109"/>
      <c r="Q593" s="109"/>
      <c r="R593" s="109"/>
      <c r="S593" s="109"/>
      <c r="T593" s="109"/>
      <c r="U593" s="109"/>
      <c r="V593" s="109"/>
      <c r="W593" s="109"/>
      <c r="X593" s="109"/>
      <c r="Y593" s="109"/>
      <c r="Z593" s="109"/>
    </row>
    <row r="594" ht="29.25" customHeight="1">
      <c r="A594" s="109"/>
      <c r="B594" s="109"/>
      <c r="C594" s="109"/>
      <c r="D594" s="109"/>
      <c r="E594" s="109"/>
      <c r="F594" s="109"/>
      <c r="G594" s="109"/>
      <c r="H594" s="109"/>
      <c r="I594" s="109"/>
      <c r="J594" s="109"/>
      <c r="K594" s="109"/>
      <c r="L594" s="109"/>
      <c r="M594" s="109"/>
      <c r="N594" s="109"/>
      <c r="O594" s="109"/>
      <c r="P594" s="109"/>
      <c r="Q594" s="109"/>
      <c r="R594" s="109"/>
      <c r="S594" s="109"/>
      <c r="T594" s="109"/>
      <c r="U594" s="109"/>
      <c r="V594" s="109"/>
      <c r="W594" s="109"/>
      <c r="X594" s="109"/>
      <c r="Y594" s="109"/>
      <c r="Z594" s="109"/>
    </row>
    <row r="595" ht="29.25" customHeight="1">
      <c r="A595" s="109"/>
      <c r="B595" s="109"/>
      <c r="C595" s="109"/>
      <c r="D595" s="109"/>
      <c r="E595" s="109"/>
      <c r="F595" s="109"/>
      <c r="G595" s="109"/>
      <c r="H595" s="109"/>
      <c r="I595" s="109"/>
      <c r="J595" s="109"/>
      <c r="K595" s="109"/>
      <c r="L595" s="109"/>
      <c r="M595" s="109"/>
      <c r="N595" s="109"/>
      <c r="O595" s="109"/>
      <c r="P595" s="109"/>
      <c r="Q595" s="109"/>
      <c r="R595" s="109"/>
      <c r="S595" s="109"/>
      <c r="T595" s="109"/>
      <c r="U595" s="109"/>
      <c r="V595" s="109"/>
      <c r="W595" s="109"/>
      <c r="X595" s="109"/>
      <c r="Y595" s="109"/>
      <c r="Z595" s="109"/>
    </row>
    <row r="596" ht="29.25" customHeight="1">
      <c r="A596" s="109"/>
      <c r="B596" s="109"/>
      <c r="C596" s="109"/>
      <c r="D596" s="109"/>
      <c r="E596" s="109"/>
      <c r="F596" s="109"/>
      <c r="G596" s="109"/>
      <c r="H596" s="109"/>
      <c r="I596" s="109"/>
      <c r="J596" s="109"/>
      <c r="K596" s="109"/>
      <c r="L596" s="109"/>
      <c r="M596" s="109"/>
      <c r="N596" s="109"/>
      <c r="O596" s="109"/>
      <c r="P596" s="109"/>
      <c r="Q596" s="109"/>
      <c r="R596" s="109"/>
      <c r="S596" s="109"/>
      <c r="T596" s="109"/>
      <c r="U596" s="109"/>
      <c r="V596" s="109"/>
      <c r="W596" s="109"/>
      <c r="X596" s="109"/>
      <c r="Y596" s="109"/>
      <c r="Z596" s="109"/>
    </row>
    <row r="597" ht="29.25" customHeight="1">
      <c r="A597" s="109"/>
      <c r="B597" s="109"/>
      <c r="C597" s="109"/>
      <c r="D597" s="109"/>
      <c r="E597" s="109"/>
      <c r="F597" s="109"/>
      <c r="G597" s="109"/>
      <c r="H597" s="109"/>
      <c r="I597" s="109"/>
      <c r="J597" s="109"/>
      <c r="K597" s="109"/>
      <c r="L597" s="109"/>
      <c r="M597" s="109"/>
      <c r="N597" s="109"/>
      <c r="O597" s="109"/>
      <c r="P597" s="109"/>
      <c r="Q597" s="109"/>
      <c r="R597" s="109"/>
      <c r="S597" s="109"/>
      <c r="T597" s="109"/>
      <c r="U597" s="109"/>
      <c r="V597" s="109"/>
      <c r="W597" s="109"/>
      <c r="X597" s="109"/>
      <c r="Y597" s="109"/>
      <c r="Z597" s="109"/>
    </row>
    <row r="598" ht="29.25" customHeight="1">
      <c r="A598" s="109"/>
      <c r="B598" s="109"/>
      <c r="C598" s="109"/>
      <c r="D598" s="109"/>
      <c r="E598" s="109"/>
      <c r="F598" s="109"/>
      <c r="G598" s="109"/>
      <c r="H598" s="109"/>
      <c r="I598" s="109"/>
      <c r="J598" s="109"/>
      <c r="K598" s="109"/>
      <c r="L598" s="109"/>
      <c r="M598" s="109"/>
      <c r="N598" s="109"/>
      <c r="O598" s="109"/>
      <c r="P598" s="109"/>
      <c r="Q598" s="109"/>
      <c r="R598" s="109"/>
      <c r="S598" s="109"/>
      <c r="T598" s="109"/>
      <c r="U598" s="109"/>
      <c r="V598" s="109"/>
      <c r="W598" s="109"/>
      <c r="X598" s="109"/>
      <c r="Y598" s="109"/>
      <c r="Z598" s="109"/>
    </row>
    <row r="599" ht="29.25" customHeight="1">
      <c r="A599" s="109"/>
      <c r="B599" s="109"/>
      <c r="C599" s="109"/>
      <c r="D599" s="109"/>
      <c r="E599" s="109"/>
      <c r="F599" s="109"/>
      <c r="G599" s="109"/>
      <c r="H599" s="109"/>
      <c r="I599" s="109"/>
      <c r="J599" s="109"/>
      <c r="K599" s="109"/>
      <c r="L599" s="109"/>
      <c r="M599" s="109"/>
      <c r="N599" s="109"/>
      <c r="O599" s="109"/>
      <c r="P599" s="109"/>
      <c r="Q599" s="109"/>
      <c r="R599" s="109"/>
      <c r="S599" s="109"/>
      <c r="T599" s="109"/>
      <c r="U599" s="109"/>
      <c r="V599" s="109"/>
      <c r="W599" s="109"/>
      <c r="X599" s="109"/>
      <c r="Y599" s="109"/>
      <c r="Z599" s="109"/>
    </row>
    <row r="600" ht="29.25" customHeight="1">
      <c r="A600" s="109"/>
      <c r="B600" s="109"/>
      <c r="C600" s="109"/>
      <c r="D600" s="109"/>
      <c r="E600" s="109"/>
      <c r="F600" s="109"/>
      <c r="G600" s="109"/>
      <c r="H600" s="109"/>
      <c r="I600" s="109"/>
      <c r="J600" s="109"/>
      <c r="K600" s="109"/>
      <c r="L600" s="109"/>
      <c r="M600" s="109"/>
      <c r="N600" s="109"/>
      <c r="O600" s="109"/>
      <c r="P600" s="109"/>
      <c r="Q600" s="109"/>
      <c r="R600" s="109"/>
      <c r="S600" s="109"/>
      <c r="T600" s="109"/>
      <c r="U600" s="109"/>
      <c r="V600" s="109"/>
      <c r="W600" s="109"/>
      <c r="X600" s="109"/>
      <c r="Y600" s="109"/>
      <c r="Z600" s="109"/>
    </row>
    <row r="601" ht="29.25" customHeight="1">
      <c r="A601" s="109"/>
      <c r="B601" s="109"/>
      <c r="C601" s="109"/>
      <c r="D601" s="109"/>
      <c r="E601" s="109"/>
      <c r="F601" s="109"/>
      <c r="G601" s="109"/>
      <c r="H601" s="109"/>
      <c r="I601" s="109"/>
      <c r="J601" s="109"/>
      <c r="K601" s="109"/>
      <c r="L601" s="109"/>
      <c r="M601" s="109"/>
      <c r="N601" s="109"/>
      <c r="O601" s="109"/>
      <c r="P601" s="109"/>
      <c r="Q601" s="109"/>
      <c r="R601" s="109"/>
      <c r="S601" s="109"/>
      <c r="T601" s="109"/>
      <c r="U601" s="109"/>
      <c r="V601" s="109"/>
      <c r="W601" s="109"/>
      <c r="X601" s="109"/>
      <c r="Y601" s="109"/>
      <c r="Z601" s="109"/>
    </row>
    <row r="602" ht="29.25" customHeight="1">
      <c r="A602" s="109"/>
      <c r="B602" s="109"/>
      <c r="C602" s="109"/>
      <c r="D602" s="109"/>
      <c r="E602" s="109"/>
      <c r="F602" s="109"/>
      <c r="G602" s="109"/>
      <c r="H602" s="109"/>
      <c r="I602" s="109"/>
      <c r="J602" s="109"/>
      <c r="K602" s="109"/>
      <c r="L602" s="109"/>
      <c r="M602" s="109"/>
      <c r="N602" s="109"/>
      <c r="O602" s="109"/>
      <c r="P602" s="109"/>
      <c r="Q602" s="109"/>
      <c r="R602" s="109"/>
      <c r="S602" s="109"/>
      <c r="T602" s="109"/>
      <c r="U602" s="109"/>
      <c r="V602" s="109"/>
      <c r="W602" s="109"/>
      <c r="X602" s="109"/>
      <c r="Y602" s="109"/>
      <c r="Z602" s="109"/>
    </row>
    <row r="603" ht="29.25" customHeight="1">
      <c r="A603" s="109"/>
      <c r="B603" s="109"/>
      <c r="C603" s="109"/>
      <c r="D603" s="109"/>
      <c r="E603" s="109"/>
      <c r="F603" s="109"/>
      <c r="G603" s="109"/>
      <c r="H603" s="109"/>
      <c r="I603" s="109"/>
      <c r="J603" s="109"/>
      <c r="K603" s="109"/>
      <c r="L603" s="109"/>
      <c r="M603" s="109"/>
      <c r="N603" s="109"/>
      <c r="O603" s="109"/>
      <c r="P603" s="109"/>
      <c r="Q603" s="109"/>
      <c r="R603" s="109"/>
      <c r="S603" s="109"/>
      <c r="T603" s="109"/>
      <c r="U603" s="109"/>
      <c r="V603" s="109"/>
      <c r="W603" s="109"/>
      <c r="X603" s="109"/>
      <c r="Y603" s="109"/>
      <c r="Z603" s="109"/>
    </row>
    <row r="604" ht="29.25" customHeight="1">
      <c r="A604" s="109"/>
      <c r="B604" s="109"/>
      <c r="C604" s="109"/>
      <c r="D604" s="109"/>
      <c r="E604" s="109"/>
      <c r="F604" s="109"/>
      <c r="G604" s="109"/>
      <c r="H604" s="109"/>
      <c r="I604" s="109"/>
      <c r="J604" s="109"/>
      <c r="K604" s="109"/>
      <c r="L604" s="109"/>
      <c r="M604" s="109"/>
      <c r="N604" s="109"/>
      <c r="O604" s="109"/>
      <c r="P604" s="109"/>
      <c r="Q604" s="109"/>
      <c r="R604" s="109"/>
      <c r="S604" s="109"/>
      <c r="T604" s="109"/>
      <c r="U604" s="109"/>
      <c r="V604" s="109"/>
      <c r="W604" s="109"/>
      <c r="X604" s="109"/>
      <c r="Y604" s="109"/>
      <c r="Z604" s="109"/>
    </row>
    <row r="605" ht="29.25" customHeight="1">
      <c r="A605" s="109"/>
      <c r="B605" s="109"/>
      <c r="C605" s="109"/>
      <c r="D605" s="109"/>
      <c r="E605" s="109"/>
      <c r="F605" s="109"/>
      <c r="G605" s="109"/>
      <c r="H605" s="109"/>
      <c r="I605" s="109"/>
      <c r="J605" s="109"/>
      <c r="K605" s="109"/>
      <c r="L605" s="109"/>
      <c r="M605" s="109"/>
      <c r="N605" s="109"/>
      <c r="O605" s="109"/>
      <c r="P605" s="109"/>
      <c r="Q605" s="109"/>
      <c r="R605" s="109"/>
      <c r="S605" s="109"/>
      <c r="T605" s="109"/>
      <c r="U605" s="109"/>
      <c r="V605" s="109"/>
      <c r="W605" s="109"/>
      <c r="X605" s="109"/>
      <c r="Y605" s="109"/>
      <c r="Z605" s="109"/>
    </row>
    <row r="606" ht="29.25" customHeight="1">
      <c r="A606" s="109"/>
      <c r="B606" s="109"/>
      <c r="C606" s="109"/>
      <c r="D606" s="109"/>
      <c r="E606" s="109"/>
      <c r="F606" s="109"/>
      <c r="G606" s="109"/>
      <c r="H606" s="109"/>
      <c r="I606" s="109"/>
      <c r="J606" s="109"/>
      <c r="K606" s="109"/>
      <c r="L606" s="109"/>
      <c r="M606" s="109"/>
      <c r="N606" s="109"/>
      <c r="O606" s="109"/>
      <c r="P606" s="109"/>
      <c r="Q606" s="109"/>
      <c r="R606" s="109"/>
      <c r="S606" s="109"/>
      <c r="T606" s="109"/>
      <c r="U606" s="109"/>
      <c r="V606" s="109"/>
      <c r="W606" s="109"/>
      <c r="X606" s="109"/>
      <c r="Y606" s="109"/>
      <c r="Z606" s="109"/>
    </row>
    <row r="607" ht="29.25" customHeight="1">
      <c r="A607" s="109"/>
      <c r="B607" s="109"/>
      <c r="C607" s="109"/>
      <c r="D607" s="109"/>
      <c r="E607" s="109"/>
      <c r="F607" s="109"/>
      <c r="G607" s="109"/>
      <c r="H607" s="109"/>
      <c r="I607" s="109"/>
      <c r="J607" s="109"/>
      <c r="K607" s="109"/>
      <c r="L607" s="109"/>
      <c r="M607" s="109"/>
      <c r="N607" s="109"/>
      <c r="O607" s="109"/>
      <c r="P607" s="109"/>
      <c r="Q607" s="109"/>
      <c r="R607" s="109"/>
      <c r="S607" s="109"/>
      <c r="T607" s="109"/>
      <c r="U607" s="109"/>
      <c r="V607" s="109"/>
      <c r="W607" s="109"/>
      <c r="X607" s="109"/>
      <c r="Y607" s="109"/>
      <c r="Z607" s="109"/>
    </row>
    <row r="608" ht="29.25" customHeight="1">
      <c r="A608" s="109"/>
      <c r="B608" s="109"/>
      <c r="C608" s="109"/>
      <c r="D608" s="109"/>
      <c r="E608" s="109"/>
      <c r="F608" s="109"/>
      <c r="G608" s="109"/>
      <c r="H608" s="109"/>
      <c r="I608" s="109"/>
      <c r="J608" s="109"/>
      <c r="K608" s="109"/>
      <c r="L608" s="109"/>
      <c r="M608" s="109"/>
      <c r="N608" s="109"/>
      <c r="O608" s="109"/>
      <c r="P608" s="109"/>
      <c r="Q608" s="109"/>
      <c r="R608" s="109"/>
      <c r="S608" s="109"/>
      <c r="T608" s="109"/>
      <c r="U608" s="109"/>
      <c r="V608" s="109"/>
      <c r="W608" s="109"/>
      <c r="X608" s="109"/>
      <c r="Y608" s="109"/>
      <c r="Z608" s="109"/>
    </row>
    <row r="609" ht="29.25" customHeight="1">
      <c r="A609" s="109"/>
      <c r="B609" s="109"/>
      <c r="C609" s="109"/>
      <c r="D609" s="109"/>
      <c r="E609" s="109"/>
      <c r="F609" s="109"/>
      <c r="G609" s="109"/>
      <c r="H609" s="109"/>
      <c r="I609" s="109"/>
      <c r="J609" s="109"/>
      <c r="K609" s="109"/>
      <c r="L609" s="109"/>
      <c r="M609" s="109"/>
      <c r="N609" s="109"/>
      <c r="O609" s="109"/>
      <c r="P609" s="109"/>
      <c r="Q609" s="109"/>
      <c r="R609" s="109"/>
      <c r="S609" s="109"/>
      <c r="T609" s="109"/>
      <c r="U609" s="109"/>
      <c r="V609" s="109"/>
      <c r="W609" s="109"/>
      <c r="X609" s="109"/>
      <c r="Y609" s="109"/>
      <c r="Z609" s="109"/>
    </row>
    <row r="610" ht="29.25" customHeight="1">
      <c r="A610" s="109"/>
      <c r="B610" s="109"/>
      <c r="C610" s="109"/>
      <c r="D610" s="109"/>
      <c r="E610" s="109"/>
      <c r="F610" s="109"/>
      <c r="G610" s="109"/>
      <c r="H610" s="109"/>
      <c r="I610" s="109"/>
      <c r="J610" s="109"/>
      <c r="K610" s="109"/>
      <c r="L610" s="109"/>
      <c r="M610" s="109"/>
      <c r="N610" s="109"/>
      <c r="O610" s="109"/>
      <c r="P610" s="109"/>
      <c r="Q610" s="109"/>
      <c r="R610" s="109"/>
      <c r="S610" s="109"/>
      <c r="T610" s="109"/>
      <c r="U610" s="109"/>
      <c r="V610" s="109"/>
      <c r="W610" s="109"/>
      <c r="X610" s="109"/>
      <c r="Y610" s="109"/>
      <c r="Z610" s="109"/>
    </row>
    <row r="611" ht="29.25" customHeight="1">
      <c r="A611" s="109"/>
      <c r="B611" s="109"/>
      <c r="C611" s="109"/>
      <c r="D611" s="109"/>
      <c r="E611" s="109"/>
      <c r="F611" s="109"/>
      <c r="G611" s="109"/>
      <c r="H611" s="109"/>
      <c r="I611" s="109"/>
      <c r="J611" s="109"/>
      <c r="K611" s="109"/>
      <c r="L611" s="109"/>
      <c r="M611" s="109"/>
      <c r="N611" s="109"/>
      <c r="O611" s="109"/>
      <c r="P611" s="109"/>
      <c r="Q611" s="109"/>
      <c r="R611" s="109"/>
      <c r="S611" s="109"/>
      <c r="T611" s="109"/>
      <c r="U611" s="109"/>
      <c r="V611" s="109"/>
      <c r="W611" s="109"/>
      <c r="X611" s="109"/>
      <c r="Y611" s="109"/>
      <c r="Z611" s="109"/>
    </row>
    <row r="612" ht="29.25" customHeight="1">
      <c r="A612" s="109"/>
      <c r="B612" s="109"/>
      <c r="C612" s="109"/>
      <c r="D612" s="109"/>
      <c r="E612" s="109"/>
      <c r="F612" s="109"/>
      <c r="G612" s="109"/>
      <c r="H612" s="109"/>
      <c r="I612" s="109"/>
      <c r="J612" s="109"/>
      <c r="K612" s="109"/>
      <c r="L612" s="109"/>
      <c r="M612" s="109"/>
      <c r="N612" s="109"/>
      <c r="O612" s="109"/>
      <c r="P612" s="109"/>
      <c r="Q612" s="109"/>
      <c r="R612" s="109"/>
      <c r="S612" s="109"/>
      <c r="T612" s="109"/>
      <c r="U612" s="109"/>
      <c r="V612" s="109"/>
      <c r="W612" s="109"/>
      <c r="X612" s="109"/>
      <c r="Y612" s="109"/>
      <c r="Z612" s="109"/>
    </row>
    <row r="613" ht="29.25" customHeight="1">
      <c r="A613" s="109"/>
      <c r="B613" s="109"/>
      <c r="C613" s="109"/>
      <c r="D613" s="109"/>
      <c r="E613" s="109"/>
      <c r="F613" s="109"/>
      <c r="G613" s="109"/>
      <c r="H613" s="109"/>
      <c r="I613" s="109"/>
      <c r="J613" s="109"/>
      <c r="K613" s="109"/>
      <c r="L613" s="109"/>
      <c r="M613" s="109"/>
      <c r="N613" s="109"/>
      <c r="O613" s="109"/>
      <c r="P613" s="109"/>
      <c r="Q613" s="109"/>
      <c r="R613" s="109"/>
      <c r="S613" s="109"/>
      <c r="T613" s="109"/>
      <c r="U613" s="109"/>
      <c r="V613" s="109"/>
      <c r="W613" s="109"/>
      <c r="X613" s="109"/>
      <c r="Y613" s="109"/>
      <c r="Z613" s="109"/>
    </row>
    <row r="614" ht="29.25" customHeight="1">
      <c r="A614" s="109"/>
      <c r="B614" s="109"/>
      <c r="C614" s="109"/>
      <c r="D614" s="109"/>
      <c r="E614" s="109"/>
      <c r="F614" s="109"/>
      <c r="G614" s="109"/>
      <c r="H614" s="109"/>
      <c r="I614" s="109"/>
      <c r="J614" s="109"/>
      <c r="K614" s="109"/>
      <c r="L614" s="109"/>
      <c r="M614" s="109"/>
      <c r="N614" s="109"/>
      <c r="O614" s="109"/>
      <c r="P614" s="109"/>
      <c r="Q614" s="109"/>
      <c r="R614" s="109"/>
      <c r="S614" s="109"/>
      <c r="T614" s="109"/>
      <c r="U614" s="109"/>
      <c r="V614" s="109"/>
      <c r="W614" s="109"/>
      <c r="X614" s="109"/>
      <c r="Y614" s="109"/>
      <c r="Z614" s="109"/>
    </row>
    <row r="615" ht="29.25" customHeight="1">
      <c r="A615" s="109"/>
      <c r="B615" s="109"/>
      <c r="C615" s="109"/>
      <c r="D615" s="109"/>
      <c r="E615" s="109"/>
      <c r="F615" s="109"/>
      <c r="G615" s="109"/>
      <c r="H615" s="109"/>
      <c r="I615" s="109"/>
      <c r="J615" s="109"/>
      <c r="K615" s="109"/>
      <c r="L615" s="109"/>
      <c r="M615" s="109"/>
      <c r="N615" s="109"/>
      <c r="O615" s="109"/>
      <c r="P615" s="109"/>
      <c r="Q615" s="109"/>
      <c r="R615" s="109"/>
      <c r="S615" s="109"/>
      <c r="T615" s="109"/>
      <c r="U615" s="109"/>
      <c r="V615" s="109"/>
      <c r="W615" s="109"/>
      <c r="X615" s="109"/>
      <c r="Y615" s="109"/>
      <c r="Z615" s="109"/>
    </row>
    <row r="616" ht="29.25" customHeight="1">
      <c r="A616" s="109"/>
      <c r="B616" s="109"/>
      <c r="C616" s="109"/>
      <c r="D616" s="109"/>
      <c r="E616" s="109"/>
      <c r="F616" s="109"/>
      <c r="G616" s="109"/>
      <c r="H616" s="109"/>
      <c r="I616" s="109"/>
      <c r="J616" s="109"/>
      <c r="K616" s="109"/>
      <c r="L616" s="109"/>
      <c r="M616" s="109"/>
      <c r="N616" s="109"/>
      <c r="O616" s="109"/>
      <c r="P616" s="109"/>
      <c r="Q616" s="109"/>
      <c r="R616" s="109"/>
      <c r="S616" s="109"/>
      <c r="T616" s="109"/>
      <c r="U616" s="109"/>
      <c r="V616" s="109"/>
      <c r="W616" s="109"/>
      <c r="X616" s="109"/>
      <c r="Y616" s="109"/>
      <c r="Z616" s="109"/>
    </row>
    <row r="617" ht="29.25" customHeight="1">
      <c r="A617" s="109"/>
      <c r="B617" s="109"/>
      <c r="C617" s="109"/>
      <c r="D617" s="109"/>
      <c r="E617" s="109"/>
      <c r="F617" s="109"/>
      <c r="G617" s="109"/>
      <c r="H617" s="109"/>
      <c r="I617" s="109"/>
      <c r="J617" s="109"/>
      <c r="K617" s="109"/>
      <c r="L617" s="109"/>
      <c r="M617" s="109"/>
      <c r="N617" s="109"/>
      <c r="O617" s="109"/>
      <c r="P617" s="109"/>
      <c r="Q617" s="109"/>
      <c r="R617" s="109"/>
      <c r="S617" s="109"/>
      <c r="T617" s="109"/>
      <c r="U617" s="109"/>
      <c r="V617" s="109"/>
      <c r="W617" s="109"/>
      <c r="X617" s="109"/>
      <c r="Y617" s="109"/>
      <c r="Z617" s="109"/>
    </row>
    <row r="618" ht="29.25" customHeight="1">
      <c r="A618" s="109"/>
      <c r="B618" s="109"/>
      <c r="C618" s="109"/>
      <c r="D618" s="109"/>
      <c r="E618" s="109"/>
      <c r="F618" s="109"/>
      <c r="G618" s="109"/>
      <c r="H618" s="109"/>
      <c r="I618" s="109"/>
      <c r="J618" s="109"/>
      <c r="K618" s="109"/>
      <c r="L618" s="109"/>
      <c r="M618" s="109"/>
      <c r="N618" s="109"/>
      <c r="O618" s="109"/>
      <c r="P618" s="109"/>
      <c r="Q618" s="109"/>
      <c r="R618" s="109"/>
      <c r="S618" s="109"/>
      <c r="T618" s="109"/>
      <c r="U618" s="109"/>
      <c r="V618" s="109"/>
      <c r="W618" s="109"/>
      <c r="X618" s="109"/>
      <c r="Y618" s="109"/>
      <c r="Z618" s="109"/>
    </row>
    <row r="619" ht="29.25" customHeight="1">
      <c r="A619" s="109"/>
      <c r="B619" s="109"/>
      <c r="C619" s="109"/>
      <c r="D619" s="109"/>
      <c r="E619" s="109"/>
      <c r="F619" s="109"/>
      <c r="G619" s="109"/>
      <c r="H619" s="109"/>
      <c r="I619" s="109"/>
      <c r="J619" s="109"/>
      <c r="K619" s="109"/>
      <c r="L619" s="109"/>
      <c r="M619" s="109"/>
      <c r="N619" s="109"/>
      <c r="O619" s="109"/>
      <c r="P619" s="109"/>
      <c r="Q619" s="109"/>
      <c r="R619" s="109"/>
      <c r="S619" s="109"/>
      <c r="T619" s="109"/>
      <c r="U619" s="109"/>
      <c r="V619" s="109"/>
      <c r="W619" s="109"/>
      <c r="X619" s="109"/>
      <c r="Y619" s="109"/>
      <c r="Z619" s="109"/>
    </row>
    <row r="620" ht="29.25" customHeight="1">
      <c r="A620" s="109"/>
      <c r="B620" s="109"/>
      <c r="C620" s="109"/>
      <c r="D620" s="109"/>
      <c r="E620" s="109"/>
      <c r="F620" s="109"/>
      <c r="G620" s="109"/>
      <c r="H620" s="109"/>
      <c r="I620" s="109"/>
      <c r="J620" s="109"/>
      <c r="K620" s="109"/>
      <c r="L620" s="109"/>
      <c r="M620" s="109"/>
      <c r="N620" s="109"/>
      <c r="O620" s="109"/>
      <c r="P620" s="109"/>
      <c r="Q620" s="109"/>
      <c r="R620" s="109"/>
      <c r="S620" s="109"/>
      <c r="T620" s="109"/>
      <c r="U620" s="109"/>
      <c r="V620" s="109"/>
      <c r="W620" s="109"/>
      <c r="X620" s="109"/>
      <c r="Y620" s="109"/>
      <c r="Z620" s="109"/>
    </row>
    <row r="621" ht="29.25" customHeight="1">
      <c r="A621" s="109"/>
      <c r="B621" s="109"/>
      <c r="C621" s="109"/>
      <c r="D621" s="109"/>
      <c r="E621" s="109"/>
      <c r="F621" s="109"/>
      <c r="G621" s="109"/>
      <c r="H621" s="109"/>
      <c r="I621" s="109"/>
      <c r="J621" s="109"/>
      <c r="K621" s="109"/>
      <c r="L621" s="109"/>
      <c r="M621" s="109"/>
      <c r="N621" s="109"/>
      <c r="O621" s="109"/>
      <c r="P621" s="109"/>
      <c r="Q621" s="109"/>
      <c r="R621" s="109"/>
      <c r="S621" s="109"/>
      <c r="T621" s="109"/>
      <c r="U621" s="109"/>
      <c r="V621" s="109"/>
      <c r="W621" s="109"/>
      <c r="X621" s="109"/>
      <c r="Y621" s="109"/>
      <c r="Z621" s="109"/>
    </row>
    <row r="622" ht="29.25" customHeight="1">
      <c r="A622" s="109"/>
      <c r="B622" s="109"/>
      <c r="C622" s="109"/>
      <c r="D622" s="109"/>
      <c r="E622" s="109"/>
      <c r="F622" s="109"/>
      <c r="G622" s="109"/>
      <c r="H622" s="109"/>
      <c r="I622" s="109"/>
      <c r="J622" s="109"/>
      <c r="K622" s="109"/>
      <c r="L622" s="109"/>
      <c r="M622" s="109"/>
      <c r="N622" s="109"/>
      <c r="O622" s="109"/>
      <c r="P622" s="109"/>
      <c r="Q622" s="109"/>
      <c r="R622" s="109"/>
      <c r="S622" s="109"/>
      <c r="T622" s="109"/>
      <c r="U622" s="109"/>
      <c r="V622" s="109"/>
      <c r="W622" s="109"/>
      <c r="X622" s="109"/>
      <c r="Y622" s="109"/>
      <c r="Z622" s="109"/>
    </row>
    <row r="623" ht="29.25" customHeight="1">
      <c r="A623" s="109"/>
      <c r="B623" s="109"/>
      <c r="C623" s="109"/>
      <c r="D623" s="109"/>
      <c r="E623" s="109"/>
      <c r="F623" s="109"/>
      <c r="G623" s="109"/>
      <c r="H623" s="109"/>
      <c r="I623" s="109"/>
      <c r="J623" s="109"/>
      <c r="K623" s="109"/>
      <c r="L623" s="109"/>
      <c r="M623" s="109"/>
      <c r="N623" s="109"/>
      <c r="O623" s="109"/>
      <c r="P623" s="109"/>
      <c r="Q623" s="109"/>
      <c r="R623" s="109"/>
      <c r="S623" s="109"/>
      <c r="T623" s="109"/>
      <c r="U623" s="109"/>
      <c r="V623" s="109"/>
      <c r="W623" s="109"/>
      <c r="X623" s="109"/>
      <c r="Y623" s="109"/>
      <c r="Z623" s="109"/>
    </row>
    <row r="624" ht="29.25" customHeight="1">
      <c r="A624" s="109"/>
      <c r="B624" s="109"/>
      <c r="C624" s="109"/>
      <c r="D624" s="109"/>
      <c r="E624" s="109"/>
      <c r="F624" s="109"/>
      <c r="G624" s="109"/>
      <c r="H624" s="109"/>
      <c r="I624" s="109"/>
      <c r="J624" s="109"/>
      <c r="K624" s="109"/>
      <c r="L624" s="109"/>
      <c r="M624" s="109"/>
      <c r="N624" s="109"/>
      <c r="O624" s="109"/>
      <c r="P624" s="109"/>
      <c r="Q624" s="109"/>
      <c r="R624" s="109"/>
      <c r="S624" s="109"/>
      <c r="T624" s="109"/>
      <c r="U624" s="109"/>
      <c r="V624" s="109"/>
      <c r="W624" s="109"/>
      <c r="X624" s="109"/>
      <c r="Y624" s="109"/>
      <c r="Z624" s="109"/>
    </row>
    <row r="625" ht="29.25" customHeight="1">
      <c r="A625" s="109"/>
      <c r="B625" s="109"/>
      <c r="C625" s="109"/>
      <c r="D625" s="109"/>
      <c r="E625" s="109"/>
      <c r="F625" s="109"/>
      <c r="G625" s="109"/>
      <c r="H625" s="109"/>
      <c r="I625" s="109"/>
      <c r="J625" s="109"/>
      <c r="K625" s="109"/>
      <c r="L625" s="109"/>
      <c r="M625" s="109"/>
      <c r="N625" s="109"/>
      <c r="O625" s="109"/>
      <c r="P625" s="109"/>
      <c r="Q625" s="109"/>
      <c r="R625" s="109"/>
      <c r="S625" s="109"/>
      <c r="T625" s="109"/>
      <c r="U625" s="109"/>
      <c r="V625" s="109"/>
      <c r="W625" s="109"/>
      <c r="X625" s="109"/>
      <c r="Y625" s="109"/>
      <c r="Z625" s="109"/>
    </row>
    <row r="626" ht="29.25" customHeight="1">
      <c r="A626" s="109"/>
      <c r="B626" s="109"/>
      <c r="C626" s="109"/>
      <c r="D626" s="109"/>
      <c r="E626" s="109"/>
      <c r="F626" s="109"/>
      <c r="G626" s="109"/>
      <c r="H626" s="109"/>
      <c r="I626" s="109"/>
      <c r="J626" s="109"/>
      <c r="K626" s="109"/>
      <c r="L626" s="109"/>
      <c r="M626" s="109"/>
      <c r="N626" s="109"/>
      <c r="O626" s="109"/>
      <c r="P626" s="109"/>
      <c r="Q626" s="109"/>
      <c r="R626" s="109"/>
      <c r="S626" s="109"/>
      <c r="T626" s="109"/>
      <c r="U626" s="109"/>
      <c r="V626" s="109"/>
      <c r="W626" s="109"/>
      <c r="X626" s="109"/>
      <c r="Y626" s="109"/>
      <c r="Z626" s="109"/>
    </row>
    <row r="627" ht="29.25" customHeight="1">
      <c r="A627" s="109"/>
      <c r="B627" s="109"/>
      <c r="C627" s="109"/>
      <c r="D627" s="109"/>
      <c r="E627" s="109"/>
      <c r="F627" s="109"/>
      <c r="G627" s="109"/>
      <c r="H627" s="109"/>
      <c r="I627" s="109"/>
      <c r="J627" s="109"/>
      <c r="K627" s="109"/>
      <c r="L627" s="109"/>
      <c r="M627" s="109"/>
      <c r="N627" s="109"/>
      <c r="O627" s="109"/>
      <c r="P627" s="109"/>
      <c r="Q627" s="109"/>
      <c r="R627" s="109"/>
      <c r="S627" s="109"/>
      <c r="T627" s="109"/>
      <c r="U627" s="109"/>
      <c r="V627" s="109"/>
      <c r="W627" s="109"/>
      <c r="X627" s="109"/>
      <c r="Y627" s="109"/>
      <c r="Z627" s="109"/>
    </row>
    <row r="628" ht="29.25" customHeight="1">
      <c r="A628" s="109"/>
      <c r="B628" s="109"/>
      <c r="C628" s="109"/>
      <c r="D628" s="109"/>
      <c r="E628" s="109"/>
      <c r="F628" s="109"/>
      <c r="G628" s="109"/>
      <c r="H628" s="109"/>
      <c r="I628" s="109"/>
      <c r="J628" s="109"/>
      <c r="K628" s="109"/>
      <c r="L628" s="109"/>
      <c r="M628" s="109"/>
      <c r="N628" s="109"/>
      <c r="O628" s="109"/>
      <c r="P628" s="109"/>
      <c r="Q628" s="109"/>
      <c r="R628" s="109"/>
      <c r="S628" s="109"/>
      <c r="T628" s="109"/>
      <c r="U628" s="109"/>
      <c r="V628" s="109"/>
      <c r="W628" s="109"/>
      <c r="X628" s="109"/>
      <c r="Y628" s="109"/>
      <c r="Z628" s="109"/>
    </row>
    <row r="629" ht="29.25" customHeight="1">
      <c r="A629" s="109"/>
      <c r="B629" s="109"/>
      <c r="C629" s="109"/>
      <c r="D629" s="109"/>
      <c r="E629" s="109"/>
      <c r="F629" s="109"/>
      <c r="G629" s="109"/>
      <c r="H629" s="109"/>
      <c r="I629" s="109"/>
      <c r="J629" s="109"/>
      <c r="K629" s="109"/>
      <c r="L629" s="109"/>
      <c r="M629" s="109"/>
      <c r="N629" s="109"/>
      <c r="O629" s="109"/>
      <c r="P629" s="109"/>
      <c r="Q629" s="109"/>
      <c r="R629" s="109"/>
      <c r="S629" s="109"/>
      <c r="T629" s="109"/>
      <c r="U629" s="109"/>
      <c r="V629" s="109"/>
      <c r="W629" s="109"/>
      <c r="X629" s="109"/>
      <c r="Y629" s="109"/>
      <c r="Z629" s="109"/>
    </row>
    <row r="630" ht="29.25" customHeight="1">
      <c r="A630" s="109"/>
      <c r="B630" s="109"/>
      <c r="C630" s="109"/>
      <c r="D630" s="109"/>
      <c r="E630" s="109"/>
      <c r="F630" s="109"/>
      <c r="G630" s="109"/>
      <c r="H630" s="109"/>
      <c r="I630" s="109"/>
      <c r="J630" s="109"/>
      <c r="K630" s="109"/>
      <c r="L630" s="109"/>
      <c r="M630" s="109"/>
      <c r="N630" s="109"/>
      <c r="O630" s="109"/>
      <c r="P630" s="109"/>
      <c r="Q630" s="109"/>
      <c r="R630" s="109"/>
      <c r="S630" s="109"/>
      <c r="T630" s="109"/>
      <c r="U630" s="109"/>
      <c r="V630" s="109"/>
      <c r="W630" s="109"/>
      <c r="X630" s="109"/>
      <c r="Y630" s="109"/>
      <c r="Z630" s="109"/>
    </row>
    <row r="631" ht="29.25" customHeight="1">
      <c r="A631" s="109"/>
      <c r="B631" s="109"/>
      <c r="C631" s="109"/>
      <c r="D631" s="109"/>
      <c r="E631" s="109"/>
      <c r="F631" s="109"/>
      <c r="G631" s="109"/>
      <c r="H631" s="109"/>
      <c r="I631" s="109"/>
      <c r="J631" s="109"/>
      <c r="K631" s="109"/>
      <c r="L631" s="109"/>
      <c r="M631" s="109"/>
      <c r="N631" s="109"/>
      <c r="O631" s="109"/>
      <c r="P631" s="109"/>
      <c r="Q631" s="109"/>
      <c r="R631" s="109"/>
      <c r="S631" s="109"/>
      <c r="T631" s="109"/>
      <c r="U631" s="109"/>
      <c r="V631" s="109"/>
      <c r="W631" s="109"/>
      <c r="X631" s="109"/>
      <c r="Y631" s="109"/>
      <c r="Z631" s="109"/>
    </row>
    <row r="632" ht="29.25" customHeight="1">
      <c r="A632" s="109"/>
      <c r="B632" s="109"/>
      <c r="C632" s="109"/>
      <c r="D632" s="109"/>
      <c r="E632" s="109"/>
      <c r="F632" s="109"/>
      <c r="G632" s="109"/>
      <c r="H632" s="109"/>
      <c r="I632" s="109"/>
      <c r="J632" s="109"/>
      <c r="K632" s="109"/>
      <c r="L632" s="109"/>
      <c r="M632" s="109"/>
      <c r="N632" s="109"/>
      <c r="O632" s="109"/>
      <c r="P632" s="109"/>
      <c r="Q632" s="109"/>
      <c r="R632" s="109"/>
      <c r="S632" s="109"/>
      <c r="T632" s="109"/>
      <c r="U632" s="109"/>
      <c r="V632" s="109"/>
      <c r="W632" s="109"/>
      <c r="X632" s="109"/>
      <c r="Y632" s="109"/>
      <c r="Z632" s="109"/>
    </row>
    <row r="633" ht="29.25" customHeight="1">
      <c r="A633" s="109"/>
      <c r="B633" s="109"/>
      <c r="C633" s="109"/>
      <c r="D633" s="109"/>
      <c r="E633" s="109"/>
      <c r="F633" s="109"/>
      <c r="G633" s="109"/>
      <c r="H633" s="109"/>
      <c r="I633" s="109"/>
      <c r="J633" s="109"/>
      <c r="K633" s="109"/>
      <c r="L633" s="109"/>
      <c r="M633" s="109"/>
      <c r="N633" s="109"/>
      <c r="O633" s="109"/>
      <c r="P633" s="109"/>
      <c r="Q633" s="109"/>
      <c r="R633" s="109"/>
      <c r="S633" s="109"/>
      <c r="T633" s="109"/>
      <c r="U633" s="109"/>
      <c r="V633" s="109"/>
      <c r="W633" s="109"/>
      <c r="X633" s="109"/>
      <c r="Y633" s="109"/>
      <c r="Z633" s="109"/>
    </row>
    <row r="634" ht="29.25" customHeight="1">
      <c r="A634" s="109"/>
      <c r="B634" s="109"/>
      <c r="C634" s="109"/>
      <c r="D634" s="109"/>
      <c r="E634" s="109"/>
      <c r="F634" s="109"/>
      <c r="G634" s="109"/>
      <c r="H634" s="109"/>
      <c r="I634" s="109"/>
      <c r="J634" s="109"/>
      <c r="K634" s="109"/>
      <c r="L634" s="109"/>
      <c r="M634" s="109"/>
      <c r="N634" s="109"/>
      <c r="O634" s="109"/>
      <c r="P634" s="109"/>
      <c r="Q634" s="109"/>
      <c r="R634" s="109"/>
      <c r="S634" s="109"/>
      <c r="T634" s="109"/>
      <c r="U634" s="109"/>
      <c r="V634" s="109"/>
      <c r="W634" s="109"/>
      <c r="X634" s="109"/>
      <c r="Y634" s="109"/>
      <c r="Z634" s="109"/>
    </row>
    <row r="635" ht="29.25" customHeight="1">
      <c r="A635" s="109"/>
      <c r="B635" s="109"/>
      <c r="C635" s="109"/>
      <c r="D635" s="109"/>
      <c r="E635" s="109"/>
      <c r="F635" s="109"/>
      <c r="G635" s="109"/>
      <c r="H635" s="109"/>
      <c r="I635" s="109"/>
      <c r="J635" s="109"/>
      <c r="K635" s="109"/>
      <c r="L635" s="109"/>
      <c r="M635" s="109"/>
      <c r="N635" s="109"/>
      <c r="O635" s="109"/>
      <c r="P635" s="109"/>
      <c r="Q635" s="109"/>
      <c r="R635" s="109"/>
      <c r="S635" s="109"/>
      <c r="T635" s="109"/>
      <c r="U635" s="109"/>
      <c r="V635" s="109"/>
      <c r="W635" s="109"/>
      <c r="X635" s="109"/>
      <c r="Y635" s="109"/>
      <c r="Z635" s="109"/>
    </row>
    <row r="636" ht="29.25" customHeight="1">
      <c r="A636" s="109"/>
      <c r="B636" s="109"/>
      <c r="C636" s="109"/>
      <c r="D636" s="109"/>
      <c r="E636" s="109"/>
      <c r="F636" s="109"/>
      <c r="G636" s="109"/>
      <c r="H636" s="109"/>
      <c r="I636" s="109"/>
      <c r="J636" s="109"/>
      <c r="K636" s="109"/>
      <c r="L636" s="109"/>
      <c r="M636" s="109"/>
      <c r="N636" s="109"/>
      <c r="O636" s="109"/>
      <c r="P636" s="109"/>
      <c r="Q636" s="109"/>
      <c r="R636" s="109"/>
      <c r="S636" s="109"/>
      <c r="T636" s="109"/>
      <c r="U636" s="109"/>
      <c r="V636" s="109"/>
      <c r="W636" s="109"/>
      <c r="X636" s="109"/>
      <c r="Y636" s="109"/>
      <c r="Z636" s="109"/>
    </row>
    <row r="637" ht="29.25" customHeight="1">
      <c r="A637" s="109"/>
      <c r="B637" s="109"/>
      <c r="C637" s="109"/>
      <c r="D637" s="109"/>
      <c r="E637" s="109"/>
      <c r="F637" s="109"/>
      <c r="G637" s="109"/>
      <c r="H637" s="109"/>
      <c r="I637" s="109"/>
      <c r="J637" s="109"/>
      <c r="K637" s="109"/>
      <c r="L637" s="109"/>
      <c r="M637" s="109"/>
      <c r="N637" s="109"/>
      <c r="O637" s="109"/>
      <c r="P637" s="109"/>
      <c r="Q637" s="109"/>
      <c r="R637" s="109"/>
      <c r="S637" s="109"/>
      <c r="T637" s="109"/>
      <c r="U637" s="109"/>
      <c r="V637" s="109"/>
      <c r="W637" s="109"/>
      <c r="X637" s="109"/>
      <c r="Y637" s="109"/>
      <c r="Z637" s="109"/>
    </row>
    <row r="638" ht="29.25" customHeight="1">
      <c r="A638" s="109"/>
      <c r="B638" s="109"/>
      <c r="C638" s="109"/>
      <c r="D638" s="109"/>
      <c r="E638" s="109"/>
      <c r="F638" s="109"/>
      <c r="G638" s="109"/>
      <c r="H638" s="109"/>
      <c r="I638" s="109"/>
      <c r="J638" s="109"/>
      <c r="K638" s="109"/>
      <c r="L638" s="109"/>
      <c r="M638" s="109"/>
      <c r="N638" s="109"/>
      <c r="O638" s="109"/>
      <c r="P638" s="109"/>
      <c r="Q638" s="109"/>
      <c r="R638" s="109"/>
      <c r="S638" s="109"/>
      <c r="T638" s="109"/>
      <c r="U638" s="109"/>
      <c r="V638" s="109"/>
      <c r="W638" s="109"/>
      <c r="X638" s="109"/>
      <c r="Y638" s="109"/>
      <c r="Z638" s="109"/>
    </row>
    <row r="639" ht="29.25" customHeight="1">
      <c r="A639" s="109"/>
      <c r="B639" s="109"/>
      <c r="C639" s="109"/>
      <c r="D639" s="109"/>
      <c r="E639" s="109"/>
      <c r="F639" s="109"/>
      <c r="G639" s="109"/>
      <c r="H639" s="109"/>
      <c r="I639" s="109"/>
      <c r="J639" s="109"/>
      <c r="K639" s="109"/>
      <c r="L639" s="109"/>
      <c r="M639" s="109"/>
      <c r="N639" s="109"/>
      <c r="O639" s="109"/>
      <c r="P639" s="109"/>
      <c r="Q639" s="109"/>
      <c r="R639" s="109"/>
      <c r="S639" s="109"/>
      <c r="T639" s="109"/>
      <c r="U639" s="109"/>
      <c r="V639" s="109"/>
      <c r="W639" s="109"/>
      <c r="X639" s="109"/>
      <c r="Y639" s="109"/>
      <c r="Z639" s="109"/>
    </row>
    <row r="640" ht="29.25" customHeight="1">
      <c r="A640" s="109"/>
      <c r="B640" s="109"/>
      <c r="C640" s="109"/>
      <c r="D640" s="109"/>
      <c r="E640" s="109"/>
      <c r="F640" s="109"/>
      <c r="G640" s="109"/>
      <c r="H640" s="109"/>
      <c r="I640" s="109"/>
      <c r="J640" s="109"/>
      <c r="K640" s="109"/>
      <c r="L640" s="109"/>
      <c r="M640" s="109"/>
      <c r="N640" s="109"/>
      <c r="O640" s="109"/>
      <c r="P640" s="109"/>
      <c r="Q640" s="109"/>
      <c r="R640" s="109"/>
      <c r="S640" s="109"/>
      <c r="T640" s="109"/>
      <c r="U640" s="109"/>
      <c r="V640" s="109"/>
      <c r="W640" s="109"/>
      <c r="X640" s="109"/>
      <c r="Y640" s="109"/>
      <c r="Z640" s="109"/>
    </row>
    <row r="641" ht="29.25" customHeight="1">
      <c r="A641" s="109"/>
      <c r="B641" s="109"/>
      <c r="C641" s="109"/>
      <c r="D641" s="109"/>
      <c r="E641" s="109"/>
      <c r="F641" s="109"/>
      <c r="G641" s="109"/>
      <c r="H641" s="109"/>
      <c r="I641" s="109"/>
      <c r="J641" s="109"/>
      <c r="K641" s="109"/>
      <c r="L641" s="109"/>
      <c r="M641" s="109"/>
      <c r="N641" s="109"/>
      <c r="O641" s="109"/>
      <c r="P641" s="109"/>
      <c r="Q641" s="109"/>
      <c r="R641" s="109"/>
      <c r="S641" s="109"/>
      <c r="T641" s="109"/>
      <c r="U641" s="109"/>
      <c r="V641" s="109"/>
      <c r="W641" s="109"/>
      <c r="X641" s="109"/>
      <c r="Y641" s="109"/>
      <c r="Z641" s="109"/>
    </row>
    <row r="642" ht="29.25" customHeight="1">
      <c r="A642" s="109"/>
      <c r="B642" s="109"/>
      <c r="C642" s="109"/>
      <c r="D642" s="109"/>
      <c r="E642" s="109"/>
      <c r="F642" s="109"/>
      <c r="G642" s="109"/>
      <c r="H642" s="109"/>
      <c r="I642" s="109"/>
      <c r="J642" s="109"/>
      <c r="K642" s="109"/>
      <c r="L642" s="109"/>
      <c r="M642" s="109"/>
      <c r="N642" s="109"/>
      <c r="O642" s="109"/>
      <c r="P642" s="109"/>
      <c r="Q642" s="109"/>
      <c r="R642" s="109"/>
      <c r="S642" s="109"/>
      <c r="T642" s="109"/>
      <c r="U642" s="109"/>
      <c r="V642" s="109"/>
      <c r="W642" s="109"/>
      <c r="X642" s="109"/>
      <c r="Y642" s="109"/>
      <c r="Z642" s="109"/>
    </row>
    <row r="643" ht="29.25" customHeight="1">
      <c r="A643" s="109"/>
      <c r="B643" s="109"/>
      <c r="C643" s="109"/>
      <c r="D643" s="109"/>
      <c r="E643" s="109"/>
      <c r="F643" s="109"/>
      <c r="G643" s="109"/>
      <c r="H643" s="109"/>
      <c r="I643" s="109"/>
      <c r="J643" s="109"/>
      <c r="K643" s="109"/>
      <c r="L643" s="109"/>
      <c r="M643" s="109"/>
      <c r="N643" s="109"/>
      <c r="O643" s="109"/>
      <c r="P643" s="109"/>
      <c r="Q643" s="109"/>
      <c r="R643" s="109"/>
      <c r="S643" s="109"/>
      <c r="T643" s="109"/>
      <c r="U643" s="109"/>
      <c r="V643" s="109"/>
      <c r="W643" s="109"/>
      <c r="X643" s="109"/>
      <c r="Y643" s="109"/>
      <c r="Z643" s="109"/>
    </row>
    <row r="644" ht="29.25" customHeight="1">
      <c r="A644" s="109"/>
      <c r="B644" s="109"/>
      <c r="C644" s="109"/>
      <c r="D644" s="109"/>
      <c r="E644" s="109"/>
      <c r="F644" s="109"/>
      <c r="G644" s="109"/>
      <c r="H644" s="109"/>
      <c r="I644" s="109"/>
      <c r="J644" s="109"/>
      <c r="K644" s="109"/>
      <c r="L644" s="109"/>
      <c r="M644" s="109"/>
      <c r="N644" s="109"/>
      <c r="O644" s="109"/>
      <c r="P644" s="109"/>
      <c r="Q644" s="109"/>
      <c r="R644" s="109"/>
      <c r="S644" s="109"/>
      <c r="T644" s="109"/>
      <c r="U644" s="109"/>
      <c r="V644" s="109"/>
      <c r="W644" s="109"/>
      <c r="X644" s="109"/>
      <c r="Y644" s="109"/>
      <c r="Z644" s="109"/>
    </row>
    <row r="645" ht="29.25" customHeight="1">
      <c r="A645" s="109"/>
      <c r="B645" s="109"/>
      <c r="C645" s="109"/>
      <c r="D645" s="109"/>
      <c r="E645" s="109"/>
      <c r="F645" s="109"/>
      <c r="G645" s="109"/>
      <c r="H645" s="109"/>
      <c r="I645" s="109"/>
      <c r="J645" s="109"/>
      <c r="K645" s="109"/>
      <c r="L645" s="109"/>
      <c r="M645" s="109"/>
      <c r="N645" s="109"/>
      <c r="O645" s="109"/>
      <c r="P645" s="109"/>
      <c r="Q645" s="109"/>
      <c r="R645" s="109"/>
      <c r="S645" s="109"/>
      <c r="T645" s="109"/>
      <c r="U645" s="109"/>
      <c r="V645" s="109"/>
      <c r="W645" s="109"/>
      <c r="X645" s="109"/>
      <c r="Y645" s="109"/>
      <c r="Z645" s="109"/>
    </row>
    <row r="646" ht="29.25" customHeight="1">
      <c r="A646" s="109"/>
      <c r="B646" s="109"/>
      <c r="C646" s="109"/>
      <c r="D646" s="109"/>
      <c r="E646" s="109"/>
      <c r="F646" s="109"/>
      <c r="G646" s="109"/>
      <c r="H646" s="109"/>
      <c r="I646" s="109"/>
      <c r="J646" s="109"/>
      <c r="K646" s="109"/>
      <c r="L646" s="109"/>
      <c r="M646" s="109"/>
      <c r="N646" s="109"/>
      <c r="O646" s="109"/>
      <c r="P646" s="109"/>
      <c r="Q646" s="109"/>
      <c r="R646" s="109"/>
      <c r="S646" s="109"/>
      <c r="T646" s="109"/>
      <c r="U646" s="109"/>
      <c r="V646" s="109"/>
      <c r="W646" s="109"/>
      <c r="X646" s="109"/>
      <c r="Y646" s="109"/>
      <c r="Z646" s="109"/>
    </row>
    <row r="647" ht="29.25" customHeight="1">
      <c r="A647" s="109"/>
      <c r="B647" s="109"/>
      <c r="C647" s="109"/>
      <c r="D647" s="109"/>
      <c r="E647" s="109"/>
      <c r="F647" s="109"/>
      <c r="G647" s="109"/>
      <c r="H647" s="109"/>
      <c r="I647" s="109"/>
      <c r="J647" s="109"/>
      <c r="K647" s="109"/>
      <c r="L647" s="109"/>
      <c r="M647" s="109"/>
      <c r="N647" s="109"/>
      <c r="O647" s="109"/>
      <c r="P647" s="109"/>
      <c r="Q647" s="109"/>
      <c r="R647" s="109"/>
      <c r="S647" s="109"/>
      <c r="T647" s="109"/>
      <c r="U647" s="109"/>
      <c r="V647" s="109"/>
      <c r="W647" s="109"/>
      <c r="X647" s="109"/>
      <c r="Y647" s="109"/>
      <c r="Z647" s="109"/>
    </row>
    <row r="648" ht="29.25" customHeight="1">
      <c r="A648" s="109"/>
      <c r="B648" s="109"/>
      <c r="C648" s="109"/>
      <c r="D648" s="109"/>
      <c r="E648" s="109"/>
      <c r="F648" s="109"/>
      <c r="G648" s="109"/>
      <c r="H648" s="109"/>
      <c r="I648" s="109"/>
      <c r="J648" s="109"/>
      <c r="K648" s="109"/>
      <c r="L648" s="109"/>
      <c r="M648" s="109"/>
      <c r="N648" s="109"/>
      <c r="O648" s="109"/>
      <c r="P648" s="109"/>
      <c r="Q648" s="109"/>
      <c r="R648" s="109"/>
      <c r="S648" s="109"/>
      <c r="T648" s="109"/>
      <c r="U648" s="109"/>
      <c r="V648" s="109"/>
      <c r="W648" s="109"/>
      <c r="X648" s="109"/>
      <c r="Y648" s="109"/>
      <c r="Z648" s="109"/>
    </row>
    <row r="649" ht="29.25" customHeight="1">
      <c r="A649" s="109"/>
      <c r="B649" s="109"/>
      <c r="C649" s="109"/>
      <c r="D649" s="109"/>
      <c r="E649" s="109"/>
      <c r="F649" s="109"/>
      <c r="G649" s="109"/>
      <c r="H649" s="109"/>
      <c r="I649" s="109"/>
      <c r="J649" s="109"/>
      <c r="K649" s="109"/>
      <c r="L649" s="109"/>
      <c r="M649" s="109"/>
      <c r="N649" s="109"/>
      <c r="O649" s="109"/>
      <c r="P649" s="109"/>
      <c r="Q649" s="109"/>
      <c r="R649" s="109"/>
      <c r="S649" s="109"/>
      <c r="T649" s="109"/>
      <c r="U649" s="109"/>
      <c r="V649" s="109"/>
      <c r="W649" s="109"/>
      <c r="X649" s="109"/>
      <c r="Y649" s="109"/>
      <c r="Z649" s="109"/>
    </row>
    <row r="650" ht="29.25" customHeight="1">
      <c r="A650" s="109"/>
      <c r="B650" s="109"/>
      <c r="C650" s="109"/>
      <c r="D650" s="109"/>
      <c r="E650" s="109"/>
      <c r="F650" s="109"/>
      <c r="G650" s="109"/>
      <c r="H650" s="109"/>
      <c r="I650" s="109"/>
      <c r="J650" s="109"/>
      <c r="K650" s="109"/>
      <c r="L650" s="109"/>
      <c r="M650" s="109"/>
      <c r="N650" s="109"/>
      <c r="O650" s="109"/>
      <c r="P650" s="109"/>
      <c r="Q650" s="109"/>
      <c r="R650" s="109"/>
      <c r="S650" s="109"/>
      <c r="T650" s="109"/>
      <c r="U650" s="109"/>
      <c r="V650" s="109"/>
      <c r="W650" s="109"/>
      <c r="X650" s="109"/>
      <c r="Y650" s="109"/>
      <c r="Z650" s="109"/>
    </row>
    <row r="651" ht="29.25" customHeight="1">
      <c r="A651" s="109"/>
      <c r="B651" s="109"/>
      <c r="C651" s="109"/>
      <c r="D651" s="109"/>
      <c r="E651" s="109"/>
      <c r="F651" s="109"/>
      <c r="G651" s="109"/>
      <c r="H651" s="109"/>
      <c r="I651" s="109"/>
      <c r="J651" s="109"/>
      <c r="K651" s="109"/>
      <c r="L651" s="109"/>
      <c r="M651" s="109"/>
      <c r="N651" s="109"/>
      <c r="O651" s="109"/>
      <c r="P651" s="109"/>
      <c r="Q651" s="109"/>
      <c r="R651" s="109"/>
      <c r="S651" s="109"/>
      <c r="T651" s="109"/>
      <c r="U651" s="109"/>
      <c r="V651" s="109"/>
      <c r="W651" s="109"/>
      <c r="X651" s="109"/>
      <c r="Y651" s="109"/>
      <c r="Z651" s="109"/>
    </row>
    <row r="652" ht="29.25" customHeight="1">
      <c r="A652" s="109"/>
      <c r="B652" s="109"/>
      <c r="C652" s="109"/>
      <c r="D652" s="109"/>
      <c r="E652" s="109"/>
      <c r="F652" s="109"/>
      <c r="G652" s="109"/>
      <c r="H652" s="109"/>
      <c r="I652" s="109"/>
      <c r="J652" s="109"/>
      <c r="K652" s="109"/>
      <c r="L652" s="109"/>
      <c r="M652" s="109"/>
      <c r="N652" s="109"/>
      <c r="O652" s="109"/>
      <c r="P652" s="109"/>
      <c r="Q652" s="109"/>
      <c r="R652" s="109"/>
      <c r="S652" s="109"/>
      <c r="T652" s="109"/>
      <c r="U652" s="109"/>
      <c r="V652" s="109"/>
      <c r="W652" s="109"/>
      <c r="X652" s="109"/>
      <c r="Y652" s="109"/>
      <c r="Z652" s="109"/>
    </row>
    <row r="653" ht="29.25" customHeight="1">
      <c r="A653" s="109"/>
      <c r="B653" s="109"/>
      <c r="C653" s="109"/>
      <c r="D653" s="109"/>
      <c r="E653" s="109"/>
      <c r="F653" s="109"/>
      <c r="G653" s="109"/>
      <c r="H653" s="109"/>
      <c r="I653" s="109"/>
      <c r="J653" s="109"/>
      <c r="K653" s="109"/>
      <c r="L653" s="109"/>
      <c r="M653" s="109"/>
      <c r="N653" s="109"/>
      <c r="O653" s="109"/>
      <c r="P653" s="109"/>
      <c r="Q653" s="109"/>
      <c r="R653" s="109"/>
      <c r="S653" s="109"/>
      <c r="T653" s="109"/>
      <c r="U653" s="109"/>
      <c r="V653" s="109"/>
      <c r="W653" s="109"/>
      <c r="X653" s="109"/>
      <c r="Y653" s="109"/>
      <c r="Z653" s="109"/>
    </row>
    <row r="654" ht="29.25" customHeight="1">
      <c r="A654" s="109"/>
      <c r="B654" s="109"/>
      <c r="C654" s="109"/>
      <c r="D654" s="109"/>
      <c r="E654" s="109"/>
      <c r="F654" s="109"/>
      <c r="G654" s="109"/>
      <c r="H654" s="109"/>
      <c r="I654" s="109"/>
      <c r="J654" s="109"/>
      <c r="K654" s="109"/>
      <c r="L654" s="109"/>
      <c r="M654" s="109"/>
      <c r="N654" s="109"/>
      <c r="O654" s="109"/>
      <c r="P654" s="109"/>
      <c r="Q654" s="109"/>
      <c r="R654" s="109"/>
      <c r="S654" s="109"/>
      <c r="T654" s="109"/>
      <c r="U654" s="109"/>
      <c r="V654" s="109"/>
      <c r="W654" s="109"/>
      <c r="X654" s="109"/>
      <c r="Y654" s="109"/>
      <c r="Z654" s="109"/>
    </row>
    <row r="655" ht="29.25" customHeight="1">
      <c r="A655" s="109"/>
      <c r="B655" s="109"/>
      <c r="C655" s="109"/>
      <c r="D655" s="109"/>
      <c r="E655" s="109"/>
      <c r="F655" s="109"/>
      <c r="G655" s="109"/>
      <c r="H655" s="109"/>
      <c r="I655" s="109"/>
      <c r="J655" s="109"/>
      <c r="K655" s="109"/>
      <c r="L655" s="109"/>
      <c r="M655" s="109"/>
      <c r="N655" s="109"/>
      <c r="O655" s="109"/>
      <c r="P655" s="109"/>
      <c r="Q655" s="109"/>
      <c r="R655" s="109"/>
      <c r="S655" s="109"/>
      <c r="T655" s="109"/>
      <c r="U655" s="109"/>
      <c r="V655" s="109"/>
      <c r="W655" s="109"/>
      <c r="X655" s="109"/>
      <c r="Y655" s="109"/>
      <c r="Z655" s="109"/>
    </row>
    <row r="656" ht="29.25" customHeight="1">
      <c r="A656" s="109"/>
      <c r="B656" s="109"/>
      <c r="C656" s="109"/>
      <c r="D656" s="109"/>
      <c r="E656" s="109"/>
      <c r="F656" s="109"/>
      <c r="G656" s="109"/>
      <c r="H656" s="109"/>
      <c r="I656" s="109"/>
      <c r="J656" s="109"/>
      <c r="K656" s="109"/>
      <c r="L656" s="109"/>
      <c r="M656" s="109"/>
      <c r="N656" s="109"/>
      <c r="O656" s="109"/>
      <c r="P656" s="109"/>
      <c r="Q656" s="109"/>
      <c r="R656" s="109"/>
      <c r="S656" s="109"/>
      <c r="T656" s="109"/>
      <c r="U656" s="109"/>
      <c r="V656" s="109"/>
      <c r="W656" s="109"/>
      <c r="X656" s="109"/>
      <c r="Y656" s="109"/>
      <c r="Z656" s="109"/>
    </row>
    <row r="657" ht="29.25" customHeight="1">
      <c r="A657" s="109"/>
      <c r="B657" s="109"/>
      <c r="C657" s="109"/>
      <c r="D657" s="109"/>
      <c r="E657" s="109"/>
      <c r="F657" s="109"/>
      <c r="G657" s="109"/>
      <c r="H657" s="109"/>
      <c r="I657" s="109"/>
      <c r="J657" s="109"/>
      <c r="K657" s="109"/>
      <c r="L657" s="109"/>
      <c r="M657" s="109"/>
      <c r="N657" s="109"/>
      <c r="O657" s="109"/>
      <c r="P657" s="109"/>
      <c r="Q657" s="109"/>
      <c r="R657" s="109"/>
      <c r="S657" s="109"/>
      <c r="T657" s="109"/>
      <c r="U657" s="109"/>
      <c r="V657" s="109"/>
      <c r="W657" s="109"/>
      <c r="X657" s="109"/>
      <c r="Y657" s="109"/>
      <c r="Z657" s="109"/>
    </row>
    <row r="658" ht="29.25" customHeight="1">
      <c r="A658" s="109"/>
      <c r="B658" s="109"/>
      <c r="C658" s="109"/>
      <c r="D658" s="109"/>
      <c r="E658" s="109"/>
      <c r="F658" s="109"/>
      <c r="G658" s="109"/>
      <c r="H658" s="109"/>
      <c r="I658" s="109"/>
      <c r="J658" s="109"/>
      <c r="K658" s="109"/>
      <c r="L658" s="109"/>
      <c r="M658" s="109"/>
      <c r="N658" s="109"/>
      <c r="O658" s="109"/>
      <c r="P658" s="109"/>
      <c r="Q658" s="109"/>
      <c r="R658" s="109"/>
      <c r="S658" s="109"/>
      <c r="T658" s="109"/>
      <c r="U658" s="109"/>
      <c r="V658" s="109"/>
      <c r="W658" s="109"/>
      <c r="X658" s="109"/>
      <c r="Y658" s="109"/>
      <c r="Z658" s="109"/>
    </row>
    <row r="659" ht="29.25" customHeight="1">
      <c r="A659" s="109"/>
      <c r="B659" s="109"/>
      <c r="C659" s="109"/>
      <c r="D659" s="109"/>
      <c r="E659" s="109"/>
      <c r="F659" s="109"/>
      <c r="G659" s="109"/>
      <c r="H659" s="109"/>
      <c r="I659" s="109"/>
      <c r="J659" s="109"/>
      <c r="K659" s="109"/>
      <c r="L659" s="109"/>
      <c r="M659" s="109"/>
      <c r="N659" s="109"/>
      <c r="O659" s="109"/>
      <c r="P659" s="109"/>
      <c r="Q659" s="109"/>
      <c r="R659" s="109"/>
      <c r="S659" s="109"/>
      <c r="T659" s="109"/>
      <c r="U659" s="109"/>
      <c r="V659" s="109"/>
      <c r="W659" s="109"/>
      <c r="X659" s="109"/>
      <c r="Y659" s="109"/>
      <c r="Z659" s="109"/>
    </row>
    <row r="660" ht="29.25" customHeight="1">
      <c r="A660" s="109"/>
      <c r="B660" s="109"/>
      <c r="C660" s="109"/>
      <c r="D660" s="109"/>
      <c r="E660" s="109"/>
      <c r="F660" s="109"/>
      <c r="G660" s="109"/>
      <c r="H660" s="109"/>
      <c r="I660" s="109"/>
      <c r="J660" s="109"/>
      <c r="K660" s="109"/>
      <c r="L660" s="109"/>
      <c r="M660" s="109"/>
      <c r="N660" s="109"/>
      <c r="O660" s="109"/>
      <c r="P660" s="109"/>
      <c r="Q660" s="109"/>
      <c r="R660" s="109"/>
      <c r="S660" s="109"/>
      <c r="T660" s="109"/>
      <c r="U660" s="109"/>
      <c r="V660" s="109"/>
      <c r="W660" s="109"/>
      <c r="X660" s="109"/>
      <c r="Y660" s="109"/>
      <c r="Z660" s="109"/>
    </row>
    <row r="661" ht="29.25" customHeight="1">
      <c r="A661" s="109"/>
      <c r="B661" s="109"/>
      <c r="C661" s="109"/>
      <c r="D661" s="109"/>
      <c r="E661" s="109"/>
      <c r="F661" s="109"/>
      <c r="G661" s="109"/>
      <c r="H661" s="109"/>
      <c r="I661" s="109"/>
      <c r="J661" s="109"/>
      <c r="K661" s="109"/>
      <c r="L661" s="109"/>
      <c r="M661" s="109"/>
      <c r="N661" s="109"/>
      <c r="O661" s="109"/>
      <c r="P661" s="109"/>
      <c r="Q661" s="109"/>
      <c r="R661" s="109"/>
      <c r="S661" s="109"/>
      <c r="T661" s="109"/>
      <c r="U661" s="109"/>
      <c r="V661" s="109"/>
      <c r="W661" s="109"/>
      <c r="X661" s="109"/>
      <c r="Y661" s="109"/>
      <c r="Z661" s="109"/>
    </row>
    <row r="662" ht="29.25" customHeight="1">
      <c r="A662" s="109"/>
      <c r="B662" s="109"/>
      <c r="C662" s="109"/>
      <c r="D662" s="109"/>
      <c r="E662" s="109"/>
      <c r="F662" s="109"/>
      <c r="G662" s="109"/>
      <c r="H662" s="109"/>
      <c r="I662" s="109"/>
      <c r="J662" s="109"/>
      <c r="K662" s="109"/>
      <c r="L662" s="109"/>
      <c r="M662" s="109"/>
      <c r="N662" s="109"/>
      <c r="O662" s="109"/>
      <c r="P662" s="109"/>
      <c r="Q662" s="109"/>
      <c r="R662" s="109"/>
      <c r="S662" s="109"/>
      <c r="T662" s="109"/>
      <c r="U662" s="109"/>
      <c r="V662" s="109"/>
      <c r="W662" s="109"/>
      <c r="X662" s="109"/>
      <c r="Y662" s="109"/>
      <c r="Z662" s="109"/>
    </row>
    <row r="663" ht="29.25" customHeight="1">
      <c r="A663" s="109"/>
      <c r="B663" s="109"/>
      <c r="C663" s="109"/>
      <c r="D663" s="109"/>
      <c r="E663" s="109"/>
      <c r="F663" s="109"/>
      <c r="G663" s="109"/>
      <c r="H663" s="109"/>
      <c r="I663" s="109"/>
      <c r="J663" s="109"/>
      <c r="K663" s="109"/>
      <c r="L663" s="109"/>
      <c r="M663" s="109"/>
      <c r="N663" s="109"/>
      <c r="O663" s="109"/>
      <c r="P663" s="109"/>
      <c r="Q663" s="109"/>
      <c r="R663" s="109"/>
      <c r="S663" s="109"/>
      <c r="T663" s="109"/>
      <c r="U663" s="109"/>
      <c r="V663" s="109"/>
      <c r="W663" s="109"/>
      <c r="X663" s="109"/>
      <c r="Y663" s="109"/>
      <c r="Z663" s="109"/>
    </row>
    <row r="664" ht="29.25" customHeight="1">
      <c r="A664" s="109"/>
      <c r="B664" s="109"/>
      <c r="C664" s="109"/>
      <c r="D664" s="109"/>
      <c r="E664" s="109"/>
      <c r="F664" s="109"/>
      <c r="G664" s="109"/>
      <c r="H664" s="109"/>
      <c r="I664" s="109"/>
      <c r="J664" s="109"/>
      <c r="K664" s="109"/>
      <c r="L664" s="109"/>
      <c r="M664" s="109"/>
      <c r="N664" s="109"/>
      <c r="O664" s="109"/>
      <c r="P664" s="109"/>
      <c r="Q664" s="109"/>
      <c r="R664" s="109"/>
      <c r="S664" s="109"/>
      <c r="T664" s="109"/>
      <c r="U664" s="109"/>
      <c r="V664" s="109"/>
      <c r="W664" s="109"/>
      <c r="X664" s="109"/>
      <c r="Y664" s="109"/>
      <c r="Z664" s="109"/>
    </row>
    <row r="665" ht="29.25" customHeight="1">
      <c r="A665" s="109"/>
      <c r="B665" s="109"/>
      <c r="C665" s="109"/>
      <c r="D665" s="109"/>
      <c r="E665" s="109"/>
      <c r="F665" s="109"/>
      <c r="G665" s="109"/>
      <c r="H665" s="109"/>
      <c r="I665" s="109"/>
      <c r="J665" s="109"/>
      <c r="K665" s="109"/>
      <c r="L665" s="109"/>
      <c r="M665" s="109"/>
      <c r="N665" s="109"/>
      <c r="O665" s="109"/>
      <c r="P665" s="109"/>
      <c r="Q665" s="109"/>
      <c r="R665" s="109"/>
      <c r="S665" s="109"/>
      <c r="T665" s="109"/>
      <c r="U665" s="109"/>
      <c r="V665" s="109"/>
      <c r="W665" s="109"/>
      <c r="X665" s="109"/>
      <c r="Y665" s="109"/>
      <c r="Z665" s="109"/>
    </row>
    <row r="666" ht="29.25" customHeight="1">
      <c r="A666" s="109"/>
      <c r="B666" s="109"/>
      <c r="C666" s="109"/>
      <c r="D666" s="109"/>
      <c r="E666" s="109"/>
      <c r="F666" s="109"/>
      <c r="G666" s="109"/>
      <c r="H666" s="109"/>
      <c r="I666" s="109"/>
      <c r="J666" s="109"/>
      <c r="K666" s="109"/>
      <c r="L666" s="109"/>
      <c r="M666" s="109"/>
      <c r="N666" s="109"/>
      <c r="O666" s="109"/>
      <c r="P666" s="109"/>
      <c r="Q666" s="109"/>
      <c r="R666" s="109"/>
      <c r="S666" s="109"/>
      <c r="T666" s="109"/>
      <c r="U666" s="109"/>
      <c r="V666" s="109"/>
      <c r="W666" s="109"/>
      <c r="X666" s="109"/>
      <c r="Y666" s="109"/>
      <c r="Z666" s="109"/>
    </row>
    <row r="667" ht="29.25" customHeight="1">
      <c r="A667" s="109"/>
      <c r="B667" s="109"/>
      <c r="C667" s="109"/>
      <c r="D667" s="109"/>
      <c r="E667" s="109"/>
      <c r="F667" s="109"/>
      <c r="G667" s="109"/>
      <c r="H667" s="109"/>
      <c r="I667" s="109"/>
      <c r="J667" s="109"/>
      <c r="K667" s="109"/>
      <c r="L667" s="109"/>
      <c r="M667" s="109"/>
      <c r="N667" s="109"/>
      <c r="O667" s="109"/>
      <c r="P667" s="109"/>
      <c r="Q667" s="109"/>
      <c r="R667" s="109"/>
      <c r="S667" s="109"/>
      <c r="T667" s="109"/>
      <c r="U667" s="109"/>
      <c r="V667" s="109"/>
      <c r="W667" s="109"/>
      <c r="X667" s="109"/>
      <c r="Y667" s="109"/>
      <c r="Z667" s="109"/>
    </row>
    <row r="668" ht="29.25" customHeight="1">
      <c r="A668" s="109"/>
      <c r="B668" s="109"/>
      <c r="C668" s="109"/>
      <c r="D668" s="109"/>
      <c r="E668" s="109"/>
      <c r="F668" s="109"/>
      <c r="G668" s="109"/>
      <c r="H668" s="109"/>
      <c r="I668" s="109"/>
      <c r="J668" s="109"/>
      <c r="K668" s="109"/>
      <c r="L668" s="109"/>
      <c r="M668" s="109"/>
      <c r="N668" s="109"/>
      <c r="O668" s="109"/>
      <c r="P668" s="109"/>
      <c r="Q668" s="109"/>
      <c r="R668" s="109"/>
      <c r="S668" s="109"/>
      <c r="T668" s="109"/>
      <c r="U668" s="109"/>
      <c r="V668" s="109"/>
      <c r="W668" s="109"/>
      <c r="X668" s="109"/>
      <c r="Y668" s="109"/>
      <c r="Z668" s="109"/>
    </row>
    <row r="669" ht="29.25" customHeight="1">
      <c r="A669" s="109"/>
      <c r="B669" s="109"/>
      <c r="C669" s="109"/>
      <c r="D669" s="109"/>
      <c r="E669" s="109"/>
      <c r="F669" s="109"/>
      <c r="G669" s="109"/>
      <c r="H669" s="109"/>
      <c r="I669" s="109"/>
      <c r="J669" s="109"/>
      <c r="K669" s="109"/>
      <c r="L669" s="109"/>
      <c r="M669" s="109"/>
      <c r="N669" s="109"/>
      <c r="O669" s="109"/>
      <c r="P669" s="109"/>
      <c r="Q669" s="109"/>
      <c r="R669" s="109"/>
      <c r="S669" s="109"/>
      <c r="T669" s="109"/>
      <c r="U669" s="109"/>
      <c r="V669" s="109"/>
      <c r="W669" s="109"/>
      <c r="X669" s="109"/>
      <c r="Y669" s="109"/>
      <c r="Z669" s="109"/>
    </row>
    <row r="670" ht="29.25" customHeight="1">
      <c r="A670" s="109"/>
      <c r="B670" s="109"/>
      <c r="C670" s="109"/>
      <c r="D670" s="109"/>
      <c r="E670" s="109"/>
      <c r="F670" s="109"/>
      <c r="G670" s="109"/>
      <c r="H670" s="109"/>
      <c r="I670" s="109"/>
      <c r="J670" s="109"/>
      <c r="K670" s="109"/>
      <c r="L670" s="109"/>
      <c r="M670" s="109"/>
      <c r="N670" s="109"/>
      <c r="O670" s="109"/>
      <c r="P670" s="109"/>
      <c r="Q670" s="109"/>
      <c r="R670" s="109"/>
      <c r="S670" s="109"/>
      <c r="T670" s="109"/>
      <c r="U670" s="109"/>
      <c r="V670" s="109"/>
      <c r="W670" s="109"/>
      <c r="X670" s="109"/>
      <c r="Y670" s="109"/>
      <c r="Z670" s="109"/>
    </row>
    <row r="671" ht="29.25" customHeight="1">
      <c r="A671" s="109"/>
      <c r="B671" s="109"/>
      <c r="C671" s="109"/>
      <c r="D671" s="109"/>
      <c r="E671" s="109"/>
      <c r="F671" s="109"/>
      <c r="G671" s="109"/>
      <c r="H671" s="109"/>
      <c r="I671" s="109"/>
      <c r="J671" s="109"/>
      <c r="K671" s="109"/>
      <c r="L671" s="109"/>
      <c r="M671" s="109"/>
      <c r="N671" s="109"/>
      <c r="O671" s="109"/>
      <c r="P671" s="109"/>
      <c r="Q671" s="109"/>
      <c r="R671" s="109"/>
      <c r="S671" s="109"/>
      <c r="T671" s="109"/>
      <c r="U671" s="109"/>
      <c r="V671" s="109"/>
      <c r="W671" s="109"/>
      <c r="X671" s="109"/>
      <c r="Y671" s="109"/>
      <c r="Z671" s="109"/>
    </row>
    <row r="672" ht="29.25" customHeight="1">
      <c r="A672" s="109"/>
      <c r="B672" s="109"/>
      <c r="C672" s="109"/>
      <c r="D672" s="109"/>
      <c r="E672" s="109"/>
      <c r="F672" s="109"/>
      <c r="G672" s="109"/>
      <c r="H672" s="109"/>
      <c r="I672" s="109"/>
      <c r="J672" s="109"/>
      <c r="K672" s="109"/>
      <c r="L672" s="109"/>
      <c r="M672" s="109"/>
      <c r="N672" s="109"/>
      <c r="O672" s="109"/>
      <c r="P672" s="109"/>
      <c r="Q672" s="109"/>
      <c r="R672" s="109"/>
      <c r="S672" s="109"/>
      <c r="T672" s="109"/>
      <c r="U672" s="109"/>
      <c r="V672" s="109"/>
      <c r="W672" s="109"/>
      <c r="X672" s="109"/>
      <c r="Y672" s="109"/>
      <c r="Z672" s="109"/>
    </row>
    <row r="673" ht="29.25" customHeight="1">
      <c r="A673" s="109"/>
      <c r="B673" s="109"/>
      <c r="C673" s="109"/>
      <c r="D673" s="109"/>
      <c r="E673" s="109"/>
      <c r="F673" s="109"/>
      <c r="G673" s="109"/>
      <c r="H673" s="109"/>
      <c r="I673" s="109"/>
      <c r="J673" s="109"/>
      <c r="K673" s="109"/>
      <c r="L673" s="109"/>
      <c r="M673" s="109"/>
      <c r="N673" s="109"/>
      <c r="O673" s="109"/>
      <c r="P673" s="109"/>
      <c r="Q673" s="109"/>
      <c r="R673" s="109"/>
      <c r="S673" s="109"/>
      <c r="T673" s="109"/>
      <c r="U673" s="109"/>
      <c r="V673" s="109"/>
      <c r="W673" s="109"/>
      <c r="X673" s="109"/>
      <c r="Y673" s="109"/>
      <c r="Z673" s="109"/>
    </row>
    <row r="674" ht="29.25" customHeight="1">
      <c r="A674" s="109"/>
      <c r="B674" s="109"/>
      <c r="C674" s="109"/>
      <c r="D674" s="109"/>
      <c r="E674" s="109"/>
      <c r="F674" s="109"/>
      <c r="G674" s="109"/>
      <c r="H674" s="109"/>
      <c r="I674" s="109"/>
      <c r="J674" s="109"/>
      <c r="K674" s="109"/>
      <c r="L674" s="109"/>
      <c r="M674" s="109"/>
      <c r="N674" s="109"/>
      <c r="O674" s="109"/>
      <c r="P674" s="109"/>
      <c r="Q674" s="109"/>
      <c r="R674" s="109"/>
      <c r="S674" s="109"/>
      <c r="T674" s="109"/>
      <c r="U674" s="109"/>
      <c r="V674" s="109"/>
      <c r="W674" s="109"/>
      <c r="X674" s="109"/>
      <c r="Y674" s="109"/>
      <c r="Z674" s="109"/>
    </row>
    <row r="675" ht="29.25" customHeight="1">
      <c r="A675" s="109"/>
      <c r="B675" s="109"/>
      <c r="C675" s="109"/>
      <c r="D675" s="109"/>
      <c r="E675" s="109"/>
      <c r="F675" s="109"/>
      <c r="G675" s="109"/>
      <c r="H675" s="109"/>
      <c r="I675" s="109"/>
      <c r="J675" s="109"/>
      <c r="K675" s="109"/>
      <c r="L675" s="109"/>
      <c r="M675" s="109"/>
      <c r="N675" s="109"/>
      <c r="O675" s="109"/>
      <c r="P675" s="109"/>
      <c r="Q675" s="109"/>
      <c r="R675" s="109"/>
      <c r="S675" s="109"/>
      <c r="T675" s="109"/>
      <c r="U675" s="109"/>
      <c r="V675" s="109"/>
      <c r="W675" s="109"/>
      <c r="X675" s="109"/>
      <c r="Y675" s="109"/>
      <c r="Z675" s="109"/>
    </row>
    <row r="676" ht="29.25" customHeight="1">
      <c r="A676" s="109"/>
      <c r="B676" s="109"/>
      <c r="C676" s="109"/>
      <c r="D676" s="109"/>
      <c r="E676" s="109"/>
      <c r="F676" s="109"/>
      <c r="G676" s="109"/>
      <c r="H676" s="109"/>
      <c r="I676" s="109"/>
      <c r="J676" s="109"/>
      <c r="K676" s="109"/>
      <c r="L676" s="109"/>
      <c r="M676" s="109"/>
      <c r="N676" s="109"/>
      <c r="O676" s="109"/>
      <c r="P676" s="109"/>
      <c r="Q676" s="109"/>
      <c r="R676" s="109"/>
      <c r="S676" s="109"/>
      <c r="T676" s="109"/>
      <c r="U676" s="109"/>
      <c r="V676" s="109"/>
      <c r="W676" s="109"/>
      <c r="X676" s="109"/>
      <c r="Y676" s="109"/>
      <c r="Z676" s="109"/>
    </row>
    <row r="677" ht="29.25" customHeight="1">
      <c r="A677" s="109"/>
      <c r="B677" s="109"/>
      <c r="C677" s="109"/>
      <c r="D677" s="109"/>
      <c r="E677" s="109"/>
      <c r="F677" s="109"/>
      <c r="G677" s="109"/>
      <c r="H677" s="109"/>
      <c r="I677" s="109"/>
      <c r="J677" s="109"/>
      <c r="K677" s="109"/>
      <c r="L677" s="109"/>
      <c r="M677" s="109"/>
      <c r="N677" s="109"/>
      <c r="O677" s="109"/>
      <c r="P677" s="109"/>
      <c r="Q677" s="109"/>
      <c r="R677" s="109"/>
      <c r="S677" s="109"/>
      <c r="T677" s="109"/>
      <c r="U677" s="109"/>
      <c r="V677" s="109"/>
      <c r="W677" s="109"/>
      <c r="X677" s="109"/>
      <c r="Y677" s="109"/>
      <c r="Z677" s="109"/>
    </row>
    <row r="678" ht="29.25" customHeight="1">
      <c r="A678" s="109"/>
      <c r="B678" s="109"/>
      <c r="C678" s="109"/>
      <c r="D678" s="109"/>
      <c r="E678" s="109"/>
      <c r="F678" s="109"/>
      <c r="G678" s="109"/>
      <c r="H678" s="109"/>
      <c r="I678" s="109"/>
      <c r="J678" s="109"/>
      <c r="K678" s="109"/>
      <c r="L678" s="109"/>
      <c r="M678" s="109"/>
      <c r="N678" s="109"/>
      <c r="O678" s="109"/>
      <c r="P678" s="109"/>
      <c r="Q678" s="109"/>
      <c r="R678" s="109"/>
      <c r="S678" s="109"/>
      <c r="T678" s="109"/>
      <c r="U678" s="109"/>
      <c r="V678" s="109"/>
      <c r="W678" s="109"/>
      <c r="X678" s="109"/>
      <c r="Y678" s="109"/>
      <c r="Z678" s="109"/>
    </row>
    <row r="679" ht="29.25" customHeight="1">
      <c r="A679" s="109"/>
      <c r="B679" s="109"/>
      <c r="C679" s="109"/>
      <c r="D679" s="109"/>
      <c r="E679" s="109"/>
      <c r="F679" s="109"/>
      <c r="G679" s="109"/>
      <c r="H679" s="109"/>
      <c r="I679" s="109"/>
      <c r="J679" s="109"/>
      <c r="K679" s="109"/>
      <c r="L679" s="109"/>
      <c r="M679" s="109"/>
      <c r="N679" s="109"/>
      <c r="O679" s="109"/>
      <c r="P679" s="109"/>
      <c r="Q679" s="109"/>
      <c r="R679" s="109"/>
      <c r="S679" s="109"/>
      <c r="T679" s="109"/>
      <c r="U679" s="109"/>
      <c r="V679" s="109"/>
      <c r="W679" s="109"/>
      <c r="X679" s="109"/>
      <c r="Y679" s="109"/>
      <c r="Z679" s="109"/>
    </row>
    <row r="680" ht="29.25" customHeight="1">
      <c r="A680" s="109"/>
      <c r="B680" s="109"/>
      <c r="C680" s="109"/>
      <c r="D680" s="109"/>
      <c r="E680" s="109"/>
      <c r="F680" s="109"/>
      <c r="G680" s="109"/>
      <c r="H680" s="109"/>
      <c r="I680" s="109"/>
      <c r="J680" s="109"/>
      <c r="K680" s="109"/>
      <c r="L680" s="109"/>
      <c r="M680" s="109"/>
      <c r="N680" s="109"/>
      <c r="O680" s="109"/>
      <c r="P680" s="109"/>
      <c r="Q680" s="109"/>
      <c r="R680" s="109"/>
      <c r="S680" s="109"/>
      <c r="T680" s="109"/>
      <c r="U680" s="109"/>
      <c r="V680" s="109"/>
      <c r="W680" s="109"/>
      <c r="X680" s="109"/>
      <c r="Y680" s="109"/>
      <c r="Z680" s="109"/>
    </row>
    <row r="681" ht="29.25" customHeight="1">
      <c r="A681" s="109"/>
      <c r="B681" s="109"/>
      <c r="C681" s="109"/>
      <c r="D681" s="109"/>
      <c r="E681" s="109"/>
      <c r="F681" s="109"/>
      <c r="G681" s="109"/>
      <c r="H681" s="109"/>
      <c r="I681" s="109"/>
      <c r="J681" s="109"/>
      <c r="K681" s="109"/>
      <c r="L681" s="109"/>
      <c r="M681" s="109"/>
      <c r="N681" s="109"/>
      <c r="O681" s="109"/>
      <c r="P681" s="109"/>
      <c r="Q681" s="109"/>
      <c r="R681" s="109"/>
      <c r="S681" s="109"/>
      <c r="T681" s="109"/>
      <c r="U681" s="109"/>
      <c r="V681" s="109"/>
      <c r="W681" s="109"/>
      <c r="X681" s="109"/>
      <c r="Y681" s="109"/>
      <c r="Z681" s="109"/>
    </row>
    <row r="682" ht="29.25" customHeight="1">
      <c r="A682" s="109"/>
      <c r="B682" s="109"/>
      <c r="C682" s="109"/>
      <c r="D682" s="109"/>
      <c r="E682" s="109"/>
      <c r="F682" s="109"/>
      <c r="G682" s="109"/>
      <c r="H682" s="109"/>
      <c r="I682" s="109"/>
      <c r="J682" s="109"/>
      <c r="K682" s="109"/>
      <c r="L682" s="109"/>
      <c r="M682" s="109"/>
      <c r="N682" s="109"/>
      <c r="O682" s="109"/>
      <c r="P682" s="109"/>
      <c r="Q682" s="109"/>
      <c r="R682" s="109"/>
      <c r="S682" s="109"/>
      <c r="T682" s="109"/>
      <c r="U682" s="109"/>
      <c r="V682" s="109"/>
      <c r="W682" s="109"/>
      <c r="X682" s="109"/>
      <c r="Y682" s="109"/>
      <c r="Z682" s="109"/>
    </row>
    <row r="683" ht="29.25" customHeight="1">
      <c r="A683" s="109"/>
      <c r="B683" s="109"/>
      <c r="C683" s="109"/>
      <c r="D683" s="109"/>
      <c r="E683" s="109"/>
      <c r="F683" s="109"/>
      <c r="G683" s="109"/>
      <c r="H683" s="109"/>
      <c r="I683" s="109"/>
      <c r="J683" s="109"/>
      <c r="K683" s="109"/>
      <c r="L683" s="109"/>
      <c r="M683" s="109"/>
      <c r="N683" s="109"/>
      <c r="O683" s="109"/>
      <c r="P683" s="109"/>
      <c r="Q683" s="109"/>
      <c r="R683" s="109"/>
      <c r="S683" s="109"/>
      <c r="T683" s="109"/>
      <c r="U683" s="109"/>
      <c r="V683" s="109"/>
      <c r="W683" s="109"/>
      <c r="X683" s="109"/>
      <c r="Y683" s="109"/>
      <c r="Z683" s="109"/>
    </row>
    <row r="684" ht="29.25" customHeight="1">
      <c r="A684" s="109"/>
      <c r="B684" s="109"/>
      <c r="C684" s="109"/>
      <c r="D684" s="109"/>
      <c r="E684" s="109"/>
      <c r="F684" s="109"/>
      <c r="G684" s="109"/>
      <c r="H684" s="109"/>
      <c r="I684" s="109"/>
      <c r="J684" s="109"/>
      <c r="K684" s="109"/>
      <c r="L684" s="109"/>
      <c r="M684" s="109"/>
      <c r="N684" s="109"/>
      <c r="O684" s="109"/>
      <c r="P684" s="109"/>
      <c r="Q684" s="109"/>
      <c r="R684" s="109"/>
      <c r="S684" s="109"/>
      <c r="T684" s="109"/>
      <c r="U684" s="109"/>
      <c r="V684" s="109"/>
      <c r="W684" s="109"/>
      <c r="X684" s="109"/>
      <c r="Y684" s="109"/>
      <c r="Z684" s="109"/>
    </row>
    <row r="685" ht="29.25" customHeight="1">
      <c r="A685" s="109"/>
      <c r="B685" s="109"/>
      <c r="C685" s="109"/>
      <c r="D685" s="109"/>
      <c r="E685" s="109"/>
      <c r="F685" s="109"/>
      <c r="G685" s="109"/>
      <c r="H685" s="109"/>
      <c r="I685" s="109"/>
      <c r="J685" s="109"/>
      <c r="K685" s="109"/>
      <c r="L685" s="109"/>
      <c r="M685" s="109"/>
      <c r="N685" s="109"/>
      <c r="O685" s="109"/>
      <c r="P685" s="109"/>
      <c r="Q685" s="109"/>
      <c r="R685" s="109"/>
      <c r="S685" s="109"/>
      <c r="T685" s="109"/>
      <c r="U685" s="109"/>
      <c r="V685" s="109"/>
      <c r="W685" s="109"/>
      <c r="X685" s="109"/>
      <c r="Y685" s="109"/>
      <c r="Z685" s="109"/>
    </row>
    <row r="686" ht="29.25" customHeight="1">
      <c r="A686" s="109"/>
      <c r="B686" s="109"/>
      <c r="C686" s="109"/>
      <c r="D686" s="109"/>
      <c r="E686" s="109"/>
      <c r="F686" s="109"/>
      <c r="G686" s="109"/>
      <c r="H686" s="109"/>
      <c r="I686" s="109"/>
      <c r="J686" s="109"/>
      <c r="K686" s="109"/>
      <c r="L686" s="109"/>
      <c r="M686" s="109"/>
      <c r="N686" s="109"/>
      <c r="O686" s="109"/>
      <c r="P686" s="109"/>
      <c r="Q686" s="109"/>
      <c r="R686" s="109"/>
      <c r="S686" s="109"/>
      <c r="T686" s="109"/>
      <c r="U686" s="109"/>
      <c r="V686" s="109"/>
      <c r="W686" s="109"/>
      <c r="X686" s="109"/>
      <c r="Y686" s="109"/>
      <c r="Z686" s="109"/>
    </row>
    <row r="687" ht="29.25" customHeight="1">
      <c r="A687" s="109"/>
      <c r="B687" s="109"/>
      <c r="C687" s="109"/>
      <c r="D687" s="109"/>
      <c r="E687" s="109"/>
      <c r="F687" s="109"/>
      <c r="G687" s="109"/>
      <c r="H687" s="109"/>
      <c r="I687" s="109"/>
      <c r="J687" s="109"/>
      <c r="K687" s="109"/>
      <c r="L687" s="109"/>
      <c r="M687" s="109"/>
      <c r="N687" s="109"/>
      <c r="O687" s="109"/>
      <c r="P687" s="109"/>
      <c r="Q687" s="109"/>
      <c r="R687" s="109"/>
      <c r="S687" s="109"/>
      <c r="T687" s="109"/>
      <c r="U687" s="109"/>
      <c r="V687" s="109"/>
      <c r="W687" s="109"/>
      <c r="X687" s="109"/>
      <c r="Y687" s="109"/>
      <c r="Z687" s="109"/>
    </row>
    <row r="688" ht="29.25" customHeight="1">
      <c r="A688" s="109"/>
      <c r="B688" s="109"/>
      <c r="C688" s="109"/>
      <c r="D688" s="109"/>
      <c r="E688" s="109"/>
      <c r="F688" s="109"/>
      <c r="G688" s="109"/>
      <c r="H688" s="109"/>
      <c r="I688" s="109"/>
      <c r="J688" s="109"/>
      <c r="K688" s="109"/>
      <c r="L688" s="109"/>
      <c r="M688" s="109"/>
      <c r="N688" s="109"/>
      <c r="O688" s="109"/>
      <c r="P688" s="109"/>
      <c r="Q688" s="109"/>
      <c r="R688" s="109"/>
      <c r="S688" s="109"/>
      <c r="T688" s="109"/>
      <c r="U688" s="109"/>
      <c r="V688" s="109"/>
      <c r="W688" s="109"/>
      <c r="X688" s="109"/>
      <c r="Y688" s="109"/>
      <c r="Z688" s="109"/>
    </row>
    <row r="689" ht="29.25" customHeight="1">
      <c r="A689" s="109"/>
      <c r="B689" s="109"/>
      <c r="C689" s="109"/>
      <c r="D689" s="109"/>
      <c r="E689" s="109"/>
      <c r="F689" s="109"/>
      <c r="G689" s="109"/>
      <c r="H689" s="109"/>
      <c r="I689" s="109"/>
      <c r="J689" s="109"/>
      <c r="K689" s="109"/>
      <c r="L689" s="109"/>
      <c r="M689" s="109"/>
      <c r="N689" s="109"/>
      <c r="O689" s="109"/>
      <c r="P689" s="109"/>
      <c r="Q689" s="109"/>
      <c r="R689" s="109"/>
      <c r="S689" s="109"/>
      <c r="T689" s="109"/>
      <c r="U689" s="109"/>
      <c r="V689" s="109"/>
      <c r="W689" s="109"/>
      <c r="X689" s="109"/>
      <c r="Y689" s="109"/>
      <c r="Z689" s="109"/>
    </row>
    <row r="690" ht="29.25" customHeight="1">
      <c r="A690" s="109"/>
      <c r="B690" s="109"/>
      <c r="C690" s="109"/>
      <c r="D690" s="109"/>
      <c r="E690" s="109"/>
      <c r="F690" s="109"/>
      <c r="G690" s="109"/>
      <c r="H690" s="109"/>
      <c r="I690" s="109"/>
      <c r="J690" s="109"/>
      <c r="K690" s="109"/>
      <c r="L690" s="109"/>
      <c r="M690" s="109"/>
      <c r="N690" s="109"/>
      <c r="O690" s="109"/>
      <c r="P690" s="109"/>
      <c r="Q690" s="109"/>
      <c r="R690" s="109"/>
      <c r="S690" s="109"/>
      <c r="T690" s="109"/>
      <c r="U690" s="109"/>
      <c r="V690" s="109"/>
      <c r="W690" s="109"/>
      <c r="X690" s="109"/>
      <c r="Y690" s="109"/>
      <c r="Z690" s="109"/>
    </row>
    <row r="691" ht="29.25" customHeight="1">
      <c r="A691" s="109"/>
      <c r="B691" s="109"/>
      <c r="C691" s="109"/>
      <c r="D691" s="109"/>
      <c r="E691" s="109"/>
      <c r="F691" s="109"/>
      <c r="G691" s="109"/>
      <c r="H691" s="109"/>
      <c r="I691" s="109"/>
      <c r="J691" s="109"/>
      <c r="K691" s="109"/>
      <c r="L691" s="109"/>
      <c r="M691" s="109"/>
      <c r="N691" s="109"/>
      <c r="O691" s="109"/>
      <c r="P691" s="109"/>
      <c r="Q691" s="109"/>
      <c r="R691" s="109"/>
      <c r="S691" s="109"/>
      <c r="T691" s="109"/>
      <c r="U691" s="109"/>
      <c r="V691" s="109"/>
      <c r="W691" s="109"/>
      <c r="X691" s="109"/>
      <c r="Y691" s="109"/>
      <c r="Z691" s="109"/>
    </row>
    <row r="692" ht="29.25" customHeight="1">
      <c r="A692" s="109"/>
      <c r="B692" s="109"/>
      <c r="C692" s="109"/>
      <c r="D692" s="109"/>
      <c r="E692" s="109"/>
      <c r="F692" s="109"/>
      <c r="G692" s="109"/>
      <c r="H692" s="109"/>
      <c r="I692" s="109"/>
      <c r="J692" s="109"/>
      <c r="K692" s="109"/>
      <c r="L692" s="109"/>
      <c r="M692" s="109"/>
      <c r="N692" s="109"/>
      <c r="O692" s="109"/>
      <c r="P692" s="109"/>
      <c r="Q692" s="109"/>
      <c r="R692" s="109"/>
      <c r="S692" s="109"/>
      <c r="T692" s="109"/>
      <c r="U692" s="109"/>
      <c r="V692" s="109"/>
      <c r="W692" s="109"/>
      <c r="X692" s="109"/>
      <c r="Y692" s="109"/>
      <c r="Z692" s="109"/>
    </row>
    <row r="693" ht="29.25" customHeight="1">
      <c r="A693" s="109"/>
      <c r="B693" s="109"/>
      <c r="C693" s="109"/>
      <c r="D693" s="109"/>
      <c r="E693" s="109"/>
      <c r="F693" s="109"/>
      <c r="G693" s="109"/>
      <c r="H693" s="109"/>
      <c r="I693" s="109"/>
      <c r="J693" s="109"/>
      <c r="K693" s="109"/>
      <c r="L693" s="109"/>
      <c r="M693" s="109"/>
      <c r="N693" s="109"/>
      <c r="O693" s="109"/>
      <c r="P693" s="109"/>
      <c r="Q693" s="109"/>
      <c r="R693" s="109"/>
      <c r="S693" s="109"/>
      <c r="T693" s="109"/>
      <c r="U693" s="109"/>
      <c r="V693" s="109"/>
      <c r="W693" s="109"/>
      <c r="X693" s="109"/>
      <c r="Y693" s="109"/>
      <c r="Z693" s="109"/>
    </row>
    <row r="694" ht="29.25" customHeight="1">
      <c r="A694" s="109"/>
      <c r="B694" s="109"/>
      <c r="C694" s="109"/>
      <c r="D694" s="109"/>
      <c r="E694" s="109"/>
      <c r="F694" s="109"/>
      <c r="G694" s="109"/>
      <c r="H694" s="109"/>
      <c r="I694" s="109"/>
      <c r="J694" s="109"/>
      <c r="K694" s="109"/>
      <c r="L694" s="109"/>
      <c r="M694" s="109"/>
      <c r="N694" s="109"/>
      <c r="O694" s="109"/>
      <c r="P694" s="109"/>
      <c r="Q694" s="109"/>
      <c r="R694" s="109"/>
      <c r="S694" s="109"/>
      <c r="T694" s="109"/>
      <c r="U694" s="109"/>
      <c r="V694" s="109"/>
      <c r="W694" s="109"/>
      <c r="X694" s="109"/>
      <c r="Y694" s="109"/>
      <c r="Z694" s="109"/>
    </row>
    <row r="695" ht="29.25" customHeight="1">
      <c r="A695" s="109"/>
      <c r="B695" s="109"/>
      <c r="C695" s="109"/>
      <c r="D695" s="109"/>
      <c r="E695" s="109"/>
      <c r="F695" s="109"/>
      <c r="G695" s="109"/>
      <c r="H695" s="109"/>
      <c r="I695" s="109"/>
      <c r="J695" s="109"/>
      <c r="K695" s="109"/>
      <c r="L695" s="109"/>
      <c r="M695" s="109"/>
      <c r="N695" s="109"/>
      <c r="O695" s="109"/>
      <c r="P695" s="109"/>
      <c r="Q695" s="109"/>
      <c r="R695" s="109"/>
      <c r="S695" s="109"/>
      <c r="T695" s="109"/>
      <c r="U695" s="109"/>
      <c r="V695" s="109"/>
      <c r="W695" s="109"/>
      <c r="X695" s="109"/>
      <c r="Y695" s="109"/>
      <c r="Z695" s="109"/>
    </row>
    <row r="696" ht="29.25" customHeight="1">
      <c r="A696" s="109"/>
      <c r="B696" s="109"/>
      <c r="C696" s="109"/>
      <c r="D696" s="109"/>
      <c r="E696" s="109"/>
      <c r="F696" s="109"/>
      <c r="G696" s="109"/>
      <c r="H696" s="109"/>
      <c r="I696" s="109"/>
      <c r="J696" s="109"/>
      <c r="K696" s="109"/>
      <c r="L696" s="109"/>
      <c r="M696" s="109"/>
      <c r="N696" s="109"/>
      <c r="O696" s="109"/>
      <c r="P696" s="109"/>
      <c r="Q696" s="109"/>
      <c r="R696" s="109"/>
      <c r="S696" s="109"/>
      <c r="T696" s="109"/>
      <c r="U696" s="109"/>
      <c r="V696" s="109"/>
      <c r="W696" s="109"/>
      <c r="X696" s="109"/>
      <c r="Y696" s="109"/>
      <c r="Z696" s="109"/>
    </row>
    <row r="697" ht="29.25" customHeight="1">
      <c r="A697" s="109"/>
      <c r="B697" s="109"/>
      <c r="C697" s="109"/>
      <c r="D697" s="109"/>
      <c r="E697" s="109"/>
      <c r="F697" s="109"/>
      <c r="G697" s="109"/>
      <c r="H697" s="109"/>
      <c r="I697" s="109"/>
      <c r="J697" s="109"/>
      <c r="K697" s="109"/>
      <c r="L697" s="109"/>
      <c r="M697" s="109"/>
      <c r="N697" s="109"/>
      <c r="O697" s="109"/>
      <c r="P697" s="109"/>
      <c r="Q697" s="109"/>
      <c r="R697" s="109"/>
      <c r="S697" s="109"/>
      <c r="T697" s="109"/>
      <c r="U697" s="109"/>
      <c r="V697" s="109"/>
      <c r="W697" s="109"/>
      <c r="X697" s="109"/>
      <c r="Y697" s="109"/>
      <c r="Z697" s="109"/>
    </row>
    <row r="698" ht="29.25" customHeight="1">
      <c r="A698" s="109"/>
      <c r="B698" s="109"/>
      <c r="C698" s="109"/>
      <c r="D698" s="109"/>
      <c r="E698" s="109"/>
      <c r="F698" s="109"/>
      <c r="G698" s="109"/>
      <c r="H698" s="109"/>
      <c r="I698" s="109"/>
      <c r="J698" s="109"/>
      <c r="K698" s="109"/>
      <c r="L698" s="109"/>
      <c r="M698" s="109"/>
      <c r="N698" s="109"/>
      <c r="O698" s="109"/>
      <c r="P698" s="109"/>
      <c r="Q698" s="109"/>
      <c r="R698" s="109"/>
      <c r="S698" s="109"/>
      <c r="T698" s="109"/>
      <c r="U698" s="109"/>
      <c r="V698" s="109"/>
      <c r="W698" s="109"/>
      <c r="X698" s="109"/>
      <c r="Y698" s="109"/>
      <c r="Z698" s="109"/>
    </row>
    <row r="699" ht="29.25" customHeight="1">
      <c r="A699" s="109"/>
      <c r="B699" s="109"/>
      <c r="C699" s="109"/>
      <c r="D699" s="109"/>
      <c r="E699" s="109"/>
      <c r="F699" s="109"/>
      <c r="G699" s="109"/>
      <c r="H699" s="109"/>
      <c r="I699" s="109"/>
      <c r="J699" s="109"/>
      <c r="K699" s="109"/>
      <c r="L699" s="109"/>
      <c r="M699" s="109"/>
      <c r="N699" s="109"/>
      <c r="O699" s="109"/>
      <c r="P699" s="109"/>
      <c r="Q699" s="109"/>
      <c r="R699" s="109"/>
      <c r="S699" s="109"/>
      <c r="T699" s="109"/>
      <c r="U699" s="109"/>
      <c r="V699" s="109"/>
      <c r="W699" s="109"/>
      <c r="X699" s="109"/>
      <c r="Y699" s="109"/>
      <c r="Z699" s="109"/>
    </row>
    <row r="700" ht="29.25" customHeight="1">
      <c r="A700" s="109"/>
      <c r="B700" s="109"/>
      <c r="C700" s="109"/>
      <c r="D700" s="109"/>
      <c r="E700" s="109"/>
      <c r="F700" s="109"/>
      <c r="G700" s="109"/>
      <c r="H700" s="109"/>
      <c r="I700" s="109"/>
      <c r="J700" s="109"/>
      <c r="K700" s="109"/>
      <c r="L700" s="109"/>
      <c r="M700" s="109"/>
      <c r="N700" s="109"/>
      <c r="O700" s="109"/>
      <c r="P700" s="109"/>
      <c r="Q700" s="109"/>
      <c r="R700" s="109"/>
      <c r="S700" s="109"/>
      <c r="T700" s="109"/>
      <c r="U700" s="109"/>
      <c r="V700" s="109"/>
      <c r="W700" s="109"/>
      <c r="X700" s="109"/>
      <c r="Y700" s="109"/>
      <c r="Z700" s="109"/>
    </row>
    <row r="701" ht="29.25" customHeight="1">
      <c r="A701" s="109"/>
      <c r="B701" s="109"/>
      <c r="C701" s="109"/>
      <c r="D701" s="109"/>
      <c r="E701" s="109"/>
      <c r="F701" s="109"/>
      <c r="G701" s="109"/>
      <c r="H701" s="109"/>
      <c r="I701" s="109"/>
      <c r="J701" s="109"/>
      <c r="K701" s="109"/>
      <c r="L701" s="109"/>
      <c r="M701" s="109"/>
      <c r="N701" s="109"/>
      <c r="O701" s="109"/>
      <c r="P701" s="109"/>
      <c r="Q701" s="109"/>
      <c r="R701" s="109"/>
      <c r="S701" s="109"/>
      <c r="T701" s="109"/>
      <c r="U701" s="109"/>
      <c r="V701" s="109"/>
      <c r="W701" s="109"/>
      <c r="X701" s="109"/>
      <c r="Y701" s="109"/>
      <c r="Z701" s="109"/>
    </row>
    <row r="702" ht="29.25" customHeight="1">
      <c r="A702" s="109"/>
      <c r="B702" s="109"/>
      <c r="C702" s="109"/>
      <c r="D702" s="109"/>
      <c r="E702" s="109"/>
      <c r="F702" s="109"/>
      <c r="G702" s="109"/>
      <c r="H702" s="109"/>
      <c r="I702" s="109"/>
      <c r="J702" s="109"/>
      <c r="K702" s="109"/>
      <c r="L702" s="109"/>
      <c r="M702" s="109"/>
      <c r="N702" s="109"/>
      <c r="O702" s="109"/>
      <c r="P702" s="109"/>
      <c r="Q702" s="109"/>
      <c r="R702" s="109"/>
      <c r="S702" s="109"/>
      <c r="T702" s="109"/>
      <c r="U702" s="109"/>
      <c r="V702" s="109"/>
      <c r="W702" s="109"/>
      <c r="X702" s="109"/>
      <c r="Y702" s="109"/>
      <c r="Z702" s="109"/>
    </row>
    <row r="703" ht="29.25" customHeight="1">
      <c r="A703" s="109"/>
      <c r="B703" s="109"/>
      <c r="C703" s="109"/>
      <c r="D703" s="109"/>
      <c r="E703" s="109"/>
      <c r="F703" s="109"/>
      <c r="G703" s="109"/>
      <c r="H703" s="109"/>
      <c r="I703" s="109"/>
      <c r="J703" s="109"/>
      <c r="K703" s="109"/>
      <c r="L703" s="109"/>
      <c r="M703" s="109"/>
      <c r="N703" s="109"/>
      <c r="O703" s="109"/>
      <c r="P703" s="109"/>
      <c r="Q703" s="109"/>
      <c r="R703" s="109"/>
      <c r="S703" s="109"/>
      <c r="T703" s="109"/>
      <c r="U703" s="109"/>
      <c r="V703" s="109"/>
      <c r="W703" s="109"/>
      <c r="X703" s="109"/>
      <c r="Y703" s="109"/>
      <c r="Z703" s="109"/>
    </row>
    <row r="704" ht="29.25" customHeight="1">
      <c r="A704" s="109"/>
      <c r="B704" s="109"/>
      <c r="C704" s="109"/>
      <c r="D704" s="109"/>
      <c r="E704" s="109"/>
      <c r="F704" s="109"/>
      <c r="G704" s="109"/>
      <c r="H704" s="109"/>
      <c r="I704" s="109"/>
      <c r="J704" s="109"/>
      <c r="K704" s="109"/>
      <c r="L704" s="109"/>
      <c r="M704" s="109"/>
      <c r="N704" s="109"/>
      <c r="O704" s="109"/>
      <c r="P704" s="109"/>
      <c r="Q704" s="109"/>
      <c r="R704" s="109"/>
      <c r="S704" s="109"/>
      <c r="T704" s="109"/>
      <c r="U704" s="109"/>
      <c r="V704" s="109"/>
      <c r="W704" s="109"/>
      <c r="X704" s="109"/>
      <c r="Y704" s="109"/>
      <c r="Z704" s="109"/>
    </row>
    <row r="705" ht="29.25" customHeight="1">
      <c r="A705" s="109"/>
      <c r="B705" s="109"/>
      <c r="C705" s="109"/>
      <c r="D705" s="109"/>
      <c r="E705" s="109"/>
      <c r="F705" s="109"/>
      <c r="G705" s="109"/>
      <c r="H705" s="109"/>
      <c r="I705" s="109"/>
      <c r="J705" s="109"/>
      <c r="K705" s="109"/>
      <c r="L705" s="109"/>
      <c r="M705" s="109"/>
      <c r="N705" s="109"/>
      <c r="O705" s="109"/>
      <c r="P705" s="109"/>
      <c r="Q705" s="109"/>
      <c r="R705" s="109"/>
      <c r="S705" s="109"/>
      <c r="T705" s="109"/>
      <c r="U705" s="109"/>
      <c r="V705" s="109"/>
      <c r="W705" s="109"/>
      <c r="X705" s="109"/>
      <c r="Y705" s="109"/>
      <c r="Z705" s="109"/>
    </row>
    <row r="706" ht="29.25" customHeight="1">
      <c r="A706" s="109"/>
      <c r="B706" s="109"/>
      <c r="C706" s="109"/>
      <c r="D706" s="109"/>
      <c r="E706" s="109"/>
      <c r="F706" s="109"/>
      <c r="G706" s="109"/>
      <c r="H706" s="109"/>
      <c r="I706" s="109"/>
      <c r="J706" s="109"/>
      <c r="K706" s="109"/>
      <c r="L706" s="109"/>
      <c r="M706" s="109"/>
      <c r="N706" s="109"/>
      <c r="O706" s="109"/>
      <c r="P706" s="109"/>
      <c r="Q706" s="109"/>
      <c r="R706" s="109"/>
      <c r="S706" s="109"/>
      <c r="T706" s="109"/>
      <c r="U706" s="109"/>
      <c r="V706" s="109"/>
      <c r="W706" s="109"/>
      <c r="X706" s="109"/>
      <c r="Y706" s="109"/>
      <c r="Z706" s="109"/>
    </row>
    <row r="707" ht="29.25" customHeight="1">
      <c r="A707" s="109"/>
      <c r="B707" s="109"/>
      <c r="C707" s="109"/>
      <c r="D707" s="109"/>
      <c r="E707" s="109"/>
      <c r="F707" s="109"/>
      <c r="G707" s="109"/>
      <c r="H707" s="109"/>
      <c r="I707" s="109"/>
      <c r="J707" s="109"/>
      <c r="K707" s="109"/>
      <c r="L707" s="109"/>
      <c r="M707" s="109"/>
      <c r="N707" s="109"/>
      <c r="O707" s="109"/>
      <c r="P707" s="109"/>
      <c r="Q707" s="109"/>
      <c r="R707" s="109"/>
      <c r="S707" s="109"/>
      <c r="T707" s="109"/>
      <c r="U707" s="109"/>
      <c r="V707" s="109"/>
      <c r="W707" s="109"/>
      <c r="X707" s="109"/>
      <c r="Y707" s="109"/>
      <c r="Z707" s="109"/>
    </row>
    <row r="708" ht="29.25" customHeight="1">
      <c r="A708" s="109"/>
      <c r="B708" s="109"/>
      <c r="C708" s="109"/>
      <c r="D708" s="109"/>
      <c r="E708" s="109"/>
      <c r="F708" s="109"/>
      <c r="G708" s="109"/>
      <c r="H708" s="109"/>
      <c r="I708" s="109"/>
      <c r="J708" s="109"/>
      <c r="K708" s="109"/>
      <c r="L708" s="109"/>
      <c r="M708" s="109"/>
      <c r="N708" s="109"/>
      <c r="O708" s="109"/>
      <c r="P708" s="109"/>
      <c r="Q708" s="109"/>
      <c r="R708" s="109"/>
      <c r="S708" s="109"/>
      <c r="T708" s="109"/>
      <c r="U708" s="109"/>
      <c r="V708" s="109"/>
      <c r="W708" s="109"/>
      <c r="X708" s="109"/>
      <c r="Y708" s="109"/>
      <c r="Z708" s="109"/>
    </row>
    <row r="709" ht="29.25" customHeight="1">
      <c r="A709" s="109"/>
      <c r="B709" s="109"/>
      <c r="C709" s="109"/>
      <c r="D709" s="109"/>
      <c r="E709" s="109"/>
      <c r="F709" s="109"/>
      <c r="G709" s="109"/>
      <c r="H709" s="109"/>
      <c r="I709" s="109"/>
      <c r="J709" s="109"/>
      <c r="K709" s="109"/>
      <c r="L709" s="109"/>
      <c r="M709" s="109"/>
      <c r="N709" s="109"/>
      <c r="O709" s="109"/>
      <c r="P709" s="109"/>
      <c r="Q709" s="109"/>
      <c r="R709" s="109"/>
      <c r="S709" s="109"/>
      <c r="T709" s="109"/>
      <c r="U709" s="109"/>
      <c r="V709" s="109"/>
      <c r="W709" s="109"/>
      <c r="X709" s="109"/>
      <c r="Y709" s="109"/>
      <c r="Z709" s="109"/>
    </row>
    <row r="710" ht="29.25" customHeight="1">
      <c r="A710" s="109"/>
      <c r="B710" s="109"/>
      <c r="C710" s="109"/>
      <c r="D710" s="109"/>
      <c r="E710" s="109"/>
      <c r="F710" s="109"/>
      <c r="G710" s="109"/>
      <c r="H710" s="109"/>
      <c r="I710" s="109"/>
      <c r="J710" s="109"/>
      <c r="K710" s="109"/>
      <c r="L710" s="109"/>
      <c r="M710" s="109"/>
      <c r="N710" s="109"/>
      <c r="O710" s="109"/>
      <c r="P710" s="109"/>
      <c r="Q710" s="109"/>
      <c r="R710" s="109"/>
      <c r="S710" s="109"/>
      <c r="T710" s="109"/>
      <c r="U710" s="109"/>
      <c r="V710" s="109"/>
      <c r="W710" s="109"/>
      <c r="X710" s="109"/>
      <c r="Y710" s="109"/>
      <c r="Z710" s="109"/>
    </row>
    <row r="711" ht="29.25" customHeight="1">
      <c r="A711" s="109"/>
      <c r="B711" s="109"/>
      <c r="C711" s="109"/>
      <c r="D711" s="109"/>
      <c r="E711" s="109"/>
      <c r="F711" s="109"/>
      <c r="G711" s="109"/>
      <c r="H711" s="109"/>
      <c r="I711" s="109"/>
      <c r="J711" s="109"/>
      <c r="K711" s="109"/>
      <c r="L711" s="109"/>
      <c r="M711" s="109"/>
      <c r="N711" s="109"/>
      <c r="O711" s="109"/>
      <c r="P711" s="109"/>
      <c r="Q711" s="109"/>
      <c r="R711" s="109"/>
      <c r="S711" s="109"/>
      <c r="T711" s="109"/>
      <c r="U711" s="109"/>
      <c r="V711" s="109"/>
      <c r="W711" s="109"/>
      <c r="X711" s="109"/>
      <c r="Y711" s="109"/>
      <c r="Z711" s="109"/>
    </row>
    <row r="712" ht="29.25" customHeight="1">
      <c r="A712" s="109"/>
      <c r="B712" s="109"/>
      <c r="C712" s="109"/>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row>
    <row r="713" ht="29.25" customHeight="1">
      <c r="A713" s="109"/>
      <c r="B713" s="109"/>
      <c r="C713" s="109"/>
      <c r="D713" s="109"/>
      <c r="E713" s="109"/>
      <c r="F713" s="109"/>
      <c r="G713" s="109"/>
      <c r="H713" s="109"/>
      <c r="I713" s="109"/>
      <c r="J713" s="109"/>
      <c r="K713" s="109"/>
      <c r="L713" s="109"/>
      <c r="M713" s="109"/>
      <c r="N713" s="109"/>
      <c r="O713" s="109"/>
      <c r="P713" s="109"/>
      <c r="Q713" s="109"/>
      <c r="R713" s="109"/>
      <c r="S713" s="109"/>
      <c r="T713" s="109"/>
      <c r="U713" s="109"/>
      <c r="V713" s="109"/>
      <c r="W713" s="109"/>
      <c r="X713" s="109"/>
      <c r="Y713" s="109"/>
      <c r="Z713" s="109"/>
    </row>
    <row r="714" ht="29.25" customHeight="1">
      <c r="A714" s="109"/>
      <c r="B714" s="109"/>
      <c r="C714" s="109"/>
      <c r="D714" s="109"/>
      <c r="E714" s="109"/>
      <c r="F714" s="109"/>
      <c r="G714" s="109"/>
      <c r="H714" s="109"/>
      <c r="I714" s="109"/>
      <c r="J714" s="109"/>
      <c r="K714" s="109"/>
      <c r="L714" s="109"/>
      <c r="M714" s="109"/>
      <c r="N714" s="109"/>
      <c r="O714" s="109"/>
      <c r="P714" s="109"/>
      <c r="Q714" s="109"/>
      <c r="R714" s="109"/>
      <c r="S714" s="109"/>
      <c r="T714" s="109"/>
      <c r="U714" s="109"/>
      <c r="V714" s="109"/>
      <c r="W714" s="109"/>
      <c r="X714" s="109"/>
      <c r="Y714" s="109"/>
      <c r="Z714" s="109"/>
    </row>
    <row r="715" ht="29.25" customHeight="1">
      <c r="A715" s="109"/>
      <c r="B715" s="109"/>
      <c r="C715" s="109"/>
      <c r="D715" s="109"/>
      <c r="E715" s="109"/>
      <c r="F715" s="109"/>
      <c r="G715" s="109"/>
      <c r="H715" s="109"/>
      <c r="I715" s="109"/>
      <c r="J715" s="109"/>
      <c r="K715" s="109"/>
      <c r="L715" s="109"/>
      <c r="M715" s="109"/>
      <c r="N715" s="109"/>
      <c r="O715" s="109"/>
      <c r="P715" s="109"/>
      <c r="Q715" s="109"/>
      <c r="R715" s="109"/>
      <c r="S715" s="109"/>
      <c r="T715" s="109"/>
      <c r="U715" s="109"/>
      <c r="V715" s="109"/>
      <c r="W715" s="109"/>
      <c r="X715" s="109"/>
      <c r="Y715" s="109"/>
      <c r="Z715" s="109"/>
    </row>
    <row r="716" ht="29.25" customHeight="1">
      <c r="A716" s="109"/>
      <c r="B716" s="109"/>
      <c r="C716" s="109"/>
      <c r="D716" s="109"/>
      <c r="E716" s="109"/>
      <c r="F716" s="109"/>
      <c r="G716" s="109"/>
      <c r="H716" s="109"/>
      <c r="I716" s="109"/>
      <c r="J716" s="109"/>
      <c r="K716" s="109"/>
      <c r="L716" s="109"/>
      <c r="M716" s="109"/>
      <c r="N716" s="109"/>
      <c r="O716" s="109"/>
      <c r="P716" s="109"/>
      <c r="Q716" s="109"/>
      <c r="R716" s="109"/>
      <c r="S716" s="109"/>
      <c r="T716" s="109"/>
      <c r="U716" s="109"/>
      <c r="V716" s="109"/>
      <c r="W716" s="109"/>
      <c r="X716" s="109"/>
      <c r="Y716" s="109"/>
      <c r="Z716" s="109"/>
    </row>
    <row r="717" ht="29.25" customHeight="1">
      <c r="A717" s="109"/>
      <c r="B717" s="109"/>
      <c r="C717" s="109"/>
      <c r="D717" s="109"/>
      <c r="E717" s="109"/>
      <c r="F717" s="109"/>
      <c r="G717" s="109"/>
      <c r="H717" s="109"/>
      <c r="I717" s="109"/>
      <c r="J717" s="109"/>
      <c r="K717" s="109"/>
      <c r="L717" s="109"/>
      <c r="M717" s="109"/>
      <c r="N717" s="109"/>
      <c r="O717" s="109"/>
      <c r="P717" s="109"/>
      <c r="Q717" s="109"/>
      <c r="R717" s="109"/>
      <c r="S717" s="109"/>
      <c r="T717" s="109"/>
      <c r="U717" s="109"/>
      <c r="V717" s="109"/>
      <c r="W717" s="109"/>
      <c r="X717" s="109"/>
      <c r="Y717" s="109"/>
      <c r="Z717" s="109"/>
    </row>
    <row r="718" ht="29.25" customHeight="1">
      <c r="A718" s="109"/>
      <c r="B718" s="109"/>
      <c r="C718" s="109"/>
      <c r="D718" s="109"/>
      <c r="E718" s="109"/>
      <c r="F718" s="109"/>
      <c r="G718" s="109"/>
      <c r="H718" s="109"/>
      <c r="I718" s="109"/>
      <c r="J718" s="109"/>
      <c r="K718" s="109"/>
      <c r="L718" s="109"/>
      <c r="M718" s="109"/>
      <c r="N718" s="109"/>
      <c r="O718" s="109"/>
      <c r="P718" s="109"/>
      <c r="Q718" s="109"/>
      <c r="R718" s="109"/>
      <c r="S718" s="109"/>
      <c r="T718" s="109"/>
      <c r="U718" s="109"/>
      <c r="V718" s="109"/>
      <c r="W718" s="109"/>
      <c r="X718" s="109"/>
      <c r="Y718" s="109"/>
      <c r="Z718" s="109"/>
    </row>
    <row r="719" ht="29.25" customHeight="1">
      <c r="A719" s="109"/>
      <c r="B719" s="109"/>
      <c r="C719" s="109"/>
      <c r="D719" s="109"/>
      <c r="E719" s="109"/>
      <c r="F719" s="109"/>
      <c r="G719" s="109"/>
      <c r="H719" s="109"/>
      <c r="I719" s="109"/>
      <c r="J719" s="109"/>
      <c r="K719" s="109"/>
      <c r="L719" s="109"/>
      <c r="M719" s="109"/>
      <c r="N719" s="109"/>
      <c r="O719" s="109"/>
      <c r="P719" s="109"/>
      <c r="Q719" s="109"/>
      <c r="R719" s="109"/>
      <c r="S719" s="109"/>
      <c r="T719" s="109"/>
      <c r="U719" s="109"/>
      <c r="V719" s="109"/>
      <c r="W719" s="109"/>
      <c r="X719" s="109"/>
      <c r="Y719" s="109"/>
      <c r="Z719" s="109"/>
    </row>
    <row r="720" ht="29.25" customHeight="1">
      <c r="A720" s="109"/>
      <c r="B720" s="109"/>
      <c r="C720" s="109"/>
      <c r="D720" s="109"/>
      <c r="E720" s="109"/>
      <c r="F720" s="109"/>
      <c r="G720" s="109"/>
      <c r="H720" s="109"/>
      <c r="I720" s="109"/>
      <c r="J720" s="109"/>
      <c r="K720" s="109"/>
      <c r="L720" s="109"/>
      <c r="M720" s="109"/>
      <c r="N720" s="109"/>
      <c r="O720" s="109"/>
      <c r="P720" s="109"/>
      <c r="Q720" s="109"/>
      <c r="R720" s="109"/>
      <c r="S720" s="109"/>
      <c r="T720" s="109"/>
      <c r="U720" s="109"/>
      <c r="V720" s="109"/>
      <c r="W720" s="109"/>
      <c r="X720" s="109"/>
      <c r="Y720" s="109"/>
      <c r="Z720" s="109"/>
    </row>
    <row r="721" ht="29.25" customHeight="1">
      <c r="A721" s="109"/>
      <c r="B721" s="109"/>
      <c r="C721" s="109"/>
      <c r="D721" s="109"/>
      <c r="E721" s="109"/>
      <c r="F721" s="109"/>
      <c r="G721" s="109"/>
      <c r="H721" s="109"/>
      <c r="I721" s="109"/>
      <c r="J721" s="109"/>
      <c r="K721" s="109"/>
      <c r="L721" s="109"/>
      <c r="M721" s="109"/>
      <c r="N721" s="109"/>
      <c r="O721" s="109"/>
      <c r="P721" s="109"/>
      <c r="Q721" s="109"/>
      <c r="R721" s="109"/>
      <c r="S721" s="109"/>
      <c r="T721" s="109"/>
      <c r="U721" s="109"/>
      <c r="V721" s="109"/>
      <c r="W721" s="109"/>
      <c r="X721" s="109"/>
      <c r="Y721" s="109"/>
      <c r="Z721" s="109"/>
    </row>
    <row r="722" ht="29.25" customHeight="1">
      <c r="A722" s="109"/>
      <c r="B722" s="109"/>
      <c r="C722" s="109"/>
      <c r="D722" s="109"/>
      <c r="E722" s="109"/>
      <c r="F722" s="109"/>
      <c r="G722" s="109"/>
      <c r="H722" s="109"/>
      <c r="I722" s="109"/>
      <c r="J722" s="109"/>
      <c r="K722" s="109"/>
      <c r="L722" s="109"/>
      <c r="M722" s="109"/>
      <c r="N722" s="109"/>
      <c r="O722" s="109"/>
      <c r="P722" s="109"/>
      <c r="Q722" s="109"/>
      <c r="R722" s="109"/>
      <c r="S722" s="109"/>
      <c r="T722" s="109"/>
      <c r="U722" s="109"/>
      <c r="V722" s="109"/>
      <c r="W722" s="109"/>
      <c r="X722" s="109"/>
      <c r="Y722" s="109"/>
      <c r="Z722" s="109"/>
    </row>
    <row r="723" ht="29.25" customHeight="1">
      <c r="A723" s="109"/>
      <c r="B723" s="109"/>
      <c r="C723" s="109"/>
      <c r="D723" s="109"/>
      <c r="E723" s="109"/>
      <c r="F723" s="109"/>
      <c r="G723" s="109"/>
      <c r="H723" s="109"/>
      <c r="I723" s="109"/>
      <c r="J723" s="109"/>
      <c r="K723" s="109"/>
      <c r="L723" s="109"/>
      <c r="M723" s="109"/>
      <c r="N723" s="109"/>
      <c r="O723" s="109"/>
      <c r="P723" s="109"/>
      <c r="Q723" s="109"/>
      <c r="R723" s="109"/>
      <c r="S723" s="109"/>
      <c r="T723" s="109"/>
      <c r="U723" s="109"/>
      <c r="V723" s="109"/>
      <c r="W723" s="109"/>
      <c r="X723" s="109"/>
      <c r="Y723" s="109"/>
      <c r="Z723" s="109"/>
    </row>
    <row r="724" ht="29.25" customHeight="1">
      <c r="A724" s="109"/>
      <c r="B724" s="109"/>
      <c r="C724" s="109"/>
      <c r="D724" s="109"/>
      <c r="E724" s="109"/>
      <c r="F724" s="109"/>
      <c r="G724" s="109"/>
      <c r="H724" s="109"/>
      <c r="I724" s="109"/>
      <c r="J724" s="109"/>
      <c r="K724" s="109"/>
      <c r="L724" s="109"/>
      <c r="M724" s="109"/>
      <c r="N724" s="109"/>
      <c r="O724" s="109"/>
      <c r="P724" s="109"/>
      <c r="Q724" s="109"/>
      <c r="R724" s="109"/>
      <c r="S724" s="109"/>
      <c r="T724" s="109"/>
      <c r="U724" s="109"/>
      <c r="V724" s="109"/>
      <c r="W724" s="109"/>
      <c r="X724" s="109"/>
      <c r="Y724" s="109"/>
      <c r="Z724" s="109"/>
    </row>
    <row r="725" ht="29.25" customHeight="1">
      <c r="A725" s="109"/>
      <c r="B725" s="109"/>
      <c r="C725" s="109"/>
      <c r="D725" s="109"/>
      <c r="E725" s="109"/>
      <c r="F725" s="109"/>
      <c r="G725" s="109"/>
      <c r="H725" s="109"/>
      <c r="I725" s="109"/>
      <c r="J725" s="109"/>
      <c r="K725" s="109"/>
      <c r="L725" s="109"/>
      <c r="M725" s="109"/>
      <c r="N725" s="109"/>
      <c r="O725" s="109"/>
      <c r="P725" s="109"/>
      <c r="Q725" s="109"/>
      <c r="R725" s="109"/>
      <c r="S725" s="109"/>
      <c r="T725" s="109"/>
      <c r="U725" s="109"/>
      <c r="V725" s="109"/>
      <c r="W725" s="109"/>
      <c r="X725" s="109"/>
      <c r="Y725" s="109"/>
      <c r="Z725" s="109"/>
    </row>
    <row r="726" ht="29.25" customHeight="1">
      <c r="A726" s="109"/>
      <c r="B726" s="109"/>
      <c r="C726" s="109"/>
      <c r="D726" s="109"/>
      <c r="E726" s="109"/>
      <c r="F726" s="109"/>
      <c r="G726" s="109"/>
      <c r="H726" s="109"/>
      <c r="I726" s="109"/>
      <c r="J726" s="109"/>
      <c r="K726" s="109"/>
      <c r="L726" s="109"/>
      <c r="M726" s="109"/>
      <c r="N726" s="109"/>
      <c r="O726" s="109"/>
      <c r="P726" s="109"/>
      <c r="Q726" s="109"/>
      <c r="R726" s="109"/>
      <c r="S726" s="109"/>
      <c r="T726" s="109"/>
      <c r="U726" s="109"/>
      <c r="V726" s="109"/>
      <c r="W726" s="109"/>
      <c r="X726" s="109"/>
      <c r="Y726" s="109"/>
      <c r="Z726" s="109"/>
    </row>
    <row r="727" ht="29.25" customHeight="1">
      <c r="A727" s="109"/>
      <c r="B727" s="109"/>
      <c r="C727" s="109"/>
      <c r="D727" s="109"/>
      <c r="E727" s="109"/>
      <c r="F727" s="109"/>
      <c r="G727" s="109"/>
      <c r="H727" s="109"/>
      <c r="I727" s="109"/>
      <c r="J727" s="109"/>
      <c r="K727" s="109"/>
      <c r="L727" s="109"/>
      <c r="M727" s="109"/>
      <c r="N727" s="109"/>
      <c r="O727" s="109"/>
      <c r="P727" s="109"/>
      <c r="Q727" s="109"/>
      <c r="R727" s="109"/>
      <c r="S727" s="109"/>
      <c r="T727" s="109"/>
      <c r="U727" s="109"/>
      <c r="V727" s="109"/>
      <c r="W727" s="109"/>
      <c r="X727" s="109"/>
      <c r="Y727" s="109"/>
      <c r="Z727" s="109"/>
    </row>
    <row r="728" ht="29.25" customHeight="1">
      <c r="A728" s="109"/>
      <c r="B728" s="109"/>
      <c r="C728" s="109"/>
      <c r="D728" s="109"/>
      <c r="E728" s="109"/>
      <c r="F728" s="109"/>
      <c r="G728" s="109"/>
      <c r="H728" s="109"/>
      <c r="I728" s="109"/>
      <c r="J728" s="109"/>
      <c r="K728" s="109"/>
      <c r="L728" s="109"/>
      <c r="M728" s="109"/>
      <c r="N728" s="109"/>
      <c r="O728" s="109"/>
      <c r="P728" s="109"/>
      <c r="Q728" s="109"/>
      <c r="R728" s="109"/>
      <c r="S728" s="109"/>
      <c r="T728" s="109"/>
      <c r="U728" s="109"/>
      <c r="V728" s="109"/>
      <c r="W728" s="109"/>
      <c r="X728" s="109"/>
      <c r="Y728" s="109"/>
      <c r="Z728" s="109"/>
    </row>
    <row r="729" ht="29.25" customHeight="1">
      <c r="A729" s="109"/>
      <c r="B729" s="109"/>
      <c r="C729" s="109"/>
      <c r="D729" s="109"/>
      <c r="E729" s="109"/>
      <c r="F729" s="109"/>
      <c r="G729" s="109"/>
      <c r="H729" s="109"/>
      <c r="I729" s="109"/>
      <c r="J729" s="109"/>
      <c r="K729" s="109"/>
      <c r="L729" s="109"/>
      <c r="M729" s="109"/>
      <c r="N729" s="109"/>
      <c r="O729" s="109"/>
      <c r="P729" s="109"/>
      <c r="Q729" s="109"/>
      <c r="R729" s="109"/>
      <c r="S729" s="109"/>
      <c r="T729" s="109"/>
      <c r="U729" s="109"/>
      <c r="V729" s="109"/>
      <c r="W729" s="109"/>
      <c r="X729" s="109"/>
      <c r="Y729" s="109"/>
      <c r="Z729" s="109"/>
    </row>
    <row r="730" ht="29.25" customHeight="1">
      <c r="A730" s="109"/>
      <c r="B730" s="109"/>
      <c r="C730" s="109"/>
      <c r="D730" s="109"/>
      <c r="E730" s="109"/>
      <c r="F730" s="109"/>
      <c r="G730" s="109"/>
      <c r="H730" s="109"/>
      <c r="I730" s="109"/>
      <c r="J730" s="109"/>
      <c r="K730" s="109"/>
      <c r="L730" s="109"/>
      <c r="M730" s="109"/>
      <c r="N730" s="109"/>
      <c r="O730" s="109"/>
      <c r="P730" s="109"/>
      <c r="Q730" s="109"/>
      <c r="R730" s="109"/>
      <c r="S730" s="109"/>
      <c r="T730" s="109"/>
      <c r="U730" s="109"/>
      <c r="V730" s="109"/>
      <c r="W730" s="109"/>
      <c r="X730" s="109"/>
      <c r="Y730" s="109"/>
      <c r="Z730" s="109"/>
    </row>
    <row r="731" ht="29.25" customHeight="1">
      <c r="A731" s="109"/>
      <c r="B731" s="109"/>
      <c r="C731" s="109"/>
      <c r="D731" s="109"/>
      <c r="E731" s="109"/>
      <c r="F731" s="109"/>
      <c r="G731" s="109"/>
      <c r="H731" s="109"/>
      <c r="I731" s="109"/>
      <c r="J731" s="109"/>
      <c r="K731" s="109"/>
      <c r="L731" s="109"/>
      <c r="M731" s="109"/>
      <c r="N731" s="109"/>
      <c r="O731" s="109"/>
      <c r="P731" s="109"/>
      <c r="Q731" s="109"/>
      <c r="R731" s="109"/>
      <c r="S731" s="109"/>
      <c r="T731" s="109"/>
      <c r="U731" s="109"/>
      <c r="V731" s="109"/>
      <c r="W731" s="109"/>
      <c r="X731" s="109"/>
      <c r="Y731" s="109"/>
      <c r="Z731" s="109"/>
    </row>
    <row r="732" ht="29.25" customHeight="1">
      <c r="A732" s="109"/>
      <c r="B732" s="109"/>
      <c r="C732" s="109"/>
      <c r="D732" s="109"/>
      <c r="E732" s="109"/>
      <c r="F732" s="109"/>
      <c r="G732" s="109"/>
      <c r="H732" s="109"/>
      <c r="I732" s="109"/>
      <c r="J732" s="109"/>
      <c r="K732" s="109"/>
      <c r="L732" s="109"/>
      <c r="M732" s="109"/>
      <c r="N732" s="109"/>
      <c r="O732" s="109"/>
      <c r="P732" s="109"/>
      <c r="Q732" s="109"/>
      <c r="R732" s="109"/>
      <c r="S732" s="109"/>
      <c r="T732" s="109"/>
      <c r="U732" s="109"/>
      <c r="V732" s="109"/>
      <c r="W732" s="109"/>
      <c r="X732" s="109"/>
      <c r="Y732" s="109"/>
      <c r="Z732" s="109"/>
    </row>
    <row r="733" ht="29.25" customHeight="1">
      <c r="A733" s="109"/>
      <c r="B733" s="109"/>
      <c r="C733" s="109"/>
      <c r="D733" s="109"/>
      <c r="E733" s="109"/>
      <c r="F733" s="109"/>
      <c r="G733" s="109"/>
      <c r="H733" s="109"/>
      <c r="I733" s="109"/>
      <c r="J733" s="109"/>
      <c r="K733" s="109"/>
      <c r="L733" s="109"/>
      <c r="M733" s="109"/>
      <c r="N733" s="109"/>
      <c r="O733" s="109"/>
      <c r="P733" s="109"/>
      <c r="Q733" s="109"/>
      <c r="R733" s="109"/>
      <c r="S733" s="109"/>
      <c r="T733" s="109"/>
      <c r="U733" s="109"/>
      <c r="V733" s="109"/>
      <c r="W733" s="109"/>
      <c r="X733" s="109"/>
      <c r="Y733" s="109"/>
      <c r="Z733" s="109"/>
    </row>
    <row r="734" ht="29.25" customHeight="1">
      <c r="A734" s="109"/>
      <c r="B734" s="109"/>
      <c r="C734" s="109"/>
      <c r="D734" s="109"/>
      <c r="E734" s="109"/>
      <c r="F734" s="109"/>
      <c r="G734" s="109"/>
      <c r="H734" s="109"/>
      <c r="I734" s="109"/>
      <c r="J734" s="109"/>
      <c r="K734" s="109"/>
      <c r="L734" s="109"/>
      <c r="M734" s="109"/>
      <c r="N734" s="109"/>
      <c r="O734" s="109"/>
      <c r="P734" s="109"/>
      <c r="Q734" s="109"/>
      <c r="R734" s="109"/>
      <c r="S734" s="109"/>
      <c r="T734" s="109"/>
      <c r="U734" s="109"/>
      <c r="V734" s="109"/>
      <c r="W734" s="109"/>
      <c r="X734" s="109"/>
      <c r="Y734" s="109"/>
      <c r="Z734" s="109"/>
    </row>
    <row r="735" ht="29.25" customHeight="1">
      <c r="A735" s="109"/>
      <c r="B735" s="109"/>
      <c r="C735" s="109"/>
      <c r="D735" s="109"/>
      <c r="E735" s="109"/>
      <c r="F735" s="109"/>
      <c r="G735" s="109"/>
      <c r="H735" s="109"/>
      <c r="I735" s="109"/>
      <c r="J735" s="109"/>
      <c r="K735" s="109"/>
      <c r="L735" s="109"/>
      <c r="M735" s="109"/>
      <c r="N735" s="109"/>
      <c r="O735" s="109"/>
      <c r="P735" s="109"/>
      <c r="Q735" s="109"/>
      <c r="R735" s="109"/>
      <c r="S735" s="109"/>
      <c r="T735" s="109"/>
      <c r="U735" s="109"/>
      <c r="V735" s="109"/>
      <c r="W735" s="109"/>
      <c r="X735" s="109"/>
      <c r="Y735" s="109"/>
      <c r="Z735" s="109"/>
    </row>
    <row r="736" ht="29.25" customHeight="1">
      <c r="A736" s="109"/>
      <c r="B736" s="109"/>
      <c r="C736" s="109"/>
      <c r="D736" s="109"/>
      <c r="E736" s="109"/>
      <c r="F736" s="109"/>
      <c r="G736" s="109"/>
      <c r="H736" s="109"/>
      <c r="I736" s="109"/>
      <c r="J736" s="109"/>
      <c r="K736" s="109"/>
      <c r="L736" s="109"/>
      <c r="M736" s="109"/>
      <c r="N736" s="109"/>
      <c r="O736" s="109"/>
      <c r="P736" s="109"/>
      <c r="Q736" s="109"/>
      <c r="R736" s="109"/>
      <c r="S736" s="109"/>
      <c r="T736" s="109"/>
      <c r="U736" s="109"/>
      <c r="V736" s="109"/>
      <c r="W736" s="109"/>
      <c r="X736" s="109"/>
      <c r="Y736" s="109"/>
      <c r="Z736" s="109"/>
    </row>
    <row r="737" ht="29.25" customHeight="1">
      <c r="A737" s="109"/>
      <c r="B737" s="109"/>
      <c r="C737" s="109"/>
      <c r="D737" s="109"/>
      <c r="E737" s="109"/>
      <c r="F737" s="109"/>
      <c r="G737" s="109"/>
      <c r="H737" s="109"/>
      <c r="I737" s="109"/>
      <c r="J737" s="109"/>
      <c r="K737" s="109"/>
      <c r="L737" s="109"/>
      <c r="M737" s="109"/>
      <c r="N737" s="109"/>
      <c r="O737" s="109"/>
      <c r="P737" s="109"/>
      <c r="Q737" s="109"/>
      <c r="R737" s="109"/>
      <c r="S737" s="109"/>
      <c r="T737" s="109"/>
      <c r="U737" s="109"/>
      <c r="V737" s="109"/>
      <c r="W737" s="109"/>
      <c r="X737" s="109"/>
      <c r="Y737" s="109"/>
      <c r="Z737" s="109"/>
    </row>
    <row r="738" ht="29.25" customHeight="1">
      <c r="A738" s="109"/>
      <c r="B738" s="109"/>
      <c r="C738" s="109"/>
      <c r="D738" s="109"/>
      <c r="E738" s="109"/>
      <c r="F738" s="109"/>
      <c r="G738" s="109"/>
      <c r="H738" s="109"/>
      <c r="I738" s="109"/>
      <c r="J738" s="109"/>
      <c r="K738" s="109"/>
      <c r="L738" s="109"/>
      <c r="M738" s="109"/>
      <c r="N738" s="109"/>
      <c r="O738" s="109"/>
      <c r="P738" s="109"/>
      <c r="Q738" s="109"/>
      <c r="R738" s="109"/>
      <c r="S738" s="109"/>
      <c r="T738" s="109"/>
      <c r="U738" s="109"/>
      <c r="V738" s="109"/>
      <c r="W738" s="109"/>
      <c r="X738" s="109"/>
      <c r="Y738" s="109"/>
      <c r="Z738" s="109"/>
    </row>
    <row r="739" ht="29.25" customHeight="1">
      <c r="A739" s="109"/>
      <c r="B739" s="109"/>
      <c r="C739" s="109"/>
      <c r="D739" s="109"/>
      <c r="E739" s="109"/>
      <c r="F739" s="109"/>
      <c r="G739" s="109"/>
      <c r="H739" s="109"/>
      <c r="I739" s="109"/>
      <c r="J739" s="109"/>
      <c r="K739" s="109"/>
      <c r="L739" s="109"/>
      <c r="M739" s="109"/>
      <c r="N739" s="109"/>
      <c r="O739" s="109"/>
      <c r="P739" s="109"/>
      <c r="Q739" s="109"/>
      <c r="R739" s="109"/>
      <c r="S739" s="109"/>
      <c r="T739" s="109"/>
      <c r="U739" s="109"/>
      <c r="V739" s="109"/>
      <c r="W739" s="109"/>
      <c r="X739" s="109"/>
      <c r="Y739" s="109"/>
      <c r="Z739" s="109"/>
    </row>
    <row r="740" ht="29.25" customHeight="1">
      <c r="A740" s="109"/>
      <c r="B740" s="109"/>
      <c r="C740" s="109"/>
      <c r="D740" s="109"/>
      <c r="E740" s="109"/>
      <c r="F740" s="109"/>
      <c r="G740" s="109"/>
      <c r="H740" s="109"/>
      <c r="I740" s="109"/>
      <c r="J740" s="109"/>
      <c r="K740" s="109"/>
      <c r="L740" s="109"/>
      <c r="M740" s="109"/>
      <c r="N740" s="109"/>
      <c r="O740" s="109"/>
      <c r="P740" s="109"/>
      <c r="Q740" s="109"/>
      <c r="R740" s="109"/>
      <c r="S740" s="109"/>
      <c r="T740" s="109"/>
      <c r="U740" s="109"/>
      <c r="V740" s="109"/>
      <c r="W740" s="109"/>
      <c r="X740" s="109"/>
      <c r="Y740" s="109"/>
      <c r="Z740" s="109"/>
    </row>
    <row r="741" ht="29.25" customHeight="1">
      <c r="A741" s="109"/>
      <c r="B741" s="109"/>
      <c r="C741" s="109"/>
      <c r="D741" s="109"/>
      <c r="E741" s="109"/>
      <c r="F741" s="109"/>
      <c r="G741" s="109"/>
      <c r="H741" s="109"/>
      <c r="I741" s="109"/>
      <c r="J741" s="109"/>
      <c r="K741" s="109"/>
      <c r="L741" s="109"/>
      <c r="M741" s="109"/>
      <c r="N741" s="109"/>
      <c r="O741" s="109"/>
      <c r="P741" s="109"/>
      <c r="Q741" s="109"/>
      <c r="R741" s="109"/>
      <c r="S741" s="109"/>
      <c r="T741" s="109"/>
      <c r="U741" s="109"/>
      <c r="V741" s="109"/>
      <c r="W741" s="109"/>
      <c r="X741" s="109"/>
      <c r="Y741" s="109"/>
      <c r="Z741" s="109"/>
    </row>
    <row r="742" ht="29.25" customHeight="1">
      <c r="A742" s="109"/>
      <c r="B742" s="109"/>
      <c r="C742" s="109"/>
      <c r="D742" s="109"/>
      <c r="E742" s="109"/>
      <c r="F742" s="109"/>
      <c r="G742" s="109"/>
      <c r="H742" s="109"/>
      <c r="I742" s="109"/>
      <c r="J742" s="109"/>
      <c r="K742" s="109"/>
      <c r="L742" s="109"/>
      <c r="M742" s="109"/>
      <c r="N742" s="109"/>
      <c r="O742" s="109"/>
      <c r="P742" s="109"/>
      <c r="Q742" s="109"/>
      <c r="R742" s="109"/>
      <c r="S742" s="109"/>
      <c r="T742" s="109"/>
      <c r="U742" s="109"/>
      <c r="V742" s="109"/>
      <c r="W742" s="109"/>
      <c r="X742" s="109"/>
      <c r="Y742" s="109"/>
      <c r="Z742" s="109"/>
    </row>
    <row r="743" ht="29.25" customHeight="1">
      <c r="A743" s="109"/>
      <c r="B743" s="109"/>
      <c r="C743" s="109"/>
      <c r="D743" s="109"/>
      <c r="E743" s="109"/>
      <c r="F743" s="109"/>
      <c r="G743" s="109"/>
      <c r="H743" s="109"/>
      <c r="I743" s="109"/>
      <c r="J743" s="109"/>
      <c r="K743" s="109"/>
      <c r="L743" s="109"/>
      <c r="M743" s="109"/>
      <c r="N743" s="109"/>
      <c r="O743" s="109"/>
      <c r="P743" s="109"/>
      <c r="Q743" s="109"/>
      <c r="R743" s="109"/>
      <c r="S743" s="109"/>
      <c r="T743" s="109"/>
      <c r="U743" s="109"/>
      <c r="V743" s="109"/>
      <c r="W743" s="109"/>
      <c r="X743" s="109"/>
      <c r="Y743" s="109"/>
      <c r="Z743" s="109"/>
    </row>
    <row r="744" ht="29.25" customHeight="1">
      <c r="A744" s="109"/>
      <c r="B744" s="109"/>
      <c r="C744" s="109"/>
      <c r="D744" s="109"/>
      <c r="E744" s="109"/>
      <c r="F744" s="109"/>
      <c r="G744" s="109"/>
      <c r="H744" s="109"/>
      <c r="I744" s="109"/>
      <c r="J744" s="109"/>
      <c r="K744" s="109"/>
      <c r="L744" s="109"/>
      <c r="M744" s="109"/>
      <c r="N744" s="109"/>
      <c r="O744" s="109"/>
      <c r="P744" s="109"/>
      <c r="Q744" s="109"/>
      <c r="R744" s="109"/>
      <c r="S744" s="109"/>
      <c r="T744" s="109"/>
      <c r="U744" s="109"/>
      <c r="V744" s="109"/>
      <c r="W744" s="109"/>
      <c r="X744" s="109"/>
      <c r="Y744" s="109"/>
      <c r="Z744" s="109"/>
    </row>
    <row r="745" ht="29.25" customHeight="1">
      <c r="A745" s="109"/>
      <c r="B745" s="109"/>
      <c r="C745" s="109"/>
      <c r="D745" s="109"/>
      <c r="E745" s="109"/>
      <c r="F745" s="109"/>
      <c r="G745" s="109"/>
      <c r="H745" s="109"/>
      <c r="I745" s="109"/>
      <c r="J745" s="109"/>
      <c r="K745" s="109"/>
      <c r="L745" s="109"/>
      <c r="M745" s="109"/>
      <c r="N745" s="109"/>
      <c r="O745" s="109"/>
      <c r="P745" s="109"/>
      <c r="Q745" s="109"/>
      <c r="R745" s="109"/>
      <c r="S745" s="109"/>
      <c r="T745" s="109"/>
      <c r="U745" s="109"/>
      <c r="V745" s="109"/>
      <c r="W745" s="109"/>
      <c r="X745" s="109"/>
      <c r="Y745" s="109"/>
      <c r="Z745" s="109"/>
    </row>
    <row r="746" ht="29.25" customHeight="1">
      <c r="A746" s="109"/>
      <c r="B746" s="109"/>
      <c r="C746" s="109"/>
      <c r="D746" s="109"/>
      <c r="E746" s="109"/>
      <c r="F746" s="109"/>
      <c r="G746" s="109"/>
      <c r="H746" s="109"/>
      <c r="I746" s="109"/>
      <c r="J746" s="109"/>
      <c r="K746" s="109"/>
      <c r="L746" s="109"/>
      <c r="M746" s="109"/>
      <c r="N746" s="109"/>
      <c r="O746" s="109"/>
      <c r="P746" s="109"/>
      <c r="Q746" s="109"/>
      <c r="R746" s="109"/>
      <c r="S746" s="109"/>
      <c r="T746" s="109"/>
      <c r="U746" s="109"/>
      <c r="V746" s="109"/>
      <c r="W746" s="109"/>
      <c r="X746" s="109"/>
      <c r="Y746" s="109"/>
      <c r="Z746" s="109"/>
    </row>
    <row r="747" ht="29.25" customHeight="1">
      <c r="A747" s="109"/>
      <c r="B747" s="109"/>
      <c r="C747" s="109"/>
      <c r="D747" s="109"/>
      <c r="E747" s="109"/>
      <c r="F747" s="109"/>
      <c r="G747" s="109"/>
      <c r="H747" s="109"/>
      <c r="I747" s="109"/>
      <c r="J747" s="109"/>
      <c r="K747" s="109"/>
      <c r="L747" s="109"/>
      <c r="M747" s="109"/>
      <c r="N747" s="109"/>
      <c r="O747" s="109"/>
      <c r="P747" s="109"/>
      <c r="Q747" s="109"/>
      <c r="R747" s="109"/>
      <c r="S747" s="109"/>
      <c r="T747" s="109"/>
      <c r="U747" s="109"/>
      <c r="V747" s="109"/>
      <c r="W747" s="109"/>
      <c r="X747" s="109"/>
      <c r="Y747" s="109"/>
      <c r="Z747" s="109"/>
    </row>
    <row r="748" ht="29.25" customHeight="1">
      <c r="A748" s="109"/>
      <c r="B748" s="109"/>
      <c r="C748" s="109"/>
      <c r="D748" s="109"/>
      <c r="E748" s="109"/>
      <c r="F748" s="109"/>
      <c r="G748" s="109"/>
      <c r="H748" s="109"/>
      <c r="I748" s="109"/>
      <c r="J748" s="109"/>
      <c r="K748" s="109"/>
      <c r="L748" s="109"/>
      <c r="M748" s="109"/>
      <c r="N748" s="109"/>
      <c r="O748" s="109"/>
      <c r="P748" s="109"/>
      <c r="Q748" s="109"/>
      <c r="R748" s="109"/>
      <c r="S748" s="109"/>
      <c r="T748" s="109"/>
      <c r="U748" s="109"/>
      <c r="V748" s="109"/>
      <c r="W748" s="109"/>
      <c r="X748" s="109"/>
      <c r="Y748" s="109"/>
      <c r="Z748" s="109"/>
    </row>
    <row r="749" ht="29.25" customHeight="1">
      <c r="A749" s="109"/>
      <c r="B749" s="109"/>
      <c r="C749" s="109"/>
      <c r="D749" s="109"/>
      <c r="E749" s="109"/>
      <c r="F749" s="109"/>
      <c r="G749" s="109"/>
      <c r="H749" s="109"/>
      <c r="I749" s="109"/>
      <c r="J749" s="109"/>
      <c r="K749" s="109"/>
      <c r="L749" s="109"/>
      <c r="M749" s="109"/>
      <c r="N749" s="109"/>
      <c r="O749" s="109"/>
      <c r="P749" s="109"/>
      <c r="Q749" s="109"/>
      <c r="R749" s="109"/>
      <c r="S749" s="109"/>
      <c r="T749" s="109"/>
      <c r="U749" s="109"/>
      <c r="V749" s="109"/>
      <c r="W749" s="109"/>
      <c r="X749" s="109"/>
      <c r="Y749" s="109"/>
      <c r="Z749" s="109"/>
    </row>
    <row r="750" ht="29.25" customHeight="1">
      <c r="A750" s="109"/>
      <c r="B750" s="109"/>
      <c r="C750" s="109"/>
      <c r="D750" s="109"/>
      <c r="E750" s="109"/>
      <c r="F750" s="109"/>
      <c r="G750" s="109"/>
      <c r="H750" s="109"/>
      <c r="I750" s="109"/>
      <c r="J750" s="109"/>
      <c r="K750" s="109"/>
      <c r="L750" s="109"/>
      <c r="M750" s="109"/>
      <c r="N750" s="109"/>
      <c r="O750" s="109"/>
      <c r="P750" s="109"/>
      <c r="Q750" s="109"/>
      <c r="R750" s="109"/>
      <c r="S750" s="109"/>
      <c r="T750" s="109"/>
      <c r="U750" s="109"/>
      <c r="V750" s="109"/>
      <c r="W750" s="109"/>
      <c r="X750" s="109"/>
      <c r="Y750" s="109"/>
      <c r="Z750" s="109"/>
    </row>
    <row r="751" ht="29.25" customHeight="1">
      <c r="A751" s="109"/>
      <c r="B751" s="109"/>
      <c r="C751" s="109"/>
      <c r="D751" s="109"/>
      <c r="E751" s="109"/>
      <c r="F751" s="109"/>
      <c r="G751" s="109"/>
      <c r="H751" s="109"/>
      <c r="I751" s="109"/>
      <c r="J751" s="109"/>
      <c r="K751" s="109"/>
      <c r="L751" s="109"/>
      <c r="M751" s="109"/>
      <c r="N751" s="109"/>
      <c r="O751" s="109"/>
      <c r="P751" s="109"/>
      <c r="Q751" s="109"/>
      <c r="R751" s="109"/>
      <c r="S751" s="109"/>
      <c r="T751" s="109"/>
      <c r="U751" s="109"/>
      <c r="V751" s="109"/>
      <c r="W751" s="109"/>
      <c r="X751" s="109"/>
      <c r="Y751" s="109"/>
      <c r="Z751" s="109"/>
    </row>
    <row r="752" ht="29.25" customHeight="1">
      <c r="A752" s="109"/>
      <c r="B752" s="109"/>
      <c r="C752" s="109"/>
      <c r="D752" s="109"/>
      <c r="E752" s="109"/>
      <c r="F752" s="109"/>
      <c r="G752" s="109"/>
      <c r="H752" s="109"/>
      <c r="I752" s="109"/>
      <c r="J752" s="109"/>
      <c r="K752" s="109"/>
      <c r="L752" s="109"/>
      <c r="M752" s="109"/>
      <c r="N752" s="109"/>
      <c r="O752" s="109"/>
      <c r="P752" s="109"/>
      <c r="Q752" s="109"/>
      <c r="R752" s="109"/>
      <c r="S752" s="109"/>
      <c r="T752" s="109"/>
      <c r="U752" s="109"/>
      <c r="V752" s="109"/>
      <c r="W752" s="109"/>
      <c r="X752" s="109"/>
      <c r="Y752" s="109"/>
      <c r="Z752" s="109"/>
    </row>
    <row r="753" ht="29.25" customHeight="1">
      <c r="A753" s="109"/>
      <c r="B753" s="109"/>
      <c r="C753" s="109"/>
      <c r="D753" s="109"/>
      <c r="E753" s="109"/>
      <c r="F753" s="109"/>
      <c r="G753" s="109"/>
      <c r="H753" s="109"/>
      <c r="I753" s="109"/>
      <c r="J753" s="109"/>
      <c r="K753" s="109"/>
      <c r="L753" s="109"/>
      <c r="M753" s="109"/>
      <c r="N753" s="109"/>
      <c r="O753" s="109"/>
      <c r="P753" s="109"/>
      <c r="Q753" s="109"/>
      <c r="R753" s="109"/>
      <c r="S753" s="109"/>
      <c r="T753" s="109"/>
      <c r="U753" s="109"/>
      <c r="V753" s="109"/>
      <c r="W753" s="109"/>
      <c r="X753" s="109"/>
      <c r="Y753" s="109"/>
      <c r="Z753" s="109"/>
    </row>
    <row r="754" ht="29.25" customHeight="1">
      <c r="A754" s="109"/>
      <c r="B754" s="109"/>
      <c r="C754" s="109"/>
      <c r="D754" s="109"/>
      <c r="E754" s="109"/>
      <c r="F754" s="109"/>
      <c r="G754" s="109"/>
      <c r="H754" s="109"/>
      <c r="I754" s="109"/>
      <c r="J754" s="109"/>
      <c r="K754" s="109"/>
      <c r="L754" s="109"/>
      <c r="M754" s="109"/>
      <c r="N754" s="109"/>
      <c r="O754" s="109"/>
      <c r="P754" s="109"/>
      <c r="Q754" s="109"/>
      <c r="R754" s="109"/>
      <c r="S754" s="109"/>
      <c r="T754" s="109"/>
      <c r="U754" s="109"/>
      <c r="V754" s="109"/>
      <c r="W754" s="109"/>
      <c r="X754" s="109"/>
      <c r="Y754" s="109"/>
      <c r="Z754" s="109"/>
    </row>
    <row r="755" ht="29.25" customHeight="1">
      <c r="A755" s="109"/>
      <c r="B755" s="109"/>
      <c r="C755" s="109"/>
      <c r="D755" s="109"/>
      <c r="E755" s="109"/>
      <c r="F755" s="109"/>
      <c r="G755" s="109"/>
      <c r="H755" s="109"/>
      <c r="I755" s="109"/>
      <c r="J755" s="109"/>
      <c r="K755" s="109"/>
      <c r="L755" s="109"/>
      <c r="M755" s="109"/>
      <c r="N755" s="109"/>
      <c r="O755" s="109"/>
      <c r="P755" s="109"/>
      <c r="Q755" s="109"/>
      <c r="R755" s="109"/>
      <c r="S755" s="109"/>
      <c r="T755" s="109"/>
      <c r="U755" s="109"/>
      <c r="V755" s="109"/>
      <c r="W755" s="109"/>
      <c r="X755" s="109"/>
      <c r="Y755" s="109"/>
      <c r="Z755" s="109"/>
    </row>
    <row r="756" ht="29.25" customHeight="1">
      <c r="A756" s="109"/>
      <c r="B756" s="109"/>
      <c r="C756" s="109"/>
      <c r="D756" s="109"/>
      <c r="E756" s="109"/>
      <c r="F756" s="109"/>
      <c r="G756" s="109"/>
      <c r="H756" s="109"/>
      <c r="I756" s="109"/>
      <c r="J756" s="109"/>
      <c r="K756" s="109"/>
      <c r="L756" s="109"/>
      <c r="M756" s="109"/>
      <c r="N756" s="109"/>
      <c r="O756" s="109"/>
      <c r="P756" s="109"/>
      <c r="Q756" s="109"/>
      <c r="R756" s="109"/>
      <c r="S756" s="109"/>
      <c r="T756" s="109"/>
      <c r="U756" s="109"/>
      <c r="V756" s="109"/>
      <c r="W756" s="109"/>
      <c r="X756" s="109"/>
      <c r="Y756" s="109"/>
      <c r="Z756" s="109"/>
    </row>
    <row r="757" ht="29.25" customHeight="1">
      <c r="A757" s="109"/>
      <c r="B757" s="109"/>
      <c r="C757" s="109"/>
      <c r="D757" s="109"/>
      <c r="E757" s="109"/>
      <c r="F757" s="109"/>
      <c r="G757" s="109"/>
      <c r="H757" s="109"/>
      <c r="I757" s="109"/>
      <c r="J757" s="109"/>
      <c r="K757" s="109"/>
      <c r="L757" s="109"/>
      <c r="M757" s="109"/>
      <c r="N757" s="109"/>
      <c r="O757" s="109"/>
      <c r="P757" s="109"/>
      <c r="Q757" s="109"/>
      <c r="R757" s="109"/>
      <c r="S757" s="109"/>
      <c r="T757" s="109"/>
      <c r="U757" s="109"/>
      <c r="V757" s="109"/>
      <c r="W757" s="109"/>
      <c r="X757" s="109"/>
      <c r="Y757" s="109"/>
      <c r="Z757" s="109"/>
    </row>
    <row r="758" ht="29.25" customHeight="1">
      <c r="A758" s="109"/>
      <c r="B758" s="109"/>
      <c r="C758" s="109"/>
      <c r="D758" s="109"/>
      <c r="E758" s="109"/>
      <c r="F758" s="109"/>
      <c r="G758" s="109"/>
      <c r="H758" s="109"/>
      <c r="I758" s="109"/>
      <c r="J758" s="109"/>
      <c r="K758" s="109"/>
      <c r="L758" s="109"/>
      <c r="M758" s="109"/>
      <c r="N758" s="109"/>
      <c r="O758" s="109"/>
      <c r="P758" s="109"/>
      <c r="Q758" s="109"/>
      <c r="R758" s="109"/>
      <c r="S758" s="109"/>
      <c r="T758" s="109"/>
      <c r="U758" s="109"/>
      <c r="V758" s="109"/>
      <c r="W758" s="109"/>
      <c r="X758" s="109"/>
      <c r="Y758" s="109"/>
      <c r="Z758" s="109"/>
    </row>
    <row r="759" ht="29.25" customHeight="1">
      <c r="A759" s="109"/>
      <c r="B759" s="109"/>
      <c r="C759" s="109"/>
      <c r="D759" s="109"/>
      <c r="E759" s="109"/>
      <c r="F759" s="109"/>
      <c r="G759" s="109"/>
      <c r="H759" s="109"/>
      <c r="I759" s="109"/>
      <c r="J759" s="109"/>
      <c r="K759" s="109"/>
      <c r="L759" s="109"/>
      <c r="M759" s="109"/>
      <c r="N759" s="109"/>
      <c r="O759" s="109"/>
      <c r="P759" s="109"/>
      <c r="Q759" s="109"/>
      <c r="R759" s="109"/>
      <c r="S759" s="109"/>
      <c r="T759" s="109"/>
      <c r="U759" s="109"/>
      <c r="V759" s="109"/>
      <c r="W759" s="109"/>
      <c r="X759" s="109"/>
      <c r="Y759" s="109"/>
      <c r="Z759" s="109"/>
    </row>
    <row r="760" ht="29.25" customHeight="1">
      <c r="A760" s="109"/>
      <c r="B760" s="109"/>
      <c r="C760" s="109"/>
      <c r="D760" s="109"/>
      <c r="E760" s="109"/>
      <c r="F760" s="109"/>
      <c r="G760" s="109"/>
      <c r="H760" s="109"/>
      <c r="I760" s="109"/>
      <c r="J760" s="109"/>
      <c r="K760" s="109"/>
      <c r="L760" s="109"/>
      <c r="M760" s="109"/>
      <c r="N760" s="109"/>
      <c r="O760" s="109"/>
      <c r="P760" s="109"/>
      <c r="Q760" s="109"/>
      <c r="R760" s="109"/>
      <c r="S760" s="109"/>
      <c r="T760" s="109"/>
      <c r="U760" s="109"/>
      <c r="V760" s="109"/>
      <c r="W760" s="109"/>
      <c r="X760" s="109"/>
      <c r="Y760" s="109"/>
      <c r="Z760" s="109"/>
    </row>
    <row r="761" ht="29.25" customHeight="1">
      <c r="A761" s="109"/>
      <c r="B761" s="109"/>
      <c r="C761" s="109"/>
      <c r="D761" s="109"/>
      <c r="E761" s="109"/>
      <c r="F761" s="109"/>
      <c r="G761" s="109"/>
      <c r="H761" s="109"/>
      <c r="I761" s="109"/>
      <c r="J761" s="109"/>
      <c r="K761" s="109"/>
      <c r="L761" s="109"/>
      <c r="M761" s="109"/>
      <c r="N761" s="109"/>
      <c r="O761" s="109"/>
      <c r="P761" s="109"/>
      <c r="Q761" s="109"/>
      <c r="R761" s="109"/>
      <c r="S761" s="109"/>
      <c r="T761" s="109"/>
      <c r="U761" s="109"/>
      <c r="V761" s="109"/>
      <c r="W761" s="109"/>
      <c r="X761" s="109"/>
      <c r="Y761" s="109"/>
      <c r="Z761" s="109"/>
    </row>
    <row r="762" ht="29.25" customHeight="1">
      <c r="A762" s="109"/>
      <c r="B762" s="109"/>
      <c r="C762" s="109"/>
      <c r="D762" s="109"/>
      <c r="E762" s="109"/>
      <c r="F762" s="109"/>
      <c r="G762" s="109"/>
      <c r="H762" s="109"/>
      <c r="I762" s="109"/>
      <c r="J762" s="109"/>
      <c r="K762" s="109"/>
      <c r="L762" s="109"/>
      <c r="M762" s="109"/>
      <c r="N762" s="109"/>
      <c r="O762" s="109"/>
      <c r="P762" s="109"/>
      <c r="Q762" s="109"/>
      <c r="R762" s="109"/>
      <c r="S762" s="109"/>
      <c r="T762" s="109"/>
      <c r="U762" s="109"/>
      <c r="V762" s="109"/>
      <c r="W762" s="109"/>
      <c r="X762" s="109"/>
      <c r="Y762" s="109"/>
      <c r="Z762" s="109"/>
    </row>
    <row r="763" ht="29.25" customHeight="1">
      <c r="A763" s="109"/>
      <c r="B763" s="109"/>
      <c r="C763" s="109"/>
      <c r="D763" s="109"/>
      <c r="E763" s="109"/>
      <c r="F763" s="109"/>
      <c r="G763" s="109"/>
      <c r="H763" s="109"/>
      <c r="I763" s="109"/>
      <c r="J763" s="109"/>
      <c r="K763" s="109"/>
      <c r="L763" s="109"/>
      <c r="M763" s="109"/>
      <c r="N763" s="109"/>
      <c r="O763" s="109"/>
      <c r="P763" s="109"/>
      <c r="Q763" s="109"/>
      <c r="R763" s="109"/>
      <c r="S763" s="109"/>
      <c r="T763" s="109"/>
      <c r="U763" s="109"/>
      <c r="V763" s="109"/>
      <c r="W763" s="109"/>
      <c r="X763" s="109"/>
      <c r="Y763" s="109"/>
      <c r="Z763" s="109"/>
    </row>
    <row r="764" ht="29.25" customHeight="1">
      <c r="A764" s="109"/>
      <c r="B764" s="109"/>
      <c r="C764" s="109"/>
      <c r="D764" s="109"/>
      <c r="E764" s="109"/>
      <c r="F764" s="109"/>
      <c r="G764" s="109"/>
      <c r="H764" s="109"/>
      <c r="I764" s="109"/>
      <c r="J764" s="109"/>
      <c r="K764" s="109"/>
      <c r="L764" s="109"/>
      <c r="M764" s="109"/>
      <c r="N764" s="109"/>
      <c r="O764" s="109"/>
      <c r="P764" s="109"/>
      <c r="Q764" s="109"/>
      <c r="R764" s="109"/>
      <c r="S764" s="109"/>
      <c r="T764" s="109"/>
      <c r="U764" s="109"/>
      <c r="V764" s="109"/>
      <c r="W764" s="109"/>
      <c r="X764" s="109"/>
      <c r="Y764" s="109"/>
      <c r="Z764" s="109"/>
    </row>
    <row r="765" ht="29.25" customHeight="1">
      <c r="A765" s="109"/>
      <c r="B765" s="109"/>
      <c r="C765" s="109"/>
      <c r="D765" s="109"/>
      <c r="E765" s="109"/>
      <c r="F765" s="109"/>
      <c r="G765" s="109"/>
      <c r="H765" s="109"/>
      <c r="I765" s="109"/>
      <c r="J765" s="109"/>
      <c r="K765" s="109"/>
      <c r="L765" s="109"/>
      <c r="M765" s="109"/>
      <c r="N765" s="109"/>
      <c r="O765" s="109"/>
      <c r="P765" s="109"/>
      <c r="Q765" s="109"/>
      <c r="R765" s="109"/>
      <c r="S765" s="109"/>
      <c r="T765" s="109"/>
      <c r="U765" s="109"/>
      <c r="V765" s="109"/>
      <c r="W765" s="109"/>
      <c r="X765" s="109"/>
      <c r="Y765" s="109"/>
      <c r="Z765" s="109"/>
    </row>
    <row r="766" ht="29.25" customHeight="1">
      <c r="A766" s="109"/>
      <c r="B766" s="109"/>
      <c r="C766" s="109"/>
      <c r="D766" s="109"/>
      <c r="E766" s="109"/>
      <c r="F766" s="109"/>
      <c r="G766" s="109"/>
      <c r="H766" s="109"/>
      <c r="I766" s="109"/>
      <c r="J766" s="109"/>
      <c r="K766" s="109"/>
      <c r="L766" s="109"/>
      <c r="M766" s="109"/>
      <c r="N766" s="109"/>
      <c r="O766" s="109"/>
      <c r="P766" s="109"/>
      <c r="Q766" s="109"/>
      <c r="R766" s="109"/>
      <c r="S766" s="109"/>
      <c r="T766" s="109"/>
      <c r="U766" s="109"/>
      <c r="V766" s="109"/>
      <c r="W766" s="109"/>
      <c r="X766" s="109"/>
      <c r="Y766" s="109"/>
      <c r="Z766" s="109"/>
    </row>
    <row r="767" ht="29.25" customHeight="1">
      <c r="A767" s="109"/>
      <c r="B767" s="109"/>
      <c r="C767" s="109"/>
      <c r="D767" s="109"/>
      <c r="E767" s="109"/>
      <c r="F767" s="109"/>
      <c r="G767" s="109"/>
      <c r="H767" s="109"/>
      <c r="I767" s="109"/>
      <c r="J767" s="109"/>
      <c r="K767" s="109"/>
      <c r="L767" s="109"/>
      <c r="M767" s="109"/>
      <c r="N767" s="109"/>
      <c r="O767" s="109"/>
      <c r="P767" s="109"/>
      <c r="Q767" s="109"/>
      <c r="R767" s="109"/>
      <c r="S767" s="109"/>
      <c r="T767" s="109"/>
      <c r="U767" s="109"/>
      <c r="V767" s="109"/>
      <c r="W767" s="109"/>
      <c r="X767" s="109"/>
      <c r="Y767" s="109"/>
      <c r="Z767" s="109"/>
    </row>
    <row r="768" ht="29.25" customHeight="1">
      <c r="A768" s="109"/>
      <c r="B768" s="109"/>
      <c r="C768" s="109"/>
      <c r="D768" s="109"/>
      <c r="E768" s="109"/>
      <c r="F768" s="109"/>
      <c r="G768" s="109"/>
      <c r="H768" s="109"/>
      <c r="I768" s="109"/>
      <c r="J768" s="109"/>
      <c r="K768" s="109"/>
      <c r="L768" s="109"/>
      <c r="M768" s="109"/>
      <c r="N768" s="109"/>
      <c r="O768" s="109"/>
      <c r="P768" s="109"/>
      <c r="Q768" s="109"/>
      <c r="R768" s="109"/>
      <c r="S768" s="109"/>
      <c r="T768" s="109"/>
      <c r="U768" s="109"/>
      <c r="V768" s="109"/>
      <c r="W768" s="109"/>
      <c r="X768" s="109"/>
      <c r="Y768" s="109"/>
      <c r="Z768" s="109"/>
    </row>
    <row r="769" ht="29.25" customHeight="1">
      <c r="A769" s="109"/>
      <c r="B769" s="109"/>
      <c r="C769" s="109"/>
      <c r="D769" s="109"/>
      <c r="E769" s="109"/>
      <c r="F769" s="109"/>
      <c r="G769" s="109"/>
      <c r="H769" s="109"/>
      <c r="I769" s="109"/>
      <c r="J769" s="109"/>
      <c r="K769" s="109"/>
      <c r="L769" s="109"/>
      <c r="M769" s="109"/>
      <c r="N769" s="109"/>
      <c r="O769" s="109"/>
      <c r="P769" s="109"/>
      <c r="Q769" s="109"/>
      <c r="R769" s="109"/>
      <c r="S769" s="109"/>
      <c r="T769" s="109"/>
      <c r="U769" s="109"/>
      <c r="V769" s="109"/>
      <c r="W769" s="109"/>
      <c r="X769" s="109"/>
      <c r="Y769" s="109"/>
      <c r="Z769" s="109"/>
    </row>
    <row r="770" ht="29.25" customHeight="1">
      <c r="A770" s="109"/>
      <c r="B770" s="109"/>
      <c r="C770" s="109"/>
      <c r="D770" s="109"/>
      <c r="E770" s="109"/>
      <c r="F770" s="109"/>
      <c r="G770" s="109"/>
      <c r="H770" s="109"/>
      <c r="I770" s="109"/>
      <c r="J770" s="109"/>
      <c r="K770" s="109"/>
      <c r="L770" s="109"/>
      <c r="M770" s="109"/>
      <c r="N770" s="109"/>
      <c r="O770" s="109"/>
      <c r="P770" s="109"/>
      <c r="Q770" s="109"/>
      <c r="R770" s="109"/>
      <c r="S770" s="109"/>
      <c r="T770" s="109"/>
      <c r="U770" s="109"/>
      <c r="V770" s="109"/>
      <c r="W770" s="109"/>
      <c r="X770" s="109"/>
      <c r="Y770" s="109"/>
      <c r="Z770" s="109"/>
    </row>
    <row r="771" ht="29.25" customHeight="1">
      <c r="A771" s="109"/>
      <c r="B771" s="109"/>
      <c r="C771" s="109"/>
      <c r="D771" s="109"/>
      <c r="E771" s="109"/>
      <c r="F771" s="109"/>
      <c r="G771" s="109"/>
      <c r="H771" s="109"/>
      <c r="I771" s="109"/>
      <c r="J771" s="109"/>
      <c r="K771" s="109"/>
      <c r="L771" s="109"/>
      <c r="M771" s="109"/>
      <c r="N771" s="109"/>
      <c r="O771" s="109"/>
      <c r="P771" s="109"/>
      <c r="Q771" s="109"/>
      <c r="R771" s="109"/>
      <c r="S771" s="109"/>
      <c r="T771" s="109"/>
      <c r="U771" s="109"/>
      <c r="V771" s="109"/>
      <c r="W771" s="109"/>
      <c r="X771" s="109"/>
      <c r="Y771" s="109"/>
      <c r="Z771" s="109"/>
    </row>
    <row r="772" ht="29.25" customHeight="1">
      <c r="A772" s="109"/>
      <c r="B772" s="109"/>
      <c r="C772" s="109"/>
      <c r="D772" s="109"/>
      <c r="E772" s="109"/>
      <c r="F772" s="109"/>
      <c r="G772" s="109"/>
      <c r="H772" s="109"/>
      <c r="I772" s="109"/>
      <c r="J772" s="109"/>
      <c r="K772" s="109"/>
      <c r="L772" s="109"/>
      <c r="M772" s="109"/>
      <c r="N772" s="109"/>
      <c r="O772" s="109"/>
      <c r="P772" s="109"/>
      <c r="Q772" s="109"/>
      <c r="R772" s="109"/>
      <c r="S772" s="109"/>
      <c r="T772" s="109"/>
      <c r="U772" s="109"/>
      <c r="V772" s="109"/>
      <c r="W772" s="109"/>
      <c r="X772" s="109"/>
      <c r="Y772" s="109"/>
      <c r="Z772" s="109"/>
    </row>
    <row r="773" ht="29.25" customHeight="1">
      <c r="A773" s="109"/>
      <c r="B773" s="109"/>
      <c r="C773" s="109"/>
      <c r="D773" s="109"/>
      <c r="E773" s="109"/>
      <c r="F773" s="109"/>
      <c r="G773" s="109"/>
      <c r="H773" s="109"/>
      <c r="I773" s="109"/>
      <c r="J773" s="109"/>
      <c r="K773" s="109"/>
      <c r="L773" s="109"/>
      <c r="M773" s="109"/>
      <c r="N773" s="109"/>
      <c r="O773" s="109"/>
      <c r="P773" s="109"/>
      <c r="Q773" s="109"/>
      <c r="R773" s="109"/>
      <c r="S773" s="109"/>
      <c r="T773" s="109"/>
      <c r="U773" s="109"/>
      <c r="V773" s="109"/>
      <c r="W773" s="109"/>
      <c r="X773" s="109"/>
      <c r="Y773" s="109"/>
      <c r="Z773" s="109"/>
    </row>
    <row r="774" ht="29.25" customHeight="1">
      <c r="A774" s="109"/>
      <c r="B774" s="109"/>
      <c r="C774" s="109"/>
      <c r="D774" s="109"/>
      <c r="E774" s="109"/>
      <c r="F774" s="109"/>
      <c r="G774" s="109"/>
      <c r="H774" s="109"/>
      <c r="I774" s="109"/>
      <c r="J774" s="109"/>
      <c r="K774" s="109"/>
      <c r="L774" s="109"/>
      <c r="M774" s="109"/>
      <c r="N774" s="109"/>
      <c r="O774" s="109"/>
      <c r="P774" s="109"/>
      <c r="Q774" s="109"/>
      <c r="R774" s="109"/>
      <c r="S774" s="109"/>
      <c r="T774" s="109"/>
      <c r="U774" s="109"/>
      <c r="V774" s="109"/>
      <c r="W774" s="109"/>
      <c r="X774" s="109"/>
      <c r="Y774" s="109"/>
      <c r="Z774" s="109"/>
    </row>
    <row r="775" ht="29.25" customHeight="1">
      <c r="A775" s="109"/>
      <c r="B775" s="109"/>
      <c r="C775" s="109"/>
      <c r="D775" s="109"/>
      <c r="E775" s="109"/>
      <c r="F775" s="109"/>
      <c r="G775" s="109"/>
      <c r="H775" s="109"/>
      <c r="I775" s="109"/>
      <c r="J775" s="109"/>
      <c r="K775" s="109"/>
      <c r="L775" s="109"/>
      <c r="M775" s="109"/>
      <c r="N775" s="109"/>
      <c r="O775" s="109"/>
      <c r="P775" s="109"/>
      <c r="Q775" s="109"/>
      <c r="R775" s="109"/>
      <c r="S775" s="109"/>
      <c r="T775" s="109"/>
      <c r="U775" s="109"/>
      <c r="V775" s="109"/>
      <c r="W775" s="109"/>
      <c r="X775" s="109"/>
      <c r="Y775" s="109"/>
      <c r="Z775" s="109"/>
    </row>
    <row r="776" ht="29.25" customHeight="1">
      <c r="A776" s="109"/>
      <c r="B776" s="109"/>
      <c r="C776" s="109"/>
      <c r="D776" s="109"/>
      <c r="E776" s="109"/>
      <c r="F776" s="109"/>
      <c r="G776" s="109"/>
      <c r="H776" s="109"/>
      <c r="I776" s="109"/>
      <c r="J776" s="109"/>
      <c r="K776" s="109"/>
      <c r="L776" s="109"/>
      <c r="M776" s="109"/>
      <c r="N776" s="109"/>
      <c r="O776" s="109"/>
      <c r="P776" s="109"/>
      <c r="Q776" s="109"/>
      <c r="R776" s="109"/>
      <c r="S776" s="109"/>
      <c r="T776" s="109"/>
      <c r="U776" s="109"/>
      <c r="V776" s="109"/>
      <c r="W776" s="109"/>
      <c r="X776" s="109"/>
      <c r="Y776" s="109"/>
      <c r="Z776" s="109"/>
    </row>
    <row r="777" ht="29.25" customHeight="1">
      <c r="A777" s="109"/>
      <c r="B777" s="109"/>
      <c r="C777" s="109"/>
      <c r="D777" s="109"/>
      <c r="E777" s="109"/>
      <c r="F777" s="109"/>
      <c r="G777" s="109"/>
      <c r="H777" s="109"/>
      <c r="I777" s="109"/>
      <c r="J777" s="109"/>
      <c r="K777" s="109"/>
      <c r="L777" s="109"/>
      <c r="M777" s="109"/>
      <c r="N777" s="109"/>
      <c r="O777" s="109"/>
      <c r="P777" s="109"/>
      <c r="Q777" s="109"/>
      <c r="R777" s="109"/>
      <c r="S777" s="109"/>
      <c r="T777" s="109"/>
      <c r="U777" s="109"/>
      <c r="V777" s="109"/>
      <c r="W777" s="109"/>
      <c r="X777" s="109"/>
      <c r="Y777" s="109"/>
      <c r="Z777" s="109"/>
    </row>
    <row r="778" ht="29.25" customHeight="1">
      <c r="A778" s="109"/>
      <c r="B778" s="109"/>
      <c r="C778" s="109"/>
      <c r="D778" s="109"/>
      <c r="E778" s="109"/>
      <c r="F778" s="109"/>
      <c r="G778" s="109"/>
      <c r="H778" s="109"/>
      <c r="I778" s="109"/>
      <c r="J778" s="109"/>
      <c r="K778" s="109"/>
      <c r="L778" s="109"/>
      <c r="M778" s="109"/>
      <c r="N778" s="109"/>
      <c r="O778" s="109"/>
      <c r="P778" s="109"/>
      <c r="Q778" s="109"/>
      <c r="R778" s="109"/>
      <c r="S778" s="109"/>
      <c r="T778" s="109"/>
      <c r="U778" s="109"/>
      <c r="V778" s="109"/>
      <c r="W778" s="109"/>
      <c r="X778" s="109"/>
      <c r="Y778" s="109"/>
      <c r="Z778" s="109"/>
    </row>
    <row r="779" ht="29.25" customHeight="1">
      <c r="A779" s="109"/>
      <c r="B779" s="109"/>
      <c r="C779" s="109"/>
      <c r="D779" s="109"/>
      <c r="E779" s="109"/>
      <c r="F779" s="109"/>
      <c r="G779" s="109"/>
      <c r="H779" s="109"/>
      <c r="I779" s="109"/>
      <c r="J779" s="109"/>
      <c r="K779" s="109"/>
      <c r="L779" s="109"/>
      <c r="M779" s="109"/>
      <c r="N779" s="109"/>
      <c r="O779" s="109"/>
      <c r="P779" s="109"/>
      <c r="Q779" s="109"/>
      <c r="R779" s="109"/>
      <c r="S779" s="109"/>
      <c r="T779" s="109"/>
      <c r="U779" s="109"/>
      <c r="V779" s="109"/>
      <c r="W779" s="109"/>
      <c r="X779" s="109"/>
      <c r="Y779" s="109"/>
      <c r="Z779" s="109"/>
    </row>
    <row r="780" ht="29.25" customHeight="1">
      <c r="A780" s="109"/>
      <c r="B780" s="109"/>
      <c r="C780" s="109"/>
      <c r="D780" s="109"/>
      <c r="E780" s="109"/>
      <c r="F780" s="109"/>
      <c r="G780" s="109"/>
      <c r="H780" s="109"/>
      <c r="I780" s="109"/>
      <c r="J780" s="109"/>
      <c r="K780" s="109"/>
      <c r="L780" s="109"/>
      <c r="M780" s="109"/>
      <c r="N780" s="109"/>
      <c r="O780" s="109"/>
      <c r="P780" s="109"/>
      <c r="Q780" s="109"/>
      <c r="R780" s="109"/>
      <c r="S780" s="109"/>
      <c r="T780" s="109"/>
      <c r="U780" s="109"/>
      <c r="V780" s="109"/>
      <c r="W780" s="109"/>
      <c r="X780" s="109"/>
      <c r="Y780" s="109"/>
      <c r="Z780" s="109"/>
    </row>
    <row r="781" ht="29.25" customHeight="1">
      <c r="A781" s="109"/>
      <c r="B781" s="109"/>
      <c r="C781" s="109"/>
      <c r="D781" s="109"/>
      <c r="E781" s="109"/>
      <c r="F781" s="109"/>
      <c r="G781" s="109"/>
      <c r="H781" s="109"/>
      <c r="I781" s="109"/>
      <c r="J781" s="109"/>
      <c r="K781" s="109"/>
      <c r="L781" s="109"/>
      <c r="M781" s="109"/>
      <c r="N781" s="109"/>
      <c r="O781" s="109"/>
      <c r="P781" s="109"/>
      <c r="Q781" s="109"/>
      <c r="R781" s="109"/>
      <c r="S781" s="109"/>
      <c r="T781" s="109"/>
      <c r="U781" s="109"/>
      <c r="V781" s="109"/>
      <c r="W781" s="109"/>
      <c r="X781" s="109"/>
      <c r="Y781" s="109"/>
      <c r="Z781" s="109"/>
    </row>
    <row r="782" ht="29.25" customHeight="1">
      <c r="A782" s="109"/>
      <c r="B782" s="109"/>
      <c r="C782" s="109"/>
      <c r="D782" s="109"/>
      <c r="E782" s="109"/>
      <c r="F782" s="109"/>
      <c r="G782" s="109"/>
      <c r="H782" s="109"/>
      <c r="I782" s="109"/>
      <c r="J782" s="109"/>
      <c r="K782" s="109"/>
      <c r="L782" s="109"/>
      <c r="M782" s="109"/>
      <c r="N782" s="109"/>
      <c r="O782" s="109"/>
      <c r="P782" s="109"/>
      <c r="Q782" s="109"/>
      <c r="R782" s="109"/>
      <c r="S782" s="109"/>
      <c r="T782" s="109"/>
      <c r="U782" s="109"/>
      <c r="V782" s="109"/>
      <c r="W782" s="109"/>
      <c r="X782" s="109"/>
      <c r="Y782" s="109"/>
      <c r="Z782" s="109"/>
    </row>
    <row r="783" ht="29.25" customHeight="1">
      <c r="A783" s="109"/>
      <c r="B783" s="109"/>
      <c r="C783" s="109"/>
      <c r="D783" s="109"/>
      <c r="E783" s="109"/>
      <c r="F783" s="109"/>
      <c r="G783" s="109"/>
      <c r="H783" s="109"/>
      <c r="I783" s="109"/>
      <c r="J783" s="109"/>
      <c r="K783" s="109"/>
      <c r="L783" s="109"/>
      <c r="M783" s="109"/>
      <c r="N783" s="109"/>
      <c r="O783" s="109"/>
      <c r="P783" s="109"/>
      <c r="Q783" s="109"/>
      <c r="R783" s="109"/>
      <c r="S783" s="109"/>
      <c r="T783" s="109"/>
      <c r="U783" s="109"/>
      <c r="V783" s="109"/>
      <c r="W783" s="109"/>
      <c r="X783" s="109"/>
      <c r="Y783" s="109"/>
      <c r="Z783" s="109"/>
    </row>
    <row r="784" ht="29.25" customHeight="1">
      <c r="A784" s="109"/>
      <c r="B784" s="109"/>
      <c r="C784" s="109"/>
      <c r="D784" s="109"/>
      <c r="E784" s="109"/>
      <c r="F784" s="109"/>
      <c r="G784" s="109"/>
      <c r="H784" s="109"/>
      <c r="I784" s="109"/>
      <c r="J784" s="109"/>
      <c r="K784" s="109"/>
      <c r="L784" s="109"/>
      <c r="M784" s="109"/>
      <c r="N784" s="109"/>
      <c r="O784" s="109"/>
      <c r="P784" s="109"/>
      <c r="Q784" s="109"/>
      <c r="R784" s="109"/>
      <c r="S784" s="109"/>
      <c r="T784" s="109"/>
      <c r="U784" s="109"/>
      <c r="V784" s="109"/>
      <c r="W784" s="109"/>
      <c r="X784" s="109"/>
      <c r="Y784" s="109"/>
      <c r="Z784" s="109"/>
    </row>
    <row r="785" ht="29.25" customHeight="1">
      <c r="A785" s="109"/>
      <c r="B785" s="109"/>
      <c r="C785" s="109"/>
      <c r="D785" s="109"/>
      <c r="E785" s="109"/>
      <c r="F785" s="109"/>
      <c r="G785" s="109"/>
      <c r="H785" s="109"/>
      <c r="I785" s="109"/>
      <c r="J785" s="109"/>
      <c r="K785" s="109"/>
      <c r="L785" s="109"/>
      <c r="M785" s="109"/>
      <c r="N785" s="109"/>
      <c r="O785" s="109"/>
      <c r="P785" s="109"/>
      <c r="Q785" s="109"/>
      <c r="R785" s="109"/>
      <c r="S785" s="109"/>
      <c r="T785" s="109"/>
      <c r="U785" s="109"/>
      <c r="V785" s="109"/>
      <c r="W785" s="109"/>
      <c r="X785" s="109"/>
      <c r="Y785" s="109"/>
      <c r="Z785" s="109"/>
    </row>
    <row r="786" ht="29.25" customHeight="1">
      <c r="A786" s="109"/>
      <c r="B786" s="109"/>
      <c r="C786" s="109"/>
      <c r="D786" s="109"/>
      <c r="E786" s="109"/>
      <c r="F786" s="109"/>
      <c r="G786" s="109"/>
      <c r="H786" s="109"/>
      <c r="I786" s="109"/>
      <c r="J786" s="109"/>
      <c r="K786" s="109"/>
      <c r="L786" s="109"/>
      <c r="M786" s="109"/>
      <c r="N786" s="109"/>
      <c r="O786" s="109"/>
      <c r="P786" s="109"/>
      <c r="Q786" s="109"/>
      <c r="R786" s="109"/>
      <c r="S786" s="109"/>
      <c r="T786" s="109"/>
      <c r="U786" s="109"/>
      <c r="V786" s="109"/>
      <c r="W786" s="109"/>
      <c r="X786" s="109"/>
      <c r="Y786" s="109"/>
      <c r="Z786" s="109"/>
    </row>
    <row r="787" ht="29.25" customHeight="1">
      <c r="A787" s="109"/>
      <c r="B787" s="109"/>
      <c r="C787" s="109"/>
      <c r="D787" s="109"/>
      <c r="E787" s="109"/>
      <c r="F787" s="109"/>
      <c r="G787" s="109"/>
      <c r="H787" s="109"/>
      <c r="I787" s="109"/>
      <c r="J787" s="109"/>
      <c r="K787" s="109"/>
      <c r="L787" s="109"/>
      <c r="M787" s="109"/>
      <c r="N787" s="109"/>
      <c r="O787" s="109"/>
      <c r="P787" s="109"/>
      <c r="Q787" s="109"/>
      <c r="R787" s="109"/>
      <c r="S787" s="109"/>
      <c r="T787" s="109"/>
      <c r="U787" s="109"/>
      <c r="V787" s="109"/>
      <c r="W787" s="109"/>
      <c r="X787" s="109"/>
      <c r="Y787" s="109"/>
      <c r="Z787" s="109"/>
    </row>
    <row r="788" ht="29.25" customHeight="1">
      <c r="A788" s="109"/>
      <c r="B788" s="109"/>
      <c r="C788" s="109"/>
      <c r="D788" s="109"/>
      <c r="E788" s="109"/>
      <c r="F788" s="109"/>
      <c r="G788" s="109"/>
      <c r="H788" s="109"/>
      <c r="I788" s="109"/>
      <c r="J788" s="109"/>
      <c r="K788" s="109"/>
      <c r="L788" s="109"/>
      <c r="M788" s="109"/>
      <c r="N788" s="109"/>
      <c r="O788" s="109"/>
      <c r="P788" s="109"/>
      <c r="Q788" s="109"/>
      <c r="R788" s="109"/>
      <c r="S788" s="109"/>
      <c r="T788" s="109"/>
      <c r="U788" s="109"/>
      <c r="V788" s="109"/>
      <c r="W788" s="109"/>
      <c r="X788" s="109"/>
      <c r="Y788" s="109"/>
      <c r="Z788" s="109"/>
    </row>
    <row r="789" ht="29.25" customHeight="1">
      <c r="A789" s="109"/>
      <c r="B789" s="109"/>
      <c r="C789" s="109"/>
      <c r="D789" s="109"/>
      <c r="E789" s="109"/>
      <c r="F789" s="109"/>
      <c r="G789" s="109"/>
      <c r="H789" s="109"/>
      <c r="I789" s="109"/>
      <c r="J789" s="109"/>
      <c r="K789" s="109"/>
      <c r="L789" s="109"/>
      <c r="M789" s="109"/>
      <c r="N789" s="109"/>
      <c r="O789" s="109"/>
      <c r="P789" s="109"/>
      <c r="Q789" s="109"/>
      <c r="R789" s="109"/>
      <c r="S789" s="109"/>
      <c r="T789" s="109"/>
      <c r="U789" s="109"/>
      <c r="V789" s="109"/>
      <c r="W789" s="109"/>
      <c r="X789" s="109"/>
      <c r="Y789" s="109"/>
      <c r="Z789" s="109"/>
    </row>
    <row r="790" ht="29.25" customHeight="1">
      <c r="A790" s="109"/>
      <c r="B790" s="109"/>
      <c r="C790" s="109"/>
      <c r="D790" s="109"/>
      <c r="E790" s="109"/>
      <c r="F790" s="109"/>
      <c r="G790" s="109"/>
      <c r="H790" s="109"/>
      <c r="I790" s="109"/>
      <c r="J790" s="109"/>
      <c r="K790" s="109"/>
      <c r="L790" s="109"/>
      <c r="M790" s="109"/>
      <c r="N790" s="109"/>
      <c r="O790" s="109"/>
      <c r="P790" s="109"/>
      <c r="Q790" s="109"/>
      <c r="R790" s="109"/>
      <c r="S790" s="109"/>
      <c r="T790" s="109"/>
      <c r="U790" s="109"/>
      <c r="V790" s="109"/>
      <c r="W790" s="109"/>
      <c r="X790" s="109"/>
      <c r="Y790" s="109"/>
      <c r="Z790" s="109"/>
    </row>
    <row r="791" ht="29.25" customHeight="1">
      <c r="A791" s="109"/>
      <c r="B791" s="109"/>
      <c r="C791" s="109"/>
      <c r="D791" s="109"/>
      <c r="E791" s="109"/>
      <c r="F791" s="109"/>
      <c r="G791" s="109"/>
      <c r="H791" s="109"/>
      <c r="I791" s="109"/>
      <c r="J791" s="109"/>
      <c r="K791" s="109"/>
      <c r="L791" s="109"/>
      <c r="M791" s="109"/>
      <c r="N791" s="109"/>
      <c r="O791" s="109"/>
      <c r="P791" s="109"/>
      <c r="Q791" s="109"/>
      <c r="R791" s="109"/>
      <c r="S791" s="109"/>
      <c r="T791" s="109"/>
      <c r="U791" s="109"/>
      <c r="V791" s="109"/>
      <c r="W791" s="109"/>
      <c r="X791" s="109"/>
      <c r="Y791" s="109"/>
      <c r="Z791" s="109"/>
    </row>
    <row r="792" ht="29.25" customHeight="1">
      <c r="A792" s="109"/>
      <c r="B792" s="109"/>
      <c r="C792" s="109"/>
      <c r="D792" s="109"/>
      <c r="E792" s="109"/>
      <c r="F792" s="109"/>
      <c r="G792" s="109"/>
      <c r="H792" s="109"/>
      <c r="I792" s="109"/>
      <c r="J792" s="109"/>
      <c r="K792" s="109"/>
      <c r="L792" s="109"/>
      <c r="M792" s="109"/>
      <c r="N792" s="109"/>
      <c r="O792" s="109"/>
      <c r="P792" s="109"/>
      <c r="Q792" s="109"/>
      <c r="R792" s="109"/>
      <c r="S792" s="109"/>
      <c r="T792" s="109"/>
      <c r="U792" s="109"/>
      <c r="V792" s="109"/>
      <c r="W792" s="109"/>
      <c r="X792" s="109"/>
      <c r="Y792" s="109"/>
      <c r="Z792" s="109"/>
    </row>
    <row r="793" ht="29.25" customHeight="1">
      <c r="A793" s="109"/>
      <c r="B793" s="109"/>
      <c r="C793" s="109"/>
      <c r="D793" s="109"/>
      <c r="E793" s="109"/>
      <c r="F793" s="109"/>
      <c r="G793" s="109"/>
      <c r="H793" s="109"/>
      <c r="I793" s="109"/>
      <c r="J793" s="109"/>
      <c r="K793" s="109"/>
      <c r="L793" s="109"/>
      <c r="M793" s="109"/>
      <c r="N793" s="109"/>
      <c r="O793" s="109"/>
      <c r="P793" s="109"/>
      <c r="Q793" s="109"/>
      <c r="R793" s="109"/>
      <c r="S793" s="109"/>
      <c r="T793" s="109"/>
      <c r="U793" s="109"/>
      <c r="V793" s="109"/>
      <c r="W793" s="109"/>
      <c r="X793" s="109"/>
      <c r="Y793" s="109"/>
      <c r="Z793" s="109"/>
    </row>
    <row r="794" ht="29.25" customHeight="1">
      <c r="A794" s="109"/>
      <c r="B794" s="109"/>
      <c r="C794" s="109"/>
      <c r="D794" s="109"/>
      <c r="E794" s="109"/>
      <c r="F794" s="109"/>
      <c r="G794" s="109"/>
      <c r="H794" s="109"/>
      <c r="I794" s="109"/>
      <c r="J794" s="109"/>
      <c r="K794" s="109"/>
      <c r="L794" s="109"/>
      <c r="M794" s="109"/>
      <c r="N794" s="109"/>
      <c r="O794" s="109"/>
      <c r="P794" s="109"/>
      <c r="Q794" s="109"/>
      <c r="R794" s="109"/>
      <c r="S794" s="109"/>
      <c r="T794" s="109"/>
      <c r="U794" s="109"/>
      <c r="V794" s="109"/>
      <c r="W794" s="109"/>
      <c r="X794" s="109"/>
      <c r="Y794" s="109"/>
      <c r="Z794" s="109"/>
    </row>
    <row r="795" ht="29.25" customHeight="1">
      <c r="A795" s="109"/>
      <c r="B795" s="109"/>
      <c r="C795" s="109"/>
      <c r="D795" s="109"/>
      <c r="E795" s="109"/>
      <c r="F795" s="109"/>
      <c r="G795" s="109"/>
      <c r="H795" s="109"/>
      <c r="I795" s="109"/>
      <c r="J795" s="109"/>
      <c r="K795" s="109"/>
      <c r="L795" s="109"/>
      <c r="M795" s="109"/>
      <c r="N795" s="109"/>
      <c r="O795" s="109"/>
      <c r="P795" s="109"/>
      <c r="Q795" s="109"/>
      <c r="R795" s="109"/>
      <c r="S795" s="109"/>
      <c r="T795" s="109"/>
      <c r="U795" s="109"/>
      <c r="V795" s="109"/>
      <c r="W795" s="109"/>
      <c r="X795" s="109"/>
      <c r="Y795" s="109"/>
      <c r="Z795" s="109"/>
    </row>
    <row r="796" ht="29.25" customHeight="1">
      <c r="A796" s="109"/>
      <c r="B796" s="109"/>
      <c r="C796" s="109"/>
      <c r="D796" s="109"/>
      <c r="E796" s="109"/>
      <c r="F796" s="109"/>
      <c r="G796" s="109"/>
      <c r="H796" s="109"/>
      <c r="I796" s="109"/>
      <c r="J796" s="109"/>
      <c r="K796" s="109"/>
      <c r="L796" s="109"/>
      <c r="M796" s="109"/>
      <c r="N796" s="109"/>
      <c r="O796" s="109"/>
      <c r="P796" s="109"/>
      <c r="Q796" s="109"/>
      <c r="R796" s="109"/>
      <c r="S796" s="109"/>
      <c r="T796" s="109"/>
      <c r="U796" s="109"/>
      <c r="V796" s="109"/>
      <c r="W796" s="109"/>
      <c r="X796" s="109"/>
      <c r="Y796" s="109"/>
      <c r="Z796" s="109"/>
    </row>
    <row r="797" ht="29.25" customHeight="1">
      <c r="A797" s="109"/>
      <c r="B797" s="109"/>
      <c r="C797" s="109"/>
      <c r="D797" s="109"/>
      <c r="E797" s="109"/>
      <c r="F797" s="109"/>
      <c r="G797" s="109"/>
      <c r="H797" s="109"/>
      <c r="I797" s="109"/>
      <c r="J797" s="109"/>
      <c r="K797" s="109"/>
      <c r="L797" s="109"/>
      <c r="M797" s="109"/>
      <c r="N797" s="109"/>
      <c r="O797" s="109"/>
      <c r="P797" s="109"/>
      <c r="Q797" s="109"/>
      <c r="R797" s="109"/>
      <c r="S797" s="109"/>
      <c r="T797" s="109"/>
      <c r="U797" s="109"/>
      <c r="V797" s="109"/>
      <c r="W797" s="109"/>
      <c r="X797" s="109"/>
      <c r="Y797" s="109"/>
      <c r="Z797" s="109"/>
    </row>
    <row r="798" ht="29.25" customHeight="1">
      <c r="A798" s="109"/>
      <c r="B798" s="109"/>
      <c r="C798" s="109"/>
      <c r="D798" s="109"/>
      <c r="E798" s="109"/>
      <c r="F798" s="109"/>
      <c r="G798" s="109"/>
      <c r="H798" s="109"/>
      <c r="I798" s="109"/>
      <c r="J798" s="109"/>
      <c r="K798" s="109"/>
      <c r="L798" s="109"/>
      <c r="M798" s="109"/>
      <c r="N798" s="109"/>
      <c r="O798" s="109"/>
      <c r="P798" s="109"/>
      <c r="Q798" s="109"/>
      <c r="R798" s="109"/>
      <c r="S798" s="109"/>
      <c r="T798" s="109"/>
      <c r="U798" s="109"/>
      <c r="V798" s="109"/>
      <c r="W798" s="109"/>
      <c r="X798" s="109"/>
      <c r="Y798" s="109"/>
      <c r="Z798" s="109"/>
    </row>
    <row r="799" ht="29.25" customHeight="1">
      <c r="A799" s="109"/>
      <c r="B799" s="109"/>
      <c r="C799" s="109"/>
      <c r="D799" s="109"/>
      <c r="E799" s="109"/>
      <c r="F799" s="109"/>
      <c r="G799" s="109"/>
      <c r="H799" s="109"/>
      <c r="I799" s="109"/>
      <c r="J799" s="109"/>
      <c r="K799" s="109"/>
      <c r="L799" s="109"/>
      <c r="M799" s="109"/>
      <c r="N799" s="109"/>
      <c r="O799" s="109"/>
      <c r="P799" s="109"/>
      <c r="Q799" s="109"/>
      <c r="R799" s="109"/>
      <c r="S799" s="109"/>
      <c r="T799" s="109"/>
      <c r="U799" s="109"/>
      <c r="V799" s="109"/>
      <c r="W799" s="109"/>
      <c r="X799" s="109"/>
      <c r="Y799" s="109"/>
      <c r="Z799" s="109"/>
    </row>
    <row r="800" ht="29.25" customHeight="1">
      <c r="A800" s="109"/>
      <c r="B800" s="109"/>
      <c r="C800" s="109"/>
      <c r="D800" s="109"/>
      <c r="E800" s="109"/>
      <c r="F800" s="109"/>
      <c r="G800" s="109"/>
      <c r="H800" s="109"/>
      <c r="I800" s="109"/>
      <c r="J800" s="109"/>
      <c r="K800" s="109"/>
      <c r="L800" s="109"/>
      <c r="M800" s="109"/>
      <c r="N800" s="109"/>
      <c r="O800" s="109"/>
      <c r="P800" s="109"/>
      <c r="Q800" s="109"/>
      <c r="R800" s="109"/>
      <c r="S800" s="109"/>
      <c r="T800" s="109"/>
      <c r="U800" s="109"/>
      <c r="V800" s="109"/>
      <c r="W800" s="109"/>
      <c r="X800" s="109"/>
      <c r="Y800" s="109"/>
      <c r="Z800" s="109"/>
    </row>
    <row r="801" ht="29.25" customHeight="1">
      <c r="A801" s="109"/>
      <c r="B801" s="109"/>
      <c r="C801" s="109"/>
      <c r="D801" s="109"/>
      <c r="E801" s="109"/>
      <c r="F801" s="109"/>
      <c r="G801" s="109"/>
      <c r="H801" s="109"/>
      <c r="I801" s="109"/>
      <c r="J801" s="109"/>
      <c r="K801" s="109"/>
      <c r="L801" s="109"/>
      <c r="M801" s="109"/>
      <c r="N801" s="109"/>
      <c r="O801" s="109"/>
      <c r="P801" s="109"/>
      <c r="Q801" s="109"/>
      <c r="R801" s="109"/>
      <c r="S801" s="109"/>
      <c r="T801" s="109"/>
      <c r="U801" s="109"/>
      <c r="V801" s="109"/>
      <c r="W801" s="109"/>
      <c r="X801" s="109"/>
      <c r="Y801" s="109"/>
      <c r="Z801" s="109"/>
    </row>
    <row r="802" ht="29.25" customHeight="1">
      <c r="A802" s="109"/>
      <c r="B802" s="109"/>
      <c r="C802" s="109"/>
      <c r="D802" s="109"/>
      <c r="E802" s="109"/>
      <c r="F802" s="109"/>
      <c r="G802" s="109"/>
      <c r="H802" s="109"/>
      <c r="I802" s="109"/>
      <c r="J802" s="109"/>
      <c r="K802" s="109"/>
      <c r="L802" s="109"/>
      <c r="M802" s="109"/>
      <c r="N802" s="109"/>
      <c r="O802" s="109"/>
      <c r="P802" s="109"/>
      <c r="Q802" s="109"/>
      <c r="R802" s="109"/>
      <c r="S802" s="109"/>
      <c r="T802" s="109"/>
      <c r="U802" s="109"/>
      <c r="V802" s="109"/>
      <c r="W802" s="109"/>
      <c r="X802" s="109"/>
      <c r="Y802" s="109"/>
      <c r="Z802" s="109"/>
    </row>
    <row r="803" ht="29.25" customHeight="1">
      <c r="A803" s="109"/>
      <c r="B803" s="109"/>
      <c r="C803" s="109"/>
      <c r="D803" s="109"/>
      <c r="E803" s="109"/>
      <c r="F803" s="109"/>
      <c r="G803" s="109"/>
      <c r="H803" s="109"/>
      <c r="I803" s="109"/>
      <c r="J803" s="109"/>
      <c r="K803" s="109"/>
      <c r="L803" s="109"/>
      <c r="M803" s="109"/>
      <c r="N803" s="109"/>
      <c r="O803" s="109"/>
      <c r="P803" s="109"/>
      <c r="Q803" s="109"/>
      <c r="R803" s="109"/>
      <c r="S803" s="109"/>
      <c r="T803" s="109"/>
      <c r="U803" s="109"/>
      <c r="V803" s="109"/>
      <c r="W803" s="109"/>
      <c r="X803" s="109"/>
      <c r="Y803" s="109"/>
      <c r="Z803" s="109"/>
    </row>
    <row r="804" ht="29.25" customHeight="1">
      <c r="A804" s="109"/>
      <c r="B804" s="109"/>
      <c r="C804" s="109"/>
      <c r="D804" s="109"/>
      <c r="E804" s="109"/>
      <c r="F804" s="109"/>
      <c r="G804" s="109"/>
      <c r="H804" s="109"/>
      <c r="I804" s="109"/>
      <c r="J804" s="109"/>
      <c r="K804" s="109"/>
      <c r="L804" s="109"/>
      <c r="M804" s="109"/>
      <c r="N804" s="109"/>
      <c r="O804" s="109"/>
      <c r="P804" s="109"/>
      <c r="Q804" s="109"/>
      <c r="R804" s="109"/>
      <c r="S804" s="109"/>
      <c r="T804" s="109"/>
      <c r="U804" s="109"/>
      <c r="V804" s="109"/>
      <c r="W804" s="109"/>
      <c r="X804" s="109"/>
      <c r="Y804" s="109"/>
      <c r="Z804" s="109"/>
    </row>
    <row r="805" ht="29.25" customHeight="1">
      <c r="A805" s="109"/>
      <c r="B805" s="109"/>
      <c r="C805" s="109"/>
      <c r="D805" s="109"/>
      <c r="E805" s="109"/>
      <c r="F805" s="109"/>
      <c r="G805" s="109"/>
      <c r="H805" s="109"/>
      <c r="I805" s="109"/>
      <c r="J805" s="109"/>
      <c r="K805" s="109"/>
      <c r="L805" s="109"/>
      <c r="M805" s="109"/>
      <c r="N805" s="109"/>
      <c r="O805" s="109"/>
      <c r="P805" s="109"/>
      <c r="Q805" s="109"/>
      <c r="R805" s="109"/>
      <c r="S805" s="109"/>
      <c r="T805" s="109"/>
      <c r="U805" s="109"/>
      <c r="V805" s="109"/>
      <c r="W805" s="109"/>
      <c r="X805" s="109"/>
      <c r="Y805" s="109"/>
      <c r="Z805" s="109"/>
    </row>
    <row r="806" ht="29.25" customHeight="1">
      <c r="A806" s="109"/>
      <c r="B806" s="109"/>
      <c r="C806" s="109"/>
      <c r="D806" s="109"/>
      <c r="E806" s="109"/>
      <c r="F806" s="109"/>
      <c r="G806" s="109"/>
      <c r="H806" s="109"/>
      <c r="I806" s="109"/>
      <c r="J806" s="109"/>
      <c r="K806" s="109"/>
      <c r="L806" s="109"/>
      <c r="M806" s="109"/>
      <c r="N806" s="109"/>
      <c r="O806" s="109"/>
      <c r="P806" s="109"/>
      <c r="Q806" s="109"/>
      <c r="R806" s="109"/>
      <c r="S806" s="109"/>
      <c r="T806" s="109"/>
      <c r="U806" s="109"/>
      <c r="V806" s="109"/>
      <c r="W806" s="109"/>
      <c r="X806" s="109"/>
      <c r="Y806" s="109"/>
      <c r="Z806" s="109"/>
    </row>
    <row r="807" ht="29.25" customHeight="1">
      <c r="A807" s="109"/>
      <c r="B807" s="109"/>
      <c r="C807" s="109"/>
      <c r="D807" s="109"/>
      <c r="E807" s="109"/>
      <c r="F807" s="109"/>
      <c r="G807" s="109"/>
      <c r="H807" s="109"/>
      <c r="I807" s="109"/>
      <c r="J807" s="109"/>
      <c r="K807" s="109"/>
      <c r="L807" s="109"/>
      <c r="M807" s="109"/>
      <c r="N807" s="109"/>
      <c r="O807" s="109"/>
      <c r="P807" s="109"/>
      <c r="Q807" s="109"/>
      <c r="R807" s="109"/>
      <c r="S807" s="109"/>
      <c r="T807" s="109"/>
      <c r="U807" s="109"/>
      <c r="V807" s="109"/>
      <c r="W807" s="109"/>
      <c r="X807" s="109"/>
      <c r="Y807" s="109"/>
      <c r="Z807" s="109"/>
    </row>
    <row r="808" ht="29.25" customHeight="1">
      <c r="A808" s="109"/>
      <c r="B808" s="109"/>
      <c r="C808" s="109"/>
      <c r="D808" s="109"/>
      <c r="E808" s="109"/>
      <c r="F808" s="109"/>
      <c r="G808" s="109"/>
      <c r="H808" s="109"/>
      <c r="I808" s="109"/>
      <c r="J808" s="109"/>
      <c r="K808" s="109"/>
      <c r="L808" s="109"/>
      <c r="M808" s="109"/>
      <c r="N808" s="109"/>
      <c r="O808" s="109"/>
      <c r="P808" s="109"/>
      <c r="Q808" s="109"/>
      <c r="R808" s="109"/>
      <c r="S808" s="109"/>
      <c r="T808" s="109"/>
      <c r="U808" s="109"/>
      <c r="V808" s="109"/>
      <c r="W808" s="109"/>
      <c r="X808" s="109"/>
      <c r="Y808" s="109"/>
      <c r="Z808" s="109"/>
    </row>
    <row r="809" ht="29.25" customHeight="1">
      <c r="A809" s="109"/>
      <c r="B809" s="109"/>
      <c r="C809" s="109"/>
      <c r="D809" s="109"/>
      <c r="E809" s="109"/>
      <c r="F809" s="109"/>
      <c r="G809" s="109"/>
      <c r="H809" s="109"/>
      <c r="I809" s="109"/>
      <c r="J809" s="109"/>
      <c r="K809" s="109"/>
      <c r="L809" s="109"/>
      <c r="M809" s="109"/>
      <c r="N809" s="109"/>
      <c r="O809" s="109"/>
      <c r="P809" s="109"/>
      <c r="Q809" s="109"/>
      <c r="R809" s="109"/>
      <c r="S809" s="109"/>
      <c r="T809" s="109"/>
      <c r="U809" s="109"/>
      <c r="V809" s="109"/>
      <c r="W809" s="109"/>
      <c r="X809" s="109"/>
      <c r="Y809" s="109"/>
      <c r="Z809" s="109"/>
    </row>
    <row r="810" ht="29.25" customHeight="1">
      <c r="A810" s="109"/>
      <c r="B810" s="109"/>
      <c r="C810" s="109"/>
      <c r="D810" s="109"/>
      <c r="E810" s="109"/>
      <c r="F810" s="109"/>
      <c r="G810" s="109"/>
      <c r="H810" s="109"/>
      <c r="I810" s="109"/>
      <c r="J810" s="109"/>
      <c r="K810" s="109"/>
      <c r="L810" s="109"/>
      <c r="M810" s="109"/>
      <c r="N810" s="109"/>
      <c r="O810" s="109"/>
      <c r="P810" s="109"/>
      <c r="Q810" s="109"/>
      <c r="R810" s="109"/>
      <c r="S810" s="109"/>
      <c r="T810" s="109"/>
      <c r="U810" s="109"/>
      <c r="V810" s="109"/>
      <c r="W810" s="109"/>
      <c r="X810" s="109"/>
      <c r="Y810" s="109"/>
      <c r="Z810" s="109"/>
    </row>
    <row r="811" ht="29.25" customHeight="1">
      <c r="A811" s="109"/>
      <c r="B811" s="109"/>
      <c r="C811" s="109"/>
      <c r="D811" s="109"/>
      <c r="E811" s="109"/>
      <c r="F811" s="109"/>
      <c r="G811" s="109"/>
      <c r="H811" s="109"/>
      <c r="I811" s="109"/>
      <c r="J811" s="109"/>
      <c r="K811" s="109"/>
      <c r="L811" s="109"/>
      <c r="M811" s="109"/>
      <c r="N811" s="109"/>
      <c r="O811" s="109"/>
      <c r="P811" s="109"/>
      <c r="Q811" s="109"/>
      <c r="R811" s="109"/>
      <c r="S811" s="109"/>
      <c r="T811" s="109"/>
      <c r="U811" s="109"/>
      <c r="V811" s="109"/>
      <c r="W811" s="109"/>
      <c r="X811" s="109"/>
      <c r="Y811" s="109"/>
      <c r="Z811" s="109"/>
    </row>
    <row r="812" ht="29.25" customHeight="1">
      <c r="A812" s="109"/>
      <c r="B812" s="109"/>
      <c r="C812" s="109"/>
      <c r="D812" s="109"/>
      <c r="E812" s="109"/>
      <c r="F812" s="109"/>
      <c r="G812" s="109"/>
      <c r="H812" s="109"/>
      <c r="I812" s="109"/>
      <c r="J812" s="109"/>
      <c r="K812" s="109"/>
      <c r="L812" s="109"/>
      <c r="M812" s="109"/>
      <c r="N812" s="109"/>
      <c r="O812" s="109"/>
      <c r="P812" s="109"/>
      <c r="Q812" s="109"/>
      <c r="R812" s="109"/>
      <c r="S812" s="109"/>
      <c r="T812" s="109"/>
      <c r="U812" s="109"/>
      <c r="V812" s="109"/>
      <c r="W812" s="109"/>
      <c r="X812" s="109"/>
      <c r="Y812" s="109"/>
      <c r="Z812" s="109"/>
    </row>
    <row r="813" ht="29.25" customHeight="1">
      <c r="A813" s="109"/>
      <c r="B813" s="109"/>
      <c r="C813" s="109"/>
      <c r="D813" s="109"/>
      <c r="E813" s="109"/>
      <c r="F813" s="109"/>
      <c r="G813" s="109"/>
      <c r="H813" s="109"/>
      <c r="I813" s="109"/>
      <c r="J813" s="109"/>
      <c r="K813" s="109"/>
      <c r="L813" s="109"/>
      <c r="M813" s="109"/>
      <c r="N813" s="109"/>
      <c r="O813" s="109"/>
      <c r="P813" s="109"/>
      <c r="Q813" s="109"/>
      <c r="R813" s="109"/>
      <c r="S813" s="109"/>
      <c r="T813" s="109"/>
      <c r="U813" s="109"/>
      <c r="V813" s="109"/>
      <c r="W813" s="109"/>
      <c r="X813" s="109"/>
      <c r="Y813" s="109"/>
      <c r="Z813" s="109"/>
    </row>
    <row r="814" ht="29.25" customHeight="1">
      <c r="A814" s="109"/>
      <c r="B814" s="109"/>
      <c r="C814" s="109"/>
      <c r="D814" s="109"/>
      <c r="E814" s="109"/>
      <c r="F814" s="109"/>
      <c r="G814" s="109"/>
      <c r="H814" s="109"/>
      <c r="I814" s="109"/>
      <c r="J814" s="109"/>
      <c r="K814" s="109"/>
      <c r="L814" s="109"/>
      <c r="M814" s="109"/>
      <c r="N814" s="109"/>
      <c r="O814" s="109"/>
      <c r="P814" s="109"/>
      <c r="Q814" s="109"/>
      <c r="R814" s="109"/>
      <c r="S814" s="109"/>
      <c r="T814" s="109"/>
      <c r="U814" s="109"/>
      <c r="V814" s="109"/>
      <c r="W814" s="109"/>
      <c r="X814" s="109"/>
      <c r="Y814" s="109"/>
      <c r="Z814" s="109"/>
    </row>
    <row r="815" ht="29.25" customHeight="1">
      <c r="A815" s="109"/>
      <c r="B815" s="109"/>
      <c r="C815" s="109"/>
      <c r="D815" s="109"/>
      <c r="E815" s="109"/>
      <c r="F815" s="109"/>
      <c r="G815" s="109"/>
      <c r="H815" s="109"/>
      <c r="I815" s="109"/>
      <c r="J815" s="109"/>
      <c r="K815" s="109"/>
      <c r="L815" s="109"/>
      <c r="M815" s="109"/>
      <c r="N815" s="109"/>
      <c r="O815" s="109"/>
      <c r="P815" s="109"/>
      <c r="Q815" s="109"/>
      <c r="R815" s="109"/>
      <c r="S815" s="109"/>
      <c r="T815" s="109"/>
      <c r="U815" s="109"/>
      <c r="V815" s="109"/>
      <c r="W815" s="109"/>
      <c r="X815" s="109"/>
      <c r="Y815" s="109"/>
      <c r="Z815" s="109"/>
    </row>
    <row r="816" ht="29.25" customHeight="1">
      <c r="A816" s="109"/>
      <c r="B816" s="109"/>
      <c r="C816" s="109"/>
      <c r="D816" s="109"/>
      <c r="E816" s="109"/>
      <c r="F816" s="109"/>
      <c r="G816" s="109"/>
      <c r="H816" s="109"/>
      <c r="I816" s="109"/>
      <c r="J816" s="109"/>
      <c r="K816" s="109"/>
      <c r="L816" s="109"/>
      <c r="M816" s="109"/>
      <c r="N816" s="109"/>
      <c r="O816" s="109"/>
      <c r="P816" s="109"/>
      <c r="Q816" s="109"/>
      <c r="R816" s="109"/>
      <c r="S816" s="109"/>
      <c r="T816" s="109"/>
      <c r="U816" s="109"/>
      <c r="V816" s="109"/>
      <c r="W816" s="109"/>
      <c r="X816" s="109"/>
      <c r="Y816" s="109"/>
      <c r="Z816" s="109"/>
    </row>
    <row r="817" ht="29.25" customHeight="1">
      <c r="A817" s="109"/>
      <c r="B817" s="109"/>
      <c r="C817" s="109"/>
      <c r="D817" s="109"/>
      <c r="E817" s="109"/>
      <c r="F817" s="109"/>
      <c r="G817" s="109"/>
      <c r="H817" s="109"/>
      <c r="I817" s="109"/>
      <c r="J817" s="109"/>
      <c r="K817" s="109"/>
      <c r="L817" s="109"/>
      <c r="M817" s="109"/>
      <c r="N817" s="109"/>
      <c r="O817" s="109"/>
      <c r="P817" s="109"/>
      <c r="Q817" s="109"/>
      <c r="R817" s="109"/>
      <c r="S817" s="109"/>
      <c r="T817" s="109"/>
      <c r="U817" s="109"/>
      <c r="V817" s="109"/>
      <c r="W817" s="109"/>
      <c r="X817" s="109"/>
      <c r="Y817" s="109"/>
      <c r="Z817" s="109"/>
    </row>
    <row r="818" ht="29.25" customHeight="1">
      <c r="A818" s="109"/>
      <c r="B818" s="109"/>
      <c r="C818" s="109"/>
      <c r="D818" s="109"/>
      <c r="E818" s="109"/>
      <c r="F818" s="109"/>
      <c r="G818" s="109"/>
      <c r="H818" s="109"/>
      <c r="I818" s="109"/>
      <c r="J818" s="109"/>
      <c r="K818" s="109"/>
      <c r="L818" s="109"/>
      <c r="M818" s="109"/>
      <c r="N818" s="109"/>
      <c r="O818" s="109"/>
      <c r="P818" s="109"/>
      <c r="Q818" s="109"/>
      <c r="R818" s="109"/>
      <c r="S818" s="109"/>
      <c r="T818" s="109"/>
      <c r="U818" s="109"/>
      <c r="V818" s="109"/>
      <c r="W818" s="109"/>
      <c r="X818" s="109"/>
      <c r="Y818" s="109"/>
      <c r="Z818" s="109"/>
    </row>
    <row r="819" ht="29.25" customHeight="1">
      <c r="A819" s="109"/>
      <c r="B819" s="109"/>
      <c r="C819" s="109"/>
      <c r="D819" s="109"/>
      <c r="E819" s="109"/>
      <c r="F819" s="109"/>
      <c r="G819" s="109"/>
      <c r="H819" s="109"/>
      <c r="I819" s="109"/>
      <c r="J819" s="109"/>
      <c r="K819" s="109"/>
      <c r="L819" s="109"/>
      <c r="M819" s="109"/>
      <c r="N819" s="109"/>
      <c r="O819" s="109"/>
      <c r="P819" s="109"/>
      <c r="Q819" s="109"/>
      <c r="R819" s="109"/>
      <c r="S819" s="109"/>
      <c r="T819" s="109"/>
      <c r="U819" s="109"/>
      <c r="V819" s="109"/>
      <c r="W819" s="109"/>
      <c r="X819" s="109"/>
      <c r="Y819" s="109"/>
      <c r="Z819" s="109"/>
    </row>
    <row r="820" ht="29.25" customHeight="1">
      <c r="A820" s="109"/>
      <c r="B820" s="109"/>
      <c r="C820" s="109"/>
      <c r="D820" s="109"/>
      <c r="E820" s="109"/>
      <c r="F820" s="109"/>
      <c r="G820" s="109"/>
      <c r="H820" s="109"/>
      <c r="I820" s="109"/>
      <c r="J820" s="109"/>
      <c r="K820" s="109"/>
      <c r="L820" s="109"/>
      <c r="M820" s="109"/>
      <c r="N820" s="109"/>
      <c r="O820" s="109"/>
      <c r="P820" s="109"/>
      <c r="Q820" s="109"/>
      <c r="R820" s="109"/>
      <c r="S820" s="109"/>
      <c r="T820" s="109"/>
      <c r="U820" s="109"/>
      <c r="V820" s="109"/>
      <c r="W820" s="109"/>
      <c r="X820" s="109"/>
      <c r="Y820" s="109"/>
      <c r="Z820" s="109"/>
    </row>
    <row r="821" ht="29.25" customHeight="1">
      <c r="A821" s="109"/>
      <c r="B821" s="109"/>
      <c r="C821" s="109"/>
      <c r="D821" s="109"/>
      <c r="E821" s="109"/>
      <c r="F821" s="109"/>
      <c r="G821" s="109"/>
      <c r="H821" s="109"/>
      <c r="I821" s="109"/>
      <c r="J821" s="109"/>
      <c r="K821" s="109"/>
      <c r="L821" s="109"/>
      <c r="M821" s="109"/>
      <c r="N821" s="109"/>
      <c r="O821" s="109"/>
      <c r="P821" s="109"/>
      <c r="Q821" s="109"/>
      <c r="R821" s="109"/>
      <c r="S821" s="109"/>
      <c r="T821" s="109"/>
      <c r="U821" s="109"/>
      <c r="V821" s="109"/>
      <c r="W821" s="109"/>
      <c r="X821" s="109"/>
      <c r="Y821" s="109"/>
      <c r="Z821" s="109"/>
    </row>
    <row r="822" ht="29.25" customHeight="1">
      <c r="A822" s="109"/>
      <c r="B822" s="109"/>
      <c r="C822" s="109"/>
      <c r="D822" s="109"/>
      <c r="E822" s="109"/>
      <c r="F822" s="109"/>
      <c r="G822" s="109"/>
      <c r="H822" s="109"/>
      <c r="I822" s="109"/>
      <c r="J822" s="109"/>
      <c r="K822" s="109"/>
      <c r="L822" s="109"/>
      <c r="M822" s="109"/>
      <c r="N822" s="109"/>
      <c r="O822" s="109"/>
      <c r="P822" s="109"/>
      <c r="Q822" s="109"/>
      <c r="R822" s="109"/>
      <c r="S822" s="109"/>
      <c r="T822" s="109"/>
      <c r="U822" s="109"/>
      <c r="V822" s="109"/>
      <c r="W822" s="109"/>
      <c r="X822" s="109"/>
      <c r="Y822" s="109"/>
      <c r="Z822" s="109"/>
    </row>
    <row r="823" ht="29.25" customHeight="1">
      <c r="A823" s="109"/>
      <c r="B823" s="109"/>
      <c r="C823" s="109"/>
      <c r="D823" s="109"/>
      <c r="E823" s="109"/>
      <c r="F823" s="109"/>
      <c r="G823" s="109"/>
      <c r="H823" s="109"/>
      <c r="I823" s="109"/>
      <c r="J823" s="109"/>
      <c r="K823" s="109"/>
      <c r="L823" s="109"/>
      <c r="M823" s="109"/>
      <c r="N823" s="109"/>
      <c r="O823" s="109"/>
      <c r="P823" s="109"/>
      <c r="Q823" s="109"/>
      <c r="R823" s="109"/>
      <c r="S823" s="109"/>
      <c r="T823" s="109"/>
      <c r="U823" s="109"/>
      <c r="V823" s="109"/>
      <c r="W823" s="109"/>
      <c r="X823" s="109"/>
      <c r="Y823" s="109"/>
      <c r="Z823" s="109"/>
    </row>
    <row r="824" ht="29.25" customHeight="1">
      <c r="A824" s="109"/>
      <c r="B824" s="109"/>
      <c r="C824" s="109"/>
      <c r="D824" s="109"/>
      <c r="E824" s="109"/>
      <c r="F824" s="109"/>
      <c r="G824" s="109"/>
      <c r="H824" s="109"/>
      <c r="I824" s="109"/>
      <c r="J824" s="109"/>
      <c r="K824" s="109"/>
      <c r="L824" s="109"/>
      <c r="M824" s="109"/>
      <c r="N824" s="109"/>
      <c r="O824" s="109"/>
      <c r="P824" s="109"/>
      <c r="Q824" s="109"/>
      <c r="R824" s="109"/>
      <c r="S824" s="109"/>
      <c r="T824" s="109"/>
      <c r="U824" s="109"/>
      <c r="V824" s="109"/>
      <c r="W824" s="109"/>
      <c r="X824" s="109"/>
      <c r="Y824" s="109"/>
      <c r="Z824" s="109"/>
    </row>
    <row r="825" ht="29.25" customHeight="1">
      <c r="A825" s="109"/>
      <c r="B825" s="109"/>
      <c r="C825" s="109"/>
      <c r="D825" s="109"/>
      <c r="E825" s="109"/>
      <c r="F825" s="109"/>
      <c r="G825" s="109"/>
      <c r="H825" s="109"/>
      <c r="I825" s="109"/>
      <c r="J825" s="109"/>
      <c r="K825" s="109"/>
      <c r="L825" s="109"/>
      <c r="M825" s="109"/>
      <c r="N825" s="109"/>
      <c r="O825" s="109"/>
      <c r="P825" s="109"/>
      <c r="Q825" s="109"/>
      <c r="R825" s="109"/>
      <c r="S825" s="109"/>
      <c r="T825" s="109"/>
      <c r="U825" s="109"/>
      <c r="V825" s="109"/>
      <c r="W825" s="109"/>
      <c r="X825" s="109"/>
      <c r="Y825" s="109"/>
      <c r="Z825" s="109"/>
    </row>
    <row r="826" ht="29.25" customHeight="1">
      <c r="A826" s="109"/>
      <c r="B826" s="109"/>
      <c r="C826" s="109"/>
      <c r="D826" s="109"/>
      <c r="E826" s="109"/>
      <c r="F826" s="109"/>
      <c r="G826" s="109"/>
      <c r="H826" s="109"/>
      <c r="I826" s="109"/>
      <c r="J826" s="109"/>
      <c r="K826" s="109"/>
      <c r="L826" s="109"/>
      <c r="M826" s="109"/>
      <c r="N826" s="109"/>
      <c r="O826" s="109"/>
      <c r="P826" s="109"/>
      <c r="Q826" s="109"/>
      <c r="R826" s="109"/>
      <c r="S826" s="109"/>
      <c r="T826" s="109"/>
      <c r="U826" s="109"/>
      <c r="V826" s="109"/>
      <c r="W826" s="109"/>
      <c r="X826" s="109"/>
      <c r="Y826" s="109"/>
      <c r="Z826" s="109"/>
    </row>
    <row r="827" ht="29.25" customHeight="1">
      <c r="A827" s="109"/>
      <c r="B827" s="109"/>
      <c r="C827" s="109"/>
      <c r="D827" s="109"/>
      <c r="E827" s="109"/>
      <c r="F827" s="109"/>
      <c r="G827" s="109"/>
      <c r="H827" s="109"/>
      <c r="I827" s="109"/>
      <c r="J827" s="109"/>
      <c r="K827" s="109"/>
      <c r="L827" s="109"/>
      <c r="M827" s="109"/>
      <c r="N827" s="109"/>
      <c r="O827" s="109"/>
      <c r="P827" s="109"/>
      <c r="Q827" s="109"/>
      <c r="R827" s="109"/>
      <c r="S827" s="109"/>
      <c r="T827" s="109"/>
      <c r="U827" s="109"/>
      <c r="V827" s="109"/>
      <c r="W827" s="109"/>
      <c r="X827" s="109"/>
      <c r="Y827" s="109"/>
      <c r="Z827" s="109"/>
    </row>
    <row r="828" ht="29.25" customHeight="1">
      <c r="A828" s="109"/>
      <c r="B828" s="109"/>
      <c r="C828" s="109"/>
      <c r="D828" s="109"/>
      <c r="E828" s="109"/>
      <c r="F828" s="109"/>
      <c r="G828" s="109"/>
      <c r="H828" s="109"/>
      <c r="I828" s="109"/>
      <c r="J828" s="109"/>
      <c r="K828" s="109"/>
      <c r="L828" s="109"/>
      <c r="M828" s="109"/>
      <c r="N828" s="109"/>
      <c r="O828" s="109"/>
      <c r="P828" s="109"/>
      <c r="Q828" s="109"/>
      <c r="R828" s="109"/>
      <c r="S828" s="109"/>
      <c r="T828" s="109"/>
      <c r="U828" s="109"/>
      <c r="V828" s="109"/>
      <c r="W828" s="109"/>
      <c r="X828" s="109"/>
      <c r="Y828" s="109"/>
      <c r="Z828" s="109"/>
    </row>
    <row r="829" ht="29.25" customHeight="1">
      <c r="A829" s="109"/>
      <c r="B829" s="109"/>
      <c r="C829" s="109"/>
      <c r="D829" s="109"/>
      <c r="E829" s="109"/>
      <c r="F829" s="109"/>
      <c r="G829" s="109"/>
      <c r="H829" s="109"/>
      <c r="I829" s="109"/>
      <c r="J829" s="109"/>
      <c r="K829" s="109"/>
      <c r="L829" s="109"/>
      <c r="M829" s="109"/>
      <c r="N829" s="109"/>
      <c r="O829" s="109"/>
      <c r="P829" s="109"/>
      <c r="Q829" s="109"/>
      <c r="R829" s="109"/>
      <c r="S829" s="109"/>
      <c r="T829" s="109"/>
      <c r="U829" s="109"/>
      <c r="V829" s="109"/>
      <c r="W829" s="109"/>
      <c r="X829" s="109"/>
      <c r="Y829" s="109"/>
      <c r="Z829" s="109"/>
    </row>
    <row r="830" ht="29.25" customHeight="1">
      <c r="A830" s="109"/>
      <c r="B830" s="109"/>
      <c r="C830" s="109"/>
      <c r="D830" s="109"/>
      <c r="E830" s="109"/>
      <c r="F830" s="109"/>
      <c r="G830" s="109"/>
      <c r="H830" s="109"/>
      <c r="I830" s="109"/>
      <c r="J830" s="109"/>
      <c r="K830" s="109"/>
      <c r="L830" s="109"/>
      <c r="M830" s="109"/>
      <c r="N830" s="109"/>
      <c r="O830" s="109"/>
      <c r="P830" s="109"/>
      <c r="Q830" s="109"/>
      <c r="R830" s="109"/>
      <c r="S830" s="109"/>
      <c r="T830" s="109"/>
      <c r="U830" s="109"/>
      <c r="V830" s="109"/>
      <c r="W830" s="109"/>
      <c r="X830" s="109"/>
      <c r="Y830" s="109"/>
      <c r="Z830" s="109"/>
    </row>
    <row r="831" ht="29.25" customHeight="1">
      <c r="A831" s="109"/>
      <c r="B831" s="109"/>
      <c r="C831" s="109"/>
      <c r="D831" s="109"/>
      <c r="E831" s="109"/>
      <c r="F831" s="109"/>
      <c r="G831" s="109"/>
      <c r="H831" s="109"/>
      <c r="I831" s="109"/>
      <c r="J831" s="109"/>
      <c r="K831" s="109"/>
      <c r="L831" s="109"/>
      <c r="M831" s="109"/>
      <c r="N831" s="109"/>
      <c r="O831" s="109"/>
      <c r="P831" s="109"/>
      <c r="Q831" s="109"/>
      <c r="R831" s="109"/>
      <c r="S831" s="109"/>
      <c r="T831" s="109"/>
      <c r="U831" s="109"/>
      <c r="V831" s="109"/>
      <c r="W831" s="109"/>
      <c r="X831" s="109"/>
      <c r="Y831" s="109"/>
      <c r="Z831" s="109"/>
    </row>
    <row r="832" ht="29.25" customHeight="1">
      <c r="A832" s="109"/>
      <c r="B832" s="109"/>
      <c r="C832" s="109"/>
      <c r="D832" s="109"/>
      <c r="E832" s="109"/>
      <c r="F832" s="109"/>
      <c r="G832" s="109"/>
      <c r="H832" s="109"/>
      <c r="I832" s="109"/>
      <c r="J832" s="109"/>
      <c r="K832" s="109"/>
      <c r="L832" s="109"/>
      <c r="M832" s="109"/>
      <c r="N832" s="109"/>
      <c r="O832" s="109"/>
      <c r="P832" s="109"/>
      <c r="Q832" s="109"/>
      <c r="R832" s="109"/>
      <c r="S832" s="109"/>
      <c r="T832" s="109"/>
      <c r="U832" s="109"/>
      <c r="V832" s="109"/>
      <c r="W832" s="109"/>
      <c r="X832" s="109"/>
      <c r="Y832" s="109"/>
      <c r="Z832" s="109"/>
    </row>
    <row r="833" ht="29.25" customHeight="1">
      <c r="A833" s="109"/>
      <c r="B833" s="109"/>
      <c r="C833" s="109"/>
      <c r="D833" s="109"/>
      <c r="E833" s="109"/>
      <c r="F833" s="109"/>
      <c r="G833" s="109"/>
      <c r="H833" s="109"/>
      <c r="I833" s="109"/>
      <c r="J833" s="109"/>
      <c r="K833" s="109"/>
      <c r="L833" s="109"/>
      <c r="M833" s="109"/>
      <c r="N833" s="109"/>
      <c r="O833" s="109"/>
      <c r="P833" s="109"/>
      <c r="Q833" s="109"/>
      <c r="R833" s="109"/>
      <c r="S833" s="109"/>
      <c r="T833" s="109"/>
      <c r="U833" s="109"/>
      <c r="V833" s="109"/>
      <c r="W833" s="109"/>
      <c r="X833" s="109"/>
      <c r="Y833" s="109"/>
      <c r="Z833" s="109"/>
    </row>
    <row r="834" ht="29.25" customHeight="1">
      <c r="A834" s="109"/>
      <c r="B834" s="109"/>
      <c r="C834" s="109"/>
      <c r="D834" s="109"/>
      <c r="E834" s="109"/>
      <c r="F834" s="109"/>
      <c r="G834" s="109"/>
      <c r="H834" s="109"/>
      <c r="I834" s="109"/>
      <c r="J834" s="109"/>
      <c r="K834" s="109"/>
      <c r="L834" s="109"/>
      <c r="M834" s="109"/>
      <c r="N834" s="109"/>
      <c r="O834" s="109"/>
      <c r="P834" s="109"/>
      <c r="Q834" s="109"/>
      <c r="R834" s="109"/>
      <c r="S834" s="109"/>
      <c r="T834" s="109"/>
      <c r="U834" s="109"/>
      <c r="V834" s="109"/>
      <c r="W834" s="109"/>
      <c r="X834" s="109"/>
      <c r="Y834" s="109"/>
      <c r="Z834" s="109"/>
    </row>
    <row r="835" ht="29.25" customHeight="1">
      <c r="A835" s="109"/>
      <c r="B835" s="109"/>
      <c r="C835" s="109"/>
      <c r="D835" s="109"/>
      <c r="E835" s="109"/>
      <c r="F835" s="109"/>
      <c r="G835" s="109"/>
      <c r="H835" s="109"/>
      <c r="I835" s="109"/>
      <c r="J835" s="109"/>
      <c r="K835" s="109"/>
      <c r="L835" s="109"/>
      <c r="M835" s="109"/>
      <c r="N835" s="109"/>
      <c r="O835" s="109"/>
      <c r="P835" s="109"/>
      <c r="Q835" s="109"/>
      <c r="R835" s="109"/>
      <c r="S835" s="109"/>
      <c r="T835" s="109"/>
      <c r="U835" s="109"/>
      <c r="V835" s="109"/>
      <c r="W835" s="109"/>
      <c r="X835" s="109"/>
      <c r="Y835" s="109"/>
      <c r="Z835" s="109"/>
    </row>
    <row r="836" ht="29.25" customHeight="1">
      <c r="A836" s="109"/>
      <c r="B836" s="109"/>
      <c r="C836" s="109"/>
      <c r="D836" s="109"/>
      <c r="E836" s="109"/>
      <c r="F836" s="109"/>
      <c r="G836" s="109"/>
      <c r="H836" s="109"/>
      <c r="I836" s="109"/>
      <c r="J836" s="109"/>
      <c r="K836" s="109"/>
      <c r="L836" s="109"/>
      <c r="M836" s="109"/>
      <c r="N836" s="109"/>
      <c r="O836" s="109"/>
      <c r="P836" s="109"/>
      <c r="Q836" s="109"/>
      <c r="R836" s="109"/>
      <c r="S836" s="109"/>
      <c r="T836" s="109"/>
      <c r="U836" s="109"/>
      <c r="V836" s="109"/>
      <c r="W836" s="109"/>
      <c r="X836" s="109"/>
      <c r="Y836" s="109"/>
      <c r="Z836" s="109"/>
    </row>
    <row r="837" ht="29.25" customHeight="1">
      <c r="A837" s="109"/>
      <c r="B837" s="109"/>
      <c r="C837" s="109"/>
      <c r="D837" s="109"/>
      <c r="E837" s="109"/>
      <c r="F837" s="109"/>
      <c r="G837" s="109"/>
      <c r="H837" s="109"/>
      <c r="I837" s="109"/>
      <c r="J837" s="109"/>
      <c r="K837" s="109"/>
      <c r="L837" s="109"/>
      <c r="M837" s="109"/>
      <c r="N837" s="109"/>
      <c r="O837" s="109"/>
      <c r="P837" s="109"/>
      <c r="Q837" s="109"/>
      <c r="R837" s="109"/>
      <c r="S837" s="109"/>
      <c r="T837" s="109"/>
      <c r="U837" s="109"/>
      <c r="V837" s="109"/>
      <c r="W837" s="109"/>
      <c r="X837" s="109"/>
      <c r="Y837" s="109"/>
      <c r="Z837" s="109"/>
    </row>
    <row r="838" ht="29.25" customHeight="1">
      <c r="A838" s="109"/>
      <c r="B838" s="109"/>
      <c r="C838" s="109"/>
      <c r="D838" s="109"/>
      <c r="E838" s="109"/>
      <c r="F838" s="109"/>
      <c r="G838" s="109"/>
      <c r="H838" s="109"/>
      <c r="I838" s="109"/>
      <c r="J838" s="109"/>
      <c r="K838" s="109"/>
      <c r="L838" s="109"/>
      <c r="M838" s="109"/>
      <c r="N838" s="109"/>
      <c r="O838" s="109"/>
      <c r="P838" s="109"/>
      <c r="Q838" s="109"/>
      <c r="R838" s="109"/>
      <c r="S838" s="109"/>
      <c r="T838" s="109"/>
      <c r="U838" s="109"/>
      <c r="V838" s="109"/>
      <c r="W838" s="109"/>
      <c r="X838" s="109"/>
      <c r="Y838" s="109"/>
      <c r="Z838" s="109"/>
    </row>
    <row r="839" ht="29.25" customHeight="1">
      <c r="A839" s="109"/>
      <c r="B839" s="109"/>
      <c r="C839" s="109"/>
      <c r="D839" s="109"/>
      <c r="E839" s="109"/>
      <c r="F839" s="109"/>
      <c r="G839" s="109"/>
      <c r="H839" s="109"/>
      <c r="I839" s="109"/>
      <c r="J839" s="109"/>
      <c r="K839" s="109"/>
      <c r="L839" s="109"/>
      <c r="M839" s="109"/>
      <c r="N839" s="109"/>
      <c r="O839" s="109"/>
      <c r="P839" s="109"/>
      <c r="Q839" s="109"/>
      <c r="R839" s="109"/>
      <c r="S839" s="109"/>
      <c r="T839" s="109"/>
      <c r="U839" s="109"/>
      <c r="V839" s="109"/>
      <c r="W839" s="109"/>
      <c r="X839" s="109"/>
      <c r="Y839" s="109"/>
      <c r="Z839" s="109"/>
    </row>
    <row r="840" ht="29.25" customHeight="1">
      <c r="A840" s="109"/>
      <c r="B840" s="109"/>
      <c r="C840" s="109"/>
      <c r="D840" s="109"/>
      <c r="E840" s="109"/>
      <c r="F840" s="109"/>
      <c r="G840" s="109"/>
      <c r="H840" s="109"/>
      <c r="I840" s="109"/>
      <c r="J840" s="109"/>
      <c r="K840" s="109"/>
      <c r="L840" s="109"/>
      <c r="M840" s="109"/>
      <c r="N840" s="109"/>
      <c r="O840" s="109"/>
      <c r="P840" s="109"/>
      <c r="Q840" s="109"/>
      <c r="R840" s="109"/>
      <c r="S840" s="109"/>
      <c r="T840" s="109"/>
      <c r="U840" s="109"/>
      <c r="V840" s="109"/>
      <c r="W840" s="109"/>
      <c r="X840" s="109"/>
      <c r="Y840" s="109"/>
      <c r="Z840" s="109"/>
    </row>
    <row r="841" ht="29.25" customHeight="1">
      <c r="A841" s="109"/>
      <c r="B841" s="109"/>
      <c r="C841" s="109"/>
      <c r="D841" s="109"/>
      <c r="E841" s="109"/>
      <c r="F841" s="109"/>
      <c r="G841" s="109"/>
      <c r="H841" s="109"/>
      <c r="I841" s="109"/>
      <c r="J841" s="109"/>
      <c r="K841" s="109"/>
      <c r="L841" s="109"/>
      <c r="M841" s="109"/>
      <c r="N841" s="109"/>
      <c r="O841" s="109"/>
      <c r="P841" s="109"/>
      <c r="Q841" s="109"/>
      <c r="R841" s="109"/>
      <c r="S841" s="109"/>
      <c r="T841" s="109"/>
      <c r="U841" s="109"/>
      <c r="V841" s="109"/>
      <c r="W841" s="109"/>
      <c r="X841" s="109"/>
      <c r="Y841" s="109"/>
      <c r="Z841" s="109"/>
    </row>
    <row r="842" ht="29.25" customHeight="1">
      <c r="A842" s="109"/>
      <c r="B842" s="109"/>
      <c r="C842" s="109"/>
      <c r="D842" s="109"/>
      <c r="E842" s="109"/>
      <c r="F842" s="109"/>
      <c r="G842" s="109"/>
      <c r="H842" s="109"/>
      <c r="I842" s="109"/>
      <c r="J842" s="109"/>
      <c r="K842" s="109"/>
      <c r="L842" s="109"/>
      <c r="M842" s="109"/>
      <c r="N842" s="109"/>
      <c r="O842" s="109"/>
      <c r="P842" s="109"/>
      <c r="Q842" s="109"/>
      <c r="R842" s="109"/>
      <c r="S842" s="109"/>
      <c r="T842" s="109"/>
      <c r="U842" s="109"/>
      <c r="V842" s="109"/>
      <c r="W842" s="109"/>
      <c r="X842" s="109"/>
      <c r="Y842" s="109"/>
      <c r="Z842" s="109"/>
    </row>
    <row r="843" ht="29.25" customHeight="1">
      <c r="A843" s="109"/>
      <c r="B843" s="109"/>
      <c r="C843" s="109"/>
      <c r="D843" s="109"/>
      <c r="E843" s="109"/>
      <c r="F843" s="109"/>
      <c r="G843" s="109"/>
      <c r="H843" s="109"/>
      <c r="I843" s="109"/>
      <c r="J843" s="109"/>
      <c r="K843" s="109"/>
      <c r="L843" s="109"/>
      <c r="M843" s="109"/>
      <c r="N843" s="109"/>
      <c r="O843" s="109"/>
      <c r="P843" s="109"/>
      <c r="Q843" s="109"/>
      <c r="R843" s="109"/>
      <c r="S843" s="109"/>
      <c r="T843" s="109"/>
      <c r="U843" s="109"/>
      <c r="V843" s="109"/>
      <c r="W843" s="109"/>
      <c r="X843" s="109"/>
      <c r="Y843" s="109"/>
      <c r="Z843" s="109"/>
    </row>
    <row r="844" ht="29.25" customHeight="1">
      <c r="A844" s="109"/>
      <c r="B844" s="109"/>
      <c r="C844" s="109"/>
      <c r="D844" s="109"/>
      <c r="E844" s="109"/>
      <c r="F844" s="109"/>
      <c r="G844" s="109"/>
      <c r="H844" s="109"/>
      <c r="I844" s="109"/>
      <c r="J844" s="109"/>
      <c r="K844" s="109"/>
      <c r="L844" s="109"/>
      <c r="M844" s="109"/>
      <c r="N844" s="109"/>
      <c r="O844" s="109"/>
      <c r="P844" s="109"/>
      <c r="Q844" s="109"/>
      <c r="R844" s="109"/>
      <c r="S844" s="109"/>
      <c r="T844" s="109"/>
      <c r="U844" s="109"/>
      <c r="V844" s="109"/>
      <c r="W844" s="109"/>
      <c r="X844" s="109"/>
      <c r="Y844" s="109"/>
      <c r="Z844" s="109"/>
    </row>
    <row r="845" ht="29.25" customHeight="1">
      <c r="A845" s="109"/>
      <c r="B845" s="109"/>
      <c r="C845" s="109"/>
      <c r="D845" s="109"/>
      <c r="E845" s="109"/>
      <c r="F845" s="109"/>
      <c r="G845" s="109"/>
      <c r="H845" s="109"/>
      <c r="I845" s="109"/>
      <c r="J845" s="109"/>
      <c r="K845" s="109"/>
      <c r="L845" s="109"/>
      <c r="M845" s="109"/>
      <c r="N845" s="109"/>
      <c r="O845" s="109"/>
      <c r="P845" s="109"/>
      <c r="Q845" s="109"/>
      <c r="R845" s="109"/>
      <c r="S845" s="109"/>
      <c r="T845" s="109"/>
      <c r="U845" s="109"/>
      <c r="V845" s="109"/>
      <c r="W845" s="109"/>
      <c r="X845" s="109"/>
      <c r="Y845" s="109"/>
      <c r="Z845" s="109"/>
    </row>
    <row r="846" ht="29.25" customHeight="1">
      <c r="A846" s="109"/>
      <c r="B846" s="109"/>
      <c r="C846" s="109"/>
      <c r="D846" s="109"/>
      <c r="E846" s="109"/>
      <c r="F846" s="109"/>
      <c r="G846" s="109"/>
      <c r="H846" s="109"/>
      <c r="I846" s="109"/>
      <c r="J846" s="109"/>
      <c r="K846" s="109"/>
      <c r="L846" s="109"/>
      <c r="M846" s="109"/>
      <c r="N846" s="109"/>
      <c r="O846" s="109"/>
      <c r="P846" s="109"/>
      <c r="Q846" s="109"/>
      <c r="R846" s="109"/>
      <c r="S846" s="109"/>
      <c r="T846" s="109"/>
      <c r="U846" s="109"/>
      <c r="V846" s="109"/>
      <c r="W846" s="109"/>
      <c r="X846" s="109"/>
      <c r="Y846" s="109"/>
      <c r="Z846" s="109"/>
    </row>
    <row r="847" ht="29.25" customHeight="1">
      <c r="A847" s="109"/>
      <c r="B847" s="109"/>
      <c r="C847" s="109"/>
      <c r="D847" s="109"/>
      <c r="E847" s="109"/>
      <c r="F847" s="109"/>
      <c r="G847" s="109"/>
      <c r="H847" s="109"/>
      <c r="I847" s="109"/>
      <c r="J847" s="109"/>
      <c r="K847" s="109"/>
      <c r="L847" s="109"/>
      <c r="M847" s="109"/>
      <c r="N847" s="109"/>
      <c r="O847" s="109"/>
      <c r="P847" s="109"/>
      <c r="Q847" s="109"/>
      <c r="R847" s="109"/>
      <c r="S847" s="109"/>
      <c r="T847" s="109"/>
      <c r="U847" s="109"/>
      <c r="V847" s="109"/>
      <c r="W847" s="109"/>
      <c r="X847" s="109"/>
      <c r="Y847" s="109"/>
      <c r="Z847" s="109"/>
    </row>
    <row r="848" ht="29.25" customHeight="1">
      <c r="A848" s="109"/>
      <c r="B848" s="109"/>
      <c r="C848" s="109"/>
      <c r="D848" s="109"/>
      <c r="E848" s="109"/>
      <c r="F848" s="109"/>
      <c r="G848" s="109"/>
      <c r="H848" s="109"/>
      <c r="I848" s="109"/>
      <c r="J848" s="109"/>
      <c r="K848" s="109"/>
      <c r="L848" s="109"/>
      <c r="M848" s="109"/>
      <c r="N848" s="109"/>
      <c r="O848" s="109"/>
      <c r="P848" s="109"/>
      <c r="Q848" s="109"/>
      <c r="R848" s="109"/>
      <c r="S848" s="109"/>
      <c r="T848" s="109"/>
      <c r="U848" s="109"/>
      <c r="V848" s="109"/>
      <c r="W848" s="109"/>
      <c r="X848" s="109"/>
      <c r="Y848" s="109"/>
      <c r="Z848" s="109"/>
    </row>
    <row r="849" ht="29.25" customHeight="1">
      <c r="A849" s="109"/>
      <c r="B849" s="109"/>
      <c r="C849" s="109"/>
      <c r="D849" s="109"/>
      <c r="E849" s="109"/>
      <c r="F849" s="109"/>
      <c r="G849" s="109"/>
      <c r="H849" s="109"/>
      <c r="I849" s="109"/>
      <c r="J849" s="109"/>
      <c r="K849" s="109"/>
      <c r="L849" s="109"/>
      <c r="M849" s="109"/>
      <c r="N849" s="109"/>
      <c r="O849" s="109"/>
      <c r="P849" s="109"/>
      <c r="Q849" s="109"/>
      <c r="R849" s="109"/>
      <c r="S849" s="109"/>
      <c r="T849" s="109"/>
      <c r="U849" s="109"/>
      <c r="V849" s="109"/>
      <c r="W849" s="109"/>
      <c r="X849" s="109"/>
      <c r="Y849" s="109"/>
      <c r="Z849" s="109"/>
    </row>
    <row r="850" ht="29.25" customHeight="1">
      <c r="A850" s="109"/>
      <c r="B850" s="109"/>
      <c r="C850" s="109"/>
      <c r="D850" s="109"/>
      <c r="E850" s="109"/>
      <c r="F850" s="109"/>
      <c r="G850" s="109"/>
      <c r="H850" s="109"/>
      <c r="I850" s="109"/>
      <c r="J850" s="109"/>
      <c r="K850" s="109"/>
      <c r="L850" s="109"/>
      <c r="M850" s="109"/>
      <c r="N850" s="109"/>
      <c r="O850" s="109"/>
      <c r="P850" s="109"/>
      <c r="Q850" s="109"/>
      <c r="R850" s="109"/>
      <c r="S850" s="109"/>
      <c r="T850" s="109"/>
      <c r="U850" s="109"/>
      <c r="V850" s="109"/>
      <c r="W850" s="109"/>
      <c r="X850" s="109"/>
      <c r="Y850" s="109"/>
      <c r="Z850" s="109"/>
    </row>
    <row r="851" ht="29.25" customHeight="1">
      <c r="A851" s="109"/>
      <c r="B851" s="109"/>
      <c r="C851" s="109"/>
      <c r="D851" s="109"/>
      <c r="E851" s="109"/>
      <c r="F851" s="109"/>
      <c r="G851" s="109"/>
      <c r="H851" s="109"/>
      <c r="I851" s="109"/>
      <c r="J851" s="109"/>
      <c r="K851" s="109"/>
      <c r="L851" s="109"/>
      <c r="M851" s="109"/>
      <c r="N851" s="109"/>
      <c r="O851" s="109"/>
      <c r="P851" s="109"/>
      <c r="Q851" s="109"/>
      <c r="R851" s="109"/>
      <c r="S851" s="109"/>
      <c r="T851" s="109"/>
      <c r="U851" s="109"/>
      <c r="V851" s="109"/>
      <c r="W851" s="109"/>
      <c r="X851" s="109"/>
      <c r="Y851" s="109"/>
      <c r="Z851" s="109"/>
    </row>
    <row r="852" ht="29.25" customHeight="1">
      <c r="A852" s="109"/>
      <c r="B852" s="109"/>
      <c r="C852" s="109"/>
      <c r="D852" s="109"/>
      <c r="E852" s="109"/>
      <c r="F852" s="109"/>
      <c r="G852" s="109"/>
      <c r="H852" s="109"/>
      <c r="I852" s="109"/>
      <c r="J852" s="109"/>
      <c r="K852" s="109"/>
      <c r="L852" s="109"/>
      <c r="M852" s="109"/>
      <c r="N852" s="109"/>
      <c r="O852" s="109"/>
      <c r="P852" s="109"/>
      <c r="Q852" s="109"/>
      <c r="R852" s="109"/>
      <c r="S852" s="109"/>
      <c r="T852" s="109"/>
      <c r="U852" s="109"/>
      <c r="V852" s="109"/>
      <c r="W852" s="109"/>
      <c r="X852" s="109"/>
      <c r="Y852" s="109"/>
      <c r="Z852" s="109"/>
    </row>
    <row r="853" ht="29.25" customHeight="1">
      <c r="A853" s="109"/>
      <c r="B853" s="109"/>
      <c r="C853" s="109"/>
      <c r="D853" s="109"/>
      <c r="E853" s="109"/>
      <c r="F853" s="109"/>
      <c r="G853" s="109"/>
      <c r="H853" s="109"/>
      <c r="I853" s="109"/>
      <c r="J853" s="109"/>
      <c r="K853" s="109"/>
      <c r="L853" s="109"/>
      <c r="M853" s="109"/>
      <c r="N853" s="109"/>
      <c r="O853" s="109"/>
      <c r="P853" s="109"/>
      <c r="Q853" s="109"/>
      <c r="R853" s="109"/>
      <c r="S853" s="109"/>
      <c r="T853" s="109"/>
      <c r="U853" s="109"/>
      <c r="V853" s="109"/>
      <c r="W853" s="109"/>
      <c r="X853" s="109"/>
      <c r="Y853" s="109"/>
      <c r="Z853" s="109"/>
    </row>
    <row r="854" ht="29.25" customHeight="1">
      <c r="A854" s="109"/>
      <c r="B854" s="109"/>
      <c r="C854" s="109"/>
      <c r="D854" s="109"/>
      <c r="E854" s="109"/>
      <c r="F854" s="109"/>
      <c r="G854" s="109"/>
      <c r="H854" s="109"/>
      <c r="I854" s="109"/>
      <c r="J854" s="109"/>
      <c r="K854" s="109"/>
      <c r="L854" s="109"/>
      <c r="M854" s="109"/>
      <c r="N854" s="109"/>
      <c r="O854" s="109"/>
      <c r="P854" s="109"/>
      <c r="Q854" s="109"/>
      <c r="R854" s="109"/>
      <c r="S854" s="109"/>
      <c r="T854" s="109"/>
      <c r="U854" s="109"/>
      <c r="V854" s="109"/>
      <c r="W854" s="109"/>
      <c r="X854" s="109"/>
      <c r="Y854" s="109"/>
      <c r="Z854" s="109"/>
    </row>
    <row r="855" ht="29.25" customHeight="1">
      <c r="A855" s="109"/>
      <c r="B855" s="109"/>
      <c r="C855" s="109"/>
      <c r="D855" s="109"/>
      <c r="E855" s="109"/>
      <c r="F855" s="109"/>
      <c r="G855" s="109"/>
      <c r="H855" s="109"/>
      <c r="I855" s="109"/>
      <c r="J855" s="109"/>
      <c r="K855" s="109"/>
      <c r="L855" s="109"/>
      <c r="M855" s="109"/>
      <c r="N855" s="109"/>
      <c r="O855" s="109"/>
      <c r="P855" s="109"/>
      <c r="Q855" s="109"/>
      <c r="R855" s="109"/>
      <c r="S855" s="109"/>
      <c r="T855" s="109"/>
      <c r="U855" s="109"/>
      <c r="V855" s="109"/>
      <c r="W855" s="109"/>
      <c r="X855" s="109"/>
      <c r="Y855" s="109"/>
      <c r="Z855" s="109"/>
    </row>
    <row r="856" ht="29.25" customHeight="1">
      <c r="A856" s="109"/>
      <c r="B856" s="109"/>
      <c r="C856" s="109"/>
      <c r="D856" s="109"/>
      <c r="E856" s="109"/>
      <c r="F856" s="109"/>
      <c r="G856" s="109"/>
      <c r="H856" s="109"/>
      <c r="I856" s="109"/>
      <c r="J856" s="109"/>
      <c r="K856" s="109"/>
      <c r="L856" s="109"/>
      <c r="M856" s="109"/>
      <c r="N856" s="109"/>
      <c r="O856" s="109"/>
      <c r="P856" s="109"/>
      <c r="Q856" s="109"/>
      <c r="R856" s="109"/>
      <c r="S856" s="109"/>
      <c r="T856" s="109"/>
      <c r="U856" s="109"/>
      <c r="V856" s="109"/>
      <c r="W856" s="109"/>
      <c r="X856" s="109"/>
      <c r="Y856" s="109"/>
      <c r="Z856" s="109"/>
    </row>
    <row r="857" ht="29.25" customHeight="1">
      <c r="A857" s="109"/>
      <c r="B857" s="109"/>
      <c r="C857" s="109"/>
      <c r="D857" s="109"/>
      <c r="E857" s="109"/>
      <c r="F857" s="109"/>
      <c r="G857" s="109"/>
      <c r="H857" s="109"/>
      <c r="I857" s="109"/>
      <c r="J857" s="109"/>
      <c r="K857" s="109"/>
      <c r="L857" s="109"/>
      <c r="M857" s="109"/>
      <c r="N857" s="109"/>
      <c r="O857" s="109"/>
      <c r="P857" s="109"/>
      <c r="Q857" s="109"/>
      <c r="R857" s="109"/>
      <c r="S857" s="109"/>
      <c r="T857" s="109"/>
      <c r="U857" s="109"/>
      <c r="V857" s="109"/>
      <c r="W857" s="109"/>
      <c r="X857" s="109"/>
      <c r="Y857" s="109"/>
      <c r="Z857" s="109"/>
    </row>
    <row r="858" ht="29.25" customHeight="1">
      <c r="A858" s="109"/>
      <c r="B858" s="109"/>
      <c r="C858" s="109"/>
      <c r="D858" s="109"/>
      <c r="E858" s="109"/>
      <c r="F858" s="109"/>
      <c r="G858" s="109"/>
      <c r="H858" s="109"/>
      <c r="I858" s="109"/>
      <c r="J858" s="109"/>
      <c r="K858" s="109"/>
      <c r="L858" s="109"/>
      <c r="M858" s="109"/>
      <c r="N858" s="109"/>
      <c r="O858" s="109"/>
      <c r="P858" s="109"/>
      <c r="Q858" s="109"/>
      <c r="R858" s="109"/>
      <c r="S858" s="109"/>
      <c r="T858" s="109"/>
      <c r="U858" s="109"/>
      <c r="V858" s="109"/>
      <c r="W858" s="109"/>
      <c r="X858" s="109"/>
      <c r="Y858" s="109"/>
      <c r="Z858" s="109"/>
    </row>
    <row r="859" ht="29.25" customHeight="1">
      <c r="A859" s="109"/>
      <c r="B859" s="109"/>
      <c r="C859" s="109"/>
      <c r="D859" s="109"/>
      <c r="E859" s="109"/>
      <c r="F859" s="109"/>
      <c r="G859" s="109"/>
      <c r="H859" s="109"/>
      <c r="I859" s="109"/>
      <c r="J859" s="109"/>
      <c r="K859" s="109"/>
      <c r="L859" s="109"/>
      <c r="M859" s="109"/>
      <c r="N859" s="109"/>
      <c r="O859" s="109"/>
      <c r="P859" s="109"/>
      <c r="Q859" s="109"/>
      <c r="R859" s="109"/>
      <c r="S859" s="109"/>
      <c r="T859" s="109"/>
      <c r="U859" s="109"/>
      <c r="V859" s="109"/>
      <c r="W859" s="109"/>
      <c r="X859" s="109"/>
      <c r="Y859" s="109"/>
      <c r="Z859" s="109"/>
    </row>
    <row r="860" ht="29.25" customHeight="1">
      <c r="A860" s="109"/>
      <c r="B860" s="109"/>
      <c r="C860" s="109"/>
      <c r="D860" s="109"/>
      <c r="E860" s="109"/>
      <c r="F860" s="109"/>
      <c r="G860" s="109"/>
      <c r="H860" s="109"/>
      <c r="I860" s="109"/>
      <c r="J860" s="109"/>
      <c r="K860" s="109"/>
      <c r="L860" s="109"/>
      <c r="M860" s="109"/>
      <c r="N860" s="109"/>
      <c r="O860" s="109"/>
      <c r="P860" s="109"/>
      <c r="Q860" s="109"/>
      <c r="R860" s="109"/>
      <c r="S860" s="109"/>
      <c r="T860" s="109"/>
      <c r="U860" s="109"/>
      <c r="V860" s="109"/>
      <c r="W860" s="109"/>
      <c r="X860" s="109"/>
      <c r="Y860" s="109"/>
      <c r="Z860" s="109"/>
    </row>
    <row r="861" ht="29.25" customHeight="1">
      <c r="A861" s="109"/>
      <c r="B861" s="109"/>
      <c r="C861" s="109"/>
      <c r="D861" s="109"/>
      <c r="E861" s="109"/>
      <c r="F861" s="109"/>
      <c r="G861" s="109"/>
      <c r="H861" s="109"/>
      <c r="I861" s="109"/>
      <c r="J861" s="109"/>
      <c r="K861" s="109"/>
      <c r="L861" s="109"/>
      <c r="M861" s="109"/>
      <c r="N861" s="109"/>
      <c r="O861" s="109"/>
      <c r="P861" s="109"/>
      <c r="Q861" s="109"/>
      <c r="R861" s="109"/>
      <c r="S861" s="109"/>
      <c r="T861" s="109"/>
      <c r="U861" s="109"/>
      <c r="V861" s="109"/>
      <c r="W861" s="109"/>
      <c r="X861" s="109"/>
      <c r="Y861" s="109"/>
      <c r="Z861" s="109"/>
    </row>
    <row r="862" ht="29.25" customHeight="1">
      <c r="A862" s="109"/>
      <c r="B862" s="109"/>
      <c r="C862" s="109"/>
      <c r="D862" s="109"/>
      <c r="E862" s="109"/>
      <c r="F862" s="109"/>
      <c r="G862" s="109"/>
      <c r="H862" s="109"/>
      <c r="I862" s="109"/>
      <c r="J862" s="109"/>
      <c r="K862" s="109"/>
      <c r="L862" s="109"/>
      <c r="M862" s="109"/>
      <c r="N862" s="109"/>
      <c r="O862" s="109"/>
      <c r="P862" s="109"/>
      <c r="Q862" s="109"/>
      <c r="R862" s="109"/>
      <c r="S862" s="109"/>
      <c r="T862" s="109"/>
      <c r="U862" s="109"/>
      <c r="V862" s="109"/>
      <c r="W862" s="109"/>
      <c r="X862" s="109"/>
      <c r="Y862" s="109"/>
      <c r="Z862" s="109"/>
    </row>
    <row r="863" ht="29.25" customHeight="1">
      <c r="A863" s="109"/>
      <c r="B863" s="109"/>
      <c r="C863" s="109"/>
      <c r="D863" s="109"/>
      <c r="E863" s="109"/>
      <c r="F863" s="109"/>
      <c r="G863" s="109"/>
      <c r="H863" s="109"/>
      <c r="I863" s="109"/>
      <c r="J863" s="109"/>
      <c r="K863" s="109"/>
      <c r="L863" s="109"/>
      <c r="M863" s="109"/>
      <c r="N863" s="109"/>
      <c r="O863" s="109"/>
      <c r="P863" s="109"/>
      <c r="Q863" s="109"/>
      <c r="R863" s="109"/>
      <c r="S863" s="109"/>
      <c r="T863" s="109"/>
      <c r="U863" s="109"/>
      <c r="V863" s="109"/>
      <c r="W863" s="109"/>
      <c r="X863" s="109"/>
      <c r="Y863" s="109"/>
      <c r="Z863" s="109"/>
    </row>
    <row r="864" ht="29.25" customHeight="1">
      <c r="A864" s="109"/>
      <c r="B864" s="109"/>
      <c r="C864" s="109"/>
      <c r="D864" s="109"/>
      <c r="E864" s="109"/>
      <c r="F864" s="109"/>
      <c r="G864" s="109"/>
      <c r="H864" s="109"/>
      <c r="I864" s="109"/>
      <c r="J864" s="109"/>
      <c r="K864" s="109"/>
      <c r="L864" s="109"/>
      <c r="M864" s="109"/>
      <c r="N864" s="109"/>
      <c r="O864" s="109"/>
      <c r="P864" s="109"/>
      <c r="Q864" s="109"/>
      <c r="R864" s="109"/>
      <c r="S864" s="109"/>
      <c r="T864" s="109"/>
      <c r="U864" s="109"/>
      <c r="V864" s="109"/>
      <c r="W864" s="109"/>
      <c r="X864" s="109"/>
      <c r="Y864" s="109"/>
      <c r="Z864" s="109"/>
    </row>
    <row r="865" ht="29.25" customHeight="1">
      <c r="A865" s="109"/>
      <c r="B865" s="109"/>
      <c r="C865" s="109"/>
      <c r="D865" s="109"/>
      <c r="E865" s="109"/>
      <c r="F865" s="109"/>
      <c r="G865" s="109"/>
      <c r="H865" s="109"/>
      <c r="I865" s="109"/>
      <c r="J865" s="109"/>
      <c r="K865" s="109"/>
      <c r="L865" s="109"/>
      <c r="M865" s="109"/>
      <c r="N865" s="109"/>
      <c r="O865" s="109"/>
      <c r="P865" s="109"/>
      <c r="Q865" s="109"/>
      <c r="R865" s="109"/>
      <c r="S865" s="109"/>
      <c r="T865" s="109"/>
      <c r="U865" s="109"/>
      <c r="V865" s="109"/>
      <c r="W865" s="109"/>
      <c r="X865" s="109"/>
      <c r="Y865" s="109"/>
      <c r="Z865" s="109"/>
    </row>
    <row r="866" ht="29.25" customHeight="1">
      <c r="A866" s="109"/>
      <c r="B866" s="109"/>
      <c r="C866" s="109"/>
      <c r="D866" s="109"/>
      <c r="E866" s="109"/>
      <c r="F866" s="109"/>
      <c r="G866" s="109"/>
      <c r="H866" s="109"/>
      <c r="I866" s="109"/>
      <c r="J866" s="109"/>
      <c r="K866" s="109"/>
      <c r="L866" s="109"/>
      <c r="M866" s="109"/>
      <c r="N866" s="109"/>
      <c r="O866" s="109"/>
      <c r="P866" s="109"/>
      <c r="Q866" s="109"/>
      <c r="R866" s="109"/>
      <c r="S866" s="109"/>
      <c r="T866" s="109"/>
      <c r="U866" s="109"/>
      <c r="V866" s="109"/>
      <c r="W866" s="109"/>
      <c r="X866" s="109"/>
      <c r="Y866" s="109"/>
      <c r="Z866" s="109"/>
    </row>
    <row r="867" ht="29.25" customHeight="1">
      <c r="A867" s="109"/>
      <c r="B867" s="109"/>
      <c r="C867" s="109"/>
      <c r="D867" s="109"/>
      <c r="E867" s="109"/>
      <c r="F867" s="109"/>
      <c r="G867" s="109"/>
      <c r="H867" s="109"/>
      <c r="I867" s="109"/>
      <c r="J867" s="109"/>
      <c r="K867" s="109"/>
      <c r="L867" s="109"/>
      <c r="M867" s="109"/>
      <c r="N867" s="109"/>
      <c r="O867" s="109"/>
      <c r="P867" s="109"/>
      <c r="Q867" s="109"/>
      <c r="R867" s="109"/>
      <c r="S867" s="109"/>
      <c r="T867" s="109"/>
      <c r="U867" s="109"/>
      <c r="V867" s="109"/>
      <c r="W867" s="109"/>
      <c r="X867" s="109"/>
      <c r="Y867" s="109"/>
      <c r="Z867" s="109"/>
    </row>
    <row r="868" ht="29.25" customHeight="1">
      <c r="A868" s="109"/>
      <c r="B868" s="109"/>
      <c r="C868" s="109"/>
      <c r="D868" s="109"/>
      <c r="E868" s="109"/>
      <c r="F868" s="109"/>
      <c r="G868" s="109"/>
      <c r="H868" s="109"/>
      <c r="I868" s="109"/>
      <c r="J868" s="109"/>
      <c r="K868" s="109"/>
      <c r="L868" s="109"/>
      <c r="M868" s="109"/>
      <c r="N868" s="109"/>
      <c r="O868" s="109"/>
      <c r="P868" s="109"/>
      <c r="Q868" s="109"/>
      <c r="R868" s="109"/>
      <c r="S868" s="109"/>
      <c r="T868" s="109"/>
      <c r="U868" s="109"/>
      <c r="V868" s="109"/>
      <c r="W868" s="109"/>
      <c r="X868" s="109"/>
      <c r="Y868" s="109"/>
      <c r="Z868" s="109"/>
    </row>
    <row r="869" ht="29.25" customHeight="1">
      <c r="A869" s="109"/>
      <c r="B869" s="109"/>
      <c r="C869" s="109"/>
      <c r="D869" s="109"/>
      <c r="E869" s="109"/>
      <c r="F869" s="109"/>
      <c r="G869" s="109"/>
      <c r="H869" s="109"/>
      <c r="I869" s="109"/>
      <c r="J869" s="109"/>
      <c r="K869" s="109"/>
      <c r="L869" s="109"/>
      <c r="M869" s="109"/>
      <c r="N869" s="109"/>
      <c r="O869" s="109"/>
      <c r="P869" s="109"/>
      <c r="Q869" s="109"/>
      <c r="R869" s="109"/>
      <c r="S869" s="109"/>
      <c r="T869" s="109"/>
      <c r="U869" s="109"/>
      <c r="V869" s="109"/>
      <c r="W869" s="109"/>
      <c r="X869" s="109"/>
      <c r="Y869" s="109"/>
      <c r="Z869" s="109"/>
    </row>
    <row r="870" ht="29.25" customHeight="1">
      <c r="A870" s="109"/>
      <c r="B870" s="109"/>
      <c r="C870" s="109"/>
      <c r="D870" s="109"/>
      <c r="E870" s="109"/>
      <c r="F870" s="109"/>
      <c r="G870" s="109"/>
      <c r="H870" s="109"/>
      <c r="I870" s="109"/>
      <c r="J870" s="109"/>
      <c r="K870" s="109"/>
      <c r="L870" s="109"/>
      <c r="M870" s="109"/>
      <c r="N870" s="109"/>
      <c r="O870" s="109"/>
      <c r="P870" s="109"/>
      <c r="Q870" s="109"/>
      <c r="R870" s="109"/>
      <c r="S870" s="109"/>
      <c r="T870" s="109"/>
      <c r="U870" s="109"/>
      <c r="V870" s="109"/>
      <c r="W870" s="109"/>
      <c r="X870" s="109"/>
      <c r="Y870" s="109"/>
      <c r="Z870" s="109"/>
    </row>
    <row r="871" ht="29.25" customHeight="1">
      <c r="A871" s="109"/>
      <c r="B871" s="109"/>
      <c r="C871" s="109"/>
      <c r="D871" s="109"/>
      <c r="E871" s="109"/>
      <c r="F871" s="109"/>
      <c r="G871" s="109"/>
      <c r="H871" s="109"/>
      <c r="I871" s="109"/>
      <c r="J871" s="109"/>
      <c r="K871" s="109"/>
      <c r="L871" s="109"/>
      <c r="M871" s="109"/>
      <c r="N871" s="109"/>
      <c r="O871" s="109"/>
      <c r="P871" s="109"/>
      <c r="Q871" s="109"/>
      <c r="R871" s="109"/>
      <c r="S871" s="109"/>
      <c r="T871" s="109"/>
      <c r="U871" s="109"/>
      <c r="V871" s="109"/>
      <c r="W871" s="109"/>
      <c r="X871" s="109"/>
      <c r="Y871" s="109"/>
      <c r="Z871" s="109"/>
    </row>
    <row r="872" ht="29.25" customHeight="1">
      <c r="A872" s="109"/>
      <c r="B872" s="109"/>
      <c r="C872" s="109"/>
      <c r="D872" s="109"/>
      <c r="E872" s="109"/>
      <c r="F872" s="109"/>
      <c r="G872" s="109"/>
      <c r="H872" s="109"/>
      <c r="I872" s="109"/>
      <c r="J872" s="109"/>
      <c r="K872" s="109"/>
      <c r="L872" s="109"/>
      <c r="M872" s="109"/>
      <c r="N872" s="109"/>
      <c r="O872" s="109"/>
      <c r="P872" s="109"/>
      <c r="Q872" s="109"/>
      <c r="R872" s="109"/>
      <c r="S872" s="109"/>
      <c r="T872" s="109"/>
      <c r="U872" s="109"/>
      <c r="V872" s="109"/>
      <c r="W872" s="109"/>
      <c r="X872" s="109"/>
      <c r="Y872" s="109"/>
      <c r="Z872" s="109"/>
    </row>
    <row r="873" ht="29.25" customHeight="1">
      <c r="A873" s="109"/>
      <c r="B873" s="109"/>
      <c r="C873" s="109"/>
      <c r="D873" s="109"/>
      <c r="E873" s="109"/>
      <c r="F873" s="109"/>
      <c r="G873" s="109"/>
      <c r="H873" s="109"/>
      <c r="I873" s="109"/>
      <c r="J873" s="109"/>
      <c r="K873" s="109"/>
      <c r="L873" s="109"/>
      <c r="M873" s="109"/>
      <c r="N873" s="109"/>
      <c r="O873" s="109"/>
      <c r="P873" s="109"/>
      <c r="Q873" s="109"/>
      <c r="R873" s="109"/>
      <c r="S873" s="109"/>
      <c r="T873" s="109"/>
      <c r="U873" s="109"/>
      <c r="V873" s="109"/>
      <c r="W873" s="109"/>
      <c r="X873" s="109"/>
      <c r="Y873" s="109"/>
      <c r="Z873" s="109"/>
    </row>
    <row r="874" ht="29.25" customHeight="1">
      <c r="A874" s="109"/>
      <c r="B874" s="109"/>
      <c r="C874" s="109"/>
      <c r="D874" s="109"/>
      <c r="E874" s="109"/>
      <c r="F874" s="109"/>
      <c r="G874" s="109"/>
      <c r="H874" s="109"/>
      <c r="I874" s="109"/>
      <c r="J874" s="109"/>
      <c r="K874" s="109"/>
      <c r="L874" s="109"/>
      <c r="M874" s="109"/>
      <c r="N874" s="109"/>
      <c r="O874" s="109"/>
      <c r="P874" s="109"/>
      <c r="Q874" s="109"/>
      <c r="R874" s="109"/>
      <c r="S874" s="109"/>
      <c r="T874" s="109"/>
      <c r="U874" s="109"/>
      <c r="V874" s="109"/>
      <c r="W874" s="109"/>
      <c r="X874" s="109"/>
      <c r="Y874" s="109"/>
      <c r="Z874" s="109"/>
    </row>
    <row r="875" ht="29.25" customHeight="1">
      <c r="A875" s="109"/>
      <c r="B875" s="109"/>
      <c r="C875" s="109"/>
      <c r="D875" s="109"/>
      <c r="E875" s="109"/>
      <c r="F875" s="109"/>
      <c r="G875" s="109"/>
      <c r="H875" s="109"/>
      <c r="I875" s="109"/>
      <c r="J875" s="109"/>
      <c r="K875" s="109"/>
      <c r="L875" s="109"/>
      <c r="M875" s="109"/>
      <c r="N875" s="109"/>
      <c r="O875" s="109"/>
      <c r="P875" s="109"/>
      <c r="Q875" s="109"/>
      <c r="R875" s="109"/>
      <c r="S875" s="109"/>
      <c r="T875" s="109"/>
      <c r="U875" s="109"/>
      <c r="V875" s="109"/>
      <c r="W875" s="109"/>
      <c r="X875" s="109"/>
      <c r="Y875" s="109"/>
      <c r="Z875" s="109"/>
    </row>
    <row r="876" ht="29.25" customHeight="1">
      <c r="A876" s="109"/>
      <c r="B876" s="109"/>
      <c r="C876" s="109"/>
      <c r="D876" s="109"/>
      <c r="E876" s="109"/>
      <c r="F876" s="109"/>
      <c r="G876" s="109"/>
      <c r="H876" s="109"/>
      <c r="I876" s="109"/>
      <c r="J876" s="109"/>
      <c r="K876" s="109"/>
      <c r="L876" s="109"/>
      <c r="M876" s="109"/>
      <c r="N876" s="109"/>
      <c r="O876" s="109"/>
      <c r="P876" s="109"/>
      <c r="Q876" s="109"/>
      <c r="R876" s="109"/>
      <c r="S876" s="109"/>
      <c r="T876" s="109"/>
      <c r="U876" s="109"/>
      <c r="V876" s="109"/>
      <c r="W876" s="109"/>
      <c r="X876" s="109"/>
      <c r="Y876" s="109"/>
      <c r="Z876" s="109"/>
    </row>
    <row r="877" ht="29.25" customHeight="1">
      <c r="A877" s="109"/>
      <c r="B877" s="109"/>
      <c r="C877" s="109"/>
      <c r="D877" s="109"/>
      <c r="E877" s="109"/>
      <c r="F877" s="109"/>
      <c r="G877" s="109"/>
      <c r="H877" s="109"/>
      <c r="I877" s="109"/>
      <c r="J877" s="109"/>
      <c r="K877" s="109"/>
      <c r="L877" s="109"/>
      <c r="M877" s="109"/>
      <c r="N877" s="109"/>
      <c r="O877" s="109"/>
      <c r="P877" s="109"/>
      <c r="Q877" s="109"/>
      <c r="R877" s="109"/>
      <c r="S877" s="109"/>
      <c r="T877" s="109"/>
      <c r="U877" s="109"/>
      <c r="V877" s="109"/>
      <c r="W877" s="109"/>
      <c r="X877" s="109"/>
      <c r="Y877" s="109"/>
      <c r="Z877" s="109"/>
    </row>
    <row r="878" ht="29.25" customHeight="1">
      <c r="A878" s="109"/>
      <c r="B878" s="109"/>
      <c r="C878" s="109"/>
      <c r="D878" s="109"/>
      <c r="E878" s="109"/>
      <c r="F878" s="109"/>
      <c r="G878" s="109"/>
      <c r="H878" s="109"/>
      <c r="I878" s="109"/>
      <c r="J878" s="109"/>
      <c r="K878" s="109"/>
      <c r="L878" s="109"/>
      <c r="M878" s="109"/>
      <c r="N878" s="109"/>
      <c r="O878" s="109"/>
      <c r="P878" s="109"/>
      <c r="Q878" s="109"/>
      <c r="R878" s="109"/>
      <c r="S878" s="109"/>
      <c r="T878" s="109"/>
      <c r="U878" s="109"/>
      <c r="V878" s="109"/>
      <c r="W878" s="109"/>
      <c r="X878" s="109"/>
      <c r="Y878" s="109"/>
      <c r="Z878" s="109"/>
    </row>
    <row r="879" ht="29.25" customHeight="1">
      <c r="A879" s="109"/>
      <c r="B879" s="109"/>
      <c r="C879" s="109"/>
      <c r="D879" s="109"/>
      <c r="E879" s="109"/>
      <c r="F879" s="109"/>
      <c r="G879" s="109"/>
      <c r="H879" s="109"/>
      <c r="I879" s="109"/>
      <c r="J879" s="109"/>
      <c r="K879" s="109"/>
      <c r="L879" s="109"/>
      <c r="M879" s="109"/>
      <c r="N879" s="109"/>
      <c r="O879" s="109"/>
      <c r="P879" s="109"/>
      <c r="Q879" s="109"/>
      <c r="R879" s="109"/>
      <c r="S879" s="109"/>
      <c r="T879" s="109"/>
      <c r="U879" s="109"/>
      <c r="V879" s="109"/>
      <c r="W879" s="109"/>
      <c r="X879" s="109"/>
      <c r="Y879" s="109"/>
      <c r="Z879" s="109"/>
    </row>
    <row r="880" ht="29.25" customHeight="1">
      <c r="A880" s="109"/>
      <c r="B880" s="109"/>
      <c r="C880" s="109"/>
      <c r="D880" s="109"/>
      <c r="E880" s="109"/>
      <c r="F880" s="109"/>
      <c r="G880" s="109"/>
      <c r="H880" s="109"/>
      <c r="I880" s="109"/>
      <c r="J880" s="109"/>
      <c r="K880" s="109"/>
      <c r="L880" s="109"/>
      <c r="M880" s="109"/>
      <c r="N880" s="109"/>
      <c r="O880" s="109"/>
      <c r="P880" s="109"/>
      <c r="Q880" s="109"/>
      <c r="R880" s="109"/>
      <c r="S880" s="109"/>
      <c r="T880" s="109"/>
      <c r="U880" s="109"/>
      <c r="V880" s="109"/>
      <c r="W880" s="109"/>
      <c r="X880" s="109"/>
      <c r="Y880" s="109"/>
      <c r="Z880" s="109"/>
    </row>
    <row r="881" ht="29.25" customHeight="1">
      <c r="A881" s="109"/>
      <c r="B881" s="109"/>
      <c r="C881" s="109"/>
      <c r="D881" s="109"/>
      <c r="E881" s="109"/>
      <c r="F881" s="109"/>
      <c r="G881" s="109"/>
      <c r="H881" s="109"/>
      <c r="I881" s="109"/>
      <c r="J881" s="109"/>
      <c r="K881" s="109"/>
      <c r="L881" s="109"/>
      <c r="M881" s="109"/>
      <c r="N881" s="109"/>
      <c r="O881" s="109"/>
      <c r="P881" s="109"/>
      <c r="Q881" s="109"/>
      <c r="R881" s="109"/>
      <c r="S881" s="109"/>
      <c r="T881" s="109"/>
      <c r="U881" s="109"/>
      <c r="V881" s="109"/>
      <c r="W881" s="109"/>
      <c r="X881" s="109"/>
      <c r="Y881" s="109"/>
      <c r="Z881" s="109"/>
    </row>
    <row r="882" ht="29.25" customHeight="1">
      <c r="A882" s="109"/>
      <c r="B882" s="109"/>
      <c r="C882" s="109"/>
      <c r="D882" s="109"/>
      <c r="E882" s="109"/>
      <c r="F882" s="109"/>
      <c r="G882" s="109"/>
      <c r="H882" s="109"/>
      <c r="I882" s="109"/>
      <c r="J882" s="109"/>
      <c r="K882" s="109"/>
      <c r="L882" s="109"/>
      <c r="M882" s="109"/>
      <c r="N882" s="109"/>
      <c r="O882" s="109"/>
      <c r="P882" s="109"/>
      <c r="Q882" s="109"/>
      <c r="R882" s="109"/>
      <c r="S882" s="109"/>
      <c r="T882" s="109"/>
      <c r="U882" s="109"/>
      <c r="V882" s="109"/>
      <c r="W882" s="109"/>
      <c r="X882" s="109"/>
      <c r="Y882" s="109"/>
      <c r="Z882" s="109"/>
    </row>
    <row r="883" ht="29.25" customHeight="1">
      <c r="A883" s="109"/>
      <c r="B883" s="109"/>
      <c r="C883" s="109"/>
      <c r="D883" s="109"/>
      <c r="E883" s="109"/>
      <c r="F883" s="109"/>
      <c r="G883" s="109"/>
      <c r="H883" s="109"/>
      <c r="I883" s="109"/>
      <c r="J883" s="109"/>
      <c r="K883" s="109"/>
      <c r="L883" s="109"/>
      <c r="M883" s="109"/>
      <c r="N883" s="109"/>
      <c r="O883" s="109"/>
      <c r="P883" s="109"/>
      <c r="Q883" s="109"/>
      <c r="R883" s="109"/>
      <c r="S883" s="109"/>
      <c r="T883" s="109"/>
      <c r="U883" s="109"/>
      <c r="V883" s="109"/>
      <c r="W883" s="109"/>
      <c r="X883" s="109"/>
      <c r="Y883" s="109"/>
      <c r="Z883" s="109"/>
    </row>
    <row r="884" ht="29.25" customHeight="1">
      <c r="A884" s="109"/>
      <c r="B884" s="109"/>
      <c r="C884" s="109"/>
      <c r="D884" s="109"/>
      <c r="E884" s="109"/>
      <c r="F884" s="109"/>
      <c r="G884" s="109"/>
      <c r="H884" s="109"/>
      <c r="I884" s="109"/>
      <c r="J884" s="109"/>
      <c r="K884" s="109"/>
      <c r="L884" s="109"/>
      <c r="M884" s="109"/>
      <c r="N884" s="109"/>
      <c r="O884" s="109"/>
      <c r="P884" s="109"/>
      <c r="Q884" s="109"/>
      <c r="R884" s="109"/>
      <c r="S884" s="109"/>
      <c r="T884" s="109"/>
      <c r="U884" s="109"/>
      <c r="V884" s="109"/>
      <c r="W884" s="109"/>
      <c r="X884" s="109"/>
      <c r="Y884" s="109"/>
      <c r="Z884" s="109"/>
    </row>
    <row r="885" ht="29.25" customHeight="1">
      <c r="A885" s="109"/>
      <c r="B885" s="109"/>
      <c r="C885" s="109"/>
      <c r="D885" s="109"/>
      <c r="E885" s="109"/>
      <c r="F885" s="109"/>
      <c r="G885" s="109"/>
      <c r="H885" s="109"/>
      <c r="I885" s="109"/>
      <c r="J885" s="109"/>
      <c r="K885" s="109"/>
      <c r="L885" s="109"/>
      <c r="M885" s="109"/>
      <c r="N885" s="109"/>
      <c r="O885" s="109"/>
      <c r="P885" s="109"/>
      <c r="Q885" s="109"/>
      <c r="R885" s="109"/>
      <c r="S885" s="109"/>
      <c r="T885" s="109"/>
      <c r="U885" s="109"/>
      <c r="V885" s="109"/>
      <c r="W885" s="109"/>
      <c r="X885" s="109"/>
      <c r="Y885" s="109"/>
      <c r="Z885" s="109"/>
    </row>
    <row r="886" ht="29.25" customHeight="1">
      <c r="A886" s="109"/>
      <c r="B886" s="109"/>
      <c r="C886" s="109"/>
      <c r="D886" s="109"/>
      <c r="E886" s="109"/>
      <c r="F886" s="109"/>
      <c r="G886" s="109"/>
      <c r="H886" s="109"/>
      <c r="I886" s="109"/>
      <c r="J886" s="109"/>
      <c r="K886" s="109"/>
      <c r="L886" s="109"/>
      <c r="M886" s="109"/>
      <c r="N886" s="109"/>
      <c r="O886" s="109"/>
      <c r="P886" s="109"/>
      <c r="Q886" s="109"/>
      <c r="R886" s="109"/>
      <c r="S886" s="109"/>
      <c r="T886" s="109"/>
      <c r="U886" s="109"/>
      <c r="V886" s="109"/>
      <c r="W886" s="109"/>
      <c r="X886" s="109"/>
      <c r="Y886" s="109"/>
      <c r="Z886" s="109"/>
    </row>
    <row r="887" ht="29.25" customHeight="1">
      <c r="A887" s="109"/>
      <c r="B887" s="109"/>
      <c r="C887" s="109"/>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row>
    <row r="888" ht="29.25" customHeight="1">
      <c r="A888" s="109"/>
      <c r="B888" s="109"/>
      <c r="C888" s="109"/>
      <c r="D888" s="109"/>
      <c r="E888" s="109"/>
      <c r="F888" s="109"/>
      <c r="G888" s="109"/>
      <c r="H888" s="109"/>
      <c r="I888" s="109"/>
      <c r="J888" s="109"/>
      <c r="K888" s="109"/>
      <c r="L888" s="109"/>
      <c r="M888" s="109"/>
      <c r="N888" s="109"/>
      <c r="O888" s="109"/>
      <c r="P888" s="109"/>
      <c r="Q888" s="109"/>
      <c r="R888" s="109"/>
      <c r="S888" s="109"/>
      <c r="T888" s="109"/>
      <c r="U888" s="109"/>
      <c r="V888" s="109"/>
      <c r="W888" s="109"/>
      <c r="X888" s="109"/>
      <c r="Y888" s="109"/>
      <c r="Z888" s="109"/>
    </row>
    <row r="889" ht="29.25" customHeight="1">
      <c r="A889" s="109"/>
      <c r="B889" s="109"/>
      <c r="C889" s="109"/>
      <c r="D889" s="109"/>
      <c r="E889" s="109"/>
      <c r="F889" s="109"/>
      <c r="G889" s="109"/>
      <c r="H889" s="109"/>
      <c r="I889" s="109"/>
      <c r="J889" s="109"/>
      <c r="K889" s="109"/>
      <c r="L889" s="109"/>
      <c r="M889" s="109"/>
      <c r="N889" s="109"/>
      <c r="O889" s="109"/>
      <c r="P889" s="109"/>
      <c r="Q889" s="109"/>
      <c r="R889" s="109"/>
      <c r="S889" s="109"/>
      <c r="T889" s="109"/>
      <c r="U889" s="109"/>
      <c r="V889" s="109"/>
      <c r="W889" s="109"/>
      <c r="X889" s="109"/>
      <c r="Y889" s="109"/>
      <c r="Z889" s="109"/>
    </row>
    <row r="890" ht="29.25" customHeight="1">
      <c r="A890" s="109"/>
      <c r="B890" s="109"/>
      <c r="C890" s="109"/>
      <c r="D890" s="109"/>
      <c r="E890" s="109"/>
      <c r="F890" s="109"/>
      <c r="G890" s="109"/>
      <c r="H890" s="109"/>
      <c r="I890" s="109"/>
      <c r="J890" s="109"/>
      <c r="K890" s="109"/>
      <c r="L890" s="109"/>
      <c r="M890" s="109"/>
      <c r="N890" s="109"/>
      <c r="O890" s="109"/>
      <c r="P890" s="109"/>
      <c r="Q890" s="109"/>
      <c r="R890" s="109"/>
      <c r="S890" s="109"/>
      <c r="T890" s="109"/>
      <c r="U890" s="109"/>
      <c r="V890" s="109"/>
      <c r="W890" s="109"/>
      <c r="X890" s="109"/>
      <c r="Y890" s="109"/>
      <c r="Z890" s="109"/>
    </row>
    <row r="891" ht="29.25" customHeight="1">
      <c r="A891" s="109"/>
      <c r="B891" s="109"/>
      <c r="C891" s="109"/>
      <c r="D891" s="109"/>
      <c r="E891" s="109"/>
      <c r="F891" s="109"/>
      <c r="G891" s="109"/>
      <c r="H891" s="109"/>
      <c r="I891" s="109"/>
      <c r="J891" s="109"/>
      <c r="K891" s="109"/>
      <c r="L891" s="109"/>
      <c r="M891" s="109"/>
      <c r="N891" s="109"/>
      <c r="O891" s="109"/>
      <c r="P891" s="109"/>
      <c r="Q891" s="109"/>
      <c r="R891" s="109"/>
      <c r="S891" s="109"/>
      <c r="T891" s="109"/>
      <c r="U891" s="109"/>
      <c r="V891" s="109"/>
      <c r="W891" s="109"/>
      <c r="X891" s="109"/>
      <c r="Y891" s="109"/>
      <c r="Z891" s="109"/>
    </row>
    <row r="892" ht="29.25" customHeight="1">
      <c r="A892" s="109"/>
      <c r="B892" s="109"/>
      <c r="C892" s="109"/>
      <c r="D892" s="109"/>
      <c r="E892" s="109"/>
      <c r="F892" s="109"/>
      <c r="G892" s="109"/>
      <c r="H892" s="109"/>
      <c r="I892" s="109"/>
      <c r="J892" s="109"/>
      <c r="K892" s="109"/>
      <c r="L892" s="109"/>
      <c r="M892" s="109"/>
      <c r="N892" s="109"/>
      <c r="O892" s="109"/>
      <c r="P892" s="109"/>
      <c r="Q892" s="109"/>
      <c r="R892" s="109"/>
      <c r="S892" s="109"/>
      <c r="T892" s="109"/>
      <c r="U892" s="109"/>
      <c r="V892" s="109"/>
      <c r="W892" s="109"/>
      <c r="X892" s="109"/>
      <c r="Y892" s="109"/>
      <c r="Z892" s="109"/>
    </row>
    <row r="893" ht="29.25" customHeight="1">
      <c r="A893" s="109"/>
      <c r="B893" s="109"/>
      <c r="C893" s="109"/>
      <c r="D893" s="109"/>
      <c r="E893" s="109"/>
      <c r="F893" s="109"/>
      <c r="G893" s="109"/>
      <c r="H893" s="109"/>
      <c r="I893" s="109"/>
      <c r="J893" s="109"/>
      <c r="K893" s="109"/>
      <c r="L893" s="109"/>
      <c r="M893" s="109"/>
      <c r="N893" s="109"/>
      <c r="O893" s="109"/>
      <c r="P893" s="109"/>
      <c r="Q893" s="109"/>
      <c r="R893" s="109"/>
      <c r="S893" s="109"/>
      <c r="T893" s="109"/>
      <c r="U893" s="109"/>
      <c r="V893" s="109"/>
      <c r="W893" s="109"/>
      <c r="X893" s="109"/>
      <c r="Y893" s="109"/>
      <c r="Z893" s="109"/>
    </row>
    <row r="894" ht="29.25" customHeight="1">
      <c r="A894" s="109"/>
      <c r="B894" s="109"/>
      <c r="C894" s="109"/>
      <c r="D894" s="109"/>
      <c r="E894" s="109"/>
      <c r="F894" s="109"/>
      <c r="G894" s="109"/>
      <c r="H894" s="109"/>
      <c r="I894" s="109"/>
      <c r="J894" s="109"/>
      <c r="K894" s="109"/>
      <c r="L894" s="109"/>
      <c r="M894" s="109"/>
      <c r="N894" s="109"/>
      <c r="O894" s="109"/>
      <c r="P894" s="109"/>
      <c r="Q894" s="109"/>
      <c r="R894" s="109"/>
      <c r="S894" s="109"/>
      <c r="T894" s="109"/>
      <c r="U894" s="109"/>
      <c r="V894" s="109"/>
      <c r="W894" s="109"/>
      <c r="X894" s="109"/>
      <c r="Y894" s="109"/>
      <c r="Z894" s="109"/>
    </row>
    <row r="895" ht="29.25" customHeight="1">
      <c r="A895" s="109"/>
      <c r="B895" s="109"/>
      <c r="C895" s="109"/>
      <c r="D895" s="109"/>
      <c r="E895" s="109"/>
      <c r="F895" s="109"/>
      <c r="G895" s="109"/>
      <c r="H895" s="109"/>
      <c r="I895" s="109"/>
      <c r="J895" s="109"/>
      <c r="K895" s="109"/>
      <c r="L895" s="109"/>
      <c r="M895" s="109"/>
      <c r="N895" s="109"/>
      <c r="O895" s="109"/>
      <c r="P895" s="109"/>
      <c r="Q895" s="109"/>
      <c r="R895" s="109"/>
      <c r="S895" s="109"/>
      <c r="T895" s="109"/>
      <c r="U895" s="109"/>
      <c r="V895" s="109"/>
      <c r="W895" s="109"/>
      <c r="X895" s="109"/>
      <c r="Y895" s="109"/>
      <c r="Z895" s="109"/>
    </row>
    <row r="896" ht="29.25" customHeight="1">
      <c r="A896" s="109"/>
      <c r="B896" s="109"/>
      <c r="C896" s="109"/>
      <c r="D896" s="109"/>
      <c r="E896" s="109"/>
      <c r="F896" s="109"/>
      <c r="G896" s="109"/>
      <c r="H896" s="109"/>
      <c r="I896" s="109"/>
      <c r="J896" s="109"/>
      <c r="K896" s="109"/>
      <c r="L896" s="109"/>
      <c r="M896" s="109"/>
      <c r="N896" s="109"/>
      <c r="O896" s="109"/>
      <c r="P896" s="109"/>
      <c r="Q896" s="109"/>
      <c r="R896" s="109"/>
      <c r="S896" s="109"/>
      <c r="T896" s="109"/>
      <c r="U896" s="109"/>
      <c r="V896" s="109"/>
      <c r="W896" s="109"/>
      <c r="X896" s="109"/>
      <c r="Y896" s="109"/>
      <c r="Z896" s="109"/>
    </row>
    <row r="897" ht="29.25" customHeight="1">
      <c r="A897" s="109"/>
      <c r="B897" s="109"/>
      <c r="C897" s="109"/>
      <c r="D897" s="109"/>
      <c r="E897" s="109"/>
      <c r="F897" s="109"/>
      <c r="G897" s="109"/>
      <c r="H897" s="109"/>
      <c r="I897" s="109"/>
      <c r="J897" s="109"/>
      <c r="K897" s="109"/>
      <c r="L897" s="109"/>
      <c r="M897" s="109"/>
      <c r="N897" s="109"/>
      <c r="O897" s="109"/>
      <c r="P897" s="109"/>
      <c r="Q897" s="109"/>
      <c r="R897" s="109"/>
      <c r="S897" s="109"/>
      <c r="T897" s="109"/>
      <c r="U897" s="109"/>
      <c r="V897" s="109"/>
      <c r="W897" s="109"/>
      <c r="X897" s="109"/>
      <c r="Y897" s="109"/>
      <c r="Z897" s="109"/>
    </row>
    <row r="898" ht="29.25" customHeight="1">
      <c r="A898" s="109"/>
      <c r="B898" s="109"/>
      <c r="C898" s="109"/>
      <c r="D898" s="109"/>
      <c r="E898" s="109"/>
      <c r="F898" s="109"/>
      <c r="G898" s="109"/>
      <c r="H898" s="109"/>
      <c r="I898" s="109"/>
      <c r="J898" s="109"/>
      <c r="K898" s="109"/>
      <c r="L898" s="109"/>
      <c r="M898" s="109"/>
      <c r="N898" s="109"/>
      <c r="O898" s="109"/>
      <c r="P898" s="109"/>
      <c r="Q898" s="109"/>
      <c r="R898" s="109"/>
      <c r="S898" s="109"/>
      <c r="T898" s="109"/>
      <c r="U898" s="109"/>
      <c r="V898" s="109"/>
      <c r="W898" s="109"/>
      <c r="X898" s="109"/>
      <c r="Y898" s="109"/>
      <c r="Z898" s="109"/>
    </row>
    <row r="899" ht="29.25" customHeight="1">
      <c r="A899" s="109"/>
      <c r="B899" s="109"/>
      <c r="C899" s="109"/>
      <c r="D899" s="109"/>
      <c r="E899" s="109"/>
      <c r="F899" s="109"/>
      <c r="G899" s="109"/>
      <c r="H899" s="109"/>
      <c r="I899" s="109"/>
      <c r="J899" s="109"/>
      <c r="K899" s="109"/>
      <c r="L899" s="109"/>
      <c r="M899" s="109"/>
      <c r="N899" s="109"/>
      <c r="O899" s="109"/>
      <c r="P899" s="109"/>
      <c r="Q899" s="109"/>
      <c r="R899" s="109"/>
      <c r="S899" s="109"/>
      <c r="T899" s="109"/>
      <c r="U899" s="109"/>
      <c r="V899" s="109"/>
      <c r="W899" s="109"/>
      <c r="X899" s="109"/>
      <c r="Y899" s="109"/>
      <c r="Z899" s="109"/>
    </row>
    <row r="900" ht="29.25" customHeight="1">
      <c r="A900" s="109"/>
      <c r="B900" s="109"/>
      <c r="C900" s="109"/>
      <c r="D900" s="109"/>
      <c r="E900" s="109"/>
      <c r="F900" s="109"/>
      <c r="G900" s="109"/>
      <c r="H900" s="109"/>
      <c r="I900" s="109"/>
      <c r="J900" s="109"/>
      <c r="K900" s="109"/>
      <c r="L900" s="109"/>
      <c r="M900" s="109"/>
      <c r="N900" s="109"/>
      <c r="O900" s="109"/>
      <c r="P900" s="109"/>
      <c r="Q900" s="109"/>
      <c r="R900" s="109"/>
      <c r="S900" s="109"/>
      <c r="T900" s="109"/>
      <c r="U900" s="109"/>
      <c r="V900" s="109"/>
      <c r="W900" s="109"/>
      <c r="X900" s="109"/>
      <c r="Y900" s="109"/>
      <c r="Z900" s="109"/>
    </row>
    <row r="901" ht="29.25" customHeight="1">
      <c r="A901" s="109"/>
      <c r="B901" s="109"/>
      <c r="C901" s="109"/>
      <c r="D901" s="109"/>
      <c r="E901" s="109"/>
      <c r="F901" s="109"/>
      <c r="G901" s="109"/>
      <c r="H901" s="109"/>
      <c r="I901" s="109"/>
      <c r="J901" s="109"/>
      <c r="K901" s="109"/>
      <c r="L901" s="109"/>
      <c r="M901" s="109"/>
      <c r="N901" s="109"/>
      <c r="O901" s="109"/>
      <c r="P901" s="109"/>
      <c r="Q901" s="109"/>
      <c r="R901" s="109"/>
      <c r="S901" s="109"/>
      <c r="T901" s="109"/>
      <c r="U901" s="109"/>
      <c r="V901" s="109"/>
      <c r="W901" s="109"/>
      <c r="X901" s="109"/>
      <c r="Y901" s="109"/>
      <c r="Z901" s="109"/>
    </row>
    <row r="902" ht="29.25" customHeight="1">
      <c r="A902" s="109"/>
      <c r="B902" s="109"/>
      <c r="C902" s="109"/>
      <c r="D902" s="109"/>
      <c r="E902" s="109"/>
      <c r="F902" s="109"/>
      <c r="G902" s="109"/>
      <c r="H902" s="109"/>
      <c r="I902" s="109"/>
      <c r="J902" s="109"/>
      <c r="K902" s="109"/>
      <c r="L902" s="109"/>
      <c r="M902" s="109"/>
      <c r="N902" s="109"/>
      <c r="O902" s="109"/>
      <c r="P902" s="109"/>
      <c r="Q902" s="109"/>
      <c r="R902" s="109"/>
      <c r="S902" s="109"/>
      <c r="T902" s="109"/>
      <c r="U902" s="109"/>
      <c r="V902" s="109"/>
      <c r="W902" s="109"/>
      <c r="X902" s="109"/>
      <c r="Y902" s="109"/>
      <c r="Z902" s="109"/>
    </row>
    <row r="903" ht="29.25" customHeight="1">
      <c r="A903" s="109"/>
      <c r="B903" s="109"/>
      <c r="C903" s="109"/>
      <c r="D903" s="109"/>
      <c r="E903" s="109"/>
      <c r="F903" s="109"/>
      <c r="G903" s="109"/>
      <c r="H903" s="109"/>
      <c r="I903" s="109"/>
      <c r="J903" s="109"/>
      <c r="K903" s="109"/>
      <c r="L903" s="109"/>
      <c r="M903" s="109"/>
      <c r="N903" s="109"/>
      <c r="O903" s="109"/>
      <c r="P903" s="109"/>
      <c r="Q903" s="109"/>
      <c r="R903" s="109"/>
      <c r="S903" s="109"/>
      <c r="T903" s="109"/>
      <c r="U903" s="109"/>
      <c r="V903" s="109"/>
      <c r="W903" s="109"/>
      <c r="X903" s="109"/>
      <c r="Y903" s="109"/>
      <c r="Z903" s="109"/>
    </row>
    <row r="904" ht="29.25" customHeight="1">
      <c r="A904" s="109"/>
      <c r="B904" s="109"/>
      <c r="C904" s="109"/>
      <c r="D904" s="109"/>
      <c r="E904" s="109"/>
      <c r="F904" s="109"/>
      <c r="G904" s="109"/>
      <c r="H904" s="109"/>
      <c r="I904" s="109"/>
      <c r="J904" s="109"/>
      <c r="K904" s="109"/>
      <c r="L904" s="109"/>
      <c r="M904" s="109"/>
      <c r="N904" s="109"/>
      <c r="O904" s="109"/>
      <c r="P904" s="109"/>
      <c r="Q904" s="109"/>
      <c r="R904" s="109"/>
      <c r="S904" s="109"/>
      <c r="T904" s="109"/>
      <c r="U904" s="109"/>
      <c r="V904" s="109"/>
      <c r="W904" s="109"/>
      <c r="X904" s="109"/>
      <c r="Y904" s="109"/>
      <c r="Z904" s="109"/>
    </row>
    <row r="905" ht="29.25" customHeight="1">
      <c r="A905" s="109"/>
      <c r="B905" s="109"/>
      <c r="C905" s="109"/>
      <c r="D905" s="109"/>
      <c r="E905" s="109"/>
      <c r="F905" s="109"/>
      <c r="G905" s="109"/>
      <c r="H905" s="109"/>
      <c r="I905" s="109"/>
      <c r="J905" s="109"/>
      <c r="K905" s="109"/>
      <c r="L905" s="109"/>
      <c r="M905" s="109"/>
      <c r="N905" s="109"/>
      <c r="O905" s="109"/>
      <c r="P905" s="109"/>
      <c r="Q905" s="109"/>
      <c r="R905" s="109"/>
      <c r="S905" s="109"/>
      <c r="T905" s="109"/>
      <c r="U905" s="109"/>
      <c r="V905" s="109"/>
      <c r="W905" s="109"/>
      <c r="X905" s="109"/>
      <c r="Y905" s="109"/>
      <c r="Z905" s="109"/>
    </row>
    <row r="906" ht="29.25" customHeight="1">
      <c r="A906" s="109"/>
      <c r="B906" s="109"/>
      <c r="C906" s="109"/>
      <c r="D906" s="109"/>
      <c r="E906" s="109"/>
      <c r="F906" s="109"/>
      <c r="G906" s="109"/>
      <c r="H906" s="109"/>
      <c r="I906" s="109"/>
      <c r="J906" s="109"/>
      <c r="K906" s="109"/>
      <c r="L906" s="109"/>
      <c r="M906" s="109"/>
      <c r="N906" s="109"/>
      <c r="O906" s="109"/>
      <c r="P906" s="109"/>
      <c r="Q906" s="109"/>
      <c r="R906" s="109"/>
      <c r="S906" s="109"/>
      <c r="T906" s="109"/>
      <c r="U906" s="109"/>
      <c r="V906" s="109"/>
      <c r="W906" s="109"/>
      <c r="X906" s="109"/>
      <c r="Y906" s="109"/>
      <c r="Z906" s="109"/>
    </row>
    <row r="907" ht="29.25" customHeight="1">
      <c r="A907" s="109"/>
      <c r="B907" s="109"/>
      <c r="C907" s="109"/>
      <c r="D907" s="109"/>
      <c r="E907" s="109"/>
      <c r="F907" s="109"/>
      <c r="G907" s="109"/>
      <c r="H907" s="109"/>
      <c r="I907" s="109"/>
      <c r="J907" s="109"/>
      <c r="K907" s="109"/>
      <c r="L907" s="109"/>
      <c r="M907" s="109"/>
      <c r="N907" s="109"/>
      <c r="O907" s="109"/>
      <c r="P907" s="109"/>
      <c r="Q907" s="109"/>
      <c r="R907" s="109"/>
      <c r="S907" s="109"/>
      <c r="T907" s="109"/>
      <c r="U907" s="109"/>
      <c r="V907" s="109"/>
      <c r="W907" s="109"/>
      <c r="X907" s="109"/>
      <c r="Y907" s="109"/>
      <c r="Z907" s="109"/>
    </row>
    <row r="908" ht="29.25" customHeight="1">
      <c r="A908" s="109"/>
      <c r="B908" s="109"/>
      <c r="C908" s="109"/>
      <c r="D908" s="109"/>
      <c r="E908" s="109"/>
      <c r="F908" s="109"/>
      <c r="G908" s="109"/>
      <c r="H908" s="109"/>
      <c r="I908" s="109"/>
      <c r="J908" s="109"/>
      <c r="K908" s="109"/>
      <c r="L908" s="109"/>
      <c r="M908" s="109"/>
      <c r="N908" s="109"/>
      <c r="O908" s="109"/>
      <c r="P908" s="109"/>
      <c r="Q908" s="109"/>
      <c r="R908" s="109"/>
      <c r="S908" s="109"/>
      <c r="T908" s="109"/>
      <c r="U908" s="109"/>
      <c r="V908" s="109"/>
      <c r="W908" s="109"/>
      <c r="X908" s="109"/>
      <c r="Y908" s="109"/>
      <c r="Z908" s="109"/>
    </row>
    <row r="909" ht="29.25" customHeight="1">
      <c r="A909" s="109"/>
      <c r="B909" s="109"/>
      <c r="C909" s="109"/>
      <c r="D909" s="109"/>
      <c r="E909" s="109"/>
      <c r="F909" s="109"/>
      <c r="G909" s="109"/>
      <c r="H909" s="109"/>
      <c r="I909" s="109"/>
      <c r="J909" s="109"/>
      <c r="K909" s="109"/>
      <c r="L909" s="109"/>
      <c r="M909" s="109"/>
      <c r="N909" s="109"/>
      <c r="O909" s="109"/>
      <c r="P909" s="109"/>
      <c r="Q909" s="109"/>
      <c r="R909" s="109"/>
      <c r="S909" s="109"/>
      <c r="T909" s="109"/>
      <c r="U909" s="109"/>
      <c r="V909" s="109"/>
      <c r="W909" s="109"/>
      <c r="X909" s="109"/>
      <c r="Y909" s="109"/>
      <c r="Z909" s="109"/>
    </row>
    <row r="910" ht="29.25" customHeight="1">
      <c r="A910" s="109"/>
      <c r="B910" s="109"/>
      <c r="C910" s="109"/>
      <c r="D910" s="109"/>
      <c r="E910" s="109"/>
      <c r="F910" s="109"/>
      <c r="G910" s="109"/>
      <c r="H910" s="109"/>
      <c r="I910" s="109"/>
      <c r="J910" s="109"/>
      <c r="K910" s="109"/>
      <c r="L910" s="109"/>
      <c r="M910" s="109"/>
      <c r="N910" s="109"/>
      <c r="O910" s="109"/>
      <c r="P910" s="109"/>
      <c r="Q910" s="109"/>
      <c r="R910" s="109"/>
      <c r="S910" s="109"/>
      <c r="T910" s="109"/>
      <c r="U910" s="109"/>
      <c r="V910" s="109"/>
      <c r="W910" s="109"/>
      <c r="X910" s="109"/>
      <c r="Y910" s="109"/>
      <c r="Z910" s="109"/>
    </row>
    <row r="911" ht="29.25" customHeight="1">
      <c r="A911" s="109"/>
      <c r="B911" s="109"/>
      <c r="C911" s="109"/>
      <c r="D911" s="109"/>
      <c r="E911" s="109"/>
      <c r="F911" s="109"/>
      <c r="G911" s="109"/>
      <c r="H911" s="109"/>
      <c r="I911" s="109"/>
      <c r="J911" s="109"/>
      <c r="K911" s="109"/>
      <c r="L911" s="109"/>
      <c r="M911" s="109"/>
      <c r="N911" s="109"/>
      <c r="O911" s="109"/>
      <c r="P911" s="109"/>
      <c r="Q911" s="109"/>
      <c r="R911" s="109"/>
      <c r="S911" s="109"/>
      <c r="T911" s="109"/>
      <c r="U911" s="109"/>
      <c r="V911" s="109"/>
      <c r="W911" s="109"/>
      <c r="X911" s="109"/>
      <c r="Y911" s="109"/>
      <c r="Z911" s="109"/>
    </row>
    <row r="912" ht="29.25" customHeight="1">
      <c r="A912" s="109"/>
      <c r="B912" s="109"/>
      <c r="C912" s="109"/>
      <c r="D912" s="109"/>
      <c r="E912" s="109"/>
      <c r="F912" s="109"/>
      <c r="G912" s="109"/>
      <c r="H912" s="109"/>
      <c r="I912" s="109"/>
      <c r="J912" s="109"/>
      <c r="K912" s="109"/>
      <c r="L912" s="109"/>
      <c r="M912" s="109"/>
      <c r="N912" s="109"/>
      <c r="O912" s="109"/>
      <c r="P912" s="109"/>
      <c r="Q912" s="109"/>
      <c r="R912" s="109"/>
      <c r="S912" s="109"/>
      <c r="T912" s="109"/>
      <c r="U912" s="109"/>
      <c r="V912" s="109"/>
      <c r="W912" s="109"/>
      <c r="X912" s="109"/>
      <c r="Y912" s="109"/>
      <c r="Z912" s="109"/>
    </row>
    <row r="913" ht="29.25" customHeight="1">
      <c r="A913" s="109"/>
      <c r="B913" s="109"/>
      <c r="C913" s="109"/>
      <c r="D913" s="109"/>
      <c r="E913" s="109"/>
      <c r="F913" s="109"/>
      <c r="G913" s="109"/>
      <c r="H913" s="109"/>
      <c r="I913" s="109"/>
      <c r="J913" s="109"/>
      <c r="K913" s="109"/>
      <c r="L913" s="109"/>
      <c r="M913" s="109"/>
      <c r="N913" s="109"/>
      <c r="O913" s="109"/>
      <c r="P913" s="109"/>
      <c r="Q913" s="109"/>
      <c r="R913" s="109"/>
      <c r="S913" s="109"/>
      <c r="T913" s="109"/>
      <c r="U913" s="109"/>
      <c r="V913" s="109"/>
      <c r="W913" s="109"/>
      <c r="X913" s="109"/>
      <c r="Y913" s="109"/>
      <c r="Z913" s="109"/>
    </row>
    <row r="914" ht="29.25" customHeight="1">
      <c r="A914" s="109"/>
      <c r="B914" s="109"/>
      <c r="C914" s="109"/>
      <c r="D914" s="109"/>
      <c r="E914" s="109"/>
      <c r="F914" s="109"/>
      <c r="G914" s="109"/>
      <c r="H914" s="109"/>
      <c r="I914" s="109"/>
      <c r="J914" s="109"/>
      <c r="K914" s="109"/>
      <c r="L914" s="109"/>
      <c r="M914" s="109"/>
      <c r="N914" s="109"/>
      <c r="O914" s="109"/>
      <c r="P914" s="109"/>
      <c r="Q914" s="109"/>
      <c r="R914" s="109"/>
      <c r="S914" s="109"/>
      <c r="T914" s="109"/>
      <c r="U914" s="109"/>
      <c r="V914" s="109"/>
      <c r="W914" s="109"/>
      <c r="X914" s="109"/>
      <c r="Y914" s="109"/>
      <c r="Z914" s="109"/>
    </row>
    <row r="915" ht="29.25" customHeight="1">
      <c r="A915" s="109"/>
      <c r="B915" s="109"/>
      <c r="C915" s="109"/>
      <c r="D915" s="109"/>
      <c r="E915" s="109"/>
      <c r="F915" s="109"/>
      <c r="G915" s="109"/>
      <c r="H915" s="109"/>
      <c r="I915" s="109"/>
      <c r="J915" s="109"/>
      <c r="K915" s="109"/>
      <c r="L915" s="109"/>
      <c r="M915" s="109"/>
      <c r="N915" s="109"/>
      <c r="O915" s="109"/>
      <c r="P915" s="109"/>
      <c r="Q915" s="109"/>
      <c r="R915" s="109"/>
      <c r="S915" s="109"/>
      <c r="T915" s="109"/>
      <c r="U915" s="109"/>
      <c r="V915" s="109"/>
      <c r="W915" s="109"/>
      <c r="X915" s="109"/>
      <c r="Y915" s="109"/>
      <c r="Z915" s="109"/>
    </row>
    <row r="916" ht="29.25" customHeight="1">
      <c r="A916" s="109"/>
      <c r="B916" s="109"/>
      <c r="C916" s="109"/>
      <c r="D916" s="109"/>
      <c r="E916" s="109"/>
      <c r="F916" s="109"/>
      <c r="G916" s="109"/>
      <c r="H916" s="109"/>
      <c r="I916" s="109"/>
      <c r="J916" s="109"/>
      <c r="K916" s="109"/>
      <c r="L916" s="109"/>
      <c r="M916" s="109"/>
      <c r="N916" s="109"/>
      <c r="O916" s="109"/>
      <c r="P916" s="109"/>
      <c r="Q916" s="109"/>
      <c r="R916" s="109"/>
      <c r="S916" s="109"/>
      <c r="T916" s="109"/>
      <c r="U916" s="109"/>
      <c r="V916" s="109"/>
      <c r="W916" s="109"/>
      <c r="X916" s="109"/>
      <c r="Y916" s="109"/>
      <c r="Z916" s="109"/>
    </row>
    <row r="917" ht="29.25" customHeight="1">
      <c r="A917" s="109"/>
      <c r="B917" s="109"/>
      <c r="C917" s="109"/>
      <c r="D917" s="109"/>
      <c r="E917" s="109"/>
      <c r="F917" s="109"/>
      <c r="G917" s="109"/>
      <c r="H917" s="109"/>
      <c r="I917" s="109"/>
      <c r="J917" s="109"/>
      <c r="K917" s="109"/>
      <c r="L917" s="109"/>
      <c r="M917" s="109"/>
      <c r="N917" s="109"/>
      <c r="O917" s="109"/>
      <c r="P917" s="109"/>
      <c r="Q917" s="109"/>
      <c r="R917" s="109"/>
      <c r="S917" s="109"/>
      <c r="T917" s="109"/>
      <c r="U917" s="109"/>
      <c r="V917" s="109"/>
      <c r="W917" s="109"/>
      <c r="X917" s="109"/>
      <c r="Y917" s="109"/>
      <c r="Z917" s="109"/>
    </row>
    <row r="918" ht="29.25" customHeight="1">
      <c r="A918" s="109"/>
      <c r="B918" s="109"/>
      <c r="C918" s="109"/>
      <c r="D918" s="109"/>
      <c r="E918" s="109"/>
      <c r="F918" s="109"/>
      <c r="G918" s="109"/>
      <c r="H918" s="109"/>
      <c r="I918" s="109"/>
      <c r="J918" s="109"/>
      <c r="K918" s="109"/>
      <c r="L918" s="109"/>
      <c r="M918" s="109"/>
      <c r="N918" s="109"/>
      <c r="O918" s="109"/>
      <c r="P918" s="109"/>
      <c r="Q918" s="109"/>
      <c r="R918" s="109"/>
      <c r="S918" s="109"/>
      <c r="T918" s="109"/>
      <c r="U918" s="109"/>
      <c r="V918" s="109"/>
      <c r="W918" s="109"/>
      <c r="X918" s="109"/>
      <c r="Y918" s="109"/>
      <c r="Z918" s="109"/>
    </row>
    <row r="919" ht="29.25" customHeight="1">
      <c r="A919" s="109"/>
      <c r="B919" s="109"/>
      <c r="C919" s="109"/>
      <c r="D919" s="109"/>
      <c r="E919" s="109"/>
      <c r="F919" s="109"/>
      <c r="G919" s="109"/>
      <c r="H919" s="109"/>
      <c r="I919" s="109"/>
      <c r="J919" s="109"/>
      <c r="K919" s="109"/>
      <c r="L919" s="109"/>
      <c r="M919" s="109"/>
      <c r="N919" s="109"/>
      <c r="O919" s="109"/>
      <c r="P919" s="109"/>
      <c r="Q919" s="109"/>
      <c r="R919" s="109"/>
      <c r="S919" s="109"/>
      <c r="T919" s="109"/>
      <c r="U919" s="109"/>
      <c r="V919" s="109"/>
      <c r="W919" s="109"/>
      <c r="X919" s="109"/>
      <c r="Y919" s="109"/>
      <c r="Z919" s="109"/>
    </row>
    <row r="920" ht="29.25" customHeight="1">
      <c r="A920" s="109"/>
      <c r="B920" s="109"/>
      <c r="C920" s="109"/>
      <c r="D920" s="109"/>
      <c r="E920" s="109"/>
      <c r="F920" s="109"/>
      <c r="G920" s="109"/>
      <c r="H920" s="109"/>
      <c r="I920" s="109"/>
      <c r="J920" s="109"/>
      <c r="K920" s="109"/>
      <c r="L920" s="109"/>
      <c r="M920" s="109"/>
      <c r="N920" s="109"/>
      <c r="O920" s="109"/>
      <c r="P920" s="109"/>
      <c r="Q920" s="109"/>
      <c r="R920" s="109"/>
      <c r="S920" s="109"/>
      <c r="T920" s="109"/>
      <c r="U920" s="109"/>
      <c r="V920" s="109"/>
      <c r="W920" s="109"/>
      <c r="X920" s="109"/>
      <c r="Y920" s="109"/>
      <c r="Z920" s="109"/>
    </row>
    <row r="921" ht="29.25" customHeight="1">
      <c r="A921" s="109"/>
      <c r="B921" s="109"/>
      <c r="C921" s="109"/>
      <c r="D921" s="109"/>
      <c r="E921" s="109"/>
      <c r="F921" s="109"/>
      <c r="G921" s="109"/>
      <c r="H921" s="109"/>
      <c r="I921" s="109"/>
      <c r="J921" s="109"/>
      <c r="K921" s="109"/>
      <c r="L921" s="109"/>
      <c r="M921" s="109"/>
      <c r="N921" s="109"/>
      <c r="O921" s="109"/>
      <c r="P921" s="109"/>
      <c r="Q921" s="109"/>
      <c r="R921" s="109"/>
      <c r="S921" s="109"/>
      <c r="T921" s="109"/>
      <c r="U921" s="109"/>
      <c r="V921" s="109"/>
      <c r="W921" s="109"/>
      <c r="X921" s="109"/>
      <c r="Y921" s="109"/>
      <c r="Z921" s="109"/>
    </row>
    <row r="922" ht="29.25" customHeight="1">
      <c r="A922" s="109"/>
      <c r="B922" s="109"/>
      <c r="C922" s="109"/>
      <c r="D922" s="109"/>
      <c r="E922" s="109"/>
      <c r="F922" s="109"/>
      <c r="G922" s="109"/>
      <c r="H922" s="109"/>
      <c r="I922" s="109"/>
      <c r="J922" s="109"/>
      <c r="K922" s="109"/>
      <c r="L922" s="109"/>
      <c r="M922" s="109"/>
      <c r="N922" s="109"/>
      <c r="O922" s="109"/>
      <c r="P922" s="109"/>
      <c r="Q922" s="109"/>
      <c r="R922" s="109"/>
      <c r="S922" s="109"/>
      <c r="T922" s="109"/>
      <c r="U922" s="109"/>
      <c r="V922" s="109"/>
      <c r="W922" s="109"/>
      <c r="X922" s="109"/>
      <c r="Y922" s="109"/>
      <c r="Z922" s="109"/>
    </row>
    <row r="923" ht="29.25" customHeight="1">
      <c r="A923" s="109"/>
      <c r="B923" s="109"/>
      <c r="C923" s="109"/>
      <c r="D923" s="109"/>
      <c r="E923" s="109"/>
      <c r="F923" s="109"/>
      <c r="G923" s="109"/>
      <c r="H923" s="109"/>
      <c r="I923" s="109"/>
      <c r="J923" s="109"/>
      <c r="K923" s="109"/>
      <c r="L923" s="109"/>
      <c r="M923" s="109"/>
      <c r="N923" s="109"/>
      <c r="O923" s="109"/>
      <c r="P923" s="109"/>
      <c r="Q923" s="109"/>
      <c r="R923" s="109"/>
      <c r="S923" s="109"/>
      <c r="T923" s="109"/>
      <c r="U923" s="109"/>
      <c r="V923" s="109"/>
      <c r="W923" s="109"/>
      <c r="X923" s="109"/>
      <c r="Y923" s="109"/>
      <c r="Z923" s="109"/>
    </row>
    <row r="924" ht="29.25" customHeight="1">
      <c r="A924" s="109"/>
      <c r="B924" s="109"/>
      <c r="C924" s="109"/>
      <c r="D924" s="109"/>
      <c r="E924" s="109"/>
      <c r="F924" s="109"/>
      <c r="G924" s="109"/>
      <c r="H924" s="109"/>
      <c r="I924" s="109"/>
      <c r="J924" s="109"/>
      <c r="K924" s="109"/>
      <c r="L924" s="109"/>
      <c r="M924" s="109"/>
      <c r="N924" s="109"/>
      <c r="O924" s="109"/>
      <c r="P924" s="109"/>
      <c r="Q924" s="109"/>
      <c r="R924" s="109"/>
      <c r="S924" s="109"/>
      <c r="T924" s="109"/>
      <c r="U924" s="109"/>
      <c r="V924" s="109"/>
      <c r="W924" s="109"/>
      <c r="X924" s="109"/>
      <c r="Y924" s="109"/>
      <c r="Z924" s="109"/>
    </row>
    <row r="925" ht="29.25" customHeight="1">
      <c r="A925" s="109"/>
      <c r="B925" s="109"/>
      <c r="C925" s="109"/>
      <c r="D925" s="109"/>
      <c r="E925" s="109"/>
      <c r="F925" s="109"/>
      <c r="G925" s="109"/>
      <c r="H925" s="109"/>
      <c r="I925" s="109"/>
      <c r="J925" s="109"/>
      <c r="K925" s="109"/>
      <c r="L925" s="109"/>
      <c r="M925" s="109"/>
      <c r="N925" s="109"/>
      <c r="O925" s="109"/>
      <c r="P925" s="109"/>
      <c r="Q925" s="109"/>
      <c r="R925" s="109"/>
      <c r="S925" s="109"/>
      <c r="T925" s="109"/>
      <c r="U925" s="109"/>
      <c r="V925" s="109"/>
      <c r="W925" s="109"/>
      <c r="X925" s="109"/>
      <c r="Y925" s="109"/>
      <c r="Z925" s="109"/>
    </row>
    <row r="926" ht="29.25" customHeight="1">
      <c r="A926" s="109"/>
      <c r="B926" s="109"/>
      <c r="C926" s="109"/>
      <c r="D926" s="109"/>
      <c r="E926" s="109"/>
      <c r="F926" s="109"/>
      <c r="G926" s="109"/>
      <c r="H926" s="109"/>
      <c r="I926" s="109"/>
      <c r="J926" s="109"/>
      <c r="K926" s="109"/>
      <c r="L926" s="109"/>
      <c r="M926" s="109"/>
      <c r="N926" s="109"/>
      <c r="O926" s="109"/>
      <c r="P926" s="109"/>
      <c r="Q926" s="109"/>
      <c r="R926" s="109"/>
      <c r="S926" s="109"/>
      <c r="T926" s="109"/>
      <c r="U926" s="109"/>
      <c r="V926" s="109"/>
      <c r="W926" s="109"/>
      <c r="X926" s="109"/>
      <c r="Y926" s="109"/>
      <c r="Z926" s="109"/>
    </row>
    <row r="927" ht="29.25" customHeight="1">
      <c r="A927" s="109"/>
      <c r="B927" s="109"/>
      <c r="C927" s="109"/>
      <c r="D927" s="109"/>
      <c r="E927" s="109"/>
      <c r="F927" s="109"/>
      <c r="G927" s="109"/>
      <c r="H927" s="109"/>
      <c r="I927" s="109"/>
      <c r="J927" s="109"/>
      <c r="K927" s="109"/>
      <c r="L927" s="109"/>
      <c r="M927" s="109"/>
      <c r="N927" s="109"/>
      <c r="O927" s="109"/>
      <c r="P927" s="109"/>
      <c r="Q927" s="109"/>
      <c r="R927" s="109"/>
      <c r="S927" s="109"/>
      <c r="T927" s="109"/>
      <c r="U927" s="109"/>
      <c r="V927" s="109"/>
      <c r="W927" s="109"/>
      <c r="X927" s="109"/>
      <c r="Y927" s="109"/>
      <c r="Z927" s="109"/>
    </row>
    <row r="928" ht="29.25" customHeight="1">
      <c r="A928" s="109"/>
      <c r="B928" s="109"/>
      <c r="C928" s="109"/>
      <c r="D928" s="109"/>
      <c r="E928" s="109"/>
      <c r="F928" s="109"/>
      <c r="G928" s="109"/>
      <c r="H928" s="109"/>
      <c r="I928" s="109"/>
      <c r="J928" s="109"/>
      <c r="K928" s="109"/>
      <c r="L928" s="109"/>
      <c r="M928" s="109"/>
      <c r="N928" s="109"/>
      <c r="O928" s="109"/>
      <c r="P928" s="109"/>
      <c r="Q928" s="109"/>
      <c r="R928" s="109"/>
      <c r="S928" s="109"/>
      <c r="T928" s="109"/>
      <c r="U928" s="109"/>
      <c r="V928" s="109"/>
      <c r="W928" s="109"/>
      <c r="X928" s="109"/>
      <c r="Y928" s="109"/>
      <c r="Z928" s="109"/>
    </row>
    <row r="929" ht="29.25" customHeight="1">
      <c r="A929" s="109"/>
      <c r="B929" s="109"/>
      <c r="C929" s="109"/>
      <c r="D929" s="109"/>
      <c r="E929" s="109"/>
      <c r="F929" s="109"/>
      <c r="G929" s="109"/>
      <c r="H929" s="109"/>
      <c r="I929" s="109"/>
      <c r="J929" s="109"/>
      <c r="K929" s="109"/>
      <c r="L929" s="109"/>
      <c r="M929" s="109"/>
      <c r="N929" s="109"/>
      <c r="O929" s="109"/>
      <c r="P929" s="109"/>
      <c r="Q929" s="109"/>
      <c r="R929" s="109"/>
      <c r="S929" s="109"/>
      <c r="T929" s="109"/>
      <c r="U929" s="109"/>
      <c r="V929" s="109"/>
      <c r="W929" s="109"/>
      <c r="X929" s="109"/>
      <c r="Y929" s="109"/>
      <c r="Z929" s="109"/>
    </row>
    <row r="930" ht="29.25" customHeight="1">
      <c r="A930" s="109"/>
      <c r="B930" s="109"/>
      <c r="C930" s="109"/>
      <c r="D930" s="109"/>
      <c r="E930" s="109"/>
      <c r="F930" s="109"/>
      <c r="G930" s="109"/>
      <c r="H930" s="109"/>
      <c r="I930" s="109"/>
      <c r="J930" s="109"/>
      <c r="K930" s="109"/>
      <c r="L930" s="109"/>
      <c r="M930" s="109"/>
      <c r="N930" s="109"/>
      <c r="O930" s="109"/>
      <c r="P930" s="109"/>
      <c r="Q930" s="109"/>
      <c r="R930" s="109"/>
      <c r="S930" s="109"/>
      <c r="T930" s="109"/>
      <c r="U930" s="109"/>
      <c r="V930" s="109"/>
      <c r="W930" s="109"/>
      <c r="X930" s="109"/>
      <c r="Y930" s="109"/>
      <c r="Z930" s="109"/>
    </row>
    <row r="931" ht="29.25" customHeight="1">
      <c r="A931" s="109"/>
      <c r="B931" s="109"/>
      <c r="C931" s="109"/>
      <c r="D931" s="109"/>
      <c r="E931" s="109"/>
      <c r="F931" s="109"/>
      <c r="G931" s="109"/>
      <c r="H931" s="109"/>
      <c r="I931" s="109"/>
      <c r="J931" s="109"/>
      <c r="K931" s="109"/>
      <c r="L931" s="109"/>
      <c r="M931" s="109"/>
      <c r="N931" s="109"/>
      <c r="O931" s="109"/>
      <c r="P931" s="109"/>
      <c r="Q931" s="109"/>
      <c r="R931" s="109"/>
      <c r="S931" s="109"/>
      <c r="T931" s="109"/>
      <c r="U931" s="109"/>
      <c r="V931" s="109"/>
      <c r="W931" s="109"/>
      <c r="X931" s="109"/>
      <c r="Y931" s="109"/>
      <c r="Z931" s="109"/>
    </row>
    <row r="932" ht="29.25" customHeight="1">
      <c r="A932" s="109"/>
      <c r="B932" s="109"/>
      <c r="C932" s="109"/>
      <c r="D932" s="109"/>
      <c r="E932" s="109"/>
      <c r="F932" s="109"/>
      <c r="G932" s="109"/>
      <c r="H932" s="109"/>
      <c r="I932" s="109"/>
      <c r="J932" s="109"/>
      <c r="K932" s="109"/>
      <c r="L932" s="109"/>
      <c r="M932" s="109"/>
      <c r="N932" s="109"/>
      <c r="O932" s="109"/>
      <c r="P932" s="109"/>
      <c r="Q932" s="109"/>
      <c r="R932" s="109"/>
      <c r="S932" s="109"/>
      <c r="T932" s="109"/>
      <c r="U932" s="109"/>
      <c r="V932" s="109"/>
      <c r="W932" s="109"/>
      <c r="X932" s="109"/>
      <c r="Y932" s="109"/>
      <c r="Z932" s="109"/>
    </row>
    <row r="933" ht="29.25" customHeight="1">
      <c r="A933" s="109"/>
      <c r="B933" s="109"/>
      <c r="C933" s="109"/>
      <c r="D933" s="109"/>
      <c r="E933" s="109"/>
      <c r="F933" s="109"/>
      <c r="G933" s="109"/>
      <c r="H933" s="109"/>
      <c r="I933" s="109"/>
      <c r="J933" s="109"/>
      <c r="K933" s="109"/>
      <c r="L933" s="109"/>
      <c r="M933" s="109"/>
      <c r="N933" s="109"/>
      <c r="O933" s="109"/>
      <c r="P933" s="109"/>
      <c r="Q933" s="109"/>
      <c r="R933" s="109"/>
      <c r="S933" s="109"/>
      <c r="T933" s="109"/>
      <c r="U933" s="109"/>
      <c r="V933" s="109"/>
      <c r="W933" s="109"/>
      <c r="X933" s="109"/>
      <c r="Y933" s="109"/>
      <c r="Z933" s="109"/>
    </row>
    <row r="934" ht="29.25" customHeight="1">
      <c r="A934" s="109"/>
      <c r="B934" s="109"/>
      <c r="C934" s="109"/>
      <c r="D934" s="109"/>
      <c r="E934" s="109"/>
      <c r="F934" s="109"/>
      <c r="G934" s="109"/>
      <c r="H934" s="109"/>
      <c r="I934" s="109"/>
      <c r="J934" s="109"/>
      <c r="K934" s="109"/>
      <c r="L934" s="109"/>
      <c r="M934" s="109"/>
      <c r="N934" s="109"/>
      <c r="O934" s="109"/>
      <c r="P934" s="109"/>
      <c r="Q934" s="109"/>
      <c r="R934" s="109"/>
      <c r="S934" s="109"/>
      <c r="T934" s="109"/>
      <c r="U934" s="109"/>
      <c r="V934" s="109"/>
      <c r="W934" s="109"/>
      <c r="X934" s="109"/>
      <c r="Y934" s="109"/>
      <c r="Z934" s="109"/>
    </row>
    <row r="935" ht="29.25" customHeight="1">
      <c r="A935" s="109"/>
      <c r="B935" s="109"/>
      <c r="C935" s="109"/>
      <c r="D935" s="109"/>
      <c r="E935" s="109"/>
      <c r="F935" s="109"/>
      <c r="G935" s="109"/>
      <c r="H935" s="109"/>
      <c r="I935" s="109"/>
      <c r="J935" s="109"/>
      <c r="K935" s="109"/>
      <c r="L935" s="109"/>
      <c r="M935" s="109"/>
      <c r="N935" s="109"/>
      <c r="O935" s="109"/>
      <c r="P935" s="109"/>
      <c r="Q935" s="109"/>
      <c r="R935" s="109"/>
      <c r="S935" s="109"/>
      <c r="T935" s="109"/>
      <c r="U935" s="109"/>
      <c r="V935" s="109"/>
      <c r="W935" s="109"/>
      <c r="X935" s="109"/>
      <c r="Y935" s="109"/>
      <c r="Z935" s="109"/>
    </row>
    <row r="936" ht="29.25" customHeight="1">
      <c r="A936" s="109"/>
      <c r="B936" s="109"/>
      <c r="C936" s="109"/>
      <c r="D936" s="109"/>
      <c r="E936" s="109"/>
      <c r="F936" s="109"/>
      <c r="G936" s="109"/>
      <c r="H936" s="109"/>
      <c r="I936" s="109"/>
      <c r="J936" s="109"/>
      <c r="K936" s="109"/>
      <c r="L936" s="109"/>
      <c r="M936" s="109"/>
      <c r="N936" s="109"/>
      <c r="O936" s="109"/>
      <c r="P936" s="109"/>
      <c r="Q936" s="109"/>
      <c r="R936" s="109"/>
      <c r="S936" s="109"/>
      <c r="T936" s="109"/>
      <c r="U936" s="109"/>
      <c r="V936" s="109"/>
      <c r="W936" s="109"/>
      <c r="X936" s="109"/>
      <c r="Y936" s="109"/>
      <c r="Z936" s="109"/>
    </row>
    <row r="937" ht="29.25" customHeight="1">
      <c r="A937" s="109"/>
      <c r="B937" s="109"/>
      <c r="C937" s="109"/>
      <c r="D937" s="109"/>
      <c r="E937" s="109"/>
      <c r="F937" s="109"/>
      <c r="G937" s="109"/>
      <c r="H937" s="109"/>
      <c r="I937" s="109"/>
      <c r="J937" s="109"/>
      <c r="K937" s="109"/>
      <c r="L937" s="109"/>
      <c r="M937" s="109"/>
      <c r="N937" s="109"/>
      <c r="O937" s="109"/>
      <c r="P937" s="109"/>
      <c r="Q937" s="109"/>
      <c r="R937" s="109"/>
      <c r="S937" s="109"/>
      <c r="T937" s="109"/>
      <c r="U937" s="109"/>
      <c r="V937" s="109"/>
      <c r="W937" s="109"/>
      <c r="X937" s="109"/>
      <c r="Y937" s="109"/>
      <c r="Z937" s="109"/>
    </row>
    <row r="938" ht="29.25" customHeight="1">
      <c r="A938" s="109"/>
      <c r="B938" s="109"/>
      <c r="C938" s="109"/>
      <c r="D938" s="109"/>
      <c r="E938" s="109"/>
      <c r="F938" s="109"/>
      <c r="G938" s="109"/>
      <c r="H938" s="109"/>
      <c r="I938" s="109"/>
      <c r="J938" s="109"/>
      <c r="K938" s="109"/>
      <c r="L938" s="109"/>
      <c r="M938" s="109"/>
      <c r="N938" s="109"/>
      <c r="O938" s="109"/>
      <c r="P938" s="109"/>
      <c r="Q938" s="109"/>
      <c r="R938" s="109"/>
      <c r="S938" s="109"/>
      <c r="T938" s="109"/>
      <c r="U938" s="109"/>
      <c r="V938" s="109"/>
      <c r="W938" s="109"/>
      <c r="X938" s="109"/>
      <c r="Y938" s="109"/>
      <c r="Z938" s="109"/>
    </row>
    <row r="939" ht="29.25" customHeight="1">
      <c r="A939" s="109"/>
      <c r="B939" s="109"/>
      <c r="C939" s="109"/>
      <c r="D939" s="109"/>
      <c r="E939" s="109"/>
      <c r="F939" s="109"/>
      <c r="G939" s="109"/>
      <c r="H939" s="109"/>
      <c r="I939" s="109"/>
      <c r="J939" s="109"/>
      <c r="K939" s="109"/>
      <c r="L939" s="109"/>
      <c r="M939" s="109"/>
      <c r="N939" s="109"/>
      <c r="O939" s="109"/>
      <c r="P939" s="109"/>
      <c r="Q939" s="109"/>
      <c r="R939" s="109"/>
      <c r="S939" s="109"/>
      <c r="T939" s="109"/>
      <c r="U939" s="109"/>
      <c r="V939" s="109"/>
      <c r="W939" s="109"/>
      <c r="X939" s="109"/>
      <c r="Y939" s="109"/>
      <c r="Z939" s="109"/>
    </row>
    <row r="940" ht="29.25" customHeight="1">
      <c r="A940" s="109"/>
      <c r="B940" s="109"/>
      <c r="C940" s="109"/>
      <c r="D940" s="109"/>
      <c r="E940" s="109"/>
      <c r="F940" s="109"/>
      <c r="G940" s="109"/>
      <c r="H940" s="109"/>
      <c r="I940" s="109"/>
      <c r="J940" s="109"/>
      <c r="K940" s="109"/>
      <c r="L940" s="109"/>
      <c r="M940" s="109"/>
      <c r="N940" s="109"/>
      <c r="O940" s="109"/>
      <c r="P940" s="109"/>
      <c r="Q940" s="109"/>
      <c r="R940" s="109"/>
      <c r="S940" s="109"/>
      <c r="T940" s="109"/>
      <c r="U940" s="109"/>
      <c r="V940" s="109"/>
      <c r="W940" s="109"/>
      <c r="X940" s="109"/>
      <c r="Y940" s="109"/>
      <c r="Z940" s="109"/>
    </row>
    <row r="941" ht="29.25" customHeight="1">
      <c r="A941" s="109"/>
      <c r="B941" s="109"/>
      <c r="C941" s="109"/>
      <c r="D941" s="109"/>
      <c r="E941" s="109"/>
      <c r="F941" s="109"/>
      <c r="G941" s="109"/>
      <c r="H941" s="109"/>
      <c r="I941" s="109"/>
      <c r="J941" s="109"/>
      <c r="K941" s="109"/>
      <c r="L941" s="109"/>
      <c r="M941" s="109"/>
      <c r="N941" s="109"/>
      <c r="O941" s="109"/>
      <c r="P941" s="109"/>
      <c r="Q941" s="109"/>
      <c r="R941" s="109"/>
      <c r="S941" s="109"/>
      <c r="T941" s="109"/>
      <c r="U941" s="109"/>
      <c r="V941" s="109"/>
      <c r="W941" s="109"/>
      <c r="X941" s="109"/>
      <c r="Y941" s="109"/>
      <c r="Z941" s="109"/>
    </row>
    <row r="942" ht="29.25" customHeight="1">
      <c r="A942" s="109"/>
      <c r="B942" s="109"/>
      <c r="C942" s="109"/>
      <c r="D942" s="109"/>
      <c r="E942" s="109"/>
      <c r="F942" s="109"/>
      <c r="G942" s="109"/>
      <c r="H942" s="109"/>
      <c r="I942" s="109"/>
      <c r="J942" s="109"/>
      <c r="K942" s="109"/>
      <c r="L942" s="109"/>
      <c r="M942" s="109"/>
      <c r="N942" s="109"/>
      <c r="O942" s="109"/>
      <c r="P942" s="109"/>
      <c r="Q942" s="109"/>
      <c r="R942" s="109"/>
      <c r="S942" s="109"/>
      <c r="T942" s="109"/>
      <c r="U942" s="109"/>
      <c r="V942" s="109"/>
      <c r="W942" s="109"/>
      <c r="X942" s="109"/>
      <c r="Y942" s="109"/>
      <c r="Z942" s="109"/>
    </row>
    <row r="943" ht="29.25" customHeight="1">
      <c r="A943" s="109"/>
      <c r="B943" s="109"/>
      <c r="C943" s="109"/>
      <c r="D943" s="109"/>
      <c r="E943" s="109"/>
      <c r="F943" s="109"/>
      <c r="G943" s="109"/>
      <c r="H943" s="109"/>
      <c r="I943" s="109"/>
      <c r="J943" s="109"/>
      <c r="K943" s="109"/>
      <c r="L943" s="109"/>
      <c r="M943" s="109"/>
      <c r="N943" s="109"/>
      <c r="O943" s="109"/>
      <c r="P943" s="109"/>
      <c r="Q943" s="109"/>
      <c r="R943" s="109"/>
      <c r="S943" s="109"/>
      <c r="T943" s="109"/>
      <c r="U943" s="109"/>
      <c r="V943" s="109"/>
      <c r="W943" s="109"/>
      <c r="X943" s="109"/>
      <c r="Y943" s="109"/>
      <c r="Z943" s="109"/>
    </row>
    <row r="944" ht="29.25" customHeight="1">
      <c r="A944" s="109"/>
      <c r="B944" s="109"/>
      <c r="C944" s="109"/>
      <c r="D944" s="109"/>
      <c r="E944" s="109"/>
      <c r="F944" s="109"/>
      <c r="G944" s="109"/>
      <c r="H944" s="109"/>
      <c r="I944" s="109"/>
      <c r="J944" s="109"/>
      <c r="K944" s="109"/>
      <c r="L944" s="109"/>
      <c r="M944" s="109"/>
      <c r="N944" s="109"/>
      <c r="O944" s="109"/>
      <c r="P944" s="109"/>
      <c r="Q944" s="109"/>
      <c r="R944" s="109"/>
      <c r="S944" s="109"/>
      <c r="T944" s="109"/>
      <c r="U944" s="109"/>
      <c r="V944" s="109"/>
      <c r="W944" s="109"/>
      <c r="X944" s="109"/>
      <c r="Y944" s="109"/>
      <c r="Z944" s="109"/>
    </row>
    <row r="945" ht="29.25" customHeight="1">
      <c r="A945" s="109"/>
      <c r="B945" s="109"/>
      <c r="C945" s="109"/>
      <c r="D945" s="109"/>
      <c r="E945" s="109"/>
      <c r="F945" s="109"/>
      <c r="G945" s="109"/>
      <c r="H945" s="109"/>
      <c r="I945" s="109"/>
      <c r="J945" s="109"/>
      <c r="K945" s="109"/>
      <c r="L945" s="109"/>
      <c r="M945" s="109"/>
      <c r="N945" s="109"/>
      <c r="O945" s="109"/>
      <c r="P945" s="109"/>
      <c r="Q945" s="109"/>
      <c r="R945" s="109"/>
      <c r="S945" s="109"/>
      <c r="T945" s="109"/>
      <c r="U945" s="109"/>
      <c r="V945" s="109"/>
      <c r="W945" s="109"/>
      <c r="X945" s="109"/>
      <c r="Y945" s="109"/>
      <c r="Z945" s="109"/>
    </row>
    <row r="946" ht="29.25" customHeight="1">
      <c r="A946" s="109"/>
      <c r="B946" s="109"/>
      <c r="C946" s="109"/>
      <c r="D946" s="109"/>
      <c r="E946" s="109"/>
      <c r="F946" s="109"/>
      <c r="G946" s="109"/>
      <c r="H946" s="109"/>
      <c r="I946" s="109"/>
      <c r="J946" s="109"/>
      <c r="K946" s="109"/>
      <c r="L946" s="109"/>
      <c r="M946" s="109"/>
      <c r="N946" s="109"/>
      <c r="O946" s="109"/>
      <c r="P946" s="109"/>
      <c r="Q946" s="109"/>
      <c r="R946" s="109"/>
      <c r="S946" s="109"/>
      <c r="T946" s="109"/>
      <c r="U946" s="109"/>
      <c r="V946" s="109"/>
      <c r="W946" s="109"/>
      <c r="X946" s="109"/>
      <c r="Y946" s="109"/>
      <c r="Z946" s="109"/>
    </row>
    <row r="947" ht="29.25" customHeight="1">
      <c r="A947" s="109"/>
      <c r="B947" s="109"/>
      <c r="C947" s="109"/>
      <c r="D947" s="109"/>
      <c r="E947" s="109"/>
      <c r="F947" s="109"/>
      <c r="G947" s="109"/>
      <c r="H947" s="109"/>
      <c r="I947" s="109"/>
      <c r="J947" s="109"/>
      <c r="K947" s="109"/>
      <c r="L947" s="109"/>
      <c r="M947" s="109"/>
      <c r="N947" s="109"/>
      <c r="O947" s="109"/>
      <c r="P947" s="109"/>
      <c r="Q947" s="109"/>
      <c r="R947" s="109"/>
      <c r="S947" s="109"/>
      <c r="T947" s="109"/>
      <c r="U947" s="109"/>
      <c r="V947" s="109"/>
      <c r="W947" s="109"/>
      <c r="X947" s="109"/>
      <c r="Y947" s="109"/>
      <c r="Z947" s="109"/>
    </row>
    <row r="948" ht="29.25" customHeight="1">
      <c r="A948" s="109"/>
      <c r="B948" s="109"/>
      <c r="C948" s="109"/>
      <c r="D948" s="109"/>
      <c r="E948" s="109"/>
      <c r="F948" s="109"/>
      <c r="G948" s="109"/>
      <c r="H948" s="109"/>
      <c r="I948" s="109"/>
      <c r="J948" s="109"/>
      <c r="K948" s="109"/>
      <c r="L948" s="109"/>
      <c r="M948" s="109"/>
      <c r="N948" s="109"/>
      <c r="O948" s="109"/>
      <c r="P948" s="109"/>
      <c r="Q948" s="109"/>
      <c r="R948" s="109"/>
      <c r="S948" s="109"/>
      <c r="T948" s="109"/>
      <c r="U948" s="109"/>
      <c r="V948" s="109"/>
      <c r="W948" s="109"/>
      <c r="X948" s="109"/>
      <c r="Y948" s="109"/>
      <c r="Z948" s="109"/>
    </row>
    <row r="949" ht="29.25" customHeight="1">
      <c r="A949" s="109"/>
      <c r="B949" s="109"/>
      <c r="C949" s="109"/>
      <c r="D949" s="109"/>
      <c r="E949" s="109"/>
      <c r="F949" s="109"/>
      <c r="G949" s="109"/>
      <c r="H949" s="109"/>
      <c r="I949" s="109"/>
      <c r="J949" s="109"/>
      <c r="K949" s="109"/>
      <c r="L949" s="109"/>
      <c r="M949" s="109"/>
      <c r="N949" s="109"/>
      <c r="O949" s="109"/>
      <c r="P949" s="109"/>
      <c r="Q949" s="109"/>
      <c r="R949" s="109"/>
      <c r="S949" s="109"/>
      <c r="T949" s="109"/>
      <c r="U949" s="109"/>
      <c r="V949" s="109"/>
      <c r="W949" s="109"/>
      <c r="X949" s="109"/>
      <c r="Y949" s="109"/>
      <c r="Z949" s="109"/>
    </row>
    <row r="950" ht="29.25" customHeight="1">
      <c r="A950" s="109"/>
      <c r="B950" s="109"/>
      <c r="C950" s="109"/>
      <c r="D950" s="109"/>
      <c r="E950" s="109"/>
      <c r="F950" s="109"/>
      <c r="G950" s="109"/>
      <c r="H950" s="109"/>
      <c r="I950" s="109"/>
      <c r="J950" s="109"/>
      <c r="K950" s="109"/>
      <c r="L950" s="109"/>
      <c r="M950" s="109"/>
      <c r="N950" s="109"/>
      <c r="O950" s="109"/>
      <c r="P950" s="109"/>
      <c r="Q950" s="109"/>
      <c r="R950" s="109"/>
      <c r="S950" s="109"/>
      <c r="T950" s="109"/>
      <c r="U950" s="109"/>
      <c r="V950" s="109"/>
      <c r="W950" s="109"/>
      <c r="X950" s="109"/>
      <c r="Y950" s="109"/>
      <c r="Z950" s="109"/>
    </row>
    <row r="951" ht="29.25" customHeight="1">
      <c r="A951" s="109"/>
      <c r="B951" s="109"/>
      <c r="C951" s="109"/>
      <c r="D951" s="109"/>
      <c r="E951" s="109"/>
      <c r="F951" s="109"/>
      <c r="G951" s="109"/>
      <c r="H951" s="109"/>
      <c r="I951" s="109"/>
      <c r="J951" s="109"/>
      <c r="K951" s="109"/>
      <c r="L951" s="109"/>
      <c r="M951" s="109"/>
      <c r="N951" s="109"/>
      <c r="O951" s="109"/>
      <c r="P951" s="109"/>
      <c r="Q951" s="109"/>
      <c r="R951" s="109"/>
      <c r="S951" s="109"/>
      <c r="T951" s="109"/>
      <c r="U951" s="109"/>
      <c r="V951" s="109"/>
      <c r="W951" s="109"/>
      <c r="X951" s="109"/>
      <c r="Y951" s="109"/>
      <c r="Z951" s="109"/>
    </row>
    <row r="952" ht="29.25" customHeight="1">
      <c r="A952" s="109"/>
      <c r="B952" s="109"/>
      <c r="C952" s="109"/>
      <c r="D952" s="109"/>
      <c r="E952" s="109"/>
      <c r="F952" s="109"/>
      <c r="G952" s="109"/>
      <c r="H952" s="109"/>
      <c r="I952" s="109"/>
      <c r="J952" s="109"/>
      <c r="K952" s="109"/>
      <c r="L952" s="109"/>
      <c r="M952" s="109"/>
      <c r="N952" s="109"/>
      <c r="O952" s="109"/>
      <c r="P952" s="109"/>
      <c r="Q952" s="109"/>
      <c r="R952" s="109"/>
      <c r="S952" s="109"/>
      <c r="T952" s="109"/>
      <c r="U952" s="109"/>
      <c r="V952" s="109"/>
      <c r="W952" s="109"/>
      <c r="X952" s="109"/>
      <c r="Y952" s="109"/>
      <c r="Z952" s="109"/>
    </row>
    <row r="953" ht="29.25" customHeight="1">
      <c r="A953" s="109"/>
      <c r="B953" s="109"/>
      <c r="C953" s="109"/>
      <c r="D953" s="109"/>
      <c r="E953" s="109"/>
      <c r="F953" s="109"/>
      <c r="G953" s="109"/>
      <c r="H953" s="109"/>
      <c r="I953" s="109"/>
      <c r="J953" s="109"/>
      <c r="K953" s="109"/>
      <c r="L953" s="109"/>
      <c r="M953" s="109"/>
      <c r="N953" s="109"/>
      <c r="O953" s="109"/>
      <c r="P953" s="109"/>
      <c r="Q953" s="109"/>
      <c r="R953" s="109"/>
      <c r="S953" s="109"/>
      <c r="T953" s="109"/>
      <c r="U953" s="109"/>
      <c r="V953" s="109"/>
      <c r="W953" s="109"/>
      <c r="X953" s="109"/>
      <c r="Y953" s="109"/>
      <c r="Z953" s="109"/>
    </row>
    <row r="954" ht="29.25" customHeight="1">
      <c r="A954" s="109"/>
      <c r="B954" s="109"/>
      <c r="C954" s="109"/>
      <c r="D954" s="109"/>
      <c r="E954" s="109"/>
      <c r="F954" s="109"/>
      <c r="G954" s="109"/>
      <c r="H954" s="109"/>
      <c r="I954" s="109"/>
      <c r="J954" s="109"/>
      <c r="K954" s="109"/>
      <c r="L954" s="109"/>
      <c r="M954" s="109"/>
      <c r="N954" s="109"/>
      <c r="O954" s="109"/>
      <c r="P954" s="109"/>
      <c r="Q954" s="109"/>
      <c r="R954" s="109"/>
      <c r="S954" s="109"/>
      <c r="T954" s="109"/>
      <c r="U954" s="109"/>
      <c r="V954" s="109"/>
      <c r="W954" s="109"/>
      <c r="X954" s="109"/>
      <c r="Y954" s="109"/>
      <c r="Z954" s="109"/>
    </row>
    <row r="955" ht="29.25" customHeight="1">
      <c r="A955" s="109"/>
      <c r="B955" s="109"/>
      <c r="C955" s="109"/>
      <c r="D955" s="109"/>
      <c r="E955" s="109"/>
      <c r="F955" s="109"/>
      <c r="G955" s="109"/>
      <c r="H955" s="109"/>
      <c r="I955" s="109"/>
      <c r="J955" s="109"/>
      <c r="K955" s="109"/>
      <c r="L955" s="109"/>
      <c r="M955" s="109"/>
      <c r="N955" s="109"/>
      <c r="O955" s="109"/>
      <c r="P955" s="109"/>
      <c r="Q955" s="109"/>
      <c r="R955" s="109"/>
      <c r="S955" s="109"/>
      <c r="T955" s="109"/>
      <c r="U955" s="109"/>
      <c r="V955" s="109"/>
      <c r="W955" s="109"/>
      <c r="X955" s="109"/>
      <c r="Y955" s="109"/>
      <c r="Z955" s="109"/>
    </row>
    <row r="956" ht="29.25" customHeight="1">
      <c r="A956" s="109"/>
      <c r="B956" s="109"/>
      <c r="C956" s="109"/>
      <c r="D956" s="109"/>
      <c r="E956" s="109"/>
      <c r="F956" s="109"/>
      <c r="G956" s="109"/>
      <c r="H956" s="109"/>
      <c r="I956" s="109"/>
      <c r="J956" s="109"/>
      <c r="K956" s="109"/>
      <c r="L956" s="109"/>
      <c r="M956" s="109"/>
      <c r="N956" s="109"/>
      <c r="O956" s="109"/>
      <c r="P956" s="109"/>
      <c r="Q956" s="109"/>
      <c r="R956" s="109"/>
      <c r="S956" s="109"/>
      <c r="T956" s="109"/>
      <c r="U956" s="109"/>
      <c r="V956" s="109"/>
      <c r="W956" s="109"/>
      <c r="X956" s="109"/>
      <c r="Y956" s="109"/>
      <c r="Z956" s="109"/>
    </row>
    <row r="957" ht="29.25" customHeight="1">
      <c r="A957" s="109"/>
      <c r="B957" s="109"/>
      <c r="C957" s="109"/>
      <c r="D957" s="109"/>
      <c r="E957" s="109"/>
      <c r="F957" s="109"/>
      <c r="G957" s="109"/>
      <c r="H957" s="109"/>
      <c r="I957" s="109"/>
      <c r="J957" s="109"/>
      <c r="K957" s="109"/>
      <c r="L957" s="109"/>
      <c r="M957" s="109"/>
      <c r="N957" s="109"/>
      <c r="O957" s="109"/>
      <c r="P957" s="109"/>
      <c r="Q957" s="109"/>
      <c r="R957" s="109"/>
      <c r="S957" s="109"/>
      <c r="T957" s="109"/>
      <c r="U957" s="109"/>
      <c r="V957" s="109"/>
      <c r="W957" s="109"/>
      <c r="X957" s="109"/>
      <c r="Y957" s="109"/>
      <c r="Z957" s="109"/>
    </row>
    <row r="958" ht="29.25" customHeight="1">
      <c r="A958" s="109"/>
      <c r="B958" s="109"/>
      <c r="C958" s="109"/>
      <c r="D958" s="109"/>
      <c r="E958" s="109"/>
      <c r="F958" s="109"/>
      <c r="G958" s="109"/>
      <c r="H958" s="109"/>
      <c r="I958" s="109"/>
      <c r="J958" s="109"/>
      <c r="K958" s="109"/>
      <c r="L958" s="109"/>
      <c r="M958" s="109"/>
      <c r="N958" s="109"/>
      <c r="O958" s="109"/>
      <c r="P958" s="109"/>
      <c r="Q958" s="109"/>
      <c r="R958" s="109"/>
      <c r="S958" s="109"/>
      <c r="T958" s="109"/>
      <c r="U958" s="109"/>
      <c r="V958" s="109"/>
      <c r="W958" s="109"/>
      <c r="X958" s="109"/>
      <c r="Y958" s="109"/>
      <c r="Z958" s="109"/>
    </row>
    <row r="959" ht="29.25" customHeight="1">
      <c r="A959" s="109"/>
      <c r="B959" s="109"/>
      <c r="C959" s="109"/>
      <c r="D959" s="109"/>
      <c r="E959" s="109"/>
      <c r="F959" s="109"/>
      <c r="G959" s="109"/>
      <c r="H959" s="109"/>
      <c r="I959" s="109"/>
      <c r="J959" s="109"/>
      <c r="K959" s="109"/>
      <c r="L959" s="109"/>
      <c r="M959" s="109"/>
      <c r="N959" s="109"/>
      <c r="O959" s="109"/>
      <c r="P959" s="109"/>
      <c r="Q959" s="109"/>
      <c r="R959" s="109"/>
      <c r="S959" s="109"/>
      <c r="T959" s="109"/>
      <c r="U959" s="109"/>
      <c r="V959" s="109"/>
      <c r="W959" s="109"/>
      <c r="X959" s="109"/>
      <c r="Y959" s="109"/>
      <c r="Z959" s="109"/>
    </row>
    <row r="960" ht="29.25" customHeight="1">
      <c r="A960" s="109"/>
      <c r="B960" s="109"/>
      <c r="C960" s="109"/>
      <c r="D960" s="109"/>
      <c r="E960" s="109"/>
      <c r="F960" s="109"/>
      <c r="G960" s="109"/>
      <c r="H960" s="109"/>
      <c r="I960" s="109"/>
      <c r="J960" s="109"/>
      <c r="K960" s="109"/>
      <c r="L960" s="109"/>
      <c r="M960" s="109"/>
      <c r="N960" s="109"/>
      <c r="O960" s="109"/>
      <c r="P960" s="109"/>
      <c r="Q960" s="109"/>
      <c r="R960" s="109"/>
      <c r="S960" s="109"/>
      <c r="T960" s="109"/>
      <c r="U960" s="109"/>
      <c r="V960" s="109"/>
      <c r="W960" s="109"/>
      <c r="X960" s="109"/>
      <c r="Y960" s="109"/>
      <c r="Z960" s="109"/>
    </row>
    <row r="961" ht="29.25" customHeight="1">
      <c r="A961" s="109"/>
      <c r="B961" s="109"/>
      <c r="C961" s="109"/>
      <c r="D961" s="109"/>
      <c r="E961" s="109"/>
      <c r="F961" s="109"/>
      <c r="G961" s="109"/>
      <c r="H961" s="109"/>
      <c r="I961" s="109"/>
      <c r="J961" s="109"/>
      <c r="K961" s="109"/>
      <c r="L961" s="109"/>
      <c r="M961" s="109"/>
      <c r="N961" s="109"/>
      <c r="O961" s="109"/>
      <c r="P961" s="109"/>
      <c r="Q961" s="109"/>
      <c r="R961" s="109"/>
      <c r="S961" s="109"/>
      <c r="T961" s="109"/>
      <c r="U961" s="109"/>
      <c r="V961" s="109"/>
      <c r="W961" s="109"/>
      <c r="X961" s="109"/>
      <c r="Y961" s="109"/>
      <c r="Z961" s="109"/>
    </row>
    <row r="962" ht="29.25" customHeight="1">
      <c r="A962" s="109"/>
      <c r="B962" s="109"/>
      <c r="C962" s="109"/>
      <c r="D962" s="109"/>
      <c r="E962" s="109"/>
      <c r="F962" s="109"/>
      <c r="G962" s="109"/>
      <c r="H962" s="109"/>
      <c r="I962" s="109"/>
      <c r="J962" s="109"/>
      <c r="K962" s="109"/>
      <c r="L962" s="109"/>
      <c r="M962" s="109"/>
      <c r="N962" s="109"/>
      <c r="O962" s="109"/>
      <c r="P962" s="109"/>
      <c r="Q962" s="109"/>
      <c r="R962" s="109"/>
      <c r="S962" s="109"/>
      <c r="T962" s="109"/>
      <c r="U962" s="109"/>
      <c r="V962" s="109"/>
      <c r="W962" s="109"/>
      <c r="X962" s="109"/>
      <c r="Y962" s="109"/>
      <c r="Z962" s="109"/>
    </row>
    <row r="963" ht="29.25" customHeight="1">
      <c r="A963" s="109"/>
      <c r="B963" s="109"/>
      <c r="C963" s="109"/>
      <c r="D963" s="109"/>
      <c r="E963" s="109"/>
      <c r="F963" s="109"/>
      <c r="G963" s="109"/>
      <c r="H963" s="109"/>
      <c r="I963" s="109"/>
      <c r="J963" s="109"/>
      <c r="K963" s="109"/>
      <c r="L963" s="109"/>
      <c r="M963" s="109"/>
      <c r="N963" s="109"/>
      <c r="O963" s="109"/>
      <c r="P963" s="109"/>
      <c r="Q963" s="109"/>
      <c r="R963" s="109"/>
      <c r="S963" s="109"/>
      <c r="T963" s="109"/>
      <c r="U963" s="109"/>
      <c r="V963" s="109"/>
      <c r="W963" s="109"/>
      <c r="X963" s="109"/>
      <c r="Y963" s="109"/>
      <c r="Z963" s="109"/>
    </row>
    <row r="964" ht="29.25" customHeight="1">
      <c r="A964" s="109"/>
      <c r="B964" s="109"/>
      <c r="C964" s="109"/>
      <c r="D964" s="109"/>
      <c r="E964" s="109"/>
      <c r="F964" s="109"/>
      <c r="G964" s="109"/>
      <c r="H964" s="109"/>
      <c r="I964" s="109"/>
      <c r="J964" s="109"/>
      <c r="K964" s="109"/>
      <c r="L964" s="109"/>
      <c r="M964" s="109"/>
      <c r="N964" s="109"/>
      <c r="O964" s="109"/>
      <c r="P964" s="109"/>
      <c r="Q964" s="109"/>
      <c r="R964" s="109"/>
      <c r="S964" s="109"/>
      <c r="T964" s="109"/>
      <c r="U964" s="109"/>
      <c r="V964" s="109"/>
      <c r="W964" s="109"/>
      <c r="X964" s="109"/>
      <c r="Y964" s="109"/>
      <c r="Z964" s="109"/>
    </row>
    <row r="965" ht="29.25" customHeight="1">
      <c r="A965" s="109"/>
      <c r="B965" s="109"/>
      <c r="C965" s="109"/>
      <c r="D965" s="109"/>
      <c r="E965" s="109"/>
      <c r="F965" s="109"/>
      <c r="G965" s="109"/>
      <c r="H965" s="109"/>
      <c r="I965" s="109"/>
      <c r="J965" s="109"/>
      <c r="K965" s="109"/>
      <c r="L965" s="109"/>
      <c r="M965" s="109"/>
      <c r="N965" s="109"/>
      <c r="O965" s="109"/>
      <c r="P965" s="109"/>
      <c r="Q965" s="109"/>
      <c r="R965" s="109"/>
      <c r="S965" s="109"/>
      <c r="T965" s="109"/>
      <c r="U965" s="109"/>
      <c r="V965" s="109"/>
      <c r="W965" s="109"/>
      <c r="X965" s="109"/>
      <c r="Y965" s="109"/>
      <c r="Z965" s="109"/>
    </row>
    <row r="966" ht="29.25" customHeight="1">
      <c r="A966" s="109"/>
      <c r="B966" s="109"/>
      <c r="C966" s="109"/>
      <c r="D966" s="109"/>
      <c r="E966" s="109"/>
      <c r="F966" s="109"/>
      <c r="G966" s="109"/>
      <c r="H966" s="109"/>
      <c r="I966" s="109"/>
      <c r="J966" s="109"/>
      <c r="K966" s="109"/>
      <c r="L966" s="109"/>
      <c r="M966" s="109"/>
      <c r="N966" s="109"/>
      <c r="O966" s="109"/>
      <c r="P966" s="109"/>
      <c r="Q966" s="109"/>
      <c r="R966" s="109"/>
      <c r="S966" s="109"/>
      <c r="T966" s="109"/>
      <c r="U966" s="109"/>
      <c r="V966" s="109"/>
      <c r="W966" s="109"/>
      <c r="X966" s="109"/>
      <c r="Y966" s="109"/>
      <c r="Z966" s="109"/>
    </row>
    <row r="967" ht="29.25" customHeight="1">
      <c r="A967" s="109"/>
      <c r="B967" s="109"/>
      <c r="C967" s="109"/>
      <c r="D967" s="109"/>
      <c r="E967" s="109"/>
      <c r="F967" s="109"/>
      <c r="G967" s="109"/>
      <c r="H967" s="109"/>
      <c r="I967" s="109"/>
      <c r="J967" s="109"/>
      <c r="K967" s="109"/>
      <c r="L967" s="109"/>
      <c r="M967" s="109"/>
      <c r="N967" s="109"/>
      <c r="O967" s="109"/>
      <c r="P967" s="109"/>
      <c r="Q967" s="109"/>
      <c r="R967" s="109"/>
      <c r="S967" s="109"/>
      <c r="T967" s="109"/>
      <c r="U967" s="109"/>
      <c r="V967" s="109"/>
      <c r="W967" s="109"/>
      <c r="X967" s="109"/>
      <c r="Y967" s="109"/>
      <c r="Z967" s="109"/>
    </row>
    <row r="968" ht="29.25" customHeight="1">
      <c r="A968" s="109"/>
      <c r="B968" s="109"/>
      <c r="C968" s="109"/>
      <c r="D968" s="109"/>
      <c r="E968" s="109"/>
      <c r="F968" s="109"/>
      <c r="G968" s="109"/>
      <c r="H968" s="109"/>
      <c r="I968" s="109"/>
      <c r="J968" s="109"/>
      <c r="K968" s="109"/>
      <c r="L968" s="109"/>
      <c r="M968" s="109"/>
      <c r="N968" s="109"/>
      <c r="O968" s="109"/>
      <c r="P968" s="109"/>
      <c r="Q968" s="109"/>
      <c r="R968" s="109"/>
      <c r="S968" s="109"/>
      <c r="T968" s="109"/>
      <c r="U968" s="109"/>
      <c r="V968" s="109"/>
      <c r="W968" s="109"/>
      <c r="X968" s="109"/>
      <c r="Y968" s="109"/>
      <c r="Z968" s="109"/>
    </row>
    <row r="969" ht="29.25" customHeight="1">
      <c r="A969" s="109"/>
      <c r="B969" s="109"/>
      <c r="C969" s="109"/>
      <c r="D969" s="109"/>
      <c r="E969" s="109"/>
      <c r="F969" s="109"/>
      <c r="G969" s="109"/>
      <c r="H969" s="109"/>
      <c r="I969" s="109"/>
      <c r="J969" s="109"/>
      <c r="K969" s="109"/>
      <c r="L969" s="109"/>
      <c r="M969" s="109"/>
      <c r="N969" s="109"/>
      <c r="O969" s="109"/>
      <c r="P969" s="109"/>
      <c r="Q969" s="109"/>
      <c r="R969" s="109"/>
      <c r="S969" s="109"/>
      <c r="T969" s="109"/>
      <c r="U969" s="109"/>
      <c r="V969" s="109"/>
      <c r="W969" s="109"/>
      <c r="X969" s="109"/>
      <c r="Y969" s="109"/>
      <c r="Z969" s="109"/>
    </row>
    <row r="970" ht="29.25" customHeight="1">
      <c r="A970" s="109"/>
      <c r="B970" s="109"/>
      <c r="C970" s="109"/>
      <c r="D970" s="109"/>
      <c r="E970" s="109"/>
      <c r="F970" s="109"/>
      <c r="G970" s="109"/>
      <c r="H970" s="109"/>
      <c r="I970" s="109"/>
      <c r="J970" s="109"/>
      <c r="K970" s="109"/>
      <c r="L970" s="109"/>
      <c r="M970" s="109"/>
      <c r="N970" s="109"/>
      <c r="O970" s="109"/>
      <c r="P970" s="109"/>
      <c r="Q970" s="109"/>
      <c r="R970" s="109"/>
      <c r="S970" s="109"/>
      <c r="T970" s="109"/>
      <c r="U970" s="109"/>
      <c r="V970" s="109"/>
      <c r="W970" s="109"/>
      <c r="X970" s="109"/>
      <c r="Y970" s="109"/>
      <c r="Z970" s="109"/>
    </row>
    <row r="971" ht="29.25" customHeight="1">
      <c r="A971" s="109"/>
      <c r="B971" s="109"/>
      <c r="C971" s="109"/>
      <c r="D971" s="109"/>
      <c r="E971" s="109"/>
      <c r="F971" s="109"/>
      <c r="G971" s="109"/>
      <c r="H971" s="109"/>
      <c r="I971" s="109"/>
      <c r="J971" s="109"/>
      <c r="K971" s="109"/>
      <c r="L971" s="109"/>
      <c r="M971" s="109"/>
      <c r="N971" s="109"/>
      <c r="O971" s="109"/>
      <c r="P971" s="109"/>
      <c r="Q971" s="109"/>
      <c r="R971" s="109"/>
      <c r="S971" s="109"/>
      <c r="T971" s="109"/>
      <c r="U971" s="109"/>
      <c r="V971" s="109"/>
      <c r="W971" s="109"/>
      <c r="X971" s="109"/>
      <c r="Y971" s="109"/>
      <c r="Z971" s="109"/>
    </row>
    <row r="972" ht="29.25" customHeight="1">
      <c r="A972" s="109"/>
      <c r="B972" s="109"/>
      <c r="C972" s="109"/>
      <c r="D972" s="109"/>
      <c r="E972" s="109"/>
      <c r="F972" s="109"/>
      <c r="G972" s="109"/>
      <c r="H972" s="109"/>
      <c r="I972" s="109"/>
      <c r="J972" s="109"/>
      <c r="K972" s="109"/>
      <c r="L972" s="109"/>
      <c r="M972" s="109"/>
      <c r="N972" s="109"/>
      <c r="O972" s="109"/>
      <c r="P972" s="109"/>
      <c r="Q972" s="109"/>
      <c r="R972" s="109"/>
      <c r="S972" s="109"/>
      <c r="T972" s="109"/>
      <c r="U972" s="109"/>
      <c r="V972" s="109"/>
      <c r="W972" s="109"/>
      <c r="X972" s="109"/>
      <c r="Y972" s="109"/>
      <c r="Z972" s="109"/>
    </row>
    <row r="973" ht="29.25" customHeight="1">
      <c r="A973" s="109"/>
      <c r="B973" s="109"/>
      <c r="C973" s="109"/>
      <c r="D973" s="109"/>
      <c r="E973" s="109"/>
      <c r="F973" s="109"/>
      <c r="G973" s="109"/>
      <c r="H973" s="109"/>
      <c r="I973" s="109"/>
      <c r="J973" s="109"/>
      <c r="K973" s="109"/>
      <c r="L973" s="109"/>
      <c r="M973" s="109"/>
      <c r="N973" s="109"/>
      <c r="O973" s="109"/>
      <c r="P973" s="109"/>
      <c r="Q973" s="109"/>
      <c r="R973" s="109"/>
      <c r="S973" s="109"/>
      <c r="T973" s="109"/>
      <c r="U973" s="109"/>
      <c r="V973" s="109"/>
      <c r="W973" s="109"/>
      <c r="X973" s="109"/>
      <c r="Y973" s="109"/>
      <c r="Z973" s="109"/>
    </row>
    <row r="974" ht="29.25" customHeight="1">
      <c r="A974" s="109"/>
      <c r="B974" s="109"/>
      <c r="C974" s="109"/>
      <c r="D974" s="109"/>
      <c r="E974" s="109"/>
      <c r="F974" s="109"/>
      <c r="G974" s="109"/>
      <c r="H974" s="109"/>
      <c r="I974" s="109"/>
      <c r="J974" s="109"/>
      <c r="K974" s="109"/>
      <c r="L974" s="109"/>
      <c r="M974" s="109"/>
      <c r="N974" s="109"/>
      <c r="O974" s="109"/>
      <c r="P974" s="109"/>
      <c r="Q974" s="109"/>
      <c r="R974" s="109"/>
      <c r="S974" s="109"/>
      <c r="T974" s="109"/>
      <c r="U974" s="109"/>
      <c r="V974" s="109"/>
      <c r="W974" s="109"/>
      <c r="X974" s="109"/>
      <c r="Y974" s="109"/>
      <c r="Z974" s="109"/>
    </row>
    <row r="975" ht="29.25" customHeight="1">
      <c r="A975" s="109"/>
      <c r="B975" s="109"/>
      <c r="C975" s="109"/>
      <c r="D975" s="109"/>
      <c r="E975" s="109"/>
      <c r="F975" s="109"/>
      <c r="G975" s="109"/>
      <c r="H975" s="109"/>
      <c r="I975" s="109"/>
      <c r="J975" s="109"/>
      <c r="K975" s="109"/>
      <c r="L975" s="109"/>
      <c r="M975" s="109"/>
      <c r="N975" s="109"/>
      <c r="O975" s="109"/>
      <c r="P975" s="109"/>
      <c r="Q975" s="109"/>
      <c r="R975" s="109"/>
      <c r="S975" s="109"/>
      <c r="T975" s="109"/>
      <c r="U975" s="109"/>
      <c r="V975" s="109"/>
      <c r="W975" s="109"/>
      <c r="X975" s="109"/>
      <c r="Y975" s="109"/>
      <c r="Z975" s="109"/>
    </row>
    <row r="976" ht="29.25" customHeight="1">
      <c r="A976" s="109"/>
      <c r="B976" s="109"/>
      <c r="C976" s="109"/>
      <c r="D976" s="109"/>
      <c r="E976" s="109"/>
      <c r="F976" s="109"/>
      <c r="G976" s="109"/>
      <c r="H976" s="109"/>
      <c r="I976" s="109"/>
      <c r="J976" s="109"/>
      <c r="K976" s="109"/>
      <c r="L976" s="109"/>
      <c r="M976" s="109"/>
      <c r="N976" s="109"/>
      <c r="O976" s="109"/>
      <c r="P976" s="109"/>
      <c r="Q976" s="109"/>
      <c r="R976" s="109"/>
      <c r="S976" s="109"/>
      <c r="T976" s="109"/>
      <c r="U976" s="109"/>
      <c r="V976" s="109"/>
      <c r="W976" s="109"/>
      <c r="X976" s="109"/>
      <c r="Y976" s="109"/>
      <c r="Z976" s="109"/>
    </row>
    <row r="977" ht="29.25" customHeight="1">
      <c r="A977" s="109"/>
      <c r="B977" s="109"/>
      <c r="C977" s="109"/>
      <c r="D977" s="109"/>
      <c r="E977" s="109"/>
      <c r="F977" s="109"/>
      <c r="G977" s="109"/>
      <c r="H977" s="109"/>
      <c r="I977" s="109"/>
      <c r="J977" s="109"/>
      <c r="K977" s="109"/>
      <c r="L977" s="109"/>
      <c r="M977" s="109"/>
      <c r="N977" s="109"/>
      <c r="O977" s="109"/>
      <c r="P977" s="109"/>
      <c r="Q977" s="109"/>
      <c r="R977" s="109"/>
      <c r="S977" s="109"/>
      <c r="T977" s="109"/>
      <c r="U977" s="109"/>
      <c r="V977" s="109"/>
      <c r="W977" s="109"/>
      <c r="X977" s="109"/>
      <c r="Y977" s="109"/>
      <c r="Z977" s="109"/>
    </row>
    <row r="978" ht="29.25" customHeight="1">
      <c r="A978" s="109"/>
      <c r="B978" s="109"/>
      <c r="C978" s="109"/>
      <c r="D978" s="109"/>
      <c r="E978" s="109"/>
      <c r="F978" s="109"/>
      <c r="G978" s="109"/>
      <c r="H978" s="109"/>
      <c r="I978" s="109"/>
      <c r="J978" s="109"/>
      <c r="K978" s="109"/>
      <c r="L978" s="109"/>
      <c r="M978" s="109"/>
      <c r="N978" s="109"/>
      <c r="O978" s="109"/>
      <c r="P978" s="109"/>
      <c r="Q978" s="109"/>
      <c r="R978" s="109"/>
      <c r="S978" s="109"/>
      <c r="T978" s="109"/>
      <c r="U978" s="109"/>
      <c r="V978" s="109"/>
      <c r="W978" s="109"/>
      <c r="X978" s="109"/>
      <c r="Y978" s="109"/>
      <c r="Z978" s="109"/>
    </row>
    <row r="979" ht="29.25" customHeight="1">
      <c r="A979" s="109"/>
      <c r="B979" s="109"/>
      <c r="C979" s="109"/>
      <c r="D979" s="109"/>
      <c r="E979" s="109"/>
      <c r="F979" s="109"/>
      <c r="G979" s="109"/>
      <c r="H979" s="109"/>
      <c r="I979" s="109"/>
      <c r="J979" s="109"/>
      <c r="K979" s="109"/>
      <c r="L979" s="109"/>
      <c r="M979" s="109"/>
      <c r="N979" s="109"/>
      <c r="O979" s="109"/>
      <c r="P979" s="109"/>
      <c r="Q979" s="109"/>
      <c r="R979" s="109"/>
      <c r="S979" s="109"/>
      <c r="T979" s="109"/>
      <c r="U979" s="109"/>
      <c r="V979" s="109"/>
      <c r="W979" s="109"/>
      <c r="X979" s="109"/>
      <c r="Y979" s="109"/>
      <c r="Z979" s="109"/>
    </row>
    <row r="980" ht="29.25" customHeight="1">
      <c r="A980" s="109"/>
      <c r="B980" s="109"/>
      <c r="C980" s="109"/>
      <c r="D980" s="109"/>
      <c r="E980" s="109"/>
      <c r="F980" s="109"/>
      <c r="G980" s="109"/>
      <c r="H980" s="109"/>
      <c r="I980" s="109"/>
      <c r="J980" s="109"/>
      <c r="K980" s="109"/>
      <c r="L980" s="109"/>
      <c r="M980" s="109"/>
      <c r="N980" s="109"/>
      <c r="O980" s="109"/>
      <c r="P980" s="109"/>
      <c r="Q980" s="109"/>
      <c r="R980" s="109"/>
      <c r="S980" s="109"/>
      <c r="T980" s="109"/>
      <c r="U980" s="109"/>
      <c r="V980" s="109"/>
      <c r="W980" s="109"/>
      <c r="X980" s="109"/>
      <c r="Y980" s="109"/>
      <c r="Z980" s="109"/>
    </row>
    <row r="981" ht="29.25" customHeight="1">
      <c r="A981" s="109"/>
      <c r="B981" s="109"/>
      <c r="C981" s="109"/>
      <c r="D981" s="109"/>
      <c r="E981" s="109"/>
      <c r="F981" s="109"/>
      <c r="G981" s="109"/>
      <c r="H981" s="109"/>
      <c r="I981" s="109"/>
      <c r="J981" s="109"/>
      <c r="K981" s="109"/>
      <c r="L981" s="109"/>
      <c r="M981" s="109"/>
      <c r="N981" s="109"/>
      <c r="O981" s="109"/>
      <c r="P981" s="109"/>
      <c r="Q981" s="109"/>
      <c r="R981" s="109"/>
      <c r="S981" s="109"/>
      <c r="T981" s="109"/>
      <c r="U981" s="109"/>
      <c r="V981" s="109"/>
      <c r="W981" s="109"/>
      <c r="X981" s="109"/>
      <c r="Y981" s="109"/>
      <c r="Z981" s="109"/>
    </row>
    <row r="982" ht="29.25" customHeight="1">
      <c r="A982" s="109"/>
      <c r="B982" s="109"/>
      <c r="C982" s="109"/>
      <c r="D982" s="109"/>
      <c r="E982" s="109"/>
      <c r="F982" s="109"/>
      <c r="G982" s="109"/>
      <c r="H982" s="109"/>
      <c r="I982" s="109"/>
      <c r="J982" s="109"/>
      <c r="K982" s="109"/>
      <c r="L982" s="109"/>
      <c r="M982" s="109"/>
      <c r="N982" s="109"/>
      <c r="O982" s="109"/>
      <c r="P982" s="109"/>
      <c r="Q982" s="109"/>
      <c r="R982" s="109"/>
      <c r="S982" s="109"/>
      <c r="T982" s="109"/>
      <c r="U982" s="109"/>
      <c r="V982" s="109"/>
      <c r="W982" s="109"/>
      <c r="X982" s="109"/>
      <c r="Y982" s="109"/>
      <c r="Z982" s="109"/>
    </row>
    <row r="983" ht="29.25" customHeight="1">
      <c r="A983" s="109"/>
      <c r="B983" s="109"/>
      <c r="C983" s="109"/>
      <c r="D983" s="109"/>
      <c r="E983" s="109"/>
      <c r="F983" s="109"/>
      <c r="G983" s="109"/>
      <c r="H983" s="109"/>
      <c r="I983" s="109"/>
      <c r="J983" s="109"/>
      <c r="K983" s="109"/>
      <c r="L983" s="109"/>
      <c r="M983" s="109"/>
      <c r="N983" s="109"/>
      <c r="O983" s="109"/>
      <c r="P983" s="109"/>
      <c r="Q983" s="109"/>
      <c r="R983" s="109"/>
      <c r="S983" s="109"/>
      <c r="T983" s="109"/>
      <c r="U983" s="109"/>
      <c r="V983" s="109"/>
      <c r="W983" s="109"/>
      <c r="X983" s="109"/>
      <c r="Y983" s="109"/>
      <c r="Z983" s="109"/>
    </row>
    <row r="984" ht="29.25" customHeight="1">
      <c r="A984" s="109"/>
      <c r="B984" s="109"/>
      <c r="C984" s="109"/>
      <c r="D984" s="109"/>
      <c r="E984" s="109"/>
      <c r="F984" s="109"/>
      <c r="G984" s="109"/>
      <c r="H984" s="109"/>
      <c r="I984" s="109"/>
      <c r="J984" s="109"/>
      <c r="K984" s="109"/>
      <c r="L984" s="109"/>
      <c r="M984" s="109"/>
      <c r="N984" s="109"/>
      <c r="O984" s="109"/>
      <c r="P984" s="109"/>
      <c r="Q984" s="109"/>
      <c r="R984" s="109"/>
      <c r="S984" s="109"/>
      <c r="T984" s="109"/>
      <c r="U984" s="109"/>
      <c r="V984" s="109"/>
      <c r="W984" s="109"/>
      <c r="X984" s="109"/>
      <c r="Y984" s="109"/>
      <c r="Z984" s="109"/>
    </row>
    <row r="985" ht="29.25" customHeight="1">
      <c r="A985" s="109"/>
      <c r="B985" s="109"/>
      <c r="C985" s="109"/>
      <c r="D985" s="109"/>
      <c r="E985" s="109"/>
      <c r="F985" s="109"/>
      <c r="G985" s="109"/>
      <c r="H985" s="109"/>
      <c r="I985" s="109"/>
      <c r="J985" s="109"/>
      <c r="K985" s="109"/>
      <c r="L985" s="109"/>
      <c r="M985" s="109"/>
      <c r="N985" s="109"/>
      <c r="O985" s="109"/>
      <c r="P985" s="109"/>
      <c r="Q985" s="109"/>
      <c r="R985" s="109"/>
      <c r="S985" s="109"/>
      <c r="T985" s="109"/>
      <c r="U985" s="109"/>
      <c r="V985" s="109"/>
      <c r="W985" s="109"/>
      <c r="X985" s="109"/>
      <c r="Y985" s="109"/>
      <c r="Z985" s="109"/>
    </row>
    <row r="986" ht="29.25" customHeight="1">
      <c r="A986" s="109"/>
      <c r="B986" s="109"/>
      <c r="C986" s="109"/>
      <c r="D986" s="109"/>
      <c r="E986" s="109"/>
      <c r="F986" s="109"/>
      <c r="G986" s="109"/>
      <c r="H986" s="109"/>
      <c r="I986" s="109"/>
      <c r="J986" s="109"/>
      <c r="K986" s="109"/>
      <c r="L986" s="109"/>
      <c r="M986" s="109"/>
      <c r="N986" s="109"/>
      <c r="O986" s="109"/>
      <c r="P986" s="109"/>
      <c r="Q986" s="109"/>
      <c r="R986" s="109"/>
      <c r="S986" s="109"/>
      <c r="T986" s="109"/>
      <c r="U986" s="109"/>
      <c r="V986" s="109"/>
      <c r="W986" s="109"/>
      <c r="X986" s="109"/>
      <c r="Y986" s="109"/>
      <c r="Z986" s="109"/>
    </row>
    <row r="987" ht="29.25" customHeight="1">
      <c r="A987" s="109"/>
      <c r="B987" s="109"/>
      <c r="C987" s="109"/>
      <c r="D987" s="109"/>
      <c r="E987" s="109"/>
      <c r="F987" s="109"/>
      <c r="G987" s="109"/>
      <c r="H987" s="109"/>
      <c r="I987" s="109"/>
      <c r="J987" s="109"/>
      <c r="K987" s="109"/>
      <c r="L987" s="109"/>
      <c r="M987" s="109"/>
      <c r="N987" s="109"/>
      <c r="O987" s="109"/>
      <c r="P987" s="109"/>
      <c r="Q987" s="109"/>
      <c r="R987" s="109"/>
      <c r="S987" s="109"/>
      <c r="T987" s="109"/>
      <c r="U987" s="109"/>
      <c r="V987" s="109"/>
      <c r="W987" s="109"/>
      <c r="X987" s="109"/>
      <c r="Y987" s="109"/>
      <c r="Z987" s="109"/>
    </row>
    <row r="988" ht="29.25" customHeight="1">
      <c r="A988" s="109"/>
      <c r="B988" s="109"/>
      <c r="C988" s="109"/>
      <c r="D988" s="109"/>
      <c r="E988" s="109"/>
      <c r="F988" s="109"/>
      <c r="G988" s="109"/>
      <c r="H988" s="109"/>
      <c r="I988" s="109"/>
      <c r="J988" s="109"/>
      <c r="K988" s="109"/>
      <c r="L988" s="109"/>
      <c r="M988" s="109"/>
      <c r="N988" s="109"/>
      <c r="O988" s="109"/>
      <c r="P988" s="109"/>
      <c r="Q988" s="109"/>
      <c r="R988" s="109"/>
      <c r="S988" s="109"/>
      <c r="T988" s="109"/>
      <c r="U988" s="109"/>
      <c r="V988" s="109"/>
      <c r="W988" s="109"/>
      <c r="X988" s="109"/>
      <c r="Y988" s="109"/>
      <c r="Z988" s="109"/>
    </row>
    <row r="989" ht="29.25" customHeight="1">
      <c r="A989" s="109"/>
      <c r="B989" s="109"/>
      <c r="C989" s="109"/>
      <c r="D989" s="109"/>
      <c r="E989" s="109"/>
      <c r="F989" s="109"/>
      <c r="G989" s="109"/>
      <c r="H989" s="109"/>
      <c r="I989" s="109"/>
      <c r="J989" s="109"/>
      <c r="K989" s="109"/>
      <c r="L989" s="109"/>
      <c r="M989" s="109"/>
      <c r="N989" s="109"/>
      <c r="O989" s="109"/>
      <c r="P989" s="109"/>
      <c r="Q989" s="109"/>
      <c r="R989" s="109"/>
      <c r="S989" s="109"/>
      <c r="T989" s="109"/>
      <c r="U989" s="109"/>
      <c r="V989" s="109"/>
      <c r="W989" s="109"/>
      <c r="X989" s="109"/>
      <c r="Y989" s="109"/>
      <c r="Z989" s="109"/>
    </row>
    <row r="990" ht="29.25" customHeight="1">
      <c r="A990" s="109"/>
      <c r="B990" s="109"/>
      <c r="C990" s="109"/>
      <c r="D990" s="109"/>
      <c r="E990" s="109"/>
      <c r="F990" s="109"/>
      <c r="G990" s="109"/>
      <c r="H990" s="109"/>
      <c r="I990" s="109"/>
      <c r="J990" s="109"/>
      <c r="K990" s="109"/>
      <c r="L990" s="109"/>
      <c r="M990" s="109"/>
      <c r="N990" s="109"/>
      <c r="O990" s="109"/>
      <c r="P990" s="109"/>
      <c r="Q990" s="109"/>
      <c r="R990" s="109"/>
      <c r="S990" s="109"/>
      <c r="T990" s="109"/>
      <c r="U990" s="109"/>
      <c r="V990" s="109"/>
      <c r="W990" s="109"/>
      <c r="X990" s="109"/>
      <c r="Y990" s="109"/>
      <c r="Z990" s="109"/>
    </row>
    <row r="991" ht="29.25" customHeight="1">
      <c r="A991" s="109"/>
      <c r="B991" s="109"/>
      <c r="C991" s="109"/>
      <c r="D991" s="109"/>
      <c r="E991" s="109"/>
      <c r="F991" s="109"/>
      <c r="G991" s="109"/>
      <c r="H991" s="109"/>
      <c r="I991" s="109"/>
      <c r="J991" s="109"/>
      <c r="K991" s="109"/>
      <c r="L991" s="109"/>
      <c r="M991" s="109"/>
      <c r="N991" s="109"/>
      <c r="O991" s="109"/>
      <c r="P991" s="109"/>
      <c r="Q991" s="109"/>
      <c r="R991" s="109"/>
      <c r="S991" s="109"/>
      <c r="T991" s="109"/>
      <c r="U991" s="109"/>
      <c r="V991" s="109"/>
      <c r="W991" s="109"/>
      <c r="X991" s="109"/>
      <c r="Y991" s="109"/>
      <c r="Z991" s="109"/>
    </row>
    <row r="992" ht="29.25" customHeight="1">
      <c r="A992" s="109"/>
      <c r="B992" s="109"/>
      <c r="C992" s="109"/>
      <c r="D992" s="109"/>
      <c r="E992" s="109"/>
      <c r="F992" s="109"/>
      <c r="G992" s="109"/>
      <c r="H992" s="109"/>
      <c r="I992" s="109"/>
      <c r="J992" s="109"/>
      <c r="K992" s="109"/>
      <c r="L992" s="109"/>
      <c r="M992" s="109"/>
      <c r="N992" s="109"/>
      <c r="O992" s="109"/>
      <c r="P992" s="109"/>
      <c r="Q992" s="109"/>
      <c r="R992" s="109"/>
      <c r="S992" s="109"/>
      <c r="T992" s="109"/>
      <c r="U992" s="109"/>
      <c r="V992" s="109"/>
      <c r="W992" s="109"/>
      <c r="X992" s="109"/>
      <c r="Y992" s="109"/>
      <c r="Z992" s="109"/>
    </row>
    <row r="993" ht="29.25" customHeight="1">
      <c r="A993" s="109"/>
      <c r="B993" s="109"/>
      <c r="C993" s="109"/>
      <c r="D993" s="109"/>
      <c r="E993" s="109"/>
      <c r="F993" s="109"/>
      <c r="G993" s="109"/>
      <c r="H993" s="109"/>
      <c r="I993" s="109"/>
      <c r="J993" s="109"/>
      <c r="K993" s="109"/>
      <c r="L993" s="109"/>
      <c r="M993" s="109"/>
      <c r="N993" s="109"/>
      <c r="O993" s="109"/>
      <c r="P993" s="109"/>
      <c r="Q993" s="109"/>
      <c r="R993" s="109"/>
      <c r="S993" s="109"/>
      <c r="T993" s="109"/>
      <c r="U993" s="109"/>
      <c r="V993" s="109"/>
      <c r="W993" s="109"/>
      <c r="X993" s="109"/>
      <c r="Y993" s="109"/>
      <c r="Z993" s="109"/>
    </row>
    <row r="994" ht="29.25" customHeight="1">
      <c r="A994" s="109"/>
      <c r="B994" s="109"/>
      <c r="C994" s="109"/>
      <c r="D994" s="109"/>
      <c r="E994" s="109"/>
      <c r="F994" s="109"/>
      <c r="G994" s="109"/>
      <c r="H994" s="109"/>
      <c r="I994" s="109"/>
      <c r="J994" s="109"/>
      <c r="K994" s="109"/>
      <c r="L994" s="109"/>
      <c r="M994" s="109"/>
      <c r="N994" s="109"/>
      <c r="O994" s="109"/>
      <c r="P994" s="109"/>
      <c r="Q994" s="109"/>
      <c r="R994" s="109"/>
      <c r="S994" s="109"/>
      <c r="T994" s="109"/>
      <c r="U994" s="109"/>
      <c r="V994" s="109"/>
      <c r="W994" s="109"/>
      <c r="X994" s="109"/>
      <c r="Y994" s="109"/>
      <c r="Z994" s="109"/>
    </row>
    <row r="995" ht="29.25" customHeight="1">
      <c r="A995" s="109"/>
      <c r="B995" s="109"/>
      <c r="C995" s="109"/>
      <c r="D995" s="109"/>
      <c r="E995" s="109"/>
      <c r="F995" s="109"/>
      <c r="G995" s="109"/>
      <c r="H995" s="109"/>
      <c r="I995" s="109"/>
      <c r="J995" s="109"/>
      <c r="K995" s="109"/>
      <c r="L995" s="109"/>
      <c r="M995" s="109"/>
      <c r="N995" s="109"/>
      <c r="O995" s="109"/>
      <c r="P995" s="109"/>
      <c r="Q995" s="109"/>
      <c r="R995" s="109"/>
      <c r="S995" s="109"/>
      <c r="T995" s="109"/>
      <c r="U995" s="109"/>
      <c r="V995" s="109"/>
      <c r="W995" s="109"/>
      <c r="X995" s="109"/>
      <c r="Y995" s="109"/>
      <c r="Z995" s="109"/>
    </row>
    <row r="996" ht="29.25" customHeight="1">
      <c r="A996" s="109"/>
      <c r="B996" s="109"/>
      <c r="C996" s="109"/>
      <c r="D996" s="109"/>
      <c r="E996" s="109"/>
      <c r="F996" s="109"/>
      <c r="G996" s="109"/>
      <c r="H996" s="109"/>
      <c r="I996" s="109"/>
      <c r="J996" s="109"/>
      <c r="K996" s="109"/>
      <c r="L996" s="109"/>
      <c r="M996" s="109"/>
      <c r="N996" s="109"/>
      <c r="O996" s="109"/>
      <c r="P996" s="109"/>
      <c r="Q996" s="109"/>
      <c r="R996" s="109"/>
      <c r="S996" s="109"/>
      <c r="T996" s="109"/>
      <c r="U996" s="109"/>
      <c r="V996" s="109"/>
      <c r="W996" s="109"/>
      <c r="X996" s="109"/>
      <c r="Y996" s="109"/>
      <c r="Z996" s="109"/>
    </row>
    <row r="997" ht="29.25" customHeight="1">
      <c r="A997" s="109"/>
      <c r="B997" s="109"/>
      <c r="C997" s="109"/>
      <c r="D997" s="109"/>
      <c r="E997" s="109"/>
      <c r="F997" s="109"/>
      <c r="G997" s="109"/>
      <c r="H997" s="109"/>
      <c r="I997" s="109"/>
      <c r="J997" s="109"/>
      <c r="K997" s="109"/>
      <c r="L997" s="109"/>
      <c r="M997" s="109"/>
      <c r="N997" s="109"/>
      <c r="O997" s="109"/>
      <c r="P997" s="109"/>
      <c r="Q997" s="109"/>
      <c r="R997" s="109"/>
      <c r="S997" s="109"/>
      <c r="T997" s="109"/>
      <c r="U997" s="109"/>
      <c r="V997" s="109"/>
      <c r="W997" s="109"/>
      <c r="X997" s="109"/>
      <c r="Y997" s="109"/>
      <c r="Z997" s="109"/>
    </row>
    <row r="998" ht="29.25" customHeight="1">
      <c r="A998" s="109"/>
      <c r="B998" s="109"/>
      <c r="C998" s="109"/>
      <c r="D998" s="109"/>
      <c r="E998" s="109"/>
      <c r="F998" s="109"/>
      <c r="G998" s="109"/>
      <c r="H998" s="109"/>
      <c r="I998" s="109"/>
      <c r="J998" s="109"/>
      <c r="K998" s="109"/>
      <c r="L998" s="109"/>
      <c r="M998" s="109"/>
      <c r="N998" s="109"/>
      <c r="O998" s="109"/>
      <c r="P998" s="109"/>
      <c r="Q998" s="109"/>
      <c r="R998" s="109"/>
      <c r="S998" s="109"/>
      <c r="T998" s="109"/>
      <c r="U998" s="109"/>
      <c r="V998" s="109"/>
      <c r="W998" s="109"/>
      <c r="X998" s="109"/>
      <c r="Y998" s="109"/>
      <c r="Z998" s="109"/>
    </row>
    <row r="999" ht="29.25" customHeight="1">
      <c r="A999" s="109"/>
      <c r="B999" s="109"/>
      <c r="C999" s="109"/>
      <c r="D999" s="109"/>
      <c r="E999" s="109"/>
      <c r="F999" s="109"/>
      <c r="G999" s="109"/>
      <c r="H999" s="109"/>
      <c r="I999" s="109"/>
      <c r="J999" s="109"/>
      <c r="K999" s="109"/>
      <c r="L999" s="109"/>
      <c r="M999" s="109"/>
      <c r="N999" s="109"/>
      <c r="O999" s="109"/>
      <c r="P999" s="109"/>
      <c r="Q999" s="109"/>
      <c r="R999" s="109"/>
      <c r="S999" s="109"/>
      <c r="T999" s="109"/>
      <c r="U999" s="109"/>
      <c r="V999" s="109"/>
      <c r="W999" s="109"/>
      <c r="X999" s="109"/>
      <c r="Y999" s="109"/>
      <c r="Z999" s="109"/>
    </row>
    <row r="1000" ht="29.25" customHeight="1">
      <c r="A1000" s="109"/>
      <c r="B1000" s="109"/>
      <c r="C1000" s="109"/>
      <c r="D1000" s="109"/>
      <c r="E1000" s="109"/>
      <c r="F1000" s="109"/>
      <c r="G1000" s="109"/>
      <c r="H1000" s="109"/>
      <c r="I1000" s="109"/>
      <c r="J1000" s="109"/>
      <c r="K1000" s="109"/>
      <c r="L1000" s="109"/>
      <c r="M1000" s="109"/>
      <c r="N1000" s="109"/>
      <c r="O1000" s="109"/>
      <c r="P1000" s="109"/>
      <c r="Q1000" s="109"/>
      <c r="R1000" s="109"/>
      <c r="S1000" s="109"/>
      <c r="T1000" s="109"/>
      <c r="U1000" s="109"/>
      <c r="V1000" s="109"/>
      <c r="W1000" s="109"/>
      <c r="X1000" s="109"/>
      <c r="Y1000" s="109"/>
      <c r="Z1000" s="109"/>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1" width="45.78"/>
    <col customWidth="1" min="2" max="7" width="17.44"/>
    <col customWidth="1" min="8" max="8" width="11.0"/>
    <col customWidth="1" min="9" max="10" width="17.44"/>
    <col customWidth="1" min="11" max="11" width="52.44"/>
    <col customWidth="1" min="12" max="26" width="17.44"/>
  </cols>
  <sheetData>
    <row r="1" ht="168.75" customHeight="1">
      <c r="A1" s="288" t="s">
        <v>8761</v>
      </c>
      <c r="B1" s="289" t="s">
        <v>8762</v>
      </c>
      <c r="C1" s="289" t="s">
        <v>67</v>
      </c>
      <c r="D1" s="289" t="s">
        <v>24</v>
      </c>
      <c r="E1" s="289"/>
      <c r="F1" s="289"/>
      <c r="G1" s="289"/>
      <c r="H1" s="289"/>
      <c r="I1" s="289"/>
      <c r="J1" s="289"/>
      <c r="K1" s="289"/>
      <c r="L1" s="290"/>
      <c r="M1" s="291"/>
      <c r="N1" s="292"/>
      <c r="O1" s="293"/>
      <c r="P1" s="288"/>
      <c r="Q1" s="288"/>
      <c r="R1" s="288"/>
      <c r="S1" s="288"/>
      <c r="T1" s="288"/>
      <c r="U1" s="288"/>
      <c r="V1" s="288"/>
      <c r="W1" s="288"/>
      <c r="X1" s="288"/>
      <c r="Y1" s="288"/>
      <c r="Z1" s="288"/>
    </row>
    <row r="2" ht="29.25" customHeight="1">
      <c r="A2" s="109" t="s">
        <v>8763</v>
      </c>
      <c r="B2" s="109" t="s">
        <v>8764</v>
      </c>
      <c r="C2" s="109" t="s">
        <v>8765</v>
      </c>
      <c r="D2" s="109" t="s">
        <v>8766</v>
      </c>
      <c r="E2" s="109"/>
      <c r="F2" s="109"/>
      <c r="G2" s="109"/>
      <c r="H2" s="109"/>
      <c r="I2" s="109"/>
      <c r="J2" s="109"/>
      <c r="K2" s="109"/>
      <c r="L2" s="109"/>
      <c r="M2" s="109"/>
      <c r="N2" s="109"/>
      <c r="O2" s="109"/>
      <c r="P2" s="109"/>
      <c r="Q2" s="109"/>
      <c r="R2" s="109"/>
      <c r="S2" s="109"/>
      <c r="T2" s="109"/>
      <c r="U2" s="109"/>
      <c r="V2" s="109"/>
      <c r="W2" s="109"/>
      <c r="X2" s="109"/>
      <c r="Y2" s="109"/>
      <c r="Z2" s="109"/>
    </row>
    <row r="3" ht="29.25" customHeight="1">
      <c r="A3" s="109" t="s">
        <v>8767</v>
      </c>
      <c r="B3" s="109" t="s">
        <v>8768</v>
      </c>
      <c r="C3" s="109" t="s">
        <v>8769</v>
      </c>
      <c r="D3" s="109" t="s">
        <v>8770</v>
      </c>
      <c r="E3" s="109"/>
      <c r="F3" s="109"/>
      <c r="G3" s="109"/>
      <c r="H3" s="317"/>
      <c r="I3" s="109"/>
      <c r="J3" s="109"/>
      <c r="K3" s="109"/>
      <c r="L3" s="109"/>
      <c r="M3" s="109"/>
      <c r="N3" s="109"/>
      <c r="O3" s="109"/>
      <c r="P3" s="109"/>
      <c r="Q3" s="109"/>
      <c r="R3" s="109"/>
      <c r="S3" s="109"/>
      <c r="T3" s="109"/>
      <c r="U3" s="109"/>
      <c r="V3" s="109"/>
      <c r="W3" s="109"/>
      <c r="X3" s="109"/>
      <c r="Y3" s="109"/>
      <c r="Z3" s="109"/>
    </row>
    <row r="4" ht="29.25" customHeight="1">
      <c r="A4" s="109" t="s">
        <v>8771</v>
      </c>
      <c r="B4" s="109" t="s">
        <v>8772</v>
      </c>
      <c r="C4" s="109" t="s">
        <v>8772</v>
      </c>
      <c r="D4" s="344" t="str">
        <f>HYPERLINK("http://zurb.com/triggers","http://zurb.com/triggers")</f>
        <v>http://zurb.com/triggers</v>
      </c>
      <c r="E4" s="109"/>
      <c r="F4" s="109"/>
      <c r="G4" s="109"/>
      <c r="H4" s="109"/>
      <c r="I4" s="109"/>
      <c r="J4" s="109"/>
      <c r="K4" s="109"/>
      <c r="L4" s="109"/>
      <c r="M4" s="109"/>
      <c r="N4" s="109"/>
      <c r="O4" s="109"/>
      <c r="P4" s="109"/>
      <c r="Q4" s="109"/>
      <c r="R4" s="109"/>
      <c r="S4" s="109"/>
      <c r="T4" s="109"/>
      <c r="U4" s="109"/>
      <c r="V4" s="109"/>
      <c r="W4" s="109"/>
      <c r="X4" s="109"/>
      <c r="Y4" s="109"/>
      <c r="Z4" s="109"/>
    </row>
    <row r="5" ht="29.25" customHeight="1">
      <c r="A5" s="109" t="s">
        <v>8773</v>
      </c>
      <c r="B5" s="109" t="s">
        <v>8774</v>
      </c>
      <c r="C5" s="109" t="s">
        <v>8775</v>
      </c>
      <c r="D5" s="109" t="s">
        <v>8776</v>
      </c>
      <c r="E5" s="109" t="s">
        <v>8777</v>
      </c>
      <c r="F5" s="109"/>
      <c r="G5" s="109"/>
      <c r="H5" s="109"/>
      <c r="I5" s="109"/>
      <c r="J5" s="109"/>
      <c r="K5" s="109"/>
      <c r="L5" s="109"/>
      <c r="M5" s="109"/>
      <c r="N5" s="109"/>
      <c r="O5" s="109"/>
      <c r="P5" s="109"/>
      <c r="Q5" s="109"/>
      <c r="R5" s="109"/>
      <c r="S5" s="109"/>
      <c r="T5" s="109"/>
      <c r="U5" s="109"/>
      <c r="V5" s="109"/>
      <c r="W5" s="109"/>
      <c r="X5" s="109"/>
      <c r="Y5" s="109"/>
      <c r="Z5" s="109"/>
    </row>
    <row r="6" ht="29.25" customHeight="1">
      <c r="A6" s="109" t="s">
        <v>8778</v>
      </c>
      <c r="B6" s="109" t="s">
        <v>8779</v>
      </c>
      <c r="C6" s="109" t="s">
        <v>8780</v>
      </c>
      <c r="D6" s="109" t="s">
        <v>8781</v>
      </c>
      <c r="E6" s="109"/>
      <c r="F6" s="109"/>
      <c r="G6" s="109"/>
      <c r="H6" s="109"/>
      <c r="I6" s="109"/>
      <c r="J6" s="109"/>
      <c r="K6" s="109"/>
      <c r="L6" s="109"/>
      <c r="M6" s="109"/>
      <c r="N6" s="109"/>
      <c r="O6" s="109"/>
      <c r="P6" s="109"/>
      <c r="Q6" s="109"/>
      <c r="R6" s="109"/>
      <c r="S6" s="109"/>
      <c r="T6" s="109"/>
      <c r="U6" s="109"/>
      <c r="V6" s="109"/>
      <c r="W6" s="109"/>
      <c r="X6" s="109"/>
      <c r="Y6" s="109"/>
      <c r="Z6" s="109"/>
    </row>
    <row r="7" ht="29.25" customHeight="1">
      <c r="A7" s="109" t="s">
        <v>8782</v>
      </c>
      <c r="B7" s="109" t="s">
        <v>8779</v>
      </c>
      <c r="C7" s="109" t="s">
        <v>8783</v>
      </c>
      <c r="D7" s="109" t="s">
        <v>8784</v>
      </c>
      <c r="E7" s="109"/>
      <c r="F7" s="109"/>
      <c r="G7" s="109"/>
      <c r="H7" s="109"/>
      <c r="I7" s="109"/>
      <c r="J7" s="109"/>
      <c r="K7" s="109"/>
      <c r="L7" s="109"/>
      <c r="M7" s="109"/>
      <c r="N7" s="109"/>
      <c r="O7" s="109"/>
      <c r="P7" s="109"/>
      <c r="Q7" s="109"/>
      <c r="R7" s="109"/>
      <c r="S7" s="109"/>
      <c r="T7" s="109"/>
      <c r="U7" s="109"/>
      <c r="V7" s="109"/>
      <c r="W7" s="109"/>
      <c r="X7" s="109"/>
      <c r="Y7" s="109"/>
      <c r="Z7" s="109"/>
    </row>
    <row r="8" ht="29.25" customHeight="1">
      <c r="A8" s="109" t="s">
        <v>8785</v>
      </c>
      <c r="B8" s="109" t="s">
        <v>8764</v>
      </c>
      <c r="C8" s="109"/>
      <c r="D8" s="109"/>
      <c r="E8" s="109"/>
      <c r="F8" s="109"/>
      <c r="G8" s="109"/>
      <c r="H8" s="109"/>
      <c r="I8" s="109"/>
      <c r="J8" s="109"/>
      <c r="K8" s="109"/>
      <c r="L8" s="109"/>
      <c r="M8" s="109"/>
      <c r="N8" s="109"/>
      <c r="O8" s="109"/>
      <c r="P8" s="109"/>
      <c r="Q8" s="109"/>
      <c r="R8" s="109"/>
      <c r="S8" s="109"/>
      <c r="T8" s="109"/>
      <c r="U8" s="109"/>
      <c r="V8" s="109"/>
      <c r="W8" s="109"/>
      <c r="X8" s="109"/>
      <c r="Y8" s="109"/>
      <c r="Z8" s="109"/>
    </row>
    <row r="9" ht="29.25" customHeight="1">
      <c r="A9" s="109" t="s">
        <v>8786</v>
      </c>
      <c r="B9" s="109" t="s">
        <v>8764</v>
      </c>
      <c r="C9" s="109" t="s">
        <v>8787</v>
      </c>
      <c r="D9" s="109" t="s">
        <v>8788</v>
      </c>
      <c r="E9" s="109"/>
      <c r="F9" s="109"/>
      <c r="G9" s="109"/>
      <c r="H9" s="109"/>
      <c r="I9" s="109"/>
      <c r="J9" s="109"/>
      <c r="K9" s="109"/>
      <c r="L9" s="109"/>
      <c r="M9" s="109"/>
      <c r="N9" s="109"/>
      <c r="O9" s="109"/>
      <c r="P9" s="109"/>
      <c r="Q9" s="109"/>
      <c r="R9" s="109"/>
      <c r="S9" s="109"/>
      <c r="T9" s="109"/>
      <c r="U9" s="109"/>
      <c r="V9" s="109"/>
      <c r="W9" s="109"/>
      <c r="X9" s="109"/>
      <c r="Y9" s="109"/>
      <c r="Z9" s="109"/>
    </row>
    <row r="10" ht="29.25" customHeight="1">
      <c r="A10" s="109" t="s">
        <v>8789</v>
      </c>
      <c r="B10" s="109" t="s">
        <v>8764</v>
      </c>
      <c r="C10" s="109" t="s">
        <v>8790</v>
      </c>
      <c r="D10" s="109" t="s">
        <v>8791</v>
      </c>
      <c r="E10" s="109"/>
      <c r="F10" s="109"/>
      <c r="G10" s="109"/>
      <c r="H10" s="109"/>
      <c r="I10" s="109"/>
      <c r="J10" s="109"/>
      <c r="K10" s="109"/>
      <c r="L10" s="109"/>
      <c r="M10" s="109"/>
      <c r="N10" s="109"/>
      <c r="O10" s="109"/>
      <c r="P10" s="109"/>
      <c r="Q10" s="109"/>
      <c r="R10" s="109"/>
      <c r="S10" s="109"/>
      <c r="T10" s="109"/>
      <c r="U10" s="109"/>
      <c r="V10" s="109"/>
      <c r="W10" s="109"/>
      <c r="X10" s="109"/>
      <c r="Y10" s="109"/>
      <c r="Z10" s="109"/>
    </row>
    <row r="11" ht="29.25" customHeight="1">
      <c r="A11" s="109" t="s">
        <v>8792</v>
      </c>
      <c r="B11" s="109" t="s">
        <v>8764</v>
      </c>
      <c r="C11" s="109" t="s">
        <v>8793</v>
      </c>
      <c r="D11" s="109" t="s">
        <v>8794</v>
      </c>
      <c r="E11" s="109"/>
      <c r="F11" s="109"/>
      <c r="G11" s="109"/>
      <c r="H11" s="317"/>
      <c r="I11" s="109"/>
      <c r="J11" s="109"/>
      <c r="K11" s="109"/>
      <c r="L11" s="109"/>
      <c r="M11" s="109"/>
      <c r="N11" s="109"/>
      <c r="O11" s="109"/>
      <c r="P11" s="109"/>
      <c r="Q11" s="109"/>
      <c r="R11" s="109"/>
      <c r="S11" s="109"/>
      <c r="T11" s="109"/>
      <c r="U11" s="109"/>
      <c r="V11" s="109"/>
      <c r="W11" s="109"/>
      <c r="X11" s="109"/>
      <c r="Y11" s="109"/>
      <c r="Z11" s="109"/>
    </row>
    <row r="12" ht="29.25" customHeight="1">
      <c r="A12" s="109" t="s">
        <v>8795</v>
      </c>
      <c r="B12" s="109" t="s">
        <v>8764</v>
      </c>
      <c r="C12" s="109" t="s">
        <v>8796</v>
      </c>
      <c r="D12" s="109" t="s">
        <v>8797</v>
      </c>
      <c r="E12" s="109"/>
      <c r="F12" s="109"/>
      <c r="G12" s="109"/>
      <c r="H12" s="109"/>
      <c r="I12" s="109"/>
      <c r="J12" s="109"/>
      <c r="K12" s="109"/>
      <c r="L12" s="109"/>
      <c r="M12" s="109"/>
      <c r="N12" s="109"/>
      <c r="O12" s="109"/>
      <c r="P12" s="109"/>
      <c r="Q12" s="109"/>
      <c r="R12" s="109"/>
      <c r="S12" s="109"/>
      <c r="T12" s="109"/>
      <c r="U12" s="109"/>
      <c r="V12" s="109"/>
      <c r="W12" s="109"/>
      <c r="X12" s="109"/>
      <c r="Y12" s="109"/>
      <c r="Z12" s="109"/>
    </row>
    <row r="13" ht="29.25" customHeight="1">
      <c r="A13" s="109" t="s">
        <v>8798</v>
      </c>
      <c r="B13" s="109" t="s">
        <v>8764</v>
      </c>
      <c r="C13" s="109" t="s">
        <v>8799</v>
      </c>
      <c r="D13" s="109" t="s">
        <v>8800</v>
      </c>
      <c r="E13" s="109"/>
      <c r="F13" s="109"/>
      <c r="G13" s="109"/>
      <c r="H13" s="109"/>
      <c r="I13" s="109"/>
      <c r="J13" s="109"/>
      <c r="K13" s="109"/>
      <c r="L13" s="109"/>
      <c r="M13" s="109"/>
      <c r="N13" s="109"/>
      <c r="O13" s="109"/>
      <c r="P13" s="109"/>
      <c r="Q13" s="109"/>
      <c r="R13" s="109"/>
      <c r="S13" s="109"/>
      <c r="T13" s="109"/>
      <c r="U13" s="109"/>
      <c r="V13" s="109"/>
      <c r="W13" s="109"/>
      <c r="X13" s="109"/>
      <c r="Y13" s="109"/>
      <c r="Z13" s="109"/>
    </row>
    <row r="14" ht="29.25" customHeight="1">
      <c r="A14" s="109" t="s">
        <v>8801</v>
      </c>
      <c r="B14" s="109" t="s">
        <v>8764</v>
      </c>
      <c r="C14" s="109" t="s">
        <v>8802</v>
      </c>
      <c r="D14" s="109" t="s">
        <v>8803</v>
      </c>
      <c r="E14" s="109"/>
      <c r="F14" s="109"/>
      <c r="G14" s="109"/>
      <c r="H14" s="109"/>
      <c r="I14" s="109"/>
      <c r="J14" s="109"/>
      <c r="K14" s="109"/>
      <c r="L14" s="109"/>
      <c r="M14" s="109"/>
      <c r="N14" s="109"/>
      <c r="O14" s="109"/>
      <c r="P14" s="109"/>
      <c r="Q14" s="109"/>
      <c r="R14" s="109"/>
      <c r="S14" s="109"/>
      <c r="T14" s="109"/>
      <c r="U14" s="109"/>
      <c r="V14" s="109"/>
      <c r="W14" s="109"/>
      <c r="X14" s="109"/>
      <c r="Y14" s="109"/>
      <c r="Z14" s="109"/>
    </row>
    <row r="15" ht="29.25" customHeight="1">
      <c r="A15" s="109" t="s">
        <v>8804</v>
      </c>
      <c r="B15" s="109" t="s">
        <v>8764</v>
      </c>
      <c r="C15" s="109" t="s">
        <v>8805</v>
      </c>
      <c r="D15" s="109" t="s">
        <v>8806</v>
      </c>
      <c r="E15" s="109"/>
      <c r="F15" s="109"/>
      <c r="G15" s="109"/>
      <c r="H15" s="109"/>
      <c r="I15" s="109"/>
      <c r="J15" s="109"/>
      <c r="K15" s="109"/>
      <c r="L15" s="109"/>
      <c r="M15" s="109"/>
      <c r="N15" s="109"/>
      <c r="O15" s="109"/>
      <c r="P15" s="109"/>
      <c r="Q15" s="109"/>
      <c r="R15" s="109"/>
      <c r="S15" s="109"/>
      <c r="T15" s="109"/>
      <c r="U15" s="109"/>
      <c r="V15" s="109"/>
      <c r="W15" s="109"/>
      <c r="X15" s="109"/>
      <c r="Y15" s="109"/>
      <c r="Z15" s="109"/>
    </row>
    <row r="16" ht="29.25" customHeight="1">
      <c r="A16" s="109" t="s">
        <v>8807</v>
      </c>
      <c r="B16" s="109" t="s">
        <v>8779</v>
      </c>
      <c r="C16" s="109" t="s">
        <v>8808</v>
      </c>
      <c r="D16" s="109" t="s">
        <v>8809</v>
      </c>
      <c r="E16" s="109"/>
      <c r="F16" s="109"/>
      <c r="G16" s="109"/>
      <c r="H16" s="109"/>
      <c r="I16" s="109"/>
      <c r="J16" s="109"/>
      <c r="K16" s="109"/>
      <c r="L16" s="109"/>
      <c r="M16" s="109"/>
      <c r="N16" s="109"/>
      <c r="O16" s="109"/>
      <c r="P16" s="109"/>
      <c r="Q16" s="109"/>
      <c r="R16" s="109"/>
      <c r="S16" s="109"/>
      <c r="T16" s="109"/>
      <c r="U16" s="109"/>
      <c r="V16" s="109"/>
      <c r="W16" s="109"/>
      <c r="X16" s="109"/>
      <c r="Y16" s="109"/>
      <c r="Z16" s="109"/>
    </row>
    <row r="17" ht="29.25" customHeight="1">
      <c r="A17" s="109" t="s">
        <v>8810</v>
      </c>
      <c r="B17" s="109" t="s">
        <v>8811</v>
      </c>
      <c r="C17" s="109"/>
      <c r="D17" s="109" t="s">
        <v>8812</v>
      </c>
      <c r="E17" s="109"/>
      <c r="F17" s="109"/>
      <c r="G17" s="109"/>
      <c r="H17" s="317"/>
      <c r="I17" s="109"/>
      <c r="J17" s="109"/>
      <c r="K17" s="109"/>
      <c r="L17" s="109"/>
      <c r="M17" s="109"/>
      <c r="N17" s="109"/>
      <c r="O17" s="109"/>
      <c r="P17" s="109"/>
      <c r="Q17" s="109"/>
      <c r="R17" s="109"/>
      <c r="S17" s="109"/>
      <c r="T17" s="109"/>
      <c r="U17" s="109"/>
      <c r="V17" s="109"/>
      <c r="W17" s="109"/>
      <c r="X17" s="109"/>
      <c r="Y17" s="109"/>
      <c r="Z17" s="109"/>
    </row>
    <row r="18" ht="29.25" customHeight="1">
      <c r="A18" s="109"/>
      <c r="B18" s="109"/>
      <c r="C18" s="109"/>
      <c r="D18" s="109"/>
      <c r="E18" s="109"/>
      <c r="F18" s="109"/>
      <c r="G18" s="109"/>
      <c r="H18" s="109"/>
      <c r="I18" s="109"/>
      <c r="J18" s="109"/>
      <c r="K18" s="109"/>
      <c r="L18" s="109"/>
      <c r="M18" s="109"/>
      <c r="N18" s="109"/>
      <c r="O18" s="109"/>
      <c r="P18" s="109"/>
      <c r="Q18" s="109"/>
      <c r="R18" s="109"/>
      <c r="S18" s="109"/>
      <c r="T18" s="109"/>
      <c r="U18" s="109"/>
      <c r="V18" s="109"/>
      <c r="W18" s="109"/>
      <c r="X18" s="109"/>
      <c r="Y18" s="109"/>
      <c r="Z18" s="109"/>
    </row>
    <row r="19" ht="29.25" customHeight="1">
      <c r="A19" s="109"/>
      <c r="B19" s="109"/>
      <c r="C19" s="109"/>
      <c r="D19" s="109"/>
      <c r="E19" s="109"/>
      <c r="F19" s="109"/>
      <c r="G19" s="109"/>
      <c r="H19" s="109"/>
      <c r="I19" s="109"/>
      <c r="J19" s="109"/>
      <c r="K19" s="109"/>
      <c r="L19" s="109"/>
      <c r="M19" s="109"/>
      <c r="N19" s="109"/>
      <c r="O19" s="109"/>
      <c r="P19" s="109"/>
      <c r="Q19" s="109"/>
      <c r="R19" s="109"/>
      <c r="S19" s="109"/>
      <c r="T19" s="109"/>
      <c r="U19" s="109"/>
      <c r="V19" s="109"/>
      <c r="W19" s="109"/>
      <c r="X19" s="109"/>
      <c r="Y19" s="109"/>
      <c r="Z19" s="109"/>
    </row>
    <row r="20" ht="29.25" customHeight="1">
      <c r="A20" s="109"/>
      <c r="B20" s="109"/>
      <c r="C20" s="109"/>
      <c r="D20" s="109"/>
      <c r="E20" s="109"/>
      <c r="F20" s="109"/>
      <c r="G20" s="109"/>
      <c r="H20" s="109"/>
      <c r="I20" s="109"/>
      <c r="J20" s="109"/>
      <c r="K20" s="109"/>
      <c r="L20" s="109"/>
      <c r="M20" s="109"/>
      <c r="N20" s="109"/>
      <c r="O20" s="109"/>
      <c r="P20" s="109"/>
      <c r="Q20" s="109"/>
      <c r="R20" s="109"/>
      <c r="S20" s="109"/>
      <c r="T20" s="109"/>
      <c r="U20" s="109"/>
      <c r="V20" s="109"/>
      <c r="W20" s="109"/>
      <c r="X20" s="109"/>
      <c r="Y20" s="109"/>
      <c r="Z20" s="109"/>
    </row>
    <row r="21" ht="29.25" customHeight="1">
      <c r="A21" s="109"/>
      <c r="B21" s="109"/>
      <c r="C21" s="109"/>
      <c r="D21" s="109"/>
      <c r="E21" s="109"/>
      <c r="F21" s="109"/>
      <c r="G21" s="109"/>
      <c r="H21" s="109"/>
      <c r="I21" s="109"/>
      <c r="J21" s="109"/>
      <c r="K21" s="109"/>
      <c r="L21" s="109"/>
      <c r="M21" s="109"/>
      <c r="N21" s="109"/>
      <c r="O21" s="109"/>
      <c r="P21" s="109"/>
      <c r="Q21" s="109"/>
      <c r="R21" s="109"/>
      <c r="S21" s="109"/>
      <c r="T21" s="109"/>
      <c r="U21" s="109"/>
      <c r="V21" s="109"/>
      <c r="W21" s="109"/>
      <c r="X21" s="109"/>
      <c r="Y21" s="109"/>
      <c r="Z21" s="109"/>
    </row>
    <row r="22" ht="29.25" customHeight="1">
      <c r="A22" s="109"/>
      <c r="B22" s="109"/>
      <c r="C22" s="109"/>
      <c r="D22" s="109"/>
      <c r="E22" s="109"/>
      <c r="F22" s="109"/>
      <c r="G22" s="109"/>
      <c r="H22" s="109"/>
      <c r="I22" s="109"/>
      <c r="J22" s="109"/>
      <c r="K22" s="109"/>
      <c r="L22" s="109"/>
      <c r="M22" s="109"/>
      <c r="N22" s="109"/>
      <c r="O22" s="109"/>
      <c r="P22" s="109"/>
      <c r="Q22" s="109"/>
      <c r="R22" s="109"/>
      <c r="S22" s="109"/>
      <c r="T22" s="109"/>
      <c r="U22" s="109"/>
      <c r="V22" s="109"/>
      <c r="W22" s="109"/>
      <c r="X22" s="109"/>
      <c r="Y22" s="109"/>
      <c r="Z22" s="109"/>
    </row>
    <row r="23" ht="29.25" customHeight="1">
      <c r="A23" s="109"/>
      <c r="B23" s="109"/>
      <c r="C23" s="109"/>
      <c r="D23" s="109"/>
      <c r="E23" s="109"/>
      <c r="F23" s="109"/>
      <c r="G23" s="109"/>
      <c r="H23" s="109"/>
      <c r="I23" s="109"/>
      <c r="J23" s="109"/>
      <c r="K23" s="109"/>
      <c r="L23" s="109"/>
      <c r="M23" s="109"/>
      <c r="N23" s="109"/>
      <c r="O23" s="109"/>
      <c r="P23" s="109"/>
      <c r="Q23" s="109"/>
      <c r="R23" s="109"/>
      <c r="S23" s="109"/>
      <c r="T23" s="109"/>
      <c r="U23" s="109"/>
      <c r="V23" s="109"/>
      <c r="W23" s="109"/>
      <c r="X23" s="109"/>
      <c r="Y23" s="109"/>
      <c r="Z23" s="109"/>
    </row>
    <row r="24" ht="29.25" customHeight="1">
      <c r="A24" s="109"/>
      <c r="B24" s="109"/>
      <c r="C24" s="109"/>
      <c r="D24" s="109"/>
      <c r="E24" s="109"/>
      <c r="F24" s="109"/>
      <c r="G24" s="109"/>
      <c r="H24" s="109"/>
      <c r="I24" s="109"/>
      <c r="J24" s="109"/>
      <c r="K24" s="109"/>
      <c r="L24" s="109"/>
      <c r="M24" s="109"/>
      <c r="N24" s="109"/>
      <c r="O24" s="109"/>
      <c r="P24" s="109"/>
      <c r="Q24" s="109"/>
      <c r="R24" s="109"/>
      <c r="S24" s="109"/>
      <c r="T24" s="109"/>
      <c r="U24" s="109"/>
      <c r="V24" s="109"/>
      <c r="W24" s="109"/>
      <c r="X24" s="109"/>
      <c r="Y24" s="109"/>
      <c r="Z24" s="109"/>
    </row>
    <row r="25" ht="29.25" customHeight="1">
      <c r="A25" s="109"/>
      <c r="B25" s="109"/>
      <c r="C25" s="109"/>
      <c r="D25" s="109"/>
      <c r="E25" s="109"/>
      <c r="F25" s="109"/>
      <c r="G25" s="109"/>
      <c r="H25" s="317"/>
      <c r="I25" s="109"/>
      <c r="J25" s="109"/>
      <c r="K25" s="109"/>
      <c r="L25" s="109"/>
      <c r="M25" s="109"/>
      <c r="N25" s="109"/>
      <c r="O25" s="109"/>
      <c r="P25" s="109"/>
      <c r="Q25" s="109"/>
      <c r="R25" s="109"/>
      <c r="S25" s="109"/>
      <c r="T25" s="109"/>
      <c r="U25" s="109"/>
      <c r="V25" s="109"/>
      <c r="W25" s="109"/>
      <c r="X25" s="109"/>
      <c r="Y25" s="109"/>
      <c r="Z25" s="109"/>
    </row>
    <row r="26" ht="29.25" customHeight="1">
      <c r="A26" s="109"/>
      <c r="B26" s="109"/>
      <c r="C26" s="109"/>
      <c r="D26" s="109"/>
      <c r="E26" s="109"/>
      <c r="F26" s="109"/>
      <c r="G26" s="109"/>
      <c r="H26" s="109"/>
      <c r="I26" s="109"/>
      <c r="J26" s="109"/>
      <c r="K26" s="109"/>
      <c r="L26" s="109"/>
      <c r="M26" s="109"/>
      <c r="N26" s="109"/>
      <c r="O26" s="109"/>
      <c r="P26" s="109"/>
      <c r="Q26" s="109"/>
      <c r="R26" s="109"/>
      <c r="S26" s="109"/>
      <c r="T26" s="109"/>
      <c r="U26" s="109"/>
      <c r="V26" s="109"/>
      <c r="W26" s="109"/>
      <c r="X26" s="109"/>
      <c r="Y26" s="109"/>
      <c r="Z26" s="109"/>
    </row>
    <row r="27" ht="29.25" customHeight="1">
      <c r="A27" s="109"/>
      <c r="B27" s="109"/>
      <c r="C27" s="109"/>
      <c r="D27" s="109"/>
      <c r="E27" s="109"/>
      <c r="F27" s="109"/>
      <c r="G27" s="109"/>
      <c r="H27" s="317"/>
      <c r="I27" s="109"/>
      <c r="J27" s="109"/>
      <c r="K27" s="109"/>
      <c r="L27" s="109"/>
      <c r="M27" s="109"/>
      <c r="N27" s="109"/>
      <c r="O27" s="109"/>
      <c r="P27" s="109"/>
      <c r="Q27" s="109"/>
      <c r="R27" s="109"/>
      <c r="S27" s="109"/>
      <c r="T27" s="109"/>
      <c r="U27" s="109"/>
      <c r="V27" s="109"/>
      <c r="W27" s="109"/>
      <c r="X27" s="109"/>
      <c r="Y27" s="109"/>
      <c r="Z27" s="109"/>
    </row>
    <row r="28" ht="29.25" customHeight="1">
      <c r="A28" s="109"/>
      <c r="B28" s="109"/>
      <c r="C28" s="109"/>
      <c r="D28" s="109"/>
      <c r="E28" s="109"/>
      <c r="F28" s="109"/>
      <c r="G28" s="109"/>
      <c r="H28" s="317"/>
      <c r="I28" s="109"/>
      <c r="J28" s="109"/>
      <c r="K28" s="109"/>
      <c r="L28" s="109"/>
      <c r="M28" s="109"/>
      <c r="N28" s="109"/>
      <c r="O28" s="109"/>
      <c r="P28" s="109"/>
      <c r="Q28" s="109"/>
      <c r="R28" s="109"/>
      <c r="S28" s="109"/>
      <c r="T28" s="109"/>
      <c r="U28" s="109"/>
      <c r="V28" s="109"/>
      <c r="W28" s="109"/>
      <c r="X28" s="109"/>
      <c r="Y28" s="109"/>
      <c r="Z28" s="109"/>
    </row>
    <row r="29" ht="29.25" customHeight="1">
      <c r="A29" s="109"/>
      <c r="B29" s="109"/>
      <c r="C29" s="109"/>
      <c r="D29" s="109"/>
      <c r="E29" s="109"/>
      <c r="F29" s="109"/>
      <c r="G29" s="109"/>
      <c r="H29" s="317"/>
      <c r="I29" s="109"/>
      <c r="J29" s="109"/>
      <c r="K29" s="109"/>
      <c r="L29" s="109"/>
      <c r="M29" s="109"/>
      <c r="N29" s="109"/>
      <c r="O29" s="109"/>
      <c r="P29" s="109"/>
      <c r="Q29" s="109"/>
      <c r="R29" s="109"/>
      <c r="S29" s="109"/>
      <c r="T29" s="109"/>
      <c r="U29" s="109"/>
      <c r="V29" s="109"/>
      <c r="W29" s="109"/>
      <c r="X29" s="109"/>
      <c r="Y29" s="109"/>
      <c r="Z29" s="109"/>
    </row>
    <row r="30" ht="29.25" customHeight="1">
      <c r="A30" s="109"/>
      <c r="B30" s="109"/>
      <c r="C30" s="109"/>
      <c r="D30" s="109"/>
      <c r="E30" s="109"/>
      <c r="F30" s="109"/>
      <c r="G30" s="109"/>
      <c r="H30" s="317"/>
      <c r="I30" s="109"/>
      <c r="J30" s="109"/>
      <c r="K30" s="109"/>
      <c r="L30" s="109"/>
      <c r="M30" s="109"/>
      <c r="N30" s="109"/>
      <c r="O30" s="109"/>
      <c r="P30" s="109"/>
      <c r="Q30" s="109"/>
      <c r="R30" s="109"/>
      <c r="S30" s="109"/>
      <c r="T30" s="109"/>
      <c r="U30" s="109"/>
      <c r="V30" s="109"/>
      <c r="W30" s="109"/>
      <c r="X30" s="109"/>
      <c r="Y30" s="109"/>
      <c r="Z30" s="109"/>
    </row>
    <row r="31" ht="29.25" customHeight="1">
      <c r="A31" s="109"/>
      <c r="B31" s="109"/>
      <c r="C31" s="109"/>
      <c r="D31" s="109"/>
      <c r="E31" s="109"/>
      <c r="F31" s="109"/>
      <c r="G31" s="109"/>
      <c r="H31" s="317"/>
      <c r="I31" s="109"/>
      <c r="J31" s="109"/>
      <c r="K31" s="109"/>
      <c r="L31" s="109"/>
      <c r="M31" s="109"/>
      <c r="N31" s="109"/>
      <c r="O31" s="109"/>
      <c r="P31" s="109"/>
      <c r="Q31" s="109"/>
      <c r="R31" s="109"/>
      <c r="S31" s="109"/>
      <c r="T31" s="109"/>
      <c r="U31" s="109"/>
      <c r="V31" s="109"/>
      <c r="W31" s="109"/>
      <c r="X31" s="109"/>
      <c r="Y31" s="109"/>
      <c r="Z31" s="109"/>
    </row>
    <row r="32" ht="29.25" customHeight="1">
      <c r="A32" s="109"/>
      <c r="B32" s="109"/>
      <c r="C32" s="109"/>
      <c r="D32" s="109"/>
      <c r="E32" s="109"/>
      <c r="F32" s="109"/>
      <c r="G32" s="109"/>
      <c r="H32" s="317"/>
      <c r="I32" s="109"/>
      <c r="J32" s="109"/>
      <c r="K32" s="344"/>
      <c r="L32" s="109"/>
      <c r="M32" s="109"/>
      <c r="N32" s="109"/>
      <c r="O32" s="109"/>
      <c r="P32" s="109"/>
      <c r="Q32" s="109"/>
      <c r="R32" s="109"/>
      <c r="S32" s="109"/>
      <c r="T32" s="109"/>
      <c r="U32" s="109"/>
      <c r="V32" s="109"/>
      <c r="W32" s="109"/>
      <c r="X32" s="109"/>
      <c r="Y32" s="109"/>
      <c r="Z32" s="109"/>
    </row>
    <row r="33" ht="29.25" customHeight="1">
      <c r="A33" s="109"/>
      <c r="B33" s="109"/>
      <c r="C33" s="109"/>
      <c r="D33" s="109"/>
      <c r="E33" s="109"/>
      <c r="F33" s="109"/>
      <c r="G33" s="109"/>
      <c r="H33" s="317"/>
      <c r="I33" s="109"/>
      <c r="J33" s="109"/>
      <c r="K33" s="109"/>
      <c r="L33" s="109"/>
      <c r="M33" s="109"/>
      <c r="N33" s="109"/>
      <c r="O33" s="109"/>
      <c r="P33" s="109"/>
      <c r="Q33" s="109"/>
      <c r="R33" s="109"/>
      <c r="S33" s="109"/>
      <c r="T33" s="109"/>
      <c r="U33" s="109"/>
      <c r="V33" s="109"/>
      <c r="W33" s="109"/>
      <c r="X33" s="109"/>
      <c r="Y33" s="109"/>
      <c r="Z33" s="109"/>
    </row>
    <row r="34" ht="29.25" customHeight="1">
      <c r="A34" s="109"/>
      <c r="B34" s="109"/>
      <c r="C34" s="109"/>
      <c r="D34" s="109"/>
      <c r="E34" s="109"/>
      <c r="F34" s="109"/>
      <c r="G34" s="109"/>
      <c r="H34" s="317"/>
      <c r="I34" s="109"/>
      <c r="J34" s="109"/>
      <c r="K34" s="109"/>
      <c r="L34" s="109"/>
      <c r="M34" s="109"/>
      <c r="N34" s="109"/>
      <c r="O34" s="109"/>
      <c r="P34" s="109"/>
      <c r="Q34" s="109"/>
      <c r="R34" s="109"/>
      <c r="S34" s="109"/>
      <c r="T34" s="109"/>
      <c r="U34" s="109"/>
      <c r="V34" s="109"/>
      <c r="W34" s="109"/>
      <c r="X34" s="109"/>
      <c r="Y34" s="109"/>
      <c r="Z34" s="109"/>
    </row>
    <row r="35" ht="29.25" customHeight="1">
      <c r="A35" s="109"/>
      <c r="B35" s="109"/>
      <c r="C35" s="109"/>
      <c r="D35" s="109"/>
      <c r="E35" s="109"/>
      <c r="F35" s="109"/>
      <c r="G35" s="109"/>
      <c r="H35" s="317"/>
      <c r="I35" s="109"/>
      <c r="J35" s="109"/>
      <c r="K35" s="109"/>
      <c r="L35" s="109"/>
      <c r="M35" s="109"/>
      <c r="N35" s="109"/>
      <c r="O35" s="109"/>
      <c r="P35" s="109"/>
      <c r="Q35" s="109"/>
      <c r="R35" s="109"/>
      <c r="S35" s="109"/>
      <c r="T35" s="109"/>
      <c r="U35" s="109"/>
      <c r="V35" s="109"/>
      <c r="W35" s="109"/>
      <c r="X35" s="109"/>
      <c r="Y35" s="109"/>
      <c r="Z35" s="109"/>
    </row>
    <row r="36" ht="29.25" customHeight="1">
      <c r="A36" s="109"/>
      <c r="B36" s="109"/>
      <c r="C36" s="109"/>
      <c r="D36" s="109"/>
      <c r="E36" s="109"/>
      <c r="F36" s="109"/>
      <c r="G36" s="109"/>
      <c r="H36" s="317"/>
      <c r="I36" s="109"/>
      <c r="J36" s="109"/>
      <c r="K36" s="109"/>
      <c r="L36" s="109"/>
      <c r="M36" s="109"/>
      <c r="N36" s="109"/>
      <c r="O36" s="109"/>
      <c r="P36" s="109"/>
      <c r="Q36" s="109"/>
      <c r="R36" s="109"/>
      <c r="S36" s="109"/>
      <c r="T36" s="109"/>
      <c r="U36" s="109"/>
      <c r="V36" s="109"/>
      <c r="W36" s="109"/>
      <c r="X36" s="109"/>
      <c r="Y36" s="109"/>
      <c r="Z36" s="109"/>
    </row>
    <row r="37" ht="29.25" customHeight="1">
      <c r="A37" s="109"/>
      <c r="B37" s="109"/>
      <c r="C37" s="109"/>
      <c r="D37" s="109"/>
      <c r="E37" s="109"/>
      <c r="F37" s="109"/>
      <c r="G37" s="109"/>
      <c r="H37" s="317"/>
      <c r="I37" s="109"/>
      <c r="J37" s="109"/>
      <c r="K37" s="109"/>
      <c r="L37" s="109"/>
      <c r="M37" s="109"/>
      <c r="N37" s="109"/>
      <c r="O37" s="109"/>
      <c r="P37" s="109"/>
      <c r="Q37" s="109"/>
      <c r="R37" s="109"/>
      <c r="S37" s="109"/>
      <c r="T37" s="109"/>
      <c r="U37" s="109"/>
      <c r="V37" s="109"/>
      <c r="W37" s="109"/>
      <c r="X37" s="109"/>
      <c r="Y37" s="109"/>
      <c r="Z37" s="109"/>
    </row>
    <row r="38" ht="29.25" customHeight="1">
      <c r="A38" s="109"/>
      <c r="B38" s="109"/>
      <c r="C38" s="109"/>
      <c r="D38" s="109"/>
      <c r="E38" s="109"/>
      <c r="F38" s="109"/>
      <c r="G38" s="109"/>
      <c r="H38" s="317"/>
      <c r="I38" s="109"/>
      <c r="J38" s="109"/>
      <c r="K38" s="109"/>
      <c r="L38" s="109"/>
      <c r="M38" s="109"/>
      <c r="N38" s="109"/>
      <c r="O38" s="109"/>
      <c r="P38" s="109"/>
      <c r="Q38" s="109"/>
      <c r="R38" s="109"/>
      <c r="S38" s="109"/>
      <c r="T38" s="109"/>
      <c r="U38" s="109"/>
      <c r="V38" s="109"/>
      <c r="W38" s="109"/>
      <c r="X38" s="109"/>
      <c r="Y38" s="109"/>
      <c r="Z38" s="109"/>
    </row>
    <row r="39" ht="29.25" customHeight="1">
      <c r="A39" s="109"/>
      <c r="B39" s="109"/>
      <c r="C39" s="109"/>
      <c r="D39" s="109"/>
      <c r="E39" s="109"/>
      <c r="F39" s="109"/>
      <c r="G39" s="109"/>
      <c r="H39" s="317"/>
      <c r="I39" s="109"/>
      <c r="J39" s="109"/>
      <c r="K39" s="109"/>
      <c r="L39" s="109"/>
      <c r="M39" s="109"/>
      <c r="N39" s="109"/>
      <c r="O39" s="109"/>
      <c r="P39" s="109"/>
      <c r="Q39" s="109"/>
      <c r="R39" s="109"/>
      <c r="S39" s="109"/>
      <c r="T39" s="109"/>
      <c r="U39" s="109"/>
      <c r="V39" s="109"/>
      <c r="W39" s="109"/>
      <c r="X39" s="109"/>
      <c r="Y39" s="109"/>
      <c r="Z39" s="109"/>
    </row>
    <row r="40" ht="29.25" customHeight="1">
      <c r="A40" s="109"/>
      <c r="B40" s="109"/>
      <c r="C40" s="109"/>
      <c r="D40" s="109"/>
      <c r="E40" s="109"/>
      <c r="F40" s="109"/>
      <c r="G40" s="109"/>
      <c r="H40" s="317"/>
      <c r="I40" s="109"/>
      <c r="J40" s="109"/>
      <c r="K40" s="109"/>
      <c r="L40" s="109"/>
      <c r="M40" s="109"/>
      <c r="N40" s="109"/>
      <c r="O40" s="109"/>
      <c r="P40" s="109"/>
      <c r="Q40" s="109"/>
      <c r="R40" s="109"/>
      <c r="S40" s="109"/>
      <c r="T40" s="109"/>
      <c r="U40" s="109"/>
      <c r="V40" s="109"/>
      <c r="W40" s="109"/>
      <c r="X40" s="109"/>
      <c r="Y40" s="109"/>
      <c r="Z40" s="109"/>
    </row>
    <row r="41" ht="29.25" customHeight="1">
      <c r="A41" s="109"/>
      <c r="B41" s="109"/>
      <c r="C41" s="109"/>
      <c r="D41" s="109"/>
      <c r="E41" s="109"/>
      <c r="F41" s="109"/>
      <c r="G41" s="109"/>
      <c r="H41" s="317"/>
      <c r="I41" s="109"/>
      <c r="J41" s="109"/>
      <c r="K41" s="109"/>
      <c r="L41" s="109"/>
      <c r="M41" s="109"/>
      <c r="N41" s="109"/>
      <c r="O41" s="109"/>
      <c r="P41" s="109"/>
      <c r="Q41" s="109"/>
      <c r="R41" s="109"/>
      <c r="S41" s="109"/>
      <c r="T41" s="109"/>
      <c r="U41" s="109"/>
      <c r="V41" s="109"/>
      <c r="W41" s="109"/>
      <c r="X41" s="109"/>
      <c r="Y41" s="109"/>
      <c r="Z41" s="109"/>
    </row>
    <row r="42" ht="29.25" customHeight="1">
      <c r="A42" s="109"/>
      <c r="B42" s="109"/>
      <c r="C42" s="109"/>
      <c r="D42" s="109"/>
      <c r="E42" s="109"/>
      <c r="F42" s="109"/>
      <c r="G42" s="109"/>
      <c r="H42" s="317"/>
      <c r="I42" s="109"/>
      <c r="J42" s="109"/>
      <c r="K42" s="109"/>
      <c r="L42" s="109"/>
      <c r="M42" s="109"/>
      <c r="N42" s="109"/>
      <c r="O42" s="109"/>
      <c r="P42" s="109"/>
      <c r="Q42" s="109"/>
      <c r="R42" s="109"/>
      <c r="S42" s="109"/>
      <c r="T42" s="109"/>
      <c r="U42" s="109"/>
      <c r="V42" s="109"/>
      <c r="W42" s="109"/>
      <c r="X42" s="109"/>
      <c r="Y42" s="109"/>
      <c r="Z42" s="109"/>
    </row>
    <row r="43" ht="29.25" customHeight="1">
      <c r="A43" s="109"/>
      <c r="B43" s="109"/>
      <c r="C43" s="109"/>
      <c r="D43" s="109"/>
      <c r="E43" s="109"/>
      <c r="F43" s="109"/>
      <c r="G43" s="109"/>
      <c r="H43" s="317"/>
      <c r="I43" s="109"/>
      <c r="J43" s="109"/>
      <c r="K43" s="109"/>
      <c r="L43" s="109"/>
      <c r="M43" s="109"/>
      <c r="N43" s="109"/>
      <c r="O43" s="109"/>
      <c r="P43" s="109"/>
      <c r="Q43" s="109"/>
      <c r="R43" s="109"/>
      <c r="S43" s="109"/>
      <c r="T43" s="109"/>
      <c r="U43" s="109"/>
      <c r="V43" s="109"/>
      <c r="W43" s="109"/>
      <c r="X43" s="109"/>
      <c r="Y43" s="109"/>
      <c r="Z43" s="109"/>
    </row>
    <row r="44" ht="29.25" customHeight="1">
      <c r="A44" s="109"/>
      <c r="B44" s="109"/>
      <c r="C44" s="109"/>
      <c r="D44" s="109"/>
      <c r="E44" s="109"/>
      <c r="F44" s="109"/>
      <c r="G44" s="109"/>
      <c r="H44" s="317"/>
      <c r="I44" s="109"/>
      <c r="J44" s="109"/>
      <c r="K44" s="109"/>
      <c r="L44" s="109"/>
      <c r="M44" s="109"/>
      <c r="N44" s="109"/>
      <c r="O44" s="109"/>
      <c r="P44" s="109"/>
      <c r="Q44" s="109"/>
      <c r="R44" s="109"/>
      <c r="S44" s="109"/>
      <c r="T44" s="109"/>
      <c r="U44" s="109"/>
      <c r="V44" s="109"/>
      <c r="W44" s="109"/>
      <c r="X44" s="109"/>
      <c r="Y44" s="109"/>
      <c r="Z44" s="109"/>
    </row>
    <row r="45" ht="29.25" customHeight="1">
      <c r="A45" s="109"/>
      <c r="B45" s="109"/>
      <c r="C45" s="109"/>
      <c r="D45" s="109"/>
      <c r="E45" s="109"/>
      <c r="F45" s="109"/>
      <c r="G45" s="109"/>
      <c r="H45" s="317"/>
      <c r="I45" s="109"/>
      <c r="J45" s="109"/>
      <c r="K45" s="109"/>
      <c r="L45" s="109"/>
      <c r="M45" s="109"/>
      <c r="N45" s="109"/>
      <c r="O45" s="109"/>
      <c r="P45" s="109"/>
      <c r="Q45" s="109"/>
      <c r="R45" s="109"/>
      <c r="S45" s="109"/>
      <c r="T45" s="109"/>
      <c r="U45" s="109"/>
      <c r="V45" s="109"/>
      <c r="W45" s="109"/>
      <c r="X45" s="109"/>
      <c r="Y45" s="109"/>
      <c r="Z45" s="109"/>
    </row>
    <row r="46" ht="29.25" customHeight="1">
      <c r="A46" s="109"/>
      <c r="B46" s="109"/>
      <c r="C46" s="109"/>
      <c r="D46" s="109"/>
      <c r="E46" s="109"/>
      <c r="F46" s="109"/>
      <c r="G46" s="109"/>
      <c r="H46" s="317"/>
      <c r="I46" s="109"/>
      <c r="J46" s="109"/>
      <c r="K46" s="109"/>
      <c r="L46" s="109"/>
      <c r="M46" s="109"/>
      <c r="N46" s="109"/>
      <c r="O46" s="109"/>
      <c r="P46" s="109"/>
      <c r="Q46" s="109"/>
      <c r="R46" s="109"/>
      <c r="S46" s="109"/>
      <c r="T46" s="109"/>
      <c r="U46" s="109"/>
      <c r="V46" s="109"/>
      <c r="W46" s="109"/>
      <c r="X46" s="109"/>
      <c r="Y46" s="109"/>
      <c r="Z46" s="109"/>
    </row>
    <row r="47" ht="29.25" customHeight="1">
      <c r="A47" s="109"/>
      <c r="B47" s="109"/>
      <c r="C47" s="109"/>
      <c r="D47" s="109"/>
      <c r="E47" s="109"/>
      <c r="F47" s="109"/>
      <c r="G47" s="109"/>
      <c r="H47" s="317"/>
      <c r="I47" s="109"/>
      <c r="J47" s="109"/>
      <c r="K47" s="109"/>
      <c r="L47" s="109"/>
      <c r="M47" s="109"/>
      <c r="N47" s="109"/>
      <c r="O47" s="109"/>
      <c r="P47" s="109"/>
      <c r="Q47" s="109"/>
      <c r="R47" s="109"/>
      <c r="S47" s="109"/>
      <c r="T47" s="109"/>
      <c r="U47" s="109"/>
      <c r="V47" s="109"/>
      <c r="W47" s="109"/>
      <c r="X47" s="109"/>
      <c r="Y47" s="109"/>
      <c r="Z47" s="109"/>
    </row>
    <row r="48" ht="29.25" customHeight="1">
      <c r="A48" s="109"/>
      <c r="B48" s="109"/>
      <c r="C48" s="109"/>
      <c r="D48" s="109"/>
      <c r="E48" s="109"/>
      <c r="F48" s="109"/>
      <c r="G48" s="109"/>
      <c r="H48" s="317"/>
      <c r="I48" s="109"/>
      <c r="J48" s="109"/>
      <c r="K48" s="109"/>
      <c r="L48" s="109"/>
      <c r="M48" s="109"/>
      <c r="N48" s="109"/>
      <c r="O48" s="109"/>
      <c r="P48" s="109"/>
      <c r="Q48" s="109"/>
      <c r="R48" s="109"/>
      <c r="S48" s="109"/>
      <c r="T48" s="109"/>
      <c r="U48" s="109"/>
      <c r="V48" s="109"/>
      <c r="W48" s="109"/>
      <c r="X48" s="109"/>
      <c r="Y48" s="109"/>
      <c r="Z48" s="109"/>
    </row>
    <row r="49" ht="29.25" customHeight="1">
      <c r="A49" s="109"/>
      <c r="B49" s="109"/>
      <c r="C49" s="109"/>
      <c r="D49" s="109"/>
      <c r="E49" s="109"/>
      <c r="F49" s="109"/>
      <c r="G49" s="109"/>
      <c r="H49" s="109"/>
      <c r="I49" s="109"/>
      <c r="J49" s="109"/>
      <c r="K49" s="109"/>
      <c r="L49" s="109"/>
      <c r="M49" s="109"/>
      <c r="N49" s="109"/>
      <c r="O49" s="109"/>
      <c r="P49" s="109"/>
      <c r="Q49" s="109"/>
      <c r="R49" s="109"/>
      <c r="S49" s="109"/>
      <c r="T49" s="109"/>
      <c r="U49" s="109"/>
      <c r="V49" s="109"/>
      <c r="W49" s="109"/>
      <c r="X49" s="109"/>
      <c r="Y49" s="109"/>
      <c r="Z49" s="109"/>
    </row>
    <row r="50" ht="29.25" customHeight="1">
      <c r="A50" s="109"/>
      <c r="B50" s="109"/>
      <c r="C50" s="109"/>
      <c r="D50" s="109"/>
      <c r="E50" s="109"/>
      <c r="F50" s="109"/>
      <c r="G50" s="109"/>
      <c r="H50" s="109"/>
      <c r="I50" s="109"/>
      <c r="J50" s="109"/>
      <c r="K50" s="109"/>
      <c r="L50" s="109"/>
      <c r="M50" s="109"/>
      <c r="N50" s="109"/>
      <c r="O50" s="109"/>
      <c r="P50" s="109"/>
      <c r="Q50" s="109"/>
      <c r="R50" s="109"/>
      <c r="S50" s="109"/>
      <c r="T50" s="109"/>
      <c r="U50" s="109"/>
      <c r="V50" s="109"/>
      <c r="W50" s="109"/>
      <c r="X50" s="109"/>
      <c r="Y50" s="109"/>
      <c r="Z50" s="109"/>
    </row>
    <row r="51" ht="29.25" customHeight="1">
      <c r="A51" s="109"/>
      <c r="B51" s="109"/>
      <c r="C51" s="109"/>
      <c r="D51" s="109"/>
      <c r="E51" s="109"/>
      <c r="F51" s="109"/>
      <c r="G51" s="109"/>
      <c r="H51" s="109"/>
      <c r="I51" s="109"/>
      <c r="J51" s="109"/>
      <c r="K51" s="109"/>
      <c r="L51" s="109"/>
      <c r="M51" s="109"/>
      <c r="N51" s="109"/>
      <c r="O51" s="109"/>
      <c r="P51" s="109"/>
      <c r="Q51" s="109"/>
      <c r="R51" s="109"/>
      <c r="S51" s="109"/>
      <c r="T51" s="109"/>
      <c r="U51" s="109"/>
      <c r="V51" s="109"/>
      <c r="W51" s="109"/>
      <c r="X51" s="109"/>
      <c r="Y51" s="109"/>
      <c r="Z51" s="109"/>
    </row>
    <row r="52" ht="29.25" customHeight="1">
      <c r="A52" s="109"/>
      <c r="B52" s="109"/>
      <c r="C52" s="109"/>
      <c r="D52" s="109"/>
      <c r="E52" s="109"/>
      <c r="F52" s="109"/>
      <c r="G52" s="109"/>
      <c r="H52" s="109"/>
      <c r="I52" s="109"/>
      <c r="J52" s="109"/>
      <c r="K52" s="109"/>
      <c r="L52" s="109"/>
      <c r="M52" s="109"/>
      <c r="N52" s="109"/>
      <c r="O52" s="109"/>
      <c r="P52" s="109"/>
      <c r="Q52" s="109"/>
      <c r="R52" s="109"/>
      <c r="S52" s="109"/>
      <c r="T52" s="109"/>
      <c r="U52" s="109"/>
      <c r="V52" s="109"/>
      <c r="W52" s="109"/>
      <c r="X52" s="109"/>
      <c r="Y52" s="109"/>
      <c r="Z52" s="109"/>
    </row>
    <row r="53" ht="29.25" customHeight="1">
      <c r="A53" s="109"/>
      <c r="B53" s="109"/>
      <c r="C53" s="109"/>
      <c r="D53" s="109"/>
      <c r="E53" s="109"/>
      <c r="F53" s="109"/>
      <c r="G53" s="109"/>
      <c r="H53" s="109"/>
      <c r="I53" s="109"/>
      <c r="J53" s="109"/>
      <c r="K53" s="109"/>
      <c r="L53" s="109"/>
      <c r="M53" s="109"/>
      <c r="N53" s="109"/>
      <c r="O53" s="109"/>
      <c r="P53" s="109"/>
      <c r="Q53" s="109"/>
      <c r="R53" s="109"/>
      <c r="S53" s="109"/>
      <c r="T53" s="109"/>
      <c r="U53" s="109"/>
      <c r="V53" s="109"/>
      <c r="W53" s="109"/>
      <c r="X53" s="109"/>
      <c r="Y53" s="109"/>
      <c r="Z53" s="109"/>
    </row>
    <row r="54" ht="29.25" customHeight="1">
      <c r="A54" s="109"/>
      <c r="B54" s="109"/>
      <c r="C54" s="109"/>
      <c r="D54" s="109"/>
      <c r="E54" s="109"/>
      <c r="F54" s="109"/>
      <c r="G54" s="109"/>
      <c r="H54" s="109"/>
      <c r="I54" s="109"/>
      <c r="J54" s="109"/>
      <c r="K54" s="109"/>
      <c r="L54" s="109"/>
      <c r="M54" s="109"/>
      <c r="N54" s="109"/>
      <c r="O54" s="109"/>
      <c r="P54" s="109"/>
      <c r="Q54" s="109"/>
      <c r="R54" s="109"/>
      <c r="S54" s="109"/>
      <c r="T54" s="109"/>
      <c r="U54" s="109"/>
      <c r="V54" s="109"/>
      <c r="W54" s="109"/>
      <c r="X54" s="109"/>
      <c r="Y54" s="109"/>
      <c r="Z54" s="109"/>
    </row>
    <row r="55" ht="29.25" customHeight="1">
      <c r="A55" s="109"/>
      <c r="B55" s="109"/>
      <c r="C55" s="109"/>
      <c r="D55" s="109"/>
      <c r="E55" s="109"/>
      <c r="F55" s="109"/>
      <c r="G55" s="109"/>
      <c r="H55" s="109"/>
      <c r="I55" s="109"/>
      <c r="J55" s="109"/>
      <c r="K55" s="109"/>
      <c r="L55" s="109"/>
      <c r="M55" s="109"/>
      <c r="N55" s="109"/>
      <c r="O55" s="109"/>
      <c r="P55" s="109"/>
      <c r="Q55" s="109"/>
      <c r="R55" s="109"/>
      <c r="S55" s="109"/>
      <c r="T55" s="109"/>
      <c r="U55" s="109"/>
      <c r="V55" s="109"/>
      <c r="W55" s="109"/>
      <c r="X55" s="109"/>
      <c r="Y55" s="109"/>
      <c r="Z55" s="109"/>
    </row>
    <row r="56" ht="29.25" customHeight="1">
      <c r="A56" s="109"/>
      <c r="B56" s="109"/>
      <c r="C56" s="109"/>
      <c r="D56" s="109"/>
      <c r="E56" s="109"/>
      <c r="F56" s="109"/>
      <c r="G56" s="109"/>
      <c r="H56" s="109"/>
      <c r="I56" s="109"/>
      <c r="J56" s="109"/>
      <c r="K56" s="109"/>
      <c r="L56" s="109"/>
      <c r="M56" s="109"/>
      <c r="N56" s="109"/>
      <c r="O56" s="109"/>
      <c r="P56" s="109"/>
      <c r="Q56" s="109"/>
      <c r="R56" s="109"/>
      <c r="S56" s="109"/>
      <c r="T56" s="109"/>
      <c r="U56" s="109"/>
      <c r="V56" s="109"/>
      <c r="W56" s="109"/>
      <c r="X56" s="109"/>
      <c r="Y56" s="109"/>
      <c r="Z56" s="109"/>
    </row>
    <row r="57" ht="29.25" customHeight="1">
      <c r="A57" s="109"/>
      <c r="B57" s="109"/>
      <c r="C57" s="109"/>
      <c r="D57" s="109"/>
      <c r="E57" s="109"/>
      <c r="F57" s="109"/>
      <c r="G57" s="109"/>
      <c r="H57" s="109"/>
      <c r="I57" s="109"/>
      <c r="J57" s="109"/>
      <c r="K57" s="109"/>
      <c r="L57" s="109"/>
      <c r="M57" s="109"/>
      <c r="N57" s="109"/>
      <c r="O57" s="109"/>
      <c r="P57" s="109"/>
      <c r="Q57" s="109"/>
      <c r="R57" s="109"/>
      <c r="S57" s="109"/>
      <c r="T57" s="109"/>
      <c r="U57" s="109"/>
      <c r="V57" s="109"/>
      <c r="W57" s="109"/>
      <c r="X57" s="109"/>
      <c r="Y57" s="109"/>
      <c r="Z57" s="109"/>
    </row>
    <row r="58" ht="29.25" customHeight="1">
      <c r="A58" s="109"/>
      <c r="B58" s="109"/>
      <c r="C58" s="109"/>
      <c r="D58" s="109"/>
      <c r="E58" s="109"/>
      <c r="F58" s="109"/>
      <c r="G58" s="109"/>
      <c r="H58" s="109"/>
      <c r="I58" s="109"/>
      <c r="J58" s="109"/>
      <c r="K58" s="109"/>
      <c r="L58" s="109"/>
      <c r="M58" s="109"/>
      <c r="N58" s="109"/>
      <c r="O58" s="109"/>
      <c r="P58" s="109"/>
      <c r="Q58" s="109"/>
      <c r="R58" s="109"/>
      <c r="S58" s="109"/>
      <c r="T58" s="109"/>
      <c r="U58" s="109"/>
      <c r="V58" s="109"/>
      <c r="W58" s="109"/>
      <c r="X58" s="109"/>
      <c r="Y58" s="109"/>
      <c r="Z58" s="109"/>
    </row>
    <row r="59" ht="29.25" customHeight="1">
      <c r="A59" s="109"/>
      <c r="B59" s="109"/>
      <c r="C59" s="109"/>
      <c r="D59" s="109"/>
      <c r="E59" s="109"/>
      <c r="F59" s="109"/>
      <c r="G59" s="109"/>
      <c r="H59" s="109"/>
      <c r="I59" s="109"/>
      <c r="J59" s="109"/>
      <c r="K59" s="109"/>
      <c r="L59" s="109"/>
      <c r="M59" s="109"/>
      <c r="N59" s="109"/>
      <c r="O59" s="109"/>
      <c r="P59" s="109"/>
      <c r="Q59" s="109"/>
      <c r="R59" s="109"/>
      <c r="S59" s="109"/>
      <c r="T59" s="109"/>
      <c r="U59" s="109"/>
      <c r="V59" s="109"/>
      <c r="W59" s="109"/>
      <c r="X59" s="109"/>
      <c r="Y59" s="109"/>
      <c r="Z59" s="109"/>
    </row>
    <row r="60" ht="29.25" customHeight="1">
      <c r="A60" s="109"/>
      <c r="B60" s="109"/>
      <c r="C60" s="109"/>
      <c r="D60" s="109"/>
      <c r="E60" s="109"/>
      <c r="F60" s="109"/>
      <c r="G60" s="109"/>
      <c r="H60" s="109"/>
      <c r="I60" s="109"/>
      <c r="J60" s="109"/>
      <c r="K60" s="109"/>
      <c r="L60" s="109"/>
      <c r="M60" s="109"/>
      <c r="N60" s="109"/>
      <c r="O60" s="109"/>
      <c r="P60" s="109"/>
      <c r="Q60" s="109"/>
      <c r="R60" s="109"/>
      <c r="S60" s="109"/>
      <c r="T60" s="109"/>
      <c r="U60" s="109"/>
      <c r="V60" s="109"/>
      <c r="W60" s="109"/>
      <c r="X60" s="109"/>
      <c r="Y60" s="109"/>
      <c r="Z60" s="109"/>
    </row>
    <row r="61" ht="29.25" customHeight="1">
      <c r="A61" s="109"/>
      <c r="B61" s="109"/>
      <c r="C61" s="109"/>
      <c r="D61" s="109"/>
      <c r="E61" s="109"/>
      <c r="F61" s="109"/>
      <c r="G61" s="109"/>
      <c r="H61" s="109"/>
      <c r="I61" s="109"/>
      <c r="J61" s="109"/>
      <c r="K61" s="109"/>
      <c r="L61" s="109"/>
      <c r="M61" s="109"/>
      <c r="N61" s="109"/>
      <c r="O61" s="109"/>
      <c r="P61" s="109"/>
      <c r="Q61" s="109"/>
      <c r="R61" s="109"/>
      <c r="S61" s="109"/>
      <c r="T61" s="109"/>
      <c r="U61" s="109"/>
      <c r="V61" s="109"/>
      <c r="W61" s="109"/>
      <c r="X61" s="109"/>
      <c r="Y61" s="109"/>
      <c r="Z61" s="109"/>
    </row>
    <row r="62" ht="29.25" customHeight="1">
      <c r="A62" s="109"/>
      <c r="B62" s="109"/>
      <c r="C62" s="109"/>
      <c r="D62" s="109"/>
      <c r="E62" s="109"/>
      <c r="F62" s="109"/>
      <c r="G62" s="109"/>
      <c r="H62" s="109"/>
      <c r="I62" s="109"/>
      <c r="J62" s="109"/>
      <c r="K62" s="109"/>
      <c r="L62" s="109"/>
      <c r="M62" s="109"/>
      <c r="N62" s="109"/>
      <c r="O62" s="109"/>
      <c r="P62" s="109"/>
      <c r="Q62" s="109"/>
      <c r="R62" s="109"/>
      <c r="S62" s="109"/>
      <c r="T62" s="109"/>
      <c r="U62" s="109"/>
      <c r="V62" s="109"/>
      <c r="W62" s="109"/>
      <c r="X62" s="109"/>
      <c r="Y62" s="109"/>
      <c r="Z62" s="109"/>
    </row>
    <row r="63" ht="29.25" customHeight="1">
      <c r="A63" s="109"/>
      <c r="B63" s="109"/>
      <c r="C63" s="109"/>
      <c r="D63" s="109"/>
      <c r="E63" s="109"/>
      <c r="F63" s="109"/>
      <c r="G63" s="109"/>
      <c r="H63" s="109"/>
      <c r="I63" s="109"/>
      <c r="J63" s="109"/>
      <c r="K63" s="109"/>
      <c r="L63" s="109"/>
      <c r="M63" s="109"/>
      <c r="N63" s="109"/>
      <c r="O63" s="109"/>
      <c r="P63" s="109"/>
      <c r="Q63" s="109"/>
      <c r="R63" s="109"/>
      <c r="S63" s="109"/>
      <c r="T63" s="109"/>
      <c r="U63" s="109"/>
      <c r="V63" s="109"/>
      <c r="W63" s="109"/>
      <c r="X63" s="109"/>
      <c r="Y63" s="109"/>
      <c r="Z63" s="109"/>
    </row>
    <row r="64" ht="29.25" customHeight="1">
      <c r="A64" s="109"/>
      <c r="B64" s="109"/>
      <c r="C64" s="109"/>
      <c r="D64" s="109"/>
      <c r="E64" s="109"/>
      <c r="F64" s="109"/>
      <c r="G64" s="109"/>
      <c r="H64" s="317"/>
      <c r="I64" s="109"/>
      <c r="J64" s="109"/>
      <c r="K64" s="109"/>
      <c r="L64" s="109"/>
      <c r="M64" s="109"/>
      <c r="N64" s="109"/>
      <c r="O64" s="109"/>
      <c r="P64" s="109"/>
      <c r="Q64" s="109"/>
      <c r="R64" s="109"/>
      <c r="S64" s="109"/>
      <c r="T64" s="109"/>
      <c r="U64" s="109"/>
      <c r="V64" s="109"/>
      <c r="W64" s="109"/>
      <c r="X64" s="109"/>
      <c r="Y64" s="109"/>
      <c r="Z64" s="109"/>
    </row>
    <row r="65" ht="29.25" customHeight="1">
      <c r="A65" s="109"/>
      <c r="B65" s="109"/>
      <c r="C65" s="109"/>
      <c r="D65" s="109"/>
      <c r="E65" s="109"/>
      <c r="F65" s="109"/>
      <c r="G65" s="109"/>
      <c r="H65" s="317"/>
      <c r="I65" s="109"/>
      <c r="J65" s="109"/>
      <c r="K65" s="109"/>
      <c r="L65" s="109"/>
      <c r="M65" s="109"/>
      <c r="N65" s="109"/>
      <c r="O65" s="109"/>
      <c r="P65" s="109"/>
      <c r="Q65" s="109"/>
      <c r="R65" s="109"/>
      <c r="S65" s="109"/>
      <c r="T65" s="109"/>
      <c r="U65" s="109"/>
      <c r="V65" s="109"/>
      <c r="W65" s="109"/>
      <c r="X65" s="109"/>
      <c r="Y65" s="109"/>
      <c r="Z65" s="109"/>
    </row>
    <row r="66" ht="29.25" customHeight="1">
      <c r="A66" s="109"/>
      <c r="B66" s="109"/>
      <c r="C66" s="109"/>
      <c r="D66" s="109"/>
      <c r="E66" s="109"/>
      <c r="F66" s="109"/>
      <c r="G66" s="109"/>
      <c r="H66" s="317"/>
      <c r="I66" s="109"/>
      <c r="J66" s="109"/>
      <c r="K66" s="109"/>
      <c r="L66" s="109"/>
      <c r="M66" s="109"/>
      <c r="N66" s="109"/>
      <c r="O66" s="109"/>
      <c r="P66" s="109"/>
      <c r="Q66" s="109"/>
      <c r="R66" s="109"/>
      <c r="S66" s="109"/>
      <c r="T66" s="109"/>
      <c r="U66" s="109"/>
      <c r="V66" s="109"/>
      <c r="W66" s="109"/>
      <c r="X66" s="109"/>
      <c r="Y66" s="109"/>
      <c r="Z66" s="109"/>
    </row>
    <row r="67" ht="29.25" customHeight="1">
      <c r="A67" s="109"/>
      <c r="B67" s="109"/>
      <c r="C67" s="109"/>
      <c r="D67" s="109"/>
      <c r="E67" s="109"/>
      <c r="F67" s="109"/>
      <c r="G67" s="109"/>
      <c r="H67" s="317"/>
      <c r="I67" s="109"/>
      <c r="J67" s="109"/>
      <c r="K67" s="109"/>
      <c r="L67" s="109"/>
      <c r="M67" s="109"/>
      <c r="N67" s="109"/>
      <c r="O67" s="109"/>
      <c r="P67" s="109"/>
      <c r="Q67" s="109"/>
      <c r="R67" s="109"/>
      <c r="S67" s="109"/>
      <c r="T67" s="109"/>
      <c r="U67" s="109"/>
      <c r="V67" s="109"/>
      <c r="W67" s="109"/>
      <c r="X67" s="109"/>
      <c r="Y67" s="109"/>
      <c r="Z67" s="109"/>
    </row>
    <row r="68" ht="29.25" customHeight="1">
      <c r="A68" s="109"/>
      <c r="B68" s="109"/>
      <c r="C68" s="109"/>
      <c r="D68" s="109"/>
      <c r="E68" s="109"/>
      <c r="F68" s="109"/>
      <c r="G68" s="109"/>
      <c r="H68" s="317"/>
      <c r="I68" s="109"/>
      <c r="J68" s="109"/>
      <c r="K68" s="109"/>
      <c r="L68" s="109"/>
      <c r="M68" s="109"/>
      <c r="N68" s="109"/>
      <c r="O68" s="109"/>
      <c r="P68" s="109"/>
      <c r="Q68" s="109"/>
      <c r="R68" s="109"/>
      <c r="S68" s="109"/>
      <c r="T68" s="109"/>
      <c r="U68" s="109"/>
      <c r="V68" s="109"/>
      <c r="W68" s="109"/>
      <c r="X68" s="109"/>
      <c r="Y68" s="109"/>
      <c r="Z68" s="109"/>
    </row>
    <row r="69" ht="29.25" customHeight="1">
      <c r="A69" s="109"/>
      <c r="B69" s="109"/>
      <c r="C69" s="109"/>
      <c r="D69" s="109"/>
      <c r="E69" s="109"/>
      <c r="F69" s="109"/>
      <c r="G69" s="109"/>
      <c r="H69" s="317"/>
      <c r="I69" s="109"/>
      <c r="J69" s="109"/>
      <c r="K69" s="109"/>
      <c r="L69" s="109"/>
      <c r="M69" s="109"/>
      <c r="N69" s="109"/>
      <c r="O69" s="109"/>
      <c r="P69" s="109"/>
      <c r="Q69" s="109"/>
      <c r="R69" s="109"/>
      <c r="S69" s="109"/>
      <c r="T69" s="109"/>
      <c r="U69" s="109"/>
      <c r="V69" s="109"/>
      <c r="W69" s="109"/>
      <c r="X69" s="109"/>
      <c r="Y69" s="109"/>
      <c r="Z69" s="109"/>
    </row>
    <row r="70" ht="29.25" customHeight="1">
      <c r="A70" s="109"/>
      <c r="B70" s="109"/>
      <c r="C70" s="109"/>
      <c r="D70" s="109"/>
      <c r="E70" s="109"/>
      <c r="F70" s="109"/>
      <c r="G70" s="109"/>
      <c r="H70" s="317"/>
      <c r="I70" s="109"/>
      <c r="J70" s="109"/>
      <c r="K70" s="109"/>
      <c r="L70" s="109"/>
      <c r="M70" s="109"/>
      <c r="N70" s="109"/>
      <c r="O70" s="109"/>
      <c r="P70" s="109"/>
      <c r="Q70" s="109"/>
      <c r="R70" s="109"/>
      <c r="S70" s="109"/>
      <c r="T70" s="109"/>
      <c r="U70" s="109"/>
      <c r="V70" s="109"/>
      <c r="W70" s="109"/>
      <c r="X70" s="109"/>
      <c r="Y70" s="109"/>
      <c r="Z70" s="109"/>
    </row>
    <row r="71" ht="29.25" customHeight="1">
      <c r="A71" s="109"/>
      <c r="B71" s="109"/>
      <c r="C71" s="109"/>
      <c r="D71" s="109"/>
      <c r="E71" s="109"/>
      <c r="F71" s="109"/>
      <c r="G71" s="109"/>
      <c r="H71" s="317"/>
      <c r="I71" s="109"/>
      <c r="J71" s="109"/>
      <c r="K71" s="109"/>
      <c r="L71" s="109"/>
      <c r="M71" s="109"/>
      <c r="N71" s="109"/>
      <c r="O71" s="109"/>
      <c r="P71" s="109"/>
      <c r="Q71" s="109"/>
      <c r="R71" s="109"/>
      <c r="S71" s="109"/>
      <c r="T71" s="109"/>
      <c r="U71" s="109"/>
      <c r="V71" s="109"/>
      <c r="W71" s="109"/>
      <c r="X71" s="109"/>
      <c r="Y71" s="109"/>
      <c r="Z71" s="109"/>
    </row>
    <row r="72" ht="29.25" customHeight="1">
      <c r="A72" s="109"/>
      <c r="B72" s="109"/>
      <c r="C72" s="109"/>
      <c r="D72" s="109"/>
      <c r="E72" s="109"/>
      <c r="F72" s="109"/>
      <c r="G72" s="109"/>
      <c r="H72" s="317"/>
      <c r="I72" s="109"/>
      <c r="J72" s="109"/>
      <c r="K72" s="109"/>
      <c r="L72" s="109"/>
      <c r="M72" s="109"/>
      <c r="N72" s="109"/>
      <c r="O72" s="109"/>
      <c r="P72" s="109"/>
      <c r="Q72" s="109"/>
      <c r="R72" s="109"/>
      <c r="S72" s="109"/>
      <c r="T72" s="109"/>
      <c r="U72" s="109"/>
      <c r="V72" s="109"/>
      <c r="W72" s="109"/>
      <c r="X72" s="109"/>
      <c r="Y72" s="109"/>
      <c r="Z72" s="109"/>
    </row>
    <row r="73" ht="29.25" customHeight="1">
      <c r="A73" s="109"/>
      <c r="B73" s="109"/>
      <c r="C73" s="109"/>
      <c r="D73" s="109"/>
      <c r="E73" s="109"/>
      <c r="F73" s="109"/>
      <c r="G73" s="109"/>
      <c r="H73" s="317"/>
      <c r="I73" s="109"/>
      <c r="J73" s="109"/>
      <c r="K73" s="109"/>
      <c r="L73" s="109"/>
      <c r="M73" s="109"/>
      <c r="N73" s="109"/>
      <c r="O73" s="109"/>
      <c r="P73" s="109"/>
      <c r="Q73" s="109"/>
      <c r="R73" s="109"/>
      <c r="S73" s="109"/>
      <c r="T73" s="109"/>
      <c r="U73" s="109"/>
      <c r="V73" s="109"/>
      <c r="W73" s="109"/>
      <c r="X73" s="109"/>
      <c r="Y73" s="109"/>
      <c r="Z73" s="109"/>
    </row>
    <row r="74" ht="29.25" customHeight="1">
      <c r="A74" s="109"/>
      <c r="B74" s="109"/>
      <c r="C74" s="109"/>
      <c r="D74" s="109"/>
      <c r="E74" s="109"/>
      <c r="F74" s="109"/>
      <c r="G74" s="109"/>
      <c r="H74" s="317"/>
      <c r="I74" s="109"/>
      <c r="J74" s="109"/>
      <c r="K74" s="109"/>
      <c r="L74" s="109"/>
      <c r="M74" s="109"/>
      <c r="N74" s="109"/>
      <c r="O74" s="109"/>
      <c r="P74" s="109"/>
      <c r="Q74" s="109"/>
      <c r="R74" s="109"/>
      <c r="S74" s="109"/>
      <c r="T74" s="109"/>
      <c r="U74" s="109"/>
      <c r="V74" s="109"/>
      <c r="W74" s="109"/>
      <c r="X74" s="109"/>
      <c r="Y74" s="109"/>
      <c r="Z74" s="109"/>
    </row>
    <row r="75" ht="29.25" customHeight="1">
      <c r="A75" s="109"/>
      <c r="B75" s="109"/>
      <c r="C75" s="109"/>
      <c r="D75" s="109"/>
      <c r="E75" s="109"/>
      <c r="F75" s="109"/>
      <c r="G75" s="109"/>
      <c r="H75" s="317"/>
      <c r="I75" s="109"/>
      <c r="J75" s="109"/>
      <c r="K75" s="109"/>
      <c r="L75" s="109"/>
      <c r="M75" s="109"/>
      <c r="N75" s="109"/>
      <c r="O75" s="109"/>
      <c r="P75" s="109"/>
      <c r="Q75" s="109"/>
      <c r="R75" s="109"/>
      <c r="S75" s="109"/>
      <c r="T75" s="109"/>
      <c r="U75" s="109"/>
      <c r="V75" s="109"/>
      <c r="W75" s="109"/>
      <c r="X75" s="109"/>
      <c r="Y75" s="109"/>
      <c r="Z75" s="109"/>
    </row>
    <row r="76" ht="29.25" customHeight="1">
      <c r="A76" s="109"/>
      <c r="B76" s="109"/>
      <c r="C76" s="109"/>
      <c r="D76" s="109"/>
      <c r="E76" s="109"/>
      <c r="F76" s="109"/>
      <c r="G76" s="109"/>
      <c r="H76" s="317"/>
      <c r="I76" s="109"/>
      <c r="J76" s="109"/>
      <c r="K76" s="109"/>
      <c r="L76" s="109"/>
      <c r="M76" s="109"/>
      <c r="N76" s="109"/>
      <c r="O76" s="109"/>
      <c r="P76" s="109"/>
      <c r="Q76" s="109"/>
      <c r="R76" s="109"/>
      <c r="S76" s="109"/>
      <c r="T76" s="109"/>
      <c r="U76" s="109"/>
      <c r="V76" s="109"/>
      <c r="W76" s="109"/>
      <c r="X76" s="109"/>
      <c r="Y76" s="109"/>
      <c r="Z76" s="109"/>
    </row>
    <row r="77" ht="29.25" customHeight="1">
      <c r="A77" s="109"/>
      <c r="B77" s="109"/>
      <c r="C77" s="109"/>
      <c r="D77" s="109"/>
      <c r="E77" s="109"/>
      <c r="F77" s="109"/>
      <c r="G77" s="109"/>
      <c r="H77" s="317"/>
      <c r="I77" s="109"/>
      <c r="J77" s="109"/>
      <c r="K77" s="109"/>
      <c r="L77" s="109"/>
      <c r="M77" s="109"/>
      <c r="N77" s="109"/>
      <c r="O77" s="109"/>
      <c r="P77" s="109"/>
      <c r="Q77" s="109"/>
      <c r="R77" s="109"/>
      <c r="S77" s="109"/>
      <c r="T77" s="109"/>
      <c r="U77" s="109"/>
      <c r="V77" s="109"/>
      <c r="W77" s="109"/>
      <c r="X77" s="109"/>
      <c r="Y77" s="109"/>
      <c r="Z77" s="109"/>
    </row>
    <row r="78" ht="29.25" customHeight="1">
      <c r="A78" s="109"/>
      <c r="B78" s="109"/>
      <c r="C78" s="109"/>
      <c r="D78" s="109"/>
      <c r="E78" s="109"/>
      <c r="F78" s="109"/>
      <c r="G78" s="109"/>
      <c r="H78" s="317"/>
      <c r="I78" s="109"/>
      <c r="J78" s="109"/>
      <c r="K78" s="109"/>
      <c r="L78" s="109"/>
      <c r="M78" s="109"/>
      <c r="N78" s="109"/>
      <c r="O78" s="109"/>
      <c r="P78" s="109"/>
      <c r="Q78" s="109"/>
      <c r="R78" s="109"/>
      <c r="S78" s="109"/>
      <c r="T78" s="109"/>
      <c r="U78" s="109"/>
      <c r="V78" s="109"/>
      <c r="W78" s="109"/>
      <c r="X78" s="109"/>
      <c r="Y78" s="109"/>
      <c r="Z78" s="109"/>
    </row>
    <row r="79" ht="29.25" customHeight="1">
      <c r="A79" s="109"/>
      <c r="B79" s="109"/>
      <c r="C79" s="109"/>
      <c r="D79" s="109"/>
      <c r="E79" s="109"/>
      <c r="F79" s="109"/>
      <c r="G79" s="109"/>
      <c r="H79" s="317"/>
      <c r="I79" s="109"/>
      <c r="J79" s="109"/>
      <c r="K79" s="109"/>
      <c r="L79" s="109"/>
      <c r="M79" s="109"/>
      <c r="N79" s="109"/>
      <c r="O79" s="109"/>
      <c r="P79" s="109"/>
      <c r="Q79" s="109"/>
      <c r="R79" s="109"/>
      <c r="S79" s="109"/>
      <c r="T79" s="109"/>
      <c r="U79" s="109"/>
      <c r="V79" s="109"/>
      <c r="W79" s="109"/>
      <c r="X79" s="109"/>
      <c r="Y79" s="109"/>
      <c r="Z79" s="109"/>
    </row>
    <row r="80" ht="29.25" customHeight="1">
      <c r="A80" s="109"/>
      <c r="B80" s="109"/>
      <c r="C80" s="109"/>
      <c r="D80" s="109"/>
      <c r="E80" s="109"/>
      <c r="F80" s="109"/>
      <c r="G80" s="109"/>
      <c r="H80" s="317"/>
      <c r="I80" s="109"/>
      <c r="J80" s="109"/>
      <c r="K80" s="109"/>
      <c r="L80" s="109"/>
      <c r="M80" s="109"/>
      <c r="N80" s="109"/>
      <c r="O80" s="109"/>
      <c r="P80" s="109"/>
      <c r="Q80" s="109"/>
      <c r="R80" s="109"/>
      <c r="S80" s="109"/>
      <c r="T80" s="109"/>
      <c r="U80" s="109"/>
      <c r="V80" s="109"/>
      <c r="W80" s="109"/>
      <c r="X80" s="109"/>
      <c r="Y80" s="109"/>
      <c r="Z80" s="109"/>
    </row>
    <row r="81" ht="29.25" customHeight="1">
      <c r="A81" s="109"/>
      <c r="B81" s="109"/>
      <c r="C81" s="109"/>
      <c r="D81" s="109"/>
      <c r="E81" s="109"/>
      <c r="F81" s="109"/>
      <c r="G81" s="109"/>
      <c r="H81" s="317"/>
      <c r="I81" s="109"/>
      <c r="J81" s="109"/>
      <c r="K81" s="109"/>
      <c r="L81" s="109"/>
      <c r="M81" s="109"/>
      <c r="N81" s="109"/>
      <c r="O81" s="109"/>
      <c r="P81" s="109"/>
      <c r="Q81" s="109"/>
      <c r="R81" s="109"/>
      <c r="S81" s="109"/>
      <c r="T81" s="109"/>
      <c r="U81" s="109"/>
      <c r="V81" s="109"/>
      <c r="W81" s="109"/>
      <c r="X81" s="109"/>
      <c r="Y81" s="109"/>
      <c r="Z81" s="109"/>
    </row>
    <row r="82" ht="29.25" customHeight="1">
      <c r="A82" s="109"/>
      <c r="B82" s="109"/>
      <c r="C82" s="109"/>
      <c r="D82" s="109"/>
      <c r="E82" s="109"/>
      <c r="F82" s="109"/>
      <c r="G82" s="109"/>
      <c r="H82" s="317"/>
      <c r="I82" s="109"/>
      <c r="J82" s="109"/>
      <c r="K82" s="109"/>
      <c r="L82" s="109"/>
      <c r="M82" s="109"/>
      <c r="N82" s="109"/>
      <c r="O82" s="109"/>
      <c r="P82" s="109"/>
      <c r="Q82" s="109"/>
      <c r="R82" s="109"/>
      <c r="S82" s="109"/>
      <c r="T82" s="109"/>
      <c r="U82" s="109"/>
      <c r="V82" s="109"/>
      <c r="W82" s="109"/>
      <c r="X82" s="109"/>
      <c r="Y82" s="109"/>
      <c r="Z82" s="109"/>
    </row>
    <row r="83" ht="29.25" customHeight="1">
      <c r="A83" s="109"/>
      <c r="B83" s="109"/>
      <c r="C83" s="109"/>
      <c r="D83" s="109"/>
      <c r="E83" s="109"/>
      <c r="F83" s="109"/>
      <c r="G83" s="109"/>
      <c r="H83" s="317"/>
      <c r="I83" s="109"/>
      <c r="J83" s="109"/>
      <c r="K83" s="109"/>
      <c r="L83" s="109"/>
      <c r="M83" s="109"/>
      <c r="N83" s="109"/>
      <c r="O83" s="109"/>
      <c r="P83" s="109"/>
      <c r="Q83" s="109"/>
      <c r="R83" s="109"/>
      <c r="S83" s="109"/>
      <c r="T83" s="109"/>
      <c r="U83" s="109"/>
      <c r="V83" s="109"/>
      <c r="W83" s="109"/>
      <c r="X83" s="109"/>
      <c r="Y83" s="109"/>
      <c r="Z83" s="109"/>
    </row>
    <row r="84" ht="29.25" customHeight="1">
      <c r="A84" s="109"/>
      <c r="B84" s="109"/>
      <c r="C84" s="109"/>
      <c r="D84" s="109"/>
      <c r="E84" s="109"/>
      <c r="F84" s="109"/>
      <c r="G84" s="109"/>
      <c r="H84" s="317"/>
      <c r="I84" s="109"/>
      <c r="J84" s="109"/>
      <c r="K84" s="109"/>
      <c r="L84" s="109"/>
      <c r="M84" s="109"/>
      <c r="N84" s="109"/>
      <c r="O84" s="109"/>
      <c r="P84" s="109"/>
      <c r="Q84" s="109"/>
      <c r="R84" s="109"/>
      <c r="S84" s="109"/>
      <c r="T84" s="109"/>
      <c r="U84" s="109"/>
      <c r="V84" s="109"/>
      <c r="W84" s="109"/>
      <c r="X84" s="109"/>
      <c r="Y84" s="109"/>
      <c r="Z84" s="109"/>
    </row>
    <row r="85" ht="29.25" customHeight="1">
      <c r="A85" s="109"/>
      <c r="B85" s="109"/>
      <c r="C85" s="109"/>
      <c r="D85" s="109"/>
      <c r="E85" s="109"/>
      <c r="F85" s="109"/>
      <c r="G85" s="109"/>
      <c r="H85" s="317"/>
      <c r="I85" s="109"/>
      <c r="J85" s="109"/>
      <c r="K85" s="109"/>
      <c r="L85" s="109"/>
      <c r="M85" s="109"/>
      <c r="N85" s="109"/>
      <c r="O85" s="109"/>
      <c r="P85" s="109"/>
      <c r="Q85" s="109"/>
      <c r="R85" s="109"/>
      <c r="S85" s="109"/>
      <c r="T85" s="109"/>
      <c r="U85" s="109"/>
      <c r="V85" s="109"/>
      <c r="W85" s="109"/>
      <c r="X85" s="109"/>
      <c r="Y85" s="109"/>
      <c r="Z85" s="109"/>
    </row>
    <row r="86" ht="29.25" customHeight="1">
      <c r="A86" s="109"/>
      <c r="B86" s="109"/>
      <c r="C86" s="109"/>
      <c r="D86" s="109"/>
      <c r="E86" s="109"/>
      <c r="F86" s="109"/>
      <c r="G86" s="109"/>
      <c r="H86" s="317"/>
      <c r="I86" s="109"/>
      <c r="J86" s="109"/>
      <c r="K86" s="109"/>
      <c r="L86" s="109"/>
      <c r="M86" s="109"/>
      <c r="N86" s="109"/>
      <c r="O86" s="109"/>
      <c r="P86" s="109"/>
      <c r="Q86" s="109"/>
      <c r="R86" s="109"/>
      <c r="S86" s="109"/>
      <c r="T86" s="109"/>
      <c r="U86" s="109"/>
      <c r="V86" s="109"/>
      <c r="W86" s="109"/>
      <c r="X86" s="109"/>
      <c r="Y86" s="109"/>
      <c r="Z86" s="109"/>
    </row>
    <row r="87" ht="29.25" customHeight="1">
      <c r="A87" s="109"/>
      <c r="B87" s="109"/>
      <c r="C87" s="109"/>
      <c r="D87" s="109"/>
      <c r="E87" s="109"/>
      <c r="F87" s="109"/>
      <c r="G87" s="109"/>
      <c r="H87" s="317"/>
      <c r="I87" s="109"/>
      <c r="J87" s="109"/>
      <c r="K87" s="109"/>
      <c r="L87" s="109"/>
      <c r="M87" s="109"/>
      <c r="N87" s="109"/>
      <c r="O87" s="109"/>
      <c r="P87" s="109"/>
      <c r="Q87" s="109"/>
      <c r="R87" s="109"/>
      <c r="S87" s="109"/>
      <c r="T87" s="109"/>
      <c r="U87" s="109"/>
      <c r="V87" s="109"/>
      <c r="W87" s="109"/>
      <c r="X87" s="109"/>
      <c r="Y87" s="109"/>
      <c r="Z87" s="109"/>
    </row>
    <row r="88" ht="29.25" customHeight="1">
      <c r="A88" s="109"/>
      <c r="B88" s="109"/>
      <c r="C88" s="109"/>
      <c r="D88" s="109"/>
      <c r="E88" s="109"/>
      <c r="F88" s="109"/>
      <c r="G88" s="109"/>
      <c r="H88" s="317"/>
      <c r="I88" s="109"/>
      <c r="J88" s="109"/>
      <c r="K88" s="109"/>
      <c r="L88" s="109"/>
      <c r="M88" s="109"/>
      <c r="N88" s="109"/>
      <c r="O88" s="109"/>
      <c r="P88" s="109"/>
      <c r="Q88" s="109"/>
      <c r="R88" s="109"/>
      <c r="S88" s="109"/>
      <c r="T88" s="109"/>
      <c r="U88" s="109"/>
      <c r="V88" s="109"/>
      <c r="W88" s="109"/>
      <c r="X88" s="109"/>
      <c r="Y88" s="109"/>
      <c r="Z88" s="109"/>
    </row>
    <row r="89" ht="29.25" customHeight="1">
      <c r="A89" s="109"/>
      <c r="B89" s="109"/>
      <c r="C89" s="109"/>
      <c r="D89" s="109"/>
      <c r="E89" s="109"/>
      <c r="F89" s="109"/>
      <c r="G89" s="109"/>
      <c r="H89" s="317"/>
      <c r="I89" s="109"/>
      <c r="J89" s="109"/>
      <c r="K89" s="109"/>
      <c r="L89" s="109"/>
      <c r="M89" s="109"/>
      <c r="N89" s="109"/>
      <c r="O89" s="109"/>
      <c r="P89" s="109"/>
      <c r="Q89" s="109"/>
      <c r="R89" s="109"/>
      <c r="S89" s="109"/>
      <c r="T89" s="109"/>
      <c r="U89" s="109"/>
      <c r="V89" s="109"/>
      <c r="W89" s="109"/>
      <c r="X89" s="109"/>
      <c r="Y89" s="109"/>
      <c r="Z89" s="109"/>
    </row>
    <row r="90" ht="29.25" customHeight="1">
      <c r="A90" s="109"/>
      <c r="B90" s="109"/>
      <c r="C90" s="109"/>
      <c r="D90" s="109"/>
      <c r="E90" s="109"/>
      <c r="F90" s="109"/>
      <c r="G90" s="109"/>
      <c r="H90" s="317"/>
      <c r="I90" s="109"/>
      <c r="J90" s="109"/>
      <c r="K90" s="109"/>
      <c r="L90" s="109"/>
      <c r="M90" s="109"/>
      <c r="N90" s="109"/>
      <c r="O90" s="109"/>
      <c r="P90" s="109"/>
      <c r="Q90" s="109"/>
      <c r="R90" s="109"/>
      <c r="S90" s="109"/>
      <c r="T90" s="109"/>
      <c r="U90" s="109"/>
      <c r="V90" s="109"/>
      <c r="W90" s="109"/>
      <c r="X90" s="109"/>
      <c r="Y90" s="109"/>
      <c r="Z90" s="109"/>
    </row>
    <row r="91" ht="29.25" customHeight="1">
      <c r="A91" s="109"/>
      <c r="B91" s="109"/>
      <c r="C91" s="109"/>
      <c r="D91" s="109"/>
      <c r="E91" s="109"/>
      <c r="F91" s="109"/>
      <c r="G91" s="109"/>
      <c r="H91" s="317"/>
      <c r="I91" s="109"/>
      <c r="J91" s="109"/>
      <c r="K91" s="109"/>
      <c r="L91" s="109"/>
      <c r="M91" s="109"/>
      <c r="N91" s="109"/>
      <c r="O91" s="109"/>
      <c r="P91" s="109"/>
      <c r="Q91" s="109"/>
      <c r="R91" s="109"/>
      <c r="S91" s="109"/>
      <c r="T91" s="109"/>
      <c r="U91" s="109"/>
      <c r="V91" s="109"/>
      <c r="W91" s="109"/>
      <c r="X91" s="109"/>
      <c r="Y91" s="109"/>
      <c r="Z91" s="109"/>
    </row>
    <row r="92" ht="29.25" customHeight="1">
      <c r="A92" s="109"/>
      <c r="B92" s="109"/>
      <c r="C92" s="109"/>
      <c r="D92" s="109"/>
      <c r="E92" s="109"/>
      <c r="F92" s="109"/>
      <c r="G92" s="109"/>
      <c r="H92" s="317"/>
      <c r="I92" s="109"/>
      <c r="J92" s="109"/>
      <c r="K92" s="109"/>
      <c r="L92" s="109"/>
      <c r="M92" s="109"/>
      <c r="N92" s="109"/>
      <c r="O92" s="109"/>
      <c r="P92" s="109"/>
      <c r="Q92" s="109"/>
      <c r="R92" s="109"/>
      <c r="S92" s="109"/>
      <c r="T92" s="109"/>
      <c r="U92" s="109"/>
      <c r="V92" s="109"/>
      <c r="W92" s="109"/>
      <c r="X92" s="109"/>
      <c r="Y92" s="109"/>
      <c r="Z92" s="109"/>
    </row>
    <row r="93" ht="29.25" customHeight="1">
      <c r="A93" s="109"/>
      <c r="B93" s="109"/>
      <c r="C93" s="109"/>
      <c r="D93" s="109"/>
      <c r="E93" s="109"/>
      <c r="F93" s="109"/>
      <c r="G93" s="109"/>
      <c r="H93" s="317"/>
      <c r="I93" s="109"/>
      <c r="J93" s="109"/>
      <c r="K93" s="109"/>
      <c r="L93" s="109"/>
      <c r="M93" s="109"/>
      <c r="N93" s="109"/>
      <c r="O93" s="109"/>
      <c r="P93" s="109"/>
      <c r="Q93" s="109"/>
      <c r="R93" s="109"/>
      <c r="S93" s="109"/>
      <c r="T93" s="109"/>
      <c r="U93" s="109"/>
      <c r="V93" s="109"/>
      <c r="W93" s="109"/>
      <c r="X93" s="109"/>
      <c r="Y93" s="109"/>
      <c r="Z93" s="109"/>
    </row>
    <row r="94" ht="29.25" customHeight="1">
      <c r="A94" s="109"/>
      <c r="B94" s="109"/>
      <c r="C94" s="109"/>
      <c r="D94" s="109"/>
      <c r="E94" s="109"/>
      <c r="F94" s="109"/>
      <c r="G94" s="109"/>
      <c r="H94" s="317"/>
      <c r="I94" s="109"/>
      <c r="J94" s="109"/>
      <c r="K94" s="109"/>
      <c r="L94" s="109"/>
      <c r="M94" s="109"/>
      <c r="N94" s="109"/>
      <c r="O94" s="109"/>
      <c r="P94" s="109"/>
      <c r="Q94" s="109"/>
      <c r="R94" s="109"/>
      <c r="S94" s="109"/>
      <c r="T94" s="109"/>
      <c r="U94" s="109"/>
      <c r="V94" s="109"/>
      <c r="W94" s="109"/>
      <c r="X94" s="109"/>
      <c r="Y94" s="109"/>
      <c r="Z94" s="109"/>
    </row>
    <row r="95" ht="29.25" customHeight="1">
      <c r="A95" s="109"/>
      <c r="B95" s="109"/>
      <c r="C95" s="109"/>
      <c r="D95" s="109"/>
      <c r="E95" s="109"/>
      <c r="F95" s="109"/>
      <c r="G95" s="109"/>
      <c r="H95" s="317"/>
      <c r="I95" s="109"/>
      <c r="J95" s="109"/>
      <c r="K95" s="109"/>
      <c r="L95" s="109"/>
      <c r="M95" s="109"/>
      <c r="N95" s="109"/>
      <c r="O95" s="109"/>
      <c r="P95" s="109"/>
      <c r="Q95" s="109"/>
      <c r="R95" s="109"/>
      <c r="S95" s="109"/>
      <c r="T95" s="109"/>
      <c r="U95" s="109"/>
      <c r="V95" s="109"/>
      <c r="W95" s="109"/>
      <c r="X95" s="109"/>
      <c r="Y95" s="109"/>
      <c r="Z95" s="109"/>
    </row>
    <row r="96" ht="29.25" customHeight="1">
      <c r="A96" s="109"/>
      <c r="B96" s="109"/>
      <c r="C96" s="109"/>
      <c r="D96" s="109"/>
      <c r="E96" s="109"/>
      <c r="F96" s="109"/>
      <c r="G96" s="109"/>
      <c r="H96" s="317"/>
      <c r="I96" s="109"/>
      <c r="J96" s="109"/>
      <c r="K96" s="109"/>
      <c r="L96" s="109"/>
      <c r="M96" s="109"/>
      <c r="N96" s="109"/>
      <c r="O96" s="109"/>
      <c r="P96" s="109"/>
      <c r="Q96" s="109"/>
      <c r="R96" s="109"/>
      <c r="S96" s="109"/>
      <c r="T96" s="109"/>
      <c r="U96" s="109"/>
      <c r="V96" s="109"/>
      <c r="W96" s="109"/>
      <c r="X96" s="109"/>
      <c r="Y96" s="109"/>
      <c r="Z96" s="109"/>
    </row>
    <row r="97" ht="29.25" customHeight="1">
      <c r="A97" s="109"/>
      <c r="B97" s="109"/>
      <c r="C97" s="109"/>
      <c r="D97" s="109"/>
      <c r="E97" s="109"/>
      <c r="F97" s="109"/>
      <c r="G97" s="109"/>
      <c r="H97" s="317"/>
      <c r="I97" s="109"/>
      <c r="J97" s="109"/>
      <c r="K97" s="109"/>
      <c r="L97" s="109"/>
      <c r="M97" s="109"/>
      <c r="N97" s="109"/>
      <c r="O97" s="109"/>
      <c r="P97" s="109"/>
      <c r="Q97" s="109"/>
      <c r="R97" s="109"/>
      <c r="S97" s="109"/>
      <c r="T97" s="109"/>
      <c r="U97" s="109"/>
      <c r="V97" s="109"/>
      <c r="W97" s="109"/>
      <c r="X97" s="109"/>
      <c r="Y97" s="109"/>
      <c r="Z97" s="109"/>
    </row>
    <row r="98" ht="29.25" customHeight="1">
      <c r="A98" s="109"/>
      <c r="B98" s="109"/>
      <c r="C98" s="109"/>
      <c r="D98" s="109"/>
      <c r="E98" s="109"/>
      <c r="F98" s="109"/>
      <c r="G98" s="109"/>
      <c r="H98" s="317"/>
      <c r="I98" s="109"/>
      <c r="J98" s="109"/>
      <c r="K98" s="109"/>
      <c r="L98" s="109"/>
      <c r="M98" s="109"/>
      <c r="N98" s="109"/>
      <c r="O98" s="109"/>
      <c r="P98" s="109"/>
      <c r="Q98" s="109"/>
      <c r="R98" s="109"/>
      <c r="S98" s="109"/>
      <c r="T98" s="109"/>
      <c r="U98" s="109"/>
      <c r="V98" s="109"/>
      <c r="W98" s="109"/>
      <c r="X98" s="109"/>
      <c r="Y98" s="109"/>
      <c r="Z98" s="109"/>
    </row>
    <row r="99" ht="29.25" customHeight="1">
      <c r="A99" s="109"/>
      <c r="B99" s="109"/>
      <c r="C99" s="109"/>
      <c r="D99" s="109"/>
      <c r="E99" s="109"/>
      <c r="F99" s="109"/>
      <c r="G99" s="109"/>
      <c r="H99" s="317"/>
      <c r="I99" s="109"/>
      <c r="J99" s="109"/>
      <c r="K99" s="109"/>
      <c r="L99" s="109"/>
      <c r="M99" s="109"/>
      <c r="N99" s="109"/>
      <c r="O99" s="109"/>
      <c r="P99" s="109"/>
      <c r="Q99" s="109"/>
      <c r="R99" s="109"/>
      <c r="S99" s="109"/>
      <c r="T99" s="109"/>
      <c r="U99" s="109"/>
      <c r="V99" s="109"/>
      <c r="W99" s="109"/>
      <c r="X99" s="109"/>
      <c r="Y99" s="109"/>
      <c r="Z99" s="109"/>
    </row>
    <row r="100" ht="29.25" customHeight="1">
      <c r="A100" s="109"/>
      <c r="B100" s="109"/>
      <c r="C100" s="109"/>
      <c r="D100" s="109"/>
      <c r="E100" s="109"/>
      <c r="F100" s="109"/>
      <c r="G100" s="109"/>
      <c r="H100" s="317"/>
      <c r="I100" s="109"/>
      <c r="J100" s="109"/>
      <c r="K100" s="109"/>
      <c r="L100" s="109"/>
      <c r="M100" s="109"/>
      <c r="N100" s="109"/>
      <c r="O100" s="109"/>
      <c r="P100" s="109"/>
      <c r="Q100" s="109"/>
      <c r="R100" s="109"/>
      <c r="S100" s="109"/>
      <c r="T100" s="109"/>
      <c r="U100" s="109"/>
      <c r="V100" s="109"/>
      <c r="W100" s="109"/>
      <c r="X100" s="109"/>
      <c r="Y100" s="109"/>
      <c r="Z100" s="109"/>
    </row>
    <row r="101" ht="29.25" customHeight="1">
      <c r="A101" s="109"/>
      <c r="B101" s="109"/>
      <c r="C101" s="109"/>
      <c r="D101" s="109"/>
      <c r="E101" s="109"/>
      <c r="F101" s="109"/>
      <c r="G101" s="109"/>
      <c r="H101" s="317"/>
      <c r="I101" s="109"/>
      <c r="J101" s="109"/>
      <c r="K101" s="109"/>
      <c r="L101" s="109"/>
      <c r="M101" s="109"/>
      <c r="N101" s="109"/>
      <c r="O101" s="109"/>
      <c r="P101" s="109"/>
      <c r="Q101" s="109"/>
      <c r="R101" s="109"/>
      <c r="S101" s="109"/>
      <c r="T101" s="109"/>
      <c r="U101" s="109"/>
      <c r="V101" s="109"/>
      <c r="W101" s="109"/>
      <c r="X101" s="109"/>
      <c r="Y101" s="109"/>
      <c r="Z101" s="109"/>
    </row>
    <row r="102" ht="29.25" customHeight="1">
      <c r="A102" s="109"/>
      <c r="B102" s="109"/>
      <c r="C102" s="109"/>
      <c r="D102" s="109"/>
      <c r="E102" s="109"/>
      <c r="F102" s="109"/>
      <c r="G102" s="109"/>
      <c r="H102" s="317"/>
      <c r="I102" s="109"/>
      <c r="J102" s="109"/>
      <c r="K102" s="109"/>
      <c r="L102" s="109"/>
      <c r="M102" s="109"/>
      <c r="N102" s="109"/>
      <c r="O102" s="109"/>
      <c r="P102" s="109"/>
      <c r="Q102" s="109"/>
      <c r="R102" s="109"/>
      <c r="S102" s="109"/>
      <c r="T102" s="109"/>
      <c r="U102" s="109"/>
      <c r="V102" s="109"/>
      <c r="W102" s="109"/>
      <c r="X102" s="109"/>
      <c r="Y102" s="109"/>
      <c r="Z102" s="109"/>
    </row>
    <row r="103" ht="29.25" customHeight="1">
      <c r="A103" s="109"/>
      <c r="B103" s="109"/>
      <c r="C103" s="109"/>
      <c r="D103" s="109"/>
      <c r="E103" s="109"/>
      <c r="F103" s="109"/>
      <c r="G103" s="109"/>
      <c r="H103" s="317"/>
      <c r="I103" s="109"/>
      <c r="J103" s="109"/>
      <c r="K103" s="109"/>
      <c r="L103" s="109"/>
      <c r="M103" s="109"/>
      <c r="N103" s="109"/>
      <c r="O103" s="109"/>
      <c r="P103" s="109"/>
      <c r="Q103" s="109"/>
      <c r="R103" s="109"/>
      <c r="S103" s="109"/>
      <c r="T103" s="109"/>
      <c r="U103" s="109"/>
      <c r="V103" s="109"/>
      <c r="W103" s="109"/>
      <c r="X103" s="109"/>
      <c r="Y103" s="109"/>
      <c r="Z103" s="109"/>
    </row>
    <row r="104" ht="29.25" customHeight="1">
      <c r="A104" s="109"/>
      <c r="B104" s="109"/>
      <c r="C104" s="109"/>
      <c r="D104" s="109"/>
      <c r="E104" s="109"/>
      <c r="F104" s="109"/>
      <c r="G104" s="109"/>
      <c r="H104" s="317"/>
      <c r="I104" s="109"/>
      <c r="J104" s="109"/>
      <c r="K104" s="109"/>
      <c r="L104" s="109"/>
      <c r="M104" s="109"/>
      <c r="N104" s="109"/>
      <c r="O104" s="109"/>
      <c r="P104" s="109"/>
      <c r="Q104" s="109"/>
      <c r="R104" s="109"/>
      <c r="S104" s="109"/>
      <c r="T104" s="109"/>
      <c r="U104" s="109"/>
      <c r="V104" s="109"/>
      <c r="W104" s="109"/>
      <c r="X104" s="109"/>
      <c r="Y104" s="109"/>
      <c r="Z104" s="109"/>
    </row>
    <row r="105" ht="29.25" customHeight="1">
      <c r="A105" s="109"/>
      <c r="B105" s="109"/>
      <c r="C105" s="109"/>
      <c r="D105" s="109"/>
      <c r="E105" s="109"/>
      <c r="F105" s="109"/>
      <c r="G105" s="109"/>
      <c r="H105" s="317"/>
      <c r="I105" s="109"/>
      <c r="J105" s="109"/>
      <c r="K105" s="109"/>
      <c r="L105" s="109"/>
      <c r="M105" s="109"/>
      <c r="N105" s="109"/>
      <c r="O105" s="109"/>
      <c r="P105" s="109"/>
      <c r="Q105" s="109"/>
      <c r="R105" s="109"/>
      <c r="S105" s="109"/>
      <c r="T105" s="109"/>
      <c r="U105" s="109"/>
      <c r="V105" s="109"/>
      <c r="W105" s="109"/>
      <c r="X105" s="109"/>
      <c r="Y105" s="109"/>
      <c r="Z105" s="109"/>
    </row>
    <row r="106" ht="29.25" customHeight="1">
      <c r="A106" s="109"/>
      <c r="B106" s="109"/>
      <c r="C106" s="109"/>
      <c r="D106" s="109"/>
      <c r="E106" s="109"/>
      <c r="F106" s="109"/>
      <c r="G106" s="109"/>
      <c r="H106" s="317"/>
      <c r="I106" s="109"/>
      <c r="J106" s="109"/>
      <c r="K106" s="109"/>
      <c r="L106" s="109"/>
      <c r="M106" s="109"/>
      <c r="N106" s="109"/>
      <c r="O106" s="109"/>
      <c r="P106" s="109"/>
      <c r="Q106" s="109"/>
      <c r="R106" s="109"/>
      <c r="S106" s="109"/>
      <c r="T106" s="109"/>
      <c r="U106" s="109"/>
      <c r="V106" s="109"/>
      <c r="W106" s="109"/>
      <c r="X106" s="109"/>
      <c r="Y106" s="109"/>
      <c r="Z106" s="109"/>
    </row>
    <row r="107" ht="29.25" customHeight="1">
      <c r="A107" s="109"/>
      <c r="B107" s="109"/>
      <c r="C107" s="109"/>
      <c r="D107" s="109"/>
      <c r="E107" s="109"/>
      <c r="F107" s="109"/>
      <c r="G107" s="109"/>
      <c r="H107" s="317"/>
      <c r="I107" s="109"/>
      <c r="J107" s="109"/>
      <c r="K107" s="109"/>
      <c r="L107" s="109"/>
      <c r="M107" s="109"/>
      <c r="N107" s="109"/>
      <c r="O107" s="109"/>
      <c r="P107" s="109"/>
      <c r="Q107" s="109"/>
      <c r="R107" s="109"/>
      <c r="S107" s="109"/>
      <c r="T107" s="109"/>
      <c r="U107" s="109"/>
      <c r="V107" s="109"/>
      <c r="W107" s="109"/>
      <c r="X107" s="109"/>
      <c r="Y107" s="109"/>
      <c r="Z107" s="109"/>
    </row>
    <row r="108" ht="29.25" customHeight="1">
      <c r="A108" s="109"/>
      <c r="B108" s="109"/>
      <c r="C108" s="109"/>
      <c r="D108" s="109"/>
      <c r="E108" s="109"/>
      <c r="F108" s="109"/>
      <c r="G108" s="109"/>
      <c r="H108" s="317"/>
      <c r="I108" s="109"/>
      <c r="J108" s="109"/>
      <c r="K108" s="109"/>
      <c r="L108" s="109"/>
      <c r="M108" s="109"/>
      <c r="N108" s="109"/>
      <c r="O108" s="109"/>
      <c r="P108" s="109"/>
      <c r="Q108" s="109"/>
      <c r="R108" s="109"/>
      <c r="S108" s="109"/>
      <c r="T108" s="109"/>
      <c r="U108" s="109"/>
      <c r="V108" s="109"/>
      <c r="W108" s="109"/>
      <c r="X108" s="109"/>
      <c r="Y108" s="109"/>
      <c r="Z108" s="109"/>
    </row>
    <row r="109" ht="29.25" customHeight="1">
      <c r="A109" s="109"/>
      <c r="B109" s="109"/>
      <c r="C109" s="109"/>
      <c r="D109" s="109"/>
      <c r="E109" s="109"/>
      <c r="F109" s="109"/>
      <c r="G109" s="109"/>
      <c r="H109" s="317"/>
      <c r="I109" s="109"/>
      <c r="J109" s="109"/>
      <c r="K109" s="109"/>
      <c r="L109" s="109"/>
      <c r="M109" s="109"/>
      <c r="N109" s="109"/>
      <c r="O109" s="109"/>
      <c r="P109" s="109"/>
      <c r="Q109" s="109"/>
      <c r="R109" s="109"/>
      <c r="S109" s="109"/>
      <c r="T109" s="109"/>
      <c r="U109" s="109"/>
      <c r="V109" s="109"/>
      <c r="W109" s="109"/>
      <c r="X109" s="109"/>
      <c r="Y109" s="109"/>
      <c r="Z109" s="109"/>
    </row>
    <row r="110" ht="29.25" customHeight="1">
      <c r="A110" s="109"/>
      <c r="B110" s="109"/>
      <c r="C110" s="109"/>
      <c r="D110" s="109"/>
      <c r="E110" s="109"/>
      <c r="F110" s="109"/>
      <c r="G110" s="109"/>
      <c r="H110" s="317"/>
      <c r="I110" s="109"/>
      <c r="J110" s="109"/>
      <c r="K110" s="109"/>
      <c r="L110" s="109"/>
      <c r="M110" s="109"/>
      <c r="N110" s="109"/>
      <c r="O110" s="109"/>
      <c r="P110" s="109"/>
      <c r="Q110" s="109"/>
      <c r="R110" s="109"/>
      <c r="S110" s="109"/>
      <c r="T110" s="109"/>
      <c r="U110" s="109"/>
      <c r="V110" s="109"/>
      <c r="W110" s="109"/>
      <c r="X110" s="109"/>
      <c r="Y110" s="109"/>
      <c r="Z110" s="109"/>
    </row>
    <row r="111" ht="29.25" customHeight="1">
      <c r="A111" s="109"/>
      <c r="B111" s="109"/>
      <c r="C111" s="109"/>
      <c r="D111" s="109"/>
      <c r="E111" s="109"/>
      <c r="F111" s="109"/>
      <c r="G111" s="109"/>
      <c r="H111" s="317"/>
      <c r="I111" s="109"/>
      <c r="J111" s="109"/>
      <c r="K111" s="109"/>
      <c r="L111" s="109"/>
      <c r="M111" s="109"/>
      <c r="N111" s="109"/>
      <c r="O111" s="109"/>
      <c r="P111" s="109"/>
      <c r="Q111" s="109"/>
      <c r="R111" s="109"/>
      <c r="S111" s="109"/>
      <c r="T111" s="109"/>
      <c r="U111" s="109"/>
      <c r="V111" s="109"/>
      <c r="W111" s="109"/>
      <c r="X111" s="109"/>
      <c r="Y111" s="109"/>
      <c r="Z111" s="109"/>
    </row>
    <row r="112" ht="29.25" customHeight="1">
      <c r="A112" s="109"/>
      <c r="B112" s="109"/>
      <c r="C112" s="109"/>
      <c r="D112" s="109"/>
      <c r="E112" s="109"/>
      <c r="F112" s="109"/>
      <c r="G112" s="109"/>
      <c r="H112" s="317"/>
      <c r="I112" s="109"/>
      <c r="J112" s="109"/>
      <c r="K112" s="109"/>
      <c r="L112" s="109"/>
      <c r="M112" s="109"/>
      <c r="N112" s="109"/>
      <c r="O112" s="109"/>
      <c r="P112" s="109"/>
      <c r="Q112" s="109"/>
      <c r="R112" s="109"/>
      <c r="S112" s="109"/>
      <c r="T112" s="109"/>
      <c r="U112" s="109"/>
      <c r="V112" s="109"/>
      <c r="W112" s="109"/>
      <c r="X112" s="109"/>
      <c r="Y112" s="109"/>
      <c r="Z112" s="109"/>
    </row>
    <row r="113" ht="29.25" customHeight="1">
      <c r="A113" s="109"/>
      <c r="B113" s="109"/>
      <c r="C113" s="109"/>
      <c r="D113" s="109"/>
      <c r="E113" s="109"/>
      <c r="F113" s="109"/>
      <c r="G113" s="109"/>
      <c r="H113" s="317"/>
      <c r="I113" s="109"/>
      <c r="J113" s="109"/>
      <c r="K113" s="109"/>
      <c r="L113" s="109"/>
      <c r="M113" s="109"/>
      <c r="N113" s="109"/>
      <c r="O113" s="109"/>
      <c r="P113" s="109"/>
      <c r="Q113" s="109"/>
      <c r="R113" s="109"/>
      <c r="S113" s="109"/>
      <c r="T113" s="109"/>
      <c r="U113" s="109"/>
      <c r="V113" s="109"/>
      <c r="W113" s="109"/>
      <c r="X113" s="109"/>
      <c r="Y113" s="109"/>
      <c r="Z113" s="109"/>
    </row>
    <row r="114" ht="29.25" customHeight="1">
      <c r="A114" s="109"/>
      <c r="B114" s="109"/>
      <c r="C114" s="109"/>
      <c r="D114" s="109"/>
      <c r="E114" s="109"/>
      <c r="F114" s="109"/>
      <c r="G114" s="109"/>
      <c r="H114" s="317"/>
      <c r="I114" s="109"/>
      <c r="J114" s="109"/>
      <c r="K114" s="109"/>
      <c r="L114" s="109"/>
      <c r="M114" s="109"/>
      <c r="N114" s="109"/>
      <c r="O114" s="109"/>
      <c r="P114" s="109"/>
      <c r="Q114" s="109"/>
      <c r="R114" s="109"/>
      <c r="S114" s="109"/>
      <c r="T114" s="109"/>
      <c r="U114" s="109"/>
      <c r="V114" s="109"/>
      <c r="W114" s="109"/>
      <c r="X114" s="109"/>
      <c r="Y114" s="109"/>
      <c r="Z114" s="109"/>
    </row>
    <row r="115" ht="29.25" customHeight="1">
      <c r="A115" s="109"/>
      <c r="B115" s="109"/>
      <c r="C115" s="109"/>
      <c r="D115" s="109"/>
      <c r="E115" s="109"/>
      <c r="F115" s="109"/>
      <c r="G115" s="109"/>
      <c r="H115" s="317"/>
      <c r="I115" s="109"/>
      <c r="J115" s="109"/>
      <c r="K115" s="109"/>
      <c r="L115" s="109"/>
      <c r="M115" s="109"/>
      <c r="N115" s="109"/>
      <c r="O115" s="109"/>
      <c r="P115" s="109"/>
      <c r="Q115" s="109"/>
      <c r="R115" s="109"/>
      <c r="S115" s="109"/>
      <c r="T115" s="109"/>
      <c r="U115" s="109"/>
      <c r="V115" s="109"/>
      <c r="W115" s="109"/>
      <c r="X115" s="109"/>
      <c r="Y115" s="109"/>
      <c r="Z115" s="109"/>
    </row>
    <row r="116" ht="29.25" customHeight="1">
      <c r="A116" s="109"/>
      <c r="B116" s="109"/>
      <c r="C116" s="109"/>
      <c r="D116" s="109"/>
      <c r="E116" s="109"/>
      <c r="F116" s="109"/>
      <c r="G116" s="109"/>
      <c r="H116" s="317"/>
      <c r="I116" s="109"/>
      <c r="J116" s="109"/>
      <c r="K116" s="109"/>
      <c r="L116" s="109"/>
      <c r="M116" s="109"/>
      <c r="N116" s="109"/>
      <c r="O116" s="109"/>
      <c r="P116" s="109"/>
      <c r="Q116" s="109"/>
      <c r="R116" s="109"/>
      <c r="S116" s="109"/>
      <c r="T116" s="109"/>
      <c r="U116" s="109"/>
      <c r="V116" s="109"/>
      <c r="W116" s="109"/>
      <c r="X116" s="109"/>
      <c r="Y116" s="109"/>
      <c r="Z116" s="109"/>
    </row>
    <row r="117" ht="29.25" customHeight="1">
      <c r="A117" s="109"/>
      <c r="B117" s="109"/>
      <c r="C117" s="109"/>
      <c r="D117" s="109"/>
      <c r="E117" s="109"/>
      <c r="F117" s="109"/>
      <c r="G117" s="109"/>
      <c r="H117" s="317"/>
      <c r="I117" s="109"/>
      <c r="J117" s="109"/>
      <c r="K117" s="109"/>
      <c r="L117" s="109"/>
      <c r="M117" s="109"/>
      <c r="N117" s="109"/>
      <c r="O117" s="109"/>
      <c r="P117" s="109"/>
      <c r="Q117" s="109"/>
      <c r="R117" s="109"/>
      <c r="S117" s="109"/>
      <c r="T117" s="109"/>
      <c r="U117" s="109"/>
      <c r="V117" s="109"/>
      <c r="W117" s="109"/>
      <c r="X117" s="109"/>
      <c r="Y117" s="109"/>
      <c r="Z117" s="109"/>
    </row>
    <row r="118" ht="29.25" customHeight="1">
      <c r="A118" s="109"/>
      <c r="B118" s="109"/>
      <c r="C118" s="109"/>
      <c r="D118" s="109"/>
      <c r="E118" s="109"/>
      <c r="F118" s="109"/>
      <c r="G118" s="109"/>
      <c r="H118" s="317"/>
      <c r="I118" s="109"/>
      <c r="J118" s="109"/>
      <c r="K118" s="109"/>
      <c r="L118" s="109"/>
      <c r="M118" s="109"/>
      <c r="N118" s="109"/>
      <c r="O118" s="109"/>
      <c r="P118" s="109"/>
      <c r="Q118" s="109"/>
      <c r="R118" s="109"/>
      <c r="S118" s="109"/>
      <c r="T118" s="109"/>
      <c r="U118" s="109"/>
      <c r="V118" s="109"/>
      <c r="W118" s="109"/>
      <c r="X118" s="109"/>
      <c r="Y118" s="109"/>
      <c r="Z118" s="109"/>
    </row>
    <row r="119" ht="29.25" customHeight="1">
      <c r="A119" s="109"/>
      <c r="B119" s="109"/>
      <c r="C119" s="109"/>
      <c r="D119" s="109"/>
      <c r="E119" s="109"/>
      <c r="F119" s="109"/>
      <c r="G119" s="109"/>
      <c r="H119" s="317"/>
      <c r="I119" s="109"/>
      <c r="J119" s="109"/>
      <c r="K119" s="109"/>
      <c r="L119" s="109"/>
      <c r="M119" s="109"/>
      <c r="N119" s="109"/>
      <c r="O119" s="109"/>
      <c r="P119" s="109"/>
      <c r="Q119" s="109"/>
      <c r="R119" s="109"/>
      <c r="S119" s="109"/>
      <c r="T119" s="109"/>
      <c r="U119" s="109"/>
      <c r="V119" s="109"/>
      <c r="W119" s="109"/>
      <c r="X119" s="109"/>
      <c r="Y119" s="109"/>
      <c r="Z119" s="109"/>
    </row>
    <row r="120" ht="29.25" customHeight="1">
      <c r="A120" s="109"/>
      <c r="B120" s="109"/>
      <c r="C120" s="109"/>
      <c r="D120" s="109"/>
      <c r="E120" s="109"/>
      <c r="F120" s="109"/>
      <c r="G120" s="109"/>
      <c r="H120" s="317"/>
      <c r="I120" s="109"/>
      <c r="J120" s="109"/>
      <c r="K120" s="109"/>
      <c r="L120" s="109"/>
      <c r="M120" s="109"/>
      <c r="N120" s="109"/>
      <c r="O120" s="109"/>
      <c r="P120" s="109"/>
      <c r="Q120" s="109"/>
      <c r="R120" s="109"/>
      <c r="S120" s="109"/>
      <c r="T120" s="109"/>
      <c r="U120" s="109"/>
      <c r="V120" s="109"/>
      <c r="W120" s="109"/>
      <c r="X120" s="109"/>
      <c r="Y120" s="109"/>
      <c r="Z120" s="109"/>
    </row>
    <row r="121" ht="29.25" customHeight="1">
      <c r="A121" s="109"/>
      <c r="B121" s="109"/>
      <c r="C121" s="109"/>
      <c r="D121" s="109"/>
      <c r="E121" s="109"/>
      <c r="F121" s="109"/>
      <c r="G121" s="109"/>
      <c r="H121" s="317"/>
      <c r="I121" s="109"/>
      <c r="J121" s="109"/>
      <c r="K121" s="109"/>
      <c r="L121" s="109"/>
      <c r="M121" s="109"/>
      <c r="N121" s="109"/>
      <c r="O121" s="109"/>
      <c r="P121" s="109"/>
      <c r="Q121" s="109"/>
      <c r="R121" s="109"/>
      <c r="S121" s="109"/>
      <c r="T121" s="109"/>
      <c r="U121" s="109"/>
      <c r="V121" s="109"/>
      <c r="W121" s="109"/>
      <c r="X121" s="109"/>
      <c r="Y121" s="109"/>
      <c r="Z121" s="109"/>
    </row>
    <row r="122" ht="29.25" customHeight="1">
      <c r="A122" s="109"/>
      <c r="B122" s="109"/>
      <c r="C122" s="109"/>
      <c r="D122" s="109"/>
      <c r="E122" s="109"/>
      <c r="F122" s="109"/>
      <c r="G122" s="109"/>
      <c r="H122" s="317"/>
      <c r="I122" s="109"/>
      <c r="J122" s="109"/>
      <c r="K122" s="109"/>
      <c r="L122" s="109"/>
      <c r="M122" s="109"/>
      <c r="N122" s="109"/>
      <c r="O122" s="109"/>
      <c r="P122" s="109"/>
      <c r="Q122" s="109"/>
      <c r="R122" s="109"/>
      <c r="S122" s="109"/>
      <c r="T122" s="109"/>
      <c r="U122" s="109"/>
      <c r="V122" s="109"/>
      <c r="W122" s="109"/>
      <c r="X122" s="109"/>
      <c r="Y122" s="109"/>
      <c r="Z122" s="109"/>
    </row>
    <row r="123" ht="29.25" customHeight="1">
      <c r="A123" s="109"/>
      <c r="B123" s="109"/>
      <c r="C123" s="109"/>
      <c r="D123" s="109"/>
      <c r="E123" s="109"/>
      <c r="F123" s="109"/>
      <c r="G123" s="109"/>
      <c r="H123" s="317"/>
      <c r="I123" s="109"/>
      <c r="J123" s="109"/>
      <c r="K123" s="109"/>
      <c r="L123" s="109"/>
      <c r="M123" s="109"/>
      <c r="N123" s="109"/>
      <c r="O123" s="109"/>
      <c r="P123" s="109"/>
      <c r="Q123" s="109"/>
      <c r="R123" s="109"/>
      <c r="S123" s="109"/>
      <c r="T123" s="109"/>
      <c r="U123" s="109"/>
      <c r="V123" s="109"/>
      <c r="W123" s="109"/>
      <c r="X123" s="109"/>
      <c r="Y123" s="109"/>
      <c r="Z123" s="109"/>
    </row>
    <row r="124" ht="29.25" customHeight="1">
      <c r="A124" s="109"/>
      <c r="B124" s="109"/>
      <c r="C124" s="109"/>
      <c r="D124" s="109"/>
      <c r="E124" s="109"/>
      <c r="F124" s="109"/>
      <c r="G124" s="109"/>
      <c r="H124" s="317"/>
      <c r="I124" s="109"/>
      <c r="J124" s="109"/>
      <c r="K124" s="109"/>
      <c r="L124" s="109"/>
      <c r="M124" s="109"/>
      <c r="N124" s="109"/>
      <c r="O124" s="109"/>
      <c r="P124" s="109"/>
      <c r="Q124" s="109"/>
      <c r="R124" s="109"/>
      <c r="S124" s="109"/>
      <c r="T124" s="109"/>
      <c r="U124" s="109"/>
      <c r="V124" s="109"/>
      <c r="W124" s="109"/>
      <c r="X124" s="109"/>
      <c r="Y124" s="109"/>
      <c r="Z124" s="109"/>
    </row>
    <row r="125" ht="29.25" customHeight="1">
      <c r="A125" s="109"/>
      <c r="B125" s="109"/>
      <c r="C125" s="109"/>
      <c r="D125" s="109"/>
      <c r="E125" s="109"/>
      <c r="F125" s="109"/>
      <c r="G125" s="109"/>
      <c r="H125" s="317"/>
      <c r="I125" s="109"/>
      <c r="J125" s="109"/>
      <c r="K125" s="109"/>
      <c r="L125" s="109"/>
      <c r="M125" s="109"/>
      <c r="N125" s="109"/>
      <c r="O125" s="109"/>
      <c r="P125" s="109"/>
      <c r="Q125" s="109"/>
      <c r="R125" s="109"/>
      <c r="S125" s="109"/>
      <c r="T125" s="109"/>
      <c r="U125" s="109"/>
      <c r="V125" s="109"/>
      <c r="W125" s="109"/>
      <c r="X125" s="109"/>
      <c r="Y125" s="109"/>
      <c r="Z125" s="109"/>
    </row>
    <row r="126" ht="29.25" customHeight="1">
      <c r="A126" s="109"/>
      <c r="B126" s="109"/>
      <c r="C126" s="109"/>
      <c r="D126" s="109"/>
      <c r="E126" s="109"/>
      <c r="F126" s="109"/>
      <c r="G126" s="109"/>
      <c r="H126" s="317"/>
      <c r="I126" s="109"/>
      <c r="J126" s="109"/>
      <c r="K126" s="109"/>
      <c r="L126" s="109"/>
      <c r="M126" s="109"/>
      <c r="N126" s="109"/>
      <c r="O126" s="109"/>
      <c r="P126" s="109"/>
      <c r="Q126" s="109"/>
      <c r="R126" s="109"/>
      <c r="S126" s="109"/>
      <c r="T126" s="109"/>
      <c r="U126" s="109"/>
      <c r="V126" s="109"/>
      <c r="W126" s="109"/>
      <c r="X126" s="109"/>
      <c r="Y126" s="109"/>
      <c r="Z126" s="109"/>
    </row>
    <row r="127" ht="29.25" customHeight="1">
      <c r="A127" s="109"/>
      <c r="B127" s="109"/>
      <c r="C127" s="109"/>
      <c r="D127" s="109"/>
      <c r="E127" s="109"/>
      <c r="F127" s="109"/>
      <c r="G127" s="109"/>
      <c r="H127" s="317"/>
      <c r="I127" s="109"/>
      <c r="J127" s="109"/>
      <c r="K127" s="109"/>
      <c r="L127" s="109"/>
      <c r="M127" s="109"/>
      <c r="N127" s="109"/>
      <c r="O127" s="109"/>
      <c r="P127" s="109"/>
      <c r="Q127" s="109"/>
      <c r="R127" s="109"/>
      <c r="S127" s="109"/>
      <c r="T127" s="109"/>
      <c r="U127" s="109"/>
      <c r="V127" s="109"/>
      <c r="W127" s="109"/>
      <c r="X127" s="109"/>
      <c r="Y127" s="109"/>
      <c r="Z127" s="109"/>
    </row>
    <row r="128" ht="29.25" customHeight="1">
      <c r="A128" s="109"/>
      <c r="B128" s="109"/>
      <c r="C128" s="109"/>
      <c r="D128" s="109"/>
      <c r="E128" s="109"/>
      <c r="F128" s="109"/>
      <c r="G128" s="109"/>
      <c r="H128" s="317"/>
      <c r="I128" s="109"/>
      <c r="J128" s="109"/>
      <c r="K128" s="109"/>
      <c r="L128" s="109"/>
      <c r="M128" s="109"/>
      <c r="N128" s="109"/>
      <c r="O128" s="109"/>
      <c r="P128" s="109"/>
      <c r="Q128" s="109"/>
      <c r="R128" s="109"/>
      <c r="S128" s="109"/>
      <c r="T128" s="109"/>
      <c r="U128" s="109"/>
      <c r="V128" s="109"/>
      <c r="W128" s="109"/>
      <c r="X128" s="109"/>
      <c r="Y128" s="109"/>
      <c r="Z128" s="109"/>
    </row>
    <row r="129" ht="29.25" customHeight="1">
      <c r="A129" s="109"/>
      <c r="B129" s="109"/>
      <c r="C129" s="109"/>
      <c r="D129" s="109"/>
      <c r="E129" s="109"/>
      <c r="F129" s="109"/>
      <c r="G129" s="109"/>
      <c r="H129" s="317"/>
      <c r="I129" s="109"/>
      <c r="J129" s="109"/>
      <c r="K129" s="109"/>
      <c r="L129" s="109"/>
      <c r="M129" s="109"/>
      <c r="N129" s="109"/>
      <c r="O129" s="109"/>
      <c r="P129" s="109"/>
      <c r="Q129" s="109"/>
      <c r="R129" s="109"/>
      <c r="S129" s="109"/>
      <c r="T129" s="109"/>
      <c r="U129" s="109"/>
      <c r="V129" s="109"/>
      <c r="W129" s="109"/>
      <c r="X129" s="109"/>
      <c r="Y129" s="109"/>
      <c r="Z129" s="109"/>
    </row>
    <row r="130" ht="29.25" customHeight="1">
      <c r="A130" s="109"/>
      <c r="B130" s="109"/>
      <c r="C130" s="109"/>
      <c r="D130" s="109"/>
      <c r="E130" s="109"/>
      <c r="F130" s="109"/>
      <c r="G130" s="109"/>
      <c r="H130" s="317"/>
      <c r="I130" s="109"/>
      <c r="J130" s="109"/>
      <c r="K130" s="109"/>
      <c r="L130" s="109"/>
      <c r="M130" s="109"/>
      <c r="N130" s="109"/>
      <c r="O130" s="109"/>
      <c r="P130" s="109"/>
      <c r="Q130" s="109"/>
      <c r="R130" s="109"/>
      <c r="S130" s="109"/>
      <c r="T130" s="109"/>
      <c r="U130" s="109"/>
      <c r="V130" s="109"/>
      <c r="W130" s="109"/>
      <c r="X130" s="109"/>
      <c r="Y130" s="109"/>
      <c r="Z130" s="109"/>
    </row>
    <row r="131" ht="29.25" customHeight="1">
      <c r="A131" s="109"/>
      <c r="B131" s="109"/>
      <c r="C131" s="109"/>
      <c r="D131" s="109"/>
      <c r="E131" s="109"/>
      <c r="F131" s="109"/>
      <c r="G131" s="109"/>
      <c r="H131" s="317"/>
      <c r="I131" s="109"/>
      <c r="J131" s="109"/>
      <c r="K131" s="109"/>
      <c r="L131" s="109"/>
      <c r="M131" s="109"/>
      <c r="N131" s="109"/>
      <c r="O131" s="109"/>
      <c r="P131" s="109"/>
      <c r="Q131" s="109"/>
      <c r="R131" s="109"/>
      <c r="S131" s="109"/>
      <c r="T131" s="109"/>
      <c r="U131" s="109"/>
      <c r="V131" s="109"/>
      <c r="W131" s="109"/>
      <c r="X131" s="109"/>
      <c r="Y131" s="109"/>
      <c r="Z131" s="109"/>
    </row>
    <row r="132" ht="29.25" customHeight="1">
      <c r="A132" s="109"/>
      <c r="B132" s="109"/>
      <c r="C132" s="109"/>
      <c r="D132" s="109"/>
      <c r="E132" s="109"/>
      <c r="F132" s="109"/>
      <c r="G132" s="109"/>
      <c r="H132" s="317"/>
      <c r="I132" s="109"/>
      <c r="J132" s="109"/>
      <c r="K132" s="109"/>
      <c r="L132" s="109"/>
      <c r="M132" s="109"/>
      <c r="N132" s="109"/>
      <c r="O132" s="109"/>
      <c r="P132" s="109"/>
      <c r="Q132" s="109"/>
      <c r="R132" s="109"/>
      <c r="S132" s="109"/>
      <c r="T132" s="109"/>
      <c r="U132" s="109"/>
      <c r="V132" s="109"/>
      <c r="W132" s="109"/>
      <c r="X132" s="109"/>
      <c r="Y132" s="109"/>
      <c r="Z132" s="109"/>
    </row>
    <row r="133" ht="29.25" customHeight="1">
      <c r="A133" s="109"/>
      <c r="B133" s="109"/>
      <c r="C133" s="109"/>
      <c r="D133" s="109"/>
      <c r="E133" s="109"/>
      <c r="F133" s="109"/>
      <c r="G133" s="109"/>
      <c r="H133" s="317"/>
      <c r="I133" s="109"/>
      <c r="J133" s="109"/>
      <c r="K133" s="109"/>
      <c r="L133" s="109"/>
      <c r="M133" s="109"/>
      <c r="N133" s="109"/>
      <c r="O133" s="109"/>
      <c r="P133" s="109"/>
      <c r="Q133" s="109"/>
      <c r="R133" s="109"/>
      <c r="S133" s="109"/>
      <c r="T133" s="109"/>
      <c r="U133" s="109"/>
      <c r="V133" s="109"/>
      <c r="W133" s="109"/>
      <c r="X133" s="109"/>
      <c r="Y133" s="109"/>
      <c r="Z133" s="109"/>
    </row>
    <row r="134" ht="29.25" customHeight="1">
      <c r="A134" s="109"/>
      <c r="B134" s="109"/>
      <c r="C134" s="109"/>
      <c r="D134" s="109"/>
      <c r="E134" s="109"/>
      <c r="F134" s="109"/>
      <c r="G134" s="109"/>
      <c r="H134" s="317"/>
      <c r="I134" s="109"/>
      <c r="J134" s="109"/>
      <c r="K134" s="109"/>
      <c r="L134" s="109"/>
      <c r="M134" s="109"/>
      <c r="N134" s="109"/>
      <c r="O134" s="109"/>
      <c r="P134" s="109"/>
      <c r="Q134" s="109"/>
      <c r="R134" s="109"/>
      <c r="S134" s="109"/>
      <c r="T134" s="109"/>
      <c r="U134" s="109"/>
      <c r="V134" s="109"/>
      <c r="W134" s="109"/>
      <c r="X134" s="109"/>
      <c r="Y134" s="109"/>
      <c r="Z134" s="109"/>
    </row>
    <row r="135" ht="29.25" customHeight="1">
      <c r="A135" s="109"/>
      <c r="B135" s="109"/>
      <c r="C135" s="109"/>
      <c r="D135" s="109"/>
      <c r="E135" s="109"/>
      <c r="F135" s="109"/>
      <c r="G135" s="109"/>
      <c r="H135" s="317"/>
      <c r="I135" s="109"/>
      <c r="J135" s="109"/>
      <c r="K135" s="109"/>
      <c r="L135" s="109"/>
      <c r="M135" s="109"/>
      <c r="N135" s="109"/>
      <c r="O135" s="109"/>
      <c r="P135" s="109"/>
      <c r="Q135" s="109"/>
      <c r="R135" s="109"/>
      <c r="S135" s="109"/>
      <c r="T135" s="109"/>
      <c r="U135" s="109"/>
      <c r="V135" s="109"/>
      <c r="W135" s="109"/>
      <c r="X135" s="109"/>
      <c r="Y135" s="109"/>
      <c r="Z135" s="109"/>
    </row>
    <row r="136" ht="29.25" customHeight="1">
      <c r="A136" s="109"/>
      <c r="B136" s="109"/>
      <c r="C136" s="109"/>
      <c r="D136" s="109"/>
      <c r="E136" s="109"/>
      <c r="F136" s="109"/>
      <c r="G136" s="109"/>
      <c r="H136" s="317"/>
      <c r="I136" s="109"/>
      <c r="J136" s="109"/>
      <c r="K136" s="109"/>
      <c r="L136" s="109"/>
      <c r="M136" s="109"/>
      <c r="N136" s="109"/>
      <c r="O136" s="109"/>
      <c r="P136" s="109"/>
      <c r="Q136" s="109"/>
      <c r="R136" s="109"/>
      <c r="S136" s="109"/>
      <c r="T136" s="109"/>
      <c r="U136" s="109"/>
      <c r="V136" s="109"/>
      <c r="W136" s="109"/>
      <c r="X136" s="109"/>
      <c r="Y136" s="109"/>
      <c r="Z136" s="109"/>
    </row>
    <row r="137" ht="29.25" customHeight="1">
      <c r="A137" s="109"/>
      <c r="B137" s="109"/>
      <c r="C137" s="109"/>
      <c r="D137" s="109"/>
      <c r="E137" s="109"/>
      <c r="F137" s="109"/>
      <c r="G137" s="109"/>
      <c r="H137" s="317"/>
      <c r="I137" s="109"/>
      <c r="J137" s="109"/>
      <c r="K137" s="109"/>
      <c r="L137" s="109"/>
      <c r="M137" s="109"/>
      <c r="N137" s="109"/>
      <c r="O137" s="109"/>
      <c r="P137" s="109"/>
      <c r="Q137" s="109"/>
      <c r="R137" s="109"/>
      <c r="S137" s="109"/>
      <c r="T137" s="109"/>
      <c r="U137" s="109"/>
      <c r="V137" s="109"/>
      <c r="W137" s="109"/>
      <c r="X137" s="109"/>
      <c r="Y137" s="109"/>
      <c r="Z137" s="109"/>
    </row>
    <row r="138" ht="29.25" customHeight="1">
      <c r="A138" s="109"/>
      <c r="B138" s="109"/>
      <c r="C138" s="109"/>
      <c r="D138" s="109"/>
      <c r="E138" s="109"/>
      <c r="F138" s="109"/>
      <c r="G138" s="109"/>
      <c r="H138" s="317"/>
      <c r="I138" s="109"/>
      <c r="J138" s="109"/>
      <c r="K138" s="109"/>
      <c r="L138" s="109"/>
      <c r="M138" s="109"/>
      <c r="N138" s="109"/>
      <c r="O138" s="109"/>
      <c r="P138" s="109"/>
      <c r="Q138" s="109"/>
      <c r="R138" s="109"/>
      <c r="S138" s="109"/>
      <c r="T138" s="109"/>
      <c r="U138" s="109"/>
      <c r="V138" s="109"/>
      <c r="W138" s="109"/>
      <c r="X138" s="109"/>
      <c r="Y138" s="109"/>
      <c r="Z138" s="109"/>
    </row>
    <row r="139" ht="29.25" customHeight="1">
      <c r="A139" s="109"/>
      <c r="B139" s="109"/>
      <c r="C139" s="109"/>
      <c r="D139" s="109"/>
      <c r="E139" s="109"/>
      <c r="F139" s="109"/>
      <c r="G139" s="109"/>
      <c r="H139" s="317"/>
      <c r="I139" s="109"/>
      <c r="J139" s="109"/>
      <c r="K139" s="109"/>
      <c r="L139" s="109"/>
      <c r="M139" s="109"/>
      <c r="N139" s="109"/>
      <c r="O139" s="109"/>
      <c r="P139" s="109"/>
      <c r="Q139" s="109"/>
      <c r="R139" s="109"/>
      <c r="S139" s="109"/>
      <c r="T139" s="109"/>
      <c r="U139" s="109"/>
      <c r="V139" s="109"/>
      <c r="W139" s="109"/>
      <c r="X139" s="109"/>
      <c r="Y139" s="109"/>
      <c r="Z139" s="109"/>
    </row>
    <row r="140" ht="29.25" customHeight="1">
      <c r="A140" s="109"/>
      <c r="B140" s="109"/>
      <c r="C140" s="109"/>
      <c r="D140" s="109"/>
      <c r="E140" s="109"/>
      <c r="F140" s="109"/>
      <c r="G140" s="109"/>
      <c r="H140" s="317"/>
      <c r="I140" s="109"/>
      <c r="J140" s="109"/>
      <c r="K140" s="109"/>
      <c r="L140" s="109"/>
      <c r="M140" s="109"/>
      <c r="N140" s="109"/>
      <c r="O140" s="109"/>
      <c r="P140" s="109"/>
      <c r="Q140" s="109"/>
      <c r="R140" s="109"/>
      <c r="S140" s="109"/>
      <c r="T140" s="109"/>
      <c r="U140" s="109"/>
      <c r="V140" s="109"/>
      <c r="W140" s="109"/>
      <c r="X140" s="109"/>
      <c r="Y140" s="109"/>
      <c r="Z140" s="109"/>
    </row>
    <row r="141" ht="29.25" customHeight="1">
      <c r="A141" s="109"/>
      <c r="B141" s="109"/>
      <c r="C141" s="109"/>
      <c r="D141" s="109"/>
      <c r="E141" s="109"/>
      <c r="F141" s="109"/>
      <c r="G141" s="109"/>
      <c r="H141" s="317"/>
      <c r="I141" s="109"/>
      <c r="J141" s="109"/>
      <c r="K141" s="109"/>
      <c r="L141" s="109"/>
      <c r="M141" s="109"/>
      <c r="N141" s="109"/>
      <c r="O141" s="109"/>
      <c r="P141" s="109"/>
      <c r="Q141" s="109"/>
      <c r="R141" s="109"/>
      <c r="S141" s="109"/>
      <c r="T141" s="109"/>
      <c r="U141" s="109"/>
      <c r="V141" s="109"/>
      <c r="W141" s="109"/>
      <c r="X141" s="109"/>
      <c r="Y141" s="109"/>
      <c r="Z141" s="109"/>
    </row>
    <row r="142" ht="29.25" customHeight="1">
      <c r="A142" s="109"/>
      <c r="B142" s="109"/>
      <c r="C142" s="109"/>
      <c r="D142" s="109"/>
      <c r="E142" s="109"/>
      <c r="F142" s="109"/>
      <c r="G142" s="109"/>
      <c r="H142" s="317"/>
      <c r="I142" s="109"/>
      <c r="J142" s="109"/>
      <c r="K142" s="109"/>
      <c r="L142" s="109"/>
      <c r="M142" s="109"/>
      <c r="N142" s="109"/>
      <c r="O142" s="109"/>
      <c r="P142" s="109"/>
      <c r="Q142" s="109"/>
      <c r="R142" s="109"/>
      <c r="S142" s="109"/>
      <c r="T142" s="109"/>
      <c r="U142" s="109"/>
      <c r="V142" s="109"/>
      <c r="W142" s="109"/>
      <c r="X142" s="109"/>
      <c r="Y142" s="109"/>
      <c r="Z142" s="109"/>
    </row>
    <row r="143" ht="29.25" customHeight="1">
      <c r="A143" s="109"/>
      <c r="B143" s="109"/>
      <c r="C143" s="109"/>
      <c r="D143" s="109"/>
      <c r="E143" s="109"/>
      <c r="F143" s="109"/>
      <c r="G143" s="109"/>
      <c r="H143" s="317"/>
      <c r="I143" s="109"/>
      <c r="J143" s="109"/>
      <c r="K143" s="109"/>
      <c r="L143" s="109"/>
      <c r="M143" s="109"/>
      <c r="N143" s="109"/>
      <c r="O143" s="109"/>
      <c r="P143" s="109"/>
      <c r="Q143" s="109"/>
      <c r="R143" s="109"/>
      <c r="S143" s="109"/>
      <c r="T143" s="109"/>
      <c r="U143" s="109"/>
      <c r="V143" s="109"/>
      <c r="W143" s="109"/>
      <c r="X143" s="109"/>
      <c r="Y143" s="109"/>
      <c r="Z143" s="109"/>
    </row>
    <row r="144" ht="29.25" customHeight="1">
      <c r="A144" s="109"/>
      <c r="B144" s="109"/>
      <c r="C144" s="109"/>
      <c r="D144" s="109"/>
      <c r="E144" s="109"/>
      <c r="F144" s="109"/>
      <c r="G144" s="109"/>
      <c r="H144" s="317"/>
      <c r="I144" s="109"/>
      <c r="J144" s="109"/>
      <c r="K144" s="109"/>
      <c r="L144" s="109"/>
      <c r="M144" s="109"/>
      <c r="N144" s="109"/>
      <c r="O144" s="109"/>
      <c r="P144" s="109"/>
      <c r="Q144" s="109"/>
      <c r="R144" s="109"/>
      <c r="S144" s="109"/>
      <c r="T144" s="109"/>
      <c r="U144" s="109"/>
      <c r="V144" s="109"/>
      <c r="W144" s="109"/>
      <c r="X144" s="109"/>
      <c r="Y144" s="109"/>
      <c r="Z144" s="109"/>
    </row>
    <row r="145" ht="29.25" customHeight="1">
      <c r="A145" s="109"/>
      <c r="B145" s="109"/>
      <c r="C145" s="109"/>
      <c r="D145" s="109"/>
      <c r="E145" s="109"/>
      <c r="F145" s="109"/>
      <c r="G145" s="109"/>
      <c r="H145" s="317"/>
      <c r="I145" s="109"/>
      <c r="J145" s="109"/>
      <c r="K145" s="109"/>
      <c r="L145" s="109"/>
      <c r="M145" s="109"/>
      <c r="N145" s="109"/>
      <c r="O145" s="109"/>
      <c r="P145" s="109"/>
      <c r="Q145" s="109"/>
      <c r="R145" s="109"/>
      <c r="S145" s="109"/>
      <c r="T145" s="109"/>
      <c r="U145" s="109"/>
      <c r="V145" s="109"/>
      <c r="W145" s="109"/>
      <c r="X145" s="109"/>
      <c r="Y145" s="109"/>
      <c r="Z145" s="109"/>
    </row>
    <row r="146" ht="29.25" customHeight="1">
      <c r="A146" s="109"/>
      <c r="B146" s="109"/>
      <c r="C146" s="109"/>
      <c r="D146" s="109"/>
      <c r="E146" s="109"/>
      <c r="F146" s="109"/>
      <c r="G146" s="109"/>
      <c r="H146" s="317"/>
      <c r="I146" s="109"/>
      <c r="J146" s="109"/>
      <c r="K146" s="109"/>
      <c r="L146" s="109"/>
      <c r="M146" s="109"/>
      <c r="N146" s="109"/>
      <c r="O146" s="109"/>
      <c r="P146" s="109"/>
      <c r="Q146" s="109"/>
      <c r="R146" s="109"/>
      <c r="S146" s="109"/>
      <c r="T146" s="109"/>
      <c r="U146" s="109"/>
      <c r="V146" s="109"/>
      <c r="W146" s="109"/>
      <c r="X146" s="109"/>
      <c r="Y146" s="109"/>
      <c r="Z146" s="109"/>
    </row>
    <row r="147" ht="29.25" customHeight="1">
      <c r="A147" s="109"/>
      <c r="B147" s="109"/>
      <c r="C147" s="109"/>
      <c r="D147" s="109"/>
      <c r="E147" s="109"/>
      <c r="F147" s="109"/>
      <c r="G147" s="109"/>
      <c r="H147" s="317"/>
      <c r="I147" s="109"/>
      <c r="J147" s="109"/>
      <c r="K147" s="109"/>
      <c r="L147" s="109"/>
      <c r="M147" s="109"/>
      <c r="N147" s="109"/>
      <c r="O147" s="109"/>
      <c r="P147" s="109"/>
      <c r="Q147" s="109"/>
      <c r="R147" s="109"/>
      <c r="S147" s="109"/>
      <c r="T147" s="109"/>
      <c r="U147" s="109"/>
      <c r="V147" s="109"/>
      <c r="W147" s="109"/>
      <c r="X147" s="109"/>
      <c r="Y147" s="109"/>
      <c r="Z147" s="109"/>
    </row>
    <row r="148" ht="29.25" customHeight="1">
      <c r="A148" s="109"/>
      <c r="B148" s="109"/>
      <c r="C148" s="109"/>
      <c r="D148" s="109"/>
      <c r="E148" s="109"/>
      <c r="F148" s="109"/>
      <c r="G148" s="109"/>
      <c r="H148" s="317"/>
      <c r="I148" s="109"/>
      <c r="J148" s="109"/>
      <c r="K148" s="109"/>
      <c r="L148" s="109"/>
      <c r="M148" s="109"/>
      <c r="N148" s="109"/>
      <c r="O148" s="109"/>
      <c r="P148" s="109"/>
      <c r="Q148" s="109"/>
      <c r="R148" s="109"/>
      <c r="S148" s="109"/>
      <c r="T148" s="109"/>
      <c r="U148" s="109"/>
      <c r="V148" s="109"/>
      <c r="W148" s="109"/>
      <c r="X148" s="109"/>
      <c r="Y148" s="109"/>
      <c r="Z148" s="109"/>
    </row>
    <row r="149" ht="29.25" customHeight="1">
      <c r="A149" s="109"/>
      <c r="B149" s="109"/>
      <c r="C149" s="109"/>
      <c r="D149" s="109"/>
      <c r="E149" s="109"/>
      <c r="F149" s="109"/>
      <c r="G149" s="109"/>
      <c r="H149" s="317"/>
      <c r="I149" s="109"/>
      <c r="J149" s="109"/>
      <c r="K149" s="109"/>
      <c r="L149" s="109"/>
      <c r="M149" s="109"/>
      <c r="N149" s="109"/>
      <c r="O149" s="109"/>
      <c r="P149" s="109"/>
      <c r="Q149" s="109"/>
      <c r="R149" s="109"/>
      <c r="S149" s="109"/>
      <c r="T149" s="109"/>
      <c r="U149" s="109"/>
      <c r="V149" s="109"/>
      <c r="W149" s="109"/>
      <c r="X149" s="109"/>
      <c r="Y149" s="109"/>
      <c r="Z149" s="109"/>
    </row>
    <row r="150" ht="29.25" customHeight="1">
      <c r="A150" s="109"/>
      <c r="B150" s="109"/>
      <c r="C150" s="109"/>
      <c r="D150" s="109"/>
      <c r="E150" s="109"/>
      <c r="F150" s="109"/>
      <c r="G150" s="109"/>
      <c r="H150" s="317"/>
      <c r="I150" s="109"/>
      <c r="J150" s="109"/>
      <c r="K150" s="109"/>
      <c r="L150" s="109"/>
      <c r="M150" s="109"/>
      <c r="N150" s="109"/>
      <c r="O150" s="109"/>
      <c r="P150" s="109"/>
      <c r="Q150" s="109"/>
      <c r="R150" s="109"/>
      <c r="S150" s="109"/>
      <c r="T150" s="109"/>
      <c r="U150" s="109"/>
      <c r="V150" s="109"/>
      <c r="W150" s="109"/>
      <c r="X150" s="109"/>
      <c r="Y150" s="109"/>
      <c r="Z150" s="109"/>
    </row>
    <row r="151" ht="29.25" customHeight="1">
      <c r="A151" s="109"/>
      <c r="B151" s="109"/>
      <c r="C151" s="109"/>
      <c r="D151" s="109"/>
      <c r="E151" s="109"/>
      <c r="F151" s="109"/>
      <c r="G151" s="109"/>
      <c r="H151" s="317"/>
      <c r="I151" s="109"/>
      <c r="J151" s="109"/>
      <c r="K151" s="109"/>
      <c r="L151" s="109"/>
      <c r="M151" s="109"/>
      <c r="N151" s="109"/>
      <c r="O151" s="109"/>
      <c r="P151" s="109"/>
      <c r="Q151" s="109"/>
      <c r="R151" s="109"/>
      <c r="S151" s="109"/>
      <c r="T151" s="109"/>
      <c r="U151" s="109"/>
      <c r="V151" s="109"/>
      <c r="W151" s="109"/>
      <c r="X151" s="109"/>
      <c r="Y151" s="109"/>
      <c r="Z151" s="109"/>
    </row>
    <row r="152" ht="29.25" customHeight="1">
      <c r="A152" s="109"/>
      <c r="B152" s="109"/>
      <c r="C152" s="109"/>
      <c r="D152" s="109"/>
      <c r="E152" s="109"/>
      <c r="F152" s="109"/>
      <c r="G152" s="109"/>
      <c r="H152" s="317"/>
      <c r="I152" s="109"/>
      <c r="J152" s="109"/>
      <c r="K152" s="109"/>
      <c r="L152" s="109"/>
      <c r="M152" s="109"/>
      <c r="N152" s="109"/>
      <c r="O152" s="109"/>
      <c r="P152" s="109"/>
      <c r="Q152" s="109"/>
      <c r="R152" s="109"/>
      <c r="S152" s="109"/>
      <c r="T152" s="109"/>
      <c r="U152" s="109"/>
      <c r="V152" s="109"/>
      <c r="W152" s="109"/>
      <c r="X152" s="109"/>
      <c r="Y152" s="109"/>
      <c r="Z152" s="109"/>
    </row>
    <row r="153" ht="29.25" customHeight="1">
      <c r="A153" s="109"/>
      <c r="B153" s="109"/>
      <c r="C153" s="109"/>
      <c r="D153" s="109"/>
      <c r="E153" s="109"/>
      <c r="F153" s="109"/>
      <c r="G153" s="109"/>
      <c r="H153" s="317"/>
      <c r="I153" s="109"/>
      <c r="J153" s="109"/>
      <c r="K153" s="109"/>
      <c r="L153" s="109"/>
      <c r="M153" s="109"/>
      <c r="N153" s="109"/>
      <c r="O153" s="109"/>
      <c r="P153" s="109"/>
      <c r="Q153" s="109"/>
      <c r="R153" s="109"/>
      <c r="S153" s="109"/>
      <c r="T153" s="109"/>
      <c r="U153" s="109"/>
      <c r="V153" s="109"/>
      <c r="W153" s="109"/>
      <c r="X153" s="109"/>
      <c r="Y153" s="109"/>
      <c r="Z153" s="109"/>
    </row>
    <row r="154" ht="29.25" customHeight="1">
      <c r="A154" s="109"/>
      <c r="B154" s="109"/>
      <c r="C154" s="109"/>
      <c r="D154" s="109"/>
      <c r="E154" s="109"/>
      <c r="F154" s="109"/>
      <c r="G154" s="109"/>
      <c r="H154" s="317"/>
      <c r="I154" s="109"/>
      <c r="J154" s="109"/>
      <c r="K154" s="109"/>
      <c r="L154" s="109"/>
      <c r="M154" s="109"/>
      <c r="N154" s="109"/>
      <c r="O154" s="109"/>
      <c r="P154" s="109"/>
      <c r="Q154" s="109"/>
      <c r="R154" s="109"/>
      <c r="S154" s="109"/>
      <c r="T154" s="109"/>
      <c r="U154" s="109"/>
      <c r="V154" s="109"/>
      <c r="W154" s="109"/>
      <c r="X154" s="109"/>
      <c r="Y154" s="109"/>
      <c r="Z154" s="109"/>
    </row>
    <row r="155" ht="29.25" customHeight="1">
      <c r="A155" s="109"/>
      <c r="B155" s="109"/>
      <c r="C155" s="109"/>
      <c r="D155" s="109"/>
      <c r="E155" s="109"/>
      <c r="F155" s="109"/>
      <c r="G155" s="109"/>
      <c r="H155" s="317"/>
      <c r="I155" s="109"/>
      <c r="J155" s="109"/>
      <c r="K155" s="109"/>
      <c r="L155" s="109"/>
      <c r="M155" s="109"/>
      <c r="N155" s="109"/>
      <c r="O155" s="109"/>
      <c r="P155" s="109"/>
      <c r="Q155" s="109"/>
      <c r="R155" s="109"/>
      <c r="S155" s="109"/>
      <c r="T155" s="109"/>
      <c r="U155" s="109"/>
      <c r="V155" s="109"/>
      <c r="W155" s="109"/>
      <c r="X155" s="109"/>
      <c r="Y155" s="109"/>
      <c r="Z155" s="109"/>
    </row>
    <row r="156" ht="29.25" customHeight="1">
      <c r="A156" s="109"/>
      <c r="B156" s="109"/>
      <c r="C156" s="109"/>
      <c r="D156" s="109"/>
      <c r="E156" s="109"/>
      <c r="F156" s="109"/>
      <c r="G156" s="109"/>
      <c r="H156" s="317"/>
      <c r="I156" s="109"/>
      <c r="J156" s="109"/>
      <c r="K156" s="109"/>
      <c r="L156" s="109"/>
      <c r="M156" s="109"/>
      <c r="N156" s="109"/>
      <c r="O156" s="109"/>
      <c r="P156" s="109"/>
      <c r="Q156" s="109"/>
      <c r="R156" s="109"/>
      <c r="S156" s="109"/>
      <c r="T156" s="109"/>
      <c r="U156" s="109"/>
      <c r="V156" s="109"/>
      <c r="W156" s="109"/>
      <c r="X156" s="109"/>
      <c r="Y156" s="109"/>
      <c r="Z156" s="109"/>
    </row>
    <row r="157" ht="29.25" customHeight="1">
      <c r="A157" s="109"/>
      <c r="B157" s="109"/>
      <c r="C157" s="109"/>
      <c r="D157" s="109"/>
      <c r="E157" s="109"/>
      <c r="F157" s="109"/>
      <c r="G157" s="109"/>
      <c r="H157" s="317"/>
      <c r="I157" s="109"/>
      <c r="J157" s="109"/>
      <c r="K157" s="109"/>
      <c r="L157" s="109"/>
      <c r="M157" s="109"/>
      <c r="N157" s="109"/>
      <c r="O157" s="109"/>
      <c r="P157" s="109"/>
      <c r="Q157" s="109"/>
      <c r="R157" s="109"/>
      <c r="S157" s="109"/>
      <c r="T157" s="109"/>
      <c r="U157" s="109"/>
      <c r="V157" s="109"/>
      <c r="W157" s="109"/>
      <c r="X157" s="109"/>
      <c r="Y157" s="109"/>
      <c r="Z157" s="109"/>
    </row>
    <row r="158" ht="29.25" customHeight="1">
      <c r="A158" s="109"/>
      <c r="B158" s="109"/>
      <c r="C158" s="109"/>
      <c r="D158" s="109"/>
      <c r="E158" s="109"/>
      <c r="F158" s="109"/>
      <c r="G158" s="109"/>
      <c r="H158" s="317"/>
      <c r="I158" s="109"/>
      <c r="J158" s="109"/>
      <c r="K158" s="109"/>
      <c r="L158" s="109"/>
      <c r="M158" s="109"/>
      <c r="N158" s="109"/>
      <c r="O158" s="109"/>
      <c r="P158" s="109"/>
      <c r="Q158" s="109"/>
      <c r="R158" s="109"/>
      <c r="S158" s="109"/>
      <c r="T158" s="109"/>
      <c r="U158" s="109"/>
      <c r="V158" s="109"/>
      <c r="W158" s="109"/>
      <c r="X158" s="109"/>
      <c r="Y158" s="109"/>
      <c r="Z158" s="109"/>
    </row>
    <row r="159" ht="29.25" customHeight="1">
      <c r="A159" s="109"/>
      <c r="B159" s="109"/>
      <c r="C159" s="109"/>
      <c r="D159" s="109"/>
      <c r="E159" s="109"/>
      <c r="F159" s="109"/>
      <c r="G159" s="109"/>
      <c r="H159" s="317"/>
      <c r="I159" s="109"/>
      <c r="J159" s="109"/>
      <c r="K159" s="109"/>
      <c r="L159" s="109"/>
      <c r="M159" s="109"/>
      <c r="N159" s="109"/>
      <c r="O159" s="109"/>
      <c r="P159" s="109"/>
      <c r="Q159" s="109"/>
      <c r="R159" s="109"/>
      <c r="S159" s="109"/>
      <c r="T159" s="109"/>
      <c r="U159" s="109"/>
      <c r="V159" s="109"/>
      <c r="W159" s="109"/>
      <c r="X159" s="109"/>
      <c r="Y159" s="109"/>
      <c r="Z159" s="109"/>
    </row>
    <row r="160" ht="29.25" customHeight="1">
      <c r="A160" s="109"/>
      <c r="B160" s="109"/>
      <c r="C160" s="109"/>
      <c r="D160" s="109"/>
      <c r="E160" s="109"/>
      <c r="F160" s="109"/>
      <c r="G160" s="109"/>
      <c r="H160" s="317"/>
      <c r="I160" s="109"/>
      <c r="J160" s="109"/>
      <c r="K160" s="109"/>
      <c r="L160" s="109"/>
      <c r="M160" s="109"/>
      <c r="N160" s="109"/>
      <c r="O160" s="109"/>
      <c r="P160" s="109"/>
      <c r="Q160" s="109"/>
      <c r="R160" s="109"/>
      <c r="S160" s="109"/>
      <c r="T160" s="109"/>
      <c r="U160" s="109"/>
      <c r="V160" s="109"/>
      <c r="W160" s="109"/>
      <c r="X160" s="109"/>
      <c r="Y160" s="109"/>
      <c r="Z160" s="109"/>
    </row>
    <row r="161" ht="29.25" customHeight="1">
      <c r="A161" s="109"/>
      <c r="B161" s="109"/>
      <c r="C161" s="109"/>
      <c r="D161" s="109"/>
      <c r="E161" s="109"/>
      <c r="F161" s="109"/>
      <c r="G161" s="109"/>
      <c r="H161" s="317"/>
      <c r="I161" s="109"/>
      <c r="J161" s="109"/>
      <c r="K161" s="109"/>
      <c r="L161" s="109"/>
      <c r="M161" s="109"/>
      <c r="N161" s="109"/>
      <c r="O161" s="109"/>
      <c r="P161" s="109"/>
      <c r="Q161" s="109"/>
      <c r="R161" s="109"/>
      <c r="S161" s="109"/>
      <c r="T161" s="109"/>
      <c r="U161" s="109"/>
      <c r="V161" s="109"/>
      <c r="W161" s="109"/>
      <c r="X161" s="109"/>
      <c r="Y161" s="109"/>
      <c r="Z161" s="109"/>
    </row>
    <row r="162" ht="29.25" customHeight="1">
      <c r="A162" s="109"/>
      <c r="B162" s="109"/>
      <c r="C162" s="109"/>
      <c r="D162" s="109"/>
      <c r="E162" s="109"/>
      <c r="F162" s="109"/>
      <c r="G162" s="109"/>
      <c r="H162" s="317"/>
      <c r="I162" s="109"/>
      <c r="J162" s="109"/>
      <c r="K162" s="109"/>
      <c r="L162" s="109"/>
      <c r="M162" s="109"/>
      <c r="N162" s="109"/>
      <c r="O162" s="109"/>
      <c r="P162" s="109"/>
      <c r="Q162" s="109"/>
      <c r="R162" s="109"/>
      <c r="S162" s="109"/>
      <c r="T162" s="109"/>
      <c r="U162" s="109"/>
      <c r="V162" s="109"/>
      <c r="W162" s="109"/>
      <c r="X162" s="109"/>
      <c r="Y162" s="109"/>
      <c r="Z162" s="109"/>
    </row>
    <row r="163" ht="29.25" customHeight="1">
      <c r="A163" s="109"/>
      <c r="B163" s="109"/>
      <c r="C163" s="109"/>
      <c r="D163" s="109"/>
      <c r="E163" s="109"/>
      <c r="F163" s="109"/>
      <c r="G163" s="109"/>
      <c r="H163" s="317"/>
      <c r="I163" s="109"/>
      <c r="J163" s="109"/>
      <c r="K163" s="109"/>
      <c r="L163" s="109"/>
      <c r="M163" s="109"/>
      <c r="N163" s="109"/>
      <c r="O163" s="109"/>
      <c r="P163" s="109"/>
      <c r="Q163" s="109"/>
      <c r="R163" s="109"/>
      <c r="S163" s="109"/>
      <c r="T163" s="109"/>
      <c r="U163" s="109"/>
      <c r="V163" s="109"/>
      <c r="W163" s="109"/>
      <c r="X163" s="109"/>
      <c r="Y163" s="109"/>
      <c r="Z163" s="109"/>
    </row>
    <row r="164" ht="29.25" customHeight="1">
      <c r="A164" s="109"/>
      <c r="B164" s="109"/>
      <c r="C164" s="109"/>
      <c r="D164" s="109"/>
      <c r="E164" s="109"/>
      <c r="F164" s="109"/>
      <c r="G164" s="109"/>
      <c r="H164" s="317"/>
      <c r="I164" s="109"/>
      <c r="J164" s="109"/>
      <c r="K164" s="109"/>
      <c r="L164" s="109"/>
      <c r="M164" s="109"/>
      <c r="N164" s="109"/>
      <c r="O164" s="109"/>
      <c r="P164" s="109"/>
      <c r="Q164" s="109"/>
      <c r="R164" s="109"/>
      <c r="S164" s="109"/>
      <c r="T164" s="109"/>
      <c r="U164" s="109"/>
      <c r="V164" s="109"/>
      <c r="W164" s="109"/>
      <c r="X164" s="109"/>
      <c r="Y164" s="109"/>
      <c r="Z164" s="109"/>
    </row>
    <row r="165" ht="29.25" customHeight="1">
      <c r="A165" s="109"/>
      <c r="B165" s="109"/>
      <c r="C165" s="109"/>
      <c r="D165" s="109"/>
      <c r="E165" s="109"/>
      <c r="F165" s="109"/>
      <c r="G165" s="109"/>
      <c r="H165" s="317"/>
      <c r="I165" s="109"/>
      <c r="J165" s="109"/>
      <c r="K165" s="109"/>
      <c r="L165" s="109"/>
      <c r="M165" s="109"/>
      <c r="N165" s="109"/>
      <c r="O165" s="109"/>
      <c r="P165" s="109"/>
      <c r="Q165" s="109"/>
      <c r="R165" s="109"/>
      <c r="S165" s="109"/>
      <c r="T165" s="109"/>
      <c r="U165" s="109"/>
      <c r="V165" s="109"/>
      <c r="W165" s="109"/>
      <c r="X165" s="109"/>
      <c r="Y165" s="109"/>
      <c r="Z165" s="109"/>
    </row>
    <row r="166" ht="29.25" customHeight="1">
      <c r="A166" s="109"/>
      <c r="B166" s="109"/>
      <c r="C166" s="109"/>
      <c r="D166" s="109"/>
      <c r="E166" s="109"/>
      <c r="F166" s="109"/>
      <c r="G166" s="109"/>
      <c r="H166" s="317"/>
      <c r="I166" s="109"/>
      <c r="J166" s="109"/>
      <c r="K166" s="109"/>
      <c r="L166" s="109"/>
      <c r="M166" s="109"/>
      <c r="N166" s="109"/>
      <c r="O166" s="109"/>
      <c r="P166" s="109"/>
      <c r="Q166" s="109"/>
      <c r="R166" s="109"/>
      <c r="S166" s="109"/>
      <c r="T166" s="109"/>
      <c r="U166" s="109"/>
      <c r="V166" s="109"/>
      <c r="W166" s="109"/>
      <c r="X166" s="109"/>
      <c r="Y166" s="109"/>
      <c r="Z166" s="109"/>
    </row>
    <row r="167" ht="29.25" customHeight="1">
      <c r="A167" s="109"/>
      <c r="B167" s="109"/>
      <c r="C167" s="109"/>
      <c r="D167" s="109"/>
      <c r="E167" s="109"/>
      <c r="F167" s="109"/>
      <c r="G167" s="109"/>
      <c r="H167" s="317"/>
      <c r="I167" s="109"/>
      <c r="J167" s="109"/>
      <c r="K167" s="109"/>
      <c r="L167" s="109"/>
      <c r="M167" s="109"/>
      <c r="N167" s="109"/>
      <c r="O167" s="109"/>
      <c r="P167" s="109"/>
      <c r="Q167" s="109"/>
      <c r="R167" s="109"/>
      <c r="S167" s="109"/>
      <c r="T167" s="109"/>
      <c r="U167" s="109"/>
      <c r="V167" s="109"/>
      <c r="W167" s="109"/>
      <c r="X167" s="109"/>
      <c r="Y167" s="109"/>
      <c r="Z167" s="109"/>
    </row>
    <row r="168" ht="29.25" customHeight="1">
      <c r="A168" s="109"/>
      <c r="B168" s="109"/>
      <c r="C168" s="109"/>
      <c r="D168" s="109"/>
      <c r="E168" s="109"/>
      <c r="F168" s="109"/>
      <c r="G168" s="109"/>
      <c r="H168" s="317"/>
      <c r="I168" s="109"/>
      <c r="J168" s="109"/>
      <c r="K168" s="109"/>
      <c r="L168" s="109"/>
      <c r="M168" s="109"/>
      <c r="N168" s="109"/>
      <c r="O168" s="109"/>
      <c r="P168" s="109"/>
      <c r="Q168" s="109"/>
      <c r="R168" s="109"/>
      <c r="S168" s="109"/>
      <c r="T168" s="109"/>
      <c r="U168" s="109"/>
      <c r="V168" s="109"/>
      <c r="W168" s="109"/>
      <c r="X168" s="109"/>
      <c r="Y168" s="109"/>
      <c r="Z168" s="109"/>
    </row>
    <row r="169" ht="29.25" customHeight="1">
      <c r="A169" s="109"/>
      <c r="B169" s="109"/>
      <c r="C169" s="109"/>
      <c r="D169" s="109"/>
      <c r="E169" s="109"/>
      <c r="F169" s="109"/>
      <c r="G169" s="109"/>
      <c r="H169" s="317"/>
      <c r="I169" s="109"/>
      <c r="J169" s="109"/>
      <c r="K169" s="109"/>
      <c r="L169" s="109"/>
      <c r="M169" s="109"/>
      <c r="N169" s="109"/>
      <c r="O169" s="109"/>
      <c r="P169" s="109"/>
      <c r="Q169" s="109"/>
      <c r="R169" s="109"/>
      <c r="S169" s="109"/>
      <c r="T169" s="109"/>
      <c r="U169" s="109"/>
      <c r="V169" s="109"/>
      <c r="W169" s="109"/>
      <c r="X169" s="109"/>
      <c r="Y169" s="109"/>
      <c r="Z169" s="109"/>
    </row>
    <row r="170" ht="29.25" customHeight="1">
      <c r="A170" s="109"/>
      <c r="B170" s="109"/>
      <c r="C170" s="109"/>
      <c r="D170" s="109"/>
      <c r="E170" s="109"/>
      <c r="F170" s="109"/>
      <c r="G170" s="109"/>
      <c r="H170" s="317"/>
      <c r="I170" s="109"/>
      <c r="J170" s="109"/>
      <c r="K170" s="109"/>
      <c r="L170" s="109"/>
      <c r="M170" s="109"/>
      <c r="N170" s="109"/>
      <c r="O170" s="109"/>
      <c r="P170" s="109"/>
      <c r="Q170" s="109"/>
      <c r="R170" s="109"/>
      <c r="S170" s="109"/>
      <c r="T170" s="109"/>
      <c r="U170" s="109"/>
      <c r="V170" s="109"/>
      <c r="W170" s="109"/>
      <c r="X170" s="109"/>
      <c r="Y170" s="109"/>
      <c r="Z170" s="109"/>
    </row>
    <row r="171" ht="29.25" customHeight="1">
      <c r="A171" s="109"/>
      <c r="B171" s="109"/>
      <c r="C171" s="109"/>
      <c r="D171" s="109"/>
      <c r="E171" s="109"/>
      <c r="F171" s="109"/>
      <c r="G171" s="109"/>
      <c r="H171" s="317"/>
      <c r="I171" s="109"/>
      <c r="J171" s="109"/>
      <c r="K171" s="109"/>
      <c r="L171" s="109"/>
      <c r="M171" s="109"/>
      <c r="N171" s="109"/>
      <c r="O171" s="109"/>
      <c r="P171" s="109"/>
      <c r="Q171" s="109"/>
      <c r="R171" s="109"/>
      <c r="S171" s="109"/>
      <c r="T171" s="109"/>
      <c r="U171" s="109"/>
      <c r="V171" s="109"/>
      <c r="W171" s="109"/>
      <c r="X171" s="109"/>
      <c r="Y171" s="109"/>
      <c r="Z171" s="109"/>
    </row>
    <row r="172" ht="29.25" customHeight="1">
      <c r="A172" s="109"/>
      <c r="B172" s="109"/>
      <c r="C172" s="109"/>
      <c r="D172" s="109"/>
      <c r="E172" s="109"/>
      <c r="F172" s="109"/>
      <c r="G172" s="109"/>
      <c r="H172" s="317"/>
      <c r="I172" s="109"/>
      <c r="J172" s="109"/>
      <c r="K172" s="109"/>
      <c r="L172" s="109"/>
      <c r="M172" s="109"/>
      <c r="N172" s="109"/>
      <c r="O172" s="109"/>
      <c r="P172" s="109"/>
      <c r="Q172" s="109"/>
      <c r="R172" s="109"/>
      <c r="S172" s="109"/>
      <c r="T172" s="109"/>
      <c r="U172" s="109"/>
      <c r="V172" s="109"/>
      <c r="W172" s="109"/>
      <c r="X172" s="109"/>
      <c r="Y172" s="109"/>
      <c r="Z172" s="109"/>
    </row>
    <row r="173" ht="29.25" customHeight="1">
      <c r="A173" s="109"/>
      <c r="B173" s="109"/>
      <c r="C173" s="109"/>
      <c r="D173" s="109"/>
      <c r="E173" s="109"/>
      <c r="F173" s="109"/>
      <c r="G173" s="109"/>
      <c r="H173" s="317"/>
      <c r="I173" s="109"/>
      <c r="J173" s="109"/>
      <c r="K173" s="109"/>
      <c r="L173" s="109"/>
      <c r="M173" s="109"/>
      <c r="N173" s="109"/>
      <c r="O173" s="109"/>
      <c r="P173" s="109"/>
      <c r="Q173" s="109"/>
      <c r="R173" s="109"/>
      <c r="S173" s="109"/>
      <c r="T173" s="109"/>
      <c r="U173" s="109"/>
      <c r="V173" s="109"/>
      <c r="W173" s="109"/>
      <c r="X173" s="109"/>
      <c r="Y173" s="109"/>
      <c r="Z173" s="109"/>
    </row>
    <row r="174" ht="29.25" customHeight="1">
      <c r="A174" s="109"/>
      <c r="B174" s="109"/>
      <c r="C174" s="109"/>
      <c r="D174" s="109"/>
      <c r="E174" s="109"/>
      <c r="F174" s="109"/>
      <c r="G174" s="109"/>
      <c r="H174" s="317"/>
      <c r="I174" s="109"/>
      <c r="J174" s="109"/>
      <c r="K174" s="109"/>
      <c r="L174" s="109"/>
      <c r="M174" s="109"/>
      <c r="N174" s="109"/>
      <c r="O174" s="109"/>
      <c r="P174" s="109"/>
      <c r="Q174" s="109"/>
      <c r="R174" s="109"/>
      <c r="S174" s="109"/>
      <c r="T174" s="109"/>
      <c r="U174" s="109"/>
      <c r="V174" s="109"/>
      <c r="W174" s="109"/>
      <c r="X174" s="109"/>
      <c r="Y174" s="109"/>
      <c r="Z174" s="109"/>
    </row>
    <row r="175" ht="29.25" customHeight="1">
      <c r="A175" s="109"/>
      <c r="B175" s="109"/>
      <c r="C175" s="109"/>
      <c r="D175" s="109"/>
      <c r="E175" s="109"/>
      <c r="F175" s="109"/>
      <c r="G175" s="109"/>
      <c r="H175" s="317"/>
      <c r="I175" s="109"/>
      <c r="J175" s="109"/>
      <c r="K175" s="109"/>
      <c r="L175" s="109"/>
      <c r="M175" s="109"/>
      <c r="N175" s="109"/>
      <c r="O175" s="109"/>
      <c r="P175" s="109"/>
      <c r="Q175" s="109"/>
      <c r="R175" s="109"/>
      <c r="S175" s="109"/>
      <c r="T175" s="109"/>
      <c r="U175" s="109"/>
      <c r="V175" s="109"/>
      <c r="W175" s="109"/>
      <c r="X175" s="109"/>
      <c r="Y175" s="109"/>
      <c r="Z175" s="109"/>
    </row>
    <row r="176" ht="29.25" customHeight="1">
      <c r="A176" s="109"/>
      <c r="B176" s="109"/>
      <c r="C176" s="109"/>
      <c r="D176" s="109"/>
      <c r="E176" s="109"/>
      <c r="F176" s="109"/>
      <c r="G176" s="109"/>
      <c r="H176" s="317"/>
      <c r="I176" s="109"/>
      <c r="J176" s="109"/>
      <c r="K176" s="109"/>
      <c r="L176" s="109"/>
      <c r="M176" s="109"/>
      <c r="N176" s="109"/>
      <c r="O176" s="109"/>
      <c r="P176" s="109"/>
      <c r="Q176" s="109"/>
      <c r="R176" s="109"/>
      <c r="S176" s="109"/>
      <c r="T176" s="109"/>
      <c r="U176" s="109"/>
      <c r="V176" s="109"/>
      <c r="W176" s="109"/>
      <c r="X176" s="109"/>
      <c r="Y176" s="109"/>
      <c r="Z176" s="109"/>
    </row>
    <row r="177" ht="29.25" customHeight="1">
      <c r="A177" s="109"/>
      <c r="B177" s="109"/>
      <c r="C177" s="109"/>
      <c r="D177" s="109"/>
      <c r="E177" s="109"/>
      <c r="F177" s="109"/>
      <c r="G177" s="109"/>
      <c r="H177" s="317"/>
      <c r="I177" s="109"/>
      <c r="J177" s="109"/>
      <c r="K177" s="109"/>
      <c r="L177" s="109"/>
      <c r="M177" s="109"/>
      <c r="N177" s="109"/>
      <c r="O177" s="109"/>
      <c r="P177" s="109"/>
      <c r="Q177" s="109"/>
      <c r="R177" s="109"/>
      <c r="S177" s="109"/>
      <c r="T177" s="109"/>
      <c r="U177" s="109"/>
      <c r="V177" s="109"/>
      <c r="W177" s="109"/>
      <c r="X177" s="109"/>
      <c r="Y177" s="109"/>
      <c r="Z177" s="109"/>
    </row>
    <row r="178" ht="29.25" customHeight="1">
      <c r="A178" s="109"/>
      <c r="B178" s="109"/>
      <c r="C178" s="109"/>
      <c r="D178" s="109"/>
      <c r="E178" s="109"/>
      <c r="F178" s="109"/>
      <c r="G178" s="109"/>
      <c r="H178" s="317"/>
      <c r="I178" s="109"/>
      <c r="J178" s="109"/>
      <c r="K178" s="109"/>
      <c r="L178" s="109"/>
      <c r="M178" s="109"/>
      <c r="N178" s="109"/>
      <c r="O178" s="109"/>
      <c r="P178" s="109"/>
      <c r="Q178" s="109"/>
      <c r="R178" s="109"/>
      <c r="S178" s="109"/>
      <c r="T178" s="109"/>
      <c r="U178" s="109"/>
      <c r="V178" s="109"/>
      <c r="W178" s="109"/>
      <c r="X178" s="109"/>
      <c r="Y178" s="109"/>
      <c r="Z178" s="109"/>
    </row>
    <row r="179" ht="29.25" customHeight="1">
      <c r="A179" s="109"/>
      <c r="B179" s="109"/>
      <c r="C179" s="109"/>
      <c r="D179" s="109"/>
      <c r="E179" s="109"/>
      <c r="F179" s="109"/>
      <c r="G179" s="109"/>
      <c r="H179" s="317"/>
      <c r="I179" s="109"/>
      <c r="J179" s="109"/>
      <c r="K179" s="109"/>
      <c r="L179" s="109"/>
      <c r="M179" s="109"/>
      <c r="N179" s="109"/>
      <c r="O179" s="109"/>
      <c r="P179" s="109"/>
      <c r="Q179" s="109"/>
      <c r="R179" s="109"/>
      <c r="S179" s="109"/>
      <c r="T179" s="109"/>
      <c r="U179" s="109"/>
      <c r="V179" s="109"/>
      <c r="W179" s="109"/>
      <c r="X179" s="109"/>
      <c r="Y179" s="109"/>
      <c r="Z179" s="109"/>
    </row>
    <row r="180" ht="29.25" customHeight="1">
      <c r="A180" s="109"/>
      <c r="B180" s="109"/>
      <c r="C180" s="109"/>
      <c r="D180" s="109"/>
      <c r="E180" s="109"/>
      <c r="F180" s="109"/>
      <c r="G180" s="109"/>
      <c r="H180" s="317"/>
      <c r="I180" s="109"/>
      <c r="J180" s="109"/>
      <c r="K180" s="109"/>
      <c r="L180" s="109"/>
      <c r="M180" s="109"/>
      <c r="N180" s="109"/>
      <c r="O180" s="109"/>
      <c r="P180" s="109"/>
      <c r="Q180" s="109"/>
      <c r="R180" s="109"/>
      <c r="S180" s="109"/>
      <c r="T180" s="109"/>
      <c r="U180" s="109"/>
      <c r="V180" s="109"/>
      <c r="W180" s="109"/>
      <c r="X180" s="109"/>
      <c r="Y180" s="109"/>
      <c r="Z180" s="109"/>
    </row>
    <row r="181" ht="29.25" customHeight="1">
      <c r="A181" s="109"/>
      <c r="B181" s="109"/>
      <c r="C181" s="109"/>
      <c r="D181" s="109"/>
      <c r="E181" s="109"/>
      <c r="F181" s="109"/>
      <c r="G181" s="109"/>
      <c r="H181" s="317"/>
      <c r="I181" s="109"/>
      <c r="J181" s="109"/>
      <c r="K181" s="109"/>
      <c r="L181" s="109"/>
      <c r="M181" s="109"/>
      <c r="N181" s="109"/>
      <c r="O181" s="109"/>
      <c r="P181" s="109"/>
      <c r="Q181" s="109"/>
      <c r="R181" s="109"/>
      <c r="S181" s="109"/>
      <c r="T181" s="109"/>
      <c r="U181" s="109"/>
      <c r="V181" s="109"/>
      <c r="W181" s="109"/>
      <c r="X181" s="109"/>
      <c r="Y181" s="109"/>
      <c r="Z181" s="109"/>
    </row>
    <row r="182" ht="29.25" customHeight="1">
      <c r="A182" s="109"/>
      <c r="B182" s="109"/>
      <c r="C182" s="109"/>
      <c r="D182" s="109"/>
      <c r="E182" s="109"/>
      <c r="F182" s="109"/>
      <c r="G182" s="109"/>
      <c r="H182" s="317"/>
      <c r="I182" s="109"/>
      <c r="J182" s="109"/>
      <c r="K182" s="109"/>
      <c r="L182" s="109"/>
      <c r="M182" s="109"/>
      <c r="N182" s="109"/>
      <c r="O182" s="109"/>
      <c r="P182" s="109"/>
      <c r="Q182" s="109"/>
      <c r="R182" s="109"/>
      <c r="S182" s="109"/>
      <c r="T182" s="109"/>
      <c r="U182" s="109"/>
      <c r="V182" s="109"/>
      <c r="W182" s="109"/>
      <c r="X182" s="109"/>
      <c r="Y182" s="109"/>
      <c r="Z182" s="109"/>
    </row>
    <row r="183" ht="29.25" customHeight="1">
      <c r="A183" s="109"/>
      <c r="B183" s="109"/>
      <c r="C183" s="109"/>
      <c r="D183" s="109"/>
      <c r="E183" s="109"/>
      <c r="F183" s="109"/>
      <c r="G183" s="109"/>
      <c r="H183" s="317"/>
      <c r="I183" s="109"/>
      <c r="J183" s="109"/>
      <c r="K183" s="109"/>
      <c r="L183" s="109"/>
      <c r="M183" s="109"/>
      <c r="N183" s="109"/>
      <c r="O183" s="109"/>
      <c r="P183" s="109"/>
      <c r="Q183" s="109"/>
      <c r="R183" s="109"/>
      <c r="S183" s="109"/>
      <c r="T183" s="109"/>
      <c r="U183" s="109"/>
      <c r="V183" s="109"/>
      <c r="W183" s="109"/>
      <c r="X183" s="109"/>
      <c r="Y183" s="109"/>
      <c r="Z183" s="109"/>
    </row>
    <row r="184" ht="29.25" customHeight="1">
      <c r="A184" s="109"/>
      <c r="B184" s="109"/>
      <c r="C184" s="109"/>
      <c r="D184" s="109"/>
      <c r="E184" s="109"/>
      <c r="F184" s="109"/>
      <c r="G184" s="109"/>
      <c r="H184" s="317"/>
      <c r="I184" s="109"/>
      <c r="J184" s="109"/>
      <c r="K184" s="109"/>
      <c r="L184" s="109"/>
      <c r="M184" s="109"/>
      <c r="N184" s="109"/>
      <c r="O184" s="109"/>
      <c r="P184" s="109"/>
      <c r="Q184" s="109"/>
      <c r="R184" s="109"/>
      <c r="S184" s="109"/>
      <c r="T184" s="109"/>
      <c r="U184" s="109"/>
      <c r="V184" s="109"/>
      <c r="W184" s="109"/>
      <c r="X184" s="109"/>
      <c r="Y184" s="109"/>
      <c r="Z184" s="109"/>
    </row>
    <row r="185" ht="29.25" customHeight="1">
      <c r="A185" s="109"/>
      <c r="B185" s="109"/>
      <c r="C185" s="109"/>
      <c r="D185" s="109"/>
      <c r="E185" s="109"/>
      <c r="F185" s="109"/>
      <c r="G185" s="109"/>
      <c r="H185" s="317"/>
      <c r="I185" s="109"/>
      <c r="J185" s="109"/>
      <c r="K185" s="109"/>
      <c r="L185" s="109"/>
      <c r="M185" s="109"/>
      <c r="N185" s="109"/>
      <c r="O185" s="109"/>
      <c r="P185" s="109"/>
      <c r="Q185" s="109"/>
      <c r="R185" s="109"/>
      <c r="S185" s="109"/>
      <c r="T185" s="109"/>
      <c r="U185" s="109"/>
      <c r="V185" s="109"/>
      <c r="W185" s="109"/>
      <c r="X185" s="109"/>
      <c r="Y185" s="109"/>
      <c r="Z185" s="109"/>
    </row>
    <row r="186" ht="29.25" customHeight="1">
      <c r="A186" s="109"/>
      <c r="B186" s="109"/>
      <c r="C186" s="109"/>
      <c r="D186" s="109"/>
      <c r="E186" s="109"/>
      <c r="F186" s="109"/>
      <c r="G186" s="109"/>
      <c r="H186" s="317"/>
      <c r="I186" s="109"/>
      <c r="J186" s="109"/>
      <c r="K186" s="109"/>
      <c r="L186" s="109"/>
      <c r="M186" s="109"/>
      <c r="N186" s="109"/>
      <c r="O186" s="109"/>
      <c r="P186" s="109"/>
      <c r="Q186" s="109"/>
      <c r="R186" s="109"/>
      <c r="S186" s="109"/>
      <c r="T186" s="109"/>
      <c r="U186" s="109"/>
      <c r="V186" s="109"/>
      <c r="W186" s="109"/>
      <c r="X186" s="109"/>
      <c r="Y186" s="109"/>
      <c r="Z186" s="109"/>
    </row>
    <row r="187" ht="29.25" customHeight="1">
      <c r="A187" s="109"/>
      <c r="B187" s="109"/>
      <c r="C187" s="109"/>
      <c r="D187" s="109"/>
      <c r="E187" s="109"/>
      <c r="F187" s="109"/>
      <c r="G187" s="109"/>
      <c r="H187" s="317"/>
      <c r="I187" s="109"/>
      <c r="J187" s="109"/>
      <c r="K187" s="109"/>
      <c r="L187" s="109"/>
      <c r="M187" s="109"/>
      <c r="N187" s="109"/>
      <c r="O187" s="109"/>
      <c r="P187" s="109"/>
      <c r="Q187" s="109"/>
      <c r="R187" s="109"/>
      <c r="S187" s="109"/>
      <c r="T187" s="109"/>
      <c r="U187" s="109"/>
      <c r="V187" s="109"/>
      <c r="W187" s="109"/>
      <c r="X187" s="109"/>
      <c r="Y187" s="109"/>
      <c r="Z187" s="109"/>
    </row>
    <row r="188" ht="29.25" customHeight="1">
      <c r="A188" s="109"/>
      <c r="B188" s="109"/>
      <c r="C188" s="109"/>
      <c r="D188" s="109"/>
      <c r="E188" s="109"/>
      <c r="F188" s="109"/>
      <c r="G188" s="109"/>
      <c r="H188" s="317"/>
      <c r="I188" s="109"/>
      <c r="J188" s="109"/>
      <c r="K188" s="109"/>
      <c r="L188" s="109"/>
      <c r="M188" s="109"/>
      <c r="N188" s="109"/>
      <c r="O188" s="109"/>
      <c r="P188" s="109"/>
      <c r="Q188" s="109"/>
      <c r="R188" s="109"/>
      <c r="S188" s="109"/>
      <c r="T188" s="109"/>
      <c r="U188" s="109"/>
      <c r="V188" s="109"/>
      <c r="W188" s="109"/>
      <c r="X188" s="109"/>
      <c r="Y188" s="109"/>
      <c r="Z188" s="109"/>
    </row>
    <row r="189" ht="29.25" customHeight="1">
      <c r="A189" s="109"/>
      <c r="B189" s="109"/>
      <c r="C189" s="109"/>
      <c r="D189" s="109"/>
      <c r="E189" s="109"/>
      <c r="F189" s="109"/>
      <c r="G189" s="109"/>
      <c r="H189" s="317"/>
      <c r="I189" s="109"/>
      <c r="J189" s="109"/>
      <c r="K189" s="109"/>
      <c r="L189" s="109"/>
      <c r="M189" s="109"/>
      <c r="N189" s="109"/>
      <c r="O189" s="109"/>
      <c r="P189" s="109"/>
      <c r="Q189" s="109"/>
      <c r="R189" s="109"/>
      <c r="S189" s="109"/>
      <c r="T189" s="109"/>
      <c r="U189" s="109"/>
      <c r="V189" s="109"/>
      <c r="W189" s="109"/>
      <c r="X189" s="109"/>
      <c r="Y189" s="109"/>
      <c r="Z189" s="109"/>
    </row>
    <row r="190" ht="29.25" customHeight="1">
      <c r="A190" s="109"/>
      <c r="B190" s="109"/>
      <c r="C190" s="109"/>
      <c r="D190" s="109"/>
      <c r="E190" s="109"/>
      <c r="F190" s="109"/>
      <c r="G190" s="109"/>
      <c r="H190" s="317"/>
      <c r="I190" s="109"/>
      <c r="J190" s="109"/>
      <c r="K190" s="109"/>
      <c r="L190" s="109"/>
      <c r="M190" s="109"/>
      <c r="N190" s="109"/>
      <c r="O190" s="109"/>
      <c r="P190" s="109"/>
      <c r="Q190" s="109"/>
      <c r="R190" s="109"/>
      <c r="S190" s="109"/>
      <c r="T190" s="109"/>
      <c r="U190" s="109"/>
      <c r="V190" s="109"/>
      <c r="W190" s="109"/>
      <c r="X190" s="109"/>
      <c r="Y190" s="109"/>
      <c r="Z190" s="109"/>
    </row>
    <row r="191" ht="29.25" customHeight="1">
      <c r="A191" s="109"/>
      <c r="B191" s="109"/>
      <c r="C191" s="109"/>
      <c r="D191" s="109"/>
      <c r="E191" s="109"/>
      <c r="F191" s="109"/>
      <c r="G191" s="109"/>
      <c r="H191" s="317"/>
      <c r="I191" s="109"/>
      <c r="J191" s="109"/>
      <c r="K191" s="109"/>
      <c r="L191" s="109"/>
      <c r="M191" s="109"/>
      <c r="N191" s="109"/>
      <c r="O191" s="109"/>
      <c r="P191" s="109"/>
      <c r="Q191" s="109"/>
      <c r="R191" s="109"/>
      <c r="S191" s="109"/>
      <c r="T191" s="109"/>
      <c r="U191" s="109"/>
      <c r="V191" s="109"/>
      <c r="W191" s="109"/>
      <c r="X191" s="109"/>
      <c r="Y191" s="109"/>
      <c r="Z191" s="109"/>
    </row>
    <row r="192" ht="29.25" customHeight="1">
      <c r="A192" s="109"/>
      <c r="B192" s="109"/>
      <c r="C192" s="109"/>
      <c r="D192" s="109"/>
      <c r="E192" s="109"/>
      <c r="F192" s="109"/>
      <c r="G192" s="109"/>
      <c r="H192" s="317"/>
      <c r="I192" s="109"/>
      <c r="J192" s="109"/>
      <c r="K192" s="109"/>
      <c r="L192" s="109"/>
      <c r="M192" s="109"/>
      <c r="N192" s="109"/>
      <c r="O192" s="109"/>
      <c r="P192" s="109"/>
      <c r="Q192" s="109"/>
      <c r="R192" s="109"/>
      <c r="S192" s="109"/>
      <c r="T192" s="109"/>
      <c r="U192" s="109"/>
      <c r="V192" s="109"/>
      <c r="W192" s="109"/>
      <c r="X192" s="109"/>
      <c r="Y192" s="109"/>
      <c r="Z192" s="109"/>
    </row>
    <row r="193" ht="29.25" customHeight="1">
      <c r="A193" s="109"/>
      <c r="B193" s="109"/>
      <c r="C193" s="109"/>
      <c r="D193" s="109"/>
      <c r="E193" s="109"/>
      <c r="F193" s="109"/>
      <c r="G193" s="109"/>
      <c r="H193" s="317"/>
      <c r="I193" s="109"/>
      <c r="J193" s="109"/>
      <c r="K193" s="109"/>
      <c r="L193" s="109"/>
      <c r="M193" s="109"/>
      <c r="N193" s="109"/>
      <c r="O193" s="109"/>
      <c r="P193" s="109"/>
      <c r="Q193" s="109"/>
      <c r="R193" s="109"/>
      <c r="S193" s="109"/>
      <c r="T193" s="109"/>
      <c r="U193" s="109"/>
      <c r="V193" s="109"/>
      <c r="W193" s="109"/>
      <c r="X193" s="109"/>
      <c r="Y193" s="109"/>
      <c r="Z193" s="109"/>
    </row>
    <row r="194" ht="29.25" customHeight="1">
      <c r="A194" s="109"/>
      <c r="B194" s="109"/>
      <c r="C194" s="109"/>
      <c r="D194" s="109"/>
      <c r="E194" s="109"/>
      <c r="F194" s="109"/>
      <c r="G194" s="109"/>
      <c r="H194" s="317"/>
      <c r="I194" s="109"/>
      <c r="J194" s="109"/>
      <c r="K194" s="109"/>
      <c r="L194" s="109"/>
      <c r="M194" s="109"/>
      <c r="N194" s="109"/>
      <c r="O194" s="109"/>
      <c r="P194" s="109"/>
      <c r="Q194" s="109"/>
      <c r="R194" s="109"/>
      <c r="S194" s="109"/>
      <c r="T194" s="109"/>
      <c r="U194" s="109"/>
      <c r="V194" s="109"/>
      <c r="W194" s="109"/>
      <c r="X194" s="109"/>
      <c r="Y194" s="109"/>
      <c r="Z194" s="109"/>
    </row>
    <row r="195" ht="29.25" customHeight="1">
      <c r="A195" s="109"/>
      <c r="B195" s="109"/>
      <c r="C195" s="109"/>
      <c r="D195" s="109"/>
      <c r="E195" s="109"/>
      <c r="F195" s="109"/>
      <c r="G195" s="109"/>
      <c r="H195" s="317"/>
      <c r="I195" s="109"/>
      <c r="J195" s="109"/>
      <c r="K195" s="109"/>
      <c r="L195" s="109"/>
      <c r="M195" s="109"/>
      <c r="N195" s="109"/>
      <c r="O195" s="109"/>
      <c r="P195" s="109"/>
      <c r="Q195" s="109"/>
      <c r="R195" s="109"/>
      <c r="S195" s="109"/>
      <c r="T195" s="109"/>
      <c r="U195" s="109"/>
      <c r="V195" s="109"/>
      <c r="W195" s="109"/>
      <c r="X195" s="109"/>
      <c r="Y195" s="109"/>
      <c r="Z195" s="109"/>
    </row>
    <row r="196" ht="29.25" customHeight="1">
      <c r="A196" s="109"/>
      <c r="B196" s="109"/>
      <c r="C196" s="109"/>
      <c r="D196" s="109"/>
      <c r="E196" s="109"/>
      <c r="F196" s="109"/>
      <c r="G196" s="109"/>
      <c r="H196" s="317"/>
      <c r="I196" s="109"/>
      <c r="J196" s="109"/>
      <c r="K196" s="109"/>
      <c r="L196" s="109"/>
      <c r="M196" s="109"/>
      <c r="N196" s="109"/>
      <c r="O196" s="109"/>
      <c r="P196" s="109"/>
      <c r="Q196" s="109"/>
      <c r="R196" s="109"/>
      <c r="S196" s="109"/>
      <c r="T196" s="109"/>
      <c r="U196" s="109"/>
      <c r="V196" s="109"/>
      <c r="W196" s="109"/>
      <c r="X196" s="109"/>
      <c r="Y196" s="109"/>
      <c r="Z196" s="109"/>
    </row>
    <row r="197" ht="29.25" customHeight="1">
      <c r="A197" s="109"/>
      <c r="B197" s="109"/>
      <c r="C197" s="109"/>
      <c r="D197" s="109"/>
      <c r="E197" s="109"/>
      <c r="F197" s="109"/>
      <c r="G197" s="109"/>
      <c r="H197" s="317"/>
      <c r="I197" s="109"/>
      <c r="J197" s="109"/>
      <c r="K197" s="109"/>
      <c r="L197" s="109"/>
      <c r="M197" s="109"/>
      <c r="N197" s="109"/>
      <c r="O197" s="109"/>
      <c r="P197" s="109"/>
      <c r="Q197" s="109"/>
      <c r="R197" s="109"/>
      <c r="S197" s="109"/>
      <c r="T197" s="109"/>
      <c r="U197" s="109"/>
      <c r="V197" s="109"/>
      <c r="W197" s="109"/>
      <c r="X197" s="109"/>
      <c r="Y197" s="109"/>
      <c r="Z197" s="109"/>
    </row>
    <row r="198" ht="29.25" customHeight="1">
      <c r="A198" s="109"/>
      <c r="B198" s="109"/>
      <c r="C198" s="109"/>
      <c r="D198" s="109"/>
      <c r="E198" s="109"/>
      <c r="F198" s="109"/>
      <c r="G198" s="109"/>
      <c r="H198" s="317"/>
      <c r="I198" s="109"/>
      <c r="J198" s="109"/>
      <c r="K198" s="109"/>
      <c r="L198" s="109"/>
      <c r="M198" s="109"/>
      <c r="N198" s="109"/>
      <c r="O198" s="109"/>
      <c r="P198" s="109"/>
      <c r="Q198" s="109"/>
      <c r="R198" s="109"/>
      <c r="S198" s="109"/>
      <c r="T198" s="109"/>
      <c r="U198" s="109"/>
      <c r="V198" s="109"/>
      <c r="W198" s="109"/>
      <c r="X198" s="109"/>
      <c r="Y198" s="109"/>
      <c r="Z198" s="109"/>
    </row>
    <row r="199" ht="29.25" customHeight="1">
      <c r="A199" s="109"/>
      <c r="B199" s="109"/>
      <c r="C199" s="109"/>
      <c r="D199" s="109"/>
      <c r="E199" s="109"/>
      <c r="F199" s="109"/>
      <c r="G199" s="109"/>
      <c r="H199" s="317"/>
      <c r="I199" s="109"/>
      <c r="J199" s="109"/>
      <c r="K199" s="109"/>
      <c r="L199" s="109"/>
      <c r="M199" s="109"/>
      <c r="N199" s="109"/>
      <c r="O199" s="109"/>
      <c r="P199" s="109"/>
      <c r="Q199" s="109"/>
      <c r="R199" s="109"/>
      <c r="S199" s="109"/>
      <c r="T199" s="109"/>
      <c r="U199" s="109"/>
      <c r="V199" s="109"/>
      <c r="W199" s="109"/>
      <c r="X199" s="109"/>
      <c r="Y199" s="109"/>
      <c r="Z199" s="109"/>
    </row>
    <row r="200" ht="29.25" customHeight="1">
      <c r="A200" s="109"/>
      <c r="B200" s="109"/>
      <c r="C200" s="109"/>
      <c r="D200" s="109"/>
      <c r="E200" s="109"/>
      <c r="F200" s="109"/>
      <c r="G200" s="109"/>
      <c r="H200" s="317"/>
      <c r="I200" s="109"/>
      <c r="J200" s="109"/>
      <c r="K200" s="109"/>
      <c r="L200" s="109"/>
      <c r="M200" s="109"/>
      <c r="N200" s="109"/>
      <c r="O200" s="109"/>
      <c r="P200" s="109"/>
      <c r="Q200" s="109"/>
      <c r="R200" s="109"/>
      <c r="S200" s="109"/>
      <c r="T200" s="109"/>
      <c r="U200" s="109"/>
      <c r="V200" s="109"/>
      <c r="W200" s="109"/>
      <c r="X200" s="109"/>
      <c r="Y200" s="109"/>
      <c r="Z200" s="109"/>
    </row>
    <row r="201" ht="29.25" customHeight="1">
      <c r="A201" s="109"/>
      <c r="B201" s="109"/>
      <c r="C201" s="109"/>
      <c r="D201" s="109"/>
      <c r="E201" s="109"/>
      <c r="F201" s="109"/>
      <c r="G201" s="109"/>
      <c r="H201" s="317"/>
      <c r="I201" s="109"/>
      <c r="J201" s="109"/>
      <c r="K201" s="109"/>
      <c r="L201" s="109"/>
      <c r="M201" s="109"/>
      <c r="N201" s="109"/>
      <c r="O201" s="109"/>
      <c r="P201" s="109"/>
      <c r="Q201" s="109"/>
      <c r="R201" s="109"/>
      <c r="S201" s="109"/>
      <c r="T201" s="109"/>
      <c r="U201" s="109"/>
      <c r="V201" s="109"/>
      <c r="W201" s="109"/>
      <c r="X201" s="109"/>
      <c r="Y201" s="109"/>
      <c r="Z201" s="109"/>
    </row>
    <row r="202" ht="29.25" customHeight="1">
      <c r="A202" s="109"/>
      <c r="B202" s="109"/>
      <c r="C202" s="109"/>
      <c r="D202" s="109"/>
      <c r="E202" s="109"/>
      <c r="F202" s="109"/>
      <c r="G202" s="109"/>
      <c r="H202" s="317"/>
      <c r="I202" s="109"/>
      <c r="J202" s="109"/>
      <c r="K202" s="109"/>
      <c r="L202" s="109"/>
      <c r="M202" s="109"/>
      <c r="N202" s="109"/>
      <c r="O202" s="109"/>
      <c r="P202" s="109"/>
      <c r="Q202" s="109"/>
      <c r="R202" s="109"/>
      <c r="S202" s="109"/>
      <c r="T202" s="109"/>
      <c r="U202" s="109"/>
      <c r="V202" s="109"/>
      <c r="W202" s="109"/>
      <c r="X202" s="109"/>
      <c r="Y202" s="109"/>
      <c r="Z202" s="109"/>
    </row>
    <row r="203" ht="29.25" customHeight="1">
      <c r="A203" s="109"/>
      <c r="B203" s="109"/>
      <c r="C203" s="109"/>
      <c r="D203" s="109"/>
      <c r="E203" s="109"/>
      <c r="F203" s="109"/>
      <c r="G203" s="109"/>
      <c r="H203" s="317"/>
      <c r="I203" s="109"/>
      <c r="J203" s="109"/>
      <c r="K203" s="109"/>
      <c r="L203" s="109"/>
      <c r="M203" s="109"/>
      <c r="N203" s="109"/>
      <c r="O203" s="109"/>
      <c r="P203" s="109"/>
      <c r="Q203" s="109"/>
      <c r="R203" s="109"/>
      <c r="S203" s="109"/>
      <c r="T203" s="109"/>
      <c r="U203" s="109"/>
      <c r="V203" s="109"/>
      <c r="W203" s="109"/>
      <c r="X203" s="109"/>
      <c r="Y203" s="109"/>
      <c r="Z203" s="109"/>
    </row>
    <row r="204" ht="29.25" customHeight="1">
      <c r="A204" s="109"/>
      <c r="B204" s="109"/>
      <c r="C204" s="109"/>
      <c r="D204" s="109"/>
      <c r="E204" s="109"/>
      <c r="F204" s="109"/>
      <c r="G204" s="109"/>
      <c r="H204" s="317"/>
      <c r="I204" s="109"/>
      <c r="J204" s="109"/>
      <c r="K204" s="109"/>
      <c r="L204" s="109"/>
      <c r="M204" s="109"/>
      <c r="N204" s="109"/>
      <c r="O204" s="109"/>
      <c r="P204" s="109"/>
      <c r="Q204" s="109"/>
      <c r="R204" s="109"/>
      <c r="S204" s="109"/>
      <c r="T204" s="109"/>
      <c r="U204" s="109"/>
      <c r="V204" s="109"/>
      <c r="W204" s="109"/>
      <c r="X204" s="109"/>
      <c r="Y204" s="109"/>
      <c r="Z204" s="109"/>
    </row>
    <row r="205" ht="29.25" customHeight="1">
      <c r="A205" s="109"/>
      <c r="B205" s="109"/>
      <c r="C205" s="109"/>
      <c r="D205" s="109"/>
      <c r="E205" s="109"/>
      <c r="F205" s="109"/>
      <c r="G205" s="109"/>
      <c r="H205" s="317"/>
      <c r="I205" s="109"/>
      <c r="J205" s="109"/>
      <c r="K205" s="109"/>
      <c r="L205" s="109"/>
      <c r="M205" s="109"/>
      <c r="N205" s="109"/>
      <c r="O205" s="109"/>
      <c r="P205" s="109"/>
      <c r="Q205" s="109"/>
      <c r="R205" s="109"/>
      <c r="S205" s="109"/>
      <c r="T205" s="109"/>
      <c r="U205" s="109"/>
      <c r="V205" s="109"/>
      <c r="W205" s="109"/>
      <c r="X205" s="109"/>
      <c r="Y205" s="109"/>
      <c r="Z205" s="109"/>
    </row>
    <row r="206" ht="29.25" customHeight="1">
      <c r="A206" s="109"/>
      <c r="B206" s="109"/>
      <c r="C206" s="109"/>
      <c r="D206" s="109"/>
      <c r="E206" s="109"/>
      <c r="F206" s="109"/>
      <c r="G206" s="109"/>
      <c r="H206" s="317"/>
      <c r="I206" s="109"/>
      <c r="J206" s="109"/>
      <c r="K206" s="109"/>
      <c r="L206" s="109"/>
      <c r="M206" s="109"/>
      <c r="N206" s="109"/>
      <c r="O206" s="109"/>
      <c r="P206" s="109"/>
      <c r="Q206" s="109"/>
      <c r="R206" s="109"/>
      <c r="S206" s="109"/>
      <c r="T206" s="109"/>
      <c r="U206" s="109"/>
      <c r="V206" s="109"/>
      <c r="W206" s="109"/>
      <c r="X206" s="109"/>
      <c r="Y206" s="109"/>
      <c r="Z206" s="109"/>
    </row>
    <row r="207" ht="29.25" customHeight="1">
      <c r="A207" s="109"/>
      <c r="B207" s="109"/>
      <c r="C207" s="109"/>
      <c r="D207" s="109"/>
      <c r="E207" s="109"/>
      <c r="F207" s="109"/>
      <c r="G207" s="109"/>
      <c r="H207" s="317"/>
      <c r="I207" s="109"/>
      <c r="J207" s="109"/>
      <c r="K207" s="109"/>
      <c r="L207" s="109"/>
      <c r="M207" s="109"/>
      <c r="N207" s="109"/>
      <c r="O207" s="109"/>
      <c r="P207" s="109"/>
      <c r="Q207" s="109"/>
      <c r="R207" s="109"/>
      <c r="S207" s="109"/>
      <c r="T207" s="109"/>
      <c r="U207" s="109"/>
      <c r="V207" s="109"/>
      <c r="W207" s="109"/>
      <c r="X207" s="109"/>
      <c r="Y207" s="109"/>
      <c r="Z207" s="109"/>
    </row>
    <row r="208" ht="29.25" customHeight="1">
      <c r="A208" s="109"/>
      <c r="B208" s="109"/>
      <c r="C208" s="109"/>
      <c r="D208" s="109"/>
      <c r="E208" s="109"/>
      <c r="F208" s="109"/>
      <c r="G208" s="109"/>
      <c r="H208" s="317"/>
      <c r="I208" s="109"/>
      <c r="J208" s="109"/>
      <c r="K208" s="109"/>
      <c r="L208" s="109"/>
      <c r="M208" s="109"/>
      <c r="N208" s="109"/>
      <c r="O208" s="109"/>
      <c r="P208" s="109"/>
      <c r="Q208" s="109"/>
      <c r="R208" s="109"/>
      <c r="S208" s="109"/>
      <c r="T208" s="109"/>
      <c r="U208" s="109"/>
      <c r="V208" s="109"/>
      <c r="W208" s="109"/>
      <c r="X208" s="109"/>
      <c r="Y208" s="109"/>
      <c r="Z208" s="109"/>
    </row>
    <row r="209" ht="29.25" customHeight="1">
      <c r="A209" s="109"/>
      <c r="B209" s="109"/>
      <c r="C209" s="109"/>
      <c r="D209" s="109"/>
      <c r="E209" s="109"/>
      <c r="F209" s="109"/>
      <c r="G209" s="109"/>
      <c r="H209" s="317"/>
      <c r="I209" s="109"/>
      <c r="J209" s="109"/>
      <c r="K209" s="109"/>
      <c r="L209" s="109"/>
      <c r="M209" s="109"/>
      <c r="N209" s="109"/>
      <c r="O209" s="109"/>
      <c r="P209" s="109"/>
      <c r="Q209" s="109"/>
      <c r="R209" s="109"/>
      <c r="S209" s="109"/>
      <c r="T209" s="109"/>
      <c r="U209" s="109"/>
      <c r="V209" s="109"/>
      <c r="W209" s="109"/>
      <c r="X209" s="109"/>
      <c r="Y209" s="109"/>
      <c r="Z209" s="109"/>
    </row>
    <row r="210" ht="29.25" customHeight="1">
      <c r="A210" s="109"/>
      <c r="B210" s="109"/>
      <c r="C210" s="109"/>
      <c r="D210" s="109"/>
      <c r="E210" s="109"/>
      <c r="F210" s="109"/>
      <c r="G210" s="109"/>
      <c r="H210" s="317"/>
      <c r="I210" s="109"/>
      <c r="J210" s="109"/>
      <c r="K210" s="109"/>
      <c r="L210" s="109"/>
      <c r="M210" s="109"/>
      <c r="N210" s="109"/>
      <c r="O210" s="109"/>
      <c r="P210" s="109"/>
      <c r="Q210" s="109"/>
      <c r="R210" s="109"/>
      <c r="S210" s="109"/>
      <c r="T210" s="109"/>
      <c r="U210" s="109"/>
      <c r="V210" s="109"/>
      <c r="W210" s="109"/>
      <c r="X210" s="109"/>
      <c r="Y210" s="109"/>
      <c r="Z210" s="109"/>
    </row>
    <row r="211" ht="29.25" customHeight="1">
      <c r="A211" s="109"/>
      <c r="B211" s="109"/>
      <c r="C211" s="109"/>
      <c r="D211" s="109"/>
      <c r="E211" s="109"/>
      <c r="F211" s="109"/>
      <c r="G211" s="109"/>
      <c r="H211" s="317"/>
      <c r="I211" s="109"/>
      <c r="J211" s="109"/>
      <c r="K211" s="109"/>
      <c r="L211" s="109"/>
      <c r="M211" s="109"/>
      <c r="N211" s="109"/>
      <c r="O211" s="109"/>
      <c r="P211" s="109"/>
      <c r="Q211" s="109"/>
      <c r="R211" s="109"/>
      <c r="S211" s="109"/>
      <c r="T211" s="109"/>
      <c r="U211" s="109"/>
      <c r="V211" s="109"/>
      <c r="W211" s="109"/>
      <c r="X211" s="109"/>
      <c r="Y211" s="109"/>
      <c r="Z211" s="109"/>
    </row>
    <row r="212" ht="29.25" customHeight="1">
      <c r="A212" s="109"/>
      <c r="B212" s="109"/>
      <c r="C212" s="109"/>
      <c r="D212" s="109"/>
      <c r="E212" s="109"/>
      <c r="F212" s="109"/>
      <c r="G212" s="109"/>
      <c r="H212" s="317"/>
      <c r="I212" s="109"/>
      <c r="J212" s="109"/>
      <c r="K212" s="109"/>
      <c r="L212" s="109"/>
      <c r="M212" s="109"/>
      <c r="N212" s="109"/>
      <c r="O212" s="109"/>
      <c r="P212" s="109"/>
      <c r="Q212" s="109"/>
      <c r="R212" s="109"/>
      <c r="S212" s="109"/>
      <c r="T212" s="109"/>
      <c r="U212" s="109"/>
      <c r="V212" s="109"/>
      <c r="W212" s="109"/>
      <c r="X212" s="109"/>
      <c r="Y212" s="109"/>
      <c r="Z212" s="109"/>
    </row>
    <row r="213" ht="29.25" customHeight="1">
      <c r="A213" s="109"/>
      <c r="B213" s="109"/>
      <c r="C213" s="109"/>
      <c r="D213" s="109"/>
      <c r="E213" s="109"/>
      <c r="F213" s="109"/>
      <c r="G213" s="109"/>
      <c r="H213" s="317"/>
      <c r="I213" s="109"/>
      <c r="J213" s="109"/>
      <c r="K213" s="109"/>
      <c r="L213" s="109"/>
      <c r="M213" s="109"/>
      <c r="N213" s="109"/>
      <c r="O213" s="109"/>
      <c r="P213" s="109"/>
      <c r="Q213" s="109"/>
      <c r="R213" s="109"/>
      <c r="S213" s="109"/>
      <c r="T213" s="109"/>
      <c r="U213" s="109"/>
      <c r="V213" s="109"/>
      <c r="W213" s="109"/>
      <c r="X213" s="109"/>
      <c r="Y213" s="109"/>
      <c r="Z213" s="109"/>
    </row>
    <row r="214" ht="29.25" customHeight="1">
      <c r="A214" s="109"/>
      <c r="B214" s="109"/>
      <c r="C214" s="109"/>
      <c r="D214" s="109"/>
      <c r="E214" s="109"/>
      <c r="F214" s="109"/>
      <c r="G214" s="109"/>
      <c r="H214" s="317"/>
      <c r="I214" s="109"/>
      <c r="J214" s="109"/>
      <c r="K214" s="109"/>
      <c r="L214" s="109"/>
      <c r="M214" s="109"/>
      <c r="N214" s="109"/>
      <c r="O214" s="109"/>
      <c r="P214" s="109"/>
      <c r="Q214" s="109"/>
      <c r="R214" s="109"/>
      <c r="S214" s="109"/>
      <c r="T214" s="109"/>
      <c r="U214" s="109"/>
      <c r="V214" s="109"/>
      <c r="W214" s="109"/>
      <c r="X214" s="109"/>
      <c r="Y214" s="109"/>
      <c r="Z214" s="109"/>
    </row>
    <row r="215" ht="29.25" customHeight="1">
      <c r="A215" s="109"/>
      <c r="B215" s="109"/>
      <c r="C215" s="109"/>
      <c r="D215" s="109"/>
      <c r="E215" s="109"/>
      <c r="F215" s="109"/>
      <c r="G215" s="109"/>
      <c r="H215" s="317"/>
      <c r="I215" s="109"/>
      <c r="J215" s="109"/>
      <c r="K215" s="109"/>
      <c r="L215" s="109"/>
      <c r="M215" s="109"/>
      <c r="N215" s="109"/>
      <c r="O215" s="109"/>
      <c r="P215" s="109"/>
      <c r="Q215" s="109"/>
      <c r="R215" s="109"/>
      <c r="S215" s="109"/>
      <c r="T215" s="109"/>
      <c r="U215" s="109"/>
      <c r="V215" s="109"/>
      <c r="W215" s="109"/>
      <c r="X215" s="109"/>
      <c r="Y215" s="109"/>
      <c r="Z215" s="109"/>
    </row>
    <row r="216" ht="29.25" customHeight="1">
      <c r="A216" s="109"/>
      <c r="B216" s="109"/>
      <c r="C216" s="109"/>
      <c r="D216" s="109"/>
      <c r="E216" s="109"/>
      <c r="F216" s="109"/>
      <c r="G216" s="109"/>
      <c r="H216" s="317"/>
      <c r="I216" s="109"/>
      <c r="J216" s="109"/>
      <c r="K216" s="109"/>
      <c r="L216" s="109"/>
      <c r="M216" s="109"/>
      <c r="N216" s="109"/>
      <c r="O216" s="109"/>
      <c r="P216" s="109"/>
      <c r="Q216" s="109"/>
      <c r="R216" s="109"/>
      <c r="S216" s="109"/>
      <c r="T216" s="109"/>
      <c r="U216" s="109"/>
      <c r="V216" s="109"/>
      <c r="W216" s="109"/>
      <c r="X216" s="109"/>
      <c r="Y216" s="109"/>
      <c r="Z216" s="109"/>
    </row>
    <row r="217" ht="29.25" customHeight="1">
      <c r="A217" s="109"/>
      <c r="B217" s="109"/>
      <c r="C217" s="109"/>
      <c r="D217" s="109"/>
      <c r="E217" s="109"/>
      <c r="F217" s="109"/>
      <c r="G217" s="109"/>
      <c r="H217" s="317"/>
      <c r="I217" s="109"/>
      <c r="J217" s="109"/>
      <c r="K217" s="109"/>
      <c r="L217" s="109"/>
      <c r="M217" s="109"/>
      <c r="N217" s="109"/>
      <c r="O217" s="109"/>
      <c r="P217" s="109"/>
      <c r="Q217" s="109"/>
      <c r="R217" s="109"/>
      <c r="S217" s="109"/>
      <c r="T217" s="109"/>
      <c r="U217" s="109"/>
      <c r="V217" s="109"/>
      <c r="W217" s="109"/>
      <c r="X217" s="109"/>
      <c r="Y217" s="109"/>
      <c r="Z217" s="109"/>
    </row>
    <row r="218" ht="29.25" customHeight="1">
      <c r="A218" s="109"/>
      <c r="B218" s="109"/>
      <c r="C218" s="109"/>
      <c r="D218" s="109"/>
      <c r="E218" s="109"/>
      <c r="F218" s="109"/>
      <c r="G218" s="109"/>
      <c r="H218" s="317"/>
      <c r="I218" s="109"/>
      <c r="J218" s="109"/>
      <c r="K218" s="109"/>
      <c r="L218" s="109"/>
      <c r="M218" s="109"/>
      <c r="N218" s="109"/>
      <c r="O218" s="109"/>
      <c r="P218" s="109"/>
      <c r="Q218" s="109"/>
      <c r="R218" s="109"/>
      <c r="S218" s="109"/>
      <c r="T218" s="109"/>
      <c r="U218" s="109"/>
      <c r="V218" s="109"/>
      <c r="W218" s="109"/>
      <c r="X218" s="109"/>
      <c r="Y218" s="109"/>
      <c r="Z218" s="109"/>
    </row>
    <row r="219" ht="29.25" customHeight="1">
      <c r="A219" s="109"/>
      <c r="B219" s="109"/>
      <c r="C219" s="109"/>
      <c r="D219" s="109"/>
      <c r="E219" s="109"/>
      <c r="F219" s="109"/>
      <c r="G219" s="109"/>
      <c r="H219" s="317"/>
      <c r="I219" s="109"/>
      <c r="J219" s="109"/>
      <c r="K219" s="109"/>
      <c r="L219" s="109"/>
      <c r="M219" s="109"/>
      <c r="N219" s="109"/>
      <c r="O219" s="109"/>
      <c r="P219" s="109"/>
      <c r="Q219" s="109"/>
      <c r="R219" s="109"/>
      <c r="S219" s="109"/>
      <c r="T219" s="109"/>
      <c r="U219" s="109"/>
      <c r="V219" s="109"/>
      <c r="W219" s="109"/>
      <c r="X219" s="109"/>
      <c r="Y219" s="109"/>
      <c r="Z219" s="109"/>
    </row>
    <row r="220" ht="29.25" customHeight="1">
      <c r="A220" s="109"/>
      <c r="B220" s="109"/>
      <c r="C220" s="109"/>
      <c r="D220" s="109"/>
      <c r="E220" s="109"/>
      <c r="F220" s="109"/>
      <c r="G220" s="109"/>
      <c r="H220" s="317"/>
      <c r="I220" s="109"/>
      <c r="J220" s="109"/>
      <c r="K220" s="109"/>
      <c r="L220" s="109"/>
      <c r="M220" s="109"/>
      <c r="N220" s="109"/>
      <c r="O220" s="109"/>
      <c r="P220" s="109"/>
      <c r="Q220" s="109"/>
      <c r="R220" s="109"/>
      <c r="S220" s="109"/>
      <c r="T220" s="109"/>
      <c r="U220" s="109"/>
      <c r="V220" s="109"/>
      <c r="W220" s="109"/>
      <c r="X220" s="109"/>
      <c r="Y220" s="109"/>
      <c r="Z220" s="109"/>
    </row>
    <row r="221" ht="29.25" customHeight="1">
      <c r="A221" s="109"/>
      <c r="B221" s="109"/>
      <c r="C221" s="109"/>
      <c r="D221" s="109"/>
      <c r="E221" s="109"/>
      <c r="F221" s="109"/>
      <c r="G221" s="109"/>
      <c r="H221" s="317"/>
      <c r="I221" s="109"/>
      <c r="J221" s="109"/>
      <c r="K221" s="109"/>
      <c r="L221" s="109"/>
      <c r="M221" s="109"/>
      <c r="N221" s="109"/>
      <c r="O221" s="109"/>
      <c r="P221" s="109"/>
      <c r="Q221" s="109"/>
      <c r="R221" s="109"/>
      <c r="S221" s="109"/>
      <c r="T221" s="109"/>
      <c r="U221" s="109"/>
      <c r="V221" s="109"/>
      <c r="W221" s="109"/>
      <c r="X221" s="109"/>
      <c r="Y221" s="109"/>
      <c r="Z221" s="109"/>
    </row>
    <row r="222" ht="29.25" customHeight="1">
      <c r="A222" s="109"/>
      <c r="B222" s="109"/>
      <c r="C222" s="109"/>
      <c r="D222" s="109"/>
      <c r="E222" s="109"/>
      <c r="F222" s="109"/>
      <c r="G222" s="109"/>
      <c r="H222" s="317"/>
      <c r="I222" s="109"/>
      <c r="J222" s="109"/>
      <c r="K222" s="109"/>
      <c r="L222" s="109"/>
      <c r="M222" s="109"/>
      <c r="N222" s="109"/>
      <c r="O222" s="109"/>
      <c r="P222" s="109"/>
      <c r="Q222" s="109"/>
      <c r="R222" s="109"/>
      <c r="S222" s="109"/>
      <c r="T222" s="109"/>
      <c r="U222" s="109"/>
      <c r="V222" s="109"/>
      <c r="W222" s="109"/>
      <c r="X222" s="109"/>
      <c r="Y222" s="109"/>
      <c r="Z222" s="109"/>
    </row>
    <row r="223" ht="29.25" customHeight="1">
      <c r="A223" s="109"/>
      <c r="B223" s="109"/>
      <c r="C223" s="109"/>
      <c r="D223" s="109"/>
      <c r="E223" s="109"/>
      <c r="F223" s="109"/>
      <c r="G223" s="109"/>
      <c r="H223" s="317"/>
      <c r="I223" s="109"/>
      <c r="J223" s="109"/>
      <c r="K223" s="109"/>
      <c r="L223" s="109"/>
      <c r="M223" s="109"/>
      <c r="N223" s="109"/>
      <c r="O223" s="109"/>
      <c r="P223" s="109"/>
      <c r="Q223" s="109"/>
      <c r="R223" s="109"/>
      <c r="S223" s="109"/>
      <c r="T223" s="109"/>
      <c r="U223" s="109"/>
      <c r="V223" s="109"/>
      <c r="W223" s="109"/>
      <c r="X223" s="109"/>
      <c r="Y223" s="109"/>
      <c r="Z223" s="109"/>
    </row>
    <row r="224" ht="29.25" customHeight="1">
      <c r="A224" s="109"/>
      <c r="B224" s="109"/>
      <c r="C224" s="109"/>
      <c r="D224" s="109"/>
      <c r="E224" s="109"/>
      <c r="F224" s="109"/>
      <c r="G224" s="109"/>
      <c r="H224" s="317"/>
      <c r="I224" s="109"/>
      <c r="J224" s="109"/>
      <c r="K224" s="109"/>
      <c r="L224" s="109"/>
      <c r="M224" s="109"/>
      <c r="N224" s="109"/>
      <c r="O224" s="109"/>
      <c r="P224" s="109"/>
      <c r="Q224" s="109"/>
      <c r="R224" s="109"/>
      <c r="S224" s="109"/>
      <c r="T224" s="109"/>
      <c r="U224" s="109"/>
      <c r="V224" s="109"/>
      <c r="W224" s="109"/>
      <c r="X224" s="109"/>
      <c r="Y224" s="109"/>
      <c r="Z224" s="109"/>
    </row>
    <row r="225" ht="29.25" customHeight="1">
      <c r="A225" s="109"/>
      <c r="B225" s="109"/>
      <c r="C225" s="109"/>
      <c r="D225" s="109"/>
      <c r="E225" s="109"/>
      <c r="F225" s="109"/>
      <c r="G225" s="109"/>
      <c r="H225" s="317"/>
      <c r="I225" s="109"/>
      <c r="J225" s="109"/>
      <c r="K225" s="109"/>
      <c r="L225" s="109"/>
      <c r="M225" s="109"/>
      <c r="N225" s="109"/>
      <c r="O225" s="109"/>
      <c r="P225" s="109"/>
      <c r="Q225" s="109"/>
      <c r="R225" s="109"/>
      <c r="S225" s="109"/>
      <c r="T225" s="109"/>
      <c r="U225" s="109"/>
      <c r="V225" s="109"/>
      <c r="W225" s="109"/>
      <c r="X225" s="109"/>
      <c r="Y225" s="109"/>
      <c r="Z225" s="109"/>
    </row>
    <row r="226" ht="29.25" customHeight="1">
      <c r="A226" s="109"/>
      <c r="B226" s="109"/>
      <c r="C226" s="109"/>
      <c r="D226" s="109"/>
      <c r="E226" s="109"/>
      <c r="F226" s="109"/>
      <c r="G226" s="109"/>
      <c r="H226" s="317"/>
      <c r="I226" s="109"/>
      <c r="J226" s="109"/>
      <c r="K226" s="109"/>
      <c r="L226" s="109"/>
      <c r="M226" s="109"/>
      <c r="N226" s="109"/>
      <c r="O226" s="109"/>
      <c r="P226" s="109"/>
      <c r="Q226" s="109"/>
      <c r="R226" s="109"/>
      <c r="S226" s="109"/>
      <c r="T226" s="109"/>
      <c r="U226" s="109"/>
      <c r="V226" s="109"/>
      <c r="W226" s="109"/>
      <c r="X226" s="109"/>
      <c r="Y226" s="109"/>
      <c r="Z226" s="109"/>
    </row>
    <row r="227" ht="29.25" customHeight="1">
      <c r="A227" s="109"/>
      <c r="B227" s="109"/>
      <c r="C227" s="109"/>
      <c r="D227" s="109"/>
      <c r="E227" s="109"/>
      <c r="F227" s="109"/>
      <c r="G227" s="109"/>
      <c r="H227" s="317"/>
      <c r="I227" s="109"/>
      <c r="J227" s="109"/>
      <c r="K227" s="109"/>
      <c r="L227" s="109"/>
      <c r="M227" s="109"/>
      <c r="N227" s="109"/>
      <c r="O227" s="109"/>
      <c r="P227" s="109"/>
      <c r="Q227" s="109"/>
      <c r="R227" s="109"/>
      <c r="S227" s="109"/>
      <c r="T227" s="109"/>
      <c r="U227" s="109"/>
      <c r="V227" s="109"/>
      <c r="W227" s="109"/>
      <c r="X227" s="109"/>
      <c r="Y227" s="109"/>
      <c r="Z227" s="109"/>
    </row>
    <row r="228" ht="29.25" customHeight="1">
      <c r="A228" s="109"/>
      <c r="B228" s="109"/>
      <c r="C228" s="109"/>
      <c r="D228" s="109"/>
      <c r="E228" s="109"/>
      <c r="F228" s="109"/>
      <c r="G228" s="109"/>
      <c r="H228" s="317"/>
      <c r="I228" s="109"/>
      <c r="J228" s="109"/>
      <c r="K228" s="109"/>
      <c r="L228" s="109"/>
      <c r="M228" s="109"/>
      <c r="N228" s="109"/>
      <c r="O228" s="109"/>
      <c r="P228" s="109"/>
      <c r="Q228" s="109"/>
      <c r="R228" s="109"/>
      <c r="S228" s="109"/>
      <c r="T228" s="109"/>
      <c r="U228" s="109"/>
      <c r="V228" s="109"/>
      <c r="W228" s="109"/>
      <c r="X228" s="109"/>
      <c r="Y228" s="109"/>
      <c r="Z228" s="109"/>
    </row>
    <row r="229" ht="29.25" customHeight="1">
      <c r="A229" s="109"/>
      <c r="B229" s="109"/>
      <c r="C229" s="109"/>
      <c r="D229" s="109"/>
      <c r="E229" s="109"/>
      <c r="F229" s="109"/>
      <c r="G229" s="109"/>
      <c r="H229" s="317"/>
      <c r="I229" s="109"/>
      <c r="J229" s="109"/>
      <c r="K229" s="109"/>
      <c r="L229" s="109"/>
      <c r="M229" s="109"/>
      <c r="N229" s="109"/>
      <c r="O229" s="109"/>
      <c r="P229" s="109"/>
      <c r="Q229" s="109"/>
      <c r="R229" s="109"/>
      <c r="S229" s="109"/>
      <c r="T229" s="109"/>
      <c r="U229" s="109"/>
      <c r="V229" s="109"/>
      <c r="W229" s="109"/>
      <c r="X229" s="109"/>
      <c r="Y229" s="109"/>
      <c r="Z229" s="109"/>
    </row>
    <row r="230" ht="29.25" customHeight="1">
      <c r="A230" s="109"/>
      <c r="B230" s="109"/>
      <c r="C230" s="109"/>
      <c r="D230" s="109"/>
      <c r="E230" s="109"/>
      <c r="F230" s="109"/>
      <c r="G230" s="109"/>
      <c r="H230" s="317"/>
      <c r="I230" s="109"/>
      <c r="J230" s="109"/>
      <c r="K230" s="109"/>
      <c r="L230" s="109"/>
      <c r="M230" s="109"/>
      <c r="N230" s="109"/>
      <c r="O230" s="109"/>
      <c r="P230" s="109"/>
      <c r="Q230" s="109"/>
      <c r="R230" s="109"/>
      <c r="S230" s="109"/>
      <c r="T230" s="109"/>
      <c r="U230" s="109"/>
      <c r="V230" s="109"/>
      <c r="W230" s="109"/>
      <c r="X230" s="109"/>
      <c r="Y230" s="109"/>
      <c r="Z230" s="109"/>
    </row>
    <row r="231" ht="29.25" customHeight="1">
      <c r="A231" s="109"/>
      <c r="B231" s="109"/>
      <c r="C231" s="109"/>
      <c r="D231" s="109"/>
      <c r="E231" s="109"/>
      <c r="F231" s="109"/>
      <c r="G231" s="109"/>
      <c r="H231" s="317"/>
      <c r="I231" s="109"/>
      <c r="J231" s="109"/>
      <c r="K231" s="109"/>
      <c r="L231" s="109"/>
      <c r="M231" s="109"/>
      <c r="N231" s="109"/>
      <c r="O231" s="109"/>
      <c r="P231" s="109"/>
      <c r="Q231" s="109"/>
      <c r="R231" s="109"/>
      <c r="S231" s="109"/>
      <c r="T231" s="109"/>
      <c r="U231" s="109"/>
      <c r="V231" s="109"/>
      <c r="W231" s="109"/>
      <c r="X231" s="109"/>
      <c r="Y231" s="109"/>
      <c r="Z231" s="109"/>
    </row>
    <row r="232" ht="29.25" customHeight="1">
      <c r="A232" s="109"/>
      <c r="B232" s="109"/>
      <c r="C232" s="109"/>
      <c r="D232" s="109"/>
      <c r="E232" s="109"/>
      <c r="F232" s="109"/>
      <c r="G232" s="109"/>
      <c r="H232" s="317"/>
      <c r="I232" s="109"/>
      <c r="J232" s="109"/>
      <c r="K232" s="109"/>
      <c r="L232" s="109"/>
      <c r="M232" s="109"/>
      <c r="N232" s="109"/>
      <c r="O232" s="109"/>
      <c r="P232" s="109"/>
      <c r="Q232" s="109"/>
      <c r="R232" s="109"/>
      <c r="S232" s="109"/>
      <c r="T232" s="109"/>
      <c r="U232" s="109"/>
      <c r="V232" s="109"/>
      <c r="W232" s="109"/>
      <c r="X232" s="109"/>
      <c r="Y232" s="109"/>
      <c r="Z232" s="109"/>
    </row>
    <row r="233" ht="29.25" customHeight="1">
      <c r="A233" s="109"/>
      <c r="B233" s="109"/>
      <c r="C233" s="109"/>
      <c r="D233" s="109"/>
      <c r="E233" s="109"/>
      <c r="F233" s="109"/>
      <c r="G233" s="109"/>
      <c r="H233" s="317"/>
      <c r="I233" s="109"/>
      <c r="J233" s="109"/>
      <c r="K233" s="109"/>
      <c r="L233" s="109"/>
      <c r="M233" s="109"/>
      <c r="N233" s="109"/>
      <c r="O233" s="109"/>
      <c r="P233" s="109"/>
      <c r="Q233" s="109"/>
      <c r="R233" s="109"/>
      <c r="S233" s="109"/>
      <c r="T233" s="109"/>
      <c r="U233" s="109"/>
      <c r="V233" s="109"/>
      <c r="W233" s="109"/>
      <c r="X233" s="109"/>
      <c r="Y233" s="109"/>
      <c r="Z233" s="109"/>
    </row>
    <row r="234" ht="29.25" customHeight="1">
      <c r="A234" s="109"/>
      <c r="B234" s="109"/>
      <c r="C234" s="109"/>
      <c r="D234" s="109"/>
      <c r="E234" s="109"/>
      <c r="F234" s="109"/>
      <c r="G234" s="109"/>
      <c r="H234" s="317"/>
      <c r="I234" s="109"/>
      <c r="J234" s="109"/>
      <c r="K234" s="109"/>
      <c r="L234" s="109"/>
      <c r="M234" s="109"/>
      <c r="N234" s="109"/>
      <c r="O234" s="109"/>
      <c r="P234" s="109"/>
      <c r="Q234" s="109"/>
      <c r="R234" s="109"/>
      <c r="S234" s="109"/>
      <c r="T234" s="109"/>
      <c r="U234" s="109"/>
      <c r="V234" s="109"/>
      <c r="W234" s="109"/>
      <c r="X234" s="109"/>
      <c r="Y234" s="109"/>
      <c r="Z234" s="109"/>
    </row>
    <row r="235" ht="29.25" customHeight="1">
      <c r="A235" s="109"/>
      <c r="B235" s="109"/>
      <c r="C235" s="109"/>
      <c r="D235" s="109"/>
      <c r="E235" s="109"/>
      <c r="F235" s="109"/>
      <c r="G235" s="109"/>
      <c r="H235" s="317"/>
      <c r="I235" s="109"/>
      <c r="J235" s="109"/>
      <c r="K235" s="109"/>
      <c r="L235" s="109"/>
      <c r="M235" s="109"/>
      <c r="N235" s="109"/>
      <c r="O235" s="109"/>
      <c r="P235" s="109"/>
      <c r="Q235" s="109"/>
      <c r="R235" s="109"/>
      <c r="S235" s="109"/>
      <c r="T235" s="109"/>
      <c r="U235" s="109"/>
      <c r="V235" s="109"/>
      <c r="W235" s="109"/>
      <c r="X235" s="109"/>
      <c r="Y235" s="109"/>
      <c r="Z235" s="109"/>
    </row>
    <row r="236" ht="29.25" customHeight="1">
      <c r="A236" s="109"/>
      <c r="B236" s="109"/>
      <c r="C236" s="109"/>
      <c r="D236" s="109"/>
      <c r="E236" s="109"/>
      <c r="F236" s="109"/>
      <c r="G236" s="109"/>
      <c r="H236" s="317"/>
      <c r="I236" s="109"/>
      <c r="J236" s="109"/>
      <c r="K236" s="109"/>
      <c r="L236" s="109"/>
      <c r="M236" s="109"/>
      <c r="N236" s="109"/>
      <c r="O236" s="109"/>
      <c r="P236" s="109"/>
      <c r="Q236" s="109"/>
      <c r="R236" s="109"/>
      <c r="S236" s="109"/>
      <c r="T236" s="109"/>
      <c r="U236" s="109"/>
      <c r="V236" s="109"/>
      <c r="W236" s="109"/>
      <c r="X236" s="109"/>
      <c r="Y236" s="109"/>
      <c r="Z236" s="109"/>
    </row>
    <row r="237" ht="29.25" customHeight="1">
      <c r="A237" s="109"/>
      <c r="B237" s="109"/>
      <c r="C237" s="109"/>
      <c r="D237" s="109"/>
      <c r="E237" s="109"/>
      <c r="F237" s="109"/>
      <c r="G237" s="109"/>
      <c r="H237" s="317"/>
      <c r="I237" s="109"/>
      <c r="J237" s="109"/>
      <c r="K237" s="109"/>
      <c r="L237" s="109"/>
      <c r="M237" s="109"/>
      <c r="N237" s="109"/>
      <c r="O237" s="109"/>
      <c r="P237" s="109"/>
      <c r="Q237" s="109"/>
      <c r="R237" s="109"/>
      <c r="S237" s="109"/>
      <c r="T237" s="109"/>
      <c r="U237" s="109"/>
      <c r="V237" s="109"/>
      <c r="W237" s="109"/>
      <c r="X237" s="109"/>
      <c r="Y237" s="109"/>
      <c r="Z237" s="109"/>
    </row>
    <row r="238" ht="29.25" customHeight="1">
      <c r="A238" s="109"/>
      <c r="B238" s="109"/>
      <c r="C238" s="109"/>
      <c r="D238" s="109"/>
      <c r="E238" s="109"/>
      <c r="F238" s="109"/>
      <c r="G238" s="109"/>
      <c r="H238" s="317"/>
      <c r="I238" s="109"/>
      <c r="J238" s="109"/>
      <c r="K238" s="109"/>
      <c r="L238" s="109"/>
      <c r="M238" s="109"/>
      <c r="N238" s="109"/>
      <c r="O238" s="109"/>
      <c r="P238" s="109"/>
      <c r="Q238" s="109"/>
      <c r="R238" s="109"/>
      <c r="S238" s="109"/>
      <c r="T238" s="109"/>
      <c r="U238" s="109"/>
      <c r="V238" s="109"/>
      <c r="W238" s="109"/>
      <c r="X238" s="109"/>
      <c r="Y238" s="109"/>
      <c r="Z238" s="109"/>
    </row>
    <row r="239" ht="29.25" customHeight="1">
      <c r="A239" s="109"/>
      <c r="B239" s="109"/>
      <c r="C239" s="109"/>
      <c r="D239" s="109"/>
      <c r="E239" s="109"/>
      <c r="F239" s="109"/>
      <c r="G239" s="109"/>
      <c r="H239" s="317"/>
      <c r="I239" s="109"/>
      <c r="J239" s="109"/>
      <c r="K239" s="109"/>
      <c r="L239" s="109"/>
      <c r="M239" s="109"/>
      <c r="N239" s="109"/>
      <c r="O239" s="109"/>
      <c r="P239" s="109"/>
      <c r="Q239" s="109"/>
      <c r="R239" s="109"/>
      <c r="S239" s="109"/>
      <c r="T239" s="109"/>
      <c r="U239" s="109"/>
      <c r="V239" s="109"/>
      <c r="W239" s="109"/>
      <c r="X239" s="109"/>
      <c r="Y239" s="109"/>
      <c r="Z239" s="109"/>
    </row>
    <row r="240" ht="29.25" customHeight="1">
      <c r="A240" s="109"/>
      <c r="B240" s="109"/>
      <c r="C240" s="109"/>
      <c r="D240" s="109"/>
      <c r="E240" s="109"/>
      <c r="F240" s="109"/>
      <c r="G240" s="109"/>
      <c r="H240" s="317"/>
      <c r="I240" s="109"/>
      <c r="J240" s="109"/>
      <c r="K240" s="109"/>
      <c r="L240" s="109"/>
      <c r="M240" s="109"/>
      <c r="N240" s="109"/>
      <c r="O240" s="109"/>
      <c r="P240" s="109"/>
      <c r="Q240" s="109"/>
      <c r="R240" s="109"/>
      <c r="S240" s="109"/>
      <c r="T240" s="109"/>
      <c r="U240" s="109"/>
      <c r="V240" s="109"/>
      <c r="W240" s="109"/>
      <c r="X240" s="109"/>
      <c r="Y240" s="109"/>
      <c r="Z240" s="109"/>
    </row>
    <row r="241" ht="29.25" customHeight="1">
      <c r="A241" s="109"/>
      <c r="B241" s="109"/>
      <c r="C241" s="109"/>
      <c r="D241" s="109"/>
      <c r="E241" s="109"/>
      <c r="F241" s="109"/>
      <c r="G241" s="109"/>
      <c r="H241" s="317"/>
      <c r="I241" s="109"/>
      <c r="J241" s="109"/>
      <c r="K241" s="109"/>
      <c r="L241" s="109"/>
      <c r="M241" s="109"/>
      <c r="N241" s="109"/>
      <c r="O241" s="109"/>
      <c r="P241" s="109"/>
      <c r="Q241" s="109"/>
      <c r="R241" s="109"/>
      <c r="S241" s="109"/>
      <c r="T241" s="109"/>
      <c r="U241" s="109"/>
      <c r="V241" s="109"/>
      <c r="W241" s="109"/>
      <c r="X241" s="109"/>
      <c r="Y241" s="109"/>
      <c r="Z241" s="109"/>
    </row>
    <row r="242" ht="29.25" customHeight="1">
      <c r="A242" s="109"/>
      <c r="B242" s="109"/>
      <c r="C242" s="109"/>
      <c r="D242" s="109"/>
      <c r="E242" s="109"/>
      <c r="F242" s="109"/>
      <c r="G242" s="109"/>
      <c r="H242" s="317"/>
      <c r="I242" s="109"/>
      <c r="J242" s="109"/>
      <c r="K242" s="109"/>
      <c r="L242" s="109"/>
      <c r="M242" s="109"/>
      <c r="N242" s="109"/>
      <c r="O242" s="109"/>
      <c r="P242" s="109"/>
      <c r="Q242" s="109"/>
      <c r="R242" s="109"/>
      <c r="S242" s="109"/>
      <c r="T242" s="109"/>
      <c r="U242" s="109"/>
      <c r="V242" s="109"/>
      <c r="W242" s="109"/>
      <c r="X242" s="109"/>
      <c r="Y242" s="109"/>
      <c r="Z242" s="109"/>
    </row>
    <row r="243" ht="29.25" customHeight="1">
      <c r="A243" s="109"/>
      <c r="B243" s="109"/>
      <c r="C243" s="109"/>
      <c r="D243" s="109"/>
      <c r="E243" s="109"/>
      <c r="F243" s="109"/>
      <c r="G243" s="109"/>
      <c r="H243" s="317"/>
      <c r="I243" s="109"/>
      <c r="J243" s="109"/>
      <c r="K243" s="109"/>
      <c r="L243" s="109"/>
      <c r="M243" s="109"/>
      <c r="N243" s="109"/>
      <c r="O243" s="109"/>
      <c r="P243" s="109"/>
      <c r="Q243" s="109"/>
      <c r="R243" s="109"/>
      <c r="S243" s="109"/>
      <c r="T243" s="109"/>
      <c r="U243" s="109"/>
      <c r="V243" s="109"/>
      <c r="W243" s="109"/>
      <c r="X243" s="109"/>
      <c r="Y243" s="109"/>
      <c r="Z243" s="109"/>
    </row>
    <row r="244" ht="29.25" customHeight="1">
      <c r="A244" s="109"/>
      <c r="B244" s="109"/>
      <c r="C244" s="109"/>
      <c r="D244" s="109"/>
      <c r="E244" s="109"/>
      <c r="F244" s="109"/>
      <c r="G244" s="109"/>
      <c r="H244" s="317"/>
      <c r="I244" s="109"/>
      <c r="J244" s="109"/>
      <c r="K244" s="109"/>
      <c r="L244" s="109"/>
      <c r="M244" s="109"/>
      <c r="N244" s="109"/>
      <c r="O244" s="109"/>
      <c r="P244" s="109"/>
      <c r="Q244" s="109"/>
      <c r="R244" s="109"/>
      <c r="S244" s="109"/>
      <c r="T244" s="109"/>
      <c r="U244" s="109"/>
      <c r="V244" s="109"/>
      <c r="W244" s="109"/>
      <c r="X244" s="109"/>
      <c r="Y244" s="109"/>
      <c r="Z244" s="109"/>
    </row>
    <row r="245" ht="29.25" customHeight="1">
      <c r="A245" s="109"/>
      <c r="B245" s="109"/>
      <c r="C245" s="109"/>
      <c r="D245" s="109"/>
      <c r="E245" s="109"/>
      <c r="F245" s="109"/>
      <c r="G245" s="109"/>
      <c r="H245" s="317"/>
      <c r="I245" s="109"/>
      <c r="J245" s="109"/>
      <c r="K245" s="109"/>
      <c r="L245" s="109"/>
      <c r="M245" s="109"/>
      <c r="N245" s="109"/>
      <c r="O245" s="109"/>
      <c r="P245" s="109"/>
      <c r="Q245" s="109"/>
      <c r="R245" s="109"/>
      <c r="S245" s="109"/>
      <c r="T245" s="109"/>
      <c r="U245" s="109"/>
      <c r="V245" s="109"/>
      <c r="W245" s="109"/>
      <c r="X245" s="109"/>
      <c r="Y245" s="109"/>
      <c r="Z245" s="109"/>
    </row>
    <row r="246" ht="29.25" customHeight="1">
      <c r="A246" s="109"/>
      <c r="B246" s="109"/>
      <c r="C246" s="109"/>
      <c r="D246" s="109"/>
      <c r="E246" s="109"/>
      <c r="F246" s="109"/>
      <c r="G246" s="109"/>
      <c r="H246" s="317"/>
      <c r="I246" s="109"/>
      <c r="J246" s="109"/>
      <c r="K246" s="109"/>
      <c r="L246" s="109"/>
      <c r="M246" s="109"/>
      <c r="N246" s="109"/>
      <c r="O246" s="109"/>
      <c r="P246" s="109"/>
      <c r="Q246" s="109"/>
      <c r="R246" s="109"/>
      <c r="S246" s="109"/>
      <c r="T246" s="109"/>
      <c r="U246" s="109"/>
      <c r="V246" s="109"/>
      <c r="W246" s="109"/>
      <c r="X246" s="109"/>
      <c r="Y246" s="109"/>
      <c r="Z246" s="109"/>
    </row>
    <row r="247" ht="29.25" customHeight="1">
      <c r="A247" s="109"/>
      <c r="B247" s="109"/>
      <c r="C247" s="109"/>
      <c r="D247" s="109"/>
      <c r="E247" s="109"/>
      <c r="F247" s="109"/>
      <c r="G247" s="109"/>
      <c r="H247" s="317"/>
      <c r="I247" s="109"/>
      <c r="J247" s="109"/>
      <c r="K247" s="109"/>
      <c r="L247" s="109"/>
      <c r="M247" s="109"/>
      <c r="N247" s="109"/>
      <c r="O247" s="109"/>
      <c r="P247" s="109"/>
      <c r="Q247" s="109"/>
      <c r="R247" s="109"/>
      <c r="S247" s="109"/>
      <c r="T247" s="109"/>
      <c r="U247" s="109"/>
      <c r="V247" s="109"/>
      <c r="W247" s="109"/>
      <c r="X247" s="109"/>
      <c r="Y247" s="109"/>
      <c r="Z247" s="109"/>
    </row>
    <row r="248" ht="29.25" customHeight="1">
      <c r="A248" s="109"/>
      <c r="B248" s="109"/>
      <c r="C248" s="109"/>
      <c r="D248" s="109"/>
      <c r="E248" s="109"/>
      <c r="F248" s="109"/>
      <c r="G248" s="109"/>
      <c r="H248" s="317"/>
      <c r="I248" s="109"/>
      <c r="J248" s="109"/>
      <c r="K248" s="109"/>
      <c r="L248" s="109"/>
      <c r="M248" s="109"/>
      <c r="N248" s="109"/>
      <c r="O248" s="109"/>
      <c r="P248" s="109"/>
      <c r="Q248" s="109"/>
      <c r="R248" s="109"/>
      <c r="S248" s="109"/>
      <c r="T248" s="109"/>
      <c r="U248" s="109"/>
      <c r="V248" s="109"/>
      <c r="W248" s="109"/>
      <c r="X248" s="109"/>
      <c r="Y248" s="109"/>
      <c r="Z248" s="109"/>
    </row>
    <row r="249" ht="29.25" customHeight="1">
      <c r="A249" s="109"/>
      <c r="B249" s="109"/>
      <c r="C249" s="109"/>
      <c r="D249" s="109"/>
      <c r="E249" s="109"/>
      <c r="F249" s="109"/>
      <c r="G249" s="109"/>
      <c r="H249" s="317"/>
      <c r="I249" s="109"/>
      <c r="J249" s="109"/>
      <c r="K249" s="109"/>
      <c r="L249" s="109"/>
      <c r="M249" s="109"/>
      <c r="N249" s="109"/>
      <c r="O249" s="109"/>
      <c r="P249" s="109"/>
      <c r="Q249" s="109"/>
      <c r="R249" s="109"/>
      <c r="S249" s="109"/>
      <c r="T249" s="109"/>
      <c r="U249" s="109"/>
      <c r="V249" s="109"/>
      <c r="W249" s="109"/>
      <c r="X249" s="109"/>
      <c r="Y249" s="109"/>
      <c r="Z249" s="109"/>
    </row>
    <row r="250" ht="29.25" customHeight="1">
      <c r="A250" s="109"/>
      <c r="B250" s="109"/>
      <c r="C250" s="109"/>
      <c r="D250" s="109"/>
      <c r="E250" s="109"/>
      <c r="F250" s="109"/>
      <c r="G250" s="109"/>
      <c r="H250" s="317"/>
      <c r="I250" s="109"/>
      <c r="J250" s="109"/>
      <c r="K250" s="109"/>
      <c r="L250" s="109"/>
      <c r="M250" s="109"/>
      <c r="N250" s="109"/>
      <c r="O250" s="109"/>
      <c r="P250" s="109"/>
      <c r="Q250" s="109"/>
      <c r="R250" s="109"/>
      <c r="S250" s="109"/>
      <c r="T250" s="109"/>
      <c r="U250" s="109"/>
      <c r="V250" s="109"/>
      <c r="W250" s="109"/>
      <c r="X250" s="109"/>
      <c r="Y250" s="109"/>
      <c r="Z250" s="109"/>
    </row>
    <row r="251" ht="29.25" customHeight="1">
      <c r="A251" s="109"/>
      <c r="B251" s="109"/>
      <c r="C251" s="109"/>
      <c r="D251" s="109"/>
      <c r="E251" s="109"/>
      <c r="F251" s="109"/>
      <c r="G251" s="109"/>
      <c r="H251" s="317"/>
      <c r="I251" s="109"/>
      <c r="J251" s="109"/>
      <c r="K251" s="109"/>
      <c r="L251" s="109"/>
      <c r="M251" s="109"/>
      <c r="N251" s="109"/>
      <c r="O251" s="109"/>
      <c r="P251" s="109"/>
      <c r="Q251" s="109"/>
      <c r="R251" s="109"/>
      <c r="S251" s="109"/>
      <c r="T251" s="109"/>
      <c r="U251" s="109"/>
      <c r="V251" s="109"/>
      <c r="W251" s="109"/>
      <c r="X251" s="109"/>
      <c r="Y251" s="109"/>
      <c r="Z251" s="109"/>
    </row>
    <row r="252" ht="29.25" customHeight="1">
      <c r="A252" s="109"/>
      <c r="B252" s="109"/>
      <c r="C252" s="109"/>
      <c r="D252" s="109"/>
      <c r="E252" s="109"/>
      <c r="F252" s="109"/>
      <c r="G252" s="109"/>
      <c r="H252" s="317"/>
      <c r="I252" s="109"/>
      <c r="J252" s="109"/>
      <c r="K252" s="109"/>
      <c r="L252" s="109"/>
      <c r="M252" s="109"/>
      <c r="N252" s="109"/>
      <c r="O252" s="109"/>
      <c r="P252" s="109"/>
      <c r="Q252" s="109"/>
      <c r="R252" s="109"/>
      <c r="S252" s="109"/>
      <c r="T252" s="109"/>
      <c r="U252" s="109"/>
      <c r="V252" s="109"/>
      <c r="W252" s="109"/>
      <c r="X252" s="109"/>
      <c r="Y252" s="109"/>
      <c r="Z252" s="109"/>
    </row>
    <row r="253" ht="29.25" customHeight="1">
      <c r="A253" s="109"/>
      <c r="B253" s="109"/>
      <c r="C253" s="109"/>
      <c r="D253" s="109"/>
      <c r="E253" s="109"/>
      <c r="F253" s="109"/>
      <c r="G253" s="109"/>
      <c r="H253" s="317"/>
      <c r="I253" s="109"/>
      <c r="J253" s="109"/>
      <c r="K253" s="109"/>
      <c r="L253" s="109"/>
      <c r="M253" s="109"/>
      <c r="N253" s="109"/>
      <c r="O253" s="109"/>
      <c r="P253" s="109"/>
      <c r="Q253" s="109"/>
      <c r="R253" s="109"/>
      <c r="S253" s="109"/>
      <c r="T253" s="109"/>
      <c r="U253" s="109"/>
      <c r="V253" s="109"/>
      <c r="W253" s="109"/>
      <c r="X253" s="109"/>
      <c r="Y253" s="109"/>
      <c r="Z253" s="109"/>
    </row>
    <row r="254" ht="29.25" customHeight="1">
      <c r="A254" s="109"/>
      <c r="B254" s="109"/>
      <c r="C254" s="109"/>
      <c r="D254" s="109"/>
      <c r="E254" s="109"/>
      <c r="F254" s="109"/>
      <c r="G254" s="109"/>
      <c r="H254" s="317"/>
      <c r="I254" s="109"/>
      <c r="J254" s="109"/>
      <c r="K254" s="109"/>
      <c r="L254" s="109"/>
      <c r="M254" s="109"/>
      <c r="N254" s="109"/>
      <c r="O254" s="109"/>
      <c r="P254" s="109"/>
      <c r="Q254" s="109"/>
      <c r="R254" s="109"/>
      <c r="S254" s="109"/>
      <c r="T254" s="109"/>
      <c r="U254" s="109"/>
      <c r="V254" s="109"/>
      <c r="W254" s="109"/>
      <c r="X254" s="109"/>
      <c r="Y254" s="109"/>
      <c r="Z254" s="109"/>
    </row>
    <row r="255" ht="29.25" customHeight="1">
      <c r="A255" s="109"/>
      <c r="B255" s="109"/>
      <c r="C255" s="109"/>
      <c r="D255" s="109"/>
      <c r="E255" s="109"/>
      <c r="F255" s="109"/>
      <c r="G255" s="109"/>
      <c r="H255" s="317"/>
      <c r="I255" s="109"/>
      <c r="J255" s="109"/>
      <c r="K255" s="109"/>
      <c r="L255" s="109"/>
      <c r="M255" s="109"/>
      <c r="N255" s="109"/>
      <c r="O255" s="109"/>
      <c r="P255" s="109"/>
      <c r="Q255" s="109"/>
      <c r="R255" s="109"/>
      <c r="S255" s="109"/>
      <c r="T255" s="109"/>
      <c r="U255" s="109"/>
      <c r="V255" s="109"/>
      <c r="W255" s="109"/>
      <c r="X255" s="109"/>
      <c r="Y255" s="109"/>
      <c r="Z255" s="109"/>
    </row>
    <row r="256" ht="29.25" customHeight="1">
      <c r="A256" s="109"/>
      <c r="B256" s="109"/>
      <c r="C256" s="109"/>
      <c r="D256" s="109"/>
      <c r="E256" s="109"/>
      <c r="F256" s="109"/>
      <c r="G256" s="109"/>
      <c r="H256" s="317"/>
      <c r="I256" s="109"/>
      <c r="J256" s="109"/>
      <c r="K256" s="109"/>
      <c r="L256" s="109"/>
      <c r="M256" s="109"/>
      <c r="N256" s="109"/>
      <c r="O256" s="109"/>
      <c r="P256" s="109"/>
      <c r="Q256" s="109"/>
      <c r="R256" s="109"/>
      <c r="S256" s="109"/>
      <c r="T256" s="109"/>
      <c r="U256" s="109"/>
      <c r="V256" s="109"/>
      <c r="W256" s="109"/>
      <c r="X256" s="109"/>
      <c r="Y256" s="109"/>
      <c r="Z256" s="109"/>
    </row>
    <row r="257" ht="29.25" customHeight="1">
      <c r="A257" s="109"/>
      <c r="B257" s="109"/>
      <c r="C257" s="109"/>
      <c r="D257" s="109"/>
      <c r="E257" s="109"/>
      <c r="F257" s="109"/>
      <c r="G257" s="109"/>
      <c r="H257" s="317"/>
      <c r="I257" s="109"/>
      <c r="J257" s="109"/>
      <c r="K257" s="109"/>
      <c r="L257" s="109"/>
      <c r="M257" s="109"/>
      <c r="N257" s="109"/>
      <c r="O257" s="109"/>
      <c r="P257" s="109"/>
      <c r="Q257" s="109"/>
      <c r="R257" s="109"/>
      <c r="S257" s="109"/>
      <c r="T257" s="109"/>
      <c r="U257" s="109"/>
      <c r="V257" s="109"/>
      <c r="W257" s="109"/>
      <c r="X257" s="109"/>
      <c r="Y257" s="109"/>
      <c r="Z257" s="109"/>
    </row>
    <row r="258" ht="29.25" customHeight="1">
      <c r="A258" s="109"/>
      <c r="B258" s="109"/>
      <c r="C258" s="109"/>
      <c r="D258" s="109"/>
      <c r="E258" s="109"/>
      <c r="F258" s="109"/>
      <c r="G258" s="109"/>
      <c r="H258" s="317"/>
      <c r="I258" s="109"/>
      <c r="J258" s="109"/>
      <c r="K258" s="109"/>
      <c r="L258" s="109"/>
      <c r="M258" s="109"/>
      <c r="N258" s="109"/>
      <c r="O258" s="109"/>
      <c r="P258" s="109"/>
      <c r="Q258" s="109"/>
      <c r="R258" s="109"/>
      <c r="S258" s="109"/>
      <c r="T258" s="109"/>
      <c r="U258" s="109"/>
      <c r="V258" s="109"/>
      <c r="W258" s="109"/>
      <c r="X258" s="109"/>
      <c r="Y258" s="109"/>
      <c r="Z258" s="109"/>
    </row>
    <row r="259" ht="29.25" customHeight="1">
      <c r="A259" s="109"/>
      <c r="B259" s="109"/>
      <c r="C259" s="109"/>
      <c r="D259" s="109"/>
      <c r="E259" s="109"/>
      <c r="F259" s="109"/>
      <c r="G259" s="109"/>
      <c r="H259" s="317"/>
      <c r="I259" s="109"/>
      <c r="J259" s="109"/>
      <c r="K259" s="109"/>
      <c r="L259" s="109"/>
      <c r="M259" s="109"/>
      <c r="N259" s="109"/>
      <c r="O259" s="109"/>
      <c r="P259" s="109"/>
      <c r="Q259" s="109"/>
      <c r="R259" s="109"/>
      <c r="S259" s="109"/>
      <c r="T259" s="109"/>
      <c r="U259" s="109"/>
      <c r="V259" s="109"/>
      <c r="W259" s="109"/>
      <c r="X259" s="109"/>
      <c r="Y259" s="109"/>
      <c r="Z259" s="109"/>
    </row>
    <row r="260" ht="29.25" customHeight="1">
      <c r="A260" s="109"/>
      <c r="B260" s="109"/>
      <c r="C260" s="109"/>
      <c r="D260" s="109"/>
      <c r="E260" s="109"/>
      <c r="F260" s="109"/>
      <c r="G260" s="109"/>
      <c r="H260" s="317"/>
      <c r="I260" s="109"/>
      <c r="J260" s="109"/>
      <c r="K260" s="109"/>
      <c r="L260" s="109"/>
      <c r="M260" s="109"/>
      <c r="N260" s="109"/>
      <c r="O260" s="109"/>
      <c r="P260" s="109"/>
      <c r="Q260" s="109"/>
      <c r="R260" s="109"/>
      <c r="S260" s="109"/>
      <c r="T260" s="109"/>
      <c r="U260" s="109"/>
      <c r="V260" s="109"/>
      <c r="W260" s="109"/>
      <c r="X260" s="109"/>
      <c r="Y260" s="109"/>
      <c r="Z260" s="109"/>
    </row>
    <row r="261" ht="29.25" customHeight="1">
      <c r="A261" s="109"/>
      <c r="B261" s="109"/>
      <c r="C261" s="109"/>
      <c r="D261" s="109"/>
      <c r="E261" s="109"/>
      <c r="F261" s="109"/>
      <c r="G261" s="109"/>
      <c r="H261" s="317"/>
      <c r="I261" s="109"/>
      <c r="J261" s="109"/>
      <c r="K261" s="109"/>
      <c r="L261" s="109"/>
      <c r="M261" s="109"/>
      <c r="N261" s="109"/>
      <c r="O261" s="109"/>
      <c r="P261" s="109"/>
      <c r="Q261" s="109"/>
      <c r="R261" s="109"/>
      <c r="S261" s="109"/>
      <c r="T261" s="109"/>
      <c r="U261" s="109"/>
      <c r="V261" s="109"/>
      <c r="W261" s="109"/>
      <c r="X261" s="109"/>
      <c r="Y261" s="109"/>
      <c r="Z261" s="109"/>
    </row>
    <row r="262" ht="29.25" customHeight="1">
      <c r="A262" s="109"/>
      <c r="B262" s="109"/>
      <c r="C262" s="109"/>
      <c r="D262" s="109"/>
      <c r="E262" s="109"/>
      <c r="F262" s="109"/>
      <c r="G262" s="109"/>
      <c r="H262" s="317"/>
      <c r="I262" s="109"/>
      <c r="J262" s="109"/>
      <c r="K262" s="109"/>
      <c r="L262" s="109"/>
      <c r="M262" s="109"/>
      <c r="N262" s="109"/>
      <c r="O262" s="109"/>
      <c r="P262" s="109"/>
      <c r="Q262" s="109"/>
      <c r="R262" s="109"/>
      <c r="S262" s="109"/>
      <c r="T262" s="109"/>
      <c r="U262" s="109"/>
      <c r="V262" s="109"/>
      <c r="W262" s="109"/>
      <c r="X262" s="109"/>
      <c r="Y262" s="109"/>
      <c r="Z262" s="109"/>
    </row>
    <row r="263" ht="29.25" customHeight="1">
      <c r="A263" s="109"/>
      <c r="B263" s="109"/>
      <c r="C263" s="109"/>
      <c r="D263" s="109"/>
      <c r="E263" s="109"/>
      <c r="F263" s="109"/>
      <c r="G263" s="109"/>
      <c r="H263" s="317"/>
      <c r="I263" s="109"/>
      <c r="J263" s="109"/>
      <c r="K263" s="109"/>
      <c r="L263" s="109"/>
      <c r="M263" s="109"/>
      <c r="N263" s="109"/>
      <c r="O263" s="109"/>
      <c r="P263" s="109"/>
      <c r="Q263" s="109"/>
      <c r="R263" s="109"/>
      <c r="S263" s="109"/>
      <c r="T263" s="109"/>
      <c r="U263" s="109"/>
      <c r="V263" s="109"/>
      <c r="W263" s="109"/>
      <c r="X263" s="109"/>
      <c r="Y263" s="109"/>
      <c r="Z263" s="109"/>
    </row>
    <row r="264" ht="29.25" customHeight="1">
      <c r="A264" s="109"/>
      <c r="B264" s="109"/>
      <c r="C264" s="109"/>
      <c r="D264" s="109"/>
      <c r="E264" s="109"/>
      <c r="F264" s="109"/>
      <c r="G264" s="109"/>
      <c r="H264" s="317"/>
      <c r="I264" s="109"/>
      <c r="J264" s="109"/>
      <c r="K264" s="109"/>
      <c r="L264" s="109"/>
      <c r="M264" s="109"/>
      <c r="N264" s="109"/>
      <c r="O264" s="109"/>
      <c r="P264" s="109"/>
      <c r="Q264" s="109"/>
      <c r="R264" s="109"/>
      <c r="S264" s="109"/>
      <c r="T264" s="109"/>
      <c r="U264" s="109"/>
      <c r="V264" s="109"/>
      <c r="W264" s="109"/>
      <c r="X264" s="109"/>
      <c r="Y264" s="109"/>
      <c r="Z264" s="109"/>
    </row>
    <row r="265" ht="29.25" customHeight="1">
      <c r="A265" s="109"/>
      <c r="B265" s="109"/>
      <c r="C265" s="109"/>
      <c r="D265" s="109"/>
      <c r="E265" s="109"/>
      <c r="F265" s="109"/>
      <c r="G265" s="109"/>
      <c r="H265" s="317"/>
      <c r="I265" s="109"/>
      <c r="J265" s="109"/>
      <c r="K265" s="109"/>
      <c r="L265" s="109"/>
      <c r="M265" s="109"/>
      <c r="N265" s="109"/>
      <c r="O265" s="109"/>
      <c r="P265" s="109"/>
      <c r="Q265" s="109"/>
      <c r="R265" s="109"/>
      <c r="S265" s="109"/>
      <c r="T265" s="109"/>
      <c r="U265" s="109"/>
      <c r="V265" s="109"/>
      <c r="W265" s="109"/>
      <c r="X265" s="109"/>
      <c r="Y265" s="109"/>
      <c r="Z265" s="109"/>
    </row>
    <row r="266" ht="29.25" customHeight="1">
      <c r="A266" s="109"/>
      <c r="B266" s="109"/>
      <c r="C266" s="109"/>
      <c r="D266" s="109"/>
      <c r="E266" s="109"/>
      <c r="F266" s="109"/>
      <c r="G266" s="109"/>
      <c r="H266" s="317"/>
      <c r="I266" s="109"/>
      <c r="J266" s="109"/>
      <c r="K266" s="109"/>
      <c r="L266" s="109"/>
      <c r="M266" s="109"/>
      <c r="N266" s="109"/>
      <c r="O266" s="109"/>
      <c r="P266" s="109"/>
      <c r="Q266" s="109"/>
      <c r="R266" s="109"/>
      <c r="S266" s="109"/>
      <c r="T266" s="109"/>
      <c r="U266" s="109"/>
      <c r="V266" s="109"/>
      <c r="W266" s="109"/>
      <c r="X266" s="109"/>
      <c r="Y266" s="109"/>
      <c r="Z266" s="109"/>
    </row>
    <row r="267" ht="29.25" customHeight="1">
      <c r="A267" s="109"/>
      <c r="B267" s="109"/>
      <c r="C267" s="109"/>
      <c r="D267" s="109"/>
      <c r="E267" s="109"/>
      <c r="F267" s="109"/>
      <c r="G267" s="109"/>
      <c r="H267" s="317"/>
      <c r="I267" s="109"/>
      <c r="J267" s="109"/>
      <c r="K267" s="109"/>
      <c r="L267" s="109"/>
      <c r="M267" s="109"/>
      <c r="N267" s="109"/>
      <c r="O267" s="109"/>
      <c r="P267" s="109"/>
      <c r="Q267" s="109"/>
      <c r="R267" s="109"/>
      <c r="S267" s="109"/>
      <c r="T267" s="109"/>
      <c r="U267" s="109"/>
      <c r="V267" s="109"/>
      <c r="W267" s="109"/>
      <c r="X267" s="109"/>
      <c r="Y267" s="109"/>
      <c r="Z267" s="109"/>
    </row>
    <row r="268" ht="29.25" customHeight="1">
      <c r="A268" s="109"/>
      <c r="B268" s="109"/>
      <c r="C268" s="109"/>
      <c r="D268" s="109"/>
      <c r="E268" s="109"/>
      <c r="F268" s="109"/>
      <c r="G268" s="109"/>
      <c r="H268" s="317"/>
      <c r="I268" s="109"/>
      <c r="J268" s="109"/>
      <c r="K268" s="109"/>
      <c r="L268" s="109"/>
      <c r="M268" s="109"/>
      <c r="N268" s="109"/>
      <c r="O268" s="109"/>
      <c r="P268" s="109"/>
      <c r="Q268" s="109"/>
      <c r="R268" s="109"/>
      <c r="S268" s="109"/>
      <c r="T268" s="109"/>
      <c r="U268" s="109"/>
      <c r="V268" s="109"/>
      <c r="W268" s="109"/>
      <c r="X268" s="109"/>
      <c r="Y268" s="109"/>
      <c r="Z268" s="109"/>
    </row>
    <row r="269" ht="29.25" customHeight="1">
      <c r="A269" s="109"/>
      <c r="B269" s="109"/>
      <c r="C269" s="109"/>
      <c r="D269" s="109"/>
      <c r="E269" s="109"/>
      <c r="F269" s="109"/>
      <c r="G269" s="109"/>
      <c r="H269" s="317"/>
      <c r="I269" s="109"/>
      <c r="J269" s="109"/>
      <c r="K269" s="109"/>
      <c r="L269" s="109"/>
      <c r="M269" s="109"/>
      <c r="N269" s="109"/>
      <c r="O269" s="109"/>
      <c r="P269" s="109"/>
      <c r="Q269" s="109"/>
      <c r="R269" s="109"/>
      <c r="S269" s="109"/>
      <c r="T269" s="109"/>
      <c r="U269" s="109"/>
      <c r="V269" s="109"/>
      <c r="W269" s="109"/>
      <c r="X269" s="109"/>
      <c r="Y269" s="109"/>
      <c r="Z269" s="109"/>
    </row>
    <row r="270" ht="29.25" customHeight="1">
      <c r="A270" s="109"/>
      <c r="B270" s="109"/>
      <c r="C270" s="109"/>
      <c r="D270" s="109"/>
      <c r="E270" s="109"/>
      <c r="F270" s="109"/>
      <c r="G270" s="109"/>
      <c r="H270" s="317"/>
      <c r="I270" s="109"/>
      <c r="J270" s="109"/>
      <c r="K270" s="109"/>
      <c r="L270" s="109"/>
      <c r="M270" s="109"/>
      <c r="N270" s="109"/>
      <c r="O270" s="109"/>
      <c r="P270" s="109"/>
      <c r="Q270" s="109"/>
      <c r="R270" s="109"/>
      <c r="S270" s="109"/>
      <c r="T270" s="109"/>
      <c r="U270" s="109"/>
      <c r="V270" s="109"/>
      <c r="W270" s="109"/>
      <c r="X270" s="109"/>
      <c r="Y270" s="109"/>
      <c r="Z270" s="109"/>
    </row>
    <row r="271" ht="29.25" customHeight="1">
      <c r="A271" s="109"/>
      <c r="B271" s="109"/>
      <c r="C271" s="109"/>
      <c r="D271" s="109"/>
      <c r="E271" s="109"/>
      <c r="F271" s="109"/>
      <c r="G271" s="109"/>
      <c r="H271" s="317"/>
      <c r="I271" s="109"/>
      <c r="J271" s="109"/>
      <c r="K271" s="109"/>
      <c r="L271" s="109"/>
      <c r="M271" s="109"/>
      <c r="N271" s="109"/>
      <c r="O271" s="109"/>
      <c r="P271" s="109"/>
      <c r="Q271" s="109"/>
      <c r="R271" s="109"/>
      <c r="S271" s="109"/>
      <c r="T271" s="109"/>
      <c r="U271" s="109"/>
      <c r="V271" s="109"/>
      <c r="W271" s="109"/>
      <c r="X271" s="109"/>
      <c r="Y271" s="109"/>
      <c r="Z271" s="109"/>
    </row>
    <row r="272" ht="29.25" customHeight="1">
      <c r="A272" s="109"/>
      <c r="B272" s="109"/>
      <c r="C272" s="109"/>
      <c r="D272" s="109"/>
      <c r="E272" s="109"/>
      <c r="F272" s="109"/>
      <c r="G272" s="109"/>
      <c r="H272" s="317"/>
      <c r="I272" s="109"/>
      <c r="J272" s="109"/>
      <c r="K272" s="109"/>
      <c r="L272" s="109"/>
      <c r="M272" s="109"/>
      <c r="N272" s="109"/>
      <c r="O272" s="109"/>
      <c r="P272" s="109"/>
      <c r="Q272" s="109"/>
      <c r="R272" s="109"/>
      <c r="S272" s="109"/>
      <c r="T272" s="109"/>
      <c r="U272" s="109"/>
      <c r="V272" s="109"/>
      <c r="W272" s="109"/>
      <c r="X272" s="109"/>
      <c r="Y272" s="109"/>
      <c r="Z272" s="109"/>
    </row>
    <row r="273" ht="29.25" customHeight="1">
      <c r="A273" s="109"/>
      <c r="B273" s="109"/>
      <c r="C273" s="109"/>
      <c r="D273" s="109"/>
      <c r="E273" s="109"/>
      <c r="F273" s="109"/>
      <c r="G273" s="109"/>
      <c r="H273" s="317"/>
      <c r="I273" s="109"/>
      <c r="J273" s="109"/>
      <c r="K273" s="109"/>
      <c r="L273" s="109"/>
      <c r="M273" s="109"/>
      <c r="N273" s="109"/>
      <c r="O273" s="109"/>
      <c r="P273" s="109"/>
      <c r="Q273" s="109"/>
      <c r="R273" s="109"/>
      <c r="S273" s="109"/>
      <c r="T273" s="109"/>
      <c r="U273" s="109"/>
      <c r="V273" s="109"/>
      <c r="W273" s="109"/>
      <c r="X273" s="109"/>
      <c r="Y273" s="109"/>
      <c r="Z273" s="109"/>
    </row>
    <row r="274" ht="29.25" customHeight="1">
      <c r="A274" s="109"/>
      <c r="B274" s="109"/>
      <c r="C274" s="109"/>
      <c r="D274" s="109"/>
      <c r="E274" s="109"/>
      <c r="F274" s="109"/>
      <c r="G274" s="109"/>
      <c r="H274" s="317"/>
      <c r="I274" s="109"/>
      <c r="J274" s="109"/>
      <c r="K274" s="109"/>
      <c r="L274" s="109"/>
      <c r="M274" s="109"/>
      <c r="N274" s="109"/>
      <c r="O274" s="109"/>
      <c r="P274" s="109"/>
      <c r="Q274" s="109"/>
      <c r="R274" s="109"/>
      <c r="S274" s="109"/>
      <c r="T274" s="109"/>
      <c r="U274" s="109"/>
      <c r="V274" s="109"/>
      <c r="W274" s="109"/>
      <c r="X274" s="109"/>
      <c r="Y274" s="109"/>
      <c r="Z274" s="109"/>
    </row>
    <row r="275" ht="29.25" customHeight="1">
      <c r="A275" s="109"/>
      <c r="B275" s="109"/>
      <c r="C275" s="109"/>
      <c r="D275" s="109"/>
      <c r="E275" s="109"/>
      <c r="F275" s="109"/>
      <c r="G275" s="109"/>
      <c r="H275" s="317"/>
      <c r="I275" s="109"/>
      <c r="J275" s="109"/>
      <c r="K275" s="109"/>
      <c r="L275" s="109"/>
      <c r="M275" s="109"/>
      <c r="N275" s="109"/>
      <c r="O275" s="109"/>
      <c r="P275" s="109"/>
      <c r="Q275" s="109"/>
      <c r="R275" s="109"/>
      <c r="S275" s="109"/>
      <c r="T275" s="109"/>
      <c r="U275" s="109"/>
      <c r="V275" s="109"/>
      <c r="W275" s="109"/>
      <c r="X275" s="109"/>
      <c r="Y275" s="109"/>
      <c r="Z275" s="109"/>
    </row>
    <row r="276" ht="29.25" customHeight="1">
      <c r="A276" s="109"/>
      <c r="B276" s="109"/>
      <c r="C276" s="109"/>
      <c r="D276" s="109"/>
      <c r="E276" s="109"/>
      <c r="F276" s="109"/>
      <c r="G276" s="109"/>
      <c r="H276" s="317"/>
      <c r="I276" s="109"/>
      <c r="J276" s="109"/>
      <c r="K276" s="109"/>
      <c r="L276" s="109"/>
      <c r="M276" s="109"/>
      <c r="N276" s="109"/>
      <c r="O276" s="109"/>
      <c r="P276" s="109"/>
      <c r="Q276" s="109"/>
      <c r="R276" s="109"/>
      <c r="S276" s="109"/>
      <c r="T276" s="109"/>
      <c r="U276" s="109"/>
      <c r="V276" s="109"/>
      <c r="W276" s="109"/>
      <c r="X276" s="109"/>
      <c r="Y276" s="109"/>
      <c r="Z276" s="109"/>
    </row>
    <row r="277" ht="29.25" customHeight="1">
      <c r="A277" s="109"/>
      <c r="B277" s="109"/>
      <c r="C277" s="109"/>
      <c r="D277" s="109"/>
      <c r="E277" s="109"/>
      <c r="F277" s="109"/>
      <c r="G277" s="109"/>
      <c r="H277" s="317"/>
      <c r="I277" s="109"/>
      <c r="J277" s="109"/>
      <c r="K277" s="109"/>
      <c r="L277" s="109"/>
      <c r="M277" s="109"/>
      <c r="N277" s="109"/>
      <c r="O277" s="109"/>
      <c r="P277" s="109"/>
      <c r="Q277" s="109"/>
      <c r="R277" s="109"/>
      <c r="S277" s="109"/>
      <c r="T277" s="109"/>
      <c r="U277" s="109"/>
      <c r="V277" s="109"/>
      <c r="W277" s="109"/>
      <c r="X277" s="109"/>
      <c r="Y277" s="109"/>
      <c r="Z277" s="109"/>
    </row>
    <row r="278" ht="29.25" customHeight="1">
      <c r="A278" s="109"/>
      <c r="B278" s="109"/>
      <c r="C278" s="109"/>
      <c r="D278" s="109"/>
      <c r="E278" s="109"/>
      <c r="F278" s="109"/>
      <c r="G278" s="109"/>
      <c r="H278" s="317"/>
      <c r="I278" s="109"/>
      <c r="J278" s="109"/>
      <c r="K278" s="109"/>
      <c r="L278" s="109"/>
      <c r="M278" s="109"/>
      <c r="N278" s="109"/>
      <c r="O278" s="109"/>
      <c r="P278" s="109"/>
      <c r="Q278" s="109"/>
      <c r="R278" s="109"/>
      <c r="S278" s="109"/>
      <c r="T278" s="109"/>
      <c r="U278" s="109"/>
      <c r="V278" s="109"/>
      <c r="W278" s="109"/>
      <c r="X278" s="109"/>
      <c r="Y278" s="109"/>
      <c r="Z278" s="109"/>
    </row>
    <row r="279" ht="29.25" customHeight="1">
      <c r="A279" s="109"/>
      <c r="B279" s="109"/>
      <c r="C279" s="109"/>
      <c r="D279" s="109"/>
      <c r="E279" s="109"/>
      <c r="F279" s="109"/>
      <c r="G279" s="109"/>
      <c r="H279" s="317"/>
      <c r="I279" s="109"/>
      <c r="J279" s="109"/>
      <c r="K279" s="109"/>
      <c r="L279" s="109"/>
      <c r="M279" s="109"/>
      <c r="N279" s="109"/>
      <c r="O279" s="109"/>
      <c r="P279" s="109"/>
      <c r="Q279" s="109"/>
      <c r="R279" s="109"/>
      <c r="S279" s="109"/>
      <c r="T279" s="109"/>
      <c r="U279" s="109"/>
      <c r="V279" s="109"/>
      <c r="W279" s="109"/>
      <c r="X279" s="109"/>
      <c r="Y279" s="109"/>
      <c r="Z279" s="109"/>
    </row>
    <row r="280" ht="29.25" customHeight="1">
      <c r="A280" s="109"/>
      <c r="B280" s="109"/>
      <c r="C280" s="109"/>
      <c r="D280" s="109"/>
      <c r="E280" s="109"/>
      <c r="F280" s="109"/>
      <c r="G280" s="109"/>
      <c r="H280" s="317"/>
      <c r="I280" s="109"/>
      <c r="J280" s="109"/>
      <c r="K280" s="109"/>
      <c r="L280" s="109"/>
      <c r="M280" s="109"/>
      <c r="N280" s="109"/>
      <c r="O280" s="109"/>
      <c r="P280" s="109"/>
      <c r="Q280" s="109"/>
      <c r="R280" s="109"/>
      <c r="S280" s="109"/>
      <c r="T280" s="109"/>
      <c r="U280" s="109"/>
      <c r="V280" s="109"/>
      <c r="W280" s="109"/>
      <c r="X280" s="109"/>
      <c r="Y280" s="109"/>
      <c r="Z280" s="109"/>
    </row>
    <row r="281" ht="29.25" customHeight="1">
      <c r="A281" s="109"/>
      <c r="B281" s="109"/>
      <c r="C281" s="109"/>
      <c r="D281" s="109"/>
      <c r="E281" s="109"/>
      <c r="F281" s="109"/>
      <c r="G281" s="109"/>
      <c r="H281" s="317"/>
      <c r="I281" s="109"/>
      <c r="J281" s="109"/>
      <c r="K281" s="109"/>
      <c r="L281" s="109"/>
      <c r="M281" s="109"/>
      <c r="N281" s="109"/>
      <c r="O281" s="109"/>
      <c r="P281" s="109"/>
      <c r="Q281" s="109"/>
      <c r="R281" s="109"/>
      <c r="S281" s="109"/>
      <c r="T281" s="109"/>
      <c r="U281" s="109"/>
      <c r="V281" s="109"/>
      <c r="W281" s="109"/>
      <c r="X281" s="109"/>
      <c r="Y281" s="109"/>
      <c r="Z281" s="109"/>
    </row>
    <row r="282" ht="29.25" customHeight="1">
      <c r="A282" s="109"/>
      <c r="B282" s="109"/>
      <c r="C282" s="109"/>
      <c r="D282" s="109"/>
      <c r="E282" s="109"/>
      <c r="F282" s="109"/>
      <c r="G282" s="109"/>
      <c r="H282" s="317"/>
      <c r="I282" s="109"/>
      <c r="J282" s="109"/>
      <c r="K282" s="109"/>
      <c r="L282" s="109"/>
      <c r="M282" s="109"/>
      <c r="N282" s="109"/>
      <c r="O282" s="109"/>
      <c r="P282" s="109"/>
      <c r="Q282" s="109"/>
      <c r="R282" s="109"/>
      <c r="S282" s="109"/>
      <c r="T282" s="109"/>
      <c r="U282" s="109"/>
      <c r="V282" s="109"/>
      <c r="W282" s="109"/>
      <c r="X282" s="109"/>
      <c r="Y282" s="109"/>
      <c r="Z282" s="109"/>
    </row>
    <row r="283" ht="29.25" customHeight="1">
      <c r="A283" s="109"/>
      <c r="B283" s="109"/>
      <c r="C283" s="109"/>
      <c r="D283" s="109"/>
      <c r="E283" s="109"/>
      <c r="F283" s="109"/>
      <c r="G283" s="109"/>
      <c r="H283" s="317"/>
      <c r="I283" s="109"/>
      <c r="J283" s="109"/>
      <c r="K283" s="109"/>
      <c r="L283" s="109"/>
      <c r="M283" s="109"/>
      <c r="N283" s="109"/>
      <c r="O283" s="109"/>
      <c r="P283" s="109"/>
      <c r="Q283" s="109"/>
      <c r="R283" s="109"/>
      <c r="S283" s="109"/>
      <c r="T283" s="109"/>
      <c r="U283" s="109"/>
      <c r="V283" s="109"/>
      <c r="W283" s="109"/>
      <c r="X283" s="109"/>
      <c r="Y283" s="109"/>
      <c r="Z283" s="109"/>
    </row>
    <row r="284" ht="29.25" customHeight="1">
      <c r="A284" s="109"/>
      <c r="B284" s="109"/>
      <c r="C284" s="109"/>
      <c r="D284" s="109"/>
      <c r="E284" s="109"/>
      <c r="F284" s="109"/>
      <c r="G284" s="109"/>
      <c r="H284" s="317"/>
      <c r="I284" s="109"/>
      <c r="J284" s="109"/>
      <c r="K284" s="109"/>
      <c r="L284" s="109"/>
      <c r="M284" s="109"/>
      <c r="N284" s="109"/>
      <c r="O284" s="109"/>
      <c r="P284" s="109"/>
      <c r="Q284" s="109"/>
      <c r="R284" s="109"/>
      <c r="S284" s="109"/>
      <c r="T284" s="109"/>
      <c r="U284" s="109"/>
      <c r="V284" s="109"/>
      <c r="W284" s="109"/>
      <c r="X284" s="109"/>
      <c r="Y284" s="109"/>
      <c r="Z284" s="109"/>
    </row>
    <row r="285" ht="29.25" customHeight="1">
      <c r="A285" s="109"/>
      <c r="B285" s="109"/>
      <c r="C285" s="109"/>
      <c r="D285" s="109"/>
      <c r="E285" s="109"/>
      <c r="F285" s="109"/>
      <c r="G285" s="109"/>
      <c r="H285" s="317"/>
      <c r="I285" s="109"/>
      <c r="J285" s="109"/>
      <c r="K285" s="109"/>
      <c r="L285" s="109"/>
      <c r="M285" s="109"/>
      <c r="N285" s="109"/>
      <c r="O285" s="109"/>
      <c r="P285" s="109"/>
      <c r="Q285" s="109"/>
      <c r="R285" s="109"/>
      <c r="S285" s="109"/>
      <c r="T285" s="109"/>
      <c r="U285" s="109"/>
      <c r="V285" s="109"/>
      <c r="W285" s="109"/>
      <c r="X285" s="109"/>
      <c r="Y285" s="109"/>
      <c r="Z285" s="109"/>
    </row>
    <row r="286" ht="29.25" customHeight="1">
      <c r="A286" s="109"/>
      <c r="B286" s="109"/>
      <c r="C286" s="109"/>
      <c r="D286" s="109"/>
      <c r="E286" s="109"/>
      <c r="F286" s="109"/>
      <c r="G286" s="109"/>
      <c r="H286" s="317"/>
      <c r="I286" s="109"/>
      <c r="J286" s="109"/>
      <c r="K286" s="109"/>
      <c r="L286" s="109"/>
      <c r="M286" s="109"/>
      <c r="N286" s="109"/>
      <c r="O286" s="109"/>
      <c r="P286" s="109"/>
      <c r="Q286" s="109"/>
      <c r="R286" s="109"/>
      <c r="S286" s="109"/>
      <c r="T286" s="109"/>
      <c r="U286" s="109"/>
      <c r="V286" s="109"/>
      <c r="W286" s="109"/>
      <c r="X286" s="109"/>
      <c r="Y286" s="109"/>
      <c r="Z286" s="109"/>
    </row>
    <row r="287" ht="29.25" customHeight="1">
      <c r="A287" s="109"/>
      <c r="B287" s="109"/>
      <c r="C287" s="109"/>
      <c r="D287" s="109"/>
      <c r="E287" s="109"/>
      <c r="F287" s="109"/>
      <c r="G287" s="109"/>
      <c r="H287" s="317"/>
      <c r="I287" s="109"/>
      <c r="J287" s="109"/>
      <c r="K287" s="109"/>
      <c r="L287" s="109"/>
      <c r="M287" s="109"/>
      <c r="N287" s="109"/>
      <c r="O287" s="109"/>
      <c r="P287" s="109"/>
      <c r="Q287" s="109"/>
      <c r="R287" s="109"/>
      <c r="S287" s="109"/>
      <c r="T287" s="109"/>
      <c r="U287" s="109"/>
      <c r="V287" s="109"/>
      <c r="W287" s="109"/>
      <c r="X287" s="109"/>
      <c r="Y287" s="109"/>
      <c r="Z287" s="109"/>
    </row>
    <row r="288" ht="29.25" customHeight="1">
      <c r="A288" s="109"/>
      <c r="B288" s="109"/>
      <c r="C288" s="109"/>
      <c r="D288" s="109"/>
      <c r="E288" s="109"/>
      <c r="F288" s="109"/>
      <c r="G288" s="109"/>
      <c r="H288" s="317"/>
      <c r="I288" s="109"/>
      <c r="J288" s="109"/>
      <c r="K288" s="109"/>
      <c r="L288" s="109"/>
      <c r="M288" s="109"/>
      <c r="N288" s="109"/>
      <c r="O288" s="109"/>
      <c r="P288" s="109"/>
      <c r="Q288" s="109"/>
      <c r="R288" s="109"/>
      <c r="S288" s="109"/>
      <c r="T288" s="109"/>
      <c r="U288" s="109"/>
      <c r="V288" s="109"/>
      <c r="W288" s="109"/>
      <c r="X288" s="109"/>
      <c r="Y288" s="109"/>
      <c r="Z288" s="109"/>
    </row>
    <row r="289" ht="29.25" customHeight="1">
      <c r="A289" s="109"/>
      <c r="B289" s="109"/>
      <c r="C289" s="109"/>
      <c r="D289" s="109"/>
      <c r="E289" s="109"/>
      <c r="F289" s="109"/>
      <c r="G289" s="109"/>
      <c r="H289" s="317"/>
      <c r="I289" s="109"/>
      <c r="J289" s="109"/>
      <c r="K289" s="109"/>
      <c r="L289" s="109"/>
      <c r="M289" s="109"/>
      <c r="N289" s="109"/>
      <c r="O289" s="109"/>
      <c r="P289" s="109"/>
      <c r="Q289" s="109"/>
      <c r="R289" s="109"/>
      <c r="S289" s="109"/>
      <c r="T289" s="109"/>
      <c r="U289" s="109"/>
      <c r="V289" s="109"/>
      <c r="W289" s="109"/>
      <c r="X289" s="109"/>
      <c r="Y289" s="109"/>
      <c r="Z289" s="109"/>
    </row>
    <row r="290" ht="29.25" customHeight="1">
      <c r="A290" s="109"/>
      <c r="B290" s="109"/>
      <c r="C290" s="109"/>
      <c r="D290" s="109"/>
      <c r="E290" s="109"/>
      <c r="F290" s="109"/>
      <c r="G290" s="109"/>
      <c r="H290" s="317"/>
      <c r="I290" s="109"/>
      <c r="J290" s="109"/>
      <c r="K290" s="109"/>
      <c r="L290" s="109"/>
      <c r="M290" s="109"/>
      <c r="N290" s="109"/>
      <c r="O290" s="109"/>
      <c r="P290" s="109"/>
      <c r="Q290" s="109"/>
      <c r="R290" s="109"/>
      <c r="S290" s="109"/>
      <c r="T290" s="109"/>
      <c r="U290" s="109"/>
      <c r="V290" s="109"/>
      <c r="W290" s="109"/>
      <c r="X290" s="109"/>
      <c r="Y290" s="109"/>
      <c r="Z290" s="109"/>
    </row>
    <row r="291" ht="29.25" customHeight="1">
      <c r="A291" s="109"/>
      <c r="B291" s="109"/>
      <c r="C291" s="109"/>
      <c r="D291" s="109"/>
      <c r="E291" s="109"/>
      <c r="F291" s="109"/>
      <c r="G291" s="109"/>
      <c r="H291" s="317"/>
      <c r="I291" s="109"/>
      <c r="J291" s="109"/>
      <c r="K291" s="109"/>
      <c r="L291" s="109"/>
      <c r="M291" s="109"/>
      <c r="N291" s="109"/>
      <c r="O291" s="109"/>
      <c r="P291" s="109"/>
      <c r="Q291" s="109"/>
      <c r="R291" s="109"/>
      <c r="S291" s="109"/>
      <c r="T291" s="109"/>
      <c r="U291" s="109"/>
      <c r="V291" s="109"/>
      <c r="W291" s="109"/>
      <c r="X291" s="109"/>
      <c r="Y291" s="109"/>
      <c r="Z291" s="109"/>
    </row>
    <row r="292" ht="29.25" customHeight="1">
      <c r="A292" s="109"/>
      <c r="B292" s="109"/>
      <c r="C292" s="109"/>
      <c r="D292" s="109"/>
      <c r="E292" s="109"/>
      <c r="F292" s="109"/>
      <c r="G292" s="109"/>
      <c r="H292" s="317"/>
      <c r="I292" s="109"/>
      <c r="J292" s="109"/>
      <c r="K292" s="109"/>
      <c r="L292" s="109"/>
      <c r="M292" s="109"/>
      <c r="N292" s="109"/>
      <c r="O292" s="109"/>
      <c r="P292" s="109"/>
      <c r="Q292" s="109"/>
      <c r="R292" s="109"/>
      <c r="S292" s="109"/>
      <c r="T292" s="109"/>
      <c r="U292" s="109"/>
      <c r="V292" s="109"/>
      <c r="W292" s="109"/>
      <c r="X292" s="109"/>
      <c r="Y292" s="109"/>
      <c r="Z292" s="109"/>
    </row>
    <row r="293" ht="29.25" customHeight="1">
      <c r="A293" s="109"/>
      <c r="B293" s="109"/>
      <c r="C293" s="109"/>
      <c r="D293" s="109"/>
      <c r="E293" s="109"/>
      <c r="F293" s="109"/>
      <c r="G293" s="109"/>
      <c r="H293" s="317"/>
      <c r="I293" s="109"/>
      <c r="J293" s="109"/>
      <c r="K293" s="109"/>
      <c r="L293" s="109"/>
      <c r="M293" s="109"/>
      <c r="N293" s="109"/>
      <c r="O293" s="109"/>
      <c r="P293" s="109"/>
      <c r="Q293" s="109"/>
      <c r="R293" s="109"/>
      <c r="S293" s="109"/>
      <c r="T293" s="109"/>
      <c r="U293" s="109"/>
      <c r="V293" s="109"/>
      <c r="W293" s="109"/>
      <c r="X293" s="109"/>
      <c r="Y293" s="109"/>
      <c r="Z293" s="109"/>
    </row>
    <row r="294" ht="29.25" customHeight="1">
      <c r="A294" s="109"/>
      <c r="B294" s="109"/>
      <c r="C294" s="109"/>
      <c r="D294" s="109"/>
      <c r="E294" s="109"/>
      <c r="F294" s="109"/>
      <c r="G294" s="109"/>
      <c r="H294" s="317"/>
      <c r="I294" s="109"/>
      <c r="J294" s="109"/>
      <c r="K294" s="109"/>
      <c r="L294" s="109"/>
      <c r="M294" s="109"/>
      <c r="N294" s="109"/>
      <c r="O294" s="109"/>
      <c r="P294" s="109"/>
      <c r="Q294" s="109"/>
      <c r="R294" s="109"/>
      <c r="S294" s="109"/>
      <c r="T294" s="109"/>
      <c r="U294" s="109"/>
      <c r="V294" s="109"/>
      <c r="W294" s="109"/>
      <c r="X294" s="109"/>
      <c r="Y294" s="109"/>
      <c r="Z294" s="109"/>
    </row>
    <row r="295" ht="29.25" customHeight="1">
      <c r="A295" s="109"/>
      <c r="B295" s="109"/>
      <c r="C295" s="109"/>
      <c r="D295" s="109"/>
      <c r="E295" s="109"/>
      <c r="F295" s="109"/>
      <c r="G295" s="109"/>
      <c r="H295" s="317"/>
      <c r="I295" s="109"/>
      <c r="J295" s="109"/>
      <c r="K295" s="109"/>
      <c r="L295" s="109"/>
      <c r="M295" s="109"/>
      <c r="N295" s="109"/>
      <c r="O295" s="109"/>
      <c r="P295" s="109"/>
      <c r="Q295" s="109"/>
      <c r="R295" s="109"/>
      <c r="S295" s="109"/>
      <c r="T295" s="109"/>
      <c r="U295" s="109"/>
      <c r="V295" s="109"/>
      <c r="W295" s="109"/>
      <c r="X295" s="109"/>
      <c r="Y295" s="109"/>
      <c r="Z295" s="109"/>
    </row>
    <row r="296" ht="29.25" customHeight="1">
      <c r="A296" s="109"/>
      <c r="B296" s="109"/>
      <c r="C296" s="109"/>
      <c r="D296" s="109"/>
      <c r="E296" s="109"/>
      <c r="F296" s="109"/>
      <c r="G296" s="109"/>
      <c r="H296" s="317"/>
      <c r="I296" s="109"/>
      <c r="J296" s="109"/>
      <c r="K296" s="109"/>
      <c r="L296" s="109"/>
      <c r="M296" s="109"/>
      <c r="N296" s="109"/>
      <c r="O296" s="109"/>
      <c r="P296" s="109"/>
      <c r="Q296" s="109"/>
      <c r="R296" s="109"/>
      <c r="S296" s="109"/>
      <c r="T296" s="109"/>
      <c r="U296" s="109"/>
      <c r="V296" s="109"/>
      <c r="W296" s="109"/>
      <c r="X296" s="109"/>
      <c r="Y296" s="109"/>
      <c r="Z296" s="109"/>
    </row>
    <row r="297" ht="29.25" customHeight="1">
      <c r="A297" s="109"/>
      <c r="B297" s="109"/>
      <c r="C297" s="109"/>
      <c r="D297" s="109"/>
      <c r="E297" s="109"/>
      <c r="F297" s="109"/>
      <c r="G297" s="109"/>
      <c r="H297" s="317"/>
      <c r="I297" s="109"/>
      <c r="J297" s="109"/>
      <c r="K297" s="109"/>
      <c r="L297" s="109"/>
      <c r="M297" s="109"/>
      <c r="N297" s="109"/>
      <c r="O297" s="109"/>
      <c r="P297" s="109"/>
      <c r="Q297" s="109"/>
      <c r="R297" s="109"/>
      <c r="S297" s="109"/>
      <c r="T297" s="109"/>
      <c r="U297" s="109"/>
      <c r="V297" s="109"/>
      <c r="W297" s="109"/>
      <c r="X297" s="109"/>
      <c r="Y297" s="109"/>
      <c r="Z297" s="109"/>
    </row>
    <row r="298" ht="29.25" customHeight="1">
      <c r="A298" s="109"/>
      <c r="B298" s="109"/>
      <c r="C298" s="109"/>
      <c r="D298" s="109"/>
      <c r="E298" s="109"/>
      <c r="F298" s="109"/>
      <c r="G298" s="109"/>
      <c r="H298" s="317"/>
      <c r="I298" s="109"/>
      <c r="J298" s="109"/>
      <c r="K298" s="109"/>
      <c r="L298" s="109"/>
      <c r="M298" s="109"/>
      <c r="N298" s="109"/>
      <c r="O298" s="109"/>
      <c r="P298" s="109"/>
      <c r="Q298" s="109"/>
      <c r="R298" s="109"/>
      <c r="S298" s="109"/>
      <c r="T298" s="109"/>
      <c r="U298" s="109"/>
      <c r="V298" s="109"/>
      <c r="W298" s="109"/>
      <c r="X298" s="109"/>
      <c r="Y298" s="109"/>
      <c r="Z298" s="109"/>
    </row>
    <row r="299" ht="29.25" customHeight="1">
      <c r="A299" s="109"/>
      <c r="B299" s="109"/>
      <c r="C299" s="109"/>
      <c r="D299" s="109"/>
      <c r="E299" s="109"/>
      <c r="F299" s="109"/>
      <c r="G299" s="109"/>
      <c r="H299" s="317"/>
      <c r="I299" s="109"/>
      <c r="J299" s="109"/>
      <c r="K299" s="109"/>
      <c r="L299" s="109"/>
      <c r="M299" s="109"/>
      <c r="N299" s="109"/>
      <c r="O299" s="109"/>
      <c r="P299" s="109"/>
      <c r="Q299" s="109"/>
      <c r="R299" s="109"/>
      <c r="S299" s="109"/>
      <c r="T299" s="109"/>
      <c r="U299" s="109"/>
      <c r="V299" s="109"/>
      <c r="W299" s="109"/>
      <c r="X299" s="109"/>
      <c r="Y299" s="109"/>
      <c r="Z299" s="109"/>
    </row>
    <row r="300" ht="29.25" customHeight="1">
      <c r="A300" s="109"/>
      <c r="B300" s="109"/>
      <c r="C300" s="109"/>
      <c r="D300" s="109"/>
      <c r="E300" s="109"/>
      <c r="F300" s="109"/>
      <c r="G300" s="109"/>
      <c r="H300" s="317"/>
      <c r="I300" s="109"/>
      <c r="J300" s="109"/>
      <c r="K300" s="109"/>
      <c r="L300" s="109"/>
      <c r="M300" s="109"/>
      <c r="N300" s="109"/>
      <c r="O300" s="109"/>
      <c r="P300" s="109"/>
      <c r="Q300" s="109"/>
      <c r="R300" s="109"/>
      <c r="S300" s="109"/>
      <c r="T300" s="109"/>
      <c r="U300" s="109"/>
      <c r="V300" s="109"/>
      <c r="W300" s="109"/>
      <c r="X300" s="109"/>
      <c r="Y300" s="109"/>
      <c r="Z300" s="109"/>
    </row>
    <row r="301" ht="29.25" customHeight="1">
      <c r="A301" s="109"/>
      <c r="B301" s="109"/>
      <c r="C301" s="109"/>
      <c r="D301" s="109"/>
      <c r="E301" s="109"/>
      <c r="F301" s="109"/>
      <c r="G301" s="109"/>
      <c r="H301" s="317"/>
      <c r="I301" s="109"/>
      <c r="J301" s="109"/>
      <c r="K301" s="109"/>
      <c r="L301" s="109"/>
      <c r="M301" s="109"/>
      <c r="N301" s="109"/>
      <c r="O301" s="109"/>
      <c r="P301" s="109"/>
      <c r="Q301" s="109"/>
      <c r="R301" s="109"/>
      <c r="S301" s="109"/>
      <c r="T301" s="109"/>
      <c r="U301" s="109"/>
      <c r="V301" s="109"/>
      <c r="W301" s="109"/>
      <c r="X301" s="109"/>
      <c r="Y301" s="109"/>
      <c r="Z301" s="109"/>
    </row>
    <row r="302" ht="29.25" customHeight="1">
      <c r="A302" s="109"/>
      <c r="B302" s="109"/>
      <c r="C302" s="109"/>
      <c r="D302" s="109"/>
      <c r="E302" s="109"/>
      <c r="F302" s="109"/>
      <c r="G302" s="109"/>
      <c r="H302" s="317"/>
      <c r="I302" s="109"/>
      <c r="J302" s="109"/>
      <c r="K302" s="109"/>
      <c r="L302" s="109"/>
      <c r="M302" s="109"/>
      <c r="N302" s="109"/>
      <c r="O302" s="109"/>
      <c r="P302" s="109"/>
      <c r="Q302" s="109"/>
      <c r="R302" s="109"/>
      <c r="S302" s="109"/>
      <c r="T302" s="109"/>
      <c r="U302" s="109"/>
      <c r="V302" s="109"/>
      <c r="W302" s="109"/>
      <c r="X302" s="109"/>
      <c r="Y302" s="109"/>
      <c r="Z302" s="109"/>
    </row>
    <row r="303" ht="29.25" customHeight="1">
      <c r="A303" s="109"/>
      <c r="B303" s="109"/>
      <c r="C303" s="109"/>
      <c r="D303" s="109"/>
      <c r="E303" s="109"/>
      <c r="F303" s="109"/>
      <c r="G303" s="109"/>
      <c r="H303" s="317"/>
      <c r="I303" s="109"/>
      <c r="J303" s="109"/>
      <c r="K303" s="109"/>
      <c r="L303" s="109"/>
      <c r="M303" s="109"/>
      <c r="N303" s="109"/>
      <c r="O303" s="109"/>
      <c r="P303" s="109"/>
      <c r="Q303" s="109"/>
      <c r="R303" s="109"/>
      <c r="S303" s="109"/>
      <c r="T303" s="109"/>
      <c r="U303" s="109"/>
      <c r="V303" s="109"/>
      <c r="W303" s="109"/>
      <c r="X303" s="109"/>
      <c r="Y303" s="109"/>
      <c r="Z303" s="109"/>
    </row>
    <row r="304" ht="29.25" customHeight="1">
      <c r="A304" s="109"/>
      <c r="B304" s="109"/>
      <c r="C304" s="109"/>
      <c r="D304" s="109"/>
      <c r="E304" s="109"/>
      <c r="F304" s="109"/>
      <c r="G304" s="109"/>
      <c r="H304" s="317"/>
      <c r="I304" s="109"/>
      <c r="J304" s="109"/>
      <c r="K304" s="109"/>
      <c r="L304" s="109"/>
      <c r="M304" s="109"/>
      <c r="N304" s="109"/>
      <c r="O304" s="109"/>
      <c r="P304" s="109"/>
      <c r="Q304" s="109"/>
      <c r="R304" s="109"/>
      <c r="S304" s="109"/>
      <c r="T304" s="109"/>
      <c r="U304" s="109"/>
      <c r="V304" s="109"/>
      <c r="W304" s="109"/>
      <c r="X304" s="109"/>
      <c r="Y304" s="109"/>
      <c r="Z304" s="109"/>
    </row>
    <row r="305" ht="29.25" customHeight="1">
      <c r="A305" s="109"/>
      <c r="B305" s="109"/>
      <c r="C305" s="109"/>
      <c r="D305" s="109"/>
      <c r="E305" s="109"/>
      <c r="F305" s="109"/>
      <c r="G305" s="109"/>
      <c r="H305" s="317"/>
      <c r="I305" s="109"/>
      <c r="J305" s="109"/>
      <c r="K305" s="109"/>
      <c r="L305" s="109"/>
      <c r="M305" s="109"/>
      <c r="N305" s="109"/>
      <c r="O305" s="109"/>
      <c r="P305" s="109"/>
      <c r="Q305" s="109"/>
      <c r="R305" s="109"/>
      <c r="S305" s="109"/>
      <c r="T305" s="109"/>
      <c r="U305" s="109"/>
      <c r="V305" s="109"/>
      <c r="W305" s="109"/>
      <c r="X305" s="109"/>
      <c r="Y305" s="109"/>
      <c r="Z305" s="109"/>
    </row>
    <row r="306" ht="29.25" customHeight="1">
      <c r="A306" s="109"/>
      <c r="B306" s="109"/>
      <c r="C306" s="109"/>
      <c r="D306" s="109"/>
      <c r="E306" s="109"/>
      <c r="F306" s="109"/>
      <c r="G306" s="109"/>
      <c r="H306" s="317"/>
      <c r="I306" s="109"/>
      <c r="J306" s="109"/>
      <c r="K306" s="109"/>
      <c r="L306" s="109"/>
      <c r="M306" s="109"/>
      <c r="N306" s="109"/>
      <c r="O306" s="109"/>
      <c r="P306" s="109"/>
      <c r="Q306" s="109"/>
      <c r="R306" s="109"/>
      <c r="S306" s="109"/>
      <c r="T306" s="109"/>
      <c r="U306" s="109"/>
      <c r="V306" s="109"/>
      <c r="W306" s="109"/>
      <c r="X306" s="109"/>
      <c r="Y306" s="109"/>
      <c r="Z306" s="109"/>
    </row>
    <row r="307" ht="29.25" customHeight="1">
      <c r="A307" s="109"/>
      <c r="B307" s="109"/>
      <c r="C307" s="109"/>
      <c r="D307" s="109"/>
      <c r="E307" s="109"/>
      <c r="F307" s="109"/>
      <c r="G307" s="109"/>
      <c r="H307" s="317"/>
      <c r="I307" s="109"/>
      <c r="J307" s="109"/>
      <c r="K307" s="109"/>
      <c r="L307" s="109"/>
      <c r="M307" s="109"/>
      <c r="N307" s="109"/>
      <c r="O307" s="109"/>
      <c r="P307" s="109"/>
      <c r="Q307" s="109"/>
      <c r="R307" s="109"/>
      <c r="S307" s="109"/>
      <c r="T307" s="109"/>
      <c r="U307" s="109"/>
      <c r="V307" s="109"/>
      <c r="W307" s="109"/>
      <c r="X307" s="109"/>
      <c r="Y307" s="109"/>
      <c r="Z307" s="109"/>
    </row>
    <row r="308" ht="29.25" customHeight="1">
      <c r="A308" s="109"/>
      <c r="B308" s="109"/>
      <c r="C308" s="109"/>
      <c r="D308" s="109"/>
      <c r="E308" s="109"/>
      <c r="F308" s="109"/>
      <c r="G308" s="109"/>
      <c r="H308" s="317"/>
      <c r="I308" s="109"/>
      <c r="J308" s="109"/>
      <c r="K308" s="109"/>
      <c r="L308" s="109"/>
      <c r="M308" s="109"/>
      <c r="N308" s="109"/>
      <c r="O308" s="109"/>
      <c r="P308" s="109"/>
      <c r="Q308" s="109"/>
      <c r="R308" s="109"/>
      <c r="S308" s="109"/>
      <c r="T308" s="109"/>
      <c r="U308" s="109"/>
      <c r="V308" s="109"/>
      <c r="W308" s="109"/>
      <c r="X308" s="109"/>
      <c r="Y308" s="109"/>
      <c r="Z308" s="109"/>
    </row>
    <row r="309" ht="29.25" customHeight="1">
      <c r="A309" s="109"/>
      <c r="B309" s="109"/>
      <c r="C309" s="109"/>
      <c r="D309" s="109"/>
      <c r="E309" s="109"/>
      <c r="F309" s="109"/>
      <c r="G309" s="109"/>
      <c r="H309" s="317"/>
      <c r="I309" s="109"/>
      <c r="J309" s="109"/>
      <c r="K309" s="109"/>
      <c r="L309" s="109"/>
      <c r="M309" s="109"/>
      <c r="N309" s="109"/>
      <c r="O309" s="109"/>
      <c r="P309" s="109"/>
      <c r="Q309" s="109"/>
      <c r="R309" s="109"/>
      <c r="S309" s="109"/>
      <c r="T309" s="109"/>
      <c r="U309" s="109"/>
      <c r="V309" s="109"/>
      <c r="W309" s="109"/>
      <c r="X309" s="109"/>
      <c r="Y309" s="109"/>
      <c r="Z309" s="109"/>
    </row>
    <row r="310" ht="29.25" customHeight="1">
      <c r="A310" s="109"/>
      <c r="B310" s="109"/>
      <c r="C310" s="109"/>
      <c r="D310" s="109"/>
      <c r="E310" s="109"/>
      <c r="F310" s="109"/>
      <c r="G310" s="109"/>
      <c r="H310" s="317"/>
      <c r="I310" s="109"/>
      <c r="J310" s="109"/>
      <c r="K310" s="109"/>
      <c r="L310" s="109"/>
      <c r="M310" s="109"/>
      <c r="N310" s="109"/>
      <c r="O310" s="109"/>
      <c r="P310" s="109"/>
      <c r="Q310" s="109"/>
      <c r="R310" s="109"/>
      <c r="S310" s="109"/>
      <c r="T310" s="109"/>
      <c r="U310" s="109"/>
      <c r="V310" s="109"/>
      <c r="W310" s="109"/>
      <c r="X310" s="109"/>
      <c r="Y310" s="109"/>
      <c r="Z310" s="109"/>
    </row>
    <row r="311" ht="29.25" customHeight="1">
      <c r="A311" s="109"/>
      <c r="B311" s="109"/>
      <c r="C311" s="109"/>
      <c r="D311" s="109"/>
      <c r="E311" s="109"/>
      <c r="F311" s="109"/>
      <c r="G311" s="109"/>
      <c r="H311" s="317"/>
      <c r="I311" s="109"/>
      <c r="J311" s="109"/>
      <c r="K311" s="109"/>
      <c r="L311" s="109"/>
      <c r="M311" s="109"/>
      <c r="N311" s="109"/>
      <c r="O311" s="109"/>
      <c r="P311" s="109"/>
      <c r="Q311" s="109"/>
      <c r="R311" s="109"/>
      <c r="S311" s="109"/>
      <c r="T311" s="109"/>
      <c r="U311" s="109"/>
      <c r="V311" s="109"/>
      <c r="W311" s="109"/>
      <c r="X311" s="109"/>
      <c r="Y311" s="109"/>
      <c r="Z311" s="109"/>
    </row>
    <row r="312" ht="29.25" customHeight="1">
      <c r="A312" s="109"/>
      <c r="B312" s="109"/>
      <c r="C312" s="109"/>
      <c r="D312" s="109"/>
      <c r="E312" s="109"/>
      <c r="F312" s="109"/>
      <c r="G312" s="109"/>
      <c r="H312" s="317"/>
      <c r="I312" s="109"/>
      <c r="J312" s="109"/>
      <c r="K312" s="109"/>
      <c r="L312" s="109"/>
      <c r="M312" s="109"/>
      <c r="N312" s="109"/>
      <c r="O312" s="109"/>
      <c r="P312" s="109"/>
      <c r="Q312" s="109"/>
      <c r="R312" s="109"/>
      <c r="S312" s="109"/>
      <c r="T312" s="109"/>
      <c r="U312" s="109"/>
      <c r="V312" s="109"/>
      <c r="W312" s="109"/>
      <c r="X312" s="109"/>
      <c r="Y312" s="109"/>
      <c r="Z312" s="109"/>
    </row>
    <row r="313" ht="29.25" customHeight="1">
      <c r="A313" s="109"/>
      <c r="B313" s="109"/>
      <c r="C313" s="109"/>
      <c r="D313" s="109"/>
      <c r="E313" s="109"/>
      <c r="F313" s="109"/>
      <c r="G313" s="109"/>
      <c r="H313" s="317"/>
      <c r="I313" s="109"/>
      <c r="J313" s="109"/>
      <c r="K313" s="109"/>
      <c r="L313" s="109"/>
      <c r="M313" s="109"/>
      <c r="N313" s="109"/>
      <c r="O313" s="109"/>
      <c r="P313" s="109"/>
      <c r="Q313" s="109"/>
      <c r="R313" s="109"/>
      <c r="S313" s="109"/>
      <c r="T313" s="109"/>
      <c r="U313" s="109"/>
      <c r="V313" s="109"/>
      <c r="W313" s="109"/>
      <c r="X313" s="109"/>
      <c r="Y313" s="109"/>
      <c r="Z313" s="109"/>
    </row>
    <row r="314" ht="29.25" customHeight="1">
      <c r="A314" s="109"/>
      <c r="B314" s="109"/>
      <c r="C314" s="109"/>
      <c r="D314" s="109"/>
      <c r="E314" s="109"/>
      <c r="F314" s="109"/>
      <c r="G314" s="109"/>
      <c r="H314" s="317"/>
      <c r="I314" s="109"/>
      <c r="J314" s="109"/>
      <c r="K314" s="109"/>
      <c r="L314" s="109"/>
      <c r="M314" s="109"/>
      <c r="N314" s="109"/>
      <c r="O314" s="109"/>
      <c r="P314" s="109"/>
      <c r="Q314" s="109"/>
      <c r="R314" s="109"/>
      <c r="S314" s="109"/>
      <c r="T314" s="109"/>
      <c r="U314" s="109"/>
      <c r="V314" s="109"/>
      <c r="W314" s="109"/>
      <c r="X314" s="109"/>
      <c r="Y314" s="109"/>
      <c r="Z314" s="109"/>
    </row>
    <row r="315" ht="29.25" customHeight="1">
      <c r="A315" s="109"/>
      <c r="B315" s="109"/>
      <c r="C315" s="109"/>
      <c r="D315" s="109"/>
      <c r="E315" s="109"/>
      <c r="F315" s="109"/>
      <c r="G315" s="109"/>
      <c r="H315" s="317"/>
      <c r="I315" s="109"/>
      <c r="J315" s="109"/>
      <c r="K315" s="109"/>
      <c r="L315" s="109"/>
      <c r="M315" s="109"/>
      <c r="N315" s="109"/>
      <c r="O315" s="109"/>
      <c r="P315" s="109"/>
      <c r="Q315" s="109"/>
      <c r="R315" s="109"/>
      <c r="S315" s="109"/>
      <c r="T315" s="109"/>
      <c r="U315" s="109"/>
      <c r="V315" s="109"/>
      <c r="W315" s="109"/>
      <c r="X315" s="109"/>
      <c r="Y315" s="109"/>
      <c r="Z315" s="109"/>
    </row>
    <row r="316" ht="29.25" customHeight="1">
      <c r="A316" s="109"/>
      <c r="B316" s="109"/>
      <c r="C316" s="109"/>
      <c r="D316" s="109"/>
      <c r="E316" s="109"/>
      <c r="F316" s="109"/>
      <c r="G316" s="109"/>
      <c r="H316" s="317"/>
      <c r="I316" s="109"/>
      <c r="J316" s="109"/>
      <c r="K316" s="109"/>
      <c r="L316" s="109"/>
      <c r="M316" s="109"/>
      <c r="N316" s="109"/>
      <c r="O316" s="109"/>
      <c r="P316" s="109"/>
      <c r="Q316" s="109"/>
      <c r="R316" s="109"/>
      <c r="S316" s="109"/>
      <c r="T316" s="109"/>
      <c r="U316" s="109"/>
      <c r="V316" s="109"/>
      <c r="W316" s="109"/>
      <c r="X316" s="109"/>
      <c r="Y316" s="109"/>
      <c r="Z316" s="109"/>
    </row>
    <row r="317" ht="29.25" customHeight="1">
      <c r="A317" s="109"/>
      <c r="B317" s="109"/>
      <c r="C317" s="109"/>
      <c r="D317" s="109"/>
      <c r="E317" s="109"/>
      <c r="F317" s="109"/>
      <c r="G317" s="109"/>
      <c r="H317" s="317"/>
      <c r="I317" s="109"/>
      <c r="J317" s="109"/>
      <c r="K317" s="109"/>
      <c r="L317" s="109"/>
      <c r="M317" s="109"/>
      <c r="N317" s="109"/>
      <c r="O317" s="109"/>
      <c r="P317" s="109"/>
      <c r="Q317" s="109"/>
      <c r="R317" s="109"/>
      <c r="S317" s="109"/>
      <c r="T317" s="109"/>
      <c r="U317" s="109"/>
      <c r="V317" s="109"/>
      <c r="W317" s="109"/>
      <c r="X317" s="109"/>
      <c r="Y317" s="109"/>
      <c r="Z317" s="109"/>
    </row>
    <row r="318" ht="29.25" customHeight="1">
      <c r="A318" s="109"/>
      <c r="B318" s="109"/>
      <c r="C318" s="109"/>
      <c r="D318" s="109"/>
      <c r="E318" s="109"/>
      <c r="F318" s="109"/>
      <c r="G318" s="109"/>
      <c r="H318" s="317"/>
      <c r="I318" s="109"/>
      <c r="J318" s="109"/>
      <c r="K318" s="109"/>
      <c r="L318" s="109"/>
      <c r="M318" s="109"/>
      <c r="N318" s="109"/>
      <c r="O318" s="109"/>
      <c r="P318" s="109"/>
      <c r="Q318" s="109"/>
      <c r="R318" s="109"/>
      <c r="S318" s="109"/>
      <c r="T318" s="109"/>
      <c r="U318" s="109"/>
      <c r="V318" s="109"/>
      <c r="W318" s="109"/>
      <c r="X318" s="109"/>
      <c r="Y318" s="109"/>
      <c r="Z318" s="109"/>
    </row>
    <row r="319" ht="29.25" customHeight="1">
      <c r="A319" s="109"/>
      <c r="B319" s="109"/>
      <c r="C319" s="109"/>
      <c r="D319" s="109"/>
      <c r="E319" s="109"/>
      <c r="F319" s="109"/>
      <c r="G319" s="109"/>
      <c r="H319" s="317"/>
      <c r="I319" s="109"/>
      <c r="J319" s="109"/>
      <c r="K319" s="109"/>
      <c r="L319" s="109"/>
      <c r="M319" s="109"/>
      <c r="N319" s="109"/>
      <c r="O319" s="109"/>
      <c r="P319" s="109"/>
      <c r="Q319" s="109"/>
      <c r="R319" s="109"/>
      <c r="S319" s="109"/>
      <c r="T319" s="109"/>
      <c r="U319" s="109"/>
      <c r="V319" s="109"/>
      <c r="W319" s="109"/>
      <c r="X319" s="109"/>
      <c r="Y319" s="109"/>
      <c r="Z319" s="109"/>
    </row>
    <row r="320" ht="29.25" customHeight="1">
      <c r="A320" s="109"/>
      <c r="B320" s="109"/>
      <c r="C320" s="109"/>
      <c r="D320" s="109"/>
      <c r="E320" s="109"/>
      <c r="F320" s="109"/>
      <c r="G320" s="109"/>
      <c r="H320" s="317"/>
      <c r="I320" s="109"/>
      <c r="J320" s="109"/>
      <c r="K320" s="109"/>
      <c r="L320" s="109"/>
      <c r="M320" s="109"/>
      <c r="N320" s="109"/>
      <c r="O320" s="109"/>
      <c r="P320" s="109"/>
      <c r="Q320" s="109"/>
      <c r="R320" s="109"/>
      <c r="S320" s="109"/>
      <c r="T320" s="109"/>
      <c r="U320" s="109"/>
      <c r="V320" s="109"/>
      <c r="W320" s="109"/>
      <c r="X320" s="109"/>
      <c r="Y320" s="109"/>
      <c r="Z320" s="109"/>
    </row>
    <row r="321" ht="29.25" customHeight="1">
      <c r="A321" s="109"/>
      <c r="B321" s="109"/>
      <c r="C321" s="109"/>
      <c r="D321" s="109"/>
      <c r="E321" s="109"/>
      <c r="F321" s="109"/>
      <c r="G321" s="109"/>
      <c r="H321" s="317"/>
      <c r="I321" s="109"/>
      <c r="J321" s="109"/>
      <c r="K321" s="109"/>
      <c r="L321" s="109"/>
      <c r="M321" s="109"/>
      <c r="N321" s="109"/>
      <c r="O321" s="109"/>
      <c r="P321" s="109"/>
      <c r="Q321" s="109"/>
      <c r="R321" s="109"/>
      <c r="S321" s="109"/>
      <c r="T321" s="109"/>
      <c r="U321" s="109"/>
      <c r="V321" s="109"/>
      <c r="W321" s="109"/>
      <c r="X321" s="109"/>
      <c r="Y321" s="109"/>
      <c r="Z321" s="109"/>
    </row>
    <row r="322" ht="29.25" customHeight="1">
      <c r="A322" s="109"/>
      <c r="B322" s="109"/>
      <c r="C322" s="109"/>
      <c r="D322" s="109"/>
      <c r="E322" s="109"/>
      <c r="F322" s="109"/>
      <c r="G322" s="109"/>
      <c r="H322" s="317"/>
      <c r="I322" s="109"/>
      <c r="J322" s="109"/>
      <c r="K322" s="109"/>
      <c r="L322" s="109"/>
      <c r="M322" s="109"/>
      <c r="N322" s="109"/>
      <c r="O322" s="109"/>
      <c r="P322" s="109"/>
      <c r="Q322" s="109"/>
      <c r="R322" s="109"/>
      <c r="S322" s="109"/>
      <c r="T322" s="109"/>
      <c r="U322" s="109"/>
      <c r="V322" s="109"/>
      <c r="W322" s="109"/>
      <c r="X322" s="109"/>
      <c r="Y322" s="109"/>
      <c r="Z322" s="109"/>
    </row>
    <row r="323" ht="29.25" customHeight="1">
      <c r="A323" s="109"/>
      <c r="B323" s="109"/>
      <c r="C323" s="109"/>
      <c r="D323" s="109"/>
      <c r="E323" s="109"/>
      <c r="F323" s="109"/>
      <c r="G323" s="109"/>
      <c r="H323" s="317"/>
      <c r="I323" s="109"/>
      <c r="J323" s="109"/>
      <c r="K323" s="109"/>
      <c r="L323" s="109"/>
      <c r="M323" s="109"/>
      <c r="N323" s="109"/>
      <c r="O323" s="109"/>
      <c r="P323" s="109"/>
      <c r="Q323" s="109"/>
      <c r="R323" s="109"/>
      <c r="S323" s="109"/>
      <c r="T323" s="109"/>
      <c r="U323" s="109"/>
      <c r="V323" s="109"/>
      <c r="W323" s="109"/>
      <c r="X323" s="109"/>
      <c r="Y323" s="109"/>
      <c r="Z323" s="109"/>
    </row>
    <row r="324" ht="29.25" customHeight="1">
      <c r="A324" s="109"/>
      <c r="B324" s="109"/>
      <c r="C324" s="109"/>
      <c r="D324" s="109"/>
      <c r="E324" s="109"/>
      <c r="F324" s="109"/>
      <c r="G324" s="109"/>
      <c r="H324" s="317"/>
      <c r="I324" s="109"/>
      <c r="J324" s="109"/>
      <c r="K324" s="109"/>
      <c r="L324" s="109"/>
      <c r="M324" s="109"/>
      <c r="N324" s="109"/>
      <c r="O324" s="109"/>
      <c r="P324" s="109"/>
      <c r="Q324" s="109"/>
      <c r="R324" s="109"/>
      <c r="S324" s="109"/>
      <c r="T324" s="109"/>
      <c r="U324" s="109"/>
      <c r="V324" s="109"/>
      <c r="W324" s="109"/>
      <c r="X324" s="109"/>
      <c r="Y324" s="109"/>
      <c r="Z324" s="109"/>
    </row>
    <row r="325" ht="29.25" customHeight="1">
      <c r="A325" s="109"/>
      <c r="B325" s="109"/>
      <c r="C325" s="109"/>
      <c r="D325" s="109"/>
      <c r="E325" s="109"/>
      <c r="F325" s="109"/>
      <c r="G325" s="109"/>
      <c r="H325" s="317"/>
      <c r="I325" s="109"/>
      <c r="J325" s="109"/>
      <c r="K325" s="109"/>
      <c r="L325" s="109"/>
      <c r="M325" s="109"/>
      <c r="N325" s="109"/>
      <c r="O325" s="109"/>
      <c r="P325" s="109"/>
      <c r="Q325" s="109"/>
      <c r="R325" s="109"/>
      <c r="S325" s="109"/>
      <c r="T325" s="109"/>
      <c r="U325" s="109"/>
      <c r="V325" s="109"/>
      <c r="W325" s="109"/>
      <c r="X325" s="109"/>
      <c r="Y325" s="109"/>
      <c r="Z325" s="109"/>
    </row>
    <row r="326" ht="29.25" customHeight="1">
      <c r="A326" s="109"/>
      <c r="B326" s="109"/>
      <c r="C326" s="109"/>
      <c r="D326" s="109"/>
      <c r="E326" s="109"/>
      <c r="F326" s="109"/>
      <c r="G326" s="109"/>
      <c r="H326" s="317"/>
      <c r="I326" s="109"/>
      <c r="J326" s="109"/>
      <c r="K326" s="109"/>
      <c r="L326" s="109"/>
      <c r="M326" s="109"/>
      <c r="N326" s="109"/>
      <c r="O326" s="109"/>
      <c r="P326" s="109"/>
      <c r="Q326" s="109"/>
      <c r="R326" s="109"/>
      <c r="S326" s="109"/>
      <c r="T326" s="109"/>
      <c r="U326" s="109"/>
      <c r="V326" s="109"/>
      <c r="W326" s="109"/>
      <c r="X326" s="109"/>
      <c r="Y326" s="109"/>
      <c r="Z326" s="109"/>
    </row>
    <row r="327" ht="29.25" customHeight="1">
      <c r="A327" s="109"/>
      <c r="B327" s="109"/>
      <c r="C327" s="109"/>
      <c r="D327" s="109"/>
      <c r="E327" s="109"/>
      <c r="F327" s="109"/>
      <c r="G327" s="109"/>
      <c r="H327" s="317"/>
      <c r="I327" s="109"/>
      <c r="J327" s="109"/>
      <c r="K327" s="109"/>
      <c r="L327" s="109"/>
      <c r="M327" s="109"/>
      <c r="N327" s="109"/>
      <c r="O327" s="109"/>
      <c r="P327" s="109"/>
      <c r="Q327" s="109"/>
      <c r="R327" s="109"/>
      <c r="S327" s="109"/>
      <c r="T327" s="109"/>
      <c r="U327" s="109"/>
      <c r="V327" s="109"/>
      <c r="W327" s="109"/>
      <c r="X327" s="109"/>
      <c r="Y327" s="109"/>
      <c r="Z327" s="109"/>
    </row>
    <row r="328" ht="29.25" customHeight="1">
      <c r="A328" s="109"/>
      <c r="B328" s="109"/>
      <c r="C328" s="109"/>
      <c r="D328" s="109"/>
      <c r="E328" s="109"/>
      <c r="F328" s="109"/>
      <c r="G328" s="109"/>
      <c r="H328" s="317"/>
      <c r="I328" s="109"/>
      <c r="J328" s="109"/>
      <c r="K328" s="109"/>
      <c r="L328" s="109"/>
      <c r="M328" s="109"/>
      <c r="N328" s="109"/>
      <c r="O328" s="109"/>
      <c r="P328" s="109"/>
      <c r="Q328" s="109"/>
      <c r="R328" s="109"/>
      <c r="S328" s="109"/>
      <c r="T328" s="109"/>
      <c r="U328" s="109"/>
      <c r="V328" s="109"/>
      <c r="W328" s="109"/>
      <c r="X328" s="109"/>
      <c r="Y328" s="109"/>
      <c r="Z328" s="109"/>
    </row>
    <row r="329" ht="29.25" customHeight="1">
      <c r="A329" s="109"/>
      <c r="B329" s="109"/>
      <c r="C329" s="109"/>
      <c r="D329" s="109"/>
      <c r="E329" s="109"/>
      <c r="F329" s="109"/>
      <c r="G329" s="109"/>
      <c r="H329" s="317"/>
      <c r="I329" s="109"/>
      <c r="J329" s="109"/>
      <c r="K329" s="109"/>
      <c r="L329" s="109"/>
      <c r="M329" s="109"/>
      <c r="N329" s="109"/>
      <c r="O329" s="109"/>
      <c r="P329" s="109"/>
      <c r="Q329" s="109"/>
      <c r="R329" s="109"/>
      <c r="S329" s="109"/>
      <c r="T329" s="109"/>
      <c r="U329" s="109"/>
      <c r="V329" s="109"/>
      <c r="W329" s="109"/>
      <c r="X329" s="109"/>
      <c r="Y329" s="109"/>
      <c r="Z329" s="109"/>
    </row>
    <row r="330" ht="29.25" customHeight="1">
      <c r="A330" s="109"/>
      <c r="B330" s="109"/>
      <c r="C330" s="109"/>
      <c r="D330" s="109"/>
      <c r="E330" s="109"/>
      <c r="F330" s="109"/>
      <c r="G330" s="109"/>
      <c r="H330" s="317"/>
      <c r="I330" s="109"/>
      <c r="J330" s="109"/>
      <c r="K330" s="109"/>
      <c r="L330" s="109"/>
      <c r="M330" s="109"/>
      <c r="N330" s="109"/>
      <c r="O330" s="109"/>
      <c r="P330" s="109"/>
      <c r="Q330" s="109"/>
      <c r="R330" s="109"/>
      <c r="S330" s="109"/>
      <c r="T330" s="109"/>
      <c r="U330" s="109"/>
      <c r="V330" s="109"/>
      <c r="W330" s="109"/>
      <c r="X330" s="109"/>
      <c r="Y330" s="109"/>
      <c r="Z330" s="109"/>
    </row>
    <row r="331" ht="29.25" customHeight="1">
      <c r="A331" s="109"/>
      <c r="B331" s="109"/>
      <c r="C331" s="109"/>
      <c r="D331" s="109"/>
      <c r="E331" s="109"/>
      <c r="F331" s="109"/>
      <c r="G331" s="109"/>
      <c r="H331" s="317"/>
      <c r="I331" s="109"/>
      <c r="J331" s="109"/>
      <c r="K331" s="109"/>
      <c r="L331" s="109"/>
      <c r="M331" s="109"/>
      <c r="N331" s="109"/>
      <c r="O331" s="109"/>
      <c r="P331" s="109"/>
      <c r="Q331" s="109"/>
      <c r="R331" s="109"/>
      <c r="S331" s="109"/>
      <c r="T331" s="109"/>
      <c r="U331" s="109"/>
      <c r="V331" s="109"/>
      <c r="W331" s="109"/>
      <c r="X331" s="109"/>
      <c r="Y331" s="109"/>
      <c r="Z331" s="109"/>
    </row>
    <row r="332" ht="29.25" customHeight="1">
      <c r="A332" s="109"/>
      <c r="B332" s="109"/>
      <c r="C332" s="109"/>
      <c r="D332" s="109"/>
      <c r="E332" s="109"/>
      <c r="F332" s="109"/>
      <c r="G332" s="109"/>
      <c r="H332" s="317"/>
      <c r="I332" s="109"/>
      <c r="J332" s="109"/>
      <c r="K332" s="109"/>
      <c r="L332" s="109"/>
      <c r="M332" s="109"/>
      <c r="N332" s="109"/>
      <c r="O332" s="109"/>
      <c r="P332" s="109"/>
      <c r="Q332" s="109"/>
      <c r="R332" s="109"/>
      <c r="S332" s="109"/>
      <c r="T332" s="109"/>
      <c r="U332" s="109"/>
      <c r="V332" s="109"/>
      <c r="W332" s="109"/>
      <c r="X332" s="109"/>
      <c r="Y332" s="109"/>
      <c r="Z332" s="109"/>
    </row>
    <row r="333" ht="29.25" customHeight="1">
      <c r="A333" s="109"/>
      <c r="B333" s="109"/>
      <c r="C333" s="109"/>
      <c r="D333" s="109"/>
      <c r="E333" s="109"/>
      <c r="F333" s="109"/>
      <c r="G333" s="109"/>
      <c r="H333" s="317"/>
      <c r="I333" s="109"/>
      <c r="J333" s="109"/>
      <c r="K333" s="109"/>
      <c r="L333" s="109"/>
      <c r="M333" s="109"/>
      <c r="N333" s="109"/>
      <c r="O333" s="109"/>
      <c r="P333" s="109"/>
      <c r="Q333" s="109"/>
      <c r="R333" s="109"/>
      <c r="S333" s="109"/>
      <c r="T333" s="109"/>
      <c r="U333" s="109"/>
      <c r="V333" s="109"/>
      <c r="W333" s="109"/>
      <c r="X333" s="109"/>
      <c r="Y333" s="109"/>
      <c r="Z333" s="109"/>
    </row>
    <row r="334" ht="29.25" customHeight="1">
      <c r="A334" s="109"/>
      <c r="B334" s="109"/>
      <c r="C334" s="109"/>
      <c r="D334" s="109"/>
      <c r="E334" s="109"/>
      <c r="F334" s="109"/>
      <c r="G334" s="109"/>
      <c r="H334" s="317"/>
      <c r="I334" s="109"/>
      <c r="J334" s="109"/>
      <c r="K334" s="109"/>
      <c r="L334" s="109"/>
      <c r="M334" s="109"/>
      <c r="N334" s="109"/>
      <c r="O334" s="109"/>
      <c r="P334" s="109"/>
      <c r="Q334" s="109"/>
      <c r="R334" s="109"/>
      <c r="S334" s="109"/>
      <c r="T334" s="109"/>
      <c r="U334" s="109"/>
      <c r="V334" s="109"/>
      <c r="W334" s="109"/>
      <c r="X334" s="109"/>
      <c r="Y334" s="109"/>
      <c r="Z334" s="109"/>
    </row>
    <row r="335" ht="29.25" customHeight="1">
      <c r="A335" s="109"/>
      <c r="B335" s="109"/>
      <c r="C335" s="109"/>
      <c r="D335" s="109"/>
      <c r="E335" s="109"/>
      <c r="F335" s="109"/>
      <c r="G335" s="109"/>
      <c r="H335" s="317"/>
      <c r="I335" s="109"/>
      <c r="J335" s="109"/>
      <c r="K335" s="109"/>
      <c r="L335" s="109"/>
      <c r="M335" s="109"/>
      <c r="N335" s="109"/>
      <c r="O335" s="109"/>
      <c r="P335" s="109"/>
      <c r="Q335" s="109"/>
      <c r="R335" s="109"/>
      <c r="S335" s="109"/>
      <c r="T335" s="109"/>
      <c r="U335" s="109"/>
      <c r="V335" s="109"/>
      <c r="W335" s="109"/>
      <c r="X335" s="109"/>
      <c r="Y335" s="109"/>
      <c r="Z335" s="109"/>
    </row>
    <row r="336" ht="29.25" customHeight="1">
      <c r="A336" s="109"/>
      <c r="B336" s="109"/>
      <c r="C336" s="109"/>
      <c r="D336" s="109"/>
      <c r="E336" s="109"/>
      <c r="F336" s="109"/>
      <c r="G336" s="109"/>
      <c r="H336" s="317"/>
      <c r="I336" s="109"/>
      <c r="J336" s="109"/>
      <c r="K336" s="109"/>
      <c r="L336" s="109"/>
      <c r="M336" s="109"/>
      <c r="N336" s="109"/>
      <c r="O336" s="109"/>
      <c r="P336" s="109"/>
      <c r="Q336" s="109"/>
      <c r="R336" s="109"/>
      <c r="S336" s="109"/>
      <c r="T336" s="109"/>
      <c r="U336" s="109"/>
      <c r="V336" s="109"/>
      <c r="W336" s="109"/>
      <c r="X336" s="109"/>
      <c r="Y336" s="109"/>
      <c r="Z336" s="109"/>
    </row>
    <row r="337" ht="29.25" customHeight="1">
      <c r="A337" s="109"/>
      <c r="B337" s="109"/>
      <c r="C337" s="109"/>
      <c r="D337" s="109"/>
      <c r="E337" s="109"/>
      <c r="F337" s="109"/>
      <c r="G337" s="109"/>
      <c r="H337" s="317"/>
      <c r="I337" s="109"/>
      <c r="J337" s="109"/>
      <c r="K337" s="109"/>
      <c r="L337" s="109"/>
      <c r="M337" s="109"/>
      <c r="N337" s="109"/>
      <c r="O337" s="109"/>
      <c r="P337" s="109"/>
      <c r="Q337" s="109"/>
      <c r="R337" s="109"/>
      <c r="S337" s="109"/>
      <c r="T337" s="109"/>
      <c r="U337" s="109"/>
      <c r="V337" s="109"/>
      <c r="W337" s="109"/>
      <c r="X337" s="109"/>
      <c r="Y337" s="109"/>
      <c r="Z337" s="109"/>
    </row>
    <row r="338" ht="29.25" customHeight="1">
      <c r="A338" s="109"/>
      <c r="B338" s="109"/>
      <c r="C338" s="109"/>
      <c r="D338" s="109"/>
      <c r="E338" s="109"/>
      <c r="F338" s="109"/>
      <c r="G338" s="109"/>
      <c r="H338" s="317"/>
      <c r="I338" s="109"/>
      <c r="J338" s="109"/>
      <c r="K338" s="109"/>
      <c r="L338" s="109"/>
      <c r="M338" s="109"/>
      <c r="N338" s="109"/>
      <c r="O338" s="109"/>
      <c r="P338" s="109"/>
      <c r="Q338" s="109"/>
      <c r="R338" s="109"/>
      <c r="S338" s="109"/>
      <c r="T338" s="109"/>
      <c r="U338" s="109"/>
      <c r="V338" s="109"/>
      <c r="W338" s="109"/>
      <c r="X338" s="109"/>
      <c r="Y338" s="109"/>
      <c r="Z338" s="109"/>
    </row>
    <row r="339" ht="29.25" customHeight="1">
      <c r="A339" s="109"/>
      <c r="B339" s="109"/>
      <c r="C339" s="109"/>
      <c r="D339" s="109"/>
      <c r="E339" s="109"/>
      <c r="F339" s="109"/>
      <c r="G339" s="109"/>
      <c r="H339" s="317"/>
      <c r="I339" s="109"/>
      <c r="J339" s="109"/>
      <c r="K339" s="109"/>
      <c r="L339" s="109"/>
      <c r="M339" s="109"/>
      <c r="N339" s="109"/>
      <c r="O339" s="109"/>
      <c r="P339" s="109"/>
      <c r="Q339" s="109"/>
      <c r="R339" s="109"/>
      <c r="S339" s="109"/>
      <c r="T339" s="109"/>
      <c r="U339" s="109"/>
      <c r="V339" s="109"/>
      <c r="W339" s="109"/>
      <c r="X339" s="109"/>
      <c r="Y339" s="109"/>
      <c r="Z339" s="109"/>
    </row>
    <row r="340" ht="29.25" customHeight="1">
      <c r="A340" s="109"/>
      <c r="B340" s="109"/>
      <c r="C340" s="109"/>
      <c r="D340" s="109"/>
      <c r="E340" s="109"/>
      <c r="F340" s="109"/>
      <c r="G340" s="109"/>
      <c r="H340" s="317"/>
      <c r="I340" s="109"/>
      <c r="J340" s="109"/>
      <c r="K340" s="109"/>
      <c r="L340" s="109"/>
      <c r="M340" s="109"/>
      <c r="N340" s="109"/>
      <c r="O340" s="109"/>
      <c r="P340" s="109"/>
      <c r="Q340" s="109"/>
      <c r="R340" s="109"/>
      <c r="S340" s="109"/>
      <c r="T340" s="109"/>
      <c r="U340" s="109"/>
      <c r="V340" s="109"/>
      <c r="W340" s="109"/>
      <c r="X340" s="109"/>
      <c r="Y340" s="109"/>
      <c r="Z340" s="109"/>
    </row>
    <row r="341" ht="29.25" customHeight="1">
      <c r="A341" s="109"/>
      <c r="B341" s="109"/>
      <c r="C341" s="109"/>
      <c r="D341" s="109"/>
      <c r="E341" s="109"/>
      <c r="F341" s="109"/>
      <c r="G341" s="109"/>
      <c r="H341" s="317"/>
      <c r="I341" s="109"/>
      <c r="J341" s="109"/>
      <c r="K341" s="109"/>
      <c r="L341" s="109"/>
      <c r="M341" s="109"/>
      <c r="N341" s="109"/>
      <c r="O341" s="109"/>
      <c r="P341" s="109"/>
      <c r="Q341" s="109"/>
      <c r="R341" s="109"/>
      <c r="S341" s="109"/>
      <c r="T341" s="109"/>
      <c r="U341" s="109"/>
      <c r="V341" s="109"/>
      <c r="W341" s="109"/>
      <c r="X341" s="109"/>
      <c r="Y341" s="109"/>
      <c r="Z341" s="109"/>
    </row>
    <row r="342" ht="29.25" customHeight="1">
      <c r="A342" s="109"/>
      <c r="B342" s="109"/>
      <c r="C342" s="109"/>
      <c r="D342" s="109"/>
      <c r="E342" s="109"/>
      <c r="F342" s="109"/>
      <c r="G342" s="109"/>
      <c r="H342" s="317"/>
      <c r="I342" s="109"/>
      <c r="J342" s="109"/>
      <c r="K342" s="109"/>
      <c r="L342" s="109"/>
      <c r="M342" s="109"/>
      <c r="N342" s="109"/>
      <c r="O342" s="109"/>
      <c r="P342" s="109"/>
      <c r="Q342" s="109"/>
      <c r="R342" s="109"/>
      <c r="S342" s="109"/>
      <c r="T342" s="109"/>
      <c r="U342" s="109"/>
      <c r="V342" s="109"/>
      <c r="W342" s="109"/>
      <c r="X342" s="109"/>
      <c r="Y342" s="109"/>
      <c r="Z342" s="109"/>
    </row>
    <row r="343" ht="29.25" customHeight="1">
      <c r="A343" s="109"/>
      <c r="B343" s="109"/>
      <c r="C343" s="109"/>
      <c r="D343" s="109"/>
      <c r="E343" s="109"/>
      <c r="F343" s="109"/>
      <c r="G343" s="109"/>
      <c r="H343" s="317"/>
      <c r="I343" s="109"/>
      <c r="J343" s="109"/>
      <c r="K343" s="109"/>
      <c r="L343" s="109"/>
      <c r="M343" s="109"/>
      <c r="N343" s="109"/>
      <c r="O343" s="109"/>
      <c r="P343" s="109"/>
      <c r="Q343" s="109"/>
      <c r="R343" s="109"/>
      <c r="S343" s="109"/>
      <c r="T343" s="109"/>
      <c r="U343" s="109"/>
      <c r="V343" s="109"/>
      <c r="W343" s="109"/>
      <c r="X343" s="109"/>
      <c r="Y343" s="109"/>
      <c r="Z343" s="109"/>
    </row>
    <row r="344" ht="29.25" customHeight="1">
      <c r="A344" s="109"/>
      <c r="B344" s="109"/>
      <c r="C344" s="109"/>
      <c r="D344" s="109"/>
      <c r="E344" s="109"/>
      <c r="F344" s="109"/>
      <c r="G344" s="109"/>
      <c r="H344" s="317"/>
      <c r="I344" s="109"/>
      <c r="J344" s="109"/>
      <c r="K344" s="109"/>
      <c r="L344" s="109"/>
      <c r="M344" s="109"/>
      <c r="N344" s="109"/>
      <c r="O344" s="109"/>
      <c r="P344" s="109"/>
      <c r="Q344" s="109"/>
      <c r="R344" s="109"/>
      <c r="S344" s="109"/>
      <c r="T344" s="109"/>
      <c r="U344" s="109"/>
      <c r="V344" s="109"/>
      <c r="W344" s="109"/>
      <c r="X344" s="109"/>
      <c r="Y344" s="109"/>
      <c r="Z344" s="109"/>
    </row>
    <row r="345" ht="29.25" customHeight="1">
      <c r="A345" s="109"/>
      <c r="B345" s="109"/>
      <c r="C345" s="109"/>
      <c r="D345" s="109"/>
      <c r="E345" s="109"/>
      <c r="F345" s="109"/>
      <c r="G345" s="109"/>
      <c r="H345" s="317"/>
      <c r="I345" s="109"/>
      <c r="J345" s="109"/>
      <c r="K345" s="109"/>
      <c r="L345" s="109"/>
      <c r="M345" s="109"/>
      <c r="N345" s="109"/>
      <c r="O345" s="109"/>
      <c r="P345" s="109"/>
      <c r="Q345" s="109"/>
      <c r="R345" s="109"/>
      <c r="S345" s="109"/>
      <c r="T345" s="109"/>
      <c r="U345" s="109"/>
      <c r="V345" s="109"/>
      <c r="W345" s="109"/>
      <c r="X345" s="109"/>
      <c r="Y345" s="109"/>
      <c r="Z345" s="109"/>
    </row>
    <row r="346" ht="29.25" customHeight="1">
      <c r="A346" s="109"/>
      <c r="B346" s="109"/>
      <c r="C346" s="109"/>
      <c r="D346" s="109"/>
      <c r="E346" s="109"/>
      <c r="F346" s="109"/>
      <c r="G346" s="109"/>
      <c r="H346" s="317"/>
      <c r="I346" s="109"/>
      <c r="J346" s="109"/>
      <c r="K346" s="109"/>
      <c r="L346" s="109"/>
      <c r="M346" s="109"/>
      <c r="N346" s="109"/>
      <c r="O346" s="109"/>
      <c r="P346" s="109"/>
      <c r="Q346" s="109"/>
      <c r="R346" s="109"/>
      <c r="S346" s="109"/>
      <c r="T346" s="109"/>
      <c r="U346" s="109"/>
      <c r="V346" s="109"/>
      <c r="W346" s="109"/>
      <c r="X346" s="109"/>
      <c r="Y346" s="109"/>
      <c r="Z346" s="109"/>
    </row>
    <row r="347" ht="29.25" customHeight="1">
      <c r="A347" s="109"/>
      <c r="B347" s="109"/>
      <c r="C347" s="109"/>
      <c r="D347" s="109"/>
      <c r="E347" s="109"/>
      <c r="F347" s="109"/>
      <c r="G347" s="109"/>
      <c r="H347" s="317"/>
      <c r="I347" s="109"/>
      <c r="J347" s="109"/>
      <c r="K347" s="109"/>
      <c r="L347" s="109"/>
      <c r="M347" s="109"/>
      <c r="N347" s="109"/>
      <c r="O347" s="109"/>
      <c r="P347" s="109"/>
      <c r="Q347" s="109"/>
      <c r="R347" s="109"/>
      <c r="S347" s="109"/>
      <c r="T347" s="109"/>
      <c r="U347" s="109"/>
      <c r="V347" s="109"/>
      <c r="W347" s="109"/>
      <c r="X347" s="109"/>
      <c r="Y347" s="109"/>
      <c r="Z347" s="109"/>
    </row>
    <row r="348" ht="29.25" customHeight="1">
      <c r="A348" s="109"/>
      <c r="B348" s="109"/>
      <c r="C348" s="109"/>
      <c r="D348" s="109"/>
      <c r="E348" s="109"/>
      <c r="F348" s="109"/>
      <c r="G348" s="109"/>
      <c r="H348" s="317"/>
      <c r="I348" s="109"/>
      <c r="J348" s="109"/>
      <c r="K348" s="109"/>
      <c r="L348" s="109"/>
      <c r="M348" s="109"/>
      <c r="N348" s="109"/>
      <c r="O348" s="109"/>
      <c r="P348" s="109"/>
      <c r="Q348" s="109"/>
      <c r="R348" s="109"/>
      <c r="S348" s="109"/>
      <c r="T348" s="109"/>
      <c r="U348" s="109"/>
      <c r="V348" s="109"/>
      <c r="W348" s="109"/>
      <c r="X348" s="109"/>
      <c r="Y348" s="109"/>
      <c r="Z348" s="109"/>
    </row>
    <row r="349" ht="29.25" customHeight="1">
      <c r="A349" s="109"/>
      <c r="B349" s="109"/>
      <c r="C349" s="109"/>
      <c r="D349" s="109"/>
      <c r="E349" s="109"/>
      <c r="F349" s="109"/>
      <c r="G349" s="109"/>
      <c r="H349" s="317"/>
      <c r="I349" s="109"/>
      <c r="J349" s="109"/>
      <c r="K349" s="109"/>
      <c r="L349" s="109"/>
      <c r="M349" s="109"/>
      <c r="N349" s="109"/>
      <c r="O349" s="109"/>
      <c r="P349" s="109"/>
      <c r="Q349" s="109"/>
      <c r="R349" s="109"/>
      <c r="S349" s="109"/>
      <c r="T349" s="109"/>
      <c r="U349" s="109"/>
      <c r="V349" s="109"/>
      <c r="W349" s="109"/>
      <c r="X349" s="109"/>
      <c r="Y349" s="109"/>
      <c r="Z349" s="109"/>
    </row>
    <row r="350" ht="29.25" customHeight="1">
      <c r="A350" s="109"/>
      <c r="B350" s="109"/>
      <c r="C350" s="109"/>
      <c r="D350" s="109"/>
      <c r="E350" s="109"/>
      <c r="F350" s="109"/>
      <c r="G350" s="109"/>
      <c r="H350" s="317"/>
      <c r="I350" s="109"/>
      <c r="J350" s="109"/>
      <c r="K350" s="109"/>
      <c r="L350" s="109"/>
      <c r="M350" s="109"/>
      <c r="N350" s="109"/>
      <c r="O350" s="109"/>
      <c r="P350" s="109"/>
      <c r="Q350" s="109"/>
      <c r="R350" s="109"/>
      <c r="S350" s="109"/>
      <c r="T350" s="109"/>
      <c r="U350" s="109"/>
      <c r="V350" s="109"/>
      <c r="W350" s="109"/>
      <c r="X350" s="109"/>
      <c r="Y350" s="109"/>
      <c r="Z350" s="109"/>
    </row>
    <row r="351" ht="29.25" customHeight="1">
      <c r="A351" s="109"/>
      <c r="B351" s="109"/>
      <c r="C351" s="109"/>
      <c r="D351" s="109"/>
      <c r="E351" s="109"/>
      <c r="F351" s="109"/>
      <c r="G351" s="109"/>
      <c r="H351" s="317"/>
      <c r="I351" s="109"/>
      <c r="J351" s="109"/>
      <c r="K351" s="109"/>
      <c r="L351" s="109"/>
      <c r="M351" s="109"/>
      <c r="N351" s="109"/>
      <c r="O351" s="109"/>
      <c r="P351" s="109"/>
      <c r="Q351" s="109"/>
      <c r="R351" s="109"/>
      <c r="S351" s="109"/>
      <c r="T351" s="109"/>
      <c r="U351" s="109"/>
      <c r="V351" s="109"/>
      <c r="W351" s="109"/>
      <c r="X351" s="109"/>
      <c r="Y351" s="109"/>
      <c r="Z351" s="109"/>
    </row>
    <row r="352" ht="29.25" customHeight="1">
      <c r="A352" s="109"/>
      <c r="B352" s="109"/>
      <c r="C352" s="109"/>
      <c r="D352" s="109"/>
      <c r="E352" s="109"/>
      <c r="F352" s="109"/>
      <c r="G352" s="109"/>
      <c r="H352" s="317"/>
      <c r="I352" s="109"/>
      <c r="J352" s="109"/>
      <c r="K352" s="109"/>
      <c r="L352" s="109"/>
      <c r="M352" s="109"/>
      <c r="N352" s="109"/>
      <c r="O352" s="109"/>
      <c r="P352" s="109"/>
      <c r="Q352" s="109"/>
      <c r="R352" s="109"/>
      <c r="S352" s="109"/>
      <c r="T352" s="109"/>
      <c r="U352" s="109"/>
      <c r="V352" s="109"/>
      <c r="W352" s="109"/>
      <c r="X352" s="109"/>
      <c r="Y352" s="109"/>
      <c r="Z352" s="109"/>
    </row>
    <row r="353" ht="29.25" customHeight="1">
      <c r="A353" s="109"/>
      <c r="B353" s="109"/>
      <c r="C353" s="109"/>
      <c r="D353" s="109"/>
      <c r="E353" s="109"/>
      <c r="F353" s="109"/>
      <c r="G353" s="109"/>
      <c r="H353" s="317"/>
      <c r="I353" s="109"/>
      <c r="J353" s="109"/>
      <c r="K353" s="109"/>
      <c r="L353" s="109"/>
      <c r="M353" s="109"/>
      <c r="N353" s="109"/>
      <c r="O353" s="109"/>
      <c r="P353" s="109"/>
      <c r="Q353" s="109"/>
      <c r="R353" s="109"/>
      <c r="S353" s="109"/>
      <c r="T353" s="109"/>
      <c r="U353" s="109"/>
      <c r="V353" s="109"/>
      <c r="W353" s="109"/>
      <c r="X353" s="109"/>
      <c r="Y353" s="109"/>
      <c r="Z353" s="109"/>
    </row>
    <row r="354" ht="29.25" customHeight="1">
      <c r="A354" s="109"/>
      <c r="B354" s="109"/>
      <c r="C354" s="109"/>
      <c r="D354" s="109"/>
      <c r="E354" s="109"/>
      <c r="F354" s="109"/>
      <c r="G354" s="109"/>
      <c r="H354" s="317"/>
      <c r="I354" s="109"/>
      <c r="J354" s="109"/>
      <c r="K354" s="109"/>
      <c r="L354" s="109"/>
      <c r="M354" s="109"/>
      <c r="N354" s="109"/>
      <c r="O354" s="109"/>
      <c r="P354" s="109"/>
      <c r="Q354" s="109"/>
      <c r="R354" s="109"/>
      <c r="S354" s="109"/>
      <c r="T354" s="109"/>
      <c r="U354" s="109"/>
      <c r="V354" s="109"/>
      <c r="W354" s="109"/>
      <c r="X354" s="109"/>
      <c r="Y354" s="109"/>
      <c r="Z354" s="109"/>
    </row>
    <row r="355" ht="29.25" customHeight="1">
      <c r="A355" s="109"/>
      <c r="B355" s="109"/>
      <c r="C355" s="109"/>
      <c r="D355" s="109"/>
      <c r="E355" s="109"/>
      <c r="F355" s="109"/>
      <c r="G355" s="109"/>
      <c r="H355" s="317"/>
      <c r="I355" s="109"/>
      <c r="J355" s="109"/>
      <c r="K355" s="109"/>
      <c r="L355" s="109"/>
      <c r="M355" s="109"/>
      <c r="N355" s="109"/>
      <c r="O355" s="109"/>
      <c r="P355" s="109"/>
      <c r="Q355" s="109"/>
      <c r="R355" s="109"/>
      <c r="S355" s="109"/>
      <c r="T355" s="109"/>
      <c r="U355" s="109"/>
      <c r="V355" s="109"/>
      <c r="W355" s="109"/>
      <c r="X355" s="109"/>
      <c r="Y355" s="109"/>
      <c r="Z355" s="109"/>
    </row>
    <row r="356" ht="29.25" customHeight="1">
      <c r="A356" s="109"/>
      <c r="B356" s="109"/>
      <c r="C356" s="109"/>
      <c r="D356" s="109"/>
      <c r="E356" s="109"/>
      <c r="F356" s="109"/>
      <c r="G356" s="109"/>
      <c r="H356" s="317"/>
      <c r="I356" s="109"/>
      <c r="J356" s="109"/>
      <c r="K356" s="109"/>
      <c r="L356" s="109"/>
      <c r="M356" s="109"/>
      <c r="N356" s="109"/>
      <c r="O356" s="109"/>
      <c r="P356" s="109"/>
      <c r="Q356" s="109"/>
      <c r="R356" s="109"/>
      <c r="S356" s="109"/>
      <c r="T356" s="109"/>
      <c r="U356" s="109"/>
      <c r="V356" s="109"/>
      <c r="W356" s="109"/>
      <c r="X356" s="109"/>
      <c r="Y356" s="109"/>
      <c r="Z356" s="109"/>
    </row>
    <row r="357" ht="29.25" customHeight="1">
      <c r="A357" s="109"/>
      <c r="B357" s="109"/>
      <c r="C357" s="109"/>
      <c r="D357" s="109"/>
      <c r="E357" s="109"/>
      <c r="F357" s="109"/>
      <c r="G357" s="109"/>
      <c r="H357" s="317"/>
      <c r="I357" s="109"/>
      <c r="J357" s="109"/>
      <c r="K357" s="109"/>
      <c r="L357" s="109"/>
      <c r="M357" s="109"/>
      <c r="N357" s="109"/>
      <c r="O357" s="109"/>
      <c r="P357" s="109"/>
      <c r="Q357" s="109"/>
      <c r="R357" s="109"/>
      <c r="S357" s="109"/>
      <c r="T357" s="109"/>
      <c r="U357" s="109"/>
      <c r="V357" s="109"/>
      <c r="W357" s="109"/>
      <c r="X357" s="109"/>
      <c r="Y357" s="109"/>
      <c r="Z357" s="109"/>
    </row>
    <row r="358" ht="29.25" customHeight="1">
      <c r="A358" s="109"/>
      <c r="B358" s="109"/>
      <c r="C358" s="109"/>
      <c r="D358" s="109"/>
      <c r="E358" s="109"/>
      <c r="F358" s="109"/>
      <c r="G358" s="109"/>
      <c r="H358" s="317"/>
      <c r="I358" s="109"/>
      <c r="J358" s="109"/>
      <c r="K358" s="109"/>
      <c r="L358" s="109"/>
      <c r="M358" s="109"/>
      <c r="N358" s="109"/>
      <c r="O358" s="109"/>
      <c r="P358" s="109"/>
      <c r="Q358" s="109"/>
      <c r="R358" s="109"/>
      <c r="S358" s="109"/>
      <c r="T358" s="109"/>
      <c r="U358" s="109"/>
      <c r="V358" s="109"/>
      <c r="W358" s="109"/>
      <c r="X358" s="109"/>
      <c r="Y358" s="109"/>
      <c r="Z358" s="109"/>
    </row>
    <row r="359" ht="29.25" customHeight="1">
      <c r="A359" s="109"/>
      <c r="B359" s="109"/>
      <c r="C359" s="109"/>
      <c r="D359" s="109"/>
      <c r="E359" s="109"/>
      <c r="F359" s="109"/>
      <c r="G359" s="109"/>
      <c r="H359" s="317"/>
      <c r="I359" s="109"/>
      <c r="J359" s="109"/>
      <c r="K359" s="109"/>
      <c r="L359" s="109"/>
      <c r="M359" s="109"/>
      <c r="N359" s="109"/>
      <c r="O359" s="109"/>
      <c r="P359" s="109"/>
      <c r="Q359" s="109"/>
      <c r="R359" s="109"/>
      <c r="S359" s="109"/>
      <c r="T359" s="109"/>
      <c r="U359" s="109"/>
      <c r="V359" s="109"/>
      <c r="W359" s="109"/>
      <c r="X359" s="109"/>
      <c r="Y359" s="109"/>
      <c r="Z359" s="109"/>
    </row>
    <row r="360" ht="29.25" customHeight="1">
      <c r="A360" s="109"/>
      <c r="B360" s="109"/>
      <c r="C360" s="109"/>
      <c r="D360" s="109"/>
      <c r="E360" s="109"/>
      <c r="F360" s="109"/>
      <c r="G360" s="109"/>
      <c r="H360" s="317"/>
      <c r="I360" s="109"/>
      <c r="J360" s="109"/>
      <c r="K360" s="109"/>
      <c r="L360" s="109"/>
      <c r="M360" s="109"/>
      <c r="N360" s="109"/>
      <c r="O360" s="109"/>
      <c r="P360" s="109"/>
      <c r="Q360" s="109"/>
      <c r="R360" s="109"/>
      <c r="S360" s="109"/>
      <c r="T360" s="109"/>
      <c r="U360" s="109"/>
      <c r="V360" s="109"/>
      <c r="W360" s="109"/>
      <c r="X360" s="109"/>
      <c r="Y360" s="109"/>
      <c r="Z360" s="109"/>
    </row>
    <row r="361" ht="29.25" customHeight="1">
      <c r="A361" s="109"/>
      <c r="B361" s="109"/>
      <c r="C361" s="109"/>
      <c r="D361" s="109"/>
      <c r="E361" s="109"/>
      <c r="F361" s="109"/>
      <c r="G361" s="109"/>
      <c r="H361" s="317"/>
      <c r="I361" s="109"/>
      <c r="J361" s="109"/>
      <c r="K361" s="109"/>
      <c r="L361" s="109"/>
      <c r="M361" s="109"/>
      <c r="N361" s="109"/>
      <c r="O361" s="109"/>
      <c r="P361" s="109"/>
      <c r="Q361" s="109"/>
      <c r="R361" s="109"/>
      <c r="S361" s="109"/>
      <c r="T361" s="109"/>
      <c r="U361" s="109"/>
      <c r="V361" s="109"/>
      <c r="W361" s="109"/>
      <c r="X361" s="109"/>
      <c r="Y361" s="109"/>
      <c r="Z361" s="109"/>
    </row>
    <row r="362" ht="29.25" customHeight="1">
      <c r="A362" s="109"/>
      <c r="B362" s="109"/>
      <c r="C362" s="109"/>
      <c r="D362" s="109"/>
      <c r="E362" s="109"/>
      <c r="F362" s="109"/>
      <c r="G362" s="109"/>
      <c r="H362" s="317"/>
      <c r="I362" s="109"/>
      <c r="J362" s="109"/>
      <c r="K362" s="109"/>
      <c r="L362" s="109"/>
      <c r="M362" s="109"/>
      <c r="N362" s="109"/>
      <c r="O362" s="109"/>
      <c r="P362" s="109"/>
      <c r="Q362" s="109"/>
      <c r="R362" s="109"/>
      <c r="S362" s="109"/>
      <c r="T362" s="109"/>
      <c r="U362" s="109"/>
      <c r="V362" s="109"/>
      <c r="W362" s="109"/>
      <c r="X362" s="109"/>
      <c r="Y362" s="109"/>
      <c r="Z362" s="109"/>
    </row>
    <row r="363" ht="29.25" customHeight="1">
      <c r="A363" s="109"/>
      <c r="B363" s="109"/>
      <c r="C363" s="109"/>
      <c r="D363" s="109"/>
      <c r="E363" s="109"/>
      <c r="F363" s="109"/>
      <c r="G363" s="109"/>
      <c r="H363" s="317"/>
      <c r="I363" s="109"/>
      <c r="J363" s="109"/>
      <c r="K363" s="109"/>
      <c r="L363" s="109"/>
      <c r="M363" s="109"/>
      <c r="N363" s="109"/>
      <c r="O363" s="109"/>
      <c r="P363" s="109"/>
      <c r="Q363" s="109"/>
      <c r="R363" s="109"/>
      <c r="S363" s="109"/>
      <c r="T363" s="109"/>
      <c r="U363" s="109"/>
      <c r="V363" s="109"/>
      <c r="W363" s="109"/>
      <c r="X363" s="109"/>
      <c r="Y363" s="109"/>
      <c r="Z363" s="109"/>
    </row>
    <row r="364" ht="29.25" customHeight="1">
      <c r="A364" s="109"/>
      <c r="B364" s="109"/>
      <c r="C364" s="109"/>
      <c r="D364" s="109"/>
      <c r="E364" s="109"/>
      <c r="F364" s="109"/>
      <c r="G364" s="109"/>
      <c r="H364" s="317"/>
      <c r="I364" s="109"/>
      <c r="J364" s="109"/>
      <c r="K364" s="109"/>
      <c r="L364" s="109"/>
      <c r="M364" s="109"/>
      <c r="N364" s="109"/>
      <c r="O364" s="109"/>
      <c r="P364" s="109"/>
      <c r="Q364" s="109"/>
      <c r="R364" s="109"/>
      <c r="S364" s="109"/>
      <c r="T364" s="109"/>
      <c r="U364" s="109"/>
      <c r="V364" s="109"/>
      <c r="W364" s="109"/>
      <c r="X364" s="109"/>
      <c r="Y364" s="109"/>
      <c r="Z364" s="109"/>
    </row>
    <row r="365" ht="29.25" customHeight="1">
      <c r="A365" s="109"/>
      <c r="B365" s="109"/>
      <c r="C365" s="109"/>
      <c r="D365" s="109"/>
      <c r="E365" s="109"/>
      <c r="F365" s="109"/>
      <c r="G365" s="109"/>
      <c r="H365" s="317"/>
      <c r="I365" s="109"/>
      <c r="J365" s="109"/>
      <c r="K365" s="109"/>
      <c r="L365" s="109"/>
      <c r="M365" s="109"/>
      <c r="N365" s="109"/>
      <c r="O365" s="109"/>
      <c r="P365" s="109"/>
      <c r="Q365" s="109"/>
      <c r="R365" s="109"/>
      <c r="S365" s="109"/>
      <c r="T365" s="109"/>
      <c r="U365" s="109"/>
      <c r="V365" s="109"/>
      <c r="W365" s="109"/>
      <c r="X365" s="109"/>
      <c r="Y365" s="109"/>
      <c r="Z365" s="109"/>
    </row>
    <row r="366" ht="29.25" customHeight="1">
      <c r="A366" s="109"/>
      <c r="B366" s="109"/>
      <c r="C366" s="109"/>
      <c r="D366" s="109"/>
      <c r="E366" s="109"/>
      <c r="F366" s="109"/>
      <c r="G366" s="109"/>
      <c r="H366" s="317"/>
      <c r="I366" s="109"/>
      <c r="J366" s="109"/>
      <c r="K366" s="109"/>
      <c r="L366" s="109"/>
      <c r="M366" s="109"/>
      <c r="N366" s="109"/>
      <c r="O366" s="109"/>
      <c r="P366" s="109"/>
      <c r="Q366" s="109"/>
      <c r="R366" s="109"/>
      <c r="S366" s="109"/>
      <c r="T366" s="109"/>
      <c r="U366" s="109"/>
      <c r="V366" s="109"/>
      <c r="W366" s="109"/>
      <c r="X366" s="109"/>
      <c r="Y366" s="109"/>
      <c r="Z366" s="109"/>
    </row>
    <row r="367" ht="29.25" customHeight="1">
      <c r="A367" s="109"/>
      <c r="B367" s="109"/>
      <c r="C367" s="109"/>
      <c r="D367" s="109"/>
      <c r="E367" s="109"/>
      <c r="F367" s="109"/>
      <c r="G367" s="109"/>
      <c r="H367" s="317"/>
      <c r="I367" s="109"/>
      <c r="J367" s="109"/>
      <c r="K367" s="109"/>
      <c r="L367" s="109"/>
      <c r="M367" s="109"/>
      <c r="N367" s="109"/>
      <c r="O367" s="109"/>
      <c r="P367" s="109"/>
      <c r="Q367" s="109"/>
      <c r="R367" s="109"/>
      <c r="S367" s="109"/>
      <c r="T367" s="109"/>
      <c r="U367" s="109"/>
      <c r="V367" s="109"/>
      <c r="W367" s="109"/>
      <c r="X367" s="109"/>
      <c r="Y367" s="109"/>
      <c r="Z367" s="109"/>
    </row>
    <row r="368" ht="29.25" customHeight="1">
      <c r="A368" s="109"/>
      <c r="B368" s="109"/>
      <c r="C368" s="109"/>
      <c r="D368" s="109"/>
      <c r="E368" s="109"/>
      <c r="F368" s="109"/>
      <c r="G368" s="109"/>
      <c r="H368" s="317"/>
      <c r="I368" s="109"/>
      <c r="J368" s="109"/>
      <c r="K368" s="109"/>
      <c r="L368" s="109"/>
      <c r="M368" s="109"/>
      <c r="N368" s="109"/>
      <c r="O368" s="109"/>
      <c r="P368" s="109"/>
      <c r="Q368" s="109"/>
      <c r="R368" s="109"/>
      <c r="S368" s="109"/>
      <c r="T368" s="109"/>
      <c r="U368" s="109"/>
      <c r="V368" s="109"/>
      <c r="W368" s="109"/>
      <c r="X368" s="109"/>
      <c r="Y368" s="109"/>
      <c r="Z368" s="109"/>
    </row>
    <row r="369" ht="29.25" customHeight="1">
      <c r="A369" s="109"/>
      <c r="B369" s="109"/>
      <c r="C369" s="109"/>
      <c r="D369" s="109"/>
      <c r="E369" s="109"/>
      <c r="F369" s="109"/>
      <c r="G369" s="109"/>
      <c r="H369" s="317"/>
      <c r="I369" s="109"/>
      <c r="J369" s="109"/>
      <c r="K369" s="109"/>
      <c r="L369" s="109"/>
      <c r="M369" s="109"/>
      <c r="N369" s="109"/>
      <c r="O369" s="109"/>
      <c r="P369" s="109"/>
      <c r="Q369" s="109"/>
      <c r="R369" s="109"/>
      <c r="S369" s="109"/>
      <c r="T369" s="109"/>
      <c r="U369" s="109"/>
      <c r="V369" s="109"/>
      <c r="W369" s="109"/>
      <c r="X369" s="109"/>
      <c r="Y369" s="109"/>
      <c r="Z369" s="109"/>
    </row>
    <row r="370" ht="29.25" customHeight="1">
      <c r="A370" s="109"/>
      <c r="B370" s="109"/>
      <c r="C370" s="109"/>
      <c r="D370" s="109"/>
      <c r="E370" s="109"/>
      <c r="F370" s="109"/>
      <c r="G370" s="109"/>
      <c r="H370" s="317"/>
      <c r="I370" s="109"/>
      <c r="J370" s="109"/>
      <c r="K370" s="109"/>
      <c r="L370" s="109"/>
      <c r="M370" s="109"/>
      <c r="N370" s="109"/>
      <c r="O370" s="109"/>
      <c r="P370" s="109"/>
      <c r="Q370" s="109"/>
      <c r="R370" s="109"/>
      <c r="S370" s="109"/>
      <c r="T370" s="109"/>
      <c r="U370" s="109"/>
      <c r="V370" s="109"/>
      <c r="W370" s="109"/>
      <c r="X370" s="109"/>
      <c r="Y370" s="109"/>
      <c r="Z370" s="109"/>
    </row>
    <row r="371" ht="29.25" customHeight="1">
      <c r="A371" s="109"/>
      <c r="B371" s="109"/>
      <c r="C371" s="109"/>
      <c r="D371" s="109"/>
      <c r="E371" s="109"/>
      <c r="F371" s="109"/>
      <c r="G371" s="109"/>
      <c r="H371" s="317"/>
      <c r="I371" s="109"/>
      <c r="J371" s="109"/>
      <c r="K371" s="109"/>
      <c r="L371" s="109"/>
      <c r="M371" s="109"/>
      <c r="N371" s="109"/>
      <c r="O371" s="109"/>
      <c r="P371" s="109"/>
      <c r="Q371" s="109"/>
      <c r="R371" s="109"/>
      <c r="S371" s="109"/>
      <c r="T371" s="109"/>
      <c r="U371" s="109"/>
      <c r="V371" s="109"/>
      <c r="W371" s="109"/>
      <c r="X371" s="109"/>
      <c r="Y371" s="109"/>
      <c r="Z371" s="109"/>
    </row>
    <row r="372" ht="29.25" customHeight="1">
      <c r="A372" s="109"/>
      <c r="B372" s="109"/>
      <c r="C372" s="109"/>
      <c r="D372" s="109"/>
      <c r="E372" s="109"/>
      <c r="F372" s="109"/>
      <c r="G372" s="109"/>
      <c r="H372" s="317"/>
      <c r="I372" s="109"/>
      <c r="J372" s="109"/>
      <c r="K372" s="109"/>
      <c r="L372" s="109"/>
      <c r="M372" s="109"/>
      <c r="N372" s="109"/>
      <c r="O372" s="109"/>
      <c r="P372" s="109"/>
      <c r="Q372" s="109"/>
      <c r="R372" s="109"/>
      <c r="S372" s="109"/>
      <c r="T372" s="109"/>
      <c r="U372" s="109"/>
      <c r="V372" s="109"/>
      <c r="W372" s="109"/>
      <c r="X372" s="109"/>
      <c r="Y372" s="109"/>
      <c r="Z372" s="109"/>
    </row>
    <row r="373" ht="29.25" customHeight="1">
      <c r="A373" s="109"/>
      <c r="B373" s="109"/>
      <c r="C373" s="109"/>
      <c r="D373" s="109"/>
      <c r="E373" s="109"/>
      <c r="F373" s="109"/>
      <c r="G373" s="109"/>
      <c r="H373" s="317"/>
      <c r="I373" s="109"/>
      <c r="J373" s="109"/>
      <c r="K373" s="109"/>
      <c r="L373" s="109"/>
      <c r="M373" s="109"/>
      <c r="N373" s="109"/>
      <c r="O373" s="109"/>
      <c r="P373" s="109"/>
      <c r="Q373" s="109"/>
      <c r="R373" s="109"/>
      <c r="S373" s="109"/>
      <c r="T373" s="109"/>
      <c r="U373" s="109"/>
      <c r="V373" s="109"/>
      <c r="W373" s="109"/>
      <c r="X373" s="109"/>
      <c r="Y373" s="109"/>
      <c r="Z373" s="109"/>
    </row>
    <row r="374" ht="29.25" customHeight="1">
      <c r="A374" s="109"/>
      <c r="B374" s="109"/>
      <c r="C374" s="109"/>
      <c r="D374" s="109"/>
      <c r="E374" s="109"/>
      <c r="F374" s="109"/>
      <c r="G374" s="109"/>
      <c r="H374" s="317"/>
      <c r="I374" s="109"/>
      <c r="J374" s="109"/>
      <c r="K374" s="109"/>
      <c r="L374" s="109"/>
      <c r="M374" s="109"/>
      <c r="N374" s="109"/>
      <c r="O374" s="109"/>
      <c r="P374" s="109"/>
      <c r="Q374" s="109"/>
      <c r="R374" s="109"/>
      <c r="S374" s="109"/>
      <c r="T374" s="109"/>
      <c r="U374" s="109"/>
      <c r="V374" s="109"/>
      <c r="W374" s="109"/>
      <c r="X374" s="109"/>
      <c r="Y374" s="109"/>
      <c r="Z374" s="109"/>
    </row>
    <row r="375" ht="29.25" customHeight="1">
      <c r="A375" s="109"/>
      <c r="B375" s="109"/>
      <c r="C375" s="109"/>
      <c r="D375" s="109"/>
      <c r="E375" s="109"/>
      <c r="F375" s="109"/>
      <c r="G375" s="109"/>
      <c r="H375" s="317"/>
      <c r="I375" s="109"/>
      <c r="J375" s="109"/>
      <c r="K375" s="109"/>
      <c r="L375" s="109"/>
      <c r="M375" s="109"/>
      <c r="N375" s="109"/>
      <c r="O375" s="109"/>
      <c r="P375" s="109"/>
      <c r="Q375" s="109"/>
      <c r="R375" s="109"/>
      <c r="S375" s="109"/>
      <c r="T375" s="109"/>
      <c r="U375" s="109"/>
      <c r="V375" s="109"/>
      <c r="W375" s="109"/>
      <c r="X375" s="109"/>
      <c r="Y375" s="109"/>
      <c r="Z375" s="109"/>
    </row>
    <row r="376" ht="29.25" customHeight="1">
      <c r="A376" s="109"/>
      <c r="B376" s="109"/>
      <c r="C376" s="109"/>
      <c r="D376" s="109"/>
      <c r="E376" s="109"/>
      <c r="F376" s="109"/>
      <c r="G376" s="109"/>
      <c r="H376" s="317"/>
      <c r="I376" s="109"/>
      <c r="J376" s="109"/>
      <c r="K376" s="109"/>
      <c r="L376" s="109"/>
      <c r="M376" s="109"/>
      <c r="N376" s="109"/>
      <c r="O376" s="109"/>
      <c r="P376" s="109"/>
      <c r="Q376" s="109"/>
      <c r="R376" s="109"/>
      <c r="S376" s="109"/>
      <c r="T376" s="109"/>
      <c r="U376" s="109"/>
      <c r="V376" s="109"/>
      <c r="W376" s="109"/>
      <c r="X376" s="109"/>
      <c r="Y376" s="109"/>
      <c r="Z376" s="109"/>
    </row>
    <row r="377" ht="29.25" customHeight="1">
      <c r="A377" s="109"/>
      <c r="B377" s="109"/>
      <c r="C377" s="109"/>
      <c r="D377" s="109"/>
      <c r="E377" s="109"/>
      <c r="F377" s="109"/>
      <c r="G377" s="109"/>
      <c r="H377" s="317"/>
      <c r="I377" s="109"/>
      <c r="J377" s="109"/>
      <c r="K377" s="109"/>
      <c r="L377" s="109"/>
      <c r="M377" s="109"/>
      <c r="N377" s="109"/>
      <c r="O377" s="109"/>
      <c r="P377" s="109"/>
      <c r="Q377" s="109"/>
      <c r="R377" s="109"/>
      <c r="S377" s="109"/>
      <c r="T377" s="109"/>
      <c r="U377" s="109"/>
      <c r="V377" s="109"/>
      <c r="W377" s="109"/>
      <c r="X377" s="109"/>
      <c r="Y377" s="109"/>
      <c r="Z377" s="109"/>
    </row>
    <row r="378" ht="29.25" customHeight="1">
      <c r="A378" s="109"/>
      <c r="B378" s="109"/>
      <c r="C378" s="109"/>
      <c r="D378" s="109"/>
      <c r="E378" s="109"/>
      <c r="F378" s="109"/>
      <c r="G378" s="109"/>
      <c r="H378" s="317"/>
      <c r="I378" s="109"/>
      <c r="J378" s="109"/>
      <c r="K378" s="109"/>
      <c r="L378" s="109"/>
      <c r="M378" s="109"/>
      <c r="N378" s="109"/>
      <c r="O378" s="109"/>
      <c r="P378" s="109"/>
      <c r="Q378" s="109"/>
      <c r="R378" s="109"/>
      <c r="S378" s="109"/>
      <c r="T378" s="109"/>
      <c r="U378" s="109"/>
      <c r="V378" s="109"/>
      <c r="W378" s="109"/>
      <c r="X378" s="109"/>
      <c r="Y378" s="109"/>
      <c r="Z378" s="109"/>
    </row>
    <row r="379" ht="29.25" customHeight="1">
      <c r="A379" s="109"/>
      <c r="B379" s="109"/>
      <c r="C379" s="109"/>
      <c r="D379" s="109"/>
      <c r="E379" s="109"/>
      <c r="F379" s="109"/>
      <c r="G379" s="109"/>
      <c r="H379" s="317"/>
      <c r="I379" s="109"/>
      <c r="J379" s="109"/>
      <c r="K379" s="109"/>
      <c r="L379" s="109"/>
      <c r="M379" s="109"/>
      <c r="N379" s="109"/>
      <c r="O379" s="109"/>
      <c r="P379" s="109"/>
      <c r="Q379" s="109"/>
      <c r="R379" s="109"/>
      <c r="S379" s="109"/>
      <c r="T379" s="109"/>
      <c r="U379" s="109"/>
      <c r="V379" s="109"/>
      <c r="W379" s="109"/>
      <c r="X379" s="109"/>
      <c r="Y379" s="109"/>
      <c r="Z379" s="109"/>
    </row>
    <row r="380" ht="29.25" customHeight="1">
      <c r="A380" s="109"/>
      <c r="B380" s="109"/>
      <c r="C380" s="109"/>
      <c r="D380" s="109"/>
      <c r="E380" s="109"/>
      <c r="F380" s="109"/>
      <c r="G380" s="109"/>
      <c r="H380" s="317"/>
      <c r="I380" s="109"/>
      <c r="J380" s="109"/>
      <c r="K380" s="109"/>
      <c r="L380" s="109"/>
      <c r="M380" s="109"/>
      <c r="N380" s="109"/>
      <c r="O380" s="109"/>
      <c r="P380" s="109"/>
      <c r="Q380" s="109"/>
      <c r="R380" s="109"/>
      <c r="S380" s="109"/>
      <c r="T380" s="109"/>
      <c r="U380" s="109"/>
      <c r="V380" s="109"/>
      <c r="W380" s="109"/>
      <c r="X380" s="109"/>
      <c r="Y380" s="109"/>
      <c r="Z380" s="109"/>
    </row>
    <row r="381" ht="29.25" customHeight="1">
      <c r="A381" s="109"/>
      <c r="B381" s="109"/>
      <c r="C381" s="109"/>
      <c r="D381" s="109"/>
      <c r="E381" s="109"/>
      <c r="F381" s="109"/>
      <c r="G381" s="109"/>
      <c r="H381" s="317"/>
      <c r="I381" s="109"/>
      <c r="J381" s="109"/>
      <c r="K381" s="109"/>
      <c r="L381" s="109"/>
      <c r="M381" s="109"/>
      <c r="N381" s="109"/>
      <c r="O381" s="109"/>
      <c r="P381" s="109"/>
      <c r="Q381" s="109"/>
      <c r="R381" s="109"/>
      <c r="S381" s="109"/>
      <c r="T381" s="109"/>
      <c r="U381" s="109"/>
      <c r="V381" s="109"/>
      <c r="W381" s="109"/>
      <c r="X381" s="109"/>
      <c r="Y381" s="109"/>
      <c r="Z381" s="109"/>
    </row>
    <row r="382" ht="29.25" customHeight="1">
      <c r="A382" s="109"/>
      <c r="B382" s="109"/>
      <c r="C382" s="109"/>
      <c r="D382" s="109"/>
      <c r="E382" s="109"/>
      <c r="F382" s="109"/>
      <c r="G382" s="109"/>
      <c r="H382" s="317"/>
      <c r="I382" s="109"/>
      <c r="J382" s="109"/>
      <c r="K382" s="109"/>
      <c r="L382" s="109"/>
      <c r="M382" s="109"/>
      <c r="N382" s="109"/>
      <c r="O382" s="109"/>
      <c r="P382" s="109"/>
      <c r="Q382" s="109"/>
      <c r="R382" s="109"/>
      <c r="S382" s="109"/>
      <c r="T382" s="109"/>
      <c r="U382" s="109"/>
      <c r="V382" s="109"/>
      <c r="W382" s="109"/>
      <c r="X382" s="109"/>
      <c r="Y382" s="109"/>
      <c r="Z382" s="109"/>
    </row>
    <row r="383" ht="29.25" customHeight="1">
      <c r="A383" s="109"/>
      <c r="B383" s="109"/>
      <c r="C383" s="109"/>
      <c r="D383" s="109"/>
      <c r="E383" s="109"/>
      <c r="F383" s="109"/>
      <c r="G383" s="109"/>
      <c r="H383" s="317"/>
      <c r="I383" s="109"/>
      <c r="J383" s="109"/>
      <c r="K383" s="109"/>
      <c r="L383" s="109"/>
      <c r="M383" s="109"/>
      <c r="N383" s="109"/>
      <c r="O383" s="109"/>
      <c r="P383" s="109"/>
      <c r="Q383" s="109"/>
      <c r="R383" s="109"/>
      <c r="S383" s="109"/>
      <c r="T383" s="109"/>
      <c r="U383" s="109"/>
      <c r="V383" s="109"/>
      <c r="W383" s="109"/>
      <c r="X383" s="109"/>
      <c r="Y383" s="109"/>
      <c r="Z383" s="109"/>
    </row>
    <row r="384" ht="29.25" customHeight="1">
      <c r="A384" s="109"/>
      <c r="B384" s="109"/>
      <c r="C384" s="109"/>
      <c r="D384" s="109"/>
      <c r="E384" s="109"/>
      <c r="F384" s="109"/>
      <c r="G384" s="109"/>
      <c r="H384" s="317"/>
      <c r="I384" s="109"/>
      <c r="J384" s="109"/>
      <c r="K384" s="109"/>
      <c r="L384" s="109"/>
      <c r="M384" s="109"/>
      <c r="N384" s="109"/>
      <c r="O384" s="109"/>
      <c r="P384" s="109"/>
      <c r="Q384" s="109"/>
      <c r="R384" s="109"/>
      <c r="S384" s="109"/>
      <c r="T384" s="109"/>
      <c r="U384" s="109"/>
      <c r="V384" s="109"/>
      <c r="W384" s="109"/>
      <c r="X384" s="109"/>
      <c r="Y384" s="109"/>
      <c r="Z384" s="109"/>
    </row>
    <row r="385" ht="29.25" customHeight="1">
      <c r="A385" s="109"/>
      <c r="B385" s="109"/>
      <c r="C385" s="109"/>
      <c r="D385" s="109"/>
      <c r="E385" s="109"/>
      <c r="F385" s="109"/>
      <c r="G385" s="109"/>
      <c r="H385" s="317"/>
      <c r="I385" s="109"/>
      <c r="J385" s="109"/>
      <c r="K385" s="109"/>
      <c r="L385" s="109"/>
      <c r="M385" s="109"/>
      <c r="N385" s="109"/>
      <c r="O385" s="109"/>
      <c r="P385" s="109"/>
      <c r="Q385" s="109"/>
      <c r="R385" s="109"/>
      <c r="S385" s="109"/>
      <c r="T385" s="109"/>
      <c r="U385" s="109"/>
      <c r="V385" s="109"/>
      <c r="W385" s="109"/>
      <c r="X385" s="109"/>
      <c r="Y385" s="109"/>
      <c r="Z385" s="109"/>
    </row>
    <row r="386" ht="29.25" customHeight="1">
      <c r="A386" s="109"/>
      <c r="B386" s="109"/>
      <c r="C386" s="109"/>
      <c r="D386" s="109"/>
      <c r="E386" s="109"/>
      <c r="F386" s="109"/>
      <c r="G386" s="109"/>
      <c r="H386" s="317"/>
      <c r="I386" s="109"/>
      <c r="J386" s="109"/>
      <c r="K386" s="109"/>
      <c r="L386" s="109"/>
      <c r="M386" s="109"/>
      <c r="N386" s="109"/>
      <c r="O386" s="109"/>
      <c r="P386" s="109"/>
      <c r="Q386" s="109"/>
      <c r="R386" s="109"/>
      <c r="S386" s="109"/>
      <c r="T386" s="109"/>
      <c r="U386" s="109"/>
      <c r="V386" s="109"/>
      <c r="W386" s="109"/>
      <c r="X386" s="109"/>
      <c r="Y386" s="109"/>
      <c r="Z386" s="109"/>
    </row>
    <row r="387" ht="29.25" customHeight="1">
      <c r="A387" s="109"/>
      <c r="B387" s="109"/>
      <c r="C387" s="109"/>
      <c r="D387" s="109"/>
      <c r="E387" s="109"/>
      <c r="F387" s="109"/>
      <c r="G387" s="109"/>
      <c r="H387" s="317"/>
      <c r="I387" s="109"/>
      <c r="J387" s="109"/>
      <c r="K387" s="109"/>
      <c r="L387" s="109"/>
      <c r="M387" s="109"/>
      <c r="N387" s="109"/>
      <c r="O387" s="109"/>
      <c r="P387" s="109"/>
      <c r="Q387" s="109"/>
      <c r="R387" s="109"/>
      <c r="S387" s="109"/>
      <c r="T387" s="109"/>
      <c r="U387" s="109"/>
      <c r="V387" s="109"/>
      <c r="W387" s="109"/>
      <c r="X387" s="109"/>
      <c r="Y387" s="109"/>
      <c r="Z387" s="109"/>
    </row>
    <row r="388" ht="29.25" customHeight="1">
      <c r="A388" s="109"/>
      <c r="B388" s="109"/>
      <c r="C388" s="109"/>
      <c r="D388" s="109"/>
      <c r="E388" s="109"/>
      <c r="F388" s="109"/>
      <c r="G388" s="109"/>
      <c r="H388" s="317"/>
      <c r="I388" s="109"/>
      <c r="J388" s="109"/>
      <c r="K388" s="109"/>
      <c r="L388" s="109"/>
      <c r="M388" s="109"/>
      <c r="N388" s="109"/>
      <c r="O388" s="109"/>
      <c r="P388" s="109"/>
      <c r="Q388" s="109"/>
      <c r="R388" s="109"/>
      <c r="S388" s="109"/>
      <c r="T388" s="109"/>
      <c r="U388" s="109"/>
      <c r="V388" s="109"/>
      <c r="W388" s="109"/>
      <c r="X388" s="109"/>
      <c r="Y388" s="109"/>
      <c r="Z388" s="109"/>
    </row>
    <row r="389" ht="29.25" customHeight="1">
      <c r="A389" s="109"/>
      <c r="B389" s="109"/>
      <c r="C389" s="109"/>
      <c r="D389" s="109"/>
      <c r="E389" s="109"/>
      <c r="F389" s="109"/>
      <c r="G389" s="109"/>
      <c r="H389" s="317"/>
      <c r="I389" s="109"/>
      <c r="J389" s="109"/>
      <c r="K389" s="109"/>
      <c r="L389" s="109"/>
      <c r="M389" s="109"/>
      <c r="N389" s="109"/>
      <c r="O389" s="109"/>
      <c r="P389" s="109"/>
      <c r="Q389" s="109"/>
      <c r="R389" s="109"/>
      <c r="S389" s="109"/>
      <c r="T389" s="109"/>
      <c r="U389" s="109"/>
      <c r="V389" s="109"/>
      <c r="W389" s="109"/>
      <c r="X389" s="109"/>
      <c r="Y389" s="109"/>
      <c r="Z389" s="109"/>
    </row>
    <row r="390" ht="29.25" customHeight="1">
      <c r="A390" s="109"/>
      <c r="B390" s="109"/>
      <c r="C390" s="109"/>
      <c r="D390" s="109"/>
      <c r="E390" s="109"/>
      <c r="F390" s="109"/>
      <c r="G390" s="109"/>
      <c r="H390" s="317"/>
      <c r="I390" s="109"/>
      <c r="J390" s="109"/>
      <c r="K390" s="109"/>
      <c r="L390" s="109"/>
      <c r="M390" s="109"/>
      <c r="N390" s="109"/>
      <c r="O390" s="109"/>
      <c r="P390" s="109"/>
      <c r="Q390" s="109"/>
      <c r="R390" s="109"/>
      <c r="S390" s="109"/>
      <c r="T390" s="109"/>
      <c r="U390" s="109"/>
      <c r="V390" s="109"/>
      <c r="W390" s="109"/>
      <c r="X390" s="109"/>
      <c r="Y390" s="109"/>
      <c r="Z390" s="109"/>
    </row>
    <row r="391" ht="29.25" customHeight="1">
      <c r="A391" s="109"/>
      <c r="B391" s="109"/>
      <c r="C391" s="109"/>
      <c r="D391" s="109"/>
      <c r="E391" s="109"/>
      <c r="F391" s="109"/>
      <c r="G391" s="109"/>
      <c r="H391" s="317"/>
      <c r="I391" s="109"/>
      <c r="J391" s="109"/>
      <c r="K391" s="109"/>
      <c r="L391" s="109"/>
      <c r="M391" s="109"/>
      <c r="N391" s="109"/>
      <c r="O391" s="109"/>
      <c r="P391" s="109"/>
      <c r="Q391" s="109"/>
      <c r="R391" s="109"/>
      <c r="S391" s="109"/>
      <c r="T391" s="109"/>
      <c r="U391" s="109"/>
      <c r="V391" s="109"/>
      <c r="W391" s="109"/>
      <c r="X391" s="109"/>
      <c r="Y391" s="109"/>
      <c r="Z391" s="109"/>
    </row>
    <row r="392" ht="29.25" customHeight="1">
      <c r="A392" s="109"/>
      <c r="B392" s="109"/>
      <c r="C392" s="109"/>
      <c r="D392" s="109"/>
      <c r="E392" s="109"/>
      <c r="F392" s="109"/>
      <c r="G392" s="109"/>
      <c r="H392" s="317"/>
      <c r="I392" s="109"/>
      <c r="J392" s="109"/>
      <c r="K392" s="109"/>
      <c r="L392" s="109"/>
      <c r="M392" s="109"/>
      <c r="N392" s="109"/>
      <c r="O392" s="109"/>
      <c r="P392" s="109"/>
      <c r="Q392" s="109"/>
      <c r="R392" s="109"/>
      <c r="S392" s="109"/>
      <c r="T392" s="109"/>
      <c r="U392" s="109"/>
      <c r="V392" s="109"/>
      <c r="W392" s="109"/>
      <c r="X392" s="109"/>
      <c r="Y392" s="109"/>
      <c r="Z392" s="109"/>
    </row>
    <row r="393" ht="29.25" customHeight="1">
      <c r="A393" s="109"/>
      <c r="B393" s="109"/>
      <c r="C393" s="109"/>
      <c r="D393" s="109"/>
      <c r="E393" s="109"/>
      <c r="F393" s="109"/>
      <c r="G393" s="109"/>
      <c r="H393" s="317"/>
      <c r="I393" s="109"/>
      <c r="J393" s="109"/>
      <c r="K393" s="109"/>
      <c r="L393" s="109"/>
      <c r="M393" s="109"/>
      <c r="N393" s="109"/>
      <c r="O393" s="109"/>
      <c r="P393" s="109"/>
      <c r="Q393" s="109"/>
      <c r="R393" s="109"/>
      <c r="S393" s="109"/>
      <c r="T393" s="109"/>
      <c r="U393" s="109"/>
      <c r="V393" s="109"/>
      <c r="W393" s="109"/>
      <c r="X393" s="109"/>
      <c r="Y393" s="109"/>
      <c r="Z393" s="109"/>
    </row>
    <row r="394" ht="29.25" customHeight="1">
      <c r="A394" s="109"/>
      <c r="B394" s="109"/>
      <c r="C394" s="109"/>
      <c r="D394" s="109"/>
      <c r="E394" s="109"/>
      <c r="F394" s="109"/>
      <c r="G394" s="109"/>
      <c r="H394" s="317"/>
      <c r="I394" s="109"/>
      <c r="J394" s="109"/>
      <c r="K394" s="109"/>
      <c r="L394" s="109"/>
      <c r="M394" s="109"/>
      <c r="N394" s="109"/>
      <c r="O394" s="109"/>
      <c r="P394" s="109"/>
      <c r="Q394" s="109"/>
      <c r="R394" s="109"/>
      <c r="S394" s="109"/>
      <c r="T394" s="109"/>
      <c r="U394" s="109"/>
      <c r="V394" s="109"/>
      <c r="W394" s="109"/>
      <c r="X394" s="109"/>
      <c r="Y394" s="109"/>
      <c r="Z394" s="109"/>
    </row>
    <row r="395" ht="29.25" customHeight="1">
      <c r="A395" s="109"/>
      <c r="B395" s="109"/>
      <c r="C395" s="109"/>
      <c r="D395" s="109"/>
      <c r="E395" s="109"/>
      <c r="F395" s="109"/>
      <c r="G395" s="109"/>
      <c r="H395" s="317"/>
      <c r="I395" s="109"/>
      <c r="J395" s="109"/>
      <c r="K395" s="109"/>
      <c r="L395" s="109"/>
      <c r="M395" s="109"/>
      <c r="N395" s="109"/>
      <c r="O395" s="109"/>
      <c r="P395" s="109"/>
      <c r="Q395" s="109"/>
      <c r="R395" s="109"/>
      <c r="S395" s="109"/>
      <c r="T395" s="109"/>
      <c r="U395" s="109"/>
      <c r="V395" s="109"/>
      <c r="W395" s="109"/>
      <c r="X395" s="109"/>
      <c r="Y395" s="109"/>
      <c r="Z395" s="109"/>
    </row>
    <row r="396" ht="29.25" customHeight="1">
      <c r="A396" s="109"/>
      <c r="B396" s="109"/>
      <c r="C396" s="109"/>
      <c r="D396" s="109"/>
      <c r="E396" s="109"/>
      <c r="F396" s="109"/>
      <c r="G396" s="109"/>
      <c r="H396" s="317"/>
      <c r="I396" s="109"/>
      <c r="J396" s="109"/>
      <c r="K396" s="109"/>
      <c r="L396" s="109"/>
      <c r="M396" s="109"/>
      <c r="N396" s="109"/>
      <c r="O396" s="109"/>
      <c r="P396" s="109"/>
      <c r="Q396" s="109"/>
      <c r="R396" s="109"/>
      <c r="S396" s="109"/>
      <c r="T396" s="109"/>
      <c r="U396" s="109"/>
      <c r="V396" s="109"/>
      <c r="W396" s="109"/>
      <c r="X396" s="109"/>
      <c r="Y396" s="109"/>
      <c r="Z396" s="109"/>
    </row>
    <row r="397" ht="29.25" customHeight="1">
      <c r="A397" s="109"/>
      <c r="B397" s="109"/>
      <c r="C397" s="109"/>
      <c r="D397" s="109"/>
      <c r="E397" s="109"/>
      <c r="F397" s="109"/>
      <c r="G397" s="109"/>
      <c r="H397" s="317"/>
      <c r="I397" s="109"/>
      <c r="J397" s="109"/>
      <c r="K397" s="109"/>
      <c r="L397" s="109"/>
      <c r="M397" s="109"/>
      <c r="N397" s="109"/>
      <c r="O397" s="109"/>
      <c r="P397" s="109"/>
      <c r="Q397" s="109"/>
      <c r="R397" s="109"/>
      <c r="S397" s="109"/>
      <c r="T397" s="109"/>
      <c r="U397" s="109"/>
      <c r="V397" s="109"/>
      <c r="W397" s="109"/>
      <c r="X397" s="109"/>
      <c r="Y397" s="109"/>
      <c r="Z397" s="109"/>
    </row>
    <row r="398" ht="29.25" customHeight="1">
      <c r="A398" s="109"/>
      <c r="B398" s="109"/>
      <c r="C398" s="109"/>
      <c r="D398" s="109"/>
      <c r="E398" s="109"/>
      <c r="F398" s="109"/>
      <c r="G398" s="109"/>
      <c r="H398" s="317"/>
      <c r="I398" s="109"/>
      <c r="J398" s="109"/>
      <c r="K398" s="109"/>
      <c r="L398" s="109"/>
      <c r="M398" s="109"/>
      <c r="N398" s="109"/>
      <c r="O398" s="109"/>
      <c r="P398" s="109"/>
      <c r="Q398" s="109"/>
      <c r="R398" s="109"/>
      <c r="S398" s="109"/>
      <c r="T398" s="109"/>
      <c r="U398" s="109"/>
      <c r="V398" s="109"/>
      <c r="W398" s="109"/>
      <c r="X398" s="109"/>
      <c r="Y398" s="109"/>
      <c r="Z398" s="109"/>
    </row>
    <row r="399" ht="29.25" customHeight="1">
      <c r="A399" s="109"/>
      <c r="B399" s="109"/>
      <c r="C399" s="109"/>
      <c r="D399" s="109"/>
      <c r="E399" s="109"/>
      <c r="F399" s="109"/>
      <c r="G399" s="109"/>
      <c r="H399" s="317"/>
      <c r="I399" s="109"/>
      <c r="J399" s="109"/>
      <c r="K399" s="109"/>
      <c r="L399" s="109"/>
      <c r="M399" s="109"/>
      <c r="N399" s="109"/>
      <c r="O399" s="109"/>
      <c r="P399" s="109"/>
      <c r="Q399" s="109"/>
      <c r="R399" s="109"/>
      <c r="S399" s="109"/>
      <c r="T399" s="109"/>
      <c r="U399" s="109"/>
      <c r="V399" s="109"/>
      <c r="W399" s="109"/>
      <c r="X399" s="109"/>
      <c r="Y399" s="109"/>
      <c r="Z399" s="109"/>
    </row>
    <row r="400" ht="29.25" customHeight="1">
      <c r="A400" s="109"/>
      <c r="B400" s="109"/>
      <c r="C400" s="109"/>
      <c r="D400" s="109"/>
      <c r="E400" s="109"/>
      <c r="F400" s="109"/>
      <c r="G400" s="109"/>
      <c r="H400" s="317"/>
      <c r="I400" s="109"/>
      <c r="J400" s="109"/>
      <c r="K400" s="109"/>
      <c r="L400" s="109"/>
      <c r="M400" s="109"/>
      <c r="N400" s="109"/>
      <c r="O400" s="109"/>
      <c r="P400" s="109"/>
      <c r="Q400" s="109"/>
      <c r="R400" s="109"/>
      <c r="S400" s="109"/>
      <c r="T400" s="109"/>
      <c r="U400" s="109"/>
      <c r="V400" s="109"/>
      <c r="W400" s="109"/>
      <c r="X400" s="109"/>
      <c r="Y400" s="109"/>
      <c r="Z400" s="109"/>
    </row>
    <row r="401" ht="29.25" customHeight="1">
      <c r="A401" s="109"/>
      <c r="B401" s="109"/>
      <c r="C401" s="109"/>
      <c r="D401" s="109"/>
      <c r="E401" s="109"/>
      <c r="F401" s="109"/>
      <c r="G401" s="109"/>
      <c r="H401" s="317"/>
      <c r="I401" s="109"/>
      <c r="J401" s="109"/>
      <c r="K401" s="109"/>
      <c r="L401" s="109"/>
      <c r="M401" s="109"/>
      <c r="N401" s="109"/>
      <c r="O401" s="109"/>
      <c r="P401" s="109"/>
      <c r="Q401" s="109"/>
      <c r="R401" s="109"/>
      <c r="S401" s="109"/>
      <c r="T401" s="109"/>
      <c r="U401" s="109"/>
      <c r="V401" s="109"/>
      <c r="W401" s="109"/>
      <c r="X401" s="109"/>
      <c r="Y401" s="109"/>
      <c r="Z401" s="109"/>
    </row>
    <row r="402" ht="29.25" customHeight="1">
      <c r="A402" s="109"/>
      <c r="B402" s="109"/>
      <c r="C402" s="109"/>
      <c r="D402" s="109"/>
      <c r="E402" s="109"/>
      <c r="F402" s="109"/>
      <c r="G402" s="109"/>
      <c r="H402" s="317"/>
      <c r="I402" s="109"/>
      <c r="J402" s="109"/>
      <c r="K402" s="109"/>
      <c r="L402" s="109"/>
      <c r="M402" s="109"/>
      <c r="N402" s="109"/>
      <c r="O402" s="109"/>
      <c r="P402" s="109"/>
      <c r="Q402" s="109"/>
      <c r="R402" s="109"/>
      <c r="S402" s="109"/>
      <c r="T402" s="109"/>
      <c r="U402" s="109"/>
      <c r="V402" s="109"/>
      <c r="W402" s="109"/>
      <c r="X402" s="109"/>
      <c r="Y402" s="109"/>
      <c r="Z402" s="109"/>
    </row>
    <row r="403" ht="29.25" customHeight="1">
      <c r="A403" s="109"/>
      <c r="B403" s="109"/>
      <c r="C403" s="109"/>
      <c r="D403" s="109"/>
      <c r="E403" s="109"/>
      <c r="F403" s="109"/>
      <c r="G403" s="109"/>
      <c r="H403" s="317"/>
      <c r="I403" s="109"/>
      <c r="J403" s="109"/>
      <c r="K403" s="109"/>
      <c r="L403" s="109"/>
      <c r="M403" s="109"/>
      <c r="N403" s="109"/>
      <c r="O403" s="109"/>
      <c r="P403" s="109"/>
      <c r="Q403" s="109"/>
      <c r="R403" s="109"/>
      <c r="S403" s="109"/>
      <c r="T403" s="109"/>
      <c r="U403" s="109"/>
      <c r="V403" s="109"/>
      <c r="W403" s="109"/>
      <c r="X403" s="109"/>
      <c r="Y403" s="109"/>
      <c r="Z403" s="109"/>
    </row>
    <row r="404" ht="29.25" customHeight="1">
      <c r="A404" s="109"/>
      <c r="B404" s="109"/>
      <c r="C404" s="109"/>
      <c r="D404" s="109"/>
      <c r="E404" s="109"/>
      <c r="F404" s="109"/>
      <c r="G404" s="109"/>
      <c r="H404" s="317"/>
      <c r="I404" s="109"/>
      <c r="J404" s="109"/>
      <c r="K404" s="109"/>
      <c r="L404" s="109"/>
      <c r="M404" s="109"/>
      <c r="N404" s="109"/>
      <c r="O404" s="109"/>
      <c r="P404" s="109"/>
      <c r="Q404" s="109"/>
      <c r="R404" s="109"/>
      <c r="S404" s="109"/>
      <c r="T404" s="109"/>
      <c r="U404" s="109"/>
      <c r="V404" s="109"/>
      <c r="W404" s="109"/>
      <c r="X404" s="109"/>
      <c r="Y404" s="109"/>
      <c r="Z404" s="109"/>
    </row>
    <row r="405" ht="29.25" customHeight="1">
      <c r="A405" s="109"/>
      <c r="B405" s="109"/>
      <c r="C405" s="109"/>
      <c r="D405" s="109"/>
      <c r="E405" s="109"/>
      <c r="F405" s="109"/>
      <c r="G405" s="109"/>
      <c r="H405" s="317"/>
      <c r="I405" s="109"/>
      <c r="J405" s="109"/>
      <c r="K405" s="109"/>
      <c r="L405" s="109"/>
      <c r="M405" s="109"/>
      <c r="N405" s="109"/>
      <c r="O405" s="109"/>
      <c r="P405" s="109"/>
      <c r="Q405" s="109"/>
      <c r="R405" s="109"/>
      <c r="S405" s="109"/>
      <c r="T405" s="109"/>
      <c r="U405" s="109"/>
      <c r="V405" s="109"/>
      <c r="W405" s="109"/>
      <c r="X405" s="109"/>
      <c r="Y405" s="109"/>
      <c r="Z405" s="109"/>
    </row>
    <row r="406" ht="29.25" customHeight="1">
      <c r="A406" s="109"/>
      <c r="B406" s="109"/>
      <c r="C406" s="109"/>
      <c r="D406" s="109"/>
      <c r="E406" s="109"/>
      <c r="F406" s="109"/>
      <c r="G406" s="109"/>
      <c r="H406" s="317"/>
      <c r="I406" s="109"/>
      <c r="J406" s="109"/>
      <c r="K406" s="109"/>
      <c r="L406" s="109"/>
      <c r="M406" s="109"/>
      <c r="N406" s="109"/>
      <c r="O406" s="109"/>
      <c r="P406" s="109"/>
      <c r="Q406" s="109"/>
      <c r="R406" s="109"/>
      <c r="S406" s="109"/>
      <c r="T406" s="109"/>
      <c r="U406" s="109"/>
      <c r="V406" s="109"/>
      <c r="W406" s="109"/>
      <c r="X406" s="109"/>
      <c r="Y406" s="109"/>
      <c r="Z406" s="109"/>
    </row>
    <row r="407" ht="29.25" customHeight="1">
      <c r="A407" s="109"/>
      <c r="B407" s="109"/>
      <c r="C407" s="109"/>
      <c r="D407" s="109"/>
      <c r="E407" s="109"/>
      <c r="F407" s="109"/>
      <c r="G407" s="109"/>
      <c r="H407" s="317"/>
      <c r="I407" s="109"/>
      <c r="J407" s="109"/>
      <c r="K407" s="109"/>
      <c r="L407" s="109"/>
      <c r="M407" s="109"/>
      <c r="N407" s="109"/>
      <c r="O407" s="109"/>
      <c r="P407" s="109"/>
      <c r="Q407" s="109"/>
      <c r="R407" s="109"/>
      <c r="S407" s="109"/>
      <c r="T407" s="109"/>
      <c r="U407" s="109"/>
      <c r="V407" s="109"/>
      <c r="W407" s="109"/>
      <c r="X407" s="109"/>
      <c r="Y407" s="109"/>
      <c r="Z407" s="109"/>
    </row>
    <row r="408" ht="29.25" customHeight="1">
      <c r="A408" s="109"/>
      <c r="B408" s="109"/>
      <c r="C408" s="109"/>
      <c r="D408" s="109"/>
      <c r="E408" s="109"/>
      <c r="F408" s="109"/>
      <c r="G408" s="109"/>
      <c r="H408" s="317"/>
      <c r="I408" s="109"/>
      <c r="J408" s="109"/>
      <c r="K408" s="109"/>
      <c r="L408" s="109"/>
      <c r="M408" s="109"/>
      <c r="N408" s="109"/>
      <c r="O408" s="109"/>
      <c r="P408" s="109"/>
      <c r="Q408" s="109"/>
      <c r="R408" s="109"/>
      <c r="S408" s="109"/>
      <c r="T408" s="109"/>
      <c r="U408" s="109"/>
      <c r="V408" s="109"/>
      <c r="W408" s="109"/>
      <c r="X408" s="109"/>
      <c r="Y408" s="109"/>
      <c r="Z408" s="109"/>
    </row>
    <row r="409" ht="29.25" customHeight="1">
      <c r="A409" s="109"/>
      <c r="B409" s="109"/>
      <c r="C409" s="109"/>
      <c r="D409" s="109"/>
      <c r="E409" s="109"/>
      <c r="F409" s="109"/>
      <c r="G409" s="109"/>
      <c r="H409" s="317"/>
      <c r="I409" s="109"/>
      <c r="J409" s="109"/>
      <c r="K409" s="109"/>
      <c r="L409" s="109"/>
      <c r="M409" s="109"/>
      <c r="N409" s="109"/>
      <c r="O409" s="109"/>
      <c r="P409" s="109"/>
      <c r="Q409" s="109"/>
      <c r="R409" s="109"/>
      <c r="S409" s="109"/>
      <c r="T409" s="109"/>
      <c r="U409" s="109"/>
      <c r="V409" s="109"/>
      <c r="W409" s="109"/>
      <c r="X409" s="109"/>
      <c r="Y409" s="109"/>
      <c r="Z409" s="109"/>
    </row>
    <row r="410" ht="29.25" customHeight="1">
      <c r="A410" s="109"/>
      <c r="B410" s="109"/>
      <c r="C410" s="109"/>
      <c r="D410" s="109"/>
      <c r="E410" s="109"/>
      <c r="F410" s="109"/>
      <c r="G410" s="109"/>
      <c r="H410" s="317"/>
      <c r="I410" s="109"/>
      <c r="J410" s="109"/>
      <c r="K410" s="109"/>
      <c r="L410" s="109"/>
      <c r="M410" s="109"/>
      <c r="N410" s="109"/>
      <c r="O410" s="109"/>
      <c r="P410" s="109"/>
      <c r="Q410" s="109"/>
      <c r="R410" s="109"/>
      <c r="S410" s="109"/>
      <c r="T410" s="109"/>
      <c r="U410" s="109"/>
      <c r="V410" s="109"/>
      <c r="W410" s="109"/>
      <c r="X410" s="109"/>
      <c r="Y410" s="109"/>
      <c r="Z410" s="109"/>
    </row>
    <row r="411" ht="29.25" customHeight="1">
      <c r="A411" s="109"/>
      <c r="B411" s="109"/>
      <c r="C411" s="109"/>
      <c r="D411" s="109"/>
      <c r="E411" s="109"/>
      <c r="F411" s="109"/>
      <c r="G411" s="109"/>
      <c r="H411" s="317"/>
      <c r="I411" s="109"/>
      <c r="J411" s="109"/>
      <c r="K411" s="109"/>
      <c r="L411" s="109"/>
      <c r="M411" s="109"/>
      <c r="N411" s="109"/>
      <c r="O411" s="109"/>
      <c r="P411" s="109"/>
      <c r="Q411" s="109"/>
      <c r="R411" s="109"/>
      <c r="S411" s="109"/>
      <c r="T411" s="109"/>
      <c r="U411" s="109"/>
      <c r="V411" s="109"/>
      <c r="W411" s="109"/>
      <c r="X411" s="109"/>
      <c r="Y411" s="109"/>
      <c r="Z411" s="109"/>
    </row>
    <row r="412" ht="29.25" customHeight="1">
      <c r="A412" s="109"/>
      <c r="B412" s="109"/>
      <c r="C412" s="109"/>
      <c r="D412" s="109"/>
      <c r="E412" s="109"/>
      <c r="F412" s="109"/>
      <c r="G412" s="109"/>
      <c r="H412" s="317"/>
      <c r="I412" s="109"/>
      <c r="J412" s="109"/>
      <c r="K412" s="109"/>
      <c r="L412" s="109"/>
      <c r="M412" s="109"/>
      <c r="N412" s="109"/>
      <c r="O412" s="109"/>
      <c r="P412" s="109"/>
      <c r="Q412" s="109"/>
      <c r="R412" s="109"/>
      <c r="S412" s="109"/>
      <c r="T412" s="109"/>
      <c r="U412" s="109"/>
      <c r="V412" s="109"/>
      <c r="W412" s="109"/>
      <c r="X412" s="109"/>
      <c r="Y412" s="109"/>
      <c r="Z412" s="109"/>
    </row>
    <row r="413" ht="29.25" customHeight="1">
      <c r="A413" s="109"/>
      <c r="B413" s="109"/>
      <c r="C413" s="109"/>
      <c r="D413" s="109"/>
      <c r="E413" s="109"/>
      <c r="F413" s="109"/>
      <c r="G413" s="109"/>
      <c r="H413" s="317"/>
      <c r="I413" s="109"/>
      <c r="J413" s="109"/>
      <c r="K413" s="109"/>
      <c r="L413" s="109"/>
      <c r="M413" s="109"/>
      <c r="N413" s="109"/>
      <c r="O413" s="109"/>
      <c r="P413" s="109"/>
      <c r="Q413" s="109"/>
      <c r="R413" s="109"/>
      <c r="S413" s="109"/>
      <c r="T413" s="109"/>
      <c r="U413" s="109"/>
      <c r="V413" s="109"/>
      <c r="W413" s="109"/>
      <c r="X413" s="109"/>
      <c r="Y413" s="109"/>
      <c r="Z413" s="109"/>
    </row>
    <row r="414" ht="29.25" customHeight="1">
      <c r="A414" s="109"/>
      <c r="B414" s="109"/>
      <c r="C414" s="109"/>
      <c r="D414" s="109"/>
      <c r="E414" s="109"/>
      <c r="F414" s="109"/>
      <c r="G414" s="109"/>
      <c r="H414" s="317"/>
      <c r="I414" s="109"/>
      <c r="J414" s="109"/>
      <c r="K414" s="109"/>
      <c r="L414" s="109"/>
      <c r="M414" s="109"/>
      <c r="N414" s="109"/>
      <c r="O414" s="109"/>
      <c r="P414" s="109"/>
      <c r="Q414" s="109"/>
      <c r="R414" s="109"/>
      <c r="S414" s="109"/>
      <c r="T414" s="109"/>
      <c r="U414" s="109"/>
      <c r="V414" s="109"/>
      <c r="W414" s="109"/>
      <c r="X414" s="109"/>
      <c r="Y414" s="109"/>
      <c r="Z414" s="109"/>
    </row>
    <row r="415" ht="29.25" customHeight="1">
      <c r="A415" s="109"/>
      <c r="B415" s="109"/>
      <c r="C415" s="109"/>
      <c r="D415" s="109"/>
      <c r="E415" s="109"/>
      <c r="F415" s="109"/>
      <c r="G415" s="109"/>
      <c r="H415" s="317"/>
      <c r="I415" s="109"/>
      <c r="J415" s="109"/>
      <c r="K415" s="109"/>
      <c r="L415" s="109"/>
      <c r="M415" s="109"/>
      <c r="N415" s="109"/>
      <c r="O415" s="109"/>
      <c r="P415" s="109"/>
      <c r="Q415" s="109"/>
      <c r="R415" s="109"/>
      <c r="S415" s="109"/>
      <c r="T415" s="109"/>
      <c r="U415" s="109"/>
      <c r="V415" s="109"/>
      <c r="W415" s="109"/>
      <c r="X415" s="109"/>
      <c r="Y415" s="109"/>
      <c r="Z415" s="109"/>
    </row>
    <row r="416" ht="29.25" customHeight="1">
      <c r="A416" s="109"/>
      <c r="B416" s="109"/>
      <c r="C416" s="109"/>
      <c r="D416" s="109"/>
      <c r="E416" s="109"/>
      <c r="F416" s="109"/>
      <c r="G416" s="109"/>
      <c r="H416" s="317"/>
      <c r="I416" s="109"/>
      <c r="J416" s="109"/>
      <c r="K416" s="109"/>
      <c r="L416" s="109"/>
      <c r="M416" s="109"/>
      <c r="N416" s="109"/>
      <c r="O416" s="109"/>
      <c r="P416" s="109"/>
      <c r="Q416" s="109"/>
      <c r="R416" s="109"/>
      <c r="S416" s="109"/>
      <c r="T416" s="109"/>
      <c r="U416" s="109"/>
      <c r="V416" s="109"/>
      <c r="W416" s="109"/>
      <c r="X416" s="109"/>
      <c r="Y416" s="109"/>
      <c r="Z416" s="109"/>
    </row>
    <row r="417" ht="29.25" customHeight="1">
      <c r="A417" s="109"/>
      <c r="B417" s="109"/>
      <c r="C417" s="109"/>
      <c r="D417" s="109"/>
      <c r="E417" s="109"/>
      <c r="F417" s="109"/>
      <c r="G417" s="109"/>
      <c r="H417" s="317"/>
      <c r="I417" s="109"/>
      <c r="J417" s="109"/>
      <c r="K417" s="109"/>
      <c r="L417" s="109"/>
      <c r="M417" s="109"/>
      <c r="N417" s="109"/>
      <c r="O417" s="109"/>
      <c r="P417" s="109"/>
      <c r="Q417" s="109"/>
      <c r="R417" s="109"/>
      <c r="S417" s="109"/>
      <c r="T417" s="109"/>
      <c r="U417" s="109"/>
      <c r="V417" s="109"/>
      <c r="W417" s="109"/>
      <c r="X417" s="109"/>
      <c r="Y417" s="109"/>
      <c r="Z417" s="109"/>
    </row>
    <row r="418" ht="29.25" customHeight="1">
      <c r="A418" s="109"/>
      <c r="B418" s="109"/>
      <c r="C418" s="109"/>
      <c r="D418" s="109"/>
      <c r="E418" s="109"/>
      <c r="F418" s="109"/>
      <c r="G418" s="109"/>
      <c r="H418" s="317"/>
      <c r="I418" s="109"/>
      <c r="J418" s="109"/>
      <c r="K418" s="109"/>
      <c r="L418" s="109"/>
      <c r="M418" s="109"/>
      <c r="N418" s="109"/>
      <c r="O418" s="109"/>
      <c r="P418" s="109"/>
      <c r="Q418" s="109"/>
      <c r="R418" s="109"/>
      <c r="S418" s="109"/>
      <c r="T418" s="109"/>
      <c r="U418" s="109"/>
      <c r="V418" s="109"/>
      <c r="W418" s="109"/>
      <c r="X418" s="109"/>
      <c r="Y418" s="109"/>
      <c r="Z418" s="109"/>
    </row>
    <row r="419" ht="29.25" customHeight="1">
      <c r="A419" s="109"/>
      <c r="B419" s="109"/>
      <c r="C419" s="109"/>
      <c r="D419" s="109"/>
      <c r="E419" s="109"/>
      <c r="F419" s="109"/>
      <c r="G419" s="109"/>
      <c r="H419" s="317"/>
      <c r="I419" s="109"/>
      <c r="J419" s="109"/>
      <c r="K419" s="109"/>
      <c r="L419" s="109"/>
      <c r="M419" s="109"/>
      <c r="N419" s="109"/>
      <c r="O419" s="109"/>
      <c r="P419" s="109"/>
      <c r="Q419" s="109"/>
      <c r="R419" s="109"/>
      <c r="S419" s="109"/>
      <c r="T419" s="109"/>
      <c r="U419" s="109"/>
      <c r="V419" s="109"/>
      <c r="W419" s="109"/>
      <c r="X419" s="109"/>
      <c r="Y419" s="109"/>
      <c r="Z419" s="109"/>
    </row>
    <row r="420" ht="29.25" customHeight="1">
      <c r="A420" s="109"/>
      <c r="B420" s="109"/>
      <c r="C420" s="109"/>
      <c r="D420" s="109"/>
      <c r="E420" s="109"/>
      <c r="F420" s="109"/>
      <c r="G420" s="109"/>
      <c r="H420" s="317"/>
      <c r="I420" s="109"/>
      <c r="J420" s="109"/>
      <c r="K420" s="109"/>
      <c r="L420" s="109"/>
      <c r="M420" s="109"/>
      <c r="N420" s="109"/>
      <c r="O420" s="109"/>
      <c r="P420" s="109"/>
      <c r="Q420" s="109"/>
      <c r="R420" s="109"/>
      <c r="S420" s="109"/>
      <c r="T420" s="109"/>
      <c r="U420" s="109"/>
      <c r="V420" s="109"/>
      <c r="W420" s="109"/>
      <c r="X420" s="109"/>
      <c r="Y420" s="109"/>
      <c r="Z420" s="109"/>
    </row>
    <row r="421" ht="29.25" customHeight="1">
      <c r="A421" s="109"/>
      <c r="B421" s="109"/>
      <c r="C421" s="109"/>
      <c r="D421" s="109"/>
      <c r="E421" s="109"/>
      <c r="F421" s="109"/>
      <c r="G421" s="109"/>
      <c r="H421" s="317"/>
      <c r="I421" s="109"/>
      <c r="J421" s="109"/>
      <c r="K421" s="109"/>
      <c r="L421" s="109"/>
      <c r="M421" s="109"/>
      <c r="N421" s="109"/>
      <c r="O421" s="109"/>
      <c r="P421" s="109"/>
      <c r="Q421" s="109"/>
      <c r="R421" s="109"/>
      <c r="S421" s="109"/>
      <c r="T421" s="109"/>
      <c r="U421" s="109"/>
      <c r="V421" s="109"/>
      <c r="W421" s="109"/>
      <c r="X421" s="109"/>
      <c r="Y421" s="109"/>
      <c r="Z421" s="109"/>
    </row>
    <row r="422" ht="29.25" customHeight="1">
      <c r="A422" s="109"/>
      <c r="B422" s="109"/>
      <c r="C422" s="109"/>
      <c r="D422" s="109"/>
      <c r="E422" s="109"/>
      <c r="F422" s="109"/>
      <c r="G422" s="109"/>
      <c r="H422" s="317"/>
      <c r="I422" s="109"/>
      <c r="J422" s="109"/>
      <c r="K422" s="109"/>
      <c r="L422" s="109"/>
      <c r="M422" s="109"/>
      <c r="N422" s="109"/>
      <c r="O422" s="109"/>
      <c r="P422" s="109"/>
      <c r="Q422" s="109"/>
      <c r="R422" s="109"/>
      <c r="S422" s="109"/>
      <c r="T422" s="109"/>
      <c r="U422" s="109"/>
      <c r="V422" s="109"/>
      <c r="W422" s="109"/>
      <c r="X422" s="109"/>
      <c r="Y422" s="109"/>
      <c r="Z422" s="109"/>
    </row>
    <row r="423" ht="29.25" customHeight="1">
      <c r="A423" s="109"/>
      <c r="B423" s="109"/>
      <c r="C423" s="109"/>
      <c r="D423" s="109"/>
      <c r="E423" s="109"/>
      <c r="F423" s="109"/>
      <c r="G423" s="109"/>
      <c r="H423" s="317"/>
      <c r="I423" s="109"/>
      <c r="J423" s="109"/>
      <c r="K423" s="109"/>
      <c r="L423" s="109"/>
      <c r="M423" s="109"/>
      <c r="N423" s="109"/>
      <c r="O423" s="109"/>
      <c r="P423" s="109"/>
      <c r="Q423" s="109"/>
      <c r="R423" s="109"/>
      <c r="S423" s="109"/>
      <c r="T423" s="109"/>
      <c r="U423" s="109"/>
      <c r="V423" s="109"/>
      <c r="W423" s="109"/>
      <c r="X423" s="109"/>
      <c r="Y423" s="109"/>
      <c r="Z423" s="109"/>
    </row>
    <row r="424" ht="29.25" customHeight="1">
      <c r="A424" s="109"/>
      <c r="B424" s="109"/>
      <c r="C424" s="109"/>
      <c r="D424" s="109"/>
      <c r="E424" s="109"/>
      <c r="F424" s="109"/>
      <c r="G424" s="109"/>
      <c r="H424" s="317"/>
      <c r="I424" s="109"/>
      <c r="J424" s="109"/>
      <c r="K424" s="109"/>
      <c r="L424" s="109"/>
      <c r="M424" s="109"/>
      <c r="N424" s="109"/>
      <c r="O424" s="109"/>
      <c r="P424" s="109"/>
      <c r="Q424" s="109"/>
      <c r="R424" s="109"/>
      <c r="S424" s="109"/>
      <c r="T424" s="109"/>
      <c r="U424" s="109"/>
      <c r="V424" s="109"/>
      <c r="W424" s="109"/>
      <c r="X424" s="109"/>
      <c r="Y424" s="109"/>
      <c r="Z424" s="109"/>
    </row>
    <row r="425" ht="29.25" customHeight="1">
      <c r="A425" s="109"/>
      <c r="B425" s="109"/>
      <c r="C425" s="109"/>
      <c r="D425" s="109"/>
      <c r="E425" s="109"/>
      <c r="F425" s="109"/>
      <c r="G425" s="109"/>
      <c r="H425" s="317"/>
      <c r="I425" s="109"/>
      <c r="J425" s="109"/>
      <c r="K425" s="109"/>
      <c r="L425" s="109"/>
      <c r="M425" s="109"/>
      <c r="N425" s="109"/>
      <c r="O425" s="109"/>
      <c r="P425" s="109"/>
      <c r="Q425" s="109"/>
      <c r="R425" s="109"/>
      <c r="S425" s="109"/>
      <c r="T425" s="109"/>
      <c r="U425" s="109"/>
      <c r="V425" s="109"/>
      <c r="W425" s="109"/>
      <c r="X425" s="109"/>
      <c r="Y425" s="109"/>
      <c r="Z425" s="109"/>
    </row>
    <row r="426" ht="29.25" customHeight="1">
      <c r="A426" s="109"/>
      <c r="B426" s="109"/>
      <c r="C426" s="109"/>
      <c r="D426" s="109"/>
      <c r="E426" s="109"/>
      <c r="F426" s="109"/>
      <c r="G426" s="109"/>
      <c r="H426" s="317"/>
      <c r="I426" s="109"/>
      <c r="J426" s="109"/>
      <c r="K426" s="109"/>
      <c r="L426" s="109"/>
      <c r="M426" s="109"/>
      <c r="N426" s="109"/>
      <c r="O426" s="109"/>
      <c r="P426" s="109"/>
      <c r="Q426" s="109"/>
      <c r="R426" s="109"/>
      <c r="S426" s="109"/>
      <c r="T426" s="109"/>
      <c r="U426" s="109"/>
      <c r="V426" s="109"/>
      <c r="W426" s="109"/>
      <c r="X426" s="109"/>
      <c r="Y426" s="109"/>
      <c r="Z426" s="109"/>
    </row>
    <row r="427" ht="29.25" customHeight="1">
      <c r="A427" s="109"/>
      <c r="B427" s="109"/>
      <c r="C427" s="109"/>
      <c r="D427" s="109"/>
      <c r="E427" s="109"/>
      <c r="F427" s="109"/>
      <c r="G427" s="109"/>
      <c r="H427" s="317"/>
      <c r="I427" s="109"/>
      <c r="J427" s="109"/>
      <c r="K427" s="109"/>
      <c r="L427" s="109"/>
      <c r="M427" s="109"/>
      <c r="N427" s="109"/>
      <c r="O427" s="109"/>
      <c r="P427" s="109"/>
      <c r="Q427" s="109"/>
      <c r="R427" s="109"/>
      <c r="S427" s="109"/>
      <c r="T427" s="109"/>
      <c r="U427" s="109"/>
      <c r="V427" s="109"/>
      <c r="W427" s="109"/>
      <c r="X427" s="109"/>
      <c r="Y427" s="109"/>
      <c r="Z427" s="109"/>
    </row>
    <row r="428" ht="29.25" customHeight="1">
      <c r="A428" s="109"/>
      <c r="B428" s="109"/>
      <c r="C428" s="109"/>
      <c r="D428" s="109"/>
      <c r="E428" s="109"/>
      <c r="F428" s="109"/>
      <c r="G428" s="109"/>
      <c r="H428" s="317"/>
      <c r="I428" s="109"/>
      <c r="J428" s="109"/>
      <c r="K428" s="109"/>
      <c r="L428" s="109"/>
      <c r="M428" s="109"/>
      <c r="N428" s="109"/>
      <c r="O428" s="109"/>
      <c r="P428" s="109"/>
      <c r="Q428" s="109"/>
      <c r="R428" s="109"/>
      <c r="S428" s="109"/>
      <c r="T428" s="109"/>
      <c r="U428" s="109"/>
      <c r="V428" s="109"/>
      <c r="W428" s="109"/>
      <c r="X428" s="109"/>
      <c r="Y428" s="109"/>
      <c r="Z428" s="109"/>
    </row>
    <row r="429" ht="29.25" customHeight="1">
      <c r="A429" s="109"/>
      <c r="B429" s="109"/>
      <c r="C429" s="109"/>
      <c r="D429" s="109"/>
      <c r="E429" s="109"/>
      <c r="F429" s="109"/>
      <c r="G429" s="109"/>
      <c r="H429" s="317"/>
      <c r="I429" s="109"/>
      <c r="J429" s="109"/>
      <c r="K429" s="109"/>
      <c r="L429" s="109"/>
      <c r="M429" s="109"/>
      <c r="N429" s="109"/>
      <c r="O429" s="109"/>
      <c r="P429" s="109"/>
      <c r="Q429" s="109"/>
      <c r="R429" s="109"/>
      <c r="S429" s="109"/>
      <c r="T429" s="109"/>
      <c r="U429" s="109"/>
      <c r="V429" s="109"/>
      <c r="W429" s="109"/>
      <c r="X429" s="109"/>
      <c r="Y429" s="109"/>
      <c r="Z429" s="109"/>
    </row>
    <row r="430" ht="29.25" customHeight="1">
      <c r="A430" s="109"/>
      <c r="B430" s="109"/>
      <c r="C430" s="109"/>
      <c r="D430" s="109"/>
      <c r="E430" s="109"/>
      <c r="F430" s="109"/>
      <c r="G430" s="109"/>
      <c r="H430" s="317"/>
      <c r="I430" s="109"/>
      <c r="J430" s="109"/>
      <c r="K430" s="109"/>
      <c r="L430" s="109"/>
      <c r="M430" s="109"/>
      <c r="N430" s="109"/>
      <c r="O430" s="109"/>
      <c r="P430" s="109"/>
      <c r="Q430" s="109"/>
      <c r="R430" s="109"/>
      <c r="S430" s="109"/>
      <c r="T430" s="109"/>
      <c r="U430" s="109"/>
      <c r="V430" s="109"/>
      <c r="W430" s="109"/>
      <c r="X430" s="109"/>
      <c r="Y430" s="109"/>
      <c r="Z430" s="109"/>
    </row>
    <row r="431" ht="29.25" customHeight="1">
      <c r="A431" s="109"/>
      <c r="B431" s="109"/>
      <c r="C431" s="109"/>
      <c r="D431" s="109"/>
      <c r="E431" s="109"/>
      <c r="F431" s="109"/>
      <c r="G431" s="109"/>
      <c r="H431" s="317"/>
      <c r="I431" s="109"/>
      <c r="J431" s="109"/>
      <c r="K431" s="109"/>
      <c r="L431" s="109"/>
      <c r="M431" s="109"/>
      <c r="N431" s="109"/>
      <c r="O431" s="109"/>
      <c r="P431" s="109"/>
      <c r="Q431" s="109"/>
      <c r="R431" s="109"/>
      <c r="S431" s="109"/>
      <c r="T431" s="109"/>
      <c r="U431" s="109"/>
      <c r="V431" s="109"/>
      <c r="W431" s="109"/>
      <c r="X431" s="109"/>
      <c r="Y431" s="109"/>
      <c r="Z431" s="109"/>
    </row>
    <row r="432" ht="29.25" customHeight="1">
      <c r="A432" s="109"/>
      <c r="B432" s="109"/>
      <c r="C432" s="109"/>
      <c r="D432" s="109"/>
      <c r="E432" s="109"/>
      <c r="F432" s="109"/>
      <c r="G432" s="109"/>
      <c r="H432" s="317"/>
      <c r="I432" s="109"/>
      <c r="J432" s="109"/>
      <c r="K432" s="109"/>
      <c r="L432" s="109"/>
      <c r="M432" s="109"/>
      <c r="N432" s="109"/>
      <c r="O432" s="109"/>
      <c r="P432" s="109"/>
      <c r="Q432" s="109"/>
      <c r="R432" s="109"/>
      <c r="S432" s="109"/>
      <c r="T432" s="109"/>
      <c r="U432" s="109"/>
      <c r="V432" s="109"/>
      <c r="W432" s="109"/>
      <c r="X432" s="109"/>
      <c r="Y432" s="109"/>
      <c r="Z432" s="109"/>
    </row>
    <row r="433" ht="29.25" customHeight="1">
      <c r="A433" s="109"/>
      <c r="B433" s="109"/>
      <c r="C433" s="109"/>
      <c r="D433" s="109"/>
      <c r="E433" s="109"/>
      <c r="F433" s="109"/>
      <c r="G433" s="109"/>
      <c r="H433" s="317"/>
      <c r="I433" s="109"/>
      <c r="J433" s="109"/>
      <c r="K433" s="109"/>
      <c r="L433" s="109"/>
      <c r="M433" s="109"/>
      <c r="N433" s="109"/>
      <c r="O433" s="109"/>
      <c r="P433" s="109"/>
      <c r="Q433" s="109"/>
      <c r="R433" s="109"/>
      <c r="S433" s="109"/>
      <c r="T433" s="109"/>
      <c r="U433" s="109"/>
      <c r="V433" s="109"/>
      <c r="W433" s="109"/>
      <c r="X433" s="109"/>
      <c r="Y433" s="109"/>
      <c r="Z433" s="109"/>
    </row>
    <row r="434" ht="29.25" customHeight="1">
      <c r="A434" s="109"/>
      <c r="B434" s="109"/>
      <c r="C434" s="109"/>
      <c r="D434" s="109"/>
      <c r="E434" s="109"/>
      <c r="F434" s="109"/>
      <c r="G434" s="109"/>
      <c r="H434" s="317"/>
      <c r="I434" s="109"/>
      <c r="J434" s="109"/>
      <c r="K434" s="109"/>
      <c r="L434" s="109"/>
      <c r="M434" s="109"/>
      <c r="N434" s="109"/>
      <c r="O434" s="109"/>
      <c r="P434" s="109"/>
      <c r="Q434" s="109"/>
      <c r="R434" s="109"/>
      <c r="S434" s="109"/>
      <c r="T434" s="109"/>
      <c r="U434" s="109"/>
      <c r="V434" s="109"/>
      <c r="W434" s="109"/>
      <c r="X434" s="109"/>
      <c r="Y434" s="109"/>
      <c r="Z434" s="109"/>
    </row>
    <row r="435" ht="29.25" customHeight="1">
      <c r="A435" s="109"/>
      <c r="B435" s="109"/>
      <c r="C435" s="109"/>
      <c r="D435" s="109"/>
      <c r="E435" s="109"/>
      <c r="F435" s="109"/>
      <c r="G435" s="109"/>
      <c r="H435" s="317"/>
      <c r="I435" s="109"/>
      <c r="J435" s="109"/>
      <c r="K435" s="109"/>
      <c r="L435" s="109"/>
      <c r="M435" s="109"/>
      <c r="N435" s="109"/>
      <c r="O435" s="109"/>
      <c r="P435" s="109"/>
      <c r="Q435" s="109"/>
      <c r="R435" s="109"/>
      <c r="S435" s="109"/>
      <c r="T435" s="109"/>
      <c r="U435" s="109"/>
      <c r="V435" s="109"/>
      <c r="W435" s="109"/>
      <c r="X435" s="109"/>
      <c r="Y435" s="109"/>
      <c r="Z435" s="109"/>
    </row>
    <row r="436" ht="29.25" customHeight="1">
      <c r="A436" s="109"/>
      <c r="B436" s="109"/>
      <c r="C436" s="109"/>
      <c r="D436" s="109"/>
      <c r="E436" s="109"/>
      <c r="F436" s="109"/>
      <c r="G436" s="109"/>
      <c r="H436" s="317"/>
      <c r="I436" s="109"/>
      <c r="J436" s="109"/>
      <c r="K436" s="109"/>
      <c r="L436" s="109"/>
      <c r="M436" s="109"/>
      <c r="N436" s="109"/>
      <c r="O436" s="109"/>
      <c r="P436" s="109"/>
      <c r="Q436" s="109"/>
      <c r="R436" s="109"/>
      <c r="S436" s="109"/>
      <c r="T436" s="109"/>
      <c r="U436" s="109"/>
      <c r="V436" s="109"/>
      <c r="W436" s="109"/>
      <c r="X436" s="109"/>
      <c r="Y436" s="109"/>
      <c r="Z436" s="109"/>
    </row>
    <row r="437" ht="29.25" customHeight="1">
      <c r="A437" s="109"/>
      <c r="B437" s="109"/>
      <c r="C437" s="109"/>
      <c r="D437" s="109"/>
      <c r="E437" s="109"/>
      <c r="F437" s="109"/>
      <c r="G437" s="109"/>
      <c r="H437" s="317"/>
      <c r="I437" s="109"/>
      <c r="J437" s="109"/>
      <c r="K437" s="109"/>
      <c r="L437" s="109"/>
      <c r="M437" s="109"/>
      <c r="N437" s="109"/>
      <c r="O437" s="109"/>
      <c r="P437" s="109"/>
      <c r="Q437" s="109"/>
      <c r="R437" s="109"/>
      <c r="S437" s="109"/>
      <c r="T437" s="109"/>
      <c r="U437" s="109"/>
      <c r="V437" s="109"/>
      <c r="W437" s="109"/>
      <c r="X437" s="109"/>
      <c r="Y437" s="109"/>
      <c r="Z437" s="109"/>
    </row>
    <row r="438" ht="29.25" customHeight="1">
      <c r="A438" s="109"/>
      <c r="B438" s="109"/>
      <c r="C438" s="109"/>
      <c r="D438" s="109"/>
      <c r="E438" s="109"/>
      <c r="F438" s="109"/>
      <c r="G438" s="109"/>
      <c r="H438" s="317"/>
      <c r="I438" s="109"/>
      <c r="J438" s="109"/>
      <c r="K438" s="109"/>
      <c r="L438" s="109"/>
      <c r="M438" s="109"/>
      <c r="N438" s="109"/>
      <c r="O438" s="109"/>
      <c r="P438" s="109"/>
      <c r="Q438" s="109"/>
      <c r="R438" s="109"/>
      <c r="S438" s="109"/>
      <c r="T438" s="109"/>
      <c r="U438" s="109"/>
      <c r="V438" s="109"/>
      <c r="W438" s="109"/>
      <c r="X438" s="109"/>
      <c r="Y438" s="109"/>
      <c r="Z438" s="109"/>
    </row>
    <row r="439" ht="29.25" customHeight="1">
      <c r="A439" s="109"/>
      <c r="B439" s="109"/>
      <c r="C439" s="109"/>
      <c r="D439" s="109"/>
      <c r="E439" s="109"/>
      <c r="F439" s="109"/>
      <c r="G439" s="109"/>
      <c r="H439" s="317"/>
      <c r="I439" s="109"/>
      <c r="J439" s="109"/>
      <c r="K439" s="109"/>
      <c r="L439" s="109"/>
      <c r="M439" s="109"/>
      <c r="N439" s="109"/>
      <c r="O439" s="109"/>
      <c r="P439" s="109"/>
      <c r="Q439" s="109"/>
      <c r="R439" s="109"/>
      <c r="S439" s="109"/>
      <c r="T439" s="109"/>
      <c r="U439" s="109"/>
      <c r="V439" s="109"/>
      <c r="W439" s="109"/>
      <c r="X439" s="109"/>
      <c r="Y439" s="109"/>
      <c r="Z439" s="109"/>
    </row>
    <row r="440" ht="29.25" customHeight="1">
      <c r="A440" s="109"/>
      <c r="B440" s="109"/>
      <c r="C440" s="109"/>
      <c r="D440" s="109"/>
      <c r="E440" s="109"/>
      <c r="F440" s="109"/>
      <c r="G440" s="109"/>
      <c r="H440" s="317"/>
      <c r="I440" s="109"/>
      <c r="J440" s="109"/>
      <c r="K440" s="109"/>
      <c r="L440" s="109"/>
      <c r="M440" s="109"/>
      <c r="N440" s="109"/>
      <c r="O440" s="109"/>
      <c r="P440" s="109"/>
      <c r="Q440" s="109"/>
      <c r="R440" s="109"/>
      <c r="S440" s="109"/>
      <c r="T440" s="109"/>
      <c r="U440" s="109"/>
      <c r="V440" s="109"/>
      <c r="W440" s="109"/>
      <c r="X440" s="109"/>
      <c r="Y440" s="109"/>
      <c r="Z440" s="109"/>
    </row>
    <row r="441" ht="29.25" customHeight="1">
      <c r="A441" s="109"/>
      <c r="B441" s="109"/>
      <c r="C441" s="109"/>
      <c r="D441" s="109"/>
      <c r="E441" s="109"/>
      <c r="F441" s="109"/>
      <c r="G441" s="109"/>
      <c r="H441" s="317"/>
      <c r="I441" s="109"/>
      <c r="J441" s="109"/>
      <c r="K441" s="109"/>
      <c r="L441" s="109"/>
      <c r="M441" s="109"/>
      <c r="N441" s="109"/>
      <c r="O441" s="109"/>
      <c r="P441" s="109"/>
      <c r="Q441" s="109"/>
      <c r="R441" s="109"/>
      <c r="S441" s="109"/>
      <c r="T441" s="109"/>
      <c r="U441" s="109"/>
      <c r="V441" s="109"/>
      <c r="W441" s="109"/>
      <c r="X441" s="109"/>
      <c r="Y441" s="109"/>
      <c r="Z441" s="109"/>
    </row>
    <row r="442" ht="29.25" customHeight="1">
      <c r="A442" s="109"/>
      <c r="B442" s="109"/>
      <c r="C442" s="109"/>
      <c r="D442" s="109"/>
      <c r="E442" s="109"/>
      <c r="F442" s="109"/>
      <c r="G442" s="109"/>
      <c r="H442" s="317"/>
      <c r="I442" s="109"/>
      <c r="J442" s="109"/>
      <c r="K442" s="109"/>
      <c r="L442" s="109"/>
      <c r="M442" s="109"/>
      <c r="N442" s="109"/>
      <c r="O442" s="109"/>
      <c r="P442" s="109"/>
      <c r="Q442" s="109"/>
      <c r="R442" s="109"/>
      <c r="S442" s="109"/>
      <c r="T442" s="109"/>
      <c r="U442" s="109"/>
      <c r="V442" s="109"/>
      <c r="W442" s="109"/>
      <c r="X442" s="109"/>
      <c r="Y442" s="109"/>
      <c r="Z442" s="109"/>
    </row>
    <row r="443" ht="29.25" customHeight="1">
      <c r="A443" s="109"/>
      <c r="B443" s="109"/>
      <c r="C443" s="109"/>
      <c r="D443" s="109"/>
      <c r="E443" s="109"/>
      <c r="F443" s="109"/>
      <c r="G443" s="109"/>
      <c r="H443" s="317"/>
      <c r="I443" s="109"/>
      <c r="J443" s="109"/>
      <c r="K443" s="109"/>
      <c r="L443" s="109"/>
      <c r="M443" s="109"/>
      <c r="N443" s="109"/>
      <c r="O443" s="109"/>
      <c r="P443" s="109"/>
      <c r="Q443" s="109"/>
      <c r="R443" s="109"/>
      <c r="S443" s="109"/>
      <c r="T443" s="109"/>
      <c r="U443" s="109"/>
      <c r="V443" s="109"/>
      <c r="W443" s="109"/>
      <c r="X443" s="109"/>
      <c r="Y443" s="109"/>
      <c r="Z443" s="109"/>
    </row>
    <row r="444" ht="29.25" customHeight="1">
      <c r="A444" s="109"/>
      <c r="B444" s="109"/>
      <c r="C444" s="109"/>
      <c r="D444" s="109"/>
      <c r="E444" s="109"/>
      <c r="F444" s="109"/>
      <c r="G444" s="109"/>
      <c r="H444" s="317"/>
      <c r="I444" s="109"/>
      <c r="J444" s="109"/>
      <c r="K444" s="109"/>
      <c r="L444" s="109"/>
      <c r="M444" s="109"/>
      <c r="N444" s="109"/>
      <c r="O444" s="109"/>
      <c r="P444" s="109"/>
      <c r="Q444" s="109"/>
      <c r="R444" s="109"/>
      <c r="S444" s="109"/>
      <c r="T444" s="109"/>
      <c r="U444" s="109"/>
      <c r="V444" s="109"/>
      <c r="W444" s="109"/>
      <c r="X444" s="109"/>
      <c r="Y444" s="109"/>
      <c r="Z444" s="109"/>
    </row>
    <row r="445" ht="29.25" customHeight="1">
      <c r="A445" s="109"/>
      <c r="B445" s="109"/>
      <c r="C445" s="109"/>
      <c r="D445" s="109"/>
      <c r="E445" s="109"/>
      <c r="F445" s="109"/>
      <c r="G445" s="109"/>
      <c r="H445" s="317"/>
      <c r="I445" s="109"/>
      <c r="J445" s="109"/>
      <c r="K445" s="109"/>
      <c r="L445" s="109"/>
      <c r="M445" s="109"/>
      <c r="N445" s="109"/>
      <c r="O445" s="109"/>
      <c r="P445" s="109"/>
      <c r="Q445" s="109"/>
      <c r="R445" s="109"/>
      <c r="S445" s="109"/>
      <c r="T445" s="109"/>
      <c r="U445" s="109"/>
      <c r="V445" s="109"/>
      <c r="W445" s="109"/>
      <c r="X445" s="109"/>
      <c r="Y445" s="109"/>
      <c r="Z445" s="109"/>
    </row>
    <row r="446" ht="29.25" customHeight="1">
      <c r="A446" s="109"/>
      <c r="B446" s="109"/>
      <c r="C446" s="109"/>
      <c r="D446" s="109"/>
      <c r="E446" s="109"/>
      <c r="F446" s="109"/>
      <c r="G446" s="109"/>
      <c r="H446" s="317"/>
      <c r="I446" s="109"/>
      <c r="J446" s="109"/>
      <c r="K446" s="109"/>
      <c r="L446" s="109"/>
      <c r="M446" s="109"/>
      <c r="N446" s="109"/>
      <c r="O446" s="109"/>
      <c r="P446" s="109"/>
      <c r="Q446" s="109"/>
      <c r="R446" s="109"/>
      <c r="S446" s="109"/>
      <c r="T446" s="109"/>
      <c r="U446" s="109"/>
      <c r="V446" s="109"/>
      <c r="W446" s="109"/>
      <c r="X446" s="109"/>
      <c r="Y446" s="109"/>
      <c r="Z446" s="109"/>
    </row>
    <row r="447" ht="29.25" customHeight="1">
      <c r="A447" s="109"/>
      <c r="B447" s="109"/>
      <c r="C447" s="109"/>
      <c r="D447" s="109"/>
      <c r="E447" s="109"/>
      <c r="F447" s="109"/>
      <c r="G447" s="109"/>
      <c r="H447" s="317"/>
      <c r="I447" s="109"/>
      <c r="J447" s="109"/>
      <c r="K447" s="109"/>
      <c r="L447" s="109"/>
      <c r="M447" s="109"/>
      <c r="N447" s="109"/>
      <c r="O447" s="109"/>
      <c r="P447" s="109"/>
      <c r="Q447" s="109"/>
      <c r="R447" s="109"/>
      <c r="S447" s="109"/>
      <c r="T447" s="109"/>
      <c r="U447" s="109"/>
      <c r="V447" s="109"/>
      <c r="W447" s="109"/>
      <c r="X447" s="109"/>
      <c r="Y447" s="109"/>
      <c r="Z447" s="109"/>
    </row>
    <row r="448" ht="29.25" customHeight="1">
      <c r="A448" s="109"/>
      <c r="B448" s="109"/>
      <c r="C448" s="109"/>
      <c r="D448" s="109"/>
      <c r="E448" s="109"/>
      <c r="F448" s="109"/>
      <c r="G448" s="109"/>
      <c r="H448" s="317"/>
      <c r="I448" s="109"/>
      <c r="J448" s="109"/>
      <c r="K448" s="109"/>
      <c r="L448" s="109"/>
      <c r="M448" s="109"/>
      <c r="N448" s="109"/>
      <c r="O448" s="109"/>
      <c r="P448" s="109"/>
      <c r="Q448" s="109"/>
      <c r="R448" s="109"/>
      <c r="S448" s="109"/>
      <c r="T448" s="109"/>
      <c r="U448" s="109"/>
      <c r="V448" s="109"/>
      <c r="W448" s="109"/>
      <c r="X448" s="109"/>
      <c r="Y448" s="109"/>
      <c r="Z448" s="109"/>
    </row>
    <row r="449" ht="29.25" customHeight="1">
      <c r="A449" s="109"/>
      <c r="B449" s="109"/>
      <c r="C449" s="109"/>
      <c r="D449" s="109"/>
      <c r="E449" s="109"/>
      <c r="F449" s="109"/>
      <c r="G449" s="109"/>
      <c r="H449" s="317"/>
      <c r="I449" s="109"/>
      <c r="J449" s="109"/>
      <c r="K449" s="109"/>
      <c r="L449" s="109"/>
      <c r="M449" s="109"/>
      <c r="N449" s="109"/>
      <c r="O449" s="109"/>
      <c r="P449" s="109"/>
      <c r="Q449" s="109"/>
      <c r="R449" s="109"/>
      <c r="S449" s="109"/>
      <c r="T449" s="109"/>
      <c r="U449" s="109"/>
      <c r="V449" s="109"/>
      <c r="W449" s="109"/>
      <c r="X449" s="109"/>
      <c r="Y449" s="109"/>
      <c r="Z449" s="109"/>
    </row>
    <row r="450" ht="29.25" customHeight="1">
      <c r="A450" s="109"/>
      <c r="B450" s="109"/>
      <c r="C450" s="109"/>
      <c r="D450" s="109"/>
      <c r="E450" s="109"/>
      <c r="F450" s="109"/>
      <c r="G450" s="109"/>
      <c r="H450" s="317"/>
      <c r="I450" s="109"/>
      <c r="J450" s="109"/>
      <c r="K450" s="109"/>
      <c r="L450" s="109"/>
      <c r="M450" s="109"/>
      <c r="N450" s="109"/>
      <c r="O450" s="109"/>
      <c r="P450" s="109"/>
      <c r="Q450" s="109"/>
      <c r="R450" s="109"/>
      <c r="S450" s="109"/>
      <c r="T450" s="109"/>
      <c r="U450" s="109"/>
      <c r="V450" s="109"/>
      <c r="W450" s="109"/>
      <c r="X450" s="109"/>
      <c r="Y450" s="109"/>
      <c r="Z450" s="109"/>
    </row>
    <row r="451" ht="29.25" customHeight="1">
      <c r="A451" s="109"/>
      <c r="B451" s="109"/>
      <c r="C451" s="109"/>
      <c r="D451" s="109"/>
      <c r="E451" s="109"/>
      <c r="F451" s="109"/>
      <c r="G451" s="109"/>
      <c r="H451" s="317"/>
      <c r="I451" s="109"/>
      <c r="J451" s="109"/>
      <c r="K451" s="109"/>
      <c r="L451" s="109"/>
      <c r="M451" s="109"/>
      <c r="N451" s="109"/>
      <c r="O451" s="109"/>
      <c r="P451" s="109"/>
      <c r="Q451" s="109"/>
      <c r="R451" s="109"/>
      <c r="S451" s="109"/>
      <c r="T451" s="109"/>
      <c r="U451" s="109"/>
      <c r="V451" s="109"/>
      <c r="W451" s="109"/>
      <c r="X451" s="109"/>
      <c r="Y451" s="109"/>
      <c r="Z451" s="109"/>
    </row>
    <row r="452" ht="29.25" customHeight="1">
      <c r="A452" s="109"/>
      <c r="B452" s="109"/>
      <c r="C452" s="109"/>
      <c r="D452" s="109"/>
      <c r="E452" s="109"/>
      <c r="F452" s="109"/>
      <c r="G452" s="109"/>
      <c r="H452" s="317"/>
      <c r="I452" s="109"/>
      <c r="J452" s="109"/>
      <c r="K452" s="109"/>
      <c r="L452" s="109"/>
      <c r="M452" s="109"/>
      <c r="N452" s="109"/>
      <c r="O452" s="109"/>
      <c r="P452" s="109"/>
      <c r="Q452" s="109"/>
      <c r="R452" s="109"/>
      <c r="S452" s="109"/>
      <c r="T452" s="109"/>
      <c r="U452" s="109"/>
      <c r="V452" s="109"/>
      <c r="W452" s="109"/>
      <c r="X452" s="109"/>
      <c r="Y452" s="109"/>
      <c r="Z452" s="109"/>
    </row>
    <row r="453" ht="29.25" customHeight="1">
      <c r="A453" s="109"/>
      <c r="B453" s="109"/>
      <c r="C453" s="109"/>
      <c r="D453" s="109"/>
      <c r="E453" s="109"/>
      <c r="F453" s="109"/>
      <c r="G453" s="109"/>
      <c r="H453" s="317"/>
      <c r="I453" s="109"/>
      <c r="J453" s="109"/>
      <c r="K453" s="109"/>
      <c r="L453" s="109"/>
      <c r="M453" s="109"/>
      <c r="N453" s="109"/>
      <c r="O453" s="109"/>
      <c r="P453" s="109"/>
      <c r="Q453" s="109"/>
      <c r="R453" s="109"/>
      <c r="S453" s="109"/>
      <c r="T453" s="109"/>
      <c r="U453" s="109"/>
      <c r="V453" s="109"/>
      <c r="W453" s="109"/>
      <c r="X453" s="109"/>
      <c r="Y453" s="109"/>
      <c r="Z453" s="109"/>
    </row>
    <row r="454" ht="29.25" customHeight="1">
      <c r="A454" s="109"/>
      <c r="B454" s="109"/>
      <c r="C454" s="109"/>
      <c r="D454" s="109"/>
      <c r="E454" s="109"/>
      <c r="F454" s="109"/>
      <c r="G454" s="109"/>
      <c r="H454" s="317"/>
      <c r="I454" s="109"/>
      <c r="J454" s="109"/>
      <c r="K454" s="109"/>
      <c r="L454" s="109"/>
      <c r="M454" s="109"/>
      <c r="N454" s="109"/>
      <c r="O454" s="109"/>
      <c r="P454" s="109"/>
      <c r="Q454" s="109"/>
      <c r="R454" s="109"/>
      <c r="S454" s="109"/>
      <c r="T454" s="109"/>
      <c r="U454" s="109"/>
      <c r="V454" s="109"/>
      <c r="W454" s="109"/>
      <c r="X454" s="109"/>
      <c r="Y454" s="109"/>
      <c r="Z454" s="109"/>
    </row>
    <row r="455" ht="29.25" customHeight="1">
      <c r="A455" s="109"/>
      <c r="B455" s="109"/>
      <c r="C455" s="109"/>
      <c r="D455" s="109"/>
      <c r="E455" s="109"/>
      <c r="F455" s="109"/>
      <c r="G455" s="109"/>
      <c r="H455" s="317"/>
      <c r="I455" s="109"/>
      <c r="J455" s="109"/>
      <c r="K455" s="109"/>
      <c r="L455" s="109"/>
      <c r="M455" s="109"/>
      <c r="N455" s="109"/>
      <c r="O455" s="109"/>
      <c r="P455" s="109"/>
      <c r="Q455" s="109"/>
      <c r="R455" s="109"/>
      <c r="S455" s="109"/>
      <c r="T455" s="109"/>
      <c r="U455" s="109"/>
      <c r="V455" s="109"/>
      <c r="W455" s="109"/>
      <c r="X455" s="109"/>
      <c r="Y455" s="109"/>
      <c r="Z455" s="109"/>
    </row>
    <row r="456" ht="29.25" customHeight="1">
      <c r="A456" s="109"/>
      <c r="B456" s="109"/>
      <c r="C456" s="109"/>
      <c r="D456" s="109"/>
      <c r="E456" s="109"/>
      <c r="F456" s="109"/>
      <c r="G456" s="109"/>
      <c r="H456" s="317"/>
      <c r="I456" s="109"/>
      <c r="J456" s="109"/>
      <c r="K456" s="109"/>
      <c r="L456" s="109"/>
      <c r="M456" s="109"/>
      <c r="N456" s="109"/>
      <c r="O456" s="109"/>
      <c r="P456" s="109"/>
      <c r="Q456" s="109"/>
      <c r="R456" s="109"/>
      <c r="S456" s="109"/>
      <c r="T456" s="109"/>
      <c r="U456" s="109"/>
      <c r="V456" s="109"/>
      <c r="W456" s="109"/>
      <c r="X456" s="109"/>
      <c r="Y456" s="109"/>
      <c r="Z456" s="109"/>
    </row>
    <row r="457" ht="29.25" customHeight="1">
      <c r="A457" s="109"/>
      <c r="B457" s="109"/>
      <c r="C457" s="109"/>
      <c r="D457" s="109"/>
      <c r="E457" s="109"/>
      <c r="F457" s="109"/>
      <c r="G457" s="109"/>
      <c r="H457" s="317"/>
      <c r="I457" s="109"/>
      <c r="J457" s="109"/>
      <c r="K457" s="109"/>
      <c r="L457" s="109"/>
      <c r="M457" s="109"/>
      <c r="N457" s="109"/>
      <c r="O457" s="109"/>
      <c r="P457" s="109"/>
      <c r="Q457" s="109"/>
      <c r="R457" s="109"/>
      <c r="S457" s="109"/>
      <c r="T457" s="109"/>
      <c r="U457" s="109"/>
      <c r="V457" s="109"/>
      <c r="W457" s="109"/>
      <c r="X457" s="109"/>
      <c r="Y457" s="109"/>
      <c r="Z457" s="109"/>
    </row>
    <row r="458" ht="29.25" customHeight="1">
      <c r="A458" s="109"/>
      <c r="B458" s="109"/>
      <c r="C458" s="109"/>
      <c r="D458" s="109"/>
      <c r="E458" s="109"/>
      <c r="F458" s="109"/>
      <c r="G458" s="109"/>
      <c r="H458" s="317"/>
      <c r="I458" s="109"/>
      <c r="J458" s="109"/>
      <c r="K458" s="109"/>
      <c r="L458" s="109"/>
      <c r="M458" s="109"/>
      <c r="N458" s="109"/>
      <c r="O458" s="109"/>
      <c r="P458" s="109"/>
      <c r="Q458" s="109"/>
      <c r="R458" s="109"/>
      <c r="S458" s="109"/>
      <c r="T458" s="109"/>
      <c r="U458" s="109"/>
      <c r="V458" s="109"/>
      <c r="W458" s="109"/>
      <c r="X458" s="109"/>
      <c r="Y458" s="109"/>
      <c r="Z458" s="109"/>
    </row>
    <row r="459" ht="29.25" customHeight="1">
      <c r="A459" s="109"/>
      <c r="B459" s="109"/>
      <c r="C459" s="109"/>
      <c r="D459" s="109"/>
      <c r="E459" s="109"/>
      <c r="F459" s="109"/>
      <c r="G459" s="109"/>
      <c r="H459" s="317"/>
      <c r="I459" s="109"/>
      <c r="J459" s="109"/>
      <c r="K459" s="109"/>
      <c r="L459" s="109"/>
      <c r="M459" s="109"/>
      <c r="N459" s="109"/>
      <c r="O459" s="109"/>
      <c r="P459" s="109"/>
      <c r="Q459" s="109"/>
      <c r="R459" s="109"/>
      <c r="S459" s="109"/>
      <c r="T459" s="109"/>
      <c r="U459" s="109"/>
      <c r="V459" s="109"/>
      <c r="W459" s="109"/>
      <c r="X459" s="109"/>
      <c r="Y459" s="109"/>
      <c r="Z459" s="109"/>
    </row>
    <row r="460" ht="29.25" customHeight="1">
      <c r="A460" s="109"/>
      <c r="B460" s="109"/>
      <c r="C460" s="109"/>
      <c r="D460" s="109"/>
      <c r="E460" s="109"/>
      <c r="F460" s="109"/>
      <c r="G460" s="109"/>
      <c r="H460" s="317"/>
      <c r="I460" s="109"/>
      <c r="J460" s="109"/>
      <c r="K460" s="109"/>
      <c r="L460" s="109"/>
      <c r="M460" s="109"/>
      <c r="N460" s="109"/>
      <c r="O460" s="109"/>
      <c r="P460" s="109"/>
      <c r="Q460" s="109"/>
      <c r="R460" s="109"/>
      <c r="S460" s="109"/>
      <c r="T460" s="109"/>
      <c r="U460" s="109"/>
      <c r="V460" s="109"/>
      <c r="W460" s="109"/>
      <c r="X460" s="109"/>
      <c r="Y460" s="109"/>
      <c r="Z460" s="109"/>
    </row>
    <row r="461" ht="29.25" customHeight="1">
      <c r="A461" s="109"/>
      <c r="B461" s="109"/>
      <c r="C461" s="109"/>
      <c r="D461" s="109"/>
      <c r="E461" s="109"/>
      <c r="F461" s="109"/>
      <c r="G461" s="109"/>
      <c r="H461" s="317"/>
      <c r="I461" s="109"/>
      <c r="J461" s="109"/>
      <c r="K461" s="109"/>
      <c r="L461" s="109"/>
      <c r="M461" s="109"/>
      <c r="N461" s="109"/>
      <c r="O461" s="109"/>
      <c r="P461" s="109"/>
      <c r="Q461" s="109"/>
      <c r="R461" s="109"/>
      <c r="S461" s="109"/>
      <c r="T461" s="109"/>
      <c r="U461" s="109"/>
      <c r="V461" s="109"/>
      <c r="W461" s="109"/>
      <c r="X461" s="109"/>
      <c r="Y461" s="109"/>
      <c r="Z461" s="109"/>
    </row>
    <row r="462" ht="29.25" customHeight="1">
      <c r="A462" s="109"/>
      <c r="B462" s="109"/>
      <c r="C462" s="109"/>
      <c r="D462" s="109"/>
      <c r="E462" s="109"/>
      <c r="F462" s="109"/>
      <c r="G462" s="109"/>
      <c r="H462" s="317"/>
      <c r="I462" s="109"/>
      <c r="J462" s="109"/>
      <c r="K462" s="109"/>
      <c r="L462" s="109"/>
      <c r="M462" s="109"/>
      <c r="N462" s="109"/>
      <c r="O462" s="109"/>
      <c r="P462" s="109"/>
      <c r="Q462" s="109"/>
      <c r="R462" s="109"/>
      <c r="S462" s="109"/>
      <c r="T462" s="109"/>
      <c r="U462" s="109"/>
      <c r="V462" s="109"/>
      <c r="W462" s="109"/>
      <c r="X462" s="109"/>
      <c r="Y462" s="109"/>
      <c r="Z462" s="109"/>
    </row>
    <row r="463" ht="29.25" customHeight="1">
      <c r="A463" s="109"/>
      <c r="B463" s="109"/>
      <c r="C463" s="109"/>
      <c r="D463" s="109"/>
      <c r="E463" s="109"/>
      <c r="F463" s="109"/>
      <c r="G463" s="109"/>
      <c r="H463" s="317"/>
      <c r="I463" s="109"/>
      <c r="J463" s="109"/>
      <c r="K463" s="109"/>
      <c r="L463" s="109"/>
      <c r="M463" s="109"/>
      <c r="N463" s="109"/>
      <c r="O463" s="109"/>
      <c r="P463" s="109"/>
      <c r="Q463" s="109"/>
      <c r="R463" s="109"/>
      <c r="S463" s="109"/>
      <c r="T463" s="109"/>
      <c r="U463" s="109"/>
      <c r="V463" s="109"/>
      <c r="W463" s="109"/>
      <c r="X463" s="109"/>
      <c r="Y463" s="109"/>
      <c r="Z463" s="109"/>
    </row>
    <row r="464" ht="29.25" customHeight="1">
      <c r="A464" s="109"/>
      <c r="B464" s="109"/>
      <c r="C464" s="109"/>
      <c r="D464" s="109"/>
      <c r="E464" s="109"/>
      <c r="F464" s="109"/>
      <c r="G464" s="109"/>
      <c r="H464" s="317"/>
      <c r="I464" s="109"/>
      <c r="J464" s="109"/>
      <c r="K464" s="109"/>
      <c r="L464" s="109"/>
      <c r="M464" s="109"/>
      <c r="N464" s="109"/>
      <c r="O464" s="109"/>
      <c r="P464" s="109"/>
      <c r="Q464" s="109"/>
      <c r="R464" s="109"/>
      <c r="S464" s="109"/>
      <c r="T464" s="109"/>
      <c r="U464" s="109"/>
      <c r="V464" s="109"/>
      <c r="W464" s="109"/>
      <c r="X464" s="109"/>
      <c r="Y464" s="109"/>
      <c r="Z464" s="109"/>
    </row>
    <row r="465" ht="29.25" customHeight="1">
      <c r="A465" s="109"/>
      <c r="B465" s="109"/>
      <c r="C465" s="109"/>
      <c r="D465" s="109"/>
      <c r="E465" s="109"/>
      <c r="F465" s="109"/>
      <c r="G465" s="109"/>
      <c r="H465" s="317"/>
      <c r="I465" s="109"/>
      <c r="J465" s="109"/>
      <c r="K465" s="109"/>
      <c r="L465" s="109"/>
      <c r="M465" s="109"/>
      <c r="N465" s="109"/>
      <c r="O465" s="109"/>
      <c r="P465" s="109"/>
      <c r="Q465" s="109"/>
      <c r="R465" s="109"/>
      <c r="S465" s="109"/>
      <c r="T465" s="109"/>
      <c r="U465" s="109"/>
      <c r="V465" s="109"/>
      <c r="W465" s="109"/>
      <c r="X465" s="109"/>
      <c r="Y465" s="109"/>
      <c r="Z465" s="109"/>
    </row>
    <row r="466" ht="29.25" customHeight="1">
      <c r="A466" s="109"/>
      <c r="B466" s="109"/>
      <c r="C466" s="109"/>
      <c r="D466" s="109"/>
      <c r="E466" s="109"/>
      <c r="F466" s="109"/>
      <c r="G466" s="109"/>
      <c r="H466" s="317"/>
      <c r="I466" s="109"/>
      <c r="J466" s="109"/>
      <c r="K466" s="109"/>
      <c r="L466" s="109"/>
      <c r="M466" s="109"/>
      <c r="N466" s="109"/>
      <c r="O466" s="109"/>
      <c r="P466" s="109"/>
      <c r="Q466" s="109"/>
      <c r="R466" s="109"/>
      <c r="S466" s="109"/>
      <c r="T466" s="109"/>
      <c r="U466" s="109"/>
      <c r="V466" s="109"/>
      <c r="W466" s="109"/>
      <c r="X466" s="109"/>
      <c r="Y466" s="109"/>
      <c r="Z466" s="109"/>
    </row>
    <row r="467" ht="29.25" customHeight="1">
      <c r="A467" s="109"/>
      <c r="B467" s="109"/>
      <c r="C467" s="109"/>
      <c r="D467" s="109"/>
      <c r="E467" s="109"/>
      <c r="F467" s="109"/>
      <c r="G467" s="109"/>
      <c r="H467" s="317"/>
      <c r="I467" s="109"/>
      <c r="J467" s="109"/>
      <c r="K467" s="109"/>
      <c r="L467" s="109"/>
      <c r="M467" s="109"/>
      <c r="N467" s="109"/>
      <c r="O467" s="109"/>
      <c r="P467" s="109"/>
      <c r="Q467" s="109"/>
      <c r="R467" s="109"/>
      <c r="S467" s="109"/>
      <c r="T467" s="109"/>
      <c r="U467" s="109"/>
      <c r="V467" s="109"/>
      <c r="W467" s="109"/>
      <c r="X467" s="109"/>
      <c r="Y467" s="109"/>
      <c r="Z467" s="109"/>
    </row>
    <row r="468" ht="29.25" customHeight="1">
      <c r="A468" s="109"/>
      <c r="B468" s="109"/>
      <c r="C468" s="109"/>
      <c r="D468" s="109"/>
      <c r="E468" s="109"/>
      <c r="F468" s="109"/>
      <c r="G468" s="109"/>
      <c r="H468" s="317"/>
      <c r="I468" s="109"/>
      <c r="J468" s="109"/>
      <c r="K468" s="109"/>
      <c r="L468" s="109"/>
      <c r="M468" s="109"/>
      <c r="N468" s="109"/>
      <c r="O468" s="109"/>
      <c r="P468" s="109"/>
      <c r="Q468" s="109"/>
      <c r="R468" s="109"/>
      <c r="S468" s="109"/>
      <c r="T468" s="109"/>
      <c r="U468" s="109"/>
      <c r="V468" s="109"/>
      <c r="W468" s="109"/>
      <c r="X468" s="109"/>
      <c r="Y468" s="109"/>
      <c r="Z468" s="109"/>
    </row>
    <row r="469" ht="29.25" customHeight="1">
      <c r="A469" s="109"/>
      <c r="B469" s="109"/>
      <c r="C469" s="109"/>
      <c r="D469" s="109"/>
      <c r="E469" s="109"/>
      <c r="F469" s="109"/>
      <c r="G469" s="109"/>
      <c r="H469" s="317"/>
      <c r="I469" s="109"/>
      <c r="J469" s="109"/>
      <c r="K469" s="109"/>
      <c r="L469" s="109"/>
      <c r="M469" s="109"/>
      <c r="N469" s="109"/>
      <c r="O469" s="109"/>
      <c r="P469" s="109"/>
      <c r="Q469" s="109"/>
      <c r="R469" s="109"/>
      <c r="S469" s="109"/>
      <c r="T469" s="109"/>
      <c r="U469" s="109"/>
      <c r="V469" s="109"/>
      <c r="W469" s="109"/>
      <c r="X469" s="109"/>
      <c r="Y469" s="109"/>
      <c r="Z469" s="109"/>
    </row>
    <row r="470" ht="29.25" customHeight="1">
      <c r="A470" s="109"/>
      <c r="B470" s="109"/>
      <c r="C470" s="109"/>
      <c r="D470" s="109"/>
      <c r="E470" s="109"/>
      <c r="F470" s="109"/>
      <c r="G470" s="109"/>
      <c r="H470" s="317"/>
      <c r="I470" s="109"/>
      <c r="J470" s="109"/>
      <c r="K470" s="109"/>
      <c r="L470" s="109"/>
      <c r="M470" s="109"/>
      <c r="N470" s="109"/>
      <c r="O470" s="109"/>
      <c r="P470" s="109"/>
      <c r="Q470" s="109"/>
      <c r="R470" s="109"/>
      <c r="S470" s="109"/>
      <c r="T470" s="109"/>
      <c r="U470" s="109"/>
      <c r="V470" s="109"/>
      <c r="W470" s="109"/>
      <c r="X470" s="109"/>
      <c r="Y470" s="109"/>
      <c r="Z470" s="109"/>
    </row>
    <row r="471" ht="29.25" customHeight="1">
      <c r="A471" s="109"/>
      <c r="B471" s="109"/>
      <c r="C471" s="109"/>
      <c r="D471" s="109"/>
      <c r="E471" s="109"/>
      <c r="F471" s="109"/>
      <c r="G471" s="109"/>
      <c r="H471" s="317"/>
      <c r="I471" s="109"/>
      <c r="J471" s="109"/>
      <c r="K471" s="109"/>
      <c r="L471" s="109"/>
      <c r="M471" s="109"/>
      <c r="N471" s="109"/>
      <c r="O471" s="109"/>
      <c r="P471" s="109"/>
      <c r="Q471" s="109"/>
      <c r="R471" s="109"/>
      <c r="S471" s="109"/>
      <c r="T471" s="109"/>
      <c r="U471" s="109"/>
      <c r="V471" s="109"/>
      <c r="W471" s="109"/>
      <c r="X471" s="109"/>
      <c r="Y471" s="109"/>
      <c r="Z471" s="109"/>
    </row>
    <row r="472" ht="29.25" customHeight="1">
      <c r="A472" s="109"/>
      <c r="B472" s="109"/>
      <c r="C472" s="109"/>
      <c r="D472" s="109"/>
      <c r="E472" s="109"/>
      <c r="F472" s="109"/>
      <c r="G472" s="109"/>
      <c r="H472" s="317"/>
      <c r="I472" s="109"/>
      <c r="J472" s="109"/>
      <c r="K472" s="109"/>
      <c r="L472" s="109"/>
      <c r="M472" s="109"/>
      <c r="N472" s="109"/>
      <c r="O472" s="109"/>
      <c r="P472" s="109"/>
      <c r="Q472" s="109"/>
      <c r="R472" s="109"/>
      <c r="S472" s="109"/>
      <c r="T472" s="109"/>
      <c r="U472" s="109"/>
      <c r="V472" s="109"/>
      <c r="W472" s="109"/>
      <c r="X472" s="109"/>
      <c r="Y472" s="109"/>
      <c r="Z472" s="109"/>
    </row>
    <row r="473" ht="29.25" customHeight="1">
      <c r="A473" s="109"/>
      <c r="B473" s="109"/>
      <c r="C473" s="109"/>
      <c r="D473" s="109"/>
      <c r="E473" s="109"/>
      <c r="F473" s="109"/>
      <c r="G473" s="109"/>
      <c r="H473" s="317"/>
      <c r="I473" s="109"/>
      <c r="J473" s="109"/>
      <c r="K473" s="109"/>
      <c r="L473" s="109"/>
      <c r="M473" s="109"/>
      <c r="N473" s="109"/>
      <c r="O473" s="109"/>
      <c r="P473" s="109"/>
      <c r="Q473" s="109"/>
      <c r="R473" s="109"/>
      <c r="S473" s="109"/>
      <c r="T473" s="109"/>
      <c r="U473" s="109"/>
      <c r="V473" s="109"/>
      <c r="W473" s="109"/>
      <c r="X473" s="109"/>
      <c r="Y473" s="109"/>
      <c r="Z473" s="109"/>
    </row>
    <row r="474" ht="29.25" customHeight="1">
      <c r="A474" s="109"/>
      <c r="B474" s="109"/>
      <c r="C474" s="109"/>
      <c r="D474" s="109"/>
      <c r="E474" s="109"/>
      <c r="F474" s="109"/>
      <c r="G474" s="109"/>
      <c r="H474" s="317"/>
      <c r="I474" s="109"/>
      <c r="J474" s="109"/>
      <c r="K474" s="109"/>
      <c r="L474" s="109"/>
      <c r="M474" s="109"/>
      <c r="N474" s="109"/>
      <c r="O474" s="109"/>
      <c r="P474" s="109"/>
      <c r="Q474" s="109"/>
      <c r="R474" s="109"/>
      <c r="S474" s="109"/>
      <c r="T474" s="109"/>
      <c r="U474" s="109"/>
      <c r="V474" s="109"/>
      <c r="W474" s="109"/>
      <c r="X474" s="109"/>
      <c r="Y474" s="109"/>
      <c r="Z474" s="109"/>
    </row>
    <row r="475" ht="29.25" customHeight="1">
      <c r="A475" s="109"/>
      <c r="B475" s="109"/>
      <c r="C475" s="109"/>
      <c r="D475" s="109"/>
      <c r="E475" s="109"/>
      <c r="F475" s="109"/>
      <c r="G475" s="109"/>
      <c r="H475" s="317"/>
      <c r="I475" s="109"/>
      <c r="J475" s="109"/>
      <c r="K475" s="109"/>
      <c r="L475" s="109"/>
      <c r="M475" s="109"/>
      <c r="N475" s="109"/>
      <c r="O475" s="109"/>
      <c r="P475" s="109"/>
      <c r="Q475" s="109"/>
      <c r="R475" s="109"/>
      <c r="S475" s="109"/>
      <c r="T475" s="109"/>
      <c r="U475" s="109"/>
      <c r="V475" s="109"/>
      <c r="W475" s="109"/>
      <c r="X475" s="109"/>
      <c r="Y475" s="109"/>
      <c r="Z475" s="109"/>
    </row>
    <row r="476" ht="29.25" customHeight="1">
      <c r="A476" s="109"/>
      <c r="B476" s="109"/>
      <c r="C476" s="109"/>
      <c r="D476" s="109"/>
      <c r="E476" s="109"/>
      <c r="F476" s="109"/>
      <c r="G476" s="109"/>
      <c r="H476" s="317"/>
      <c r="I476" s="109"/>
      <c r="J476" s="109"/>
      <c r="K476" s="109"/>
      <c r="L476" s="109"/>
      <c r="M476" s="109"/>
      <c r="N476" s="109"/>
      <c r="O476" s="109"/>
      <c r="P476" s="109"/>
      <c r="Q476" s="109"/>
      <c r="R476" s="109"/>
      <c r="S476" s="109"/>
      <c r="T476" s="109"/>
      <c r="U476" s="109"/>
      <c r="V476" s="109"/>
      <c r="W476" s="109"/>
      <c r="X476" s="109"/>
      <c r="Y476" s="109"/>
      <c r="Z476" s="109"/>
    </row>
    <row r="477" ht="29.25" customHeight="1">
      <c r="A477" s="109"/>
      <c r="B477" s="109"/>
      <c r="C477" s="109"/>
      <c r="D477" s="109"/>
      <c r="E477" s="109"/>
      <c r="F477" s="109"/>
      <c r="G477" s="109"/>
      <c r="H477" s="317"/>
      <c r="I477" s="109"/>
      <c r="J477" s="109"/>
      <c r="K477" s="109"/>
      <c r="L477" s="109"/>
      <c r="M477" s="109"/>
      <c r="N477" s="109"/>
      <c r="O477" s="109"/>
      <c r="P477" s="109"/>
      <c r="Q477" s="109"/>
      <c r="R477" s="109"/>
      <c r="S477" s="109"/>
      <c r="T477" s="109"/>
      <c r="U477" s="109"/>
      <c r="V477" s="109"/>
      <c r="W477" s="109"/>
      <c r="X477" s="109"/>
      <c r="Y477" s="109"/>
      <c r="Z477" s="109"/>
    </row>
    <row r="478" ht="29.25" customHeight="1">
      <c r="A478" s="109"/>
      <c r="B478" s="109"/>
      <c r="C478" s="109"/>
      <c r="D478" s="109"/>
      <c r="E478" s="109"/>
      <c r="F478" s="109"/>
      <c r="G478" s="109"/>
      <c r="H478" s="317"/>
      <c r="I478" s="109"/>
      <c r="J478" s="109"/>
      <c r="K478" s="109"/>
      <c r="L478" s="109"/>
      <c r="M478" s="109"/>
      <c r="N478" s="109"/>
      <c r="O478" s="109"/>
      <c r="P478" s="109"/>
      <c r="Q478" s="109"/>
      <c r="R478" s="109"/>
      <c r="S478" s="109"/>
      <c r="T478" s="109"/>
      <c r="U478" s="109"/>
      <c r="V478" s="109"/>
      <c r="W478" s="109"/>
      <c r="X478" s="109"/>
      <c r="Y478" s="109"/>
      <c r="Z478" s="109"/>
    </row>
    <row r="479" ht="29.25" customHeight="1">
      <c r="A479" s="109"/>
      <c r="B479" s="109"/>
      <c r="C479" s="109"/>
      <c r="D479" s="109"/>
      <c r="E479" s="109"/>
      <c r="F479" s="109"/>
      <c r="G479" s="109"/>
      <c r="H479" s="317"/>
      <c r="I479" s="109"/>
      <c r="J479" s="109"/>
      <c r="K479" s="109"/>
      <c r="L479" s="109"/>
      <c r="M479" s="109"/>
      <c r="N479" s="109"/>
      <c r="O479" s="109"/>
      <c r="P479" s="109"/>
      <c r="Q479" s="109"/>
      <c r="R479" s="109"/>
      <c r="S479" s="109"/>
      <c r="T479" s="109"/>
      <c r="U479" s="109"/>
      <c r="V479" s="109"/>
      <c r="W479" s="109"/>
      <c r="X479" s="109"/>
      <c r="Y479" s="109"/>
      <c r="Z479" s="109"/>
    </row>
    <row r="480" ht="29.25" customHeight="1">
      <c r="A480" s="109"/>
      <c r="B480" s="109"/>
      <c r="C480" s="109"/>
      <c r="D480" s="109"/>
      <c r="E480" s="109"/>
      <c r="F480" s="109"/>
      <c r="G480" s="109"/>
      <c r="H480" s="317"/>
      <c r="I480" s="109"/>
      <c r="J480" s="109"/>
      <c r="K480" s="109"/>
      <c r="L480" s="109"/>
      <c r="M480" s="109"/>
      <c r="N480" s="109"/>
      <c r="O480" s="109"/>
      <c r="P480" s="109"/>
      <c r="Q480" s="109"/>
      <c r="R480" s="109"/>
      <c r="S480" s="109"/>
      <c r="T480" s="109"/>
      <c r="U480" s="109"/>
      <c r="V480" s="109"/>
      <c r="W480" s="109"/>
      <c r="X480" s="109"/>
      <c r="Y480" s="109"/>
      <c r="Z480" s="109"/>
    </row>
    <row r="481" ht="29.25" customHeight="1">
      <c r="A481" s="109"/>
      <c r="B481" s="109"/>
      <c r="C481" s="109"/>
      <c r="D481" s="109"/>
      <c r="E481" s="109"/>
      <c r="F481" s="109"/>
      <c r="G481" s="109"/>
      <c r="H481" s="317"/>
      <c r="I481" s="109"/>
      <c r="J481" s="109"/>
      <c r="K481" s="109"/>
      <c r="L481" s="109"/>
      <c r="M481" s="109"/>
      <c r="N481" s="109"/>
      <c r="O481" s="109"/>
      <c r="P481" s="109"/>
      <c r="Q481" s="109"/>
      <c r="R481" s="109"/>
      <c r="S481" s="109"/>
      <c r="T481" s="109"/>
      <c r="U481" s="109"/>
      <c r="V481" s="109"/>
      <c r="W481" s="109"/>
      <c r="X481" s="109"/>
      <c r="Y481" s="109"/>
      <c r="Z481" s="109"/>
    </row>
    <row r="482" ht="29.25" customHeight="1">
      <c r="A482" s="109"/>
      <c r="B482" s="109"/>
      <c r="C482" s="109"/>
      <c r="D482" s="109"/>
      <c r="E482" s="109"/>
      <c r="F482" s="109"/>
      <c r="G482" s="109"/>
      <c r="H482" s="317"/>
      <c r="I482" s="109"/>
      <c r="J482" s="109"/>
      <c r="K482" s="109"/>
      <c r="L482" s="109"/>
      <c r="M482" s="109"/>
      <c r="N482" s="109"/>
      <c r="O482" s="109"/>
      <c r="P482" s="109"/>
      <c r="Q482" s="109"/>
      <c r="R482" s="109"/>
      <c r="S482" s="109"/>
      <c r="T482" s="109"/>
      <c r="U482" s="109"/>
      <c r="V482" s="109"/>
      <c r="W482" s="109"/>
      <c r="X482" s="109"/>
      <c r="Y482" s="109"/>
      <c r="Z482" s="109"/>
    </row>
    <row r="483" ht="29.25" customHeight="1">
      <c r="A483" s="109"/>
      <c r="B483" s="109"/>
      <c r="C483" s="109"/>
      <c r="D483" s="109"/>
      <c r="E483" s="109"/>
      <c r="F483" s="109"/>
      <c r="G483" s="109"/>
      <c r="H483" s="317"/>
      <c r="I483" s="109"/>
      <c r="J483" s="109"/>
      <c r="K483" s="109"/>
      <c r="L483" s="109"/>
      <c r="M483" s="109"/>
      <c r="N483" s="109"/>
      <c r="O483" s="109"/>
      <c r="P483" s="109"/>
      <c r="Q483" s="109"/>
      <c r="R483" s="109"/>
      <c r="S483" s="109"/>
      <c r="T483" s="109"/>
      <c r="U483" s="109"/>
      <c r="V483" s="109"/>
      <c r="W483" s="109"/>
      <c r="X483" s="109"/>
      <c r="Y483" s="109"/>
      <c r="Z483" s="109"/>
    </row>
    <row r="484" ht="29.25" customHeight="1">
      <c r="A484" s="109"/>
      <c r="B484" s="109"/>
      <c r="C484" s="109"/>
      <c r="D484" s="109"/>
      <c r="E484" s="109"/>
      <c r="F484" s="109"/>
      <c r="G484" s="109"/>
      <c r="H484" s="317"/>
      <c r="I484" s="109"/>
      <c r="J484" s="109"/>
      <c r="K484" s="109"/>
      <c r="L484" s="109"/>
      <c r="M484" s="109"/>
      <c r="N484" s="109"/>
      <c r="O484" s="109"/>
      <c r="P484" s="109"/>
      <c r="Q484" s="109"/>
      <c r="R484" s="109"/>
      <c r="S484" s="109"/>
      <c r="T484" s="109"/>
      <c r="U484" s="109"/>
      <c r="V484" s="109"/>
      <c r="W484" s="109"/>
      <c r="X484" s="109"/>
      <c r="Y484" s="109"/>
      <c r="Z484" s="109"/>
    </row>
    <row r="485" ht="29.25" customHeight="1">
      <c r="A485" s="109"/>
      <c r="B485" s="109"/>
      <c r="C485" s="109"/>
      <c r="D485" s="109"/>
      <c r="E485" s="109"/>
      <c r="F485" s="109"/>
      <c r="G485" s="109"/>
      <c r="H485" s="317"/>
      <c r="I485" s="109"/>
      <c r="J485" s="109"/>
      <c r="K485" s="109"/>
      <c r="L485" s="109"/>
      <c r="M485" s="109"/>
      <c r="N485" s="109"/>
      <c r="O485" s="109"/>
      <c r="P485" s="109"/>
      <c r="Q485" s="109"/>
      <c r="R485" s="109"/>
      <c r="S485" s="109"/>
      <c r="T485" s="109"/>
      <c r="U485" s="109"/>
      <c r="V485" s="109"/>
      <c r="W485" s="109"/>
      <c r="X485" s="109"/>
      <c r="Y485" s="109"/>
      <c r="Z485" s="109"/>
    </row>
    <row r="486" ht="29.25" customHeight="1">
      <c r="A486" s="109"/>
      <c r="B486" s="109"/>
      <c r="C486" s="109"/>
      <c r="D486" s="109"/>
      <c r="E486" s="109"/>
      <c r="F486" s="109"/>
      <c r="G486" s="109"/>
      <c r="H486" s="317"/>
      <c r="I486" s="109"/>
      <c r="J486" s="109"/>
      <c r="K486" s="109"/>
      <c r="L486" s="109"/>
      <c r="M486" s="109"/>
      <c r="N486" s="109"/>
      <c r="O486" s="109"/>
      <c r="P486" s="109"/>
      <c r="Q486" s="109"/>
      <c r="R486" s="109"/>
      <c r="S486" s="109"/>
      <c r="T486" s="109"/>
      <c r="U486" s="109"/>
      <c r="V486" s="109"/>
      <c r="W486" s="109"/>
      <c r="X486" s="109"/>
      <c r="Y486" s="109"/>
      <c r="Z486" s="109"/>
    </row>
    <row r="487" ht="29.25" customHeight="1">
      <c r="A487" s="109"/>
      <c r="B487" s="109"/>
      <c r="C487" s="109"/>
      <c r="D487" s="109"/>
      <c r="E487" s="109"/>
      <c r="F487" s="109"/>
      <c r="G487" s="109"/>
      <c r="H487" s="317"/>
      <c r="I487" s="109"/>
      <c r="J487" s="109"/>
      <c r="K487" s="109"/>
      <c r="L487" s="109"/>
      <c r="M487" s="109"/>
      <c r="N487" s="109"/>
      <c r="O487" s="109"/>
      <c r="P487" s="109"/>
      <c r="Q487" s="109"/>
      <c r="R487" s="109"/>
      <c r="S487" s="109"/>
      <c r="T487" s="109"/>
      <c r="U487" s="109"/>
      <c r="V487" s="109"/>
      <c r="W487" s="109"/>
      <c r="X487" s="109"/>
      <c r="Y487" s="109"/>
      <c r="Z487" s="109"/>
    </row>
    <row r="488" ht="29.25" customHeight="1">
      <c r="A488" s="109"/>
      <c r="B488" s="109"/>
      <c r="C488" s="109"/>
      <c r="D488" s="109"/>
      <c r="E488" s="109"/>
      <c r="F488" s="109"/>
      <c r="G488" s="109"/>
      <c r="H488" s="317"/>
      <c r="I488" s="109"/>
      <c r="J488" s="109"/>
      <c r="K488" s="109"/>
      <c r="L488" s="109"/>
      <c r="M488" s="109"/>
      <c r="N488" s="109"/>
      <c r="O488" s="109"/>
      <c r="P488" s="109"/>
      <c r="Q488" s="109"/>
      <c r="R488" s="109"/>
      <c r="S488" s="109"/>
      <c r="T488" s="109"/>
      <c r="U488" s="109"/>
      <c r="V488" s="109"/>
      <c r="W488" s="109"/>
      <c r="X488" s="109"/>
      <c r="Y488" s="109"/>
      <c r="Z488" s="109"/>
    </row>
    <row r="489" ht="29.25" customHeight="1">
      <c r="A489" s="109"/>
      <c r="B489" s="109"/>
      <c r="C489" s="109"/>
      <c r="D489" s="109"/>
      <c r="E489" s="109"/>
      <c r="F489" s="109"/>
      <c r="G489" s="109"/>
      <c r="H489" s="317"/>
      <c r="I489" s="109"/>
      <c r="J489" s="109"/>
      <c r="K489" s="109"/>
      <c r="L489" s="109"/>
      <c r="M489" s="109"/>
      <c r="N489" s="109"/>
      <c r="O489" s="109"/>
      <c r="P489" s="109"/>
      <c r="Q489" s="109"/>
      <c r="R489" s="109"/>
      <c r="S489" s="109"/>
      <c r="T489" s="109"/>
      <c r="U489" s="109"/>
      <c r="V489" s="109"/>
      <c r="W489" s="109"/>
      <c r="X489" s="109"/>
      <c r="Y489" s="109"/>
      <c r="Z489" s="109"/>
    </row>
    <row r="490" ht="29.25" customHeight="1">
      <c r="A490" s="109"/>
      <c r="B490" s="109"/>
      <c r="C490" s="109"/>
      <c r="D490" s="109"/>
      <c r="E490" s="109"/>
      <c r="F490" s="109"/>
      <c r="G490" s="109"/>
      <c r="H490" s="317"/>
      <c r="I490" s="109"/>
      <c r="J490" s="109"/>
      <c r="K490" s="109"/>
      <c r="L490" s="109"/>
      <c r="M490" s="109"/>
      <c r="N490" s="109"/>
      <c r="O490" s="109"/>
      <c r="P490" s="109"/>
      <c r="Q490" s="109"/>
      <c r="R490" s="109"/>
      <c r="S490" s="109"/>
      <c r="T490" s="109"/>
      <c r="U490" s="109"/>
      <c r="V490" s="109"/>
      <c r="W490" s="109"/>
      <c r="X490" s="109"/>
      <c r="Y490" s="109"/>
      <c r="Z490" s="109"/>
    </row>
    <row r="491" ht="29.25" customHeight="1">
      <c r="A491" s="109"/>
      <c r="B491" s="109"/>
      <c r="C491" s="109"/>
      <c r="D491" s="109"/>
      <c r="E491" s="109"/>
      <c r="F491" s="109"/>
      <c r="G491" s="109"/>
      <c r="H491" s="317"/>
      <c r="I491" s="109"/>
      <c r="J491" s="109"/>
      <c r="K491" s="109"/>
      <c r="L491" s="109"/>
      <c r="M491" s="109"/>
      <c r="N491" s="109"/>
      <c r="O491" s="109"/>
      <c r="P491" s="109"/>
      <c r="Q491" s="109"/>
      <c r="R491" s="109"/>
      <c r="S491" s="109"/>
      <c r="T491" s="109"/>
      <c r="U491" s="109"/>
      <c r="V491" s="109"/>
      <c r="W491" s="109"/>
      <c r="X491" s="109"/>
      <c r="Y491" s="109"/>
      <c r="Z491" s="109"/>
    </row>
    <row r="492" ht="29.25" customHeight="1">
      <c r="A492" s="109"/>
      <c r="B492" s="109"/>
      <c r="C492" s="109"/>
      <c r="D492" s="109"/>
      <c r="E492" s="109"/>
      <c r="F492" s="109"/>
      <c r="G492" s="109"/>
      <c r="H492" s="317"/>
      <c r="I492" s="109"/>
      <c r="J492" s="109"/>
      <c r="K492" s="109"/>
      <c r="L492" s="109"/>
      <c r="M492" s="109"/>
      <c r="N492" s="109"/>
      <c r="O492" s="109"/>
      <c r="P492" s="109"/>
      <c r="Q492" s="109"/>
      <c r="R492" s="109"/>
      <c r="S492" s="109"/>
      <c r="T492" s="109"/>
      <c r="U492" s="109"/>
      <c r="V492" s="109"/>
      <c r="W492" s="109"/>
      <c r="X492" s="109"/>
      <c r="Y492" s="109"/>
      <c r="Z492" s="109"/>
    </row>
    <row r="493" ht="29.25" customHeight="1">
      <c r="A493" s="109"/>
      <c r="B493" s="109"/>
      <c r="C493" s="109"/>
      <c r="D493" s="109"/>
      <c r="E493" s="109"/>
      <c r="F493" s="109"/>
      <c r="G493" s="109"/>
      <c r="H493" s="317"/>
      <c r="I493" s="109"/>
      <c r="J493" s="109"/>
      <c r="K493" s="109"/>
      <c r="L493" s="109"/>
      <c r="M493" s="109"/>
      <c r="N493" s="109"/>
      <c r="O493" s="109"/>
      <c r="P493" s="109"/>
      <c r="Q493" s="109"/>
      <c r="R493" s="109"/>
      <c r="S493" s="109"/>
      <c r="T493" s="109"/>
      <c r="U493" s="109"/>
      <c r="V493" s="109"/>
      <c r="W493" s="109"/>
      <c r="X493" s="109"/>
      <c r="Y493" s="109"/>
      <c r="Z493" s="109"/>
    </row>
    <row r="494" ht="29.25" customHeight="1">
      <c r="A494" s="109"/>
      <c r="B494" s="109"/>
      <c r="C494" s="109"/>
      <c r="D494" s="109"/>
      <c r="E494" s="109"/>
      <c r="F494" s="109"/>
      <c r="G494" s="109"/>
      <c r="H494" s="317"/>
      <c r="I494" s="109"/>
      <c r="J494" s="109"/>
      <c r="K494" s="109"/>
      <c r="L494" s="109"/>
      <c r="M494" s="109"/>
      <c r="N494" s="109"/>
      <c r="O494" s="109"/>
      <c r="P494" s="109"/>
      <c r="Q494" s="109"/>
      <c r="R494" s="109"/>
      <c r="S494" s="109"/>
      <c r="T494" s="109"/>
      <c r="U494" s="109"/>
      <c r="V494" s="109"/>
      <c r="W494" s="109"/>
      <c r="X494" s="109"/>
      <c r="Y494" s="109"/>
      <c r="Z494" s="109"/>
    </row>
    <row r="495" ht="29.25" customHeight="1">
      <c r="A495" s="109"/>
      <c r="B495" s="109"/>
      <c r="C495" s="109"/>
      <c r="D495" s="109"/>
      <c r="E495" s="109"/>
      <c r="F495" s="109"/>
      <c r="G495" s="109"/>
      <c r="H495" s="317"/>
      <c r="I495" s="109"/>
      <c r="J495" s="109"/>
      <c r="K495" s="109"/>
      <c r="L495" s="109"/>
      <c r="M495" s="109"/>
      <c r="N495" s="109"/>
      <c r="O495" s="109"/>
      <c r="P495" s="109"/>
      <c r="Q495" s="109"/>
      <c r="R495" s="109"/>
      <c r="S495" s="109"/>
      <c r="T495" s="109"/>
      <c r="U495" s="109"/>
      <c r="V495" s="109"/>
      <c r="W495" s="109"/>
      <c r="X495" s="109"/>
      <c r="Y495" s="109"/>
      <c r="Z495" s="109"/>
    </row>
    <row r="496" ht="29.25" customHeight="1">
      <c r="A496" s="109"/>
      <c r="B496" s="109"/>
      <c r="C496" s="109"/>
      <c r="D496" s="109"/>
      <c r="E496" s="109"/>
      <c r="F496" s="109"/>
      <c r="G496" s="109"/>
      <c r="H496" s="317"/>
      <c r="I496" s="109"/>
      <c r="J496" s="109"/>
      <c r="K496" s="109"/>
      <c r="L496" s="109"/>
      <c r="M496" s="109"/>
      <c r="N496" s="109"/>
      <c r="O496" s="109"/>
      <c r="P496" s="109"/>
      <c r="Q496" s="109"/>
      <c r="R496" s="109"/>
      <c r="S496" s="109"/>
      <c r="T496" s="109"/>
      <c r="U496" s="109"/>
      <c r="V496" s="109"/>
      <c r="W496" s="109"/>
      <c r="X496" s="109"/>
      <c r="Y496" s="109"/>
      <c r="Z496" s="109"/>
    </row>
    <row r="497" ht="29.25" customHeight="1">
      <c r="A497" s="109"/>
      <c r="B497" s="109"/>
      <c r="C497" s="109"/>
      <c r="D497" s="109"/>
      <c r="E497" s="109"/>
      <c r="F497" s="109"/>
      <c r="G497" s="109"/>
      <c r="H497" s="317"/>
      <c r="I497" s="109"/>
      <c r="J497" s="109"/>
      <c r="K497" s="109"/>
      <c r="L497" s="109"/>
      <c r="M497" s="109"/>
      <c r="N497" s="109"/>
      <c r="O497" s="109"/>
      <c r="P497" s="109"/>
      <c r="Q497" s="109"/>
      <c r="R497" s="109"/>
      <c r="S497" s="109"/>
      <c r="T497" s="109"/>
      <c r="U497" s="109"/>
      <c r="V497" s="109"/>
      <c r="W497" s="109"/>
      <c r="X497" s="109"/>
      <c r="Y497" s="109"/>
      <c r="Z497" s="109"/>
    </row>
    <row r="498" ht="29.25" customHeight="1">
      <c r="A498" s="109"/>
      <c r="B498" s="109"/>
      <c r="C498" s="109"/>
      <c r="D498" s="109"/>
      <c r="E498" s="109"/>
      <c r="F498" s="109"/>
      <c r="G498" s="109"/>
      <c r="H498" s="317"/>
      <c r="I498" s="109"/>
      <c r="J498" s="109"/>
      <c r="K498" s="109"/>
      <c r="L498" s="109"/>
      <c r="M498" s="109"/>
      <c r="N498" s="109"/>
      <c r="O498" s="109"/>
      <c r="P498" s="109"/>
      <c r="Q498" s="109"/>
      <c r="R498" s="109"/>
      <c r="S498" s="109"/>
      <c r="T498" s="109"/>
      <c r="U498" s="109"/>
      <c r="V498" s="109"/>
      <c r="W498" s="109"/>
      <c r="X498" s="109"/>
      <c r="Y498" s="109"/>
      <c r="Z498" s="109"/>
    </row>
    <row r="499" ht="29.25" customHeight="1">
      <c r="A499" s="109"/>
      <c r="B499" s="109"/>
      <c r="C499" s="109"/>
      <c r="D499" s="109"/>
      <c r="E499" s="109"/>
      <c r="F499" s="109"/>
      <c r="G499" s="109"/>
      <c r="H499" s="317"/>
      <c r="I499" s="109"/>
      <c r="J499" s="109"/>
      <c r="K499" s="109"/>
      <c r="L499" s="109"/>
      <c r="M499" s="109"/>
      <c r="N499" s="109"/>
      <c r="O499" s="109"/>
      <c r="P499" s="109"/>
      <c r="Q499" s="109"/>
      <c r="R499" s="109"/>
      <c r="S499" s="109"/>
      <c r="T499" s="109"/>
      <c r="U499" s="109"/>
      <c r="V499" s="109"/>
      <c r="W499" s="109"/>
      <c r="X499" s="109"/>
      <c r="Y499" s="109"/>
      <c r="Z499" s="109"/>
    </row>
    <row r="500" ht="29.25" customHeight="1">
      <c r="A500" s="109"/>
      <c r="B500" s="109"/>
      <c r="C500" s="109"/>
      <c r="D500" s="109"/>
      <c r="E500" s="109"/>
      <c r="F500" s="109"/>
      <c r="G500" s="109"/>
      <c r="H500" s="317"/>
      <c r="I500" s="109"/>
      <c r="J500" s="109"/>
      <c r="K500" s="109"/>
      <c r="L500" s="109"/>
      <c r="M500" s="109"/>
      <c r="N500" s="109"/>
      <c r="O500" s="109"/>
      <c r="P500" s="109"/>
      <c r="Q500" s="109"/>
      <c r="R500" s="109"/>
      <c r="S500" s="109"/>
      <c r="T500" s="109"/>
      <c r="U500" s="109"/>
      <c r="V500" s="109"/>
      <c r="W500" s="109"/>
      <c r="X500" s="109"/>
      <c r="Y500" s="109"/>
      <c r="Z500" s="109"/>
    </row>
    <row r="501" ht="29.25" customHeight="1">
      <c r="A501" s="109"/>
      <c r="B501" s="109"/>
      <c r="C501" s="109"/>
      <c r="D501" s="109"/>
      <c r="E501" s="109"/>
      <c r="F501" s="109"/>
      <c r="G501" s="109"/>
      <c r="H501" s="317"/>
      <c r="I501" s="109"/>
      <c r="J501" s="109"/>
      <c r="K501" s="109"/>
      <c r="L501" s="109"/>
      <c r="M501" s="109"/>
      <c r="N501" s="109"/>
      <c r="O501" s="109"/>
      <c r="P501" s="109"/>
      <c r="Q501" s="109"/>
      <c r="R501" s="109"/>
      <c r="S501" s="109"/>
      <c r="T501" s="109"/>
      <c r="U501" s="109"/>
      <c r="V501" s="109"/>
      <c r="W501" s="109"/>
      <c r="X501" s="109"/>
      <c r="Y501" s="109"/>
      <c r="Z501" s="109"/>
    </row>
    <row r="502" ht="29.25" customHeight="1">
      <c r="A502" s="109"/>
      <c r="B502" s="109"/>
      <c r="C502" s="109"/>
      <c r="D502" s="109"/>
      <c r="E502" s="109"/>
      <c r="F502" s="109"/>
      <c r="G502" s="109"/>
      <c r="H502" s="317"/>
      <c r="I502" s="109"/>
      <c r="J502" s="109"/>
      <c r="K502" s="109"/>
      <c r="L502" s="109"/>
      <c r="M502" s="109"/>
      <c r="N502" s="109"/>
      <c r="O502" s="109"/>
      <c r="P502" s="109"/>
      <c r="Q502" s="109"/>
      <c r="R502" s="109"/>
      <c r="S502" s="109"/>
      <c r="T502" s="109"/>
      <c r="U502" s="109"/>
      <c r="V502" s="109"/>
      <c r="W502" s="109"/>
      <c r="X502" s="109"/>
      <c r="Y502" s="109"/>
      <c r="Z502" s="109"/>
    </row>
    <row r="503" ht="29.25" customHeight="1">
      <c r="A503" s="109"/>
      <c r="B503" s="109"/>
      <c r="C503" s="109"/>
      <c r="D503" s="109"/>
      <c r="E503" s="109"/>
      <c r="F503" s="109"/>
      <c r="G503" s="109"/>
      <c r="H503" s="317"/>
      <c r="I503" s="109"/>
      <c r="J503" s="109"/>
      <c r="K503" s="109"/>
      <c r="L503" s="109"/>
      <c r="M503" s="109"/>
      <c r="N503" s="109"/>
      <c r="O503" s="109"/>
      <c r="P503" s="109"/>
      <c r="Q503" s="109"/>
      <c r="R503" s="109"/>
      <c r="S503" s="109"/>
      <c r="T503" s="109"/>
      <c r="U503" s="109"/>
      <c r="V503" s="109"/>
      <c r="W503" s="109"/>
      <c r="X503" s="109"/>
      <c r="Y503" s="109"/>
      <c r="Z503" s="109"/>
    </row>
    <row r="504" ht="29.25" customHeight="1">
      <c r="A504" s="109"/>
      <c r="B504" s="109"/>
      <c r="C504" s="109"/>
      <c r="D504" s="109"/>
      <c r="E504" s="109"/>
      <c r="F504" s="109"/>
      <c r="G504" s="109"/>
      <c r="H504" s="317"/>
      <c r="I504" s="109"/>
      <c r="J504" s="109"/>
      <c r="K504" s="109"/>
      <c r="L504" s="109"/>
      <c r="M504" s="109"/>
      <c r="N504" s="109"/>
      <c r="O504" s="109"/>
      <c r="P504" s="109"/>
      <c r="Q504" s="109"/>
      <c r="R504" s="109"/>
      <c r="S504" s="109"/>
      <c r="T504" s="109"/>
      <c r="U504" s="109"/>
      <c r="V504" s="109"/>
      <c r="W504" s="109"/>
      <c r="X504" s="109"/>
      <c r="Y504" s="109"/>
      <c r="Z504" s="109"/>
    </row>
    <row r="505" ht="29.25" customHeight="1">
      <c r="A505" s="109"/>
      <c r="B505" s="109"/>
      <c r="C505" s="109"/>
      <c r="D505" s="109"/>
      <c r="E505" s="109"/>
      <c r="F505" s="109"/>
      <c r="G505" s="109"/>
      <c r="H505" s="317"/>
      <c r="I505" s="109"/>
      <c r="J505" s="109"/>
      <c r="K505" s="109"/>
      <c r="L505" s="109"/>
      <c r="M505" s="109"/>
      <c r="N505" s="109"/>
      <c r="O505" s="109"/>
      <c r="P505" s="109"/>
      <c r="Q505" s="109"/>
      <c r="R505" s="109"/>
      <c r="S505" s="109"/>
      <c r="T505" s="109"/>
      <c r="U505" s="109"/>
      <c r="V505" s="109"/>
      <c r="W505" s="109"/>
      <c r="X505" s="109"/>
      <c r="Y505" s="109"/>
      <c r="Z505" s="109"/>
    </row>
    <row r="506" ht="29.25" customHeight="1">
      <c r="A506" s="109"/>
      <c r="B506" s="109"/>
      <c r="C506" s="109"/>
      <c r="D506" s="109"/>
      <c r="E506" s="109"/>
      <c r="F506" s="109"/>
      <c r="G506" s="109"/>
      <c r="H506" s="317"/>
      <c r="I506" s="109"/>
      <c r="J506" s="109"/>
      <c r="K506" s="109"/>
      <c r="L506" s="109"/>
      <c r="M506" s="109"/>
      <c r="N506" s="109"/>
      <c r="O506" s="109"/>
      <c r="P506" s="109"/>
      <c r="Q506" s="109"/>
      <c r="R506" s="109"/>
      <c r="S506" s="109"/>
      <c r="T506" s="109"/>
      <c r="U506" s="109"/>
      <c r="V506" s="109"/>
      <c r="W506" s="109"/>
      <c r="X506" s="109"/>
      <c r="Y506" s="109"/>
      <c r="Z506" s="109"/>
    </row>
    <row r="507" ht="29.25" customHeight="1">
      <c r="A507" s="109"/>
      <c r="B507" s="109"/>
      <c r="C507" s="109"/>
      <c r="D507" s="109"/>
      <c r="E507" s="109"/>
      <c r="F507" s="109"/>
      <c r="G507" s="109"/>
      <c r="H507" s="317"/>
      <c r="I507" s="109"/>
      <c r="J507" s="109"/>
      <c r="K507" s="109"/>
      <c r="L507" s="109"/>
      <c r="M507" s="109"/>
      <c r="N507" s="109"/>
      <c r="O507" s="109"/>
      <c r="P507" s="109"/>
      <c r="Q507" s="109"/>
      <c r="R507" s="109"/>
      <c r="S507" s="109"/>
      <c r="T507" s="109"/>
      <c r="U507" s="109"/>
      <c r="V507" s="109"/>
      <c r="W507" s="109"/>
      <c r="X507" s="109"/>
      <c r="Y507" s="109"/>
      <c r="Z507" s="109"/>
    </row>
    <row r="508" ht="29.25" customHeight="1">
      <c r="A508" s="109"/>
      <c r="B508" s="109"/>
      <c r="C508" s="109"/>
      <c r="D508" s="109"/>
      <c r="E508" s="109"/>
      <c r="F508" s="109"/>
      <c r="G508" s="109"/>
      <c r="H508" s="317"/>
      <c r="I508" s="109"/>
      <c r="J508" s="109"/>
      <c r="K508" s="109"/>
      <c r="L508" s="109"/>
      <c r="M508" s="109"/>
      <c r="N508" s="109"/>
      <c r="O508" s="109"/>
      <c r="P508" s="109"/>
      <c r="Q508" s="109"/>
      <c r="R508" s="109"/>
      <c r="S508" s="109"/>
      <c r="T508" s="109"/>
      <c r="U508" s="109"/>
      <c r="V508" s="109"/>
      <c r="W508" s="109"/>
      <c r="X508" s="109"/>
      <c r="Y508" s="109"/>
      <c r="Z508" s="109"/>
    </row>
    <row r="509" ht="29.25" customHeight="1">
      <c r="A509" s="109"/>
      <c r="B509" s="109"/>
      <c r="C509" s="109"/>
      <c r="D509" s="109"/>
      <c r="E509" s="109"/>
      <c r="F509" s="109"/>
      <c r="G509" s="109"/>
      <c r="H509" s="317"/>
      <c r="I509" s="109"/>
      <c r="J509" s="109"/>
      <c r="K509" s="109"/>
      <c r="L509" s="109"/>
      <c r="M509" s="109"/>
      <c r="N509" s="109"/>
      <c r="O509" s="109"/>
      <c r="P509" s="109"/>
      <c r="Q509" s="109"/>
      <c r="R509" s="109"/>
      <c r="S509" s="109"/>
      <c r="T509" s="109"/>
      <c r="U509" s="109"/>
      <c r="V509" s="109"/>
      <c r="W509" s="109"/>
      <c r="X509" s="109"/>
      <c r="Y509" s="109"/>
      <c r="Z509" s="109"/>
    </row>
    <row r="510" ht="29.25" customHeight="1">
      <c r="A510" s="109"/>
      <c r="B510" s="109"/>
      <c r="C510" s="109"/>
      <c r="D510" s="109"/>
      <c r="E510" s="109"/>
      <c r="F510" s="109"/>
      <c r="G510" s="109"/>
      <c r="H510" s="317"/>
      <c r="I510" s="109"/>
      <c r="J510" s="109"/>
      <c r="K510" s="109"/>
      <c r="L510" s="109"/>
      <c r="M510" s="109"/>
      <c r="N510" s="109"/>
      <c r="O510" s="109"/>
      <c r="P510" s="109"/>
      <c r="Q510" s="109"/>
      <c r="R510" s="109"/>
      <c r="S510" s="109"/>
      <c r="T510" s="109"/>
      <c r="U510" s="109"/>
      <c r="V510" s="109"/>
      <c r="W510" s="109"/>
      <c r="X510" s="109"/>
      <c r="Y510" s="109"/>
      <c r="Z510" s="109"/>
    </row>
    <row r="511" ht="29.25" customHeight="1">
      <c r="A511" s="109"/>
      <c r="B511" s="109"/>
      <c r="C511" s="109"/>
      <c r="D511" s="109"/>
      <c r="E511" s="109"/>
      <c r="F511" s="109"/>
      <c r="G511" s="109"/>
      <c r="H511" s="317"/>
      <c r="I511" s="109"/>
      <c r="J511" s="109"/>
      <c r="K511" s="109"/>
      <c r="L511" s="109"/>
      <c r="M511" s="109"/>
      <c r="N511" s="109"/>
      <c r="O511" s="109"/>
      <c r="P511" s="109"/>
      <c r="Q511" s="109"/>
      <c r="R511" s="109"/>
      <c r="S511" s="109"/>
      <c r="T511" s="109"/>
      <c r="U511" s="109"/>
      <c r="V511" s="109"/>
      <c r="W511" s="109"/>
      <c r="X511" s="109"/>
      <c r="Y511" s="109"/>
      <c r="Z511" s="109"/>
    </row>
    <row r="512" ht="29.25" customHeight="1">
      <c r="A512" s="109"/>
      <c r="B512" s="109"/>
      <c r="C512" s="109"/>
      <c r="D512" s="109"/>
      <c r="E512" s="109"/>
      <c r="F512" s="109"/>
      <c r="G512" s="109"/>
      <c r="H512" s="317"/>
      <c r="I512" s="109"/>
      <c r="J512" s="109"/>
      <c r="K512" s="109"/>
      <c r="L512" s="109"/>
      <c r="M512" s="109"/>
      <c r="N512" s="109"/>
      <c r="O512" s="109"/>
      <c r="P512" s="109"/>
      <c r="Q512" s="109"/>
      <c r="R512" s="109"/>
      <c r="S512" s="109"/>
      <c r="T512" s="109"/>
      <c r="U512" s="109"/>
      <c r="V512" s="109"/>
      <c r="W512" s="109"/>
      <c r="X512" s="109"/>
      <c r="Y512" s="109"/>
      <c r="Z512" s="109"/>
    </row>
    <row r="513" ht="29.25" customHeight="1">
      <c r="A513" s="109"/>
      <c r="B513" s="109"/>
      <c r="C513" s="109"/>
      <c r="D513" s="109"/>
      <c r="E513" s="109"/>
      <c r="F513" s="109"/>
      <c r="G513" s="109"/>
      <c r="H513" s="317"/>
      <c r="I513" s="109"/>
      <c r="J513" s="109"/>
      <c r="K513" s="109"/>
      <c r="L513" s="109"/>
      <c r="M513" s="109"/>
      <c r="N513" s="109"/>
      <c r="O513" s="109"/>
      <c r="P513" s="109"/>
      <c r="Q513" s="109"/>
      <c r="R513" s="109"/>
      <c r="S513" s="109"/>
      <c r="T513" s="109"/>
      <c r="U513" s="109"/>
      <c r="V513" s="109"/>
      <c r="W513" s="109"/>
      <c r="X513" s="109"/>
      <c r="Y513" s="109"/>
      <c r="Z513" s="109"/>
    </row>
    <row r="514" ht="29.25" customHeight="1">
      <c r="A514" s="109"/>
      <c r="B514" s="109"/>
      <c r="C514" s="109"/>
      <c r="D514" s="109"/>
      <c r="E514" s="109"/>
      <c r="F514" s="109"/>
      <c r="G514" s="109"/>
      <c r="H514" s="317"/>
      <c r="I514" s="109"/>
      <c r="J514" s="109"/>
      <c r="K514" s="109"/>
      <c r="L514" s="109"/>
      <c r="M514" s="109"/>
      <c r="N514" s="109"/>
      <c r="O514" s="109"/>
      <c r="P514" s="109"/>
      <c r="Q514" s="109"/>
      <c r="R514" s="109"/>
      <c r="S514" s="109"/>
      <c r="T514" s="109"/>
      <c r="U514" s="109"/>
      <c r="V514" s="109"/>
      <c r="W514" s="109"/>
      <c r="X514" s="109"/>
      <c r="Y514" s="109"/>
      <c r="Z514" s="109"/>
    </row>
    <row r="515" ht="29.25" customHeight="1">
      <c r="A515" s="109"/>
      <c r="B515" s="109"/>
      <c r="C515" s="109"/>
      <c r="D515" s="109"/>
      <c r="E515" s="109"/>
      <c r="F515" s="109"/>
      <c r="G515" s="109"/>
      <c r="H515" s="317"/>
      <c r="I515" s="109"/>
      <c r="J515" s="109"/>
      <c r="K515" s="109"/>
      <c r="L515" s="109"/>
      <c r="M515" s="109"/>
      <c r="N515" s="109"/>
      <c r="O515" s="109"/>
      <c r="P515" s="109"/>
      <c r="Q515" s="109"/>
      <c r="R515" s="109"/>
      <c r="S515" s="109"/>
      <c r="T515" s="109"/>
      <c r="U515" s="109"/>
      <c r="V515" s="109"/>
      <c r="W515" s="109"/>
      <c r="X515" s="109"/>
      <c r="Y515" s="109"/>
      <c r="Z515" s="109"/>
    </row>
    <row r="516" ht="29.25" customHeight="1">
      <c r="A516" s="109"/>
      <c r="B516" s="109"/>
      <c r="C516" s="109"/>
      <c r="D516" s="109"/>
      <c r="E516" s="109"/>
      <c r="F516" s="109"/>
      <c r="G516" s="109"/>
      <c r="H516" s="317"/>
      <c r="I516" s="109"/>
      <c r="J516" s="109"/>
      <c r="K516" s="109"/>
      <c r="L516" s="109"/>
      <c r="M516" s="109"/>
      <c r="N516" s="109"/>
      <c r="O516" s="109"/>
      <c r="P516" s="109"/>
      <c r="Q516" s="109"/>
      <c r="R516" s="109"/>
      <c r="S516" s="109"/>
      <c r="T516" s="109"/>
      <c r="U516" s="109"/>
      <c r="V516" s="109"/>
      <c r="W516" s="109"/>
      <c r="X516" s="109"/>
      <c r="Y516" s="109"/>
      <c r="Z516" s="109"/>
    </row>
    <row r="517" ht="29.25" customHeight="1">
      <c r="A517" s="109"/>
      <c r="B517" s="109"/>
      <c r="C517" s="109"/>
      <c r="D517" s="109"/>
      <c r="E517" s="109"/>
      <c r="F517" s="109"/>
      <c r="G517" s="109"/>
      <c r="H517" s="317"/>
      <c r="I517" s="109"/>
      <c r="J517" s="109"/>
      <c r="K517" s="109"/>
      <c r="L517" s="109"/>
      <c r="M517" s="109"/>
      <c r="N517" s="109"/>
      <c r="O517" s="109"/>
      <c r="P517" s="109"/>
      <c r="Q517" s="109"/>
      <c r="R517" s="109"/>
      <c r="S517" s="109"/>
      <c r="T517" s="109"/>
      <c r="U517" s="109"/>
      <c r="V517" s="109"/>
      <c r="W517" s="109"/>
      <c r="X517" s="109"/>
      <c r="Y517" s="109"/>
      <c r="Z517" s="109"/>
    </row>
    <row r="518" ht="29.25" customHeight="1">
      <c r="A518" s="109"/>
      <c r="B518" s="109"/>
      <c r="C518" s="109"/>
      <c r="D518" s="109"/>
      <c r="E518" s="109"/>
      <c r="F518" s="109"/>
      <c r="G518" s="109"/>
      <c r="H518" s="317"/>
      <c r="I518" s="109"/>
      <c r="J518" s="109"/>
      <c r="K518" s="109"/>
      <c r="L518" s="109"/>
      <c r="M518" s="109"/>
      <c r="N518" s="109"/>
      <c r="O518" s="109"/>
      <c r="P518" s="109"/>
      <c r="Q518" s="109"/>
      <c r="R518" s="109"/>
      <c r="S518" s="109"/>
      <c r="T518" s="109"/>
      <c r="U518" s="109"/>
      <c r="V518" s="109"/>
      <c r="W518" s="109"/>
      <c r="X518" s="109"/>
      <c r="Y518" s="109"/>
      <c r="Z518" s="109"/>
    </row>
    <row r="519" ht="29.25" customHeight="1">
      <c r="A519" s="109"/>
      <c r="B519" s="109"/>
      <c r="C519" s="109"/>
      <c r="D519" s="109"/>
      <c r="E519" s="109"/>
      <c r="F519" s="109"/>
      <c r="G519" s="109"/>
      <c r="H519" s="317"/>
      <c r="I519" s="109"/>
      <c r="J519" s="109"/>
      <c r="K519" s="109"/>
      <c r="L519" s="109"/>
      <c r="M519" s="109"/>
      <c r="N519" s="109"/>
      <c r="O519" s="109"/>
      <c r="P519" s="109"/>
      <c r="Q519" s="109"/>
      <c r="R519" s="109"/>
      <c r="S519" s="109"/>
      <c r="T519" s="109"/>
      <c r="U519" s="109"/>
      <c r="V519" s="109"/>
      <c r="W519" s="109"/>
      <c r="X519" s="109"/>
      <c r="Y519" s="109"/>
      <c r="Z519" s="109"/>
    </row>
    <row r="520" ht="29.25" customHeight="1">
      <c r="A520" s="109"/>
      <c r="B520" s="109"/>
      <c r="C520" s="109"/>
      <c r="D520" s="109"/>
      <c r="E520" s="109"/>
      <c r="F520" s="109"/>
      <c r="G520" s="109"/>
      <c r="H520" s="317"/>
      <c r="I520" s="109"/>
      <c r="J520" s="109"/>
      <c r="K520" s="109"/>
      <c r="L520" s="109"/>
      <c r="M520" s="109"/>
      <c r="N520" s="109"/>
      <c r="O520" s="109"/>
      <c r="P520" s="109"/>
      <c r="Q520" s="109"/>
      <c r="R520" s="109"/>
      <c r="S520" s="109"/>
      <c r="T520" s="109"/>
      <c r="U520" s="109"/>
      <c r="V520" s="109"/>
      <c r="W520" s="109"/>
      <c r="X520" s="109"/>
      <c r="Y520" s="109"/>
      <c r="Z520" s="109"/>
    </row>
    <row r="521" ht="29.25" customHeight="1">
      <c r="A521" s="109"/>
      <c r="B521" s="109"/>
      <c r="C521" s="109"/>
      <c r="D521" s="109"/>
      <c r="E521" s="109"/>
      <c r="F521" s="109"/>
      <c r="G521" s="109"/>
      <c r="H521" s="317"/>
      <c r="I521" s="109"/>
      <c r="J521" s="109"/>
      <c r="K521" s="109"/>
      <c r="L521" s="109"/>
      <c r="M521" s="109"/>
      <c r="N521" s="109"/>
      <c r="O521" s="109"/>
      <c r="P521" s="109"/>
      <c r="Q521" s="109"/>
      <c r="R521" s="109"/>
      <c r="S521" s="109"/>
      <c r="T521" s="109"/>
      <c r="U521" s="109"/>
      <c r="V521" s="109"/>
      <c r="W521" s="109"/>
      <c r="X521" s="109"/>
      <c r="Y521" s="109"/>
      <c r="Z521" s="109"/>
    </row>
    <row r="522" ht="29.25" customHeight="1">
      <c r="A522" s="109"/>
      <c r="B522" s="109"/>
      <c r="C522" s="109"/>
      <c r="D522" s="109"/>
      <c r="E522" s="109"/>
      <c r="F522" s="109"/>
      <c r="G522" s="109"/>
      <c r="H522" s="317"/>
      <c r="I522" s="109"/>
      <c r="J522" s="109"/>
      <c r="K522" s="109"/>
      <c r="L522" s="109"/>
      <c r="M522" s="109"/>
      <c r="N522" s="109"/>
      <c r="O522" s="109"/>
      <c r="P522" s="109"/>
      <c r="Q522" s="109"/>
      <c r="R522" s="109"/>
      <c r="S522" s="109"/>
      <c r="T522" s="109"/>
      <c r="U522" s="109"/>
      <c r="V522" s="109"/>
      <c r="W522" s="109"/>
      <c r="X522" s="109"/>
      <c r="Y522" s="109"/>
      <c r="Z522" s="109"/>
    </row>
    <row r="523" ht="29.25" customHeight="1">
      <c r="A523" s="109"/>
      <c r="B523" s="109"/>
      <c r="C523" s="109"/>
      <c r="D523" s="109"/>
      <c r="E523" s="109"/>
      <c r="F523" s="109"/>
      <c r="G523" s="109"/>
      <c r="H523" s="317"/>
      <c r="I523" s="109"/>
      <c r="J523" s="109"/>
      <c r="K523" s="109"/>
      <c r="L523" s="109"/>
      <c r="M523" s="109"/>
      <c r="N523" s="109"/>
      <c r="O523" s="109"/>
      <c r="P523" s="109"/>
      <c r="Q523" s="109"/>
      <c r="R523" s="109"/>
      <c r="S523" s="109"/>
      <c r="T523" s="109"/>
      <c r="U523" s="109"/>
      <c r="V523" s="109"/>
      <c r="W523" s="109"/>
      <c r="X523" s="109"/>
      <c r="Y523" s="109"/>
      <c r="Z523" s="109"/>
    </row>
    <row r="524" ht="29.25" customHeight="1">
      <c r="A524" s="109"/>
      <c r="B524" s="109"/>
      <c r="C524" s="109"/>
      <c r="D524" s="109"/>
      <c r="E524" s="109"/>
      <c r="F524" s="109"/>
      <c r="G524" s="109"/>
      <c r="H524" s="317"/>
      <c r="I524" s="109"/>
      <c r="J524" s="109"/>
      <c r="K524" s="109"/>
      <c r="L524" s="109"/>
      <c r="M524" s="109"/>
      <c r="N524" s="109"/>
      <c r="O524" s="109"/>
      <c r="P524" s="109"/>
      <c r="Q524" s="109"/>
      <c r="R524" s="109"/>
      <c r="S524" s="109"/>
      <c r="T524" s="109"/>
      <c r="U524" s="109"/>
      <c r="V524" s="109"/>
      <c r="W524" s="109"/>
      <c r="X524" s="109"/>
      <c r="Y524" s="109"/>
      <c r="Z524" s="109"/>
    </row>
    <row r="525" ht="29.25" customHeight="1">
      <c r="A525" s="109"/>
      <c r="B525" s="109"/>
      <c r="C525" s="109"/>
      <c r="D525" s="109"/>
      <c r="E525" s="109"/>
      <c r="F525" s="109"/>
      <c r="G525" s="109"/>
      <c r="H525" s="317"/>
      <c r="I525" s="109"/>
      <c r="J525" s="109"/>
      <c r="K525" s="109"/>
      <c r="L525" s="109"/>
      <c r="M525" s="109"/>
      <c r="N525" s="109"/>
      <c r="O525" s="109"/>
      <c r="P525" s="109"/>
      <c r="Q525" s="109"/>
      <c r="R525" s="109"/>
      <c r="S525" s="109"/>
      <c r="T525" s="109"/>
      <c r="U525" s="109"/>
      <c r="V525" s="109"/>
      <c r="W525" s="109"/>
      <c r="X525" s="109"/>
      <c r="Y525" s="109"/>
      <c r="Z525" s="109"/>
    </row>
    <row r="526" ht="29.25" customHeight="1">
      <c r="A526" s="109"/>
      <c r="B526" s="109"/>
      <c r="C526" s="109"/>
      <c r="D526" s="109"/>
      <c r="E526" s="109"/>
      <c r="F526" s="109"/>
      <c r="G526" s="109"/>
      <c r="H526" s="317"/>
      <c r="I526" s="109"/>
      <c r="J526" s="109"/>
      <c r="K526" s="109"/>
      <c r="L526" s="109"/>
      <c r="M526" s="109"/>
      <c r="N526" s="109"/>
      <c r="O526" s="109"/>
      <c r="P526" s="109"/>
      <c r="Q526" s="109"/>
      <c r="R526" s="109"/>
      <c r="S526" s="109"/>
      <c r="T526" s="109"/>
      <c r="U526" s="109"/>
      <c r="V526" s="109"/>
      <c r="W526" s="109"/>
      <c r="X526" s="109"/>
      <c r="Y526" s="109"/>
      <c r="Z526" s="109"/>
    </row>
    <row r="527" ht="29.25" customHeight="1">
      <c r="A527" s="109"/>
      <c r="B527" s="109"/>
      <c r="C527" s="109"/>
      <c r="D527" s="109"/>
      <c r="E527" s="109"/>
      <c r="F527" s="109"/>
      <c r="G527" s="109"/>
      <c r="H527" s="317"/>
      <c r="I527" s="109"/>
      <c r="J527" s="109"/>
      <c r="K527" s="109"/>
      <c r="L527" s="109"/>
      <c r="M527" s="109"/>
      <c r="N527" s="109"/>
      <c r="O527" s="109"/>
      <c r="P527" s="109"/>
      <c r="Q527" s="109"/>
      <c r="R527" s="109"/>
      <c r="S527" s="109"/>
      <c r="T527" s="109"/>
      <c r="U527" s="109"/>
      <c r="V527" s="109"/>
      <c r="W527" s="109"/>
      <c r="X527" s="109"/>
      <c r="Y527" s="109"/>
      <c r="Z527" s="109"/>
    </row>
    <row r="528" ht="29.25" customHeight="1">
      <c r="A528" s="109"/>
      <c r="B528" s="109"/>
      <c r="C528" s="109"/>
      <c r="D528" s="109"/>
      <c r="E528" s="109"/>
      <c r="F528" s="109"/>
      <c r="G528" s="109"/>
      <c r="H528" s="317"/>
      <c r="I528" s="109"/>
      <c r="J528" s="109"/>
      <c r="K528" s="109"/>
      <c r="L528" s="109"/>
      <c r="M528" s="109"/>
      <c r="N528" s="109"/>
      <c r="O528" s="109"/>
      <c r="P528" s="109"/>
      <c r="Q528" s="109"/>
      <c r="R528" s="109"/>
      <c r="S528" s="109"/>
      <c r="T528" s="109"/>
      <c r="U528" s="109"/>
      <c r="V528" s="109"/>
      <c r="W528" s="109"/>
      <c r="X528" s="109"/>
      <c r="Y528" s="109"/>
      <c r="Z528" s="109"/>
    </row>
    <row r="529" ht="29.25" customHeight="1">
      <c r="A529" s="109"/>
      <c r="B529" s="109"/>
      <c r="C529" s="109"/>
      <c r="D529" s="109"/>
      <c r="E529" s="109"/>
      <c r="F529" s="109"/>
      <c r="G529" s="109"/>
      <c r="H529" s="317"/>
      <c r="I529" s="109"/>
      <c r="J529" s="109"/>
      <c r="K529" s="109"/>
      <c r="L529" s="109"/>
      <c r="M529" s="109"/>
      <c r="N529" s="109"/>
      <c r="O529" s="109"/>
      <c r="P529" s="109"/>
      <c r="Q529" s="109"/>
      <c r="R529" s="109"/>
      <c r="S529" s="109"/>
      <c r="T529" s="109"/>
      <c r="U529" s="109"/>
      <c r="V529" s="109"/>
      <c r="W529" s="109"/>
      <c r="X529" s="109"/>
      <c r="Y529" s="109"/>
      <c r="Z529" s="109"/>
    </row>
    <row r="530" ht="29.25" customHeight="1">
      <c r="A530" s="109"/>
      <c r="B530" s="109"/>
      <c r="C530" s="109"/>
      <c r="D530" s="109"/>
      <c r="E530" s="109"/>
      <c r="F530" s="109"/>
      <c r="G530" s="109"/>
      <c r="H530" s="317"/>
      <c r="I530" s="109"/>
      <c r="J530" s="109"/>
      <c r="K530" s="109"/>
      <c r="L530" s="109"/>
      <c r="M530" s="109"/>
      <c r="N530" s="109"/>
      <c r="O530" s="109"/>
      <c r="P530" s="109"/>
      <c r="Q530" s="109"/>
      <c r="R530" s="109"/>
      <c r="S530" s="109"/>
      <c r="T530" s="109"/>
      <c r="U530" s="109"/>
      <c r="V530" s="109"/>
      <c r="W530" s="109"/>
      <c r="X530" s="109"/>
      <c r="Y530" s="109"/>
      <c r="Z530" s="109"/>
    </row>
    <row r="531" ht="29.25" customHeight="1">
      <c r="A531" s="109"/>
      <c r="B531" s="109"/>
      <c r="C531" s="109"/>
      <c r="D531" s="109"/>
      <c r="E531" s="109"/>
      <c r="F531" s="109"/>
      <c r="G531" s="109"/>
      <c r="H531" s="317"/>
      <c r="I531" s="109"/>
      <c r="J531" s="109"/>
      <c r="K531" s="109"/>
      <c r="L531" s="109"/>
      <c r="M531" s="109"/>
      <c r="N531" s="109"/>
      <c r="O531" s="109"/>
      <c r="P531" s="109"/>
      <c r="Q531" s="109"/>
      <c r="R531" s="109"/>
      <c r="S531" s="109"/>
      <c r="T531" s="109"/>
      <c r="U531" s="109"/>
      <c r="V531" s="109"/>
      <c r="W531" s="109"/>
      <c r="X531" s="109"/>
      <c r="Y531" s="109"/>
      <c r="Z531" s="109"/>
    </row>
    <row r="532" ht="29.25" customHeight="1">
      <c r="A532" s="109"/>
      <c r="B532" s="109"/>
      <c r="C532" s="109"/>
      <c r="D532" s="109"/>
      <c r="E532" s="109"/>
      <c r="F532" s="109"/>
      <c r="G532" s="109"/>
      <c r="H532" s="317"/>
      <c r="I532" s="109"/>
      <c r="J532" s="109"/>
      <c r="K532" s="109"/>
      <c r="L532" s="109"/>
      <c r="M532" s="109"/>
      <c r="N532" s="109"/>
      <c r="O532" s="109"/>
      <c r="P532" s="109"/>
      <c r="Q532" s="109"/>
      <c r="R532" s="109"/>
      <c r="S532" s="109"/>
      <c r="T532" s="109"/>
      <c r="U532" s="109"/>
      <c r="V532" s="109"/>
      <c r="W532" s="109"/>
      <c r="X532" s="109"/>
      <c r="Y532" s="109"/>
      <c r="Z532" s="109"/>
    </row>
    <row r="533" ht="29.25" customHeight="1">
      <c r="A533" s="109"/>
      <c r="B533" s="109"/>
      <c r="C533" s="109"/>
      <c r="D533" s="109"/>
      <c r="E533" s="109"/>
      <c r="F533" s="109"/>
      <c r="G533" s="109"/>
      <c r="H533" s="317"/>
      <c r="I533" s="109"/>
      <c r="J533" s="109"/>
      <c r="K533" s="109"/>
      <c r="L533" s="109"/>
      <c r="M533" s="109"/>
      <c r="N533" s="109"/>
      <c r="O533" s="109"/>
      <c r="P533" s="109"/>
      <c r="Q533" s="109"/>
      <c r="R533" s="109"/>
      <c r="S533" s="109"/>
      <c r="T533" s="109"/>
      <c r="U533" s="109"/>
      <c r="V533" s="109"/>
      <c r="W533" s="109"/>
      <c r="X533" s="109"/>
      <c r="Y533" s="109"/>
      <c r="Z533" s="109"/>
    </row>
    <row r="534" ht="29.25" customHeight="1">
      <c r="A534" s="109"/>
      <c r="B534" s="109"/>
      <c r="C534" s="109"/>
      <c r="D534" s="109"/>
      <c r="E534" s="109"/>
      <c r="F534" s="109"/>
      <c r="G534" s="109"/>
      <c r="H534" s="317"/>
      <c r="I534" s="109"/>
      <c r="J534" s="109"/>
      <c r="K534" s="109"/>
      <c r="L534" s="109"/>
      <c r="M534" s="109"/>
      <c r="N534" s="109"/>
      <c r="O534" s="109"/>
      <c r="P534" s="109"/>
      <c r="Q534" s="109"/>
      <c r="R534" s="109"/>
      <c r="S534" s="109"/>
      <c r="T534" s="109"/>
      <c r="U534" s="109"/>
      <c r="V534" s="109"/>
      <c r="W534" s="109"/>
      <c r="X534" s="109"/>
      <c r="Y534" s="109"/>
      <c r="Z534" s="109"/>
    </row>
    <row r="535" ht="29.25" customHeight="1">
      <c r="A535" s="109"/>
      <c r="B535" s="109"/>
      <c r="C535" s="109"/>
      <c r="D535" s="109"/>
      <c r="E535" s="109"/>
      <c r="F535" s="109"/>
      <c r="G535" s="109"/>
      <c r="H535" s="317"/>
      <c r="I535" s="109"/>
      <c r="J535" s="109"/>
      <c r="K535" s="109"/>
      <c r="L535" s="109"/>
      <c r="M535" s="109"/>
      <c r="N535" s="109"/>
      <c r="O535" s="109"/>
      <c r="P535" s="109"/>
      <c r="Q535" s="109"/>
      <c r="R535" s="109"/>
      <c r="S535" s="109"/>
      <c r="T535" s="109"/>
      <c r="U535" s="109"/>
      <c r="V535" s="109"/>
      <c r="W535" s="109"/>
      <c r="X535" s="109"/>
      <c r="Y535" s="109"/>
      <c r="Z535" s="109"/>
    </row>
    <row r="536" ht="29.25" customHeight="1">
      <c r="A536" s="109"/>
      <c r="B536" s="109"/>
      <c r="C536" s="109"/>
      <c r="D536" s="109"/>
      <c r="E536" s="109"/>
      <c r="F536" s="109"/>
      <c r="G536" s="109"/>
      <c r="H536" s="317"/>
      <c r="I536" s="109"/>
      <c r="J536" s="109"/>
      <c r="K536" s="109"/>
      <c r="L536" s="109"/>
      <c r="M536" s="109"/>
      <c r="N536" s="109"/>
      <c r="O536" s="109"/>
      <c r="P536" s="109"/>
      <c r="Q536" s="109"/>
      <c r="R536" s="109"/>
      <c r="S536" s="109"/>
      <c r="T536" s="109"/>
      <c r="U536" s="109"/>
      <c r="V536" s="109"/>
      <c r="W536" s="109"/>
      <c r="X536" s="109"/>
      <c r="Y536" s="109"/>
      <c r="Z536" s="109"/>
    </row>
    <row r="537" ht="29.25" customHeight="1">
      <c r="A537" s="109"/>
      <c r="B537" s="109"/>
      <c r="C537" s="109"/>
      <c r="D537" s="109"/>
      <c r="E537" s="109"/>
      <c r="F537" s="109"/>
      <c r="G537" s="109"/>
      <c r="H537" s="317"/>
      <c r="I537" s="109"/>
      <c r="J537" s="109"/>
      <c r="K537" s="109"/>
      <c r="L537" s="109"/>
      <c r="M537" s="109"/>
      <c r="N537" s="109"/>
      <c r="O537" s="109"/>
      <c r="P537" s="109"/>
      <c r="Q537" s="109"/>
      <c r="R537" s="109"/>
      <c r="S537" s="109"/>
      <c r="T537" s="109"/>
      <c r="U537" s="109"/>
      <c r="V537" s="109"/>
      <c r="W537" s="109"/>
      <c r="X537" s="109"/>
      <c r="Y537" s="109"/>
      <c r="Z537" s="109"/>
    </row>
    <row r="538" ht="29.25" customHeight="1">
      <c r="A538" s="109"/>
      <c r="B538" s="109"/>
      <c r="C538" s="109"/>
      <c r="D538" s="109"/>
      <c r="E538" s="109"/>
      <c r="F538" s="109"/>
      <c r="G538" s="109"/>
      <c r="H538" s="317"/>
      <c r="I538" s="109"/>
      <c r="J538" s="109"/>
      <c r="K538" s="109"/>
      <c r="L538" s="109"/>
      <c r="M538" s="109"/>
      <c r="N538" s="109"/>
      <c r="O538" s="109"/>
      <c r="P538" s="109"/>
      <c r="Q538" s="109"/>
      <c r="R538" s="109"/>
      <c r="S538" s="109"/>
      <c r="T538" s="109"/>
      <c r="U538" s="109"/>
      <c r="V538" s="109"/>
      <c r="W538" s="109"/>
      <c r="X538" s="109"/>
      <c r="Y538" s="109"/>
      <c r="Z538" s="109"/>
    </row>
    <row r="539" ht="29.25" customHeight="1">
      <c r="A539" s="109"/>
      <c r="B539" s="109"/>
      <c r="C539" s="109"/>
      <c r="D539" s="109"/>
      <c r="E539" s="109"/>
      <c r="F539" s="109"/>
      <c r="G539" s="109"/>
      <c r="H539" s="317"/>
      <c r="I539" s="109"/>
      <c r="J539" s="109"/>
      <c r="K539" s="109"/>
      <c r="L539" s="109"/>
      <c r="M539" s="109"/>
      <c r="N539" s="109"/>
      <c r="O539" s="109"/>
      <c r="P539" s="109"/>
      <c r="Q539" s="109"/>
      <c r="R539" s="109"/>
      <c r="S539" s="109"/>
      <c r="T539" s="109"/>
      <c r="U539" s="109"/>
      <c r="V539" s="109"/>
      <c r="W539" s="109"/>
      <c r="X539" s="109"/>
      <c r="Y539" s="109"/>
      <c r="Z539" s="109"/>
    </row>
    <row r="540" ht="29.25" customHeight="1">
      <c r="A540" s="109"/>
      <c r="B540" s="109"/>
      <c r="C540" s="109"/>
      <c r="D540" s="109"/>
      <c r="E540" s="109"/>
      <c r="F540" s="109"/>
      <c r="G540" s="109"/>
      <c r="H540" s="317"/>
      <c r="I540" s="109"/>
      <c r="J540" s="109"/>
      <c r="K540" s="109"/>
      <c r="L540" s="109"/>
      <c r="M540" s="109"/>
      <c r="N540" s="109"/>
      <c r="O540" s="109"/>
      <c r="P540" s="109"/>
      <c r="Q540" s="109"/>
      <c r="R540" s="109"/>
      <c r="S540" s="109"/>
      <c r="T540" s="109"/>
      <c r="U540" s="109"/>
      <c r="V540" s="109"/>
      <c r="W540" s="109"/>
      <c r="X540" s="109"/>
      <c r="Y540" s="109"/>
      <c r="Z540" s="109"/>
    </row>
    <row r="541" ht="29.25" customHeight="1">
      <c r="A541" s="109"/>
      <c r="B541" s="109"/>
      <c r="C541" s="109"/>
      <c r="D541" s="109"/>
      <c r="E541" s="109"/>
      <c r="F541" s="109"/>
      <c r="G541" s="109"/>
      <c r="H541" s="317"/>
      <c r="I541" s="109"/>
      <c r="J541" s="109"/>
      <c r="K541" s="109"/>
      <c r="L541" s="109"/>
      <c r="M541" s="109"/>
      <c r="N541" s="109"/>
      <c r="O541" s="109"/>
      <c r="P541" s="109"/>
      <c r="Q541" s="109"/>
      <c r="R541" s="109"/>
      <c r="S541" s="109"/>
      <c r="T541" s="109"/>
      <c r="U541" s="109"/>
      <c r="V541" s="109"/>
      <c r="W541" s="109"/>
      <c r="X541" s="109"/>
      <c r="Y541" s="109"/>
      <c r="Z541" s="109"/>
    </row>
    <row r="542" ht="29.25" customHeight="1">
      <c r="A542" s="109"/>
      <c r="B542" s="109"/>
      <c r="C542" s="109"/>
      <c r="D542" s="109"/>
      <c r="E542" s="109"/>
      <c r="F542" s="109"/>
      <c r="G542" s="109"/>
      <c r="H542" s="317"/>
      <c r="I542" s="109"/>
      <c r="J542" s="109"/>
      <c r="K542" s="109"/>
      <c r="L542" s="109"/>
      <c r="M542" s="109"/>
      <c r="N542" s="109"/>
      <c r="O542" s="109"/>
      <c r="P542" s="109"/>
      <c r="Q542" s="109"/>
      <c r="R542" s="109"/>
      <c r="S542" s="109"/>
      <c r="T542" s="109"/>
      <c r="U542" s="109"/>
      <c r="V542" s="109"/>
      <c r="W542" s="109"/>
      <c r="X542" s="109"/>
      <c r="Y542" s="109"/>
      <c r="Z542" s="109"/>
    </row>
    <row r="543" ht="29.25" customHeight="1">
      <c r="A543" s="109"/>
      <c r="B543" s="109"/>
      <c r="C543" s="109"/>
      <c r="D543" s="109"/>
      <c r="E543" s="109"/>
      <c r="F543" s="109"/>
      <c r="G543" s="109"/>
      <c r="H543" s="317"/>
      <c r="I543" s="109"/>
      <c r="J543" s="109"/>
      <c r="K543" s="109"/>
      <c r="L543" s="109"/>
      <c r="M543" s="109"/>
      <c r="N543" s="109"/>
      <c r="O543" s="109"/>
      <c r="P543" s="109"/>
      <c r="Q543" s="109"/>
      <c r="R543" s="109"/>
      <c r="S543" s="109"/>
      <c r="T543" s="109"/>
      <c r="U543" s="109"/>
      <c r="V543" s="109"/>
      <c r="W543" s="109"/>
      <c r="X543" s="109"/>
      <c r="Y543" s="109"/>
      <c r="Z543" s="109"/>
    </row>
    <row r="544" ht="29.25" customHeight="1">
      <c r="A544" s="109"/>
      <c r="B544" s="109"/>
      <c r="C544" s="109"/>
      <c r="D544" s="109"/>
      <c r="E544" s="109"/>
      <c r="F544" s="109"/>
      <c r="G544" s="109"/>
      <c r="H544" s="317"/>
      <c r="I544" s="109"/>
      <c r="J544" s="109"/>
      <c r="K544" s="109"/>
      <c r="L544" s="109"/>
      <c r="M544" s="109"/>
      <c r="N544" s="109"/>
      <c r="O544" s="109"/>
      <c r="P544" s="109"/>
      <c r="Q544" s="109"/>
      <c r="R544" s="109"/>
      <c r="S544" s="109"/>
      <c r="T544" s="109"/>
      <c r="U544" s="109"/>
      <c r="V544" s="109"/>
      <c r="W544" s="109"/>
      <c r="X544" s="109"/>
      <c r="Y544" s="109"/>
      <c r="Z544" s="109"/>
    </row>
    <row r="545" ht="29.25" customHeight="1">
      <c r="A545" s="109"/>
      <c r="B545" s="109"/>
      <c r="C545" s="109"/>
      <c r="D545" s="109"/>
      <c r="E545" s="109"/>
      <c r="F545" s="109"/>
      <c r="G545" s="109"/>
      <c r="H545" s="317"/>
      <c r="I545" s="109"/>
      <c r="J545" s="109"/>
      <c r="K545" s="109"/>
      <c r="L545" s="109"/>
      <c r="M545" s="109"/>
      <c r="N545" s="109"/>
      <c r="O545" s="109"/>
      <c r="P545" s="109"/>
      <c r="Q545" s="109"/>
      <c r="R545" s="109"/>
      <c r="S545" s="109"/>
      <c r="T545" s="109"/>
      <c r="U545" s="109"/>
      <c r="V545" s="109"/>
      <c r="W545" s="109"/>
      <c r="X545" s="109"/>
      <c r="Y545" s="109"/>
      <c r="Z545" s="109"/>
    </row>
    <row r="546" ht="29.25" customHeight="1">
      <c r="A546" s="109"/>
      <c r="B546" s="109"/>
      <c r="C546" s="109"/>
      <c r="D546" s="109"/>
      <c r="E546" s="109"/>
      <c r="F546" s="109"/>
      <c r="G546" s="109"/>
      <c r="H546" s="317"/>
      <c r="I546" s="109"/>
      <c r="J546" s="109"/>
      <c r="K546" s="109"/>
      <c r="L546" s="109"/>
      <c r="M546" s="109"/>
      <c r="N546" s="109"/>
      <c r="O546" s="109"/>
      <c r="P546" s="109"/>
      <c r="Q546" s="109"/>
      <c r="R546" s="109"/>
      <c r="S546" s="109"/>
      <c r="T546" s="109"/>
      <c r="U546" s="109"/>
      <c r="V546" s="109"/>
      <c r="W546" s="109"/>
      <c r="X546" s="109"/>
      <c r="Y546" s="109"/>
      <c r="Z546" s="109"/>
    </row>
    <row r="547" ht="29.25" customHeight="1">
      <c r="A547" s="109"/>
      <c r="B547" s="109"/>
      <c r="C547" s="109"/>
      <c r="D547" s="109"/>
      <c r="E547" s="109"/>
      <c r="F547" s="109"/>
      <c r="G547" s="109"/>
      <c r="H547" s="317"/>
      <c r="I547" s="109"/>
      <c r="J547" s="109"/>
      <c r="K547" s="109"/>
      <c r="L547" s="109"/>
      <c r="M547" s="109"/>
      <c r="N547" s="109"/>
      <c r="O547" s="109"/>
      <c r="P547" s="109"/>
      <c r="Q547" s="109"/>
      <c r="R547" s="109"/>
      <c r="S547" s="109"/>
      <c r="T547" s="109"/>
      <c r="U547" s="109"/>
      <c r="V547" s="109"/>
      <c r="W547" s="109"/>
      <c r="X547" s="109"/>
      <c r="Y547" s="109"/>
      <c r="Z547" s="109"/>
    </row>
    <row r="548" ht="29.25" customHeight="1">
      <c r="A548" s="109"/>
      <c r="B548" s="109"/>
      <c r="C548" s="109"/>
      <c r="D548" s="109"/>
      <c r="E548" s="109"/>
      <c r="F548" s="109"/>
      <c r="G548" s="109"/>
      <c r="H548" s="317"/>
      <c r="I548" s="109"/>
      <c r="J548" s="109"/>
      <c r="K548" s="109"/>
      <c r="L548" s="109"/>
      <c r="M548" s="109"/>
      <c r="N548" s="109"/>
      <c r="O548" s="109"/>
      <c r="P548" s="109"/>
      <c r="Q548" s="109"/>
      <c r="R548" s="109"/>
      <c r="S548" s="109"/>
      <c r="T548" s="109"/>
      <c r="U548" s="109"/>
      <c r="V548" s="109"/>
      <c r="W548" s="109"/>
      <c r="X548" s="109"/>
      <c r="Y548" s="109"/>
      <c r="Z548" s="109"/>
    </row>
    <row r="549" ht="29.25" customHeight="1">
      <c r="A549" s="109"/>
      <c r="B549" s="109"/>
      <c r="C549" s="109"/>
      <c r="D549" s="109"/>
      <c r="E549" s="109"/>
      <c r="F549" s="109"/>
      <c r="G549" s="109"/>
      <c r="H549" s="317"/>
      <c r="I549" s="109"/>
      <c r="J549" s="109"/>
      <c r="K549" s="109"/>
      <c r="L549" s="109"/>
      <c r="M549" s="109"/>
      <c r="N549" s="109"/>
      <c r="O549" s="109"/>
      <c r="P549" s="109"/>
      <c r="Q549" s="109"/>
      <c r="R549" s="109"/>
      <c r="S549" s="109"/>
      <c r="T549" s="109"/>
      <c r="U549" s="109"/>
      <c r="V549" s="109"/>
      <c r="W549" s="109"/>
      <c r="X549" s="109"/>
      <c r="Y549" s="109"/>
      <c r="Z549" s="109"/>
    </row>
    <row r="550" ht="29.25" customHeight="1">
      <c r="A550" s="109"/>
      <c r="B550" s="109"/>
      <c r="C550" s="109"/>
      <c r="D550" s="109"/>
      <c r="E550" s="109"/>
      <c r="F550" s="109"/>
      <c r="G550" s="109"/>
      <c r="H550" s="317"/>
      <c r="I550" s="109"/>
      <c r="J550" s="109"/>
      <c r="K550" s="109"/>
      <c r="L550" s="109"/>
      <c r="M550" s="109"/>
      <c r="N550" s="109"/>
      <c r="O550" s="109"/>
      <c r="P550" s="109"/>
      <c r="Q550" s="109"/>
      <c r="R550" s="109"/>
      <c r="S550" s="109"/>
      <c r="T550" s="109"/>
      <c r="U550" s="109"/>
      <c r="V550" s="109"/>
      <c r="W550" s="109"/>
      <c r="X550" s="109"/>
      <c r="Y550" s="109"/>
      <c r="Z550" s="109"/>
    </row>
    <row r="551" ht="29.25" customHeight="1">
      <c r="A551" s="109"/>
      <c r="B551" s="109"/>
      <c r="C551" s="109"/>
      <c r="D551" s="109"/>
      <c r="E551" s="109"/>
      <c r="F551" s="109"/>
      <c r="G551" s="109"/>
      <c r="H551" s="317"/>
      <c r="I551" s="109"/>
      <c r="J551" s="109"/>
      <c r="K551" s="109"/>
      <c r="L551" s="109"/>
      <c r="M551" s="109"/>
      <c r="N551" s="109"/>
      <c r="O551" s="109"/>
      <c r="P551" s="109"/>
      <c r="Q551" s="109"/>
      <c r="R551" s="109"/>
      <c r="S551" s="109"/>
      <c r="T551" s="109"/>
      <c r="U551" s="109"/>
      <c r="V551" s="109"/>
      <c r="W551" s="109"/>
      <c r="X551" s="109"/>
      <c r="Y551" s="109"/>
      <c r="Z551" s="109"/>
    </row>
    <row r="552" ht="29.25" customHeight="1">
      <c r="A552" s="109"/>
      <c r="B552" s="109"/>
      <c r="C552" s="109"/>
      <c r="D552" s="109"/>
      <c r="E552" s="109"/>
      <c r="F552" s="109"/>
      <c r="G552" s="109"/>
      <c r="H552" s="317"/>
      <c r="I552" s="109"/>
      <c r="J552" s="109"/>
      <c r="K552" s="109"/>
      <c r="L552" s="109"/>
      <c r="M552" s="109"/>
      <c r="N552" s="109"/>
      <c r="O552" s="109"/>
      <c r="P552" s="109"/>
      <c r="Q552" s="109"/>
      <c r="R552" s="109"/>
      <c r="S552" s="109"/>
      <c r="T552" s="109"/>
      <c r="U552" s="109"/>
      <c r="V552" s="109"/>
      <c r="W552" s="109"/>
      <c r="X552" s="109"/>
      <c r="Y552" s="109"/>
      <c r="Z552" s="109"/>
    </row>
    <row r="553" ht="29.25" customHeight="1">
      <c r="A553" s="109"/>
      <c r="B553" s="109"/>
      <c r="C553" s="109"/>
      <c r="D553" s="109"/>
      <c r="E553" s="109"/>
      <c r="F553" s="109"/>
      <c r="G553" s="109"/>
      <c r="H553" s="317"/>
      <c r="I553" s="109"/>
      <c r="J553" s="109"/>
      <c r="K553" s="109"/>
      <c r="L553" s="109"/>
      <c r="M553" s="109"/>
      <c r="N553" s="109"/>
      <c r="O553" s="109"/>
      <c r="P553" s="109"/>
      <c r="Q553" s="109"/>
      <c r="R553" s="109"/>
      <c r="S553" s="109"/>
      <c r="T553" s="109"/>
      <c r="U553" s="109"/>
      <c r="V553" s="109"/>
      <c r="W553" s="109"/>
      <c r="X553" s="109"/>
      <c r="Y553" s="109"/>
      <c r="Z553" s="109"/>
    </row>
    <row r="554" ht="29.25" customHeight="1">
      <c r="A554" s="109"/>
      <c r="B554" s="109"/>
      <c r="C554" s="109"/>
      <c r="D554" s="109"/>
      <c r="E554" s="109"/>
      <c r="F554" s="109"/>
      <c r="G554" s="109"/>
      <c r="H554" s="317"/>
      <c r="I554" s="109"/>
      <c r="J554" s="109"/>
      <c r="K554" s="109"/>
      <c r="L554" s="109"/>
      <c r="M554" s="109"/>
      <c r="N554" s="109"/>
      <c r="O554" s="109"/>
      <c r="P554" s="109"/>
      <c r="Q554" s="109"/>
      <c r="R554" s="109"/>
      <c r="S554" s="109"/>
      <c r="T554" s="109"/>
      <c r="U554" s="109"/>
      <c r="V554" s="109"/>
      <c r="W554" s="109"/>
      <c r="X554" s="109"/>
      <c r="Y554" s="109"/>
      <c r="Z554" s="109"/>
    </row>
    <row r="555" ht="29.25" customHeight="1">
      <c r="A555" s="109"/>
      <c r="B555" s="109"/>
      <c r="C555" s="109"/>
      <c r="D555" s="109"/>
      <c r="E555" s="109"/>
      <c r="F555" s="109"/>
      <c r="G555" s="109"/>
      <c r="H555" s="317"/>
      <c r="I555" s="109"/>
      <c r="J555" s="109"/>
      <c r="K555" s="109"/>
      <c r="L555" s="109"/>
      <c r="M555" s="109"/>
      <c r="N555" s="109"/>
      <c r="O555" s="109"/>
      <c r="P555" s="109"/>
      <c r="Q555" s="109"/>
      <c r="R555" s="109"/>
      <c r="S555" s="109"/>
      <c r="T555" s="109"/>
      <c r="U555" s="109"/>
      <c r="V555" s="109"/>
      <c r="W555" s="109"/>
      <c r="X555" s="109"/>
      <c r="Y555" s="109"/>
      <c r="Z555" s="109"/>
    </row>
    <row r="556" ht="29.25" customHeight="1">
      <c r="A556" s="109"/>
      <c r="B556" s="109"/>
      <c r="C556" s="109"/>
      <c r="D556" s="109"/>
      <c r="E556" s="109"/>
      <c r="F556" s="109"/>
      <c r="G556" s="109"/>
      <c r="H556" s="317"/>
      <c r="I556" s="109"/>
      <c r="J556" s="109"/>
      <c r="K556" s="109"/>
      <c r="L556" s="109"/>
      <c r="M556" s="109"/>
      <c r="N556" s="109"/>
      <c r="O556" s="109"/>
      <c r="P556" s="109"/>
      <c r="Q556" s="109"/>
      <c r="R556" s="109"/>
      <c r="S556" s="109"/>
      <c r="T556" s="109"/>
      <c r="U556" s="109"/>
      <c r="V556" s="109"/>
      <c r="W556" s="109"/>
      <c r="X556" s="109"/>
      <c r="Y556" s="109"/>
      <c r="Z556" s="109"/>
    </row>
    <row r="557" ht="29.25" customHeight="1">
      <c r="A557" s="109"/>
      <c r="B557" s="109"/>
      <c r="C557" s="109"/>
      <c r="D557" s="109"/>
      <c r="E557" s="109"/>
      <c r="F557" s="109"/>
      <c r="G557" s="109"/>
      <c r="H557" s="317"/>
      <c r="I557" s="109"/>
      <c r="J557" s="109"/>
      <c r="K557" s="109"/>
      <c r="L557" s="109"/>
      <c r="M557" s="109"/>
      <c r="N557" s="109"/>
      <c r="O557" s="109"/>
      <c r="P557" s="109"/>
      <c r="Q557" s="109"/>
      <c r="R557" s="109"/>
      <c r="S557" s="109"/>
      <c r="T557" s="109"/>
      <c r="U557" s="109"/>
      <c r="V557" s="109"/>
      <c r="W557" s="109"/>
      <c r="X557" s="109"/>
      <c r="Y557" s="109"/>
      <c r="Z557" s="109"/>
    </row>
    <row r="558" ht="29.25" customHeight="1">
      <c r="A558" s="109"/>
      <c r="B558" s="109"/>
      <c r="C558" s="109"/>
      <c r="D558" s="109"/>
      <c r="E558" s="109"/>
      <c r="F558" s="109"/>
      <c r="G558" s="109"/>
      <c r="H558" s="317"/>
      <c r="I558" s="109"/>
      <c r="J558" s="109"/>
      <c r="K558" s="109"/>
      <c r="L558" s="109"/>
      <c r="M558" s="109"/>
      <c r="N558" s="109"/>
      <c r="O558" s="109"/>
      <c r="P558" s="109"/>
      <c r="Q558" s="109"/>
      <c r="R558" s="109"/>
      <c r="S558" s="109"/>
      <c r="T558" s="109"/>
      <c r="U558" s="109"/>
      <c r="V558" s="109"/>
      <c r="W558" s="109"/>
      <c r="X558" s="109"/>
      <c r="Y558" s="109"/>
      <c r="Z558" s="109"/>
    </row>
    <row r="559" ht="29.25" customHeight="1">
      <c r="A559" s="109"/>
      <c r="B559" s="109"/>
      <c r="C559" s="109"/>
      <c r="D559" s="109"/>
      <c r="E559" s="109"/>
      <c r="F559" s="109"/>
      <c r="G559" s="109"/>
      <c r="H559" s="317"/>
      <c r="I559" s="109"/>
      <c r="J559" s="109"/>
      <c r="K559" s="109"/>
      <c r="L559" s="109"/>
      <c r="M559" s="109"/>
      <c r="N559" s="109"/>
      <c r="O559" s="109"/>
      <c r="P559" s="109"/>
      <c r="Q559" s="109"/>
      <c r="R559" s="109"/>
      <c r="S559" s="109"/>
      <c r="T559" s="109"/>
      <c r="U559" s="109"/>
      <c r="V559" s="109"/>
      <c r="W559" s="109"/>
      <c r="X559" s="109"/>
      <c r="Y559" s="109"/>
      <c r="Z559" s="109"/>
    </row>
    <row r="560" ht="29.25" customHeight="1">
      <c r="A560" s="109"/>
      <c r="B560" s="109"/>
      <c r="C560" s="109"/>
      <c r="D560" s="109"/>
      <c r="E560" s="109"/>
      <c r="F560" s="109"/>
      <c r="G560" s="109"/>
      <c r="H560" s="317"/>
      <c r="I560" s="109"/>
      <c r="J560" s="109"/>
      <c r="K560" s="109"/>
      <c r="L560" s="109"/>
      <c r="M560" s="109"/>
      <c r="N560" s="109"/>
      <c r="O560" s="109"/>
      <c r="P560" s="109"/>
      <c r="Q560" s="109"/>
      <c r="R560" s="109"/>
      <c r="S560" s="109"/>
      <c r="T560" s="109"/>
      <c r="U560" s="109"/>
      <c r="V560" s="109"/>
      <c r="W560" s="109"/>
      <c r="X560" s="109"/>
      <c r="Y560" s="109"/>
      <c r="Z560" s="109"/>
    </row>
    <row r="561" ht="29.25" customHeight="1">
      <c r="A561" s="109"/>
      <c r="B561" s="109"/>
      <c r="C561" s="109"/>
      <c r="D561" s="109"/>
      <c r="E561" s="109"/>
      <c r="F561" s="109"/>
      <c r="G561" s="109"/>
      <c r="H561" s="317"/>
      <c r="I561" s="109"/>
      <c r="J561" s="109"/>
      <c r="K561" s="109"/>
      <c r="L561" s="109"/>
      <c r="M561" s="109"/>
      <c r="N561" s="109"/>
      <c r="O561" s="109"/>
      <c r="P561" s="109"/>
      <c r="Q561" s="109"/>
      <c r="R561" s="109"/>
      <c r="S561" s="109"/>
      <c r="T561" s="109"/>
      <c r="U561" s="109"/>
      <c r="V561" s="109"/>
      <c r="W561" s="109"/>
      <c r="X561" s="109"/>
      <c r="Y561" s="109"/>
      <c r="Z561" s="109"/>
    </row>
    <row r="562" ht="29.25" customHeight="1">
      <c r="A562" s="109"/>
      <c r="B562" s="109"/>
      <c r="C562" s="109"/>
      <c r="D562" s="109"/>
      <c r="E562" s="109"/>
      <c r="F562" s="109"/>
      <c r="G562" s="109"/>
      <c r="H562" s="317"/>
      <c r="I562" s="109"/>
      <c r="J562" s="109"/>
      <c r="K562" s="109"/>
      <c r="L562" s="109"/>
      <c r="M562" s="109"/>
      <c r="N562" s="109"/>
      <c r="O562" s="109"/>
      <c r="P562" s="109"/>
      <c r="Q562" s="109"/>
      <c r="R562" s="109"/>
      <c r="S562" s="109"/>
      <c r="T562" s="109"/>
      <c r="U562" s="109"/>
      <c r="V562" s="109"/>
      <c r="W562" s="109"/>
      <c r="X562" s="109"/>
      <c r="Y562" s="109"/>
      <c r="Z562" s="109"/>
    </row>
    <row r="563" ht="29.25" customHeight="1">
      <c r="A563" s="109"/>
      <c r="B563" s="109"/>
      <c r="C563" s="109"/>
      <c r="D563" s="109"/>
      <c r="E563" s="109"/>
      <c r="F563" s="109"/>
      <c r="G563" s="109"/>
      <c r="H563" s="317"/>
      <c r="I563" s="109"/>
      <c r="J563" s="109"/>
      <c r="K563" s="109"/>
      <c r="L563" s="109"/>
      <c r="M563" s="109"/>
      <c r="N563" s="109"/>
      <c r="O563" s="109"/>
      <c r="P563" s="109"/>
      <c r="Q563" s="109"/>
      <c r="R563" s="109"/>
      <c r="S563" s="109"/>
      <c r="T563" s="109"/>
      <c r="U563" s="109"/>
      <c r="V563" s="109"/>
      <c r="W563" s="109"/>
      <c r="X563" s="109"/>
      <c r="Y563" s="109"/>
      <c r="Z563" s="109"/>
    </row>
    <row r="564" ht="29.25" customHeight="1">
      <c r="A564" s="109"/>
      <c r="B564" s="109"/>
      <c r="C564" s="109"/>
      <c r="D564" s="109"/>
      <c r="E564" s="109"/>
      <c r="F564" s="109"/>
      <c r="G564" s="109"/>
      <c r="H564" s="317"/>
      <c r="I564" s="109"/>
      <c r="J564" s="109"/>
      <c r="K564" s="109"/>
      <c r="L564" s="109"/>
      <c r="M564" s="109"/>
      <c r="N564" s="109"/>
      <c r="O564" s="109"/>
      <c r="P564" s="109"/>
      <c r="Q564" s="109"/>
      <c r="R564" s="109"/>
      <c r="S564" s="109"/>
      <c r="T564" s="109"/>
      <c r="U564" s="109"/>
      <c r="V564" s="109"/>
      <c r="W564" s="109"/>
      <c r="X564" s="109"/>
      <c r="Y564" s="109"/>
      <c r="Z564" s="109"/>
    </row>
    <row r="565" ht="29.25" customHeight="1">
      <c r="A565" s="109"/>
      <c r="B565" s="109"/>
      <c r="C565" s="109"/>
      <c r="D565" s="109"/>
      <c r="E565" s="109"/>
      <c r="F565" s="109"/>
      <c r="G565" s="109"/>
      <c r="H565" s="317"/>
      <c r="I565" s="109"/>
      <c r="J565" s="109"/>
      <c r="K565" s="109"/>
      <c r="L565" s="109"/>
      <c r="M565" s="109"/>
      <c r="N565" s="109"/>
      <c r="O565" s="109"/>
      <c r="P565" s="109"/>
      <c r="Q565" s="109"/>
      <c r="R565" s="109"/>
      <c r="S565" s="109"/>
      <c r="T565" s="109"/>
      <c r="U565" s="109"/>
      <c r="V565" s="109"/>
      <c r="W565" s="109"/>
      <c r="X565" s="109"/>
      <c r="Y565" s="109"/>
      <c r="Z565" s="109"/>
    </row>
    <row r="566" ht="29.25" customHeight="1">
      <c r="A566" s="109"/>
      <c r="B566" s="109"/>
      <c r="C566" s="109"/>
      <c r="D566" s="109"/>
      <c r="E566" s="109"/>
      <c r="F566" s="109"/>
      <c r="G566" s="109"/>
      <c r="H566" s="317"/>
      <c r="I566" s="109"/>
      <c r="J566" s="109"/>
      <c r="K566" s="109"/>
      <c r="L566" s="109"/>
      <c r="M566" s="109"/>
      <c r="N566" s="109"/>
      <c r="O566" s="109"/>
      <c r="P566" s="109"/>
      <c r="Q566" s="109"/>
      <c r="R566" s="109"/>
      <c r="S566" s="109"/>
      <c r="T566" s="109"/>
      <c r="U566" s="109"/>
      <c r="V566" s="109"/>
      <c r="W566" s="109"/>
      <c r="X566" s="109"/>
      <c r="Y566" s="109"/>
      <c r="Z566" s="109"/>
    </row>
    <row r="567" ht="29.25" customHeight="1">
      <c r="A567" s="109"/>
      <c r="B567" s="109"/>
      <c r="C567" s="109"/>
      <c r="D567" s="109"/>
      <c r="E567" s="109"/>
      <c r="F567" s="109"/>
      <c r="G567" s="109"/>
      <c r="H567" s="317"/>
      <c r="I567" s="109"/>
      <c r="J567" s="109"/>
      <c r="K567" s="109"/>
      <c r="L567" s="109"/>
      <c r="M567" s="109"/>
      <c r="N567" s="109"/>
      <c r="O567" s="109"/>
      <c r="P567" s="109"/>
      <c r="Q567" s="109"/>
      <c r="R567" s="109"/>
      <c r="S567" s="109"/>
      <c r="T567" s="109"/>
      <c r="U567" s="109"/>
      <c r="V567" s="109"/>
      <c r="W567" s="109"/>
      <c r="X567" s="109"/>
      <c r="Y567" s="109"/>
      <c r="Z567" s="109"/>
    </row>
    <row r="568" ht="29.25" customHeight="1">
      <c r="A568" s="109"/>
      <c r="B568" s="109"/>
      <c r="C568" s="109"/>
      <c r="D568" s="109"/>
      <c r="E568" s="109"/>
      <c r="F568" s="109"/>
      <c r="G568" s="109"/>
      <c r="H568" s="317"/>
      <c r="I568" s="109"/>
      <c r="J568" s="109"/>
      <c r="K568" s="109"/>
      <c r="L568" s="109"/>
      <c r="M568" s="109"/>
      <c r="N568" s="109"/>
      <c r="O568" s="109"/>
      <c r="P568" s="109"/>
      <c r="Q568" s="109"/>
      <c r="R568" s="109"/>
      <c r="S568" s="109"/>
      <c r="T568" s="109"/>
      <c r="U568" s="109"/>
      <c r="V568" s="109"/>
      <c r="W568" s="109"/>
      <c r="X568" s="109"/>
      <c r="Y568" s="109"/>
      <c r="Z568" s="109"/>
    </row>
    <row r="569" ht="29.25" customHeight="1">
      <c r="A569" s="109"/>
      <c r="B569" s="109"/>
      <c r="C569" s="109"/>
      <c r="D569" s="109"/>
      <c r="E569" s="109"/>
      <c r="F569" s="109"/>
      <c r="G569" s="109"/>
      <c r="H569" s="317"/>
      <c r="I569" s="109"/>
      <c r="J569" s="109"/>
      <c r="K569" s="109"/>
      <c r="L569" s="109"/>
      <c r="M569" s="109"/>
      <c r="N569" s="109"/>
      <c r="O569" s="109"/>
      <c r="P569" s="109"/>
      <c r="Q569" s="109"/>
      <c r="R569" s="109"/>
      <c r="S569" s="109"/>
      <c r="T569" s="109"/>
      <c r="U569" s="109"/>
      <c r="V569" s="109"/>
      <c r="W569" s="109"/>
      <c r="X569" s="109"/>
      <c r="Y569" s="109"/>
      <c r="Z569" s="109"/>
    </row>
    <row r="570" ht="29.25" customHeight="1">
      <c r="A570" s="109"/>
      <c r="B570" s="109"/>
      <c r="C570" s="109"/>
      <c r="D570" s="109"/>
      <c r="E570" s="109"/>
      <c r="F570" s="109"/>
      <c r="G570" s="109"/>
      <c r="H570" s="317"/>
      <c r="I570" s="109"/>
      <c r="J570" s="109"/>
      <c r="K570" s="109"/>
      <c r="L570" s="109"/>
      <c r="M570" s="109"/>
      <c r="N570" s="109"/>
      <c r="O570" s="109"/>
      <c r="P570" s="109"/>
      <c r="Q570" s="109"/>
      <c r="R570" s="109"/>
      <c r="S570" s="109"/>
      <c r="T570" s="109"/>
      <c r="U570" s="109"/>
      <c r="V570" s="109"/>
      <c r="W570" s="109"/>
      <c r="X570" s="109"/>
      <c r="Y570" s="109"/>
      <c r="Z570" s="109"/>
    </row>
    <row r="571" ht="29.25" customHeight="1">
      <c r="A571" s="109"/>
      <c r="B571" s="109"/>
      <c r="C571" s="109"/>
      <c r="D571" s="109"/>
      <c r="E571" s="109"/>
      <c r="F571" s="109"/>
      <c r="G571" s="109"/>
      <c r="H571" s="317"/>
      <c r="I571" s="109"/>
      <c r="J571" s="109"/>
      <c r="K571" s="109"/>
      <c r="L571" s="109"/>
      <c r="M571" s="109"/>
      <c r="N571" s="109"/>
      <c r="O571" s="109"/>
      <c r="P571" s="109"/>
      <c r="Q571" s="109"/>
      <c r="R571" s="109"/>
      <c r="S571" s="109"/>
      <c r="T571" s="109"/>
      <c r="U571" s="109"/>
      <c r="V571" s="109"/>
      <c r="W571" s="109"/>
      <c r="X571" s="109"/>
      <c r="Y571" s="109"/>
      <c r="Z571" s="109"/>
    </row>
    <row r="572" ht="29.25" customHeight="1">
      <c r="A572" s="109"/>
      <c r="B572" s="109"/>
      <c r="C572" s="109"/>
      <c r="D572" s="109"/>
      <c r="E572" s="109"/>
      <c r="F572" s="109"/>
      <c r="G572" s="109"/>
      <c r="H572" s="317"/>
      <c r="I572" s="109"/>
      <c r="J572" s="109"/>
      <c r="K572" s="109"/>
      <c r="L572" s="109"/>
      <c r="M572" s="109"/>
      <c r="N572" s="109"/>
      <c r="O572" s="109"/>
      <c r="P572" s="109"/>
      <c r="Q572" s="109"/>
      <c r="R572" s="109"/>
      <c r="S572" s="109"/>
      <c r="T572" s="109"/>
      <c r="U572" s="109"/>
      <c r="V572" s="109"/>
      <c r="W572" s="109"/>
      <c r="X572" s="109"/>
      <c r="Y572" s="109"/>
      <c r="Z572" s="109"/>
    </row>
    <row r="573" ht="29.25" customHeight="1">
      <c r="A573" s="109"/>
      <c r="B573" s="109"/>
      <c r="C573" s="109"/>
      <c r="D573" s="109"/>
      <c r="E573" s="109"/>
      <c r="F573" s="109"/>
      <c r="G573" s="109"/>
      <c r="H573" s="317"/>
      <c r="I573" s="109"/>
      <c r="J573" s="109"/>
      <c r="K573" s="109"/>
      <c r="L573" s="109"/>
      <c r="M573" s="109"/>
      <c r="N573" s="109"/>
      <c r="O573" s="109"/>
      <c r="P573" s="109"/>
      <c r="Q573" s="109"/>
      <c r="R573" s="109"/>
      <c r="S573" s="109"/>
      <c r="T573" s="109"/>
      <c r="U573" s="109"/>
      <c r="V573" s="109"/>
      <c r="W573" s="109"/>
      <c r="X573" s="109"/>
      <c r="Y573" s="109"/>
      <c r="Z573" s="109"/>
    </row>
    <row r="574" ht="29.25" customHeight="1">
      <c r="A574" s="109"/>
      <c r="B574" s="109"/>
      <c r="C574" s="109"/>
      <c r="D574" s="109"/>
      <c r="E574" s="109"/>
      <c r="F574" s="109"/>
      <c r="G574" s="109"/>
      <c r="H574" s="317"/>
      <c r="I574" s="109"/>
      <c r="J574" s="109"/>
      <c r="K574" s="109"/>
      <c r="L574" s="109"/>
      <c r="M574" s="109"/>
      <c r="N574" s="109"/>
      <c r="O574" s="109"/>
      <c r="P574" s="109"/>
      <c r="Q574" s="109"/>
      <c r="R574" s="109"/>
      <c r="S574" s="109"/>
      <c r="T574" s="109"/>
      <c r="U574" s="109"/>
      <c r="V574" s="109"/>
      <c r="W574" s="109"/>
      <c r="X574" s="109"/>
      <c r="Y574" s="109"/>
      <c r="Z574" s="109"/>
    </row>
    <row r="575" ht="29.25" customHeight="1">
      <c r="A575" s="109"/>
      <c r="B575" s="109"/>
      <c r="C575" s="109"/>
      <c r="D575" s="109"/>
      <c r="E575" s="109"/>
      <c r="F575" s="109"/>
      <c r="G575" s="109"/>
      <c r="H575" s="317"/>
      <c r="I575" s="109"/>
      <c r="J575" s="109"/>
      <c r="K575" s="109"/>
      <c r="L575" s="109"/>
      <c r="M575" s="109"/>
      <c r="N575" s="109"/>
      <c r="O575" s="109"/>
      <c r="P575" s="109"/>
      <c r="Q575" s="109"/>
      <c r="R575" s="109"/>
      <c r="S575" s="109"/>
      <c r="T575" s="109"/>
      <c r="U575" s="109"/>
      <c r="V575" s="109"/>
      <c r="W575" s="109"/>
      <c r="X575" s="109"/>
      <c r="Y575" s="109"/>
      <c r="Z575" s="109"/>
    </row>
    <row r="576" ht="29.25" customHeight="1">
      <c r="A576" s="109"/>
      <c r="B576" s="109"/>
      <c r="C576" s="109"/>
      <c r="D576" s="109"/>
      <c r="E576" s="109"/>
      <c r="F576" s="109"/>
      <c r="G576" s="109"/>
      <c r="H576" s="317"/>
      <c r="I576" s="109"/>
      <c r="J576" s="109"/>
      <c r="K576" s="109"/>
      <c r="L576" s="109"/>
      <c r="M576" s="109"/>
      <c r="N576" s="109"/>
      <c r="O576" s="109"/>
      <c r="P576" s="109"/>
      <c r="Q576" s="109"/>
      <c r="R576" s="109"/>
      <c r="S576" s="109"/>
      <c r="T576" s="109"/>
      <c r="U576" s="109"/>
      <c r="V576" s="109"/>
      <c r="W576" s="109"/>
      <c r="X576" s="109"/>
      <c r="Y576" s="109"/>
      <c r="Z576" s="109"/>
    </row>
    <row r="577" ht="29.25" customHeight="1">
      <c r="A577" s="109"/>
      <c r="B577" s="109"/>
      <c r="C577" s="109"/>
      <c r="D577" s="109"/>
      <c r="E577" s="109"/>
      <c r="F577" s="109"/>
      <c r="G577" s="109"/>
      <c r="H577" s="317"/>
      <c r="I577" s="109"/>
      <c r="J577" s="109"/>
      <c r="K577" s="109"/>
      <c r="L577" s="109"/>
      <c r="M577" s="109"/>
      <c r="N577" s="109"/>
      <c r="O577" s="109"/>
      <c r="P577" s="109"/>
      <c r="Q577" s="109"/>
      <c r="R577" s="109"/>
      <c r="S577" s="109"/>
      <c r="T577" s="109"/>
      <c r="U577" s="109"/>
      <c r="V577" s="109"/>
      <c r="W577" s="109"/>
      <c r="X577" s="109"/>
      <c r="Y577" s="109"/>
      <c r="Z577" s="109"/>
    </row>
    <row r="578" ht="29.25" customHeight="1">
      <c r="A578" s="109"/>
      <c r="B578" s="109"/>
      <c r="C578" s="109"/>
      <c r="D578" s="109"/>
      <c r="E578" s="109"/>
      <c r="F578" s="109"/>
      <c r="G578" s="109"/>
      <c r="H578" s="317"/>
      <c r="I578" s="109"/>
      <c r="J578" s="109"/>
      <c r="K578" s="109"/>
      <c r="L578" s="109"/>
      <c r="M578" s="109"/>
      <c r="N578" s="109"/>
      <c r="O578" s="109"/>
      <c r="P578" s="109"/>
      <c r="Q578" s="109"/>
      <c r="R578" s="109"/>
      <c r="S578" s="109"/>
      <c r="T578" s="109"/>
      <c r="U578" s="109"/>
      <c r="V578" s="109"/>
      <c r="W578" s="109"/>
      <c r="X578" s="109"/>
      <c r="Y578" s="109"/>
      <c r="Z578" s="109"/>
    </row>
    <row r="579" ht="29.25" customHeight="1">
      <c r="A579" s="109"/>
      <c r="B579" s="109"/>
      <c r="C579" s="109"/>
      <c r="D579" s="109"/>
      <c r="E579" s="109"/>
      <c r="F579" s="109"/>
      <c r="G579" s="109"/>
      <c r="H579" s="317"/>
      <c r="I579" s="109"/>
      <c r="J579" s="109"/>
      <c r="K579" s="109"/>
      <c r="L579" s="109"/>
      <c r="M579" s="109"/>
      <c r="N579" s="109"/>
      <c r="O579" s="109"/>
      <c r="P579" s="109"/>
      <c r="Q579" s="109"/>
      <c r="R579" s="109"/>
      <c r="S579" s="109"/>
      <c r="T579" s="109"/>
      <c r="U579" s="109"/>
      <c r="V579" s="109"/>
      <c r="W579" s="109"/>
      <c r="X579" s="109"/>
      <c r="Y579" s="109"/>
      <c r="Z579" s="109"/>
    </row>
    <row r="580" ht="29.25" customHeight="1">
      <c r="A580" s="109"/>
      <c r="B580" s="109"/>
      <c r="C580" s="109"/>
      <c r="D580" s="109"/>
      <c r="E580" s="109"/>
      <c r="F580" s="109"/>
      <c r="G580" s="109"/>
      <c r="H580" s="317"/>
      <c r="I580" s="109"/>
      <c r="J580" s="109"/>
      <c r="K580" s="109"/>
      <c r="L580" s="109"/>
      <c r="M580" s="109"/>
      <c r="N580" s="109"/>
      <c r="O580" s="109"/>
      <c r="P580" s="109"/>
      <c r="Q580" s="109"/>
      <c r="R580" s="109"/>
      <c r="S580" s="109"/>
      <c r="T580" s="109"/>
      <c r="U580" s="109"/>
      <c r="V580" s="109"/>
      <c r="W580" s="109"/>
      <c r="X580" s="109"/>
      <c r="Y580" s="109"/>
      <c r="Z580" s="109"/>
    </row>
    <row r="581" ht="29.25" customHeight="1">
      <c r="A581" s="109"/>
      <c r="B581" s="109"/>
      <c r="C581" s="109"/>
      <c r="D581" s="109"/>
      <c r="E581" s="109"/>
      <c r="F581" s="109"/>
      <c r="G581" s="109"/>
      <c r="H581" s="317"/>
      <c r="I581" s="109"/>
      <c r="J581" s="109"/>
      <c r="K581" s="109"/>
      <c r="L581" s="109"/>
      <c r="M581" s="109"/>
      <c r="N581" s="109"/>
      <c r="O581" s="109"/>
      <c r="P581" s="109"/>
      <c r="Q581" s="109"/>
      <c r="R581" s="109"/>
      <c r="S581" s="109"/>
      <c r="T581" s="109"/>
      <c r="U581" s="109"/>
      <c r="V581" s="109"/>
      <c r="W581" s="109"/>
      <c r="X581" s="109"/>
      <c r="Y581" s="109"/>
      <c r="Z581" s="109"/>
    </row>
    <row r="582" ht="29.25" customHeight="1">
      <c r="A582" s="109"/>
      <c r="B582" s="109"/>
      <c r="C582" s="109"/>
      <c r="D582" s="109"/>
      <c r="E582" s="109"/>
      <c r="F582" s="109"/>
      <c r="G582" s="109"/>
      <c r="H582" s="317"/>
      <c r="I582" s="109"/>
      <c r="J582" s="109"/>
      <c r="K582" s="109"/>
      <c r="L582" s="109"/>
      <c r="M582" s="109"/>
      <c r="N582" s="109"/>
      <c r="O582" s="109"/>
      <c r="P582" s="109"/>
      <c r="Q582" s="109"/>
      <c r="R582" s="109"/>
      <c r="S582" s="109"/>
      <c r="T582" s="109"/>
      <c r="U582" s="109"/>
      <c r="V582" s="109"/>
      <c r="W582" s="109"/>
      <c r="X582" s="109"/>
      <c r="Y582" s="109"/>
      <c r="Z582" s="109"/>
    </row>
    <row r="583" ht="29.25" customHeight="1">
      <c r="A583" s="109"/>
      <c r="B583" s="109"/>
      <c r="C583" s="109"/>
      <c r="D583" s="109"/>
      <c r="E583" s="109"/>
      <c r="F583" s="109"/>
      <c r="G583" s="109"/>
      <c r="H583" s="317"/>
      <c r="I583" s="109"/>
      <c r="J583" s="109"/>
      <c r="K583" s="109"/>
      <c r="L583" s="109"/>
      <c r="M583" s="109"/>
      <c r="N583" s="109"/>
      <c r="O583" s="109"/>
      <c r="P583" s="109"/>
      <c r="Q583" s="109"/>
      <c r="R583" s="109"/>
      <c r="S583" s="109"/>
      <c r="T583" s="109"/>
      <c r="U583" s="109"/>
      <c r="V583" s="109"/>
      <c r="W583" s="109"/>
      <c r="X583" s="109"/>
      <c r="Y583" s="109"/>
      <c r="Z583" s="109"/>
    </row>
    <row r="584" ht="29.25" customHeight="1">
      <c r="A584" s="109"/>
      <c r="B584" s="109"/>
      <c r="C584" s="109"/>
      <c r="D584" s="109"/>
      <c r="E584" s="109"/>
      <c r="F584" s="109"/>
      <c r="G584" s="109"/>
      <c r="H584" s="317"/>
      <c r="I584" s="109"/>
      <c r="J584" s="109"/>
      <c r="K584" s="109"/>
      <c r="L584" s="109"/>
      <c r="M584" s="109"/>
      <c r="N584" s="109"/>
      <c r="O584" s="109"/>
      <c r="P584" s="109"/>
      <c r="Q584" s="109"/>
      <c r="R584" s="109"/>
      <c r="S584" s="109"/>
      <c r="T584" s="109"/>
      <c r="U584" s="109"/>
      <c r="V584" s="109"/>
      <c r="W584" s="109"/>
      <c r="X584" s="109"/>
      <c r="Y584" s="109"/>
      <c r="Z584" s="109"/>
    </row>
    <row r="585" ht="29.25" customHeight="1">
      <c r="A585" s="109"/>
      <c r="B585" s="109"/>
      <c r="C585" s="109"/>
      <c r="D585" s="109"/>
      <c r="E585" s="109"/>
      <c r="F585" s="109"/>
      <c r="G585" s="109"/>
      <c r="H585" s="317"/>
      <c r="I585" s="109"/>
      <c r="J585" s="109"/>
      <c r="K585" s="109"/>
      <c r="L585" s="109"/>
      <c r="M585" s="109"/>
      <c r="N585" s="109"/>
      <c r="O585" s="109"/>
      <c r="P585" s="109"/>
      <c r="Q585" s="109"/>
      <c r="R585" s="109"/>
      <c r="S585" s="109"/>
      <c r="T585" s="109"/>
      <c r="U585" s="109"/>
      <c r="V585" s="109"/>
      <c r="W585" s="109"/>
      <c r="X585" s="109"/>
      <c r="Y585" s="109"/>
      <c r="Z585" s="109"/>
    </row>
    <row r="586" ht="29.25" customHeight="1">
      <c r="A586" s="109"/>
      <c r="B586" s="109"/>
      <c r="C586" s="109"/>
      <c r="D586" s="109"/>
      <c r="E586" s="109"/>
      <c r="F586" s="109"/>
      <c r="G586" s="109"/>
      <c r="H586" s="317"/>
      <c r="I586" s="109"/>
      <c r="J586" s="109"/>
      <c r="K586" s="109"/>
      <c r="L586" s="109"/>
      <c r="M586" s="109"/>
      <c r="N586" s="109"/>
      <c r="O586" s="109"/>
      <c r="P586" s="109"/>
      <c r="Q586" s="109"/>
      <c r="R586" s="109"/>
      <c r="S586" s="109"/>
      <c r="T586" s="109"/>
      <c r="U586" s="109"/>
      <c r="V586" s="109"/>
      <c r="W586" s="109"/>
      <c r="X586" s="109"/>
      <c r="Y586" s="109"/>
      <c r="Z586" s="109"/>
    </row>
    <row r="587" ht="29.25" customHeight="1">
      <c r="A587" s="109"/>
      <c r="B587" s="109"/>
      <c r="C587" s="109"/>
      <c r="D587" s="109"/>
      <c r="E587" s="109"/>
      <c r="F587" s="109"/>
      <c r="G587" s="109"/>
      <c r="H587" s="317"/>
      <c r="I587" s="109"/>
      <c r="J587" s="109"/>
      <c r="K587" s="109"/>
      <c r="L587" s="109"/>
      <c r="M587" s="109"/>
      <c r="N587" s="109"/>
      <c r="O587" s="109"/>
      <c r="P587" s="109"/>
      <c r="Q587" s="109"/>
      <c r="R587" s="109"/>
      <c r="S587" s="109"/>
      <c r="T587" s="109"/>
      <c r="U587" s="109"/>
      <c r="V587" s="109"/>
      <c r="W587" s="109"/>
      <c r="X587" s="109"/>
      <c r="Y587" s="109"/>
      <c r="Z587" s="109"/>
    </row>
    <row r="588" ht="29.25" customHeight="1">
      <c r="A588" s="109"/>
      <c r="B588" s="109"/>
      <c r="C588" s="109"/>
      <c r="D588" s="109"/>
      <c r="E588" s="109"/>
      <c r="F588" s="109"/>
      <c r="G588" s="109"/>
      <c r="H588" s="317"/>
      <c r="I588" s="109"/>
      <c r="J588" s="109"/>
      <c r="K588" s="109"/>
      <c r="L588" s="109"/>
      <c r="M588" s="109"/>
      <c r="N588" s="109"/>
      <c r="O588" s="109"/>
      <c r="P588" s="109"/>
      <c r="Q588" s="109"/>
      <c r="R588" s="109"/>
      <c r="S588" s="109"/>
      <c r="T588" s="109"/>
      <c r="U588" s="109"/>
      <c r="V588" s="109"/>
      <c r="W588" s="109"/>
      <c r="X588" s="109"/>
      <c r="Y588" s="109"/>
      <c r="Z588" s="109"/>
    </row>
    <row r="589" ht="29.25" customHeight="1">
      <c r="A589" s="109"/>
      <c r="B589" s="109"/>
      <c r="C589" s="109"/>
      <c r="D589" s="109"/>
      <c r="E589" s="109"/>
      <c r="F589" s="109"/>
      <c r="G589" s="109"/>
      <c r="H589" s="317"/>
      <c r="I589" s="109"/>
      <c r="J589" s="109"/>
      <c r="K589" s="109"/>
      <c r="L589" s="109"/>
      <c r="M589" s="109"/>
      <c r="N589" s="109"/>
      <c r="O589" s="109"/>
      <c r="P589" s="109"/>
      <c r="Q589" s="109"/>
      <c r="R589" s="109"/>
      <c r="S589" s="109"/>
      <c r="T589" s="109"/>
      <c r="U589" s="109"/>
      <c r="V589" s="109"/>
      <c r="W589" s="109"/>
      <c r="X589" s="109"/>
      <c r="Y589" s="109"/>
      <c r="Z589" s="109"/>
    </row>
    <row r="590" ht="29.25" customHeight="1">
      <c r="A590" s="109"/>
      <c r="B590" s="109"/>
      <c r="C590" s="109"/>
      <c r="D590" s="109"/>
      <c r="E590" s="109"/>
      <c r="F590" s="109"/>
      <c r="G590" s="109"/>
      <c r="H590" s="317"/>
      <c r="I590" s="109"/>
      <c r="J590" s="109"/>
      <c r="K590" s="109"/>
      <c r="L590" s="109"/>
      <c r="M590" s="109"/>
      <c r="N590" s="109"/>
      <c r="O590" s="109"/>
      <c r="P590" s="109"/>
      <c r="Q590" s="109"/>
      <c r="R590" s="109"/>
      <c r="S590" s="109"/>
      <c r="T590" s="109"/>
      <c r="U590" s="109"/>
      <c r="V590" s="109"/>
      <c r="W590" s="109"/>
      <c r="X590" s="109"/>
      <c r="Y590" s="109"/>
      <c r="Z590" s="109"/>
    </row>
    <row r="591" ht="29.25" customHeight="1">
      <c r="A591" s="109"/>
      <c r="B591" s="109"/>
      <c r="C591" s="109"/>
      <c r="D591" s="109"/>
      <c r="E591" s="109"/>
      <c r="F591" s="109"/>
      <c r="G591" s="109"/>
      <c r="H591" s="317"/>
      <c r="I591" s="109"/>
      <c r="J591" s="109"/>
      <c r="K591" s="109"/>
      <c r="L591" s="109"/>
      <c r="M591" s="109"/>
      <c r="N591" s="109"/>
      <c r="O591" s="109"/>
      <c r="P591" s="109"/>
      <c r="Q591" s="109"/>
      <c r="R591" s="109"/>
      <c r="S591" s="109"/>
      <c r="T591" s="109"/>
      <c r="U591" s="109"/>
      <c r="V591" s="109"/>
      <c r="W591" s="109"/>
      <c r="X591" s="109"/>
      <c r="Y591" s="109"/>
      <c r="Z591" s="109"/>
    </row>
    <row r="592" ht="29.25" customHeight="1">
      <c r="A592" s="109"/>
      <c r="B592" s="109"/>
      <c r="C592" s="109"/>
      <c r="D592" s="109"/>
      <c r="E592" s="109"/>
      <c r="F592" s="109"/>
      <c r="G592" s="109"/>
      <c r="H592" s="317"/>
      <c r="I592" s="109"/>
      <c r="J592" s="109"/>
      <c r="K592" s="109"/>
      <c r="L592" s="109"/>
      <c r="M592" s="109"/>
      <c r="N592" s="109"/>
      <c r="O592" s="109"/>
      <c r="P592" s="109"/>
      <c r="Q592" s="109"/>
      <c r="R592" s="109"/>
      <c r="S592" s="109"/>
      <c r="T592" s="109"/>
      <c r="U592" s="109"/>
      <c r="V592" s="109"/>
      <c r="W592" s="109"/>
      <c r="X592" s="109"/>
      <c r="Y592" s="109"/>
      <c r="Z592" s="109"/>
    </row>
    <row r="593" ht="29.25" customHeight="1">
      <c r="A593" s="109"/>
      <c r="B593" s="109"/>
      <c r="C593" s="109"/>
      <c r="D593" s="109"/>
      <c r="E593" s="109"/>
      <c r="F593" s="109"/>
      <c r="G593" s="109"/>
      <c r="H593" s="317"/>
      <c r="I593" s="109"/>
      <c r="J593" s="109"/>
      <c r="K593" s="109"/>
      <c r="L593" s="109"/>
      <c r="M593" s="109"/>
      <c r="N593" s="109"/>
      <c r="O593" s="109"/>
      <c r="P593" s="109"/>
      <c r="Q593" s="109"/>
      <c r="R593" s="109"/>
      <c r="S593" s="109"/>
      <c r="T593" s="109"/>
      <c r="U593" s="109"/>
      <c r="V593" s="109"/>
      <c r="W593" s="109"/>
      <c r="X593" s="109"/>
      <c r="Y593" s="109"/>
      <c r="Z593" s="109"/>
    </row>
    <row r="594" ht="29.25" customHeight="1">
      <c r="A594" s="109"/>
      <c r="B594" s="109"/>
      <c r="C594" s="109"/>
      <c r="D594" s="109"/>
      <c r="E594" s="109"/>
      <c r="F594" s="109"/>
      <c r="G594" s="109"/>
      <c r="H594" s="317"/>
      <c r="I594" s="109"/>
      <c r="J594" s="109"/>
      <c r="K594" s="109"/>
      <c r="L594" s="109"/>
      <c r="M594" s="109"/>
      <c r="N594" s="109"/>
      <c r="O594" s="109"/>
      <c r="P594" s="109"/>
      <c r="Q594" s="109"/>
      <c r="R594" s="109"/>
      <c r="S594" s="109"/>
      <c r="T594" s="109"/>
      <c r="U594" s="109"/>
      <c r="V594" s="109"/>
      <c r="W594" s="109"/>
      <c r="X594" s="109"/>
      <c r="Y594" s="109"/>
      <c r="Z594" s="109"/>
    </row>
    <row r="595" ht="29.25" customHeight="1">
      <c r="A595" s="109"/>
      <c r="B595" s="109"/>
      <c r="C595" s="109"/>
      <c r="D595" s="109"/>
      <c r="E595" s="109"/>
      <c r="F595" s="109"/>
      <c r="G595" s="109"/>
      <c r="H595" s="317"/>
      <c r="I595" s="109"/>
      <c r="J595" s="109"/>
      <c r="K595" s="109"/>
      <c r="L595" s="109"/>
      <c r="M595" s="109"/>
      <c r="N595" s="109"/>
      <c r="O595" s="109"/>
      <c r="P595" s="109"/>
      <c r="Q595" s="109"/>
      <c r="R595" s="109"/>
      <c r="S595" s="109"/>
      <c r="T595" s="109"/>
      <c r="U595" s="109"/>
      <c r="V595" s="109"/>
      <c r="W595" s="109"/>
      <c r="X595" s="109"/>
      <c r="Y595" s="109"/>
      <c r="Z595" s="109"/>
    </row>
    <row r="596" ht="29.25" customHeight="1">
      <c r="A596" s="109"/>
      <c r="B596" s="109"/>
      <c r="C596" s="109"/>
      <c r="D596" s="109"/>
      <c r="E596" s="109"/>
      <c r="F596" s="109"/>
      <c r="G596" s="109"/>
      <c r="H596" s="317"/>
      <c r="I596" s="109"/>
      <c r="J596" s="109"/>
      <c r="K596" s="109"/>
      <c r="L596" s="109"/>
      <c r="M596" s="109"/>
      <c r="N596" s="109"/>
      <c r="O596" s="109"/>
      <c r="P596" s="109"/>
      <c r="Q596" s="109"/>
      <c r="R596" s="109"/>
      <c r="S596" s="109"/>
      <c r="T596" s="109"/>
      <c r="U596" s="109"/>
      <c r="V596" s="109"/>
      <c r="W596" s="109"/>
      <c r="X596" s="109"/>
      <c r="Y596" s="109"/>
      <c r="Z596" s="109"/>
    </row>
    <row r="597" ht="29.25" customHeight="1">
      <c r="A597" s="109"/>
      <c r="B597" s="109"/>
      <c r="C597" s="109"/>
      <c r="D597" s="109"/>
      <c r="E597" s="109"/>
      <c r="F597" s="109"/>
      <c r="G597" s="109"/>
      <c r="H597" s="317"/>
      <c r="I597" s="109"/>
      <c r="J597" s="109"/>
      <c r="K597" s="109"/>
      <c r="L597" s="109"/>
      <c r="M597" s="109"/>
      <c r="N597" s="109"/>
      <c r="O597" s="109"/>
      <c r="P597" s="109"/>
      <c r="Q597" s="109"/>
      <c r="R597" s="109"/>
      <c r="S597" s="109"/>
      <c r="T597" s="109"/>
      <c r="U597" s="109"/>
      <c r="V597" s="109"/>
      <c r="W597" s="109"/>
      <c r="X597" s="109"/>
      <c r="Y597" s="109"/>
      <c r="Z597" s="109"/>
    </row>
    <row r="598" ht="29.25" customHeight="1">
      <c r="A598" s="109"/>
      <c r="B598" s="109"/>
      <c r="C598" s="109"/>
      <c r="D598" s="109"/>
      <c r="E598" s="109"/>
      <c r="F598" s="109"/>
      <c r="G598" s="109"/>
      <c r="H598" s="317"/>
      <c r="I598" s="109"/>
      <c r="J598" s="109"/>
      <c r="K598" s="109"/>
      <c r="L598" s="109"/>
      <c r="M598" s="109"/>
      <c r="N598" s="109"/>
      <c r="O598" s="109"/>
      <c r="P598" s="109"/>
      <c r="Q598" s="109"/>
      <c r="R598" s="109"/>
      <c r="S598" s="109"/>
      <c r="T598" s="109"/>
      <c r="U598" s="109"/>
      <c r="V598" s="109"/>
      <c r="W598" s="109"/>
      <c r="X598" s="109"/>
      <c r="Y598" s="109"/>
      <c r="Z598" s="109"/>
    </row>
    <row r="599" ht="29.25" customHeight="1">
      <c r="A599" s="109"/>
      <c r="B599" s="109"/>
      <c r="C599" s="109"/>
      <c r="D599" s="109"/>
      <c r="E599" s="109"/>
      <c r="F599" s="109"/>
      <c r="G599" s="109"/>
      <c r="H599" s="317"/>
      <c r="I599" s="109"/>
      <c r="J599" s="109"/>
      <c r="K599" s="109"/>
      <c r="L599" s="109"/>
      <c r="M599" s="109"/>
      <c r="N599" s="109"/>
      <c r="O599" s="109"/>
      <c r="P599" s="109"/>
      <c r="Q599" s="109"/>
      <c r="R599" s="109"/>
      <c r="S599" s="109"/>
      <c r="T599" s="109"/>
      <c r="U599" s="109"/>
      <c r="V599" s="109"/>
      <c r="W599" s="109"/>
      <c r="X599" s="109"/>
      <c r="Y599" s="109"/>
      <c r="Z599" s="109"/>
    </row>
    <row r="600" ht="29.25" customHeight="1">
      <c r="A600" s="109"/>
      <c r="B600" s="109"/>
      <c r="C600" s="109"/>
      <c r="D600" s="109"/>
      <c r="E600" s="109"/>
      <c r="F600" s="109"/>
      <c r="G600" s="109"/>
      <c r="H600" s="317"/>
      <c r="I600" s="109"/>
      <c r="J600" s="109"/>
      <c r="K600" s="109"/>
      <c r="L600" s="109"/>
      <c r="M600" s="109"/>
      <c r="N600" s="109"/>
      <c r="O600" s="109"/>
      <c r="P600" s="109"/>
      <c r="Q600" s="109"/>
      <c r="R600" s="109"/>
      <c r="S600" s="109"/>
      <c r="T600" s="109"/>
      <c r="U600" s="109"/>
      <c r="V600" s="109"/>
      <c r="W600" s="109"/>
      <c r="X600" s="109"/>
      <c r="Y600" s="109"/>
      <c r="Z600" s="109"/>
    </row>
    <row r="601" ht="29.25" customHeight="1">
      <c r="A601" s="109"/>
      <c r="B601" s="109"/>
      <c r="C601" s="109"/>
      <c r="D601" s="109"/>
      <c r="E601" s="109"/>
      <c r="F601" s="109"/>
      <c r="G601" s="109"/>
      <c r="H601" s="317"/>
      <c r="I601" s="109"/>
      <c r="J601" s="109"/>
      <c r="K601" s="109"/>
      <c r="L601" s="109"/>
      <c r="M601" s="109"/>
      <c r="N601" s="109"/>
      <c r="O601" s="109"/>
      <c r="P601" s="109"/>
      <c r="Q601" s="109"/>
      <c r="R601" s="109"/>
      <c r="S601" s="109"/>
      <c r="T601" s="109"/>
      <c r="U601" s="109"/>
      <c r="V601" s="109"/>
      <c r="W601" s="109"/>
      <c r="X601" s="109"/>
      <c r="Y601" s="109"/>
      <c r="Z601" s="109"/>
    </row>
    <row r="602" ht="29.25" customHeight="1">
      <c r="A602" s="109"/>
      <c r="B602" s="109"/>
      <c r="C602" s="109"/>
      <c r="D602" s="109"/>
      <c r="E602" s="109"/>
      <c r="F602" s="109"/>
      <c r="G602" s="109"/>
      <c r="H602" s="317"/>
      <c r="I602" s="109"/>
      <c r="J602" s="109"/>
      <c r="K602" s="109"/>
      <c r="L602" s="109"/>
      <c r="M602" s="109"/>
      <c r="N602" s="109"/>
      <c r="O602" s="109"/>
      <c r="P602" s="109"/>
      <c r="Q602" s="109"/>
      <c r="R602" s="109"/>
      <c r="S602" s="109"/>
      <c r="T602" s="109"/>
      <c r="U602" s="109"/>
      <c r="V602" s="109"/>
      <c r="W602" s="109"/>
      <c r="X602" s="109"/>
      <c r="Y602" s="109"/>
      <c r="Z602" s="109"/>
    </row>
    <row r="603" ht="29.25" customHeight="1">
      <c r="A603" s="109"/>
      <c r="B603" s="109"/>
      <c r="C603" s="109"/>
      <c r="D603" s="109"/>
      <c r="E603" s="109"/>
      <c r="F603" s="109"/>
      <c r="G603" s="109"/>
      <c r="H603" s="317"/>
      <c r="I603" s="109"/>
      <c r="J603" s="109"/>
      <c r="K603" s="109"/>
      <c r="L603" s="109"/>
      <c r="M603" s="109"/>
      <c r="N603" s="109"/>
      <c r="O603" s="109"/>
      <c r="P603" s="109"/>
      <c r="Q603" s="109"/>
      <c r="R603" s="109"/>
      <c r="S603" s="109"/>
      <c r="T603" s="109"/>
      <c r="U603" s="109"/>
      <c r="V603" s="109"/>
      <c r="W603" s="109"/>
      <c r="X603" s="109"/>
      <c r="Y603" s="109"/>
      <c r="Z603" s="109"/>
    </row>
    <row r="604" ht="29.25" customHeight="1">
      <c r="A604" s="109"/>
      <c r="B604" s="109"/>
      <c r="C604" s="109"/>
      <c r="D604" s="109"/>
      <c r="E604" s="109"/>
      <c r="F604" s="109"/>
      <c r="G604" s="109"/>
      <c r="H604" s="317"/>
      <c r="I604" s="109"/>
      <c r="J604" s="109"/>
      <c r="K604" s="109"/>
      <c r="L604" s="109"/>
      <c r="M604" s="109"/>
      <c r="N604" s="109"/>
      <c r="O604" s="109"/>
      <c r="P604" s="109"/>
      <c r="Q604" s="109"/>
      <c r="R604" s="109"/>
      <c r="S604" s="109"/>
      <c r="T604" s="109"/>
      <c r="U604" s="109"/>
      <c r="V604" s="109"/>
      <c r="W604" s="109"/>
      <c r="X604" s="109"/>
      <c r="Y604" s="109"/>
      <c r="Z604" s="109"/>
    </row>
    <row r="605" ht="29.25" customHeight="1">
      <c r="A605" s="109"/>
      <c r="B605" s="109"/>
      <c r="C605" s="109"/>
      <c r="D605" s="109"/>
      <c r="E605" s="109"/>
      <c r="F605" s="109"/>
      <c r="G605" s="109"/>
      <c r="H605" s="317"/>
      <c r="I605" s="109"/>
      <c r="J605" s="109"/>
      <c r="K605" s="109"/>
      <c r="L605" s="109"/>
      <c r="M605" s="109"/>
      <c r="N605" s="109"/>
      <c r="O605" s="109"/>
      <c r="P605" s="109"/>
      <c r="Q605" s="109"/>
      <c r="R605" s="109"/>
      <c r="S605" s="109"/>
      <c r="T605" s="109"/>
      <c r="U605" s="109"/>
      <c r="V605" s="109"/>
      <c r="W605" s="109"/>
      <c r="X605" s="109"/>
      <c r="Y605" s="109"/>
      <c r="Z605" s="109"/>
    </row>
    <row r="606" ht="29.25" customHeight="1">
      <c r="A606" s="109"/>
      <c r="B606" s="109"/>
      <c r="C606" s="109"/>
      <c r="D606" s="109"/>
      <c r="E606" s="109"/>
      <c r="F606" s="109"/>
      <c r="G606" s="109"/>
      <c r="H606" s="317"/>
      <c r="I606" s="109"/>
      <c r="J606" s="109"/>
      <c r="K606" s="109"/>
      <c r="L606" s="109"/>
      <c r="M606" s="109"/>
      <c r="N606" s="109"/>
      <c r="O606" s="109"/>
      <c r="P606" s="109"/>
      <c r="Q606" s="109"/>
      <c r="R606" s="109"/>
      <c r="S606" s="109"/>
      <c r="T606" s="109"/>
      <c r="U606" s="109"/>
      <c r="V606" s="109"/>
      <c r="W606" s="109"/>
      <c r="X606" s="109"/>
      <c r="Y606" s="109"/>
      <c r="Z606" s="109"/>
    </row>
    <row r="607" ht="29.25" customHeight="1">
      <c r="A607" s="109"/>
      <c r="B607" s="109"/>
      <c r="C607" s="109"/>
      <c r="D607" s="109"/>
      <c r="E607" s="109"/>
      <c r="F607" s="109"/>
      <c r="G607" s="109"/>
      <c r="H607" s="317"/>
      <c r="I607" s="109"/>
      <c r="J607" s="109"/>
      <c r="K607" s="109"/>
      <c r="L607" s="109"/>
      <c r="M607" s="109"/>
      <c r="N607" s="109"/>
      <c r="O607" s="109"/>
      <c r="P607" s="109"/>
      <c r="Q607" s="109"/>
      <c r="R607" s="109"/>
      <c r="S607" s="109"/>
      <c r="T607" s="109"/>
      <c r="U607" s="109"/>
      <c r="V607" s="109"/>
      <c r="W607" s="109"/>
      <c r="X607" s="109"/>
      <c r="Y607" s="109"/>
      <c r="Z607" s="109"/>
    </row>
    <row r="608" ht="29.25" customHeight="1">
      <c r="A608" s="109"/>
      <c r="B608" s="109"/>
      <c r="C608" s="109"/>
      <c r="D608" s="109"/>
      <c r="E608" s="109"/>
      <c r="F608" s="109"/>
      <c r="G608" s="109"/>
      <c r="H608" s="317"/>
      <c r="I608" s="109"/>
      <c r="J608" s="109"/>
      <c r="K608" s="109"/>
      <c r="L608" s="109"/>
      <c r="M608" s="109"/>
      <c r="N608" s="109"/>
      <c r="O608" s="109"/>
      <c r="P608" s="109"/>
      <c r="Q608" s="109"/>
      <c r="R608" s="109"/>
      <c r="S608" s="109"/>
      <c r="T608" s="109"/>
      <c r="U608" s="109"/>
      <c r="V608" s="109"/>
      <c r="W608" s="109"/>
      <c r="X608" s="109"/>
      <c r="Y608" s="109"/>
      <c r="Z608" s="109"/>
    </row>
    <row r="609" ht="29.25" customHeight="1">
      <c r="A609" s="109"/>
      <c r="B609" s="109"/>
      <c r="C609" s="109"/>
      <c r="D609" s="109"/>
      <c r="E609" s="109"/>
      <c r="F609" s="109"/>
      <c r="G609" s="109"/>
      <c r="H609" s="317"/>
      <c r="I609" s="109"/>
      <c r="J609" s="109"/>
      <c r="K609" s="109"/>
      <c r="L609" s="109"/>
      <c r="M609" s="109"/>
      <c r="N609" s="109"/>
      <c r="O609" s="109"/>
      <c r="P609" s="109"/>
      <c r="Q609" s="109"/>
      <c r="R609" s="109"/>
      <c r="S609" s="109"/>
      <c r="T609" s="109"/>
      <c r="U609" s="109"/>
      <c r="V609" s="109"/>
      <c r="W609" s="109"/>
      <c r="X609" s="109"/>
      <c r="Y609" s="109"/>
      <c r="Z609" s="109"/>
    </row>
    <row r="610" ht="29.25" customHeight="1">
      <c r="A610" s="109"/>
      <c r="B610" s="109"/>
      <c r="C610" s="109"/>
      <c r="D610" s="109"/>
      <c r="E610" s="109"/>
      <c r="F610" s="109"/>
      <c r="G610" s="109"/>
      <c r="H610" s="317"/>
      <c r="I610" s="109"/>
      <c r="J610" s="109"/>
      <c r="K610" s="109"/>
      <c r="L610" s="109"/>
      <c r="M610" s="109"/>
      <c r="N610" s="109"/>
      <c r="O610" s="109"/>
      <c r="P610" s="109"/>
      <c r="Q610" s="109"/>
      <c r="R610" s="109"/>
      <c r="S610" s="109"/>
      <c r="T610" s="109"/>
      <c r="U610" s="109"/>
      <c r="V610" s="109"/>
      <c r="W610" s="109"/>
      <c r="X610" s="109"/>
      <c r="Y610" s="109"/>
      <c r="Z610" s="109"/>
    </row>
    <row r="611" ht="29.25" customHeight="1">
      <c r="A611" s="109"/>
      <c r="B611" s="109"/>
      <c r="C611" s="109"/>
      <c r="D611" s="109"/>
      <c r="E611" s="109"/>
      <c r="F611" s="109"/>
      <c r="G611" s="109"/>
      <c r="H611" s="317"/>
      <c r="I611" s="109"/>
      <c r="J611" s="109"/>
      <c r="K611" s="109"/>
      <c r="L611" s="109"/>
      <c r="M611" s="109"/>
      <c r="N611" s="109"/>
      <c r="O611" s="109"/>
      <c r="P611" s="109"/>
      <c r="Q611" s="109"/>
      <c r="R611" s="109"/>
      <c r="S611" s="109"/>
      <c r="T611" s="109"/>
      <c r="U611" s="109"/>
      <c r="V611" s="109"/>
      <c r="W611" s="109"/>
      <c r="X611" s="109"/>
      <c r="Y611" s="109"/>
      <c r="Z611" s="109"/>
    </row>
    <row r="612" ht="29.25" customHeight="1">
      <c r="A612" s="109"/>
      <c r="B612" s="109"/>
      <c r="C612" s="109"/>
      <c r="D612" s="109"/>
      <c r="E612" s="109"/>
      <c r="F612" s="109"/>
      <c r="G612" s="109"/>
      <c r="H612" s="317"/>
      <c r="I612" s="109"/>
      <c r="J612" s="109"/>
      <c r="K612" s="109"/>
      <c r="L612" s="109"/>
      <c r="M612" s="109"/>
      <c r="N612" s="109"/>
      <c r="O612" s="109"/>
      <c r="P612" s="109"/>
      <c r="Q612" s="109"/>
      <c r="R612" s="109"/>
      <c r="S612" s="109"/>
      <c r="T612" s="109"/>
      <c r="U612" s="109"/>
      <c r="V612" s="109"/>
      <c r="W612" s="109"/>
      <c r="X612" s="109"/>
      <c r="Y612" s="109"/>
      <c r="Z612" s="109"/>
    </row>
    <row r="613" ht="29.25" customHeight="1">
      <c r="A613" s="109"/>
      <c r="B613" s="109"/>
      <c r="C613" s="109"/>
      <c r="D613" s="109"/>
      <c r="E613" s="109"/>
      <c r="F613" s="109"/>
      <c r="G613" s="109"/>
      <c r="H613" s="317"/>
      <c r="I613" s="109"/>
      <c r="J613" s="109"/>
      <c r="K613" s="109"/>
      <c r="L613" s="109"/>
      <c r="M613" s="109"/>
      <c r="N613" s="109"/>
      <c r="O613" s="109"/>
      <c r="P613" s="109"/>
      <c r="Q613" s="109"/>
      <c r="R613" s="109"/>
      <c r="S613" s="109"/>
      <c r="T613" s="109"/>
      <c r="U613" s="109"/>
      <c r="V613" s="109"/>
      <c r="W613" s="109"/>
      <c r="X613" s="109"/>
      <c r="Y613" s="109"/>
      <c r="Z613" s="109"/>
    </row>
    <row r="614" ht="29.25" customHeight="1">
      <c r="A614" s="109"/>
      <c r="B614" s="109"/>
      <c r="C614" s="109"/>
      <c r="D614" s="109"/>
      <c r="E614" s="109"/>
      <c r="F614" s="109"/>
      <c r="G614" s="109"/>
      <c r="H614" s="317"/>
      <c r="I614" s="109"/>
      <c r="J614" s="109"/>
      <c r="K614" s="109"/>
      <c r="L614" s="109"/>
      <c r="M614" s="109"/>
      <c r="N614" s="109"/>
      <c r="O614" s="109"/>
      <c r="P614" s="109"/>
      <c r="Q614" s="109"/>
      <c r="R614" s="109"/>
      <c r="S614" s="109"/>
      <c r="T614" s="109"/>
      <c r="U614" s="109"/>
      <c r="V614" s="109"/>
      <c r="W614" s="109"/>
      <c r="X614" s="109"/>
      <c r="Y614" s="109"/>
      <c r="Z614" s="109"/>
    </row>
    <row r="615" ht="29.25" customHeight="1">
      <c r="A615" s="109"/>
      <c r="B615" s="109"/>
      <c r="C615" s="109"/>
      <c r="D615" s="109"/>
      <c r="E615" s="109"/>
      <c r="F615" s="109"/>
      <c r="G615" s="109"/>
      <c r="H615" s="317"/>
      <c r="I615" s="109"/>
      <c r="J615" s="109"/>
      <c r="K615" s="109"/>
      <c r="L615" s="109"/>
      <c r="M615" s="109"/>
      <c r="N615" s="109"/>
      <c r="O615" s="109"/>
      <c r="P615" s="109"/>
      <c r="Q615" s="109"/>
      <c r="R615" s="109"/>
      <c r="S615" s="109"/>
      <c r="T615" s="109"/>
      <c r="U615" s="109"/>
      <c r="V615" s="109"/>
      <c r="W615" s="109"/>
      <c r="X615" s="109"/>
      <c r="Y615" s="109"/>
      <c r="Z615" s="109"/>
    </row>
    <row r="616" ht="29.25" customHeight="1">
      <c r="A616" s="109"/>
      <c r="B616" s="109"/>
      <c r="C616" s="109"/>
      <c r="D616" s="109"/>
      <c r="E616" s="109"/>
      <c r="F616" s="109"/>
      <c r="G616" s="109"/>
      <c r="H616" s="317"/>
      <c r="I616" s="109"/>
      <c r="J616" s="109"/>
      <c r="K616" s="109"/>
      <c r="L616" s="109"/>
      <c r="M616" s="109"/>
      <c r="N616" s="109"/>
      <c r="O616" s="109"/>
      <c r="P616" s="109"/>
      <c r="Q616" s="109"/>
      <c r="R616" s="109"/>
      <c r="S616" s="109"/>
      <c r="T616" s="109"/>
      <c r="U616" s="109"/>
      <c r="V616" s="109"/>
      <c r="W616" s="109"/>
      <c r="X616" s="109"/>
      <c r="Y616" s="109"/>
      <c r="Z616" s="109"/>
    </row>
    <row r="617" ht="29.25" customHeight="1">
      <c r="A617" s="109"/>
      <c r="B617" s="109"/>
      <c r="C617" s="109"/>
      <c r="D617" s="109"/>
      <c r="E617" s="109"/>
      <c r="F617" s="109"/>
      <c r="G617" s="109"/>
      <c r="H617" s="317"/>
      <c r="I617" s="109"/>
      <c r="J617" s="109"/>
      <c r="K617" s="109"/>
      <c r="L617" s="109"/>
      <c r="M617" s="109"/>
      <c r="N617" s="109"/>
      <c r="O617" s="109"/>
      <c r="P617" s="109"/>
      <c r="Q617" s="109"/>
      <c r="R617" s="109"/>
      <c r="S617" s="109"/>
      <c r="T617" s="109"/>
      <c r="U617" s="109"/>
      <c r="V617" s="109"/>
      <c r="W617" s="109"/>
      <c r="X617" s="109"/>
      <c r="Y617" s="109"/>
      <c r="Z617" s="109"/>
    </row>
    <row r="618" ht="29.25" customHeight="1">
      <c r="A618" s="109"/>
      <c r="B618" s="109"/>
      <c r="C618" s="109"/>
      <c r="D618" s="109"/>
      <c r="E618" s="109"/>
      <c r="F618" s="109"/>
      <c r="G618" s="109"/>
      <c r="H618" s="317"/>
      <c r="I618" s="109"/>
      <c r="J618" s="109"/>
      <c r="K618" s="109"/>
      <c r="L618" s="109"/>
      <c r="M618" s="109"/>
      <c r="N618" s="109"/>
      <c r="O618" s="109"/>
      <c r="P618" s="109"/>
      <c r="Q618" s="109"/>
      <c r="R618" s="109"/>
      <c r="S618" s="109"/>
      <c r="T618" s="109"/>
      <c r="U618" s="109"/>
      <c r="V618" s="109"/>
      <c r="W618" s="109"/>
      <c r="X618" s="109"/>
      <c r="Y618" s="109"/>
      <c r="Z618" s="109"/>
    </row>
    <row r="619" ht="29.25" customHeight="1">
      <c r="A619" s="109"/>
      <c r="B619" s="109"/>
      <c r="C619" s="109"/>
      <c r="D619" s="109"/>
      <c r="E619" s="109"/>
      <c r="F619" s="109"/>
      <c r="G619" s="109"/>
      <c r="H619" s="317"/>
      <c r="I619" s="109"/>
      <c r="J619" s="109"/>
      <c r="K619" s="109"/>
      <c r="L619" s="109"/>
      <c r="M619" s="109"/>
      <c r="N619" s="109"/>
      <c r="O619" s="109"/>
      <c r="P619" s="109"/>
      <c r="Q619" s="109"/>
      <c r="R619" s="109"/>
      <c r="S619" s="109"/>
      <c r="T619" s="109"/>
      <c r="U619" s="109"/>
      <c r="V619" s="109"/>
      <c r="W619" s="109"/>
      <c r="X619" s="109"/>
      <c r="Y619" s="109"/>
      <c r="Z619" s="109"/>
    </row>
    <row r="620" ht="29.25" customHeight="1">
      <c r="A620" s="109"/>
      <c r="B620" s="109"/>
      <c r="C620" s="109"/>
      <c r="D620" s="109"/>
      <c r="E620" s="109"/>
      <c r="F620" s="109"/>
      <c r="G620" s="109"/>
      <c r="H620" s="317"/>
      <c r="I620" s="109"/>
      <c r="J620" s="109"/>
      <c r="K620" s="109"/>
      <c r="L620" s="109"/>
      <c r="M620" s="109"/>
      <c r="N620" s="109"/>
      <c r="O620" s="109"/>
      <c r="P620" s="109"/>
      <c r="Q620" s="109"/>
      <c r="R620" s="109"/>
      <c r="S620" s="109"/>
      <c r="T620" s="109"/>
      <c r="U620" s="109"/>
      <c r="V620" s="109"/>
      <c r="W620" s="109"/>
      <c r="X620" s="109"/>
      <c r="Y620" s="109"/>
      <c r="Z620" s="109"/>
    </row>
    <row r="621" ht="29.25" customHeight="1">
      <c r="A621" s="109"/>
      <c r="B621" s="109"/>
      <c r="C621" s="109"/>
      <c r="D621" s="109"/>
      <c r="E621" s="109"/>
      <c r="F621" s="109"/>
      <c r="G621" s="109"/>
      <c r="H621" s="317"/>
      <c r="I621" s="109"/>
      <c r="J621" s="109"/>
      <c r="K621" s="109"/>
      <c r="L621" s="109"/>
      <c r="M621" s="109"/>
      <c r="N621" s="109"/>
      <c r="O621" s="109"/>
      <c r="P621" s="109"/>
      <c r="Q621" s="109"/>
      <c r="R621" s="109"/>
      <c r="S621" s="109"/>
      <c r="T621" s="109"/>
      <c r="U621" s="109"/>
      <c r="V621" s="109"/>
      <c r="W621" s="109"/>
      <c r="X621" s="109"/>
      <c r="Y621" s="109"/>
      <c r="Z621" s="109"/>
    </row>
    <row r="622" ht="29.25" customHeight="1">
      <c r="A622" s="109"/>
      <c r="B622" s="109"/>
      <c r="C622" s="109"/>
      <c r="D622" s="109"/>
      <c r="E622" s="109"/>
      <c r="F622" s="109"/>
      <c r="G622" s="109"/>
      <c r="H622" s="317"/>
      <c r="I622" s="109"/>
      <c r="J622" s="109"/>
      <c r="K622" s="109"/>
      <c r="L622" s="109"/>
      <c r="M622" s="109"/>
      <c r="N622" s="109"/>
      <c r="O622" s="109"/>
      <c r="P622" s="109"/>
      <c r="Q622" s="109"/>
      <c r="R622" s="109"/>
      <c r="S622" s="109"/>
      <c r="T622" s="109"/>
      <c r="U622" s="109"/>
      <c r="V622" s="109"/>
      <c r="W622" s="109"/>
      <c r="X622" s="109"/>
      <c r="Y622" s="109"/>
      <c r="Z622" s="109"/>
    </row>
    <row r="623" ht="29.25" customHeight="1">
      <c r="A623" s="109"/>
      <c r="B623" s="109"/>
      <c r="C623" s="109"/>
      <c r="D623" s="109"/>
      <c r="E623" s="109"/>
      <c r="F623" s="109"/>
      <c r="G623" s="109"/>
      <c r="H623" s="317"/>
      <c r="I623" s="109"/>
      <c r="J623" s="109"/>
      <c r="K623" s="109"/>
      <c r="L623" s="109"/>
      <c r="M623" s="109"/>
      <c r="N623" s="109"/>
      <c r="O623" s="109"/>
      <c r="P623" s="109"/>
      <c r="Q623" s="109"/>
      <c r="R623" s="109"/>
      <c r="S623" s="109"/>
      <c r="T623" s="109"/>
      <c r="U623" s="109"/>
      <c r="V623" s="109"/>
      <c r="W623" s="109"/>
      <c r="X623" s="109"/>
      <c r="Y623" s="109"/>
      <c r="Z623" s="109"/>
    </row>
    <row r="624" ht="29.25" customHeight="1">
      <c r="A624" s="109"/>
      <c r="B624" s="109"/>
      <c r="C624" s="109"/>
      <c r="D624" s="109"/>
      <c r="E624" s="109"/>
      <c r="F624" s="109"/>
      <c r="G624" s="109"/>
      <c r="H624" s="317"/>
      <c r="I624" s="109"/>
      <c r="J624" s="109"/>
      <c r="K624" s="109"/>
      <c r="L624" s="109"/>
      <c r="M624" s="109"/>
      <c r="N624" s="109"/>
      <c r="O624" s="109"/>
      <c r="P624" s="109"/>
      <c r="Q624" s="109"/>
      <c r="R624" s="109"/>
      <c r="S624" s="109"/>
      <c r="T624" s="109"/>
      <c r="U624" s="109"/>
      <c r="V624" s="109"/>
      <c r="W624" s="109"/>
      <c r="X624" s="109"/>
      <c r="Y624" s="109"/>
      <c r="Z624" s="109"/>
    </row>
    <row r="625" ht="29.25" customHeight="1">
      <c r="A625" s="109"/>
      <c r="B625" s="109"/>
      <c r="C625" s="109"/>
      <c r="D625" s="109"/>
      <c r="E625" s="109"/>
      <c r="F625" s="109"/>
      <c r="G625" s="109"/>
      <c r="H625" s="317"/>
      <c r="I625" s="109"/>
      <c r="J625" s="109"/>
      <c r="K625" s="109"/>
      <c r="L625" s="109"/>
      <c r="M625" s="109"/>
      <c r="N625" s="109"/>
      <c r="O625" s="109"/>
      <c r="P625" s="109"/>
      <c r="Q625" s="109"/>
      <c r="R625" s="109"/>
      <c r="S625" s="109"/>
      <c r="T625" s="109"/>
      <c r="U625" s="109"/>
      <c r="V625" s="109"/>
      <c r="W625" s="109"/>
      <c r="X625" s="109"/>
      <c r="Y625" s="109"/>
      <c r="Z625" s="109"/>
    </row>
    <row r="626" ht="29.25" customHeight="1">
      <c r="A626" s="109"/>
      <c r="B626" s="109"/>
      <c r="C626" s="109"/>
      <c r="D626" s="109"/>
      <c r="E626" s="109"/>
      <c r="F626" s="109"/>
      <c r="G626" s="109"/>
      <c r="H626" s="317"/>
      <c r="I626" s="109"/>
      <c r="J626" s="109"/>
      <c r="K626" s="109"/>
      <c r="L626" s="109"/>
      <c r="M626" s="109"/>
      <c r="N626" s="109"/>
      <c r="O626" s="109"/>
      <c r="P626" s="109"/>
      <c r="Q626" s="109"/>
      <c r="R626" s="109"/>
      <c r="S626" s="109"/>
      <c r="T626" s="109"/>
      <c r="U626" s="109"/>
      <c r="V626" s="109"/>
      <c r="W626" s="109"/>
      <c r="X626" s="109"/>
      <c r="Y626" s="109"/>
      <c r="Z626" s="109"/>
    </row>
    <row r="627" ht="29.25" customHeight="1">
      <c r="A627" s="109"/>
      <c r="B627" s="109"/>
      <c r="C627" s="109"/>
      <c r="D627" s="109"/>
      <c r="E627" s="109"/>
      <c r="F627" s="109"/>
      <c r="G627" s="109"/>
      <c r="H627" s="317"/>
      <c r="I627" s="109"/>
      <c r="J627" s="109"/>
      <c r="K627" s="109"/>
      <c r="L627" s="109"/>
      <c r="M627" s="109"/>
      <c r="N627" s="109"/>
      <c r="O627" s="109"/>
      <c r="P627" s="109"/>
      <c r="Q627" s="109"/>
      <c r="R627" s="109"/>
      <c r="S627" s="109"/>
      <c r="T627" s="109"/>
      <c r="U627" s="109"/>
      <c r="V627" s="109"/>
      <c r="W627" s="109"/>
      <c r="X627" s="109"/>
      <c r="Y627" s="109"/>
      <c r="Z627" s="109"/>
    </row>
    <row r="628" ht="29.25" customHeight="1">
      <c r="A628" s="109"/>
      <c r="B628" s="109"/>
      <c r="C628" s="109"/>
      <c r="D628" s="109"/>
      <c r="E628" s="109"/>
      <c r="F628" s="109"/>
      <c r="G628" s="109"/>
      <c r="H628" s="317"/>
      <c r="I628" s="109"/>
      <c r="J628" s="109"/>
      <c r="K628" s="109"/>
      <c r="L628" s="109"/>
      <c r="M628" s="109"/>
      <c r="N628" s="109"/>
      <c r="O628" s="109"/>
      <c r="P628" s="109"/>
      <c r="Q628" s="109"/>
      <c r="R628" s="109"/>
      <c r="S628" s="109"/>
      <c r="T628" s="109"/>
      <c r="U628" s="109"/>
      <c r="V628" s="109"/>
      <c r="W628" s="109"/>
      <c r="X628" s="109"/>
      <c r="Y628" s="109"/>
      <c r="Z628" s="109"/>
    </row>
    <row r="629" ht="29.25" customHeight="1">
      <c r="A629" s="109"/>
      <c r="B629" s="109"/>
      <c r="C629" s="109"/>
      <c r="D629" s="109"/>
      <c r="E629" s="109"/>
      <c r="F629" s="109"/>
      <c r="G629" s="109"/>
      <c r="H629" s="317"/>
      <c r="I629" s="109"/>
      <c r="J629" s="109"/>
      <c r="K629" s="109"/>
      <c r="L629" s="109"/>
      <c r="M629" s="109"/>
      <c r="N629" s="109"/>
      <c r="O629" s="109"/>
      <c r="P629" s="109"/>
      <c r="Q629" s="109"/>
      <c r="R629" s="109"/>
      <c r="S629" s="109"/>
      <c r="T629" s="109"/>
      <c r="U629" s="109"/>
      <c r="V629" s="109"/>
      <c r="W629" s="109"/>
      <c r="X629" s="109"/>
      <c r="Y629" s="109"/>
      <c r="Z629" s="109"/>
    </row>
    <row r="630" ht="29.25" customHeight="1">
      <c r="A630" s="109"/>
      <c r="B630" s="109"/>
      <c r="C630" s="109"/>
      <c r="D630" s="109"/>
      <c r="E630" s="109"/>
      <c r="F630" s="109"/>
      <c r="G630" s="109"/>
      <c r="H630" s="317"/>
      <c r="I630" s="109"/>
      <c r="J630" s="109"/>
      <c r="K630" s="109"/>
      <c r="L630" s="109"/>
      <c r="M630" s="109"/>
      <c r="N630" s="109"/>
      <c r="O630" s="109"/>
      <c r="P630" s="109"/>
      <c r="Q630" s="109"/>
      <c r="R630" s="109"/>
      <c r="S630" s="109"/>
      <c r="T630" s="109"/>
      <c r="U630" s="109"/>
      <c r="V630" s="109"/>
      <c r="W630" s="109"/>
      <c r="X630" s="109"/>
      <c r="Y630" s="109"/>
      <c r="Z630" s="109"/>
    </row>
    <row r="631" ht="29.25" customHeight="1">
      <c r="A631" s="109"/>
      <c r="B631" s="109"/>
      <c r="C631" s="109"/>
      <c r="D631" s="109"/>
      <c r="E631" s="109"/>
      <c r="F631" s="109"/>
      <c r="G631" s="109"/>
      <c r="H631" s="317"/>
      <c r="I631" s="109"/>
      <c r="J631" s="109"/>
      <c r="K631" s="109"/>
      <c r="L631" s="109"/>
      <c r="M631" s="109"/>
      <c r="N631" s="109"/>
      <c r="O631" s="109"/>
      <c r="P631" s="109"/>
      <c r="Q631" s="109"/>
      <c r="R631" s="109"/>
      <c r="S631" s="109"/>
      <c r="T631" s="109"/>
      <c r="U631" s="109"/>
      <c r="V631" s="109"/>
      <c r="W631" s="109"/>
      <c r="X631" s="109"/>
      <c r="Y631" s="109"/>
      <c r="Z631" s="109"/>
    </row>
    <row r="632" ht="29.25" customHeight="1">
      <c r="A632" s="109"/>
      <c r="B632" s="109"/>
      <c r="C632" s="109"/>
      <c r="D632" s="109"/>
      <c r="E632" s="109"/>
      <c r="F632" s="109"/>
      <c r="G632" s="109"/>
      <c r="H632" s="317"/>
      <c r="I632" s="109"/>
      <c r="J632" s="109"/>
      <c r="K632" s="109"/>
      <c r="L632" s="109"/>
      <c r="M632" s="109"/>
      <c r="N632" s="109"/>
      <c r="O632" s="109"/>
      <c r="P632" s="109"/>
      <c r="Q632" s="109"/>
      <c r="R632" s="109"/>
      <c r="S632" s="109"/>
      <c r="T632" s="109"/>
      <c r="U632" s="109"/>
      <c r="V632" s="109"/>
      <c r="W632" s="109"/>
      <c r="X632" s="109"/>
      <c r="Y632" s="109"/>
      <c r="Z632" s="109"/>
    </row>
    <row r="633" ht="29.25" customHeight="1">
      <c r="A633" s="109"/>
      <c r="B633" s="109"/>
      <c r="C633" s="109"/>
      <c r="D633" s="109"/>
      <c r="E633" s="109"/>
      <c r="F633" s="109"/>
      <c r="G633" s="109"/>
      <c r="H633" s="317"/>
      <c r="I633" s="109"/>
      <c r="J633" s="109"/>
      <c r="K633" s="109"/>
      <c r="L633" s="109"/>
      <c r="M633" s="109"/>
      <c r="N633" s="109"/>
      <c r="O633" s="109"/>
      <c r="P633" s="109"/>
      <c r="Q633" s="109"/>
      <c r="R633" s="109"/>
      <c r="S633" s="109"/>
      <c r="T633" s="109"/>
      <c r="U633" s="109"/>
      <c r="V633" s="109"/>
      <c r="W633" s="109"/>
      <c r="X633" s="109"/>
      <c r="Y633" s="109"/>
      <c r="Z633" s="109"/>
    </row>
    <row r="634" ht="29.25" customHeight="1">
      <c r="A634" s="109"/>
      <c r="B634" s="109"/>
      <c r="C634" s="109"/>
      <c r="D634" s="109"/>
      <c r="E634" s="109"/>
      <c r="F634" s="109"/>
      <c r="G634" s="109"/>
      <c r="H634" s="317"/>
      <c r="I634" s="109"/>
      <c r="J634" s="109"/>
      <c r="K634" s="109"/>
      <c r="L634" s="109"/>
      <c r="M634" s="109"/>
      <c r="N634" s="109"/>
      <c r="O634" s="109"/>
      <c r="P634" s="109"/>
      <c r="Q634" s="109"/>
      <c r="R634" s="109"/>
      <c r="S634" s="109"/>
      <c r="T634" s="109"/>
      <c r="U634" s="109"/>
      <c r="V634" s="109"/>
      <c r="W634" s="109"/>
      <c r="X634" s="109"/>
      <c r="Y634" s="109"/>
      <c r="Z634" s="109"/>
    </row>
    <row r="635" ht="29.25" customHeight="1">
      <c r="A635" s="109"/>
      <c r="B635" s="109"/>
      <c r="C635" s="109"/>
      <c r="D635" s="109"/>
      <c r="E635" s="109"/>
      <c r="F635" s="109"/>
      <c r="G635" s="109"/>
      <c r="H635" s="317"/>
      <c r="I635" s="109"/>
      <c r="J635" s="109"/>
      <c r="K635" s="109"/>
      <c r="L635" s="109"/>
      <c r="M635" s="109"/>
      <c r="N635" s="109"/>
      <c r="O635" s="109"/>
      <c r="P635" s="109"/>
      <c r="Q635" s="109"/>
      <c r="R635" s="109"/>
      <c r="S635" s="109"/>
      <c r="T635" s="109"/>
      <c r="U635" s="109"/>
      <c r="V635" s="109"/>
      <c r="W635" s="109"/>
      <c r="X635" s="109"/>
      <c r="Y635" s="109"/>
      <c r="Z635" s="109"/>
    </row>
    <row r="636" ht="29.25" customHeight="1">
      <c r="A636" s="109"/>
      <c r="B636" s="109"/>
      <c r="C636" s="109"/>
      <c r="D636" s="109"/>
      <c r="E636" s="109"/>
      <c r="F636" s="109"/>
      <c r="G636" s="109"/>
      <c r="H636" s="317"/>
      <c r="I636" s="109"/>
      <c r="J636" s="109"/>
      <c r="K636" s="109"/>
      <c r="L636" s="109"/>
      <c r="M636" s="109"/>
      <c r="N636" s="109"/>
      <c r="O636" s="109"/>
      <c r="P636" s="109"/>
      <c r="Q636" s="109"/>
      <c r="R636" s="109"/>
      <c r="S636" s="109"/>
      <c r="T636" s="109"/>
      <c r="U636" s="109"/>
      <c r="V636" s="109"/>
      <c r="W636" s="109"/>
      <c r="X636" s="109"/>
      <c r="Y636" s="109"/>
      <c r="Z636" s="109"/>
    </row>
    <row r="637" ht="29.25" customHeight="1">
      <c r="A637" s="109"/>
      <c r="B637" s="109"/>
      <c r="C637" s="109"/>
      <c r="D637" s="109"/>
      <c r="E637" s="109"/>
      <c r="F637" s="109"/>
      <c r="G637" s="109"/>
      <c r="H637" s="317"/>
      <c r="I637" s="109"/>
      <c r="J637" s="109"/>
      <c r="K637" s="109"/>
      <c r="L637" s="109"/>
      <c r="M637" s="109"/>
      <c r="N637" s="109"/>
      <c r="O637" s="109"/>
      <c r="P637" s="109"/>
      <c r="Q637" s="109"/>
      <c r="R637" s="109"/>
      <c r="S637" s="109"/>
      <c r="T637" s="109"/>
      <c r="U637" s="109"/>
      <c r="V637" s="109"/>
      <c r="W637" s="109"/>
      <c r="X637" s="109"/>
      <c r="Y637" s="109"/>
      <c r="Z637" s="109"/>
    </row>
    <row r="638" ht="29.25" customHeight="1">
      <c r="A638" s="109"/>
      <c r="B638" s="109"/>
      <c r="C638" s="109"/>
      <c r="D638" s="109"/>
      <c r="E638" s="109"/>
      <c r="F638" s="109"/>
      <c r="G638" s="109"/>
      <c r="H638" s="317"/>
      <c r="I638" s="109"/>
      <c r="J638" s="109"/>
      <c r="K638" s="109"/>
      <c r="L638" s="109"/>
      <c r="M638" s="109"/>
      <c r="N638" s="109"/>
      <c r="O638" s="109"/>
      <c r="P638" s="109"/>
      <c r="Q638" s="109"/>
      <c r="R638" s="109"/>
      <c r="S638" s="109"/>
      <c r="T638" s="109"/>
      <c r="U638" s="109"/>
      <c r="V638" s="109"/>
      <c r="W638" s="109"/>
      <c r="X638" s="109"/>
      <c r="Y638" s="109"/>
      <c r="Z638" s="109"/>
    </row>
    <row r="639" ht="29.25" customHeight="1">
      <c r="A639" s="109"/>
      <c r="B639" s="109"/>
      <c r="C639" s="109"/>
      <c r="D639" s="109"/>
      <c r="E639" s="109"/>
      <c r="F639" s="109"/>
      <c r="G639" s="109"/>
      <c r="H639" s="317"/>
      <c r="I639" s="109"/>
      <c r="J639" s="109"/>
      <c r="K639" s="109"/>
      <c r="L639" s="109"/>
      <c r="M639" s="109"/>
      <c r="N639" s="109"/>
      <c r="O639" s="109"/>
      <c r="P639" s="109"/>
      <c r="Q639" s="109"/>
      <c r="R639" s="109"/>
      <c r="S639" s="109"/>
      <c r="T639" s="109"/>
      <c r="U639" s="109"/>
      <c r="V639" s="109"/>
      <c r="W639" s="109"/>
      <c r="X639" s="109"/>
      <c r="Y639" s="109"/>
      <c r="Z639" s="109"/>
    </row>
    <row r="640" ht="29.25" customHeight="1">
      <c r="A640" s="109"/>
      <c r="B640" s="109"/>
      <c r="C640" s="109"/>
      <c r="D640" s="109"/>
      <c r="E640" s="109"/>
      <c r="F640" s="109"/>
      <c r="G640" s="109"/>
      <c r="H640" s="317"/>
      <c r="I640" s="109"/>
      <c r="J640" s="109"/>
      <c r="K640" s="109"/>
      <c r="L640" s="109"/>
      <c r="M640" s="109"/>
      <c r="N640" s="109"/>
      <c r="O640" s="109"/>
      <c r="P640" s="109"/>
      <c r="Q640" s="109"/>
      <c r="R640" s="109"/>
      <c r="S640" s="109"/>
      <c r="T640" s="109"/>
      <c r="U640" s="109"/>
      <c r="V640" s="109"/>
      <c r="W640" s="109"/>
      <c r="X640" s="109"/>
      <c r="Y640" s="109"/>
      <c r="Z640" s="109"/>
    </row>
    <row r="641" ht="29.25" customHeight="1">
      <c r="A641" s="109"/>
      <c r="B641" s="109"/>
      <c r="C641" s="109"/>
      <c r="D641" s="109"/>
      <c r="E641" s="109"/>
      <c r="F641" s="109"/>
      <c r="G641" s="109"/>
      <c r="H641" s="317"/>
      <c r="I641" s="109"/>
      <c r="J641" s="109"/>
      <c r="K641" s="109"/>
      <c r="L641" s="109"/>
      <c r="M641" s="109"/>
      <c r="N641" s="109"/>
      <c r="O641" s="109"/>
      <c r="P641" s="109"/>
      <c r="Q641" s="109"/>
      <c r="R641" s="109"/>
      <c r="S641" s="109"/>
      <c r="T641" s="109"/>
      <c r="U641" s="109"/>
      <c r="V641" s="109"/>
      <c r="W641" s="109"/>
      <c r="X641" s="109"/>
      <c r="Y641" s="109"/>
      <c r="Z641" s="109"/>
    </row>
    <row r="642" ht="29.25" customHeight="1">
      <c r="A642" s="109"/>
      <c r="B642" s="109"/>
      <c r="C642" s="109"/>
      <c r="D642" s="109"/>
      <c r="E642" s="109"/>
      <c r="F642" s="109"/>
      <c r="G642" s="109"/>
      <c r="H642" s="317"/>
      <c r="I642" s="109"/>
      <c r="J642" s="109"/>
      <c r="K642" s="109"/>
      <c r="L642" s="109"/>
      <c r="M642" s="109"/>
      <c r="N642" s="109"/>
      <c r="O642" s="109"/>
      <c r="P642" s="109"/>
      <c r="Q642" s="109"/>
      <c r="R642" s="109"/>
      <c r="S642" s="109"/>
      <c r="T642" s="109"/>
      <c r="U642" s="109"/>
      <c r="V642" s="109"/>
      <c r="W642" s="109"/>
      <c r="X642" s="109"/>
      <c r="Y642" s="109"/>
      <c r="Z642" s="109"/>
    </row>
    <row r="643" ht="29.25" customHeight="1">
      <c r="A643" s="109"/>
      <c r="B643" s="109"/>
      <c r="C643" s="109"/>
      <c r="D643" s="109"/>
      <c r="E643" s="109"/>
      <c r="F643" s="109"/>
      <c r="G643" s="109"/>
      <c r="H643" s="317"/>
      <c r="I643" s="109"/>
      <c r="J643" s="109"/>
      <c r="K643" s="109"/>
      <c r="L643" s="109"/>
      <c r="M643" s="109"/>
      <c r="N643" s="109"/>
      <c r="O643" s="109"/>
      <c r="P643" s="109"/>
      <c r="Q643" s="109"/>
      <c r="R643" s="109"/>
      <c r="S643" s="109"/>
      <c r="T643" s="109"/>
      <c r="U643" s="109"/>
      <c r="V643" s="109"/>
      <c r="W643" s="109"/>
      <c r="X643" s="109"/>
      <c r="Y643" s="109"/>
      <c r="Z643" s="109"/>
    </row>
    <row r="644" ht="29.25" customHeight="1">
      <c r="A644" s="109"/>
      <c r="B644" s="109"/>
      <c r="C644" s="109"/>
      <c r="D644" s="109"/>
      <c r="E644" s="109"/>
      <c r="F644" s="109"/>
      <c r="G644" s="109"/>
      <c r="H644" s="317"/>
      <c r="I644" s="109"/>
      <c r="J644" s="109"/>
      <c r="K644" s="109"/>
      <c r="L644" s="109"/>
      <c r="M644" s="109"/>
      <c r="N644" s="109"/>
      <c r="O644" s="109"/>
      <c r="P644" s="109"/>
      <c r="Q644" s="109"/>
      <c r="R644" s="109"/>
      <c r="S644" s="109"/>
      <c r="T644" s="109"/>
      <c r="U644" s="109"/>
      <c r="V644" s="109"/>
      <c r="W644" s="109"/>
      <c r="X644" s="109"/>
      <c r="Y644" s="109"/>
      <c r="Z644" s="109"/>
    </row>
    <row r="645" ht="29.25" customHeight="1">
      <c r="A645" s="109"/>
      <c r="B645" s="109"/>
      <c r="C645" s="109"/>
      <c r="D645" s="109"/>
      <c r="E645" s="109"/>
      <c r="F645" s="109"/>
      <c r="G645" s="109"/>
      <c r="H645" s="317"/>
      <c r="I645" s="109"/>
      <c r="J645" s="109"/>
      <c r="K645" s="109"/>
      <c r="L645" s="109"/>
      <c r="M645" s="109"/>
      <c r="N645" s="109"/>
      <c r="O645" s="109"/>
      <c r="P645" s="109"/>
      <c r="Q645" s="109"/>
      <c r="R645" s="109"/>
      <c r="S645" s="109"/>
      <c r="T645" s="109"/>
      <c r="U645" s="109"/>
      <c r="V645" s="109"/>
      <c r="W645" s="109"/>
      <c r="X645" s="109"/>
      <c r="Y645" s="109"/>
      <c r="Z645" s="109"/>
    </row>
    <row r="646" ht="29.25" customHeight="1">
      <c r="A646" s="109"/>
      <c r="B646" s="109"/>
      <c r="C646" s="109"/>
      <c r="D646" s="109"/>
      <c r="E646" s="109"/>
      <c r="F646" s="109"/>
      <c r="G646" s="109"/>
      <c r="H646" s="317"/>
      <c r="I646" s="109"/>
      <c r="J646" s="109"/>
      <c r="K646" s="109"/>
      <c r="L646" s="109"/>
      <c r="M646" s="109"/>
      <c r="N646" s="109"/>
      <c r="O646" s="109"/>
      <c r="P646" s="109"/>
      <c r="Q646" s="109"/>
      <c r="R646" s="109"/>
      <c r="S646" s="109"/>
      <c r="T646" s="109"/>
      <c r="U646" s="109"/>
      <c r="V646" s="109"/>
      <c r="W646" s="109"/>
      <c r="X646" s="109"/>
      <c r="Y646" s="109"/>
      <c r="Z646" s="109"/>
    </row>
    <row r="647" ht="29.25" customHeight="1">
      <c r="A647" s="109"/>
      <c r="B647" s="109"/>
      <c r="C647" s="109"/>
      <c r="D647" s="109"/>
      <c r="E647" s="109"/>
      <c r="F647" s="109"/>
      <c r="G647" s="109"/>
      <c r="H647" s="317"/>
      <c r="I647" s="109"/>
      <c r="J647" s="109"/>
      <c r="K647" s="109"/>
      <c r="L647" s="109"/>
      <c r="M647" s="109"/>
      <c r="N647" s="109"/>
      <c r="O647" s="109"/>
      <c r="P647" s="109"/>
      <c r="Q647" s="109"/>
      <c r="R647" s="109"/>
      <c r="S647" s="109"/>
      <c r="T647" s="109"/>
      <c r="U647" s="109"/>
      <c r="V647" s="109"/>
      <c r="W647" s="109"/>
      <c r="X647" s="109"/>
      <c r="Y647" s="109"/>
      <c r="Z647" s="109"/>
    </row>
    <row r="648" ht="29.25" customHeight="1">
      <c r="A648" s="109"/>
      <c r="B648" s="109"/>
      <c r="C648" s="109"/>
      <c r="D648" s="109"/>
      <c r="E648" s="109"/>
      <c r="F648" s="109"/>
      <c r="G648" s="109"/>
      <c r="H648" s="317"/>
      <c r="I648" s="109"/>
      <c r="J648" s="109"/>
      <c r="K648" s="109"/>
      <c r="L648" s="109"/>
      <c r="M648" s="109"/>
      <c r="N648" s="109"/>
      <c r="O648" s="109"/>
      <c r="P648" s="109"/>
      <c r="Q648" s="109"/>
      <c r="R648" s="109"/>
      <c r="S648" s="109"/>
      <c r="T648" s="109"/>
      <c r="U648" s="109"/>
      <c r="V648" s="109"/>
      <c r="W648" s="109"/>
      <c r="X648" s="109"/>
      <c r="Y648" s="109"/>
      <c r="Z648" s="109"/>
    </row>
    <row r="649" ht="29.25" customHeight="1">
      <c r="A649" s="109"/>
      <c r="B649" s="109"/>
      <c r="C649" s="109"/>
      <c r="D649" s="109"/>
      <c r="E649" s="109"/>
      <c r="F649" s="109"/>
      <c r="G649" s="109"/>
      <c r="H649" s="317"/>
      <c r="I649" s="109"/>
      <c r="J649" s="109"/>
      <c r="K649" s="109"/>
      <c r="L649" s="109"/>
      <c r="M649" s="109"/>
      <c r="N649" s="109"/>
      <c r="O649" s="109"/>
      <c r="P649" s="109"/>
      <c r="Q649" s="109"/>
      <c r="R649" s="109"/>
      <c r="S649" s="109"/>
      <c r="T649" s="109"/>
      <c r="U649" s="109"/>
      <c r="V649" s="109"/>
      <c r="W649" s="109"/>
      <c r="X649" s="109"/>
      <c r="Y649" s="109"/>
      <c r="Z649" s="109"/>
    </row>
    <row r="650" ht="29.25" customHeight="1">
      <c r="A650" s="109"/>
      <c r="B650" s="109"/>
      <c r="C650" s="109"/>
      <c r="D650" s="109"/>
      <c r="E650" s="109"/>
      <c r="F650" s="109"/>
      <c r="G650" s="109"/>
      <c r="H650" s="317"/>
      <c r="I650" s="109"/>
      <c r="J650" s="109"/>
      <c r="K650" s="109"/>
      <c r="L650" s="109"/>
      <c r="M650" s="109"/>
      <c r="N650" s="109"/>
      <c r="O650" s="109"/>
      <c r="P650" s="109"/>
      <c r="Q650" s="109"/>
      <c r="R650" s="109"/>
      <c r="S650" s="109"/>
      <c r="T650" s="109"/>
      <c r="U650" s="109"/>
      <c r="V650" s="109"/>
      <c r="W650" s="109"/>
      <c r="X650" s="109"/>
      <c r="Y650" s="109"/>
      <c r="Z650" s="109"/>
    </row>
    <row r="651" ht="29.25" customHeight="1">
      <c r="A651" s="109"/>
      <c r="B651" s="109"/>
      <c r="C651" s="109"/>
      <c r="D651" s="109"/>
      <c r="E651" s="109"/>
      <c r="F651" s="109"/>
      <c r="G651" s="109"/>
      <c r="H651" s="317"/>
      <c r="I651" s="109"/>
      <c r="J651" s="109"/>
      <c r="K651" s="109"/>
      <c r="L651" s="109"/>
      <c r="M651" s="109"/>
      <c r="N651" s="109"/>
      <c r="O651" s="109"/>
      <c r="P651" s="109"/>
      <c r="Q651" s="109"/>
      <c r="R651" s="109"/>
      <c r="S651" s="109"/>
      <c r="T651" s="109"/>
      <c r="U651" s="109"/>
      <c r="V651" s="109"/>
      <c r="W651" s="109"/>
      <c r="X651" s="109"/>
      <c r="Y651" s="109"/>
      <c r="Z651" s="109"/>
    </row>
    <row r="652" ht="29.25" customHeight="1">
      <c r="A652" s="109"/>
      <c r="B652" s="109"/>
      <c r="C652" s="109"/>
      <c r="D652" s="109"/>
      <c r="E652" s="109"/>
      <c r="F652" s="109"/>
      <c r="G652" s="109"/>
      <c r="H652" s="317"/>
      <c r="I652" s="109"/>
      <c r="J652" s="109"/>
      <c r="K652" s="109"/>
      <c r="L652" s="109"/>
      <c r="M652" s="109"/>
      <c r="N652" s="109"/>
      <c r="O652" s="109"/>
      <c r="P652" s="109"/>
      <c r="Q652" s="109"/>
      <c r="R652" s="109"/>
      <c r="S652" s="109"/>
      <c r="T652" s="109"/>
      <c r="U652" s="109"/>
      <c r="V652" s="109"/>
      <c r="W652" s="109"/>
      <c r="X652" s="109"/>
      <c r="Y652" s="109"/>
      <c r="Z652" s="109"/>
    </row>
    <row r="653" ht="29.25" customHeight="1">
      <c r="A653" s="109"/>
      <c r="B653" s="109"/>
      <c r="C653" s="109"/>
      <c r="D653" s="109"/>
      <c r="E653" s="109"/>
      <c r="F653" s="109"/>
      <c r="G653" s="109"/>
      <c r="H653" s="317"/>
      <c r="I653" s="109"/>
      <c r="J653" s="109"/>
      <c r="K653" s="109"/>
      <c r="L653" s="109"/>
      <c r="M653" s="109"/>
      <c r="N653" s="109"/>
      <c r="O653" s="109"/>
      <c r="P653" s="109"/>
      <c r="Q653" s="109"/>
      <c r="R653" s="109"/>
      <c r="S653" s="109"/>
      <c r="T653" s="109"/>
      <c r="U653" s="109"/>
      <c r="V653" s="109"/>
      <c r="W653" s="109"/>
      <c r="X653" s="109"/>
      <c r="Y653" s="109"/>
      <c r="Z653" s="109"/>
    </row>
    <row r="654" ht="29.25" customHeight="1">
      <c r="A654" s="109"/>
      <c r="B654" s="109"/>
      <c r="C654" s="109"/>
      <c r="D654" s="109"/>
      <c r="E654" s="109"/>
      <c r="F654" s="109"/>
      <c r="G654" s="109"/>
      <c r="H654" s="317"/>
      <c r="I654" s="109"/>
      <c r="J654" s="109"/>
      <c r="K654" s="109"/>
      <c r="L654" s="109"/>
      <c r="M654" s="109"/>
      <c r="N654" s="109"/>
      <c r="O654" s="109"/>
      <c r="P654" s="109"/>
      <c r="Q654" s="109"/>
      <c r="R654" s="109"/>
      <c r="S654" s="109"/>
      <c r="T654" s="109"/>
      <c r="U654" s="109"/>
      <c r="V654" s="109"/>
      <c r="W654" s="109"/>
      <c r="X654" s="109"/>
      <c r="Y654" s="109"/>
      <c r="Z654" s="109"/>
    </row>
    <row r="655" ht="29.25" customHeight="1">
      <c r="A655" s="109"/>
      <c r="B655" s="109"/>
      <c r="C655" s="109"/>
      <c r="D655" s="109"/>
      <c r="E655" s="109"/>
      <c r="F655" s="109"/>
      <c r="G655" s="109"/>
      <c r="H655" s="317"/>
      <c r="I655" s="109"/>
      <c r="J655" s="109"/>
      <c r="K655" s="109"/>
      <c r="L655" s="109"/>
      <c r="M655" s="109"/>
      <c r="N655" s="109"/>
      <c r="O655" s="109"/>
      <c r="P655" s="109"/>
      <c r="Q655" s="109"/>
      <c r="R655" s="109"/>
      <c r="S655" s="109"/>
      <c r="T655" s="109"/>
      <c r="U655" s="109"/>
      <c r="V655" s="109"/>
      <c r="W655" s="109"/>
      <c r="X655" s="109"/>
      <c r="Y655" s="109"/>
      <c r="Z655" s="109"/>
    </row>
    <row r="656" ht="29.25" customHeight="1">
      <c r="A656" s="109"/>
      <c r="B656" s="109"/>
      <c r="C656" s="109"/>
      <c r="D656" s="109"/>
      <c r="E656" s="109"/>
      <c r="F656" s="109"/>
      <c r="G656" s="109"/>
      <c r="H656" s="317"/>
      <c r="I656" s="109"/>
      <c r="J656" s="109"/>
      <c r="K656" s="109"/>
      <c r="L656" s="109"/>
      <c r="M656" s="109"/>
      <c r="N656" s="109"/>
      <c r="O656" s="109"/>
      <c r="P656" s="109"/>
      <c r="Q656" s="109"/>
      <c r="R656" s="109"/>
      <c r="S656" s="109"/>
      <c r="T656" s="109"/>
      <c r="U656" s="109"/>
      <c r="V656" s="109"/>
      <c r="W656" s="109"/>
      <c r="X656" s="109"/>
      <c r="Y656" s="109"/>
      <c r="Z656" s="109"/>
    </row>
    <row r="657" ht="29.25" customHeight="1">
      <c r="A657" s="109"/>
      <c r="B657" s="109"/>
      <c r="C657" s="109"/>
      <c r="D657" s="109"/>
      <c r="E657" s="109"/>
      <c r="F657" s="109"/>
      <c r="G657" s="109"/>
      <c r="H657" s="317"/>
      <c r="I657" s="109"/>
      <c r="J657" s="109"/>
      <c r="K657" s="109"/>
      <c r="L657" s="109"/>
      <c r="M657" s="109"/>
      <c r="N657" s="109"/>
      <c r="O657" s="109"/>
      <c r="P657" s="109"/>
      <c r="Q657" s="109"/>
      <c r="R657" s="109"/>
      <c r="S657" s="109"/>
      <c r="T657" s="109"/>
      <c r="U657" s="109"/>
      <c r="V657" s="109"/>
      <c r="W657" s="109"/>
      <c r="X657" s="109"/>
      <c r="Y657" s="109"/>
      <c r="Z657" s="109"/>
    </row>
    <row r="658" ht="29.25" customHeight="1">
      <c r="A658" s="109"/>
      <c r="B658" s="109"/>
      <c r="C658" s="109"/>
      <c r="D658" s="109"/>
      <c r="E658" s="109"/>
      <c r="F658" s="109"/>
      <c r="G658" s="109"/>
      <c r="H658" s="317"/>
      <c r="I658" s="109"/>
      <c r="J658" s="109"/>
      <c r="K658" s="109"/>
      <c r="L658" s="109"/>
      <c r="M658" s="109"/>
      <c r="N658" s="109"/>
      <c r="O658" s="109"/>
      <c r="P658" s="109"/>
      <c r="Q658" s="109"/>
      <c r="R658" s="109"/>
      <c r="S658" s="109"/>
      <c r="T658" s="109"/>
      <c r="U658" s="109"/>
      <c r="V658" s="109"/>
      <c r="W658" s="109"/>
      <c r="X658" s="109"/>
      <c r="Y658" s="109"/>
      <c r="Z658" s="109"/>
    </row>
    <row r="659" ht="29.25" customHeight="1">
      <c r="A659" s="109"/>
      <c r="B659" s="109"/>
      <c r="C659" s="109"/>
      <c r="D659" s="109"/>
      <c r="E659" s="109"/>
      <c r="F659" s="109"/>
      <c r="G659" s="109"/>
      <c r="H659" s="317"/>
      <c r="I659" s="109"/>
      <c r="J659" s="109"/>
      <c r="K659" s="109"/>
      <c r="L659" s="109"/>
      <c r="M659" s="109"/>
      <c r="N659" s="109"/>
      <c r="O659" s="109"/>
      <c r="P659" s="109"/>
      <c r="Q659" s="109"/>
      <c r="R659" s="109"/>
      <c r="S659" s="109"/>
      <c r="T659" s="109"/>
      <c r="U659" s="109"/>
      <c r="V659" s="109"/>
      <c r="W659" s="109"/>
      <c r="X659" s="109"/>
      <c r="Y659" s="109"/>
      <c r="Z659" s="109"/>
    </row>
    <row r="660" ht="29.25" customHeight="1">
      <c r="A660" s="109"/>
      <c r="B660" s="109"/>
      <c r="C660" s="109"/>
      <c r="D660" s="109"/>
      <c r="E660" s="109"/>
      <c r="F660" s="109"/>
      <c r="G660" s="109"/>
      <c r="H660" s="317"/>
      <c r="I660" s="109"/>
      <c r="J660" s="109"/>
      <c r="K660" s="109"/>
      <c r="L660" s="109"/>
      <c r="M660" s="109"/>
      <c r="N660" s="109"/>
      <c r="O660" s="109"/>
      <c r="P660" s="109"/>
      <c r="Q660" s="109"/>
      <c r="R660" s="109"/>
      <c r="S660" s="109"/>
      <c r="T660" s="109"/>
      <c r="U660" s="109"/>
      <c r="V660" s="109"/>
      <c r="W660" s="109"/>
      <c r="X660" s="109"/>
      <c r="Y660" s="109"/>
      <c r="Z660" s="109"/>
    </row>
    <row r="661" ht="29.25" customHeight="1">
      <c r="A661" s="109"/>
      <c r="B661" s="109"/>
      <c r="C661" s="109"/>
      <c r="D661" s="109"/>
      <c r="E661" s="109"/>
      <c r="F661" s="109"/>
      <c r="G661" s="109"/>
      <c r="H661" s="317"/>
      <c r="I661" s="109"/>
      <c r="J661" s="109"/>
      <c r="K661" s="109"/>
      <c r="L661" s="109"/>
      <c r="M661" s="109"/>
      <c r="N661" s="109"/>
      <c r="O661" s="109"/>
      <c r="P661" s="109"/>
      <c r="Q661" s="109"/>
      <c r="R661" s="109"/>
      <c r="S661" s="109"/>
      <c r="T661" s="109"/>
      <c r="U661" s="109"/>
      <c r="V661" s="109"/>
      <c r="W661" s="109"/>
      <c r="X661" s="109"/>
      <c r="Y661" s="109"/>
      <c r="Z661" s="109"/>
    </row>
    <row r="662" ht="29.25" customHeight="1">
      <c r="A662" s="109"/>
      <c r="B662" s="109"/>
      <c r="C662" s="109"/>
      <c r="D662" s="109"/>
      <c r="E662" s="109"/>
      <c r="F662" s="109"/>
      <c r="G662" s="109"/>
      <c r="H662" s="317"/>
      <c r="I662" s="109"/>
      <c r="J662" s="109"/>
      <c r="K662" s="109"/>
      <c r="L662" s="109"/>
      <c r="M662" s="109"/>
      <c r="N662" s="109"/>
      <c r="O662" s="109"/>
      <c r="P662" s="109"/>
      <c r="Q662" s="109"/>
      <c r="R662" s="109"/>
      <c r="S662" s="109"/>
      <c r="T662" s="109"/>
      <c r="U662" s="109"/>
      <c r="V662" s="109"/>
      <c r="W662" s="109"/>
      <c r="X662" s="109"/>
      <c r="Y662" s="109"/>
      <c r="Z662" s="109"/>
    </row>
    <row r="663" ht="29.25" customHeight="1">
      <c r="A663" s="109"/>
      <c r="B663" s="109"/>
      <c r="C663" s="109"/>
      <c r="D663" s="109"/>
      <c r="E663" s="109"/>
      <c r="F663" s="109"/>
      <c r="G663" s="109"/>
      <c r="H663" s="317"/>
      <c r="I663" s="109"/>
      <c r="J663" s="109"/>
      <c r="K663" s="109"/>
      <c r="L663" s="109"/>
      <c r="M663" s="109"/>
      <c r="N663" s="109"/>
      <c r="O663" s="109"/>
      <c r="P663" s="109"/>
      <c r="Q663" s="109"/>
      <c r="R663" s="109"/>
      <c r="S663" s="109"/>
      <c r="T663" s="109"/>
      <c r="U663" s="109"/>
      <c r="V663" s="109"/>
      <c r="W663" s="109"/>
      <c r="X663" s="109"/>
      <c r="Y663" s="109"/>
      <c r="Z663" s="109"/>
    </row>
    <row r="664" ht="29.25" customHeight="1">
      <c r="A664" s="109"/>
      <c r="B664" s="109"/>
      <c r="C664" s="109"/>
      <c r="D664" s="109"/>
      <c r="E664" s="109"/>
      <c r="F664" s="109"/>
      <c r="G664" s="109"/>
      <c r="H664" s="317"/>
      <c r="I664" s="109"/>
      <c r="J664" s="109"/>
      <c r="K664" s="109"/>
      <c r="L664" s="109"/>
      <c r="M664" s="109"/>
      <c r="N664" s="109"/>
      <c r="O664" s="109"/>
      <c r="P664" s="109"/>
      <c r="Q664" s="109"/>
      <c r="R664" s="109"/>
      <c r="S664" s="109"/>
      <c r="T664" s="109"/>
      <c r="U664" s="109"/>
      <c r="V664" s="109"/>
      <c r="W664" s="109"/>
      <c r="X664" s="109"/>
      <c r="Y664" s="109"/>
      <c r="Z664" s="109"/>
    </row>
    <row r="665" ht="29.25" customHeight="1">
      <c r="A665" s="109"/>
      <c r="B665" s="109"/>
      <c r="C665" s="109"/>
      <c r="D665" s="109"/>
      <c r="E665" s="109"/>
      <c r="F665" s="109"/>
      <c r="G665" s="109"/>
      <c r="H665" s="317"/>
      <c r="I665" s="109"/>
      <c r="J665" s="109"/>
      <c r="K665" s="109"/>
      <c r="L665" s="109"/>
      <c r="M665" s="109"/>
      <c r="N665" s="109"/>
      <c r="O665" s="109"/>
      <c r="P665" s="109"/>
      <c r="Q665" s="109"/>
      <c r="R665" s="109"/>
      <c r="S665" s="109"/>
      <c r="T665" s="109"/>
      <c r="U665" s="109"/>
      <c r="V665" s="109"/>
      <c r="W665" s="109"/>
      <c r="X665" s="109"/>
      <c r="Y665" s="109"/>
      <c r="Z665" s="109"/>
    </row>
    <row r="666" ht="29.25" customHeight="1">
      <c r="A666" s="109"/>
      <c r="B666" s="109"/>
      <c r="C666" s="109"/>
      <c r="D666" s="109"/>
      <c r="E666" s="109"/>
      <c r="F666" s="109"/>
      <c r="G666" s="109"/>
      <c r="H666" s="317"/>
      <c r="I666" s="109"/>
      <c r="J666" s="109"/>
      <c r="K666" s="109"/>
      <c r="L666" s="109"/>
      <c r="M666" s="109"/>
      <c r="N666" s="109"/>
      <c r="O666" s="109"/>
      <c r="P666" s="109"/>
      <c r="Q666" s="109"/>
      <c r="R666" s="109"/>
      <c r="S666" s="109"/>
      <c r="T666" s="109"/>
      <c r="U666" s="109"/>
      <c r="V666" s="109"/>
      <c r="W666" s="109"/>
      <c r="X666" s="109"/>
      <c r="Y666" s="109"/>
      <c r="Z666" s="109"/>
    </row>
    <row r="667" ht="29.25" customHeight="1">
      <c r="A667" s="109"/>
      <c r="B667" s="109"/>
      <c r="C667" s="109"/>
      <c r="D667" s="109"/>
      <c r="E667" s="109"/>
      <c r="F667" s="109"/>
      <c r="G667" s="109"/>
      <c r="H667" s="317"/>
      <c r="I667" s="109"/>
      <c r="J667" s="109"/>
      <c r="K667" s="109"/>
      <c r="L667" s="109"/>
      <c r="M667" s="109"/>
      <c r="N667" s="109"/>
      <c r="O667" s="109"/>
      <c r="P667" s="109"/>
      <c r="Q667" s="109"/>
      <c r="R667" s="109"/>
      <c r="S667" s="109"/>
      <c r="T667" s="109"/>
      <c r="U667" s="109"/>
      <c r="V667" s="109"/>
      <c r="W667" s="109"/>
      <c r="X667" s="109"/>
      <c r="Y667" s="109"/>
      <c r="Z667" s="109"/>
    </row>
    <row r="668" ht="29.25" customHeight="1">
      <c r="A668" s="109"/>
      <c r="B668" s="109"/>
      <c r="C668" s="109"/>
      <c r="D668" s="109"/>
      <c r="E668" s="109"/>
      <c r="F668" s="109"/>
      <c r="G668" s="109"/>
      <c r="H668" s="317"/>
      <c r="I668" s="109"/>
      <c r="J668" s="109"/>
      <c r="K668" s="109"/>
      <c r="L668" s="109"/>
      <c r="M668" s="109"/>
      <c r="N668" s="109"/>
      <c r="O668" s="109"/>
      <c r="P668" s="109"/>
      <c r="Q668" s="109"/>
      <c r="R668" s="109"/>
      <c r="S668" s="109"/>
      <c r="T668" s="109"/>
      <c r="U668" s="109"/>
      <c r="V668" s="109"/>
      <c r="W668" s="109"/>
      <c r="X668" s="109"/>
      <c r="Y668" s="109"/>
      <c r="Z668" s="109"/>
    </row>
    <row r="669" ht="29.25" customHeight="1">
      <c r="A669" s="109"/>
      <c r="B669" s="109"/>
      <c r="C669" s="109"/>
      <c r="D669" s="109"/>
      <c r="E669" s="109"/>
      <c r="F669" s="109"/>
      <c r="G669" s="109"/>
      <c r="H669" s="317"/>
      <c r="I669" s="109"/>
      <c r="J669" s="109"/>
      <c r="K669" s="109"/>
      <c r="L669" s="109"/>
      <c r="M669" s="109"/>
      <c r="N669" s="109"/>
      <c r="O669" s="109"/>
      <c r="P669" s="109"/>
      <c r="Q669" s="109"/>
      <c r="R669" s="109"/>
      <c r="S669" s="109"/>
      <c r="T669" s="109"/>
      <c r="U669" s="109"/>
      <c r="V669" s="109"/>
      <c r="W669" s="109"/>
      <c r="X669" s="109"/>
      <c r="Y669" s="109"/>
      <c r="Z669" s="109"/>
    </row>
    <row r="670" ht="29.25" customHeight="1">
      <c r="A670" s="109"/>
      <c r="B670" s="109"/>
      <c r="C670" s="109"/>
      <c r="D670" s="109"/>
      <c r="E670" s="109"/>
      <c r="F670" s="109"/>
      <c r="G670" s="109"/>
      <c r="H670" s="317"/>
      <c r="I670" s="109"/>
      <c r="J670" s="109"/>
      <c r="K670" s="109"/>
      <c r="L670" s="109"/>
      <c r="M670" s="109"/>
      <c r="N670" s="109"/>
      <c r="O670" s="109"/>
      <c r="P670" s="109"/>
      <c r="Q670" s="109"/>
      <c r="R670" s="109"/>
      <c r="S670" s="109"/>
      <c r="T670" s="109"/>
      <c r="U670" s="109"/>
      <c r="V670" s="109"/>
      <c r="W670" s="109"/>
      <c r="X670" s="109"/>
      <c r="Y670" s="109"/>
      <c r="Z670" s="109"/>
    </row>
    <row r="671" ht="29.25" customHeight="1">
      <c r="A671" s="109"/>
      <c r="B671" s="109"/>
      <c r="C671" s="109"/>
      <c r="D671" s="109"/>
      <c r="E671" s="109"/>
      <c r="F671" s="109"/>
      <c r="G671" s="109"/>
      <c r="H671" s="317"/>
      <c r="I671" s="109"/>
      <c r="J671" s="109"/>
      <c r="K671" s="109"/>
      <c r="L671" s="109"/>
      <c r="M671" s="109"/>
      <c r="N671" s="109"/>
      <c r="O671" s="109"/>
      <c r="P671" s="109"/>
      <c r="Q671" s="109"/>
      <c r="R671" s="109"/>
      <c r="S671" s="109"/>
      <c r="T671" s="109"/>
      <c r="U671" s="109"/>
      <c r="V671" s="109"/>
      <c r="W671" s="109"/>
      <c r="X671" s="109"/>
      <c r="Y671" s="109"/>
      <c r="Z671" s="109"/>
    </row>
    <row r="672" ht="29.25" customHeight="1">
      <c r="A672" s="109"/>
      <c r="B672" s="109"/>
      <c r="C672" s="109"/>
      <c r="D672" s="109"/>
      <c r="E672" s="109"/>
      <c r="F672" s="109"/>
      <c r="G672" s="109"/>
      <c r="H672" s="317"/>
      <c r="I672" s="109"/>
      <c r="J672" s="109"/>
      <c r="K672" s="109"/>
      <c r="L672" s="109"/>
      <c r="M672" s="109"/>
      <c r="N672" s="109"/>
      <c r="O672" s="109"/>
      <c r="P672" s="109"/>
      <c r="Q672" s="109"/>
      <c r="R672" s="109"/>
      <c r="S672" s="109"/>
      <c r="T672" s="109"/>
      <c r="U672" s="109"/>
      <c r="V672" s="109"/>
      <c r="W672" s="109"/>
      <c r="X672" s="109"/>
      <c r="Y672" s="109"/>
      <c r="Z672" s="109"/>
    </row>
    <row r="673" ht="29.25" customHeight="1">
      <c r="A673" s="109"/>
      <c r="B673" s="109"/>
      <c r="C673" s="109"/>
      <c r="D673" s="109"/>
      <c r="E673" s="109"/>
      <c r="F673" s="109"/>
      <c r="G673" s="109"/>
      <c r="H673" s="317"/>
      <c r="I673" s="109"/>
      <c r="J673" s="109"/>
      <c r="K673" s="109"/>
      <c r="L673" s="109"/>
      <c r="M673" s="109"/>
      <c r="N673" s="109"/>
      <c r="O673" s="109"/>
      <c r="P673" s="109"/>
      <c r="Q673" s="109"/>
      <c r="R673" s="109"/>
      <c r="S673" s="109"/>
      <c r="T673" s="109"/>
      <c r="U673" s="109"/>
      <c r="V673" s="109"/>
      <c r="W673" s="109"/>
      <c r="X673" s="109"/>
      <c r="Y673" s="109"/>
      <c r="Z673" s="109"/>
    </row>
    <row r="674" ht="29.25" customHeight="1">
      <c r="A674" s="109"/>
      <c r="B674" s="109"/>
      <c r="C674" s="109"/>
      <c r="D674" s="109"/>
      <c r="E674" s="109"/>
      <c r="F674" s="109"/>
      <c r="G674" s="109"/>
      <c r="H674" s="317"/>
      <c r="I674" s="109"/>
      <c r="J674" s="109"/>
      <c r="K674" s="109"/>
      <c r="L674" s="109"/>
      <c r="M674" s="109"/>
      <c r="N674" s="109"/>
      <c r="O674" s="109"/>
      <c r="P674" s="109"/>
      <c r="Q674" s="109"/>
      <c r="R674" s="109"/>
      <c r="S674" s="109"/>
      <c r="T674" s="109"/>
      <c r="U674" s="109"/>
      <c r="V674" s="109"/>
      <c r="W674" s="109"/>
      <c r="X674" s="109"/>
      <c r="Y674" s="109"/>
      <c r="Z674" s="109"/>
    </row>
    <row r="675" ht="29.25" customHeight="1">
      <c r="A675" s="109"/>
      <c r="B675" s="109"/>
      <c r="C675" s="109"/>
      <c r="D675" s="109"/>
      <c r="E675" s="109"/>
      <c r="F675" s="109"/>
      <c r="G675" s="109"/>
      <c r="H675" s="317"/>
      <c r="I675" s="109"/>
      <c r="J675" s="109"/>
      <c r="K675" s="109"/>
      <c r="L675" s="109"/>
      <c r="M675" s="109"/>
      <c r="N675" s="109"/>
      <c r="O675" s="109"/>
      <c r="P675" s="109"/>
      <c r="Q675" s="109"/>
      <c r="R675" s="109"/>
      <c r="S675" s="109"/>
      <c r="T675" s="109"/>
      <c r="U675" s="109"/>
      <c r="V675" s="109"/>
      <c r="W675" s="109"/>
      <c r="X675" s="109"/>
      <c r="Y675" s="109"/>
      <c r="Z675" s="109"/>
    </row>
    <row r="676" ht="29.25" customHeight="1">
      <c r="A676" s="109"/>
      <c r="B676" s="109"/>
      <c r="C676" s="109"/>
      <c r="D676" s="109"/>
      <c r="E676" s="109"/>
      <c r="F676" s="109"/>
      <c r="G676" s="109"/>
      <c r="H676" s="317"/>
      <c r="I676" s="109"/>
      <c r="J676" s="109"/>
      <c r="K676" s="109"/>
      <c r="L676" s="109"/>
      <c r="M676" s="109"/>
      <c r="N676" s="109"/>
      <c r="O676" s="109"/>
      <c r="P676" s="109"/>
      <c r="Q676" s="109"/>
      <c r="R676" s="109"/>
      <c r="S676" s="109"/>
      <c r="T676" s="109"/>
      <c r="U676" s="109"/>
      <c r="V676" s="109"/>
      <c r="W676" s="109"/>
      <c r="X676" s="109"/>
      <c r="Y676" s="109"/>
      <c r="Z676" s="109"/>
    </row>
    <row r="677" ht="29.25" customHeight="1">
      <c r="A677" s="109"/>
      <c r="B677" s="109"/>
      <c r="C677" s="109"/>
      <c r="D677" s="109"/>
      <c r="E677" s="109"/>
      <c r="F677" s="109"/>
      <c r="G677" s="109"/>
      <c r="H677" s="317"/>
      <c r="I677" s="109"/>
      <c r="J677" s="109"/>
      <c r="K677" s="109"/>
      <c r="L677" s="109"/>
      <c r="M677" s="109"/>
      <c r="N677" s="109"/>
      <c r="O677" s="109"/>
      <c r="P677" s="109"/>
      <c r="Q677" s="109"/>
      <c r="R677" s="109"/>
      <c r="S677" s="109"/>
      <c r="T677" s="109"/>
      <c r="U677" s="109"/>
      <c r="V677" s="109"/>
      <c r="W677" s="109"/>
      <c r="X677" s="109"/>
      <c r="Y677" s="109"/>
      <c r="Z677" s="109"/>
    </row>
    <row r="678" ht="29.25" customHeight="1">
      <c r="A678" s="109"/>
      <c r="B678" s="109"/>
      <c r="C678" s="109"/>
      <c r="D678" s="109"/>
      <c r="E678" s="109"/>
      <c r="F678" s="109"/>
      <c r="G678" s="109"/>
      <c r="H678" s="317"/>
      <c r="I678" s="109"/>
      <c r="J678" s="109"/>
      <c r="K678" s="109"/>
      <c r="L678" s="109"/>
      <c r="M678" s="109"/>
      <c r="N678" s="109"/>
      <c r="O678" s="109"/>
      <c r="P678" s="109"/>
      <c r="Q678" s="109"/>
      <c r="R678" s="109"/>
      <c r="S678" s="109"/>
      <c r="T678" s="109"/>
      <c r="U678" s="109"/>
      <c r="V678" s="109"/>
      <c r="W678" s="109"/>
      <c r="X678" s="109"/>
      <c r="Y678" s="109"/>
      <c r="Z678" s="109"/>
    </row>
    <row r="679" ht="29.25" customHeight="1">
      <c r="A679" s="109"/>
      <c r="B679" s="109"/>
      <c r="C679" s="109"/>
      <c r="D679" s="109"/>
      <c r="E679" s="109"/>
      <c r="F679" s="109"/>
      <c r="G679" s="109"/>
      <c r="H679" s="317"/>
      <c r="I679" s="109"/>
      <c r="J679" s="109"/>
      <c r="K679" s="109"/>
      <c r="L679" s="109"/>
      <c r="M679" s="109"/>
      <c r="N679" s="109"/>
      <c r="O679" s="109"/>
      <c r="P679" s="109"/>
      <c r="Q679" s="109"/>
      <c r="R679" s="109"/>
      <c r="S679" s="109"/>
      <c r="T679" s="109"/>
      <c r="U679" s="109"/>
      <c r="V679" s="109"/>
      <c r="W679" s="109"/>
      <c r="X679" s="109"/>
      <c r="Y679" s="109"/>
      <c r="Z679" s="109"/>
    </row>
    <row r="680" ht="29.25" customHeight="1">
      <c r="A680" s="109"/>
      <c r="B680" s="109"/>
      <c r="C680" s="109"/>
      <c r="D680" s="109"/>
      <c r="E680" s="109"/>
      <c r="F680" s="109"/>
      <c r="G680" s="109"/>
      <c r="H680" s="317"/>
      <c r="I680" s="109"/>
      <c r="J680" s="109"/>
      <c r="K680" s="109"/>
      <c r="L680" s="109"/>
      <c r="M680" s="109"/>
      <c r="N680" s="109"/>
      <c r="O680" s="109"/>
      <c r="P680" s="109"/>
      <c r="Q680" s="109"/>
      <c r="R680" s="109"/>
      <c r="S680" s="109"/>
      <c r="T680" s="109"/>
      <c r="U680" s="109"/>
      <c r="V680" s="109"/>
      <c r="W680" s="109"/>
      <c r="X680" s="109"/>
      <c r="Y680" s="109"/>
      <c r="Z680" s="109"/>
    </row>
    <row r="681" ht="29.25" customHeight="1">
      <c r="A681" s="109"/>
      <c r="B681" s="109"/>
      <c r="C681" s="109"/>
      <c r="D681" s="109"/>
      <c r="E681" s="109"/>
      <c r="F681" s="109"/>
      <c r="G681" s="109"/>
      <c r="H681" s="317"/>
      <c r="I681" s="109"/>
      <c r="J681" s="109"/>
      <c r="K681" s="109"/>
      <c r="L681" s="109"/>
      <c r="M681" s="109"/>
      <c r="N681" s="109"/>
      <c r="O681" s="109"/>
      <c r="P681" s="109"/>
      <c r="Q681" s="109"/>
      <c r="R681" s="109"/>
      <c r="S681" s="109"/>
      <c r="T681" s="109"/>
      <c r="U681" s="109"/>
      <c r="V681" s="109"/>
      <c r="W681" s="109"/>
      <c r="X681" s="109"/>
      <c r="Y681" s="109"/>
      <c r="Z681" s="109"/>
    </row>
    <row r="682" ht="29.25" customHeight="1">
      <c r="A682" s="109"/>
      <c r="B682" s="109"/>
      <c r="C682" s="109"/>
      <c r="D682" s="109"/>
      <c r="E682" s="109"/>
      <c r="F682" s="109"/>
      <c r="G682" s="109"/>
      <c r="H682" s="317"/>
      <c r="I682" s="109"/>
      <c r="J682" s="109"/>
      <c r="K682" s="109"/>
      <c r="L682" s="109"/>
      <c r="M682" s="109"/>
      <c r="N682" s="109"/>
      <c r="O682" s="109"/>
      <c r="P682" s="109"/>
      <c r="Q682" s="109"/>
      <c r="R682" s="109"/>
      <c r="S682" s="109"/>
      <c r="T682" s="109"/>
      <c r="U682" s="109"/>
      <c r="V682" s="109"/>
      <c r="W682" s="109"/>
      <c r="X682" s="109"/>
      <c r="Y682" s="109"/>
      <c r="Z682" s="109"/>
    </row>
    <row r="683" ht="29.25" customHeight="1">
      <c r="A683" s="109"/>
      <c r="B683" s="109"/>
      <c r="C683" s="109"/>
      <c r="D683" s="109"/>
      <c r="E683" s="109"/>
      <c r="F683" s="109"/>
      <c r="G683" s="109"/>
      <c r="H683" s="317"/>
      <c r="I683" s="109"/>
      <c r="J683" s="109"/>
      <c r="K683" s="109"/>
      <c r="L683" s="109"/>
      <c r="M683" s="109"/>
      <c r="N683" s="109"/>
      <c r="O683" s="109"/>
      <c r="P683" s="109"/>
      <c r="Q683" s="109"/>
      <c r="R683" s="109"/>
      <c r="S683" s="109"/>
      <c r="T683" s="109"/>
      <c r="U683" s="109"/>
      <c r="V683" s="109"/>
      <c r="W683" s="109"/>
      <c r="X683" s="109"/>
      <c r="Y683" s="109"/>
      <c r="Z683" s="109"/>
    </row>
    <row r="684" ht="29.25" customHeight="1">
      <c r="A684" s="109"/>
      <c r="B684" s="109"/>
      <c r="C684" s="109"/>
      <c r="D684" s="109"/>
      <c r="E684" s="109"/>
      <c r="F684" s="109"/>
      <c r="G684" s="109"/>
      <c r="H684" s="317"/>
      <c r="I684" s="109"/>
      <c r="J684" s="109"/>
      <c r="K684" s="109"/>
      <c r="L684" s="109"/>
      <c r="M684" s="109"/>
      <c r="N684" s="109"/>
      <c r="O684" s="109"/>
      <c r="P684" s="109"/>
      <c r="Q684" s="109"/>
      <c r="R684" s="109"/>
      <c r="S684" s="109"/>
      <c r="T684" s="109"/>
      <c r="U684" s="109"/>
      <c r="V684" s="109"/>
      <c r="W684" s="109"/>
      <c r="X684" s="109"/>
      <c r="Y684" s="109"/>
      <c r="Z684" s="109"/>
    </row>
    <row r="685" ht="29.25" customHeight="1">
      <c r="A685" s="109"/>
      <c r="B685" s="109"/>
      <c r="C685" s="109"/>
      <c r="D685" s="109"/>
      <c r="E685" s="109"/>
      <c r="F685" s="109"/>
      <c r="G685" s="109"/>
      <c r="H685" s="317"/>
      <c r="I685" s="109"/>
      <c r="J685" s="109"/>
      <c r="K685" s="109"/>
      <c r="L685" s="109"/>
      <c r="M685" s="109"/>
      <c r="N685" s="109"/>
      <c r="O685" s="109"/>
      <c r="P685" s="109"/>
      <c r="Q685" s="109"/>
      <c r="R685" s="109"/>
      <c r="S685" s="109"/>
      <c r="T685" s="109"/>
      <c r="U685" s="109"/>
      <c r="V685" s="109"/>
      <c r="W685" s="109"/>
      <c r="X685" s="109"/>
      <c r="Y685" s="109"/>
      <c r="Z685" s="109"/>
    </row>
    <row r="686" ht="29.25" customHeight="1">
      <c r="A686" s="109"/>
      <c r="B686" s="109"/>
      <c r="C686" s="109"/>
      <c r="D686" s="109"/>
      <c r="E686" s="109"/>
      <c r="F686" s="109"/>
      <c r="G686" s="109"/>
      <c r="H686" s="317"/>
      <c r="I686" s="109"/>
      <c r="J686" s="109"/>
      <c r="K686" s="109"/>
      <c r="L686" s="109"/>
      <c r="M686" s="109"/>
      <c r="N686" s="109"/>
      <c r="O686" s="109"/>
      <c r="P686" s="109"/>
      <c r="Q686" s="109"/>
      <c r="R686" s="109"/>
      <c r="S686" s="109"/>
      <c r="T686" s="109"/>
      <c r="U686" s="109"/>
      <c r="V686" s="109"/>
      <c r="W686" s="109"/>
      <c r="X686" s="109"/>
      <c r="Y686" s="109"/>
      <c r="Z686" s="109"/>
    </row>
    <row r="687" ht="29.25" customHeight="1">
      <c r="A687" s="109"/>
      <c r="B687" s="109"/>
      <c r="C687" s="109"/>
      <c r="D687" s="109"/>
      <c r="E687" s="109"/>
      <c r="F687" s="109"/>
      <c r="G687" s="109"/>
      <c r="H687" s="317"/>
      <c r="I687" s="109"/>
      <c r="J687" s="109"/>
      <c r="K687" s="109"/>
      <c r="L687" s="109"/>
      <c r="M687" s="109"/>
      <c r="N687" s="109"/>
      <c r="O687" s="109"/>
      <c r="P687" s="109"/>
      <c r="Q687" s="109"/>
      <c r="R687" s="109"/>
      <c r="S687" s="109"/>
      <c r="T687" s="109"/>
      <c r="U687" s="109"/>
      <c r="V687" s="109"/>
      <c r="W687" s="109"/>
      <c r="X687" s="109"/>
      <c r="Y687" s="109"/>
      <c r="Z687" s="109"/>
    </row>
    <row r="688" ht="29.25" customHeight="1">
      <c r="A688" s="109"/>
      <c r="B688" s="109"/>
      <c r="C688" s="109"/>
      <c r="D688" s="109"/>
      <c r="E688" s="109"/>
      <c r="F688" s="109"/>
      <c r="G688" s="109"/>
      <c r="H688" s="317"/>
      <c r="I688" s="109"/>
      <c r="J688" s="109"/>
      <c r="K688" s="109"/>
      <c r="L688" s="109"/>
      <c r="M688" s="109"/>
      <c r="N688" s="109"/>
      <c r="O688" s="109"/>
      <c r="P688" s="109"/>
      <c r="Q688" s="109"/>
      <c r="R688" s="109"/>
      <c r="S688" s="109"/>
      <c r="T688" s="109"/>
      <c r="U688" s="109"/>
      <c r="V688" s="109"/>
      <c r="W688" s="109"/>
      <c r="X688" s="109"/>
      <c r="Y688" s="109"/>
      <c r="Z688" s="109"/>
    </row>
    <row r="689" ht="29.25" customHeight="1">
      <c r="A689" s="109"/>
      <c r="B689" s="109"/>
      <c r="C689" s="109"/>
      <c r="D689" s="109"/>
      <c r="E689" s="109"/>
      <c r="F689" s="109"/>
      <c r="G689" s="109"/>
      <c r="H689" s="317"/>
      <c r="I689" s="109"/>
      <c r="J689" s="109"/>
      <c r="K689" s="109"/>
      <c r="L689" s="109"/>
      <c r="M689" s="109"/>
      <c r="N689" s="109"/>
      <c r="O689" s="109"/>
      <c r="P689" s="109"/>
      <c r="Q689" s="109"/>
      <c r="R689" s="109"/>
      <c r="S689" s="109"/>
      <c r="T689" s="109"/>
      <c r="U689" s="109"/>
      <c r="V689" s="109"/>
      <c r="W689" s="109"/>
      <c r="X689" s="109"/>
      <c r="Y689" s="109"/>
      <c r="Z689" s="109"/>
    </row>
    <row r="690" ht="29.25" customHeight="1">
      <c r="A690" s="109"/>
      <c r="B690" s="109"/>
      <c r="C690" s="109"/>
      <c r="D690" s="109"/>
      <c r="E690" s="109"/>
      <c r="F690" s="109"/>
      <c r="G690" s="109"/>
      <c r="H690" s="317"/>
      <c r="I690" s="109"/>
      <c r="J690" s="109"/>
      <c r="K690" s="109"/>
      <c r="L690" s="109"/>
      <c r="M690" s="109"/>
      <c r="N690" s="109"/>
      <c r="O690" s="109"/>
      <c r="P690" s="109"/>
      <c r="Q690" s="109"/>
      <c r="R690" s="109"/>
      <c r="S690" s="109"/>
      <c r="T690" s="109"/>
      <c r="U690" s="109"/>
      <c r="V690" s="109"/>
      <c r="W690" s="109"/>
      <c r="X690" s="109"/>
      <c r="Y690" s="109"/>
      <c r="Z690" s="109"/>
    </row>
    <row r="691" ht="29.25" customHeight="1">
      <c r="A691" s="109"/>
      <c r="B691" s="109"/>
      <c r="C691" s="109"/>
      <c r="D691" s="109"/>
      <c r="E691" s="109"/>
      <c r="F691" s="109"/>
      <c r="G691" s="109"/>
      <c r="H691" s="317"/>
      <c r="I691" s="109"/>
      <c r="J691" s="109"/>
      <c r="K691" s="109"/>
      <c r="L691" s="109"/>
      <c r="M691" s="109"/>
      <c r="N691" s="109"/>
      <c r="O691" s="109"/>
      <c r="P691" s="109"/>
      <c r="Q691" s="109"/>
      <c r="R691" s="109"/>
      <c r="S691" s="109"/>
      <c r="T691" s="109"/>
      <c r="U691" s="109"/>
      <c r="V691" s="109"/>
      <c r="W691" s="109"/>
      <c r="X691" s="109"/>
      <c r="Y691" s="109"/>
      <c r="Z691" s="109"/>
    </row>
    <row r="692" ht="29.25" customHeight="1">
      <c r="A692" s="109"/>
      <c r="B692" s="109"/>
      <c r="C692" s="109"/>
      <c r="D692" s="109"/>
      <c r="E692" s="109"/>
      <c r="F692" s="109"/>
      <c r="G692" s="109"/>
      <c r="H692" s="317"/>
      <c r="I692" s="109"/>
      <c r="J692" s="109"/>
      <c r="K692" s="109"/>
      <c r="L692" s="109"/>
      <c r="M692" s="109"/>
      <c r="N692" s="109"/>
      <c r="O692" s="109"/>
      <c r="P692" s="109"/>
      <c r="Q692" s="109"/>
      <c r="R692" s="109"/>
      <c r="S692" s="109"/>
      <c r="T692" s="109"/>
      <c r="U692" s="109"/>
      <c r="V692" s="109"/>
      <c r="W692" s="109"/>
      <c r="X692" s="109"/>
      <c r="Y692" s="109"/>
      <c r="Z692" s="109"/>
    </row>
    <row r="693" ht="29.25" customHeight="1">
      <c r="A693" s="109"/>
      <c r="B693" s="109"/>
      <c r="C693" s="109"/>
      <c r="D693" s="109"/>
      <c r="E693" s="109"/>
      <c r="F693" s="109"/>
      <c r="G693" s="109"/>
      <c r="H693" s="317"/>
      <c r="I693" s="109"/>
      <c r="J693" s="109"/>
      <c r="K693" s="109"/>
      <c r="L693" s="109"/>
      <c r="M693" s="109"/>
      <c r="N693" s="109"/>
      <c r="O693" s="109"/>
      <c r="P693" s="109"/>
      <c r="Q693" s="109"/>
      <c r="R693" s="109"/>
      <c r="S693" s="109"/>
      <c r="T693" s="109"/>
      <c r="U693" s="109"/>
      <c r="V693" s="109"/>
      <c r="W693" s="109"/>
      <c r="X693" s="109"/>
      <c r="Y693" s="109"/>
      <c r="Z693" s="109"/>
    </row>
    <row r="694" ht="29.25" customHeight="1">
      <c r="A694" s="109"/>
      <c r="B694" s="109"/>
      <c r="C694" s="109"/>
      <c r="D694" s="109"/>
      <c r="E694" s="109"/>
      <c r="F694" s="109"/>
      <c r="G694" s="109"/>
      <c r="H694" s="317"/>
      <c r="I694" s="109"/>
      <c r="J694" s="109"/>
      <c r="K694" s="109"/>
      <c r="L694" s="109"/>
      <c r="M694" s="109"/>
      <c r="N694" s="109"/>
      <c r="O694" s="109"/>
      <c r="P694" s="109"/>
      <c r="Q694" s="109"/>
      <c r="R694" s="109"/>
      <c r="S694" s="109"/>
      <c r="T694" s="109"/>
      <c r="U694" s="109"/>
      <c r="V694" s="109"/>
      <c r="W694" s="109"/>
      <c r="X694" s="109"/>
      <c r="Y694" s="109"/>
      <c r="Z694" s="109"/>
    </row>
    <row r="695" ht="29.25" customHeight="1">
      <c r="A695" s="109"/>
      <c r="B695" s="109"/>
      <c r="C695" s="109"/>
      <c r="D695" s="109"/>
      <c r="E695" s="109"/>
      <c r="F695" s="109"/>
      <c r="G695" s="109"/>
      <c r="H695" s="317"/>
      <c r="I695" s="109"/>
      <c r="J695" s="109"/>
      <c r="K695" s="109"/>
      <c r="L695" s="109"/>
      <c r="M695" s="109"/>
      <c r="N695" s="109"/>
      <c r="O695" s="109"/>
      <c r="P695" s="109"/>
      <c r="Q695" s="109"/>
      <c r="R695" s="109"/>
      <c r="S695" s="109"/>
      <c r="T695" s="109"/>
      <c r="U695" s="109"/>
      <c r="V695" s="109"/>
      <c r="W695" s="109"/>
      <c r="X695" s="109"/>
      <c r="Y695" s="109"/>
      <c r="Z695" s="109"/>
    </row>
    <row r="696" ht="29.25" customHeight="1">
      <c r="A696" s="109"/>
      <c r="B696" s="109"/>
      <c r="C696" s="109"/>
      <c r="D696" s="109"/>
      <c r="E696" s="109"/>
      <c r="F696" s="109"/>
      <c r="G696" s="109"/>
      <c r="H696" s="317"/>
      <c r="I696" s="109"/>
      <c r="J696" s="109"/>
      <c r="K696" s="109"/>
      <c r="L696" s="109"/>
      <c r="M696" s="109"/>
      <c r="N696" s="109"/>
      <c r="O696" s="109"/>
      <c r="P696" s="109"/>
      <c r="Q696" s="109"/>
      <c r="R696" s="109"/>
      <c r="S696" s="109"/>
      <c r="T696" s="109"/>
      <c r="U696" s="109"/>
      <c r="V696" s="109"/>
      <c r="W696" s="109"/>
      <c r="X696" s="109"/>
      <c r="Y696" s="109"/>
      <c r="Z696" s="109"/>
    </row>
    <row r="697" ht="29.25" customHeight="1">
      <c r="A697" s="109"/>
      <c r="B697" s="109"/>
      <c r="C697" s="109"/>
      <c r="D697" s="109"/>
      <c r="E697" s="109"/>
      <c r="F697" s="109"/>
      <c r="G697" s="109"/>
      <c r="H697" s="317"/>
      <c r="I697" s="109"/>
      <c r="J697" s="109"/>
      <c r="K697" s="109"/>
      <c r="L697" s="109"/>
      <c r="M697" s="109"/>
      <c r="N697" s="109"/>
      <c r="O697" s="109"/>
      <c r="P697" s="109"/>
      <c r="Q697" s="109"/>
      <c r="R697" s="109"/>
      <c r="S697" s="109"/>
      <c r="T697" s="109"/>
      <c r="U697" s="109"/>
      <c r="V697" s="109"/>
      <c r="W697" s="109"/>
      <c r="X697" s="109"/>
      <c r="Y697" s="109"/>
      <c r="Z697" s="109"/>
    </row>
    <row r="698" ht="29.25" customHeight="1">
      <c r="A698" s="109"/>
      <c r="B698" s="109"/>
      <c r="C698" s="109"/>
      <c r="D698" s="109"/>
      <c r="E698" s="109"/>
      <c r="F698" s="109"/>
      <c r="G698" s="109"/>
      <c r="H698" s="317"/>
      <c r="I698" s="109"/>
      <c r="J698" s="109"/>
      <c r="K698" s="109"/>
      <c r="L698" s="109"/>
      <c r="M698" s="109"/>
      <c r="N698" s="109"/>
      <c r="O698" s="109"/>
      <c r="P698" s="109"/>
      <c r="Q698" s="109"/>
      <c r="R698" s="109"/>
      <c r="S698" s="109"/>
      <c r="T698" s="109"/>
      <c r="U698" s="109"/>
      <c r="V698" s="109"/>
      <c r="W698" s="109"/>
      <c r="X698" s="109"/>
      <c r="Y698" s="109"/>
      <c r="Z698" s="109"/>
    </row>
    <row r="699" ht="29.25" customHeight="1">
      <c r="A699" s="109"/>
      <c r="B699" s="109"/>
      <c r="C699" s="109"/>
      <c r="D699" s="109"/>
      <c r="E699" s="109"/>
      <c r="F699" s="109"/>
      <c r="G699" s="109"/>
      <c r="H699" s="317"/>
      <c r="I699" s="109"/>
      <c r="J699" s="109"/>
      <c r="K699" s="109"/>
      <c r="L699" s="109"/>
      <c r="M699" s="109"/>
      <c r="N699" s="109"/>
      <c r="O699" s="109"/>
      <c r="P699" s="109"/>
      <c r="Q699" s="109"/>
      <c r="R699" s="109"/>
      <c r="S699" s="109"/>
      <c r="T699" s="109"/>
      <c r="U699" s="109"/>
      <c r="V699" s="109"/>
      <c r="W699" s="109"/>
      <c r="X699" s="109"/>
      <c r="Y699" s="109"/>
      <c r="Z699" s="109"/>
    </row>
    <row r="700" ht="29.25" customHeight="1">
      <c r="A700" s="109"/>
      <c r="B700" s="109"/>
      <c r="C700" s="109"/>
      <c r="D700" s="109"/>
      <c r="E700" s="109"/>
      <c r="F700" s="109"/>
      <c r="G700" s="109"/>
      <c r="H700" s="317"/>
      <c r="I700" s="109"/>
      <c r="J700" s="109"/>
      <c r="K700" s="109"/>
      <c r="L700" s="109"/>
      <c r="M700" s="109"/>
      <c r="N700" s="109"/>
      <c r="O700" s="109"/>
      <c r="P700" s="109"/>
      <c r="Q700" s="109"/>
      <c r="R700" s="109"/>
      <c r="S700" s="109"/>
      <c r="T700" s="109"/>
      <c r="U700" s="109"/>
      <c r="V700" s="109"/>
      <c r="W700" s="109"/>
      <c r="X700" s="109"/>
      <c r="Y700" s="109"/>
      <c r="Z700" s="109"/>
    </row>
    <row r="701" ht="29.25" customHeight="1">
      <c r="A701" s="109"/>
      <c r="B701" s="109"/>
      <c r="C701" s="109"/>
      <c r="D701" s="109"/>
      <c r="E701" s="109"/>
      <c r="F701" s="109"/>
      <c r="G701" s="109"/>
      <c r="H701" s="317"/>
      <c r="I701" s="109"/>
      <c r="J701" s="109"/>
      <c r="K701" s="109"/>
      <c r="L701" s="109"/>
      <c r="M701" s="109"/>
      <c r="N701" s="109"/>
      <c r="O701" s="109"/>
      <c r="P701" s="109"/>
      <c r="Q701" s="109"/>
      <c r="R701" s="109"/>
      <c r="S701" s="109"/>
      <c r="T701" s="109"/>
      <c r="U701" s="109"/>
      <c r="V701" s="109"/>
      <c r="W701" s="109"/>
      <c r="X701" s="109"/>
      <c r="Y701" s="109"/>
      <c r="Z701" s="109"/>
    </row>
    <row r="702" ht="29.25" customHeight="1">
      <c r="A702" s="109"/>
      <c r="B702" s="109"/>
      <c r="C702" s="109"/>
      <c r="D702" s="109"/>
      <c r="E702" s="109"/>
      <c r="F702" s="109"/>
      <c r="G702" s="109"/>
      <c r="H702" s="317"/>
      <c r="I702" s="109"/>
      <c r="J702" s="109"/>
      <c r="K702" s="109"/>
      <c r="L702" s="109"/>
      <c r="M702" s="109"/>
      <c r="N702" s="109"/>
      <c r="O702" s="109"/>
      <c r="P702" s="109"/>
      <c r="Q702" s="109"/>
      <c r="R702" s="109"/>
      <c r="S702" s="109"/>
      <c r="T702" s="109"/>
      <c r="U702" s="109"/>
      <c r="V702" s="109"/>
      <c r="W702" s="109"/>
      <c r="X702" s="109"/>
      <c r="Y702" s="109"/>
      <c r="Z702" s="109"/>
    </row>
    <row r="703" ht="29.25" customHeight="1">
      <c r="A703" s="109"/>
      <c r="B703" s="109"/>
      <c r="C703" s="109"/>
      <c r="D703" s="109"/>
      <c r="E703" s="109"/>
      <c r="F703" s="109"/>
      <c r="G703" s="109"/>
      <c r="H703" s="317"/>
      <c r="I703" s="109"/>
      <c r="J703" s="109"/>
      <c r="K703" s="109"/>
      <c r="L703" s="109"/>
      <c r="M703" s="109"/>
      <c r="N703" s="109"/>
      <c r="O703" s="109"/>
      <c r="P703" s="109"/>
      <c r="Q703" s="109"/>
      <c r="R703" s="109"/>
      <c r="S703" s="109"/>
      <c r="T703" s="109"/>
      <c r="U703" s="109"/>
      <c r="V703" s="109"/>
      <c r="W703" s="109"/>
      <c r="X703" s="109"/>
      <c r="Y703" s="109"/>
      <c r="Z703" s="109"/>
    </row>
    <row r="704" ht="29.25" customHeight="1">
      <c r="A704" s="109"/>
      <c r="B704" s="109"/>
      <c r="C704" s="109"/>
      <c r="D704" s="109"/>
      <c r="E704" s="109"/>
      <c r="F704" s="109"/>
      <c r="G704" s="109"/>
      <c r="H704" s="317"/>
      <c r="I704" s="109"/>
      <c r="J704" s="109"/>
      <c r="K704" s="109"/>
      <c r="L704" s="109"/>
      <c r="M704" s="109"/>
      <c r="N704" s="109"/>
      <c r="O704" s="109"/>
      <c r="P704" s="109"/>
      <c r="Q704" s="109"/>
      <c r="R704" s="109"/>
      <c r="S704" s="109"/>
      <c r="T704" s="109"/>
      <c r="U704" s="109"/>
      <c r="V704" s="109"/>
      <c r="W704" s="109"/>
      <c r="X704" s="109"/>
      <c r="Y704" s="109"/>
      <c r="Z704" s="109"/>
    </row>
    <row r="705" ht="29.25" customHeight="1">
      <c r="A705" s="109"/>
      <c r="B705" s="109"/>
      <c r="C705" s="109"/>
      <c r="D705" s="109"/>
      <c r="E705" s="109"/>
      <c r="F705" s="109"/>
      <c r="G705" s="109"/>
      <c r="H705" s="317"/>
      <c r="I705" s="109"/>
      <c r="J705" s="109"/>
      <c r="K705" s="109"/>
      <c r="L705" s="109"/>
      <c r="M705" s="109"/>
      <c r="N705" s="109"/>
      <c r="O705" s="109"/>
      <c r="P705" s="109"/>
      <c r="Q705" s="109"/>
      <c r="R705" s="109"/>
      <c r="S705" s="109"/>
      <c r="T705" s="109"/>
      <c r="U705" s="109"/>
      <c r="V705" s="109"/>
      <c r="W705" s="109"/>
      <c r="X705" s="109"/>
      <c r="Y705" s="109"/>
      <c r="Z705" s="109"/>
    </row>
    <row r="706" ht="29.25" customHeight="1">
      <c r="A706" s="109"/>
      <c r="B706" s="109"/>
      <c r="C706" s="109"/>
      <c r="D706" s="109"/>
      <c r="E706" s="109"/>
      <c r="F706" s="109"/>
      <c r="G706" s="109"/>
      <c r="H706" s="317"/>
      <c r="I706" s="109"/>
      <c r="J706" s="109"/>
      <c r="K706" s="109"/>
      <c r="L706" s="109"/>
      <c r="M706" s="109"/>
      <c r="N706" s="109"/>
      <c r="O706" s="109"/>
      <c r="P706" s="109"/>
      <c r="Q706" s="109"/>
      <c r="R706" s="109"/>
      <c r="S706" s="109"/>
      <c r="T706" s="109"/>
      <c r="U706" s="109"/>
      <c r="V706" s="109"/>
      <c r="W706" s="109"/>
      <c r="X706" s="109"/>
      <c r="Y706" s="109"/>
      <c r="Z706" s="109"/>
    </row>
    <row r="707" ht="29.25" customHeight="1">
      <c r="A707" s="109"/>
      <c r="B707" s="109"/>
      <c r="C707" s="109"/>
      <c r="D707" s="109"/>
      <c r="E707" s="109"/>
      <c r="F707" s="109"/>
      <c r="G707" s="109"/>
      <c r="H707" s="317"/>
      <c r="I707" s="109"/>
      <c r="J707" s="109"/>
      <c r="K707" s="109"/>
      <c r="L707" s="109"/>
      <c r="M707" s="109"/>
      <c r="N707" s="109"/>
      <c r="O707" s="109"/>
      <c r="P707" s="109"/>
      <c r="Q707" s="109"/>
      <c r="R707" s="109"/>
      <c r="S707" s="109"/>
      <c r="T707" s="109"/>
      <c r="U707" s="109"/>
      <c r="V707" s="109"/>
      <c r="W707" s="109"/>
      <c r="X707" s="109"/>
      <c r="Y707" s="109"/>
      <c r="Z707" s="109"/>
    </row>
    <row r="708" ht="29.25" customHeight="1">
      <c r="A708" s="109"/>
      <c r="B708" s="109"/>
      <c r="C708" s="109"/>
      <c r="D708" s="109"/>
      <c r="E708" s="109"/>
      <c r="F708" s="109"/>
      <c r="G708" s="109"/>
      <c r="H708" s="317"/>
      <c r="I708" s="109"/>
      <c r="J708" s="109"/>
      <c r="K708" s="109"/>
      <c r="L708" s="109"/>
      <c r="M708" s="109"/>
      <c r="N708" s="109"/>
      <c r="O708" s="109"/>
      <c r="P708" s="109"/>
      <c r="Q708" s="109"/>
      <c r="R708" s="109"/>
      <c r="S708" s="109"/>
      <c r="T708" s="109"/>
      <c r="U708" s="109"/>
      <c r="V708" s="109"/>
      <c r="W708" s="109"/>
      <c r="X708" s="109"/>
      <c r="Y708" s="109"/>
      <c r="Z708" s="109"/>
    </row>
    <row r="709" ht="29.25" customHeight="1">
      <c r="A709" s="109"/>
      <c r="B709" s="109"/>
      <c r="C709" s="109"/>
      <c r="D709" s="109"/>
      <c r="E709" s="109"/>
      <c r="F709" s="109"/>
      <c r="G709" s="109"/>
      <c r="H709" s="317"/>
      <c r="I709" s="109"/>
      <c r="J709" s="109"/>
      <c r="K709" s="109"/>
      <c r="L709" s="109"/>
      <c r="M709" s="109"/>
      <c r="N709" s="109"/>
      <c r="O709" s="109"/>
      <c r="P709" s="109"/>
      <c r="Q709" s="109"/>
      <c r="R709" s="109"/>
      <c r="S709" s="109"/>
      <c r="T709" s="109"/>
      <c r="U709" s="109"/>
      <c r="V709" s="109"/>
      <c r="W709" s="109"/>
      <c r="X709" s="109"/>
      <c r="Y709" s="109"/>
      <c r="Z709" s="109"/>
    </row>
    <row r="710" ht="29.25" customHeight="1">
      <c r="A710" s="109"/>
      <c r="B710" s="109"/>
      <c r="C710" s="109"/>
      <c r="D710" s="109"/>
      <c r="E710" s="109"/>
      <c r="F710" s="109"/>
      <c r="G710" s="109"/>
      <c r="H710" s="317"/>
      <c r="I710" s="109"/>
      <c r="J710" s="109"/>
      <c r="K710" s="109"/>
      <c r="L710" s="109"/>
      <c r="M710" s="109"/>
      <c r="N710" s="109"/>
      <c r="O710" s="109"/>
      <c r="P710" s="109"/>
      <c r="Q710" s="109"/>
      <c r="R710" s="109"/>
      <c r="S710" s="109"/>
      <c r="T710" s="109"/>
      <c r="U710" s="109"/>
      <c r="V710" s="109"/>
      <c r="W710" s="109"/>
      <c r="X710" s="109"/>
      <c r="Y710" s="109"/>
      <c r="Z710" s="109"/>
    </row>
    <row r="711" ht="29.25" customHeight="1">
      <c r="A711" s="109"/>
      <c r="B711" s="109"/>
      <c r="C711" s="109"/>
      <c r="D711" s="109"/>
      <c r="E711" s="109"/>
      <c r="F711" s="109"/>
      <c r="G711" s="109"/>
      <c r="H711" s="317"/>
      <c r="I711" s="109"/>
      <c r="J711" s="109"/>
      <c r="K711" s="109"/>
      <c r="L711" s="109"/>
      <c r="M711" s="109"/>
      <c r="N711" s="109"/>
      <c r="O711" s="109"/>
      <c r="P711" s="109"/>
      <c r="Q711" s="109"/>
      <c r="R711" s="109"/>
      <c r="S711" s="109"/>
      <c r="T711" s="109"/>
      <c r="U711" s="109"/>
      <c r="V711" s="109"/>
      <c r="W711" s="109"/>
      <c r="X711" s="109"/>
      <c r="Y711" s="109"/>
      <c r="Z711" s="109"/>
    </row>
    <row r="712" ht="29.25" customHeight="1">
      <c r="A712" s="109"/>
      <c r="B712" s="109"/>
      <c r="C712" s="109"/>
      <c r="D712" s="109"/>
      <c r="E712" s="109"/>
      <c r="F712" s="109"/>
      <c r="G712" s="109"/>
      <c r="H712" s="317"/>
      <c r="I712" s="109"/>
      <c r="J712" s="109"/>
      <c r="K712" s="109"/>
      <c r="L712" s="109"/>
      <c r="M712" s="109"/>
      <c r="N712" s="109"/>
      <c r="O712" s="109"/>
      <c r="P712" s="109"/>
      <c r="Q712" s="109"/>
      <c r="R712" s="109"/>
      <c r="S712" s="109"/>
      <c r="T712" s="109"/>
      <c r="U712" s="109"/>
      <c r="V712" s="109"/>
      <c r="W712" s="109"/>
      <c r="X712" s="109"/>
      <c r="Y712" s="109"/>
      <c r="Z712" s="109"/>
    </row>
    <row r="713" ht="29.25" customHeight="1">
      <c r="A713" s="109"/>
      <c r="B713" s="109"/>
      <c r="C713" s="109"/>
      <c r="D713" s="109"/>
      <c r="E713" s="109"/>
      <c r="F713" s="109"/>
      <c r="G713" s="109"/>
      <c r="H713" s="317"/>
      <c r="I713" s="109"/>
      <c r="J713" s="109"/>
      <c r="K713" s="109"/>
      <c r="L713" s="109"/>
      <c r="M713" s="109"/>
      <c r="N713" s="109"/>
      <c r="O713" s="109"/>
      <c r="P713" s="109"/>
      <c r="Q713" s="109"/>
      <c r="R713" s="109"/>
      <c r="S713" s="109"/>
      <c r="T713" s="109"/>
      <c r="U713" s="109"/>
      <c r="V713" s="109"/>
      <c r="W713" s="109"/>
      <c r="X713" s="109"/>
      <c r="Y713" s="109"/>
      <c r="Z713" s="109"/>
    </row>
    <row r="714" ht="29.25" customHeight="1">
      <c r="A714" s="109"/>
      <c r="B714" s="109"/>
      <c r="C714" s="109"/>
      <c r="D714" s="109"/>
      <c r="E714" s="109"/>
      <c r="F714" s="109"/>
      <c r="G714" s="109"/>
      <c r="H714" s="317"/>
      <c r="I714" s="109"/>
      <c r="J714" s="109"/>
      <c r="K714" s="109"/>
      <c r="L714" s="109"/>
      <c r="M714" s="109"/>
      <c r="N714" s="109"/>
      <c r="O714" s="109"/>
      <c r="P714" s="109"/>
      <c r="Q714" s="109"/>
      <c r="R714" s="109"/>
      <c r="S714" s="109"/>
      <c r="T714" s="109"/>
      <c r="U714" s="109"/>
      <c r="V714" s="109"/>
      <c r="W714" s="109"/>
      <c r="X714" s="109"/>
      <c r="Y714" s="109"/>
      <c r="Z714" s="109"/>
    </row>
    <row r="715" ht="29.25" customHeight="1">
      <c r="A715" s="109"/>
      <c r="B715" s="109"/>
      <c r="C715" s="109"/>
      <c r="D715" s="109"/>
      <c r="E715" s="109"/>
      <c r="F715" s="109"/>
      <c r="G715" s="109"/>
      <c r="H715" s="317"/>
      <c r="I715" s="109"/>
      <c r="J715" s="109"/>
      <c r="K715" s="109"/>
      <c r="L715" s="109"/>
      <c r="M715" s="109"/>
      <c r="N715" s="109"/>
      <c r="O715" s="109"/>
      <c r="P715" s="109"/>
      <c r="Q715" s="109"/>
      <c r="R715" s="109"/>
      <c r="S715" s="109"/>
      <c r="T715" s="109"/>
      <c r="U715" s="109"/>
      <c r="V715" s="109"/>
      <c r="W715" s="109"/>
      <c r="X715" s="109"/>
      <c r="Y715" s="109"/>
      <c r="Z715" s="109"/>
    </row>
    <row r="716" ht="29.25" customHeight="1">
      <c r="A716" s="109"/>
      <c r="B716" s="109"/>
      <c r="C716" s="109"/>
      <c r="D716" s="109"/>
      <c r="E716" s="109"/>
      <c r="F716" s="109"/>
      <c r="G716" s="109"/>
      <c r="H716" s="317"/>
      <c r="I716" s="109"/>
      <c r="J716" s="109"/>
      <c r="K716" s="109"/>
      <c r="L716" s="109"/>
      <c r="M716" s="109"/>
      <c r="N716" s="109"/>
      <c r="O716" s="109"/>
      <c r="P716" s="109"/>
      <c r="Q716" s="109"/>
      <c r="R716" s="109"/>
      <c r="S716" s="109"/>
      <c r="T716" s="109"/>
      <c r="U716" s="109"/>
      <c r="V716" s="109"/>
      <c r="W716" s="109"/>
      <c r="X716" s="109"/>
      <c r="Y716" s="109"/>
      <c r="Z716" s="109"/>
    </row>
    <row r="717" ht="29.25" customHeight="1">
      <c r="A717" s="109"/>
      <c r="B717" s="109"/>
      <c r="C717" s="109"/>
      <c r="D717" s="109"/>
      <c r="E717" s="109"/>
      <c r="F717" s="109"/>
      <c r="G717" s="109"/>
      <c r="H717" s="317"/>
      <c r="I717" s="109"/>
      <c r="J717" s="109"/>
      <c r="K717" s="109"/>
      <c r="L717" s="109"/>
      <c r="M717" s="109"/>
      <c r="N717" s="109"/>
      <c r="O717" s="109"/>
      <c r="P717" s="109"/>
      <c r="Q717" s="109"/>
      <c r="R717" s="109"/>
      <c r="S717" s="109"/>
      <c r="T717" s="109"/>
      <c r="U717" s="109"/>
      <c r="V717" s="109"/>
      <c r="W717" s="109"/>
      <c r="X717" s="109"/>
      <c r="Y717" s="109"/>
      <c r="Z717" s="109"/>
    </row>
    <row r="718" ht="29.25" customHeight="1">
      <c r="A718" s="109"/>
      <c r="B718" s="109"/>
      <c r="C718" s="109"/>
      <c r="D718" s="109"/>
      <c r="E718" s="109"/>
      <c r="F718" s="109"/>
      <c r="G718" s="109"/>
      <c r="H718" s="317"/>
      <c r="I718" s="109"/>
      <c r="J718" s="109"/>
      <c r="K718" s="109"/>
      <c r="L718" s="109"/>
      <c r="M718" s="109"/>
      <c r="N718" s="109"/>
      <c r="O718" s="109"/>
      <c r="P718" s="109"/>
      <c r="Q718" s="109"/>
      <c r="R718" s="109"/>
      <c r="S718" s="109"/>
      <c r="T718" s="109"/>
      <c r="U718" s="109"/>
      <c r="V718" s="109"/>
      <c r="W718" s="109"/>
      <c r="X718" s="109"/>
      <c r="Y718" s="109"/>
      <c r="Z718" s="109"/>
    </row>
    <row r="719" ht="29.25" customHeight="1">
      <c r="A719" s="109"/>
      <c r="B719" s="109"/>
      <c r="C719" s="109"/>
      <c r="D719" s="109"/>
      <c r="E719" s="109"/>
      <c r="F719" s="109"/>
      <c r="G719" s="109"/>
      <c r="H719" s="317"/>
      <c r="I719" s="109"/>
      <c r="J719" s="109"/>
      <c r="K719" s="109"/>
      <c r="L719" s="109"/>
      <c r="M719" s="109"/>
      <c r="N719" s="109"/>
      <c r="O719" s="109"/>
      <c r="P719" s="109"/>
      <c r="Q719" s="109"/>
      <c r="R719" s="109"/>
      <c r="S719" s="109"/>
      <c r="T719" s="109"/>
      <c r="U719" s="109"/>
      <c r="V719" s="109"/>
      <c r="W719" s="109"/>
      <c r="X719" s="109"/>
      <c r="Y719" s="109"/>
      <c r="Z719" s="109"/>
    </row>
    <row r="720" ht="29.25" customHeight="1">
      <c r="A720" s="109"/>
      <c r="B720" s="109"/>
      <c r="C720" s="109"/>
      <c r="D720" s="109"/>
      <c r="E720" s="109"/>
      <c r="F720" s="109"/>
      <c r="G720" s="109"/>
      <c r="H720" s="317"/>
      <c r="I720" s="109"/>
      <c r="J720" s="109"/>
      <c r="K720" s="109"/>
      <c r="L720" s="109"/>
      <c r="M720" s="109"/>
      <c r="N720" s="109"/>
      <c r="O720" s="109"/>
      <c r="P720" s="109"/>
      <c r="Q720" s="109"/>
      <c r="R720" s="109"/>
      <c r="S720" s="109"/>
      <c r="T720" s="109"/>
      <c r="U720" s="109"/>
      <c r="V720" s="109"/>
      <c r="W720" s="109"/>
      <c r="X720" s="109"/>
      <c r="Y720" s="109"/>
      <c r="Z720" s="109"/>
    </row>
    <row r="721" ht="29.25" customHeight="1">
      <c r="A721" s="109"/>
      <c r="B721" s="109"/>
      <c r="C721" s="109"/>
      <c r="D721" s="109"/>
      <c r="E721" s="109"/>
      <c r="F721" s="109"/>
      <c r="G721" s="109"/>
      <c r="H721" s="317"/>
      <c r="I721" s="109"/>
      <c r="J721" s="109"/>
      <c r="K721" s="109"/>
      <c r="L721" s="109"/>
      <c r="M721" s="109"/>
      <c r="N721" s="109"/>
      <c r="O721" s="109"/>
      <c r="P721" s="109"/>
      <c r="Q721" s="109"/>
      <c r="R721" s="109"/>
      <c r="S721" s="109"/>
      <c r="T721" s="109"/>
      <c r="U721" s="109"/>
      <c r="V721" s="109"/>
      <c r="W721" s="109"/>
      <c r="X721" s="109"/>
      <c r="Y721" s="109"/>
      <c r="Z721" s="109"/>
    </row>
    <row r="722" ht="29.25" customHeight="1">
      <c r="A722" s="109"/>
      <c r="B722" s="109"/>
      <c r="C722" s="109"/>
      <c r="D722" s="109"/>
      <c r="E722" s="109"/>
      <c r="F722" s="109"/>
      <c r="G722" s="109"/>
      <c r="H722" s="317"/>
      <c r="I722" s="109"/>
      <c r="J722" s="109"/>
      <c r="K722" s="109"/>
      <c r="L722" s="109"/>
      <c r="M722" s="109"/>
      <c r="N722" s="109"/>
      <c r="O722" s="109"/>
      <c r="P722" s="109"/>
      <c r="Q722" s="109"/>
      <c r="R722" s="109"/>
      <c r="S722" s="109"/>
      <c r="T722" s="109"/>
      <c r="U722" s="109"/>
      <c r="V722" s="109"/>
      <c r="W722" s="109"/>
      <c r="X722" s="109"/>
      <c r="Y722" s="109"/>
      <c r="Z722" s="109"/>
    </row>
    <row r="723" ht="29.25" customHeight="1">
      <c r="A723" s="109"/>
      <c r="B723" s="109"/>
      <c r="C723" s="109"/>
      <c r="D723" s="109"/>
      <c r="E723" s="109"/>
      <c r="F723" s="109"/>
      <c r="G723" s="109"/>
      <c r="H723" s="317"/>
      <c r="I723" s="109"/>
      <c r="J723" s="109"/>
      <c r="K723" s="109"/>
      <c r="L723" s="109"/>
      <c r="M723" s="109"/>
      <c r="N723" s="109"/>
      <c r="O723" s="109"/>
      <c r="P723" s="109"/>
      <c r="Q723" s="109"/>
      <c r="R723" s="109"/>
      <c r="S723" s="109"/>
      <c r="T723" s="109"/>
      <c r="U723" s="109"/>
      <c r="V723" s="109"/>
      <c r="W723" s="109"/>
      <c r="X723" s="109"/>
      <c r="Y723" s="109"/>
      <c r="Z723" s="109"/>
    </row>
    <row r="724" ht="29.25" customHeight="1">
      <c r="A724" s="109"/>
      <c r="B724" s="109"/>
      <c r="C724" s="109"/>
      <c r="D724" s="109"/>
      <c r="E724" s="109"/>
      <c r="F724" s="109"/>
      <c r="G724" s="109"/>
      <c r="H724" s="317"/>
      <c r="I724" s="109"/>
      <c r="J724" s="109"/>
      <c r="K724" s="109"/>
      <c r="L724" s="109"/>
      <c r="M724" s="109"/>
      <c r="N724" s="109"/>
      <c r="O724" s="109"/>
      <c r="P724" s="109"/>
      <c r="Q724" s="109"/>
      <c r="R724" s="109"/>
      <c r="S724" s="109"/>
      <c r="T724" s="109"/>
      <c r="U724" s="109"/>
      <c r="V724" s="109"/>
      <c r="W724" s="109"/>
      <c r="X724" s="109"/>
      <c r="Y724" s="109"/>
      <c r="Z724" s="109"/>
    </row>
    <row r="725" ht="29.25" customHeight="1">
      <c r="A725" s="109"/>
      <c r="B725" s="109"/>
      <c r="C725" s="109"/>
      <c r="D725" s="109"/>
      <c r="E725" s="109"/>
      <c r="F725" s="109"/>
      <c r="G725" s="109"/>
      <c r="H725" s="317"/>
      <c r="I725" s="109"/>
      <c r="J725" s="109"/>
      <c r="K725" s="109"/>
      <c r="L725" s="109"/>
      <c r="M725" s="109"/>
      <c r="N725" s="109"/>
      <c r="O725" s="109"/>
      <c r="P725" s="109"/>
      <c r="Q725" s="109"/>
      <c r="R725" s="109"/>
      <c r="S725" s="109"/>
      <c r="T725" s="109"/>
      <c r="U725" s="109"/>
      <c r="V725" s="109"/>
      <c r="W725" s="109"/>
      <c r="X725" s="109"/>
      <c r="Y725" s="109"/>
      <c r="Z725" s="109"/>
    </row>
    <row r="726" ht="29.25" customHeight="1">
      <c r="A726" s="109"/>
      <c r="B726" s="109"/>
      <c r="C726" s="109"/>
      <c r="D726" s="109"/>
      <c r="E726" s="109"/>
      <c r="F726" s="109"/>
      <c r="G726" s="109"/>
      <c r="H726" s="317"/>
      <c r="I726" s="109"/>
      <c r="J726" s="109"/>
      <c r="K726" s="109"/>
      <c r="L726" s="109"/>
      <c r="M726" s="109"/>
      <c r="N726" s="109"/>
      <c r="O726" s="109"/>
      <c r="P726" s="109"/>
      <c r="Q726" s="109"/>
      <c r="R726" s="109"/>
      <c r="S726" s="109"/>
      <c r="T726" s="109"/>
      <c r="U726" s="109"/>
      <c r="V726" s="109"/>
      <c r="W726" s="109"/>
      <c r="X726" s="109"/>
      <c r="Y726" s="109"/>
      <c r="Z726" s="109"/>
    </row>
    <row r="727" ht="29.25" customHeight="1">
      <c r="A727" s="109"/>
      <c r="B727" s="109"/>
      <c r="C727" s="109"/>
      <c r="D727" s="109"/>
      <c r="E727" s="109"/>
      <c r="F727" s="109"/>
      <c r="G727" s="109"/>
      <c r="H727" s="317"/>
      <c r="I727" s="109"/>
      <c r="J727" s="109"/>
      <c r="K727" s="109"/>
      <c r="L727" s="109"/>
      <c r="M727" s="109"/>
      <c r="N727" s="109"/>
      <c r="O727" s="109"/>
      <c r="P727" s="109"/>
      <c r="Q727" s="109"/>
      <c r="R727" s="109"/>
      <c r="S727" s="109"/>
      <c r="T727" s="109"/>
      <c r="U727" s="109"/>
      <c r="V727" s="109"/>
      <c r="W727" s="109"/>
      <c r="X727" s="109"/>
      <c r="Y727" s="109"/>
      <c r="Z727" s="109"/>
    </row>
    <row r="728" ht="29.25" customHeight="1">
      <c r="A728" s="109"/>
      <c r="B728" s="109"/>
      <c r="C728" s="109"/>
      <c r="D728" s="109"/>
      <c r="E728" s="109"/>
      <c r="F728" s="109"/>
      <c r="G728" s="109"/>
      <c r="H728" s="317"/>
      <c r="I728" s="109"/>
      <c r="J728" s="109"/>
      <c r="K728" s="109"/>
      <c r="L728" s="109"/>
      <c r="M728" s="109"/>
      <c r="N728" s="109"/>
      <c r="O728" s="109"/>
      <c r="P728" s="109"/>
      <c r="Q728" s="109"/>
      <c r="R728" s="109"/>
      <c r="S728" s="109"/>
      <c r="T728" s="109"/>
      <c r="U728" s="109"/>
      <c r="V728" s="109"/>
      <c r="W728" s="109"/>
      <c r="X728" s="109"/>
      <c r="Y728" s="109"/>
      <c r="Z728" s="109"/>
    </row>
    <row r="729" ht="29.25" customHeight="1">
      <c r="A729" s="109"/>
      <c r="B729" s="109"/>
      <c r="C729" s="109"/>
      <c r="D729" s="109"/>
      <c r="E729" s="109"/>
      <c r="F729" s="109"/>
      <c r="G729" s="109"/>
      <c r="H729" s="317"/>
      <c r="I729" s="109"/>
      <c r="J729" s="109"/>
      <c r="K729" s="109"/>
      <c r="L729" s="109"/>
      <c r="M729" s="109"/>
      <c r="N729" s="109"/>
      <c r="O729" s="109"/>
      <c r="P729" s="109"/>
      <c r="Q729" s="109"/>
      <c r="R729" s="109"/>
      <c r="S729" s="109"/>
      <c r="T729" s="109"/>
      <c r="U729" s="109"/>
      <c r="V729" s="109"/>
      <c r="W729" s="109"/>
      <c r="X729" s="109"/>
      <c r="Y729" s="109"/>
      <c r="Z729" s="109"/>
    </row>
    <row r="730" ht="29.25" customHeight="1">
      <c r="A730" s="109"/>
      <c r="B730" s="109"/>
      <c r="C730" s="109"/>
      <c r="D730" s="109"/>
      <c r="E730" s="109"/>
      <c r="F730" s="109"/>
      <c r="G730" s="109"/>
      <c r="H730" s="317"/>
      <c r="I730" s="109"/>
      <c r="J730" s="109"/>
      <c r="K730" s="109"/>
      <c r="L730" s="109"/>
      <c r="M730" s="109"/>
      <c r="N730" s="109"/>
      <c r="O730" s="109"/>
      <c r="P730" s="109"/>
      <c r="Q730" s="109"/>
      <c r="R730" s="109"/>
      <c r="S730" s="109"/>
      <c r="T730" s="109"/>
      <c r="U730" s="109"/>
      <c r="V730" s="109"/>
      <c r="W730" s="109"/>
      <c r="X730" s="109"/>
      <c r="Y730" s="109"/>
      <c r="Z730" s="109"/>
    </row>
    <row r="731" ht="29.25" customHeight="1">
      <c r="A731" s="109"/>
      <c r="B731" s="109"/>
      <c r="C731" s="109"/>
      <c r="D731" s="109"/>
      <c r="E731" s="109"/>
      <c r="F731" s="109"/>
      <c r="G731" s="109"/>
      <c r="H731" s="317"/>
      <c r="I731" s="109"/>
      <c r="J731" s="109"/>
      <c r="K731" s="109"/>
      <c r="L731" s="109"/>
      <c r="M731" s="109"/>
      <c r="N731" s="109"/>
      <c r="O731" s="109"/>
      <c r="P731" s="109"/>
      <c r="Q731" s="109"/>
      <c r="R731" s="109"/>
      <c r="S731" s="109"/>
      <c r="T731" s="109"/>
      <c r="U731" s="109"/>
      <c r="V731" s="109"/>
      <c r="W731" s="109"/>
      <c r="X731" s="109"/>
      <c r="Y731" s="109"/>
      <c r="Z731" s="109"/>
    </row>
    <row r="732" ht="29.25" customHeight="1">
      <c r="A732" s="109"/>
      <c r="B732" s="109"/>
      <c r="C732" s="109"/>
      <c r="D732" s="109"/>
      <c r="E732" s="109"/>
      <c r="F732" s="109"/>
      <c r="G732" s="109"/>
      <c r="H732" s="317"/>
      <c r="I732" s="109"/>
      <c r="J732" s="109"/>
      <c r="K732" s="109"/>
      <c r="L732" s="109"/>
      <c r="M732" s="109"/>
      <c r="N732" s="109"/>
      <c r="O732" s="109"/>
      <c r="P732" s="109"/>
      <c r="Q732" s="109"/>
      <c r="R732" s="109"/>
      <c r="S732" s="109"/>
      <c r="T732" s="109"/>
      <c r="U732" s="109"/>
      <c r="V732" s="109"/>
      <c r="W732" s="109"/>
      <c r="X732" s="109"/>
      <c r="Y732" s="109"/>
      <c r="Z732" s="109"/>
    </row>
    <row r="733" ht="29.25" customHeight="1">
      <c r="A733" s="109"/>
      <c r="B733" s="109"/>
      <c r="C733" s="109"/>
      <c r="D733" s="109"/>
      <c r="E733" s="109"/>
      <c r="F733" s="109"/>
      <c r="G733" s="109"/>
      <c r="H733" s="317"/>
      <c r="I733" s="109"/>
      <c r="J733" s="109"/>
      <c r="K733" s="109"/>
      <c r="L733" s="109"/>
      <c r="M733" s="109"/>
      <c r="N733" s="109"/>
      <c r="O733" s="109"/>
      <c r="P733" s="109"/>
      <c r="Q733" s="109"/>
      <c r="R733" s="109"/>
      <c r="S733" s="109"/>
      <c r="T733" s="109"/>
      <c r="U733" s="109"/>
      <c r="V733" s="109"/>
      <c r="W733" s="109"/>
      <c r="X733" s="109"/>
      <c r="Y733" s="109"/>
      <c r="Z733" s="109"/>
    </row>
    <row r="734" ht="29.25" customHeight="1">
      <c r="A734" s="109"/>
      <c r="B734" s="109"/>
      <c r="C734" s="109"/>
      <c r="D734" s="109"/>
      <c r="E734" s="109"/>
      <c r="F734" s="109"/>
      <c r="G734" s="109"/>
      <c r="H734" s="317"/>
      <c r="I734" s="109"/>
      <c r="J734" s="109"/>
      <c r="K734" s="109"/>
      <c r="L734" s="109"/>
      <c r="M734" s="109"/>
      <c r="N734" s="109"/>
      <c r="O734" s="109"/>
      <c r="P734" s="109"/>
      <c r="Q734" s="109"/>
      <c r="R734" s="109"/>
      <c r="S734" s="109"/>
      <c r="T734" s="109"/>
      <c r="U734" s="109"/>
      <c r="V734" s="109"/>
      <c r="W734" s="109"/>
      <c r="X734" s="109"/>
      <c r="Y734" s="109"/>
      <c r="Z734" s="109"/>
    </row>
    <row r="735" ht="29.25" customHeight="1">
      <c r="A735" s="109"/>
      <c r="B735" s="109"/>
      <c r="C735" s="109"/>
      <c r="D735" s="109"/>
      <c r="E735" s="109"/>
      <c r="F735" s="109"/>
      <c r="G735" s="109"/>
      <c r="H735" s="317"/>
      <c r="I735" s="109"/>
      <c r="J735" s="109"/>
      <c r="K735" s="109"/>
      <c r="L735" s="109"/>
      <c r="M735" s="109"/>
      <c r="N735" s="109"/>
      <c r="O735" s="109"/>
      <c r="P735" s="109"/>
      <c r="Q735" s="109"/>
      <c r="R735" s="109"/>
      <c r="S735" s="109"/>
      <c r="T735" s="109"/>
      <c r="U735" s="109"/>
      <c r="V735" s="109"/>
      <c r="W735" s="109"/>
      <c r="X735" s="109"/>
      <c r="Y735" s="109"/>
      <c r="Z735" s="109"/>
    </row>
    <row r="736" ht="29.25" customHeight="1">
      <c r="A736" s="109"/>
      <c r="B736" s="109"/>
      <c r="C736" s="109"/>
      <c r="D736" s="109"/>
      <c r="E736" s="109"/>
      <c r="F736" s="109"/>
      <c r="G736" s="109"/>
      <c r="H736" s="317"/>
      <c r="I736" s="109"/>
      <c r="J736" s="109"/>
      <c r="K736" s="109"/>
      <c r="L736" s="109"/>
      <c r="M736" s="109"/>
      <c r="N736" s="109"/>
      <c r="O736" s="109"/>
      <c r="P736" s="109"/>
      <c r="Q736" s="109"/>
      <c r="R736" s="109"/>
      <c r="S736" s="109"/>
      <c r="T736" s="109"/>
      <c r="U736" s="109"/>
      <c r="V736" s="109"/>
      <c r="W736" s="109"/>
      <c r="X736" s="109"/>
      <c r="Y736" s="109"/>
      <c r="Z736" s="109"/>
    </row>
    <row r="737" ht="29.25" customHeight="1">
      <c r="A737" s="109"/>
      <c r="B737" s="109"/>
      <c r="C737" s="109"/>
      <c r="D737" s="109"/>
      <c r="E737" s="109"/>
      <c r="F737" s="109"/>
      <c r="G737" s="109"/>
      <c r="H737" s="317"/>
      <c r="I737" s="109"/>
      <c r="J737" s="109"/>
      <c r="K737" s="109"/>
      <c r="L737" s="109"/>
      <c r="M737" s="109"/>
      <c r="N737" s="109"/>
      <c r="O737" s="109"/>
      <c r="P737" s="109"/>
      <c r="Q737" s="109"/>
      <c r="R737" s="109"/>
      <c r="S737" s="109"/>
      <c r="T737" s="109"/>
      <c r="U737" s="109"/>
      <c r="V737" s="109"/>
      <c r="W737" s="109"/>
      <c r="X737" s="109"/>
      <c r="Y737" s="109"/>
      <c r="Z737" s="109"/>
    </row>
    <row r="738" ht="29.25" customHeight="1">
      <c r="A738" s="109"/>
      <c r="B738" s="109"/>
      <c r="C738" s="109"/>
      <c r="D738" s="109"/>
      <c r="E738" s="109"/>
      <c r="F738" s="109"/>
      <c r="G738" s="109"/>
      <c r="H738" s="317"/>
      <c r="I738" s="109"/>
      <c r="J738" s="109"/>
      <c r="K738" s="109"/>
      <c r="L738" s="109"/>
      <c r="M738" s="109"/>
      <c r="N738" s="109"/>
      <c r="O738" s="109"/>
      <c r="P738" s="109"/>
      <c r="Q738" s="109"/>
      <c r="R738" s="109"/>
      <c r="S738" s="109"/>
      <c r="T738" s="109"/>
      <c r="U738" s="109"/>
      <c r="V738" s="109"/>
      <c r="W738" s="109"/>
      <c r="X738" s="109"/>
      <c r="Y738" s="109"/>
      <c r="Z738" s="109"/>
    </row>
    <row r="739" ht="29.25" customHeight="1">
      <c r="A739" s="109"/>
      <c r="B739" s="109"/>
      <c r="C739" s="109"/>
      <c r="D739" s="109"/>
      <c r="E739" s="109"/>
      <c r="F739" s="109"/>
      <c r="G739" s="109"/>
      <c r="H739" s="317"/>
      <c r="I739" s="109"/>
      <c r="J739" s="109"/>
      <c r="K739" s="109"/>
      <c r="L739" s="109"/>
      <c r="M739" s="109"/>
      <c r="N739" s="109"/>
      <c r="O739" s="109"/>
      <c r="P739" s="109"/>
      <c r="Q739" s="109"/>
      <c r="R739" s="109"/>
      <c r="S739" s="109"/>
      <c r="T739" s="109"/>
      <c r="U739" s="109"/>
      <c r="V739" s="109"/>
      <c r="W739" s="109"/>
      <c r="X739" s="109"/>
      <c r="Y739" s="109"/>
      <c r="Z739" s="109"/>
    </row>
    <row r="740" ht="29.25" customHeight="1">
      <c r="A740" s="109"/>
      <c r="B740" s="109"/>
      <c r="C740" s="109"/>
      <c r="D740" s="109"/>
      <c r="E740" s="109"/>
      <c r="F740" s="109"/>
      <c r="G740" s="109"/>
      <c r="H740" s="317"/>
      <c r="I740" s="109"/>
      <c r="J740" s="109"/>
      <c r="K740" s="109"/>
      <c r="L740" s="109"/>
      <c r="M740" s="109"/>
      <c r="N740" s="109"/>
      <c r="O740" s="109"/>
      <c r="P740" s="109"/>
      <c r="Q740" s="109"/>
      <c r="R740" s="109"/>
      <c r="S740" s="109"/>
      <c r="T740" s="109"/>
      <c r="U740" s="109"/>
      <c r="V740" s="109"/>
      <c r="W740" s="109"/>
      <c r="X740" s="109"/>
      <c r="Y740" s="109"/>
      <c r="Z740" s="109"/>
    </row>
    <row r="741" ht="29.25" customHeight="1">
      <c r="A741" s="109"/>
      <c r="B741" s="109"/>
      <c r="C741" s="109"/>
      <c r="D741" s="109"/>
      <c r="E741" s="109"/>
      <c r="F741" s="109"/>
      <c r="G741" s="109"/>
      <c r="H741" s="317"/>
      <c r="I741" s="109"/>
      <c r="J741" s="109"/>
      <c r="K741" s="109"/>
      <c r="L741" s="109"/>
      <c r="M741" s="109"/>
      <c r="N741" s="109"/>
      <c r="O741" s="109"/>
      <c r="P741" s="109"/>
      <c r="Q741" s="109"/>
      <c r="R741" s="109"/>
      <c r="S741" s="109"/>
      <c r="T741" s="109"/>
      <c r="U741" s="109"/>
      <c r="V741" s="109"/>
      <c r="W741" s="109"/>
      <c r="X741" s="109"/>
      <c r="Y741" s="109"/>
      <c r="Z741" s="109"/>
    </row>
    <row r="742" ht="29.25" customHeight="1">
      <c r="A742" s="109"/>
      <c r="B742" s="109"/>
      <c r="C742" s="109"/>
      <c r="D742" s="109"/>
      <c r="E742" s="109"/>
      <c r="F742" s="109"/>
      <c r="G742" s="109"/>
      <c r="H742" s="317"/>
      <c r="I742" s="109"/>
      <c r="J742" s="109"/>
      <c r="K742" s="109"/>
      <c r="L742" s="109"/>
      <c r="M742" s="109"/>
      <c r="N742" s="109"/>
      <c r="O742" s="109"/>
      <c r="P742" s="109"/>
      <c r="Q742" s="109"/>
      <c r="R742" s="109"/>
      <c r="S742" s="109"/>
      <c r="T742" s="109"/>
      <c r="U742" s="109"/>
      <c r="V742" s="109"/>
      <c r="W742" s="109"/>
      <c r="X742" s="109"/>
      <c r="Y742" s="109"/>
      <c r="Z742" s="109"/>
    </row>
    <row r="743" ht="29.25" customHeight="1">
      <c r="A743" s="109"/>
      <c r="B743" s="109"/>
      <c r="C743" s="109"/>
      <c r="D743" s="109"/>
      <c r="E743" s="109"/>
      <c r="F743" s="109"/>
      <c r="G743" s="109"/>
      <c r="H743" s="317"/>
      <c r="I743" s="109"/>
      <c r="J743" s="109"/>
      <c r="K743" s="109"/>
      <c r="L743" s="109"/>
      <c r="M743" s="109"/>
      <c r="N743" s="109"/>
      <c r="O743" s="109"/>
      <c r="P743" s="109"/>
      <c r="Q743" s="109"/>
      <c r="R743" s="109"/>
      <c r="S743" s="109"/>
      <c r="T743" s="109"/>
      <c r="U743" s="109"/>
      <c r="V743" s="109"/>
      <c r="W743" s="109"/>
      <c r="X743" s="109"/>
      <c r="Y743" s="109"/>
      <c r="Z743" s="109"/>
    </row>
    <row r="744" ht="29.25" customHeight="1">
      <c r="A744" s="109"/>
      <c r="B744" s="109"/>
      <c r="C744" s="109"/>
      <c r="D744" s="109"/>
      <c r="E744" s="109"/>
      <c r="F744" s="109"/>
      <c r="G744" s="109"/>
      <c r="H744" s="317"/>
      <c r="I744" s="109"/>
      <c r="J744" s="109"/>
      <c r="K744" s="109"/>
      <c r="L744" s="109"/>
      <c r="M744" s="109"/>
      <c r="N744" s="109"/>
      <c r="O744" s="109"/>
      <c r="P744" s="109"/>
      <c r="Q744" s="109"/>
      <c r="R744" s="109"/>
      <c r="S744" s="109"/>
      <c r="T744" s="109"/>
      <c r="U744" s="109"/>
      <c r="V744" s="109"/>
      <c r="W744" s="109"/>
      <c r="X744" s="109"/>
      <c r="Y744" s="109"/>
      <c r="Z744" s="109"/>
    </row>
    <row r="745" ht="29.25" customHeight="1">
      <c r="A745" s="109"/>
      <c r="B745" s="109"/>
      <c r="C745" s="109"/>
      <c r="D745" s="109"/>
      <c r="E745" s="109"/>
      <c r="F745" s="109"/>
      <c r="G745" s="109"/>
      <c r="H745" s="317"/>
      <c r="I745" s="109"/>
      <c r="J745" s="109"/>
      <c r="K745" s="109"/>
      <c r="L745" s="109"/>
      <c r="M745" s="109"/>
      <c r="N745" s="109"/>
      <c r="O745" s="109"/>
      <c r="P745" s="109"/>
      <c r="Q745" s="109"/>
      <c r="R745" s="109"/>
      <c r="S745" s="109"/>
      <c r="T745" s="109"/>
      <c r="U745" s="109"/>
      <c r="V745" s="109"/>
      <c r="W745" s="109"/>
      <c r="X745" s="109"/>
      <c r="Y745" s="109"/>
      <c r="Z745" s="109"/>
    </row>
    <row r="746" ht="29.25" customHeight="1">
      <c r="A746" s="109"/>
      <c r="B746" s="109"/>
      <c r="C746" s="109"/>
      <c r="D746" s="109"/>
      <c r="E746" s="109"/>
      <c r="F746" s="109"/>
      <c r="G746" s="109"/>
      <c r="H746" s="317"/>
      <c r="I746" s="109"/>
      <c r="J746" s="109"/>
      <c r="K746" s="109"/>
      <c r="L746" s="109"/>
      <c r="M746" s="109"/>
      <c r="N746" s="109"/>
      <c r="O746" s="109"/>
      <c r="P746" s="109"/>
      <c r="Q746" s="109"/>
      <c r="R746" s="109"/>
      <c r="S746" s="109"/>
      <c r="T746" s="109"/>
      <c r="U746" s="109"/>
      <c r="V746" s="109"/>
      <c r="W746" s="109"/>
      <c r="X746" s="109"/>
      <c r="Y746" s="109"/>
      <c r="Z746" s="109"/>
    </row>
    <row r="747" ht="29.25" customHeight="1">
      <c r="A747" s="109"/>
      <c r="B747" s="109"/>
      <c r="C747" s="109"/>
      <c r="D747" s="109"/>
      <c r="E747" s="109"/>
      <c r="F747" s="109"/>
      <c r="G747" s="109"/>
      <c r="H747" s="317"/>
      <c r="I747" s="109"/>
      <c r="J747" s="109"/>
      <c r="K747" s="109"/>
      <c r="L747" s="109"/>
      <c r="M747" s="109"/>
      <c r="N747" s="109"/>
      <c r="O747" s="109"/>
      <c r="P747" s="109"/>
      <c r="Q747" s="109"/>
      <c r="R747" s="109"/>
      <c r="S747" s="109"/>
      <c r="T747" s="109"/>
      <c r="U747" s="109"/>
      <c r="V747" s="109"/>
      <c r="W747" s="109"/>
      <c r="X747" s="109"/>
      <c r="Y747" s="109"/>
      <c r="Z747" s="109"/>
    </row>
    <row r="748" ht="29.25" customHeight="1">
      <c r="A748" s="109"/>
      <c r="B748" s="109"/>
      <c r="C748" s="109"/>
      <c r="D748" s="109"/>
      <c r="E748" s="109"/>
      <c r="F748" s="109"/>
      <c r="G748" s="109"/>
      <c r="H748" s="317"/>
      <c r="I748" s="109"/>
      <c r="J748" s="109"/>
      <c r="K748" s="109"/>
      <c r="L748" s="109"/>
      <c r="M748" s="109"/>
      <c r="N748" s="109"/>
      <c r="O748" s="109"/>
      <c r="P748" s="109"/>
      <c r="Q748" s="109"/>
      <c r="R748" s="109"/>
      <c r="S748" s="109"/>
      <c r="T748" s="109"/>
      <c r="U748" s="109"/>
      <c r="V748" s="109"/>
      <c r="W748" s="109"/>
      <c r="X748" s="109"/>
      <c r="Y748" s="109"/>
      <c r="Z748" s="109"/>
    </row>
    <row r="749" ht="29.25" customHeight="1">
      <c r="A749" s="109"/>
      <c r="B749" s="109"/>
      <c r="C749" s="109"/>
      <c r="D749" s="109"/>
      <c r="E749" s="109"/>
      <c r="F749" s="109"/>
      <c r="G749" s="109"/>
      <c r="H749" s="317"/>
      <c r="I749" s="109"/>
      <c r="J749" s="109"/>
      <c r="K749" s="109"/>
      <c r="L749" s="109"/>
      <c r="M749" s="109"/>
      <c r="N749" s="109"/>
      <c r="O749" s="109"/>
      <c r="P749" s="109"/>
      <c r="Q749" s="109"/>
      <c r="R749" s="109"/>
      <c r="S749" s="109"/>
      <c r="T749" s="109"/>
      <c r="U749" s="109"/>
      <c r="V749" s="109"/>
      <c r="W749" s="109"/>
      <c r="X749" s="109"/>
      <c r="Y749" s="109"/>
      <c r="Z749" s="109"/>
    </row>
    <row r="750" ht="29.25" customHeight="1">
      <c r="A750" s="109"/>
      <c r="B750" s="109"/>
      <c r="C750" s="109"/>
      <c r="D750" s="109"/>
      <c r="E750" s="109"/>
      <c r="F750" s="109"/>
      <c r="G750" s="109"/>
      <c r="H750" s="317"/>
      <c r="I750" s="109"/>
      <c r="J750" s="109"/>
      <c r="K750" s="109"/>
      <c r="L750" s="109"/>
      <c r="M750" s="109"/>
      <c r="N750" s="109"/>
      <c r="O750" s="109"/>
      <c r="P750" s="109"/>
      <c r="Q750" s="109"/>
      <c r="R750" s="109"/>
      <c r="S750" s="109"/>
      <c r="T750" s="109"/>
      <c r="U750" s="109"/>
      <c r="V750" s="109"/>
      <c r="W750" s="109"/>
      <c r="X750" s="109"/>
      <c r="Y750" s="109"/>
      <c r="Z750" s="109"/>
    </row>
    <row r="751" ht="29.25" customHeight="1">
      <c r="A751" s="109"/>
      <c r="B751" s="109"/>
      <c r="C751" s="109"/>
      <c r="D751" s="109"/>
      <c r="E751" s="109"/>
      <c r="F751" s="109"/>
      <c r="G751" s="109"/>
      <c r="H751" s="317"/>
      <c r="I751" s="109"/>
      <c r="J751" s="109"/>
      <c r="K751" s="109"/>
      <c r="L751" s="109"/>
      <c r="M751" s="109"/>
      <c r="N751" s="109"/>
      <c r="O751" s="109"/>
      <c r="P751" s="109"/>
      <c r="Q751" s="109"/>
      <c r="R751" s="109"/>
      <c r="S751" s="109"/>
      <c r="T751" s="109"/>
      <c r="U751" s="109"/>
      <c r="V751" s="109"/>
      <c r="W751" s="109"/>
      <c r="X751" s="109"/>
      <c r="Y751" s="109"/>
      <c r="Z751" s="109"/>
    </row>
    <row r="752" ht="29.25" customHeight="1">
      <c r="A752" s="109"/>
      <c r="B752" s="109"/>
      <c r="C752" s="109"/>
      <c r="D752" s="109"/>
      <c r="E752" s="109"/>
      <c r="F752" s="109"/>
      <c r="G752" s="109"/>
      <c r="H752" s="317"/>
      <c r="I752" s="109"/>
      <c r="J752" s="109"/>
      <c r="K752" s="109"/>
      <c r="L752" s="109"/>
      <c r="M752" s="109"/>
      <c r="N752" s="109"/>
      <c r="O752" s="109"/>
      <c r="P752" s="109"/>
      <c r="Q752" s="109"/>
      <c r="R752" s="109"/>
      <c r="S752" s="109"/>
      <c r="T752" s="109"/>
      <c r="U752" s="109"/>
      <c r="V752" s="109"/>
      <c r="W752" s="109"/>
      <c r="X752" s="109"/>
      <c r="Y752" s="109"/>
      <c r="Z752" s="109"/>
    </row>
    <row r="753" ht="29.25" customHeight="1">
      <c r="A753" s="109"/>
      <c r="B753" s="109"/>
      <c r="C753" s="109"/>
      <c r="D753" s="109"/>
      <c r="E753" s="109"/>
      <c r="F753" s="109"/>
      <c r="G753" s="109"/>
      <c r="H753" s="317"/>
      <c r="I753" s="109"/>
      <c r="J753" s="109"/>
      <c r="K753" s="109"/>
      <c r="L753" s="109"/>
      <c r="M753" s="109"/>
      <c r="N753" s="109"/>
      <c r="O753" s="109"/>
      <c r="P753" s="109"/>
      <c r="Q753" s="109"/>
      <c r="R753" s="109"/>
      <c r="S753" s="109"/>
      <c r="T753" s="109"/>
      <c r="U753" s="109"/>
      <c r="V753" s="109"/>
      <c r="W753" s="109"/>
      <c r="X753" s="109"/>
      <c r="Y753" s="109"/>
      <c r="Z753" s="109"/>
    </row>
    <row r="754" ht="29.25" customHeight="1">
      <c r="A754" s="109"/>
      <c r="B754" s="109"/>
      <c r="C754" s="109"/>
      <c r="D754" s="109"/>
      <c r="E754" s="109"/>
      <c r="F754" s="109"/>
      <c r="G754" s="109"/>
      <c r="H754" s="317"/>
      <c r="I754" s="109"/>
      <c r="J754" s="109"/>
      <c r="K754" s="109"/>
      <c r="L754" s="109"/>
      <c r="M754" s="109"/>
      <c r="N754" s="109"/>
      <c r="O754" s="109"/>
      <c r="P754" s="109"/>
      <c r="Q754" s="109"/>
      <c r="R754" s="109"/>
      <c r="S754" s="109"/>
      <c r="T754" s="109"/>
      <c r="U754" s="109"/>
      <c r="V754" s="109"/>
      <c r="W754" s="109"/>
      <c r="X754" s="109"/>
      <c r="Y754" s="109"/>
      <c r="Z754" s="109"/>
    </row>
    <row r="755" ht="29.25" customHeight="1">
      <c r="A755" s="109"/>
      <c r="B755" s="109"/>
      <c r="C755" s="109"/>
      <c r="D755" s="109"/>
      <c r="E755" s="109"/>
      <c r="F755" s="109"/>
      <c r="G755" s="109"/>
      <c r="H755" s="317"/>
      <c r="I755" s="109"/>
      <c r="J755" s="109"/>
      <c r="K755" s="109"/>
      <c r="L755" s="109"/>
      <c r="M755" s="109"/>
      <c r="N755" s="109"/>
      <c r="O755" s="109"/>
      <c r="P755" s="109"/>
      <c r="Q755" s="109"/>
      <c r="R755" s="109"/>
      <c r="S755" s="109"/>
      <c r="T755" s="109"/>
      <c r="U755" s="109"/>
      <c r="V755" s="109"/>
      <c r="W755" s="109"/>
      <c r="X755" s="109"/>
      <c r="Y755" s="109"/>
      <c r="Z755" s="109"/>
    </row>
    <row r="756" ht="29.25" customHeight="1">
      <c r="A756" s="109"/>
      <c r="B756" s="109"/>
      <c r="C756" s="109"/>
      <c r="D756" s="109"/>
      <c r="E756" s="109"/>
      <c r="F756" s="109"/>
      <c r="G756" s="109"/>
      <c r="H756" s="317"/>
      <c r="I756" s="109"/>
      <c r="J756" s="109"/>
      <c r="K756" s="109"/>
      <c r="L756" s="109"/>
      <c r="M756" s="109"/>
      <c r="N756" s="109"/>
      <c r="O756" s="109"/>
      <c r="P756" s="109"/>
      <c r="Q756" s="109"/>
      <c r="R756" s="109"/>
      <c r="S756" s="109"/>
      <c r="T756" s="109"/>
      <c r="U756" s="109"/>
      <c r="V756" s="109"/>
      <c r="W756" s="109"/>
      <c r="X756" s="109"/>
      <c r="Y756" s="109"/>
      <c r="Z756" s="109"/>
    </row>
    <row r="757" ht="29.25" customHeight="1">
      <c r="A757" s="109"/>
      <c r="B757" s="109"/>
      <c r="C757" s="109"/>
      <c r="D757" s="109"/>
      <c r="E757" s="109"/>
      <c r="F757" s="109"/>
      <c r="G757" s="109"/>
      <c r="H757" s="317"/>
      <c r="I757" s="109"/>
      <c r="J757" s="109"/>
      <c r="K757" s="109"/>
      <c r="L757" s="109"/>
      <c r="M757" s="109"/>
      <c r="N757" s="109"/>
      <c r="O757" s="109"/>
      <c r="P757" s="109"/>
      <c r="Q757" s="109"/>
      <c r="R757" s="109"/>
      <c r="S757" s="109"/>
      <c r="T757" s="109"/>
      <c r="U757" s="109"/>
      <c r="V757" s="109"/>
      <c r="W757" s="109"/>
      <c r="X757" s="109"/>
      <c r="Y757" s="109"/>
      <c r="Z757" s="109"/>
    </row>
    <row r="758" ht="29.25" customHeight="1">
      <c r="A758" s="109"/>
      <c r="B758" s="109"/>
      <c r="C758" s="109"/>
      <c r="D758" s="109"/>
      <c r="E758" s="109"/>
      <c r="F758" s="109"/>
      <c r="G758" s="109"/>
      <c r="H758" s="317"/>
      <c r="I758" s="109"/>
      <c r="J758" s="109"/>
      <c r="K758" s="109"/>
      <c r="L758" s="109"/>
      <c r="M758" s="109"/>
      <c r="N758" s="109"/>
      <c r="O758" s="109"/>
      <c r="P758" s="109"/>
      <c r="Q758" s="109"/>
      <c r="R758" s="109"/>
      <c r="S758" s="109"/>
      <c r="T758" s="109"/>
      <c r="U758" s="109"/>
      <c r="V758" s="109"/>
      <c r="W758" s="109"/>
      <c r="X758" s="109"/>
      <c r="Y758" s="109"/>
      <c r="Z758" s="109"/>
    </row>
    <row r="759" ht="29.25" customHeight="1">
      <c r="A759" s="109"/>
      <c r="B759" s="109"/>
      <c r="C759" s="109"/>
      <c r="D759" s="109"/>
      <c r="E759" s="109"/>
      <c r="F759" s="109"/>
      <c r="G759" s="109"/>
      <c r="H759" s="317"/>
      <c r="I759" s="109"/>
      <c r="J759" s="109"/>
      <c r="K759" s="109"/>
      <c r="L759" s="109"/>
      <c r="M759" s="109"/>
      <c r="N759" s="109"/>
      <c r="O759" s="109"/>
      <c r="P759" s="109"/>
      <c r="Q759" s="109"/>
      <c r="R759" s="109"/>
      <c r="S759" s="109"/>
      <c r="T759" s="109"/>
      <c r="U759" s="109"/>
      <c r="V759" s="109"/>
      <c r="W759" s="109"/>
      <c r="X759" s="109"/>
      <c r="Y759" s="109"/>
      <c r="Z759" s="109"/>
    </row>
    <row r="760" ht="29.25" customHeight="1">
      <c r="A760" s="109"/>
      <c r="B760" s="109"/>
      <c r="C760" s="109"/>
      <c r="D760" s="109"/>
      <c r="E760" s="109"/>
      <c r="F760" s="109"/>
      <c r="G760" s="109"/>
      <c r="H760" s="317"/>
      <c r="I760" s="109"/>
      <c r="J760" s="109"/>
      <c r="K760" s="109"/>
      <c r="L760" s="109"/>
      <c r="M760" s="109"/>
      <c r="N760" s="109"/>
      <c r="O760" s="109"/>
      <c r="P760" s="109"/>
      <c r="Q760" s="109"/>
      <c r="R760" s="109"/>
      <c r="S760" s="109"/>
      <c r="T760" s="109"/>
      <c r="U760" s="109"/>
      <c r="V760" s="109"/>
      <c r="W760" s="109"/>
      <c r="X760" s="109"/>
      <c r="Y760" s="109"/>
      <c r="Z760" s="109"/>
    </row>
    <row r="761" ht="29.25" customHeight="1">
      <c r="A761" s="109"/>
      <c r="B761" s="109"/>
      <c r="C761" s="109"/>
      <c r="D761" s="109"/>
      <c r="E761" s="109"/>
      <c r="F761" s="109"/>
      <c r="G761" s="109"/>
      <c r="H761" s="317"/>
      <c r="I761" s="109"/>
      <c r="J761" s="109"/>
      <c r="K761" s="109"/>
      <c r="L761" s="109"/>
      <c r="M761" s="109"/>
      <c r="N761" s="109"/>
      <c r="O761" s="109"/>
      <c r="P761" s="109"/>
      <c r="Q761" s="109"/>
      <c r="R761" s="109"/>
      <c r="S761" s="109"/>
      <c r="T761" s="109"/>
      <c r="U761" s="109"/>
      <c r="V761" s="109"/>
      <c r="W761" s="109"/>
      <c r="X761" s="109"/>
      <c r="Y761" s="109"/>
      <c r="Z761" s="109"/>
    </row>
    <row r="762" ht="29.25" customHeight="1">
      <c r="A762" s="109"/>
      <c r="B762" s="109"/>
      <c r="C762" s="109"/>
      <c r="D762" s="109"/>
      <c r="E762" s="109"/>
      <c r="F762" s="109"/>
      <c r="G762" s="109"/>
      <c r="H762" s="317"/>
      <c r="I762" s="109"/>
      <c r="J762" s="109"/>
      <c r="K762" s="109"/>
      <c r="L762" s="109"/>
      <c r="M762" s="109"/>
      <c r="N762" s="109"/>
      <c r="O762" s="109"/>
      <c r="P762" s="109"/>
      <c r="Q762" s="109"/>
      <c r="R762" s="109"/>
      <c r="S762" s="109"/>
      <c r="T762" s="109"/>
      <c r="U762" s="109"/>
      <c r="V762" s="109"/>
      <c r="W762" s="109"/>
      <c r="X762" s="109"/>
      <c r="Y762" s="109"/>
      <c r="Z762" s="109"/>
    </row>
    <row r="763" ht="29.25" customHeight="1">
      <c r="A763" s="109"/>
      <c r="B763" s="109"/>
      <c r="C763" s="109"/>
      <c r="D763" s="109"/>
      <c r="E763" s="109"/>
      <c r="F763" s="109"/>
      <c r="G763" s="109"/>
      <c r="H763" s="317"/>
      <c r="I763" s="109"/>
      <c r="J763" s="109"/>
      <c r="K763" s="109"/>
      <c r="L763" s="109"/>
      <c r="M763" s="109"/>
      <c r="N763" s="109"/>
      <c r="O763" s="109"/>
      <c r="P763" s="109"/>
      <c r="Q763" s="109"/>
      <c r="R763" s="109"/>
      <c r="S763" s="109"/>
      <c r="T763" s="109"/>
      <c r="U763" s="109"/>
      <c r="V763" s="109"/>
      <c r="W763" s="109"/>
      <c r="X763" s="109"/>
      <c r="Y763" s="109"/>
      <c r="Z763" s="109"/>
    </row>
    <row r="764" ht="29.25" customHeight="1">
      <c r="A764" s="109"/>
      <c r="B764" s="109"/>
      <c r="C764" s="109"/>
      <c r="D764" s="109"/>
      <c r="E764" s="109"/>
      <c r="F764" s="109"/>
      <c r="G764" s="109"/>
      <c r="H764" s="317"/>
      <c r="I764" s="109"/>
      <c r="J764" s="109"/>
      <c r="K764" s="109"/>
      <c r="L764" s="109"/>
      <c r="M764" s="109"/>
      <c r="N764" s="109"/>
      <c r="O764" s="109"/>
      <c r="P764" s="109"/>
      <c r="Q764" s="109"/>
      <c r="R764" s="109"/>
      <c r="S764" s="109"/>
      <c r="T764" s="109"/>
      <c r="U764" s="109"/>
      <c r="V764" s="109"/>
      <c r="W764" s="109"/>
      <c r="X764" s="109"/>
      <c r="Y764" s="109"/>
      <c r="Z764" s="109"/>
    </row>
    <row r="765" ht="29.25" customHeight="1">
      <c r="A765" s="109"/>
      <c r="B765" s="109"/>
      <c r="C765" s="109"/>
      <c r="D765" s="109"/>
      <c r="E765" s="109"/>
      <c r="F765" s="109"/>
      <c r="G765" s="109"/>
      <c r="H765" s="317"/>
      <c r="I765" s="109"/>
      <c r="J765" s="109"/>
      <c r="K765" s="109"/>
      <c r="L765" s="109"/>
      <c r="M765" s="109"/>
      <c r="N765" s="109"/>
      <c r="O765" s="109"/>
      <c r="P765" s="109"/>
      <c r="Q765" s="109"/>
      <c r="R765" s="109"/>
      <c r="S765" s="109"/>
      <c r="T765" s="109"/>
      <c r="U765" s="109"/>
      <c r="V765" s="109"/>
      <c r="W765" s="109"/>
      <c r="X765" s="109"/>
      <c r="Y765" s="109"/>
      <c r="Z765" s="109"/>
    </row>
    <row r="766" ht="29.25" customHeight="1">
      <c r="A766" s="109"/>
      <c r="B766" s="109"/>
      <c r="C766" s="109"/>
      <c r="D766" s="109"/>
      <c r="E766" s="109"/>
      <c r="F766" s="109"/>
      <c r="G766" s="109"/>
      <c r="H766" s="317"/>
      <c r="I766" s="109"/>
      <c r="J766" s="109"/>
      <c r="K766" s="109"/>
      <c r="L766" s="109"/>
      <c r="M766" s="109"/>
      <c r="N766" s="109"/>
      <c r="O766" s="109"/>
      <c r="P766" s="109"/>
      <c r="Q766" s="109"/>
      <c r="R766" s="109"/>
      <c r="S766" s="109"/>
      <c r="T766" s="109"/>
      <c r="U766" s="109"/>
      <c r="V766" s="109"/>
      <c r="W766" s="109"/>
      <c r="X766" s="109"/>
      <c r="Y766" s="109"/>
      <c r="Z766" s="109"/>
    </row>
    <row r="767" ht="29.25" customHeight="1">
      <c r="A767" s="109"/>
      <c r="B767" s="109"/>
      <c r="C767" s="109"/>
      <c r="D767" s="109"/>
      <c r="E767" s="109"/>
      <c r="F767" s="109"/>
      <c r="G767" s="109"/>
      <c r="H767" s="317"/>
      <c r="I767" s="109"/>
      <c r="J767" s="109"/>
      <c r="K767" s="109"/>
      <c r="L767" s="109"/>
      <c r="M767" s="109"/>
      <c r="N767" s="109"/>
      <c r="O767" s="109"/>
      <c r="P767" s="109"/>
      <c r="Q767" s="109"/>
      <c r="R767" s="109"/>
      <c r="S767" s="109"/>
      <c r="T767" s="109"/>
      <c r="U767" s="109"/>
      <c r="V767" s="109"/>
      <c r="W767" s="109"/>
      <c r="X767" s="109"/>
      <c r="Y767" s="109"/>
      <c r="Z767" s="109"/>
    </row>
    <row r="768" ht="29.25" customHeight="1">
      <c r="A768" s="109"/>
      <c r="B768" s="109"/>
      <c r="C768" s="109"/>
      <c r="D768" s="109"/>
      <c r="E768" s="109"/>
      <c r="F768" s="109"/>
      <c r="G768" s="109"/>
      <c r="H768" s="317"/>
      <c r="I768" s="109"/>
      <c r="J768" s="109"/>
      <c r="K768" s="109"/>
      <c r="L768" s="109"/>
      <c r="M768" s="109"/>
      <c r="N768" s="109"/>
      <c r="O768" s="109"/>
      <c r="P768" s="109"/>
      <c r="Q768" s="109"/>
      <c r="R768" s="109"/>
      <c r="S768" s="109"/>
      <c r="T768" s="109"/>
      <c r="U768" s="109"/>
      <c r="V768" s="109"/>
      <c r="W768" s="109"/>
      <c r="X768" s="109"/>
      <c r="Y768" s="109"/>
      <c r="Z768" s="109"/>
    </row>
    <row r="769" ht="29.25" customHeight="1">
      <c r="A769" s="109"/>
      <c r="B769" s="109"/>
      <c r="C769" s="109"/>
      <c r="D769" s="109"/>
      <c r="E769" s="109"/>
      <c r="F769" s="109"/>
      <c r="G769" s="109"/>
      <c r="H769" s="317"/>
      <c r="I769" s="109"/>
      <c r="J769" s="109"/>
      <c r="K769" s="109"/>
      <c r="L769" s="109"/>
      <c r="M769" s="109"/>
      <c r="N769" s="109"/>
      <c r="O769" s="109"/>
      <c r="P769" s="109"/>
      <c r="Q769" s="109"/>
      <c r="R769" s="109"/>
      <c r="S769" s="109"/>
      <c r="T769" s="109"/>
      <c r="U769" s="109"/>
      <c r="V769" s="109"/>
      <c r="W769" s="109"/>
      <c r="X769" s="109"/>
      <c r="Y769" s="109"/>
      <c r="Z769" s="109"/>
    </row>
    <row r="770" ht="29.25" customHeight="1">
      <c r="A770" s="109"/>
      <c r="B770" s="109"/>
      <c r="C770" s="109"/>
      <c r="D770" s="109"/>
      <c r="E770" s="109"/>
      <c r="F770" s="109"/>
      <c r="G770" s="109"/>
      <c r="H770" s="317"/>
      <c r="I770" s="109"/>
      <c r="J770" s="109"/>
      <c r="K770" s="109"/>
      <c r="L770" s="109"/>
      <c r="M770" s="109"/>
      <c r="N770" s="109"/>
      <c r="O770" s="109"/>
      <c r="P770" s="109"/>
      <c r="Q770" s="109"/>
      <c r="R770" s="109"/>
      <c r="S770" s="109"/>
      <c r="T770" s="109"/>
      <c r="U770" s="109"/>
      <c r="V770" s="109"/>
      <c r="W770" s="109"/>
      <c r="X770" s="109"/>
      <c r="Y770" s="109"/>
      <c r="Z770" s="109"/>
    </row>
    <row r="771" ht="29.25" customHeight="1">
      <c r="A771" s="109"/>
      <c r="B771" s="109"/>
      <c r="C771" s="109"/>
      <c r="D771" s="109"/>
      <c r="E771" s="109"/>
      <c r="F771" s="109"/>
      <c r="G771" s="109"/>
      <c r="H771" s="317"/>
      <c r="I771" s="109"/>
      <c r="J771" s="109"/>
      <c r="K771" s="109"/>
      <c r="L771" s="109"/>
      <c r="M771" s="109"/>
      <c r="N771" s="109"/>
      <c r="O771" s="109"/>
      <c r="P771" s="109"/>
      <c r="Q771" s="109"/>
      <c r="R771" s="109"/>
      <c r="S771" s="109"/>
      <c r="T771" s="109"/>
      <c r="U771" s="109"/>
      <c r="V771" s="109"/>
      <c r="W771" s="109"/>
      <c r="X771" s="109"/>
      <c r="Y771" s="109"/>
      <c r="Z771" s="109"/>
    </row>
    <row r="772" ht="29.25" customHeight="1">
      <c r="A772" s="109"/>
      <c r="B772" s="109"/>
      <c r="C772" s="109"/>
      <c r="D772" s="109"/>
      <c r="E772" s="109"/>
      <c r="F772" s="109"/>
      <c r="G772" s="109"/>
      <c r="H772" s="317"/>
      <c r="I772" s="109"/>
      <c r="J772" s="109"/>
      <c r="K772" s="109"/>
      <c r="L772" s="109"/>
      <c r="M772" s="109"/>
      <c r="N772" s="109"/>
      <c r="O772" s="109"/>
      <c r="P772" s="109"/>
      <c r="Q772" s="109"/>
      <c r="R772" s="109"/>
      <c r="S772" s="109"/>
      <c r="T772" s="109"/>
      <c r="U772" s="109"/>
      <c r="V772" s="109"/>
      <c r="W772" s="109"/>
      <c r="X772" s="109"/>
      <c r="Y772" s="109"/>
      <c r="Z772" s="109"/>
    </row>
    <row r="773" ht="29.25" customHeight="1">
      <c r="A773" s="109"/>
      <c r="B773" s="109"/>
      <c r="C773" s="109"/>
      <c r="D773" s="109"/>
      <c r="E773" s="109"/>
      <c r="F773" s="109"/>
      <c r="G773" s="109"/>
      <c r="H773" s="317"/>
      <c r="I773" s="109"/>
      <c r="J773" s="109"/>
      <c r="K773" s="109"/>
      <c r="L773" s="109"/>
      <c r="M773" s="109"/>
      <c r="N773" s="109"/>
      <c r="O773" s="109"/>
      <c r="P773" s="109"/>
      <c r="Q773" s="109"/>
      <c r="R773" s="109"/>
      <c r="S773" s="109"/>
      <c r="T773" s="109"/>
      <c r="U773" s="109"/>
      <c r="V773" s="109"/>
      <c r="W773" s="109"/>
      <c r="X773" s="109"/>
      <c r="Y773" s="109"/>
      <c r="Z773" s="109"/>
    </row>
    <row r="774" ht="29.25" customHeight="1">
      <c r="A774" s="109"/>
      <c r="B774" s="109"/>
      <c r="C774" s="109"/>
      <c r="D774" s="109"/>
      <c r="E774" s="109"/>
      <c r="F774" s="109"/>
      <c r="G774" s="109"/>
      <c r="H774" s="317"/>
      <c r="I774" s="109"/>
      <c r="J774" s="109"/>
      <c r="K774" s="109"/>
      <c r="L774" s="109"/>
      <c r="M774" s="109"/>
      <c r="N774" s="109"/>
      <c r="O774" s="109"/>
      <c r="P774" s="109"/>
      <c r="Q774" s="109"/>
      <c r="R774" s="109"/>
      <c r="S774" s="109"/>
      <c r="T774" s="109"/>
      <c r="U774" s="109"/>
      <c r="V774" s="109"/>
      <c r="W774" s="109"/>
      <c r="X774" s="109"/>
      <c r="Y774" s="109"/>
      <c r="Z774" s="109"/>
    </row>
    <row r="775" ht="29.25" customHeight="1">
      <c r="A775" s="109"/>
      <c r="B775" s="109"/>
      <c r="C775" s="109"/>
      <c r="D775" s="109"/>
      <c r="E775" s="109"/>
      <c r="F775" s="109"/>
      <c r="G775" s="109"/>
      <c r="H775" s="317"/>
      <c r="I775" s="109"/>
      <c r="J775" s="109"/>
      <c r="K775" s="109"/>
      <c r="L775" s="109"/>
      <c r="M775" s="109"/>
      <c r="N775" s="109"/>
      <c r="O775" s="109"/>
      <c r="P775" s="109"/>
      <c r="Q775" s="109"/>
      <c r="R775" s="109"/>
      <c r="S775" s="109"/>
      <c r="T775" s="109"/>
      <c r="U775" s="109"/>
      <c r="V775" s="109"/>
      <c r="W775" s="109"/>
      <c r="X775" s="109"/>
      <c r="Y775" s="109"/>
      <c r="Z775" s="109"/>
    </row>
    <row r="776" ht="29.25" customHeight="1">
      <c r="A776" s="109"/>
      <c r="B776" s="109"/>
      <c r="C776" s="109"/>
      <c r="D776" s="109"/>
      <c r="E776" s="109"/>
      <c r="F776" s="109"/>
      <c r="G776" s="109"/>
      <c r="H776" s="317"/>
      <c r="I776" s="109"/>
      <c r="J776" s="109"/>
      <c r="K776" s="109"/>
      <c r="L776" s="109"/>
      <c r="M776" s="109"/>
      <c r="N776" s="109"/>
      <c r="O776" s="109"/>
      <c r="P776" s="109"/>
      <c r="Q776" s="109"/>
      <c r="R776" s="109"/>
      <c r="S776" s="109"/>
      <c r="T776" s="109"/>
      <c r="U776" s="109"/>
      <c r="V776" s="109"/>
      <c r="W776" s="109"/>
      <c r="X776" s="109"/>
      <c r="Y776" s="109"/>
      <c r="Z776" s="109"/>
    </row>
    <row r="777" ht="29.25" customHeight="1">
      <c r="A777" s="109"/>
      <c r="B777" s="109"/>
      <c r="C777" s="109"/>
      <c r="D777" s="109"/>
      <c r="E777" s="109"/>
      <c r="F777" s="109"/>
      <c r="G777" s="109"/>
      <c r="H777" s="317"/>
      <c r="I777" s="109"/>
      <c r="J777" s="109"/>
      <c r="K777" s="109"/>
      <c r="L777" s="109"/>
      <c r="M777" s="109"/>
      <c r="N777" s="109"/>
      <c r="O777" s="109"/>
      <c r="P777" s="109"/>
      <c r="Q777" s="109"/>
      <c r="R777" s="109"/>
      <c r="S777" s="109"/>
      <c r="T777" s="109"/>
      <c r="U777" s="109"/>
      <c r="V777" s="109"/>
      <c r="W777" s="109"/>
      <c r="X777" s="109"/>
      <c r="Y777" s="109"/>
      <c r="Z777" s="109"/>
    </row>
    <row r="778" ht="29.25" customHeight="1">
      <c r="A778" s="109"/>
      <c r="B778" s="109"/>
      <c r="C778" s="109"/>
      <c r="D778" s="109"/>
      <c r="E778" s="109"/>
      <c r="F778" s="109"/>
      <c r="G778" s="109"/>
      <c r="H778" s="317"/>
      <c r="I778" s="109"/>
      <c r="J778" s="109"/>
      <c r="K778" s="109"/>
      <c r="L778" s="109"/>
      <c r="M778" s="109"/>
      <c r="N778" s="109"/>
      <c r="O778" s="109"/>
      <c r="P778" s="109"/>
      <c r="Q778" s="109"/>
      <c r="R778" s="109"/>
      <c r="S778" s="109"/>
      <c r="T778" s="109"/>
      <c r="U778" s="109"/>
      <c r="V778" s="109"/>
      <c r="W778" s="109"/>
      <c r="X778" s="109"/>
      <c r="Y778" s="109"/>
      <c r="Z778" s="109"/>
    </row>
    <row r="779" ht="29.25" customHeight="1">
      <c r="A779" s="109"/>
      <c r="B779" s="109"/>
      <c r="C779" s="109"/>
      <c r="D779" s="109"/>
      <c r="E779" s="109"/>
      <c r="F779" s="109"/>
      <c r="G779" s="109"/>
      <c r="H779" s="317"/>
      <c r="I779" s="109"/>
      <c r="J779" s="109"/>
      <c r="K779" s="109"/>
      <c r="L779" s="109"/>
      <c r="M779" s="109"/>
      <c r="N779" s="109"/>
      <c r="O779" s="109"/>
      <c r="P779" s="109"/>
      <c r="Q779" s="109"/>
      <c r="R779" s="109"/>
      <c r="S779" s="109"/>
      <c r="T779" s="109"/>
      <c r="U779" s="109"/>
      <c r="V779" s="109"/>
      <c r="W779" s="109"/>
      <c r="X779" s="109"/>
      <c r="Y779" s="109"/>
      <c r="Z779" s="109"/>
    </row>
    <row r="780" ht="29.25" customHeight="1">
      <c r="A780" s="109"/>
      <c r="B780" s="109"/>
      <c r="C780" s="109"/>
      <c r="D780" s="109"/>
      <c r="E780" s="109"/>
      <c r="F780" s="109"/>
      <c r="G780" s="109"/>
      <c r="H780" s="317"/>
      <c r="I780" s="109"/>
      <c r="J780" s="109"/>
      <c r="K780" s="109"/>
      <c r="L780" s="109"/>
      <c r="M780" s="109"/>
      <c r="N780" s="109"/>
      <c r="O780" s="109"/>
      <c r="P780" s="109"/>
      <c r="Q780" s="109"/>
      <c r="R780" s="109"/>
      <c r="S780" s="109"/>
      <c r="T780" s="109"/>
      <c r="U780" s="109"/>
      <c r="V780" s="109"/>
      <c r="W780" s="109"/>
      <c r="X780" s="109"/>
      <c r="Y780" s="109"/>
      <c r="Z780" s="109"/>
    </row>
    <row r="781" ht="29.25" customHeight="1">
      <c r="A781" s="109"/>
      <c r="B781" s="109"/>
      <c r="C781" s="109"/>
      <c r="D781" s="109"/>
      <c r="E781" s="109"/>
      <c r="F781" s="109"/>
      <c r="G781" s="109"/>
      <c r="H781" s="317"/>
      <c r="I781" s="109"/>
      <c r="J781" s="109"/>
      <c r="K781" s="109"/>
      <c r="L781" s="109"/>
      <c r="M781" s="109"/>
      <c r="N781" s="109"/>
      <c r="O781" s="109"/>
      <c r="P781" s="109"/>
      <c r="Q781" s="109"/>
      <c r="R781" s="109"/>
      <c r="S781" s="109"/>
      <c r="T781" s="109"/>
      <c r="U781" s="109"/>
      <c r="V781" s="109"/>
      <c r="W781" s="109"/>
      <c r="X781" s="109"/>
      <c r="Y781" s="109"/>
      <c r="Z781" s="109"/>
    </row>
    <row r="782" ht="29.25" customHeight="1">
      <c r="A782" s="109"/>
      <c r="B782" s="109"/>
      <c r="C782" s="109"/>
      <c r="D782" s="109"/>
      <c r="E782" s="109"/>
      <c r="F782" s="109"/>
      <c r="G782" s="109"/>
      <c r="H782" s="317"/>
      <c r="I782" s="109"/>
      <c r="J782" s="109"/>
      <c r="K782" s="109"/>
      <c r="L782" s="109"/>
      <c r="M782" s="109"/>
      <c r="N782" s="109"/>
      <c r="O782" s="109"/>
      <c r="P782" s="109"/>
      <c r="Q782" s="109"/>
      <c r="R782" s="109"/>
      <c r="S782" s="109"/>
      <c r="T782" s="109"/>
      <c r="U782" s="109"/>
      <c r="V782" s="109"/>
      <c r="W782" s="109"/>
      <c r="X782" s="109"/>
      <c r="Y782" s="109"/>
      <c r="Z782" s="109"/>
    </row>
    <row r="783" ht="29.25" customHeight="1">
      <c r="A783" s="109"/>
      <c r="B783" s="109"/>
      <c r="C783" s="109"/>
      <c r="D783" s="109"/>
      <c r="E783" s="109"/>
      <c r="F783" s="109"/>
      <c r="G783" s="109"/>
      <c r="H783" s="317"/>
      <c r="I783" s="109"/>
      <c r="J783" s="109"/>
      <c r="K783" s="109"/>
      <c r="L783" s="109"/>
      <c r="M783" s="109"/>
      <c r="N783" s="109"/>
      <c r="O783" s="109"/>
      <c r="P783" s="109"/>
      <c r="Q783" s="109"/>
      <c r="R783" s="109"/>
      <c r="S783" s="109"/>
      <c r="T783" s="109"/>
      <c r="U783" s="109"/>
      <c r="V783" s="109"/>
      <c r="W783" s="109"/>
      <c r="X783" s="109"/>
      <c r="Y783" s="109"/>
      <c r="Z783" s="109"/>
    </row>
    <row r="784" ht="29.25" customHeight="1">
      <c r="A784" s="109"/>
      <c r="B784" s="109"/>
      <c r="C784" s="109"/>
      <c r="D784" s="109"/>
      <c r="E784" s="109"/>
      <c r="F784" s="109"/>
      <c r="G784" s="109"/>
      <c r="H784" s="317"/>
      <c r="I784" s="109"/>
      <c r="J784" s="109"/>
      <c r="K784" s="109"/>
      <c r="L784" s="109"/>
      <c r="M784" s="109"/>
      <c r="N784" s="109"/>
      <c r="O784" s="109"/>
      <c r="P784" s="109"/>
      <c r="Q784" s="109"/>
      <c r="R784" s="109"/>
      <c r="S784" s="109"/>
      <c r="T784" s="109"/>
      <c r="U784" s="109"/>
      <c r="V784" s="109"/>
      <c r="W784" s="109"/>
      <c r="X784" s="109"/>
      <c r="Y784" s="109"/>
      <c r="Z784" s="109"/>
    </row>
    <row r="785" ht="29.25" customHeight="1">
      <c r="A785" s="109"/>
      <c r="B785" s="109"/>
      <c r="C785" s="109"/>
      <c r="D785" s="109"/>
      <c r="E785" s="109"/>
      <c r="F785" s="109"/>
      <c r="G785" s="109"/>
      <c r="H785" s="317"/>
      <c r="I785" s="109"/>
      <c r="J785" s="109"/>
      <c r="K785" s="109"/>
      <c r="L785" s="109"/>
      <c r="M785" s="109"/>
      <c r="N785" s="109"/>
      <c r="O785" s="109"/>
      <c r="P785" s="109"/>
      <c r="Q785" s="109"/>
      <c r="R785" s="109"/>
      <c r="S785" s="109"/>
      <c r="T785" s="109"/>
      <c r="U785" s="109"/>
      <c r="V785" s="109"/>
      <c r="W785" s="109"/>
      <c r="X785" s="109"/>
      <c r="Y785" s="109"/>
      <c r="Z785" s="109"/>
    </row>
    <row r="786" ht="29.25" customHeight="1">
      <c r="A786" s="109"/>
      <c r="B786" s="109"/>
      <c r="C786" s="109"/>
      <c r="D786" s="109"/>
      <c r="E786" s="109"/>
      <c r="F786" s="109"/>
      <c r="G786" s="109"/>
      <c r="H786" s="317"/>
      <c r="I786" s="109"/>
      <c r="J786" s="109"/>
      <c r="K786" s="109"/>
      <c r="L786" s="109"/>
      <c r="M786" s="109"/>
      <c r="N786" s="109"/>
      <c r="O786" s="109"/>
      <c r="P786" s="109"/>
      <c r="Q786" s="109"/>
      <c r="R786" s="109"/>
      <c r="S786" s="109"/>
      <c r="T786" s="109"/>
      <c r="U786" s="109"/>
      <c r="V786" s="109"/>
      <c r="W786" s="109"/>
      <c r="X786" s="109"/>
      <c r="Y786" s="109"/>
      <c r="Z786" s="109"/>
    </row>
    <row r="787" ht="29.25" customHeight="1">
      <c r="A787" s="109"/>
      <c r="B787" s="109"/>
      <c r="C787" s="109"/>
      <c r="D787" s="109"/>
      <c r="E787" s="109"/>
      <c r="F787" s="109"/>
      <c r="G787" s="109"/>
      <c r="H787" s="317"/>
      <c r="I787" s="109"/>
      <c r="J787" s="109"/>
      <c r="K787" s="109"/>
      <c r="L787" s="109"/>
      <c r="M787" s="109"/>
      <c r="N787" s="109"/>
      <c r="O787" s="109"/>
      <c r="P787" s="109"/>
      <c r="Q787" s="109"/>
      <c r="R787" s="109"/>
      <c r="S787" s="109"/>
      <c r="T787" s="109"/>
      <c r="U787" s="109"/>
      <c r="V787" s="109"/>
      <c r="W787" s="109"/>
      <c r="X787" s="109"/>
      <c r="Y787" s="109"/>
      <c r="Z787" s="109"/>
    </row>
    <row r="788" ht="29.25" customHeight="1">
      <c r="A788" s="109"/>
      <c r="B788" s="109"/>
      <c r="C788" s="109"/>
      <c r="D788" s="109"/>
      <c r="E788" s="109"/>
      <c r="F788" s="109"/>
      <c r="G788" s="109"/>
      <c r="H788" s="317"/>
      <c r="I788" s="109"/>
      <c r="J788" s="109"/>
      <c r="K788" s="109"/>
      <c r="L788" s="109"/>
      <c r="M788" s="109"/>
      <c r="N788" s="109"/>
      <c r="O788" s="109"/>
      <c r="P788" s="109"/>
      <c r="Q788" s="109"/>
      <c r="R788" s="109"/>
      <c r="S788" s="109"/>
      <c r="T788" s="109"/>
      <c r="U788" s="109"/>
      <c r="V788" s="109"/>
      <c r="W788" s="109"/>
      <c r="X788" s="109"/>
      <c r="Y788" s="109"/>
      <c r="Z788" s="109"/>
    </row>
    <row r="789" ht="29.25" customHeight="1">
      <c r="A789" s="109"/>
      <c r="B789" s="109"/>
      <c r="C789" s="109"/>
      <c r="D789" s="109"/>
      <c r="E789" s="109"/>
      <c r="F789" s="109"/>
      <c r="G789" s="109"/>
      <c r="H789" s="317"/>
      <c r="I789" s="109"/>
      <c r="J789" s="109"/>
      <c r="K789" s="109"/>
      <c r="L789" s="109"/>
      <c r="M789" s="109"/>
      <c r="N789" s="109"/>
      <c r="O789" s="109"/>
      <c r="P789" s="109"/>
      <c r="Q789" s="109"/>
      <c r="R789" s="109"/>
      <c r="S789" s="109"/>
      <c r="T789" s="109"/>
      <c r="U789" s="109"/>
      <c r="V789" s="109"/>
      <c r="W789" s="109"/>
      <c r="X789" s="109"/>
      <c r="Y789" s="109"/>
      <c r="Z789" s="109"/>
    </row>
    <row r="790" ht="29.25" customHeight="1">
      <c r="A790" s="109"/>
      <c r="B790" s="109"/>
      <c r="C790" s="109"/>
      <c r="D790" s="109"/>
      <c r="E790" s="109"/>
      <c r="F790" s="109"/>
      <c r="G790" s="109"/>
      <c r="H790" s="317"/>
      <c r="I790" s="109"/>
      <c r="J790" s="109"/>
      <c r="K790" s="109"/>
      <c r="L790" s="109"/>
      <c r="M790" s="109"/>
      <c r="N790" s="109"/>
      <c r="O790" s="109"/>
      <c r="P790" s="109"/>
      <c r="Q790" s="109"/>
      <c r="R790" s="109"/>
      <c r="S790" s="109"/>
      <c r="T790" s="109"/>
      <c r="U790" s="109"/>
      <c r="V790" s="109"/>
      <c r="W790" s="109"/>
      <c r="X790" s="109"/>
      <c r="Y790" s="109"/>
      <c r="Z790" s="109"/>
    </row>
    <row r="791" ht="29.25" customHeight="1">
      <c r="A791" s="109"/>
      <c r="B791" s="109"/>
      <c r="C791" s="109"/>
      <c r="D791" s="109"/>
      <c r="E791" s="109"/>
      <c r="F791" s="109"/>
      <c r="G791" s="109"/>
      <c r="H791" s="317"/>
      <c r="I791" s="109"/>
      <c r="J791" s="109"/>
      <c r="K791" s="109"/>
      <c r="L791" s="109"/>
      <c r="M791" s="109"/>
      <c r="N791" s="109"/>
      <c r="O791" s="109"/>
      <c r="P791" s="109"/>
      <c r="Q791" s="109"/>
      <c r="R791" s="109"/>
      <c r="S791" s="109"/>
      <c r="T791" s="109"/>
      <c r="U791" s="109"/>
      <c r="V791" s="109"/>
      <c r="W791" s="109"/>
      <c r="X791" s="109"/>
      <c r="Y791" s="109"/>
      <c r="Z791" s="109"/>
    </row>
    <row r="792" ht="29.25" customHeight="1">
      <c r="A792" s="109"/>
      <c r="B792" s="109"/>
      <c r="C792" s="109"/>
      <c r="D792" s="109"/>
      <c r="E792" s="109"/>
      <c r="F792" s="109"/>
      <c r="G792" s="109"/>
      <c r="H792" s="317"/>
      <c r="I792" s="109"/>
      <c r="J792" s="109"/>
      <c r="K792" s="109"/>
      <c r="L792" s="109"/>
      <c r="M792" s="109"/>
      <c r="N792" s="109"/>
      <c r="O792" s="109"/>
      <c r="P792" s="109"/>
      <c r="Q792" s="109"/>
      <c r="R792" s="109"/>
      <c r="S792" s="109"/>
      <c r="T792" s="109"/>
      <c r="U792" s="109"/>
      <c r="V792" s="109"/>
      <c r="W792" s="109"/>
      <c r="X792" s="109"/>
      <c r="Y792" s="109"/>
      <c r="Z792" s="109"/>
    </row>
    <row r="793" ht="29.25" customHeight="1">
      <c r="A793" s="109"/>
      <c r="B793" s="109"/>
      <c r="C793" s="109"/>
      <c r="D793" s="109"/>
      <c r="E793" s="109"/>
      <c r="F793" s="109"/>
      <c r="G793" s="109"/>
      <c r="H793" s="317"/>
      <c r="I793" s="109"/>
      <c r="J793" s="109"/>
      <c r="K793" s="109"/>
      <c r="L793" s="109"/>
      <c r="M793" s="109"/>
      <c r="N793" s="109"/>
      <c r="O793" s="109"/>
      <c r="P793" s="109"/>
      <c r="Q793" s="109"/>
      <c r="R793" s="109"/>
      <c r="S793" s="109"/>
      <c r="T793" s="109"/>
      <c r="U793" s="109"/>
      <c r="V793" s="109"/>
      <c r="W793" s="109"/>
      <c r="X793" s="109"/>
      <c r="Y793" s="109"/>
      <c r="Z793" s="109"/>
    </row>
    <row r="794" ht="29.25" customHeight="1">
      <c r="A794" s="109"/>
      <c r="B794" s="109"/>
      <c r="C794" s="109"/>
      <c r="D794" s="109"/>
      <c r="E794" s="109"/>
      <c r="F794" s="109"/>
      <c r="G794" s="109"/>
      <c r="H794" s="317"/>
      <c r="I794" s="109"/>
      <c r="J794" s="109"/>
      <c r="K794" s="109"/>
      <c r="L794" s="109"/>
      <c r="M794" s="109"/>
      <c r="N794" s="109"/>
      <c r="O794" s="109"/>
      <c r="P794" s="109"/>
      <c r="Q794" s="109"/>
      <c r="R794" s="109"/>
      <c r="S794" s="109"/>
      <c r="T794" s="109"/>
      <c r="U794" s="109"/>
      <c r="V794" s="109"/>
      <c r="W794" s="109"/>
      <c r="X794" s="109"/>
      <c r="Y794" s="109"/>
      <c r="Z794" s="109"/>
    </row>
    <row r="795" ht="29.25" customHeight="1">
      <c r="A795" s="109"/>
      <c r="B795" s="109"/>
      <c r="C795" s="109"/>
      <c r="D795" s="109"/>
      <c r="E795" s="109"/>
      <c r="F795" s="109"/>
      <c r="G795" s="109"/>
      <c r="H795" s="317"/>
      <c r="I795" s="109"/>
      <c r="J795" s="109"/>
      <c r="K795" s="109"/>
      <c r="L795" s="109"/>
      <c r="M795" s="109"/>
      <c r="N795" s="109"/>
      <c r="O795" s="109"/>
      <c r="P795" s="109"/>
      <c r="Q795" s="109"/>
      <c r="R795" s="109"/>
      <c r="S795" s="109"/>
      <c r="T795" s="109"/>
      <c r="U795" s="109"/>
      <c r="V795" s="109"/>
      <c r="W795" s="109"/>
      <c r="X795" s="109"/>
      <c r="Y795" s="109"/>
      <c r="Z795" s="109"/>
    </row>
    <row r="796" ht="29.25" customHeight="1">
      <c r="A796" s="109"/>
      <c r="B796" s="109"/>
      <c r="C796" s="109"/>
      <c r="D796" s="109"/>
      <c r="E796" s="109"/>
      <c r="F796" s="109"/>
      <c r="G796" s="109"/>
      <c r="H796" s="317"/>
      <c r="I796" s="109"/>
      <c r="J796" s="109"/>
      <c r="K796" s="109"/>
      <c r="L796" s="109"/>
      <c r="M796" s="109"/>
      <c r="N796" s="109"/>
      <c r="O796" s="109"/>
      <c r="P796" s="109"/>
      <c r="Q796" s="109"/>
      <c r="R796" s="109"/>
      <c r="S796" s="109"/>
      <c r="T796" s="109"/>
      <c r="U796" s="109"/>
      <c r="V796" s="109"/>
      <c r="W796" s="109"/>
      <c r="X796" s="109"/>
      <c r="Y796" s="109"/>
      <c r="Z796" s="109"/>
    </row>
    <row r="797" ht="29.25" customHeight="1">
      <c r="A797" s="109"/>
      <c r="B797" s="109"/>
      <c r="C797" s="109"/>
      <c r="D797" s="109"/>
      <c r="E797" s="109"/>
      <c r="F797" s="109"/>
      <c r="G797" s="109"/>
      <c r="H797" s="317"/>
      <c r="I797" s="109"/>
      <c r="J797" s="109"/>
      <c r="K797" s="109"/>
      <c r="L797" s="109"/>
      <c r="M797" s="109"/>
      <c r="N797" s="109"/>
      <c r="O797" s="109"/>
      <c r="P797" s="109"/>
      <c r="Q797" s="109"/>
      <c r="R797" s="109"/>
      <c r="S797" s="109"/>
      <c r="T797" s="109"/>
      <c r="U797" s="109"/>
      <c r="V797" s="109"/>
      <c r="W797" s="109"/>
      <c r="X797" s="109"/>
      <c r="Y797" s="109"/>
      <c r="Z797" s="109"/>
    </row>
    <row r="798" ht="29.25" customHeight="1">
      <c r="A798" s="109"/>
      <c r="B798" s="109"/>
      <c r="C798" s="109"/>
      <c r="D798" s="109"/>
      <c r="E798" s="109"/>
      <c r="F798" s="109"/>
      <c r="G798" s="109"/>
      <c r="H798" s="317"/>
      <c r="I798" s="109"/>
      <c r="J798" s="109"/>
      <c r="K798" s="109"/>
      <c r="L798" s="109"/>
      <c r="M798" s="109"/>
      <c r="N798" s="109"/>
      <c r="O798" s="109"/>
      <c r="P798" s="109"/>
      <c r="Q798" s="109"/>
      <c r="R798" s="109"/>
      <c r="S798" s="109"/>
      <c r="T798" s="109"/>
      <c r="U798" s="109"/>
      <c r="V798" s="109"/>
      <c r="W798" s="109"/>
      <c r="X798" s="109"/>
      <c r="Y798" s="109"/>
      <c r="Z798" s="109"/>
    </row>
    <row r="799" ht="29.25" customHeight="1">
      <c r="A799" s="109"/>
      <c r="B799" s="109"/>
      <c r="C799" s="109"/>
      <c r="D799" s="109"/>
      <c r="E799" s="109"/>
      <c r="F799" s="109"/>
      <c r="G799" s="109"/>
      <c r="H799" s="317"/>
      <c r="I799" s="109"/>
      <c r="J799" s="109"/>
      <c r="K799" s="109"/>
      <c r="L799" s="109"/>
      <c r="M799" s="109"/>
      <c r="N799" s="109"/>
      <c r="O799" s="109"/>
      <c r="P799" s="109"/>
      <c r="Q799" s="109"/>
      <c r="R799" s="109"/>
      <c r="S799" s="109"/>
      <c r="T799" s="109"/>
      <c r="U799" s="109"/>
      <c r="V799" s="109"/>
      <c r="W799" s="109"/>
      <c r="X799" s="109"/>
      <c r="Y799" s="109"/>
      <c r="Z799" s="109"/>
    </row>
    <row r="800" ht="29.25" customHeight="1">
      <c r="A800" s="109"/>
      <c r="B800" s="109"/>
      <c r="C800" s="109"/>
      <c r="D800" s="109"/>
      <c r="E800" s="109"/>
      <c r="F800" s="109"/>
      <c r="G800" s="109"/>
      <c r="H800" s="317"/>
      <c r="I800" s="109"/>
      <c r="J800" s="109"/>
      <c r="K800" s="109"/>
      <c r="L800" s="109"/>
      <c r="M800" s="109"/>
      <c r="N800" s="109"/>
      <c r="O800" s="109"/>
      <c r="P800" s="109"/>
      <c r="Q800" s="109"/>
      <c r="R800" s="109"/>
      <c r="S800" s="109"/>
      <c r="T800" s="109"/>
      <c r="U800" s="109"/>
      <c r="V800" s="109"/>
      <c r="W800" s="109"/>
      <c r="X800" s="109"/>
      <c r="Y800" s="109"/>
      <c r="Z800" s="109"/>
    </row>
    <row r="801" ht="29.25" customHeight="1">
      <c r="A801" s="109"/>
      <c r="B801" s="109"/>
      <c r="C801" s="109"/>
      <c r="D801" s="109"/>
      <c r="E801" s="109"/>
      <c r="F801" s="109"/>
      <c r="G801" s="109"/>
      <c r="H801" s="317"/>
      <c r="I801" s="109"/>
      <c r="J801" s="109"/>
      <c r="K801" s="109"/>
      <c r="L801" s="109"/>
      <c r="M801" s="109"/>
      <c r="N801" s="109"/>
      <c r="O801" s="109"/>
      <c r="P801" s="109"/>
      <c r="Q801" s="109"/>
      <c r="R801" s="109"/>
      <c r="S801" s="109"/>
      <c r="T801" s="109"/>
      <c r="U801" s="109"/>
      <c r="V801" s="109"/>
      <c r="W801" s="109"/>
      <c r="X801" s="109"/>
      <c r="Y801" s="109"/>
      <c r="Z801" s="109"/>
    </row>
    <row r="802" ht="29.25" customHeight="1">
      <c r="A802" s="109"/>
      <c r="B802" s="109"/>
      <c r="C802" s="109"/>
      <c r="D802" s="109"/>
      <c r="E802" s="109"/>
      <c r="F802" s="109"/>
      <c r="G802" s="109"/>
      <c r="H802" s="317"/>
      <c r="I802" s="109"/>
      <c r="J802" s="109"/>
      <c r="K802" s="109"/>
      <c r="L802" s="109"/>
      <c r="M802" s="109"/>
      <c r="N802" s="109"/>
      <c r="O802" s="109"/>
      <c r="P802" s="109"/>
      <c r="Q802" s="109"/>
      <c r="R802" s="109"/>
      <c r="S802" s="109"/>
      <c r="T802" s="109"/>
      <c r="U802" s="109"/>
      <c r="V802" s="109"/>
      <c r="W802" s="109"/>
      <c r="X802" s="109"/>
      <c r="Y802" s="109"/>
      <c r="Z802" s="109"/>
    </row>
    <row r="803" ht="29.25" customHeight="1">
      <c r="A803" s="109"/>
      <c r="B803" s="109"/>
      <c r="C803" s="109"/>
      <c r="D803" s="109"/>
      <c r="E803" s="109"/>
      <c r="F803" s="109"/>
      <c r="G803" s="109"/>
      <c r="H803" s="317"/>
      <c r="I803" s="109"/>
      <c r="J803" s="109"/>
      <c r="K803" s="109"/>
      <c r="L803" s="109"/>
      <c r="M803" s="109"/>
      <c r="N803" s="109"/>
      <c r="O803" s="109"/>
      <c r="P803" s="109"/>
      <c r="Q803" s="109"/>
      <c r="R803" s="109"/>
      <c r="S803" s="109"/>
      <c r="T803" s="109"/>
      <c r="U803" s="109"/>
      <c r="V803" s="109"/>
      <c r="W803" s="109"/>
      <c r="X803" s="109"/>
      <c r="Y803" s="109"/>
      <c r="Z803" s="109"/>
    </row>
    <row r="804" ht="29.25" customHeight="1">
      <c r="A804" s="109"/>
      <c r="B804" s="109"/>
      <c r="C804" s="109"/>
      <c r="D804" s="109"/>
      <c r="E804" s="109"/>
      <c r="F804" s="109"/>
      <c r="G804" s="109"/>
      <c r="H804" s="317"/>
      <c r="I804" s="109"/>
      <c r="J804" s="109"/>
      <c r="K804" s="109"/>
      <c r="L804" s="109"/>
      <c r="M804" s="109"/>
      <c r="N804" s="109"/>
      <c r="O804" s="109"/>
      <c r="P804" s="109"/>
      <c r="Q804" s="109"/>
      <c r="R804" s="109"/>
      <c r="S804" s="109"/>
      <c r="T804" s="109"/>
      <c r="U804" s="109"/>
      <c r="V804" s="109"/>
      <c r="W804" s="109"/>
      <c r="X804" s="109"/>
      <c r="Y804" s="109"/>
      <c r="Z804" s="109"/>
    </row>
    <row r="805" ht="29.25" customHeight="1">
      <c r="A805" s="109"/>
      <c r="B805" s="109"/>
      <c r="C805" s="109"/>
      <c r="D805" s="109"/>
      <c r="E805" s="109"/>
      <c r="F805" s="109"/>
      <c r="G805" s="109"/>
      <c r="H805" s="317"/>
      <c r="I805" s="109"/>
      <c r="J805" s="109"/>
      <c r="K805" s="109"/>
      <c r="L805" s="109"/>
      <c r="M805" s="109"/>
      <c r="N805" s="109"/>
      <c r="O805" s="109"/>
      <c r="P805" s="109"/>
      <c r="Q805" s="109"/>
      <c r="R805" s="109"/>
      <c r="S805" s="109"/>
      <c r="T805" s="109"/>
      <c r="U805" s="109"/>
      <c r="V805" s="109"/>
      <c r="W805" s="109"/>
      <c r="X805" s="109"/>
      <c r="Y805" s="109"/>
      <c r="Z805" s="109"/>
    </row>
    <row r="806" ht="29.25" customHeight="1">
      <c r="A806" s="109"/>
      <c r="B806" s="109"/>
      <c r="C806" s="109"/>
      <c r="D806" s="109"/>
      <c r="E806" s="109"/>
      <c r="F806" s="109"/>
      <c r="G806" s="109"/>
      <c r="H806" s="317"/>
      <c r="I806" s="109"/>
      <c r="J806" s="109"/>
      <c r="K806" s="109"/>
      <c r="L806" s="109"/>
      <c r="M806" s="109"/>
      <c r="N806" s="109"/>
      <c r="O806" s="109"/>
      <c r="P806" s="109"/>
      <c r="Q806" s="109"/>
      <c r="R806" s="109"/>
      <c r="S806" s="109"/>
      <c r="T806" s="109"/>
      <c r="U806" s="109"/>
      <c r="V806" s="109"/>
      <c r="W806" s="109"/>
      <c r="X806" s="109"/>
      <c r="Y806" s="109"/>
      <c r="Z806" s="109"/>
    </row>
    <row r="807" ht="29.25" customHeight="1">
      <c r="A807" s="109"/>
      <c r="B807" s="109"/>
      <c r="C807" s="109"/>
      <c r="D807" s="109"/>
      <c r="E807" s="109"/>
      <c r="F807" s="109"/>
      <c r="G807" s="109"/>
      <c r="H807" s="317"/>
      <c r="I807" s="109"/>
      <c r="J807" s="109"/>
      <c r="K807" s="109"/>
      <c r="L807" s="109"/>
      <c r="M807" s="109"/>
      <c r="N807" s="109"/>
      <c r="O807" s="109"/>
      <c r="P807" s="109"/>
      <c r="Q807" s="109"/>
      <c r="R807" s="109"/>
      <c r="S807" s="109"/>
      <c r="T807" s="109"/>
      <c r="U807" s="109"/>
      <c r="V807" s="109"/>
      <c r="W807" s="109"/>
      <c r="X807" s="109"/>
      <c r="Y807" s="109"/>
      <c r="Z807" s="109"/>
    </row>
    <row r="808" ht="29.25" customHeight="1">
      <c r="A808" s="109"/>
      <c r="B808" s="109"/>
      <c r="C808" s="109"/>
      <c r="D808" s="109"/>
      <c r="E808" s="109"/>
      <c r="F808" s="109"/>
      <c r="G808" s="109"/>
      <c r="H808" s="317"/>
      <c r="I808" s="109"/>
      <c r="J808" s="109"/>
      <c r="K808" s="109"/>
      <c r="L808" s="109"/>
      <c r="M808" s="109"/>
      <c r="N808" s="109"/>
      <c r="O808" s="109"/>
      <c r="P808" s="109"/>
      <c r="Q808" s="109"/>
      <c r="R808" s="109"/>
      <c r="S808" s="109"/>
      <c r="T808" s="109"/>
      <c r="U808" s="109"/>
      <c r="V808" s="109"/>
      <c r="W808" s="109"/>
      <c r="X808" s="109"/>
      <c r="Y808" s="109"/>
      <c r="Z808" s="109"/>
    </row>
    <row r="809" ht="29.25" customHeight="1">
      <c r="A809" s="109"/>
      <c r="B809" s="109"/>
      <c r="C809" s="109"/>
      <c r="D809" s="109"/>
      <c r="E809" s="109"/>
      <c r="F809" s="109"/>
      <c r="G809" s="109"/>
      <c r="H809" s="317"/>
      <c r="I809" s="109"/>
      <c r="J809" s="109"/>
      <c r="K809" s="109"/>
      <c r="L809" s="109"/>
      <c r="M809" s="109"/>
      <c r="N809" s="109"/>
      <c r="O809" s="109"/>
      <c r="P809" s="109"/>
      <c r="Q809" s="109"/>
      <c r="R809" s="109"/>
      <c r="S809" s="109"/>
      <c r="T809" s="109"/>
      <c r="U809" s="109"/>
      <c r="V809" s="109"/>
      <c r="W809" s="109"/>
      <c r="X809" s="109"/>
      <c r="Y809" s="109"/>
      <c r="Z809" s="109"/>
    </row>
    <row r="810" ht="29.25" customHeight="1">
      <c r="A810" s="109"/>
      <c r="B810" s="109"/>
      <c r="C810" s="109"/>
      <c r="D810" s="109"/>
      <c r="E810" s="109"/>
      <c r="F810" s="109"/>
      <c r="G810" s="109"/>
      <c r="H810" s="317"/>
      <c r="I810" s="109"/>
      <c r="J810" s="109"/>
      <c r="K810" s="109"/>
      <c r="L810" s="109"/>
      <c r="M810" s="109"/>
      <c r="N810" s="109"/>
      <c r="O810" s="109"/>
      <c r="P810" s="109"/>
      <c r="Q810" s="109"/>
      <c r="R810" s="109"/>
      <c r="S810" s="109"/>
      <c r="T810" s="109"/>
      <c r="U810" s="109"/>
      <c r="V810" s="109"/>
      <c r="W810" s="109"/>
      <c r="X810" s="109"/>
      <c r="Y810" s="109"/>
      <c r="Z810" s="109"/>
    </row>
    <row r="811" ht="29.25" customHeight="1">
      <c r="A811" s="109"/>
      <c r="B811" s="109"/>
      <c r="C811" s="109"/>
      <c r="D811" s="109"/>
      <c r="E811" s="109"/>
      <c r="F811" s="109"/>
      <c r="G811" s="109"/>
      <c r="H811" s="317"/>
      <c r="I811" s="109"/>
      <c r="J811" s="109"/>
      <c r="K811" s="109"/>
      <c r="L811" s="109"/>
      <c r="M811" s="109"/>
      <c r="N811" s="109"/>
      <c r="O811" s="109"/>
      <c r="P811" s="109"/>
      <c r="Q811" s="109"/>
      <c r="R811" s="109"/>
      <c r="S811" s="109"/>
      <c r="T811" s="109"/>
      <c r="U811" s="109"/>
      <c r="V811" s="109"/>
      <c r="W811" s="109"/>
      <c r="X811" s="109"/>
      <c r="Y811" s="109"/>
      <c r="Z811" s="109"/>
    </row>
    <row r="812" ht="29.25" customHeight="1">
      <c r="A812" s="109"/>
      <c r="B812" s="109"/>
      <c r="C812" s="109"/>
      <c r="D812" s="109"/>
      <c r="E812" s="109"/>
      <c r="F812" s="109"/>
      <c r="G812" s="109"/>
      <c r="H812" s="317"/>
      <c r="I812" s="109"/>
      <c r="J812" s="109"/>
      <c r="K812" s="109"/>
      <c r="L812" s="109"/>
      <c r="M812" s="109"/>
      <c r="N812" s="109"/>
      <c r="O812" s="109"/>
      <c r="P812" s="109"/>
      <c r="Q812" s="109"/>
      <c r="R812" s="109"/>
      <c r="S812" s="109"/>
      <c r="T812" s="109"/>
      <c r="U812" s="109"/>
      <c r="V812" s="109"/>
      <c r="W812" s="109"/>
      <c r="X812" s="109"/>
      <c r="Y812" s="109"/>
      <c r="Z812" s="109"/>
    </row>
    <row r="813" ht="29.25" customHeight="1">
      <c r="A813" s="109"/>
      <c r="B813" s="109"/>
      <c r="C813" s="109"/>
      <c r="D813" s="109"/>
      <c r="E813" s="109"/>
      <c r="F813" s="109"/>
      <c r="G813" s="109"/>
      <c r="H813" s="317"/>
      <c r="I813" s="109"/>
      <c r="J813" s="109"/>
      <c r="K813" s="109"/>
      <c r="L813" s="109"/>
      <c r="M813" s="109"/>
      <c r="N813" s="109"/>
      <c r="O813" s="109"/>
      <c r="P813" s="109"/>
      <c r="Q813" s="109"/>
      <c r="R813" s="109"/>
      <c r="S813" s="109"/>
      <c r="T813" s="109"/>
      <c r="U813" s="109"/>
      <c r="V813" s="109"/>
      <c r="W813" s="109"/>
      <c r="X813" s="109"/>
      <c r="Y813" s="109"/>
      <c r="Z813" s="109"/>
    </row>
    <row r="814" ht="29.25" customHeight="1">
      <c r="A814" s="109"/>
      <c r="B814" s="109"/>
      <c r="C814" s="109"/>
      <c r="D814" s="109"/>
      <c r="E814" s="109"/>
      <c r="F814" s="109"/>
      <c r="G814" s="109"/>
      <c r="H814" s="317"/>
      <c r="I814" s="109"/>
      <c r="J814" s="109"/>
      <c r="K814" s="109"/>
      <c r="L814" s="109"/>
      <c r="M814" s="109"/>
      <c r="N814" s="109"/>
      <c r="O814" s="109"/>
      <c r="P814" s="109"/>
      <c r="Q814" s="109"/>
      <c r="R814" s="109"/>
      <c r="S814" s="109"/>
      <c r="T814" s="109"/>
      <c r="U814" s="109"/>
      <c r="V814" s="109"/>
      <c r="W814" s="109"/>
      <c r="X814" s="109"/>
      <c r="Y814" s="109"/>
      <c r="Z814" s="109"/>
    </row>
    <row r="815" ht="29.25" customHeight="1">
      <c r="A815" s="109"/>
      <c r="B815" s="109"/>
      <c r="C815" s="109"/>
      <c r="D815" s="109"/>
      <c r="E815" s="109"/>
      <c r="F815" s="109"/>
      <c r="G815" s="109"/>
      <c r="H815" s="317"/>
      <c r="I815" s="109"/>
      <c r="J815" s="109"/>
      <c r="K815" s="109"/>
      <c r="L815" s="109"/>
      <c r="M815" s="109"/>
      <c r="N815" s="109"/>
      <c r="O815" s="109"/>
      <c r="P815" s="109"/>
      <c r="Q815" s="109"/>
      <c r="R815" s="109"/>
      <c r="S815" s="109"/>
      <c r="T815" s="109"/>
      <c r="U815" s="109"/>
      <c r="V815" s="109"/>
      <c r="W815" s="109"/>
      <c r="X815" s="109"/>
      <c r="Y815" s="109"/>
      <c r="Z815" s="109"/>
    </row>
    <row r="816" ht="29.25" customHeight="1">
      <c r="A816" s="109"/>
      <c r="B816" s="109"/>
      <c r="C816" s="109"/>
      <c r="D816" s="109"/>
      <c r="E816" s="109"/>
      <c r="F816" s="109"/>
      <c r="G816" s="109"/>
      <c r="H816" s="317"/>
      <c r="I816" s="109"/>
      <c r="J816" s="109"/>
      <c r="K816" s="109"/>
      <c r="L816" s="109"/>
      <c r="M816" s="109"/>
      <c r="N816" s="109"/>
      <c r="O816" s="109"/>
      <c r="P816" s="109"/>
      <c r="Q816" s="109"/>
      <c r="R816" s="109"/>
      <c r="S816" s="109"/>
      <c r="T816" s="109"/>
      <c r="U816" s="109"/>
      <c r="V816" s="109"/>
      <c r="W816" s="109"/>
      <c r="X816" s="109"/>
      <c r="Y816" s="109"/>
      <c r="Z816" s="109"/>
    </row>
    <row r="817" ht="29.25" customHeight="1">
      <c r="A817" s="109"/>
      <c r="B817" s="109"/>
      <c r="C817" s="109"/>
      <c r="D817" s="109"/>
      <c r="E817" s="109"/>
      <c r="F817" s="109"/>
      <c r="G817" s="109"/>
      <c r="H817" s="317"/>
      <c r="I817" s="109"/>
      <c r="J817" s="109"/>
      <c r="K817" s="109"/>
      <c r="L817" s="109"/>
      <c r="M817" s="109"/>
      <c r="N817" s="109"/>
      <c r="O817" s="109"/>
      <c r="P817" s="109"/>
      <c r="Q817" s="109"/>
      <c r="R817" s="109"/>
      <c r="S817" s="109"/>
      <c r="T817" s="109"/>
      <c r="U817" s="109"/>
      <c r="V817" s="109"/>
      <c r="W817" s="109"/>
      <c r="X817" s="109"/>
      <c r="Y817" s="109"/>
      <c r="Z817" s="109"/>
    </row>
    <row r="818" ht="29.25" customHeight="1">
      <c r="A818" s="109"/>
      <c r="B818" s="109"/>
      <c r="C818" s="109"/>
      <c r="D818" s="109"/>
      <c r="E818" s="109"/>
      <c r="F818" s="109"/>
      <c r="G818" s="109"/>
      <c r="H818" s="317"/>
      <c r="I818" s="109"/>
      <c r="J818" s="109"/>
      <c r="K818" s="109"/>
      <c r="L818" s="109"/>
      <c r="M818" s="109"/>
      <c r="N818" s="109"/>
      <c r="O818" s="109"/>
      <c r="P818" s="109"/>
      <c r="Q818" s="109"/>
      <c r="R818" s="109"/>
      <c r="S818" s="109"/>
      <c r="T818" s="109"/>
      <c r="U818" s="109"/>
      <c r="V818" s="109"/>
      <c r="W818" s="109"/>
      <c r="X818" s="109"/>
      <c r="Y818" s="109"/>
      <c r="Z818" s="109"/>
    </row>
    <row r="819" ht="29.25" customHeight="1">
      <c r="A819" s="109"/>
      <c r="B819" s="109"/>
      <c r="C819" s="109"/>
      <c r="D819" s="109"/>
      <c r="E819" s="109"/>
      <c r="F819" s="109"/>
      <c r="G819" s="109"/>
      <c r="H819" s="317"/>
      <c r="I819" s="109"/>
      <c r="J819" s="109"/>
      <c r="K819" s="109"/>
      <c r="L819" s="109"/>
      <c r="M819" s="109"/>
      <c r="N819" s="109"/>
      <c r="O819" s="109"/>
      <c r="P819" s="109"/>
      <c r="Q819" s="109"/>
      <c r="R819" s="109"/>
      <c r="S819" s="109"/>
      <c r="T819" s="109"/>
      <c r="U819" s="109"/>
      <c r="V819" s="109"/>
      <c r="W819" s="109"/>
      <c r="X819" s="109"/>
      <c r="Y819" s="109"/>
      <c r="Z819" s="109"/>
    </row>
    <row r="820" ht="29.25" customHeight="1">
      <c r="A820" s="109"/>
      <c r="B820" s="109"/>
      <c r="C820" s="109"/>
      <c r="D820" s="109"/>
      <c r="E820" s="109"/>
      <c r="F820" s="109"/>
      <c r="G820" s="109"/>
      <c r="H820" s="317"/>
      <c r="I820" s="109"/>
      <c r="J820" s="109"/>
      <c r="K820" s="109"/>
      <c r="L820" s="109"/>
      <c r="M820" s="109"/>
      <c r="N820" s="109"/>
      <c r="O820" s="109"/>
      <c r="P820" s="109"/>
      <c r="Q820" s="109"/>
      <c r="R820" s="109"/>
      <c r="S820" s="109"/>
      <c r="T820" s="109"/>
      <c r="U820" s="109"/>
      <c r="V820" s="109"/>
      <c r="W820" s="109"/>
      <c r="X820" s="109"/>
      <c r="Y820" s="109"/>
      <c r="Z820" s="109"/>
    </row>
    <row r="821" ht="29.25" customHeight="1">
      <c r="A821" s="109"/>
      <c r="B821" s="109"/>
      <c r="C821" s="109"/>
      <c r="D821" s="109"/>
      <c r="E821" s="109"/>
      <c r="F821" s="109"/>
      <c r="G821" s="109"/>
      <c r="H821" s="317"/>
      <c r="I821" s="109"/>
      <c r="J821" s="109"/>
      <c r="K821" s="109"/>
      <c r="L821" s="109"/>
      <c r="M821" s="109"/>
      <c r="N821" s="109"/>
      <c r="O821" s="109"/>
      <c r="P821" s="109"/>
      <c r="Q821" s="109"/>
      <c r="R821" s="109"/>
      <c r="S821" s="109"/>
      <c r="T821" s="109"/>
      <c r="U821" s="109"/>
      <c r="V821" s="109"/>
      <c r="W821" s="109"/>
      <c r="X821" s="109"/>
      <c r="Y821" s="109"/>
      <c r="Z821" s="109"/>
    </row>
    <row r="822" ht="29.25" customHeight="1">
      <c r="A822" s="109"/>
      <c r="B822" s="109"/>
      <c r="C822" s="109"/>
      <c r="D822" s="109"/>
      <c r="E822" s="109"/>
      <c r="F822" s="109"/>
      <c r="G822" s="109"/>
      <c r="H822" s="317"/>
      <c r="I822" s="109"/>
      <c r="J822" s="109"/>
      <c r="K822" s="109"/>
      <c r="L822" s="109"/>
      <c r="M822" s="109"/>
      <c r="N822" s="109"/>
      <c r="O822" s="109"/>
      <c r="P822" s="109"/>
      <c r="Q822" s="109"/>
      <c r="R822" s="109"/>
      <c r="S822" s="109"/>
      <c r="T822" s="109"/>
      <c r="U822" s="109"/>
      <c r="V822" s="109"/>
      <c r="W822" s="109"/>
      <c r="X822" s="109"/>
      <c r="Y822" s="109"/>
      <c r="Z822" s="109"/>
    </row>
    <row r="823" ht="29.25" customHeight="1">
      <c r="A823" s="109"/>
      <c r="B823" s="109"/>
      <c r="C823" s="109"/>
      <c r="D823" s="109"/>
      <c r="E823" s="109"/>
      <c r="F823" s="109"/>
      <c r="G823" s="109"/>
      <c r="H823" s="317"/>
      <c r="I823" s="109"/>
      <c r="J823" s="109"/>
      <c r="K823" s="109"/>
      <c r="L823" s="109"/>
      <c r="M823" s="109"/>
      <c r="N823" s="109"/>
      <c r="O823" s="109"/>
      <c r="P823" s="109"/>
      <c r="Q823" s="109"/>
      <c r="R823" s="109"/>
      <c r="S823" s="109"/>
      <c r="T823" s="109"/>
      <c r="U823" s="109"/>
      <c r="V823" s="109"/>
      <c r="W823" s="109"/>
      <c r="X823" s="109"/>
      <c r="Y823" s="109"/>
      <c r="Z823" s="109"/>
    </row>
    <row r="824" ht="29.25" customHeight="1">
      <c r="A824" s="109"/>
      <c r="B824" s="109"/>
      <c r="C824" s="109"/>
      <c r="D824" s="109"/>
      <c r="E824" s="109"/>
      <c r="F824" s="109"/>
      <c r="G824" s="109"/>
      <c r="H824" s="317"/>
      <c r="I824" s="109"/>
      <c r="J824" s="109"/>
      <c r="K824" s="109"/>
      <c r="L824" s="109"/>
      <c r="M824" s="109"/>
      <c r="N824" s="109"/>
      <c r="O824" s="109"/>
      <c r="P824" s="109"/>
      <c r="Q824" s="109"/>
      <c r="R824" s="109"/>
      <c r="S824" s="109"/>
      <c r="T824" s="109"/>
      <c r="U824" s="109"/>
      <c r="V824" s="109"/>
      <c r="W824" s="109"/>
      <c r="X824" s="109"/>
      <c r="Y824" s="109"/>
      <c r="Z824" s="109"/>
    </row>
    <row r="825" ht="29.25" customHeight="1">
      <c r="A825" s="109"/>
      <c r="B825" s="109"/>
      <c r="C825" s="109"/>
      <c r="D825" s="109"/>
      <c r="E825" s="109"/>
      <c r="F825" s="109"/>
      <c r="G825" s="109"/>
      <c r="H825" s="317"/>
      <c r="I825" s="109"/>
      <c r="J825" s="109"/>
      <c r="K825" s="109"/>
      <c r="L825" s="109"/>
      <c r="M825" s="109"/>
      <c r="N825" s="109"/>
      <c r="O825" s="109"/>
      <c r="P825" s="109"/>
      <c r="Q825" s="109"/>
      <c r="R825" s="109"/>
      <c r="S825" s="109"/>
      <c r="T825" s="109"/>
      <c r="U825" s="109"/>
      <c r="V825" s="109"/>
      <c r="W825" s="109"/>
      <c r="X825" s="109"/>
      <c r="Y825" s="109"/>
      <c r="Z825" s="109"/>
    </row>
    <row r="826" ht="29.25" customHeight="1">
      <c r="A826" s="109"/>
      <c r="B826" s="109"/>
      <c r="C826" s="109"/>
      <c r="D826" s="109"/>
      <c r="E826" s="109"/>
      <c r="F826" s="109"/>
      <c r="G826" s="109"/>
      <c r="H826" s="317"/>
      <c r="I826" s="109"/>
      <c r="J826" s="109"/>
      <c r="K826" s="109"/>
      <c r="L826" s="109"/>
      <c r="M826" s="109"/>
      <c r="N826" s="109"/>
      <c r="O826" s="109"/>
      <c r="P826" s="109"/>
      <c r="Q826" s="109"/>
      <c r="R826" s="109"/>
      <c r="S826" s="109"/>
      <c r="T826" s="109"/>
      <c r="U826" s="109"/>
      <c r="V826" s="109"/>
      <c r="W826" s="109"/>
      <c r="X826" s="109"/>
      <c r="Y826" s="109"/>
      <c r="Z826" s="109"/>
    </row>
    <row r="827" ht="29.25" customHeight="1">
      <c r="A827" s="109"/>
      <c r="B827" s="109"/>
      <c r="C827" s="109"/>
      <c r="D827" s="109"/>
      <c r="E827" s="109"/>
      <c r="F827" s="109"/>
      <c r="G827" s="109"/>
      <c r="H827" s="317"/>
      <c r="I827" s="109"/>
      <c r="J827" s="109"/>
      <c r="K827" s="109"/>
      <c r="L827" s="109"/>
      <c r="M827" s="109"/>
      <c r="N827" s="109"/>
      <c r="O827" s="109"/>
      <c r="P827" s="109"/>
      <c r="Q827" s="109"/>
      <c r="R827" s="109"/>
      <c r="S827" s="109"/>
      <c r="T827" s="109"/>
      <c r="U827" s="109"/>
      <c r="V827" s="109"/>
      <c r="W827" s="109"/>
      <c r="X827" s="109"/>
      <c r="Y827" s="109"/>
      <c r="Z827" s="109"/>
    </row>
    <row r="828" ht="29.25" customHeight="1">
      <c r="A828" s="109"/>
      <c r="B828" s="109"/>
      <c r="C828" s="109"/>
      <c r="D828" s="109"/>
      <c r="E828" s="109"/>
      <c r="F828" s="109"/>
      <c r="G828" s="109"/>
      <c r="H828" s="317"/>
      <c r="I828" s="109"/>
      <c r="J828" s="109"/>
      <c r="K828" s="109"/>
      <c r="L828" s="109"/>
      <c r="M828" s="109"/>
      <c r="N828" s="109"/>
      <c r="O828" s="109"/>
      <c r="P828" s="109"/>
      <c r="Q828" s="109"/>
      <c r="R828" s="109"/>
      <c r="S828" s="109"/>
      <c r="T828" s="109"/>
      <c r="U828" s="109"/>
      <c r="V828" s="109"/>
      <c r="W828" s="109"/>
      <c r="X828" s="109"/>
      <c r="Y828" s="109"/>
      <c r="Z828" s="109"/>
    </row>
    <row r="829" ht="29.25" customHeight="1">
      <c r="A829" s="109"/>
      <c r="B829" s="109"/>
      <c r="C829" s="109"/>
      <c r="D829" s="109"/>
      <c r="E829" s="109"/>
      <c r="F829" s="109"/>
      <c r="G829" s="109"/>
      <c r="H829" s="317"/>
      <c r="I829" s="109"/>
      <c r="J829" s="109"/>
      <c r="K829" s="109"/>
      <c r="L829" s="109"/>
      <c r="M829" s="109"/>
      <c r="N829" s="109"/>
      <c r="O829" s="109"/>
      <c r="P829" s="109"/>
      <c r="Q829" s="109"/>
      <c r="R829" s="109"/>
      <c r="S829" s="109"/>
      <c r="T829" s="109"/>
      <c r="U829" s="109"/>
      <c r="V829" s="109"/>
      <c r="W829" s="109"/>
      <c r="X829" s="109"/>
      <c r="Y829" s="109"/>
      <c r="Z829" s="109"/>
    </row>
    <row r="830" ht="29.25" customHeight="1">
      <c r="A830" s="109"/>
      <c r="B830" s="109"/>
      <c r="C830" s="109"/>
      <c r="D830" s="109"/>
      <c r="E830" s="109"/>
      <c r="F830" s="109"/>
      <c r="G830" s="109"/>
      <c r="H830" s="317"/>
      <c r="I830" s="109"/>
      <c r="J830" s="109"/>
      <c r="K830" s="109"/>
      <c r="L830" s="109"/>
      <c r="M830" s="109"/>
      <c r="N830" s="109"/>
      <c r="O830" s="109"/>
      <c r="P830" s="109"/>
      <c r="Q830" s="109"/>
      <c r="R830" s="109"/>
      <c r="S830" s="109"/>
      <c r="T830" s="109"/>
      <c r="U830" s="109"/>
      <c r="V830" s="109"/>
      <c r="W830" s="109"/>
      <c r="X830" s="109"/>
      <c r="Y830" s="109"/>
      <c r="Z830" s="109"/>
    </row>
    <row r="831" ht="29.25" customHeight="1">
      <c r="A831" s="109"/>
      <c r="B831" s="109"/>
      <c r="C831" s="109"/>
      <c r="D831" s="109"/>
      <c r="E831" s="109"/>
      <c r="F831" s="109"/>
      <c r="G831" s="109"/>
      <c r="H831" s="317"/>
      <c r="I831" s="109"/>
      <c r="J831" s="109"/>
      <c r="K831" s="109"/>
      <c r="L831" s="109"/>
      <c r="M831" s="109"/>
      <c r="N831" s="109"/>
      <c r="O831" s="109"/>
      <c r="P831" s="109"/>
      <c r="Q831" s="109"/>
      <c r="R831" s="109"/>
      <c r="S831" s="109"/>
      <c r="T831" s="109"/>
      <c r="U831" s="109"/>
      <c r="V831" s="109"/>
      <c r="W831" s="109"/>
      <c r="X831" s="109"/>
      <c r="Y831" s="109"/>
      <c r="Z831" s="109"/>
    </row>
    <row r="832" ht="29.25" customHeight="1">
      <c r="A832" s="109"/>
      <c r="B832" s="109"/>
      <c r="C832" s="109"/>
      <c r="D832" s="109"/>
      <c r="E832" s="109"/>
      <c r="F832" s="109"/>
      <c r="G832" s="109"/>
      <c r="H832" s="317"/>
      <c r="I832" s="109"/>
      <c r="J832" s="109"/>
      <c r="K832" s="109"/>
      <c r="L832" s="109"/>
      <c r="M832" s="109"/>
      <c r="N832" s="109"/>
      <c r="O832" s="109"/>
      <c r="P832" s="109"/>
      <c r="Q832" s="109"/>
      <c r="R832" s="109"/>
      <c r="S832" s="109"/>
      <c r="T832" s="109"/>
      <c r="U832" s="109"/>
      <c r="V832" s="109"/>
      <c r="W832" s="109"/>
      <c r="X832" s="109"/>
      <c r="Y832" s="109"/>
      <c r="Z832" s="109"/>
    </row>
    <row r="833" ht="29.25" customHeight="1">
      <c r="A833" s="109"/>
      <c r="B833" s="109"/>
      <c r="C833" s="109"/>
      <c r="D833" s="109"/>
      <c r="E833" s="109"/>
      <c r="F833" s="109"/>
      <c r="G833" s="109"/>
      <c r="H833" s="317"/>
      <c r="I833" s="109"/>
      <c r="J833" s="109"/>
      <c r="K833" s="109"/>
      <c r="L833" s="109"/>
      <c r="M833" s="109"/>
      <c r="N833" s="109"/>
      <c r="O833" s="109"/>
      <c r="P833" s="109"/>
      <c r="Q833" s="109"/>
      <c r="R833" s="109"/>
      <c r="S833" s="109"/>
      <c r="T833" s="109"/>
      <c r="U833" s="109"/>
      <c r="V833" s="109"/>
      <c r="W833" s="109"/>
      <c r="X833" s="109"/>
      <c r="Y833" s="109"/>
      <c r="Z833" s="109"/>
    </row>
    <row r="834" ht="29.25" customHeight="1">
      <c r="A834" s="109"/>
      <c r="B834" s="109"/>
      <c r="C834" s="109"/>
      <c r="D834" s="109"/>
      <c r="E834" s="109"/>
      <c r="F834" s="109"/>
      <c r="G834" s="109"/>
      <c r="H834" s="317"/>
      <c r="I834" s="109"/>
      <c r="J834" s="109"/>
      <c r="K834" s="109"/>
      <c r="L834" s="109"/>
      <c r="M834" s="109"/>
      <c r="N834" s="109"/>
      <c r="O834" s="109"/>
      <c r="P834" s="109"/>
      <c r="Q834" s="109"/>
      <c r="R834" s="109"/>
      <c r="S834" s="109"/>
      <c r="T834" s="109"/>
      <c r="U834" s="109"/>
      <c r="V834" s="109"/>
      <c r="W834" s="109"/>
      <c r="X834" s="109"/>
      <c r="Y834" s="109"/>
      <c r="Z834" s="109"/>
    </row>
    <row r="835" ht="29.25" customHeight="1">
      <c r="A835" s="109"/>
      <c r="B835" s="109"/>
      <c r="C835" s="109"/>
      <c r="D835" s="109"/>
      <c r="E835" s="109"/>
      <c r="F835" s="109"/>
      <c r="G835" s="109"/>
      <c r="H835" s="317"/>
      <c r="I835" s="109"/>
      <c r="J835" s="109"/>
      <c r="K835" s="109"/>
      <c r="L835" s="109"/>
      <c r="M835" s="109"/>
      <c r="N835" s="109"/>
      <c r="O835" s="109"/>
      <c r="P835" s="109"/>
      <c r="Q835" s="109"/>
      <c r="R835" s="109"/>
      <c r="S835" s="109"/>
      <c r="T835" s="109"/>
      <c r="U835" s="109"/>
      <c r="V835" s="109"/>
      <c r="W835" s="109"/>
      <c r="X835" s="109"/>
      <c r="Y835" s="109"/>
      <c r="Z835" s="109"/>
    </row>
    <row r="836" ht="29.25" customHeight="1">
      <c r="A836" s="109"/>
      <c r="B836" s="109"/>
      <c r="C836" s="109"/>
      <c r="D836" s="109"/>
      <c r="E836" s="109"/>
      <c r="F836" s="109"/>
      <c r="G836" s="109"/>
      <c r="H836" s="317"/>
      <c r="I836" s="109"/>
      <c r="J836" s="109"/>
      <c r="K836" s="109"/>
      <c r="L836" s="109"/>
      <c r="M836" s="109"/>
      <c r="N836" s="109"/>
      <c r="O836" s="109"/>
      <c r="P836" s="109"/>
      <c r="Q836" s="109"/>
      <c r="R836" s="109"/>
      <c r="S836" s="109"/>
      <c r="T836" s="109"/>
      <c r="U836" s="109"/>
      <c r="V836" s="109"/>
      <c r="W836" s="109"/>
      <c r="X836" s="109"/>
      <c r="Y836" s="109"/>
      <c r="Z836" s="109"/>
    </row>
    <row r="837" ht="29.25" customHeight="1">
      <c r="A837" s="109"/>
      <c r="B837" s="109"/>
      <c r="C837" s="109"/>
      <c r="D837" s="109"/>
      <c r="E837" s="109"/>
      <c r="F837" s="109"/>
      <c r="G837" s="109"/>
      <c r="H837" s="317"/>
      <c r="I837" s="109"/>
      <c r="J837" s="109"/>
      <c r="K837" s="109"/>
      <c r="L837" s="109"/>
      <c r="M837" s="109"/>
      <c r="N837" s="109"/>
      <c r="O837" s="109"/>
      <c r="P837" s="109"/>
      <c r="Q837" s="109"/>
      <c r="R837" s="109"/>
      <c r="S837" s="109"/>
      <c r="T837" s="109"/>
      <c r="U837" s="109"/>
      <c r="V837" s="109"/>
      <c r="W837" s="109"/>
      <c r="X837" s="109"/>
      <c r="Y837" s="109"/>
      <c r="Z837" s="109"/>
    </row>
    <row r="838" ht="29.25" customHeight="1">
      <c r="A838" s="109"/>
      <c r="B838" s="109"/>
      <c r="C838" s="109"/>
      <c r="D838" s="109"/>
      <c r="E838" s="109"/>
      <c r="F838" s="109"/>
      <c r="G838" s="109"/>
      <c r="H838" s="317"/>
      <c r="I838" s="109"/>
      <c r="J838" s="109"/>
      <c r="K838" s="109"/>
      <c r="L838" s="109"/>
      <c r="M838" s="109"/>
      <c r="N838" s="109"/>
      <c r="O838" s="109"/>
      <c r="P838" s="109"/>
      <c r="Q838" s="109"/>
      <c r="R838" s="109"/>
      <c r="S838" s="109"/>
      <c r="T838" s="109"/>
      <c r="U838" s="109"/>
      <c r="V838" s="109"/>
      <c r="W838" s="109"/>
      <c r="X838" s="109"/>
      <c r="Y838" s="109"/>
      <c r="Z838" s="109"/>
    </row>
    <row r="839" ht="29.25" customHeight="1">
      <c r="A839" s="109"/>
      <c r="B839" s="109"/>
      <c r="C839" s="109"/>
      <c r="D839" s="109"/>
      <c r="E839" s="109"/>
      <c r="F839" s="109"/>
      <c r="G839" s="109"/>
      <c r="H839" s="317"/>
      <c r="I839" s="109"/>
      <c r="J839" s="109"/>
      <c r="K839" s="109"/>
      <c r="L839" s="109"/>
      <c r="M839" s="109"/>
      <c r="N839" s="109"/>
      <c r="O839" s="109"/>
      <c r="P839" s="109"/>
      <c r="Q839" s="109"/>
      <c r="R839" s="109"/>
      <c r="S839" s="109"/>
      <c r="T839" s="109"/>
      <c r="U839" s="109"/>
      <c r="V839" s="109"/>
      <c r="W839" s="109"/>
      <c r="X839" s="109"/>
      <c r="Y839" s="109"/>
      <c r="Z839" s="109"/>
    </row>
    <row r="840" ht="29.25" customHeight="1">
      <c r="A840" s="109"/>
      <c r="B840" s="109"/>
      <c r="C840" s="109"/>
      <c r="D840" s="109"/>
      <c r="E840" s="109"/>
      <c r="F840" s="109"/>
      <c r="G840" s="109"/>
      <c r="H840" s="317"/>
      <c r="I840" s="109"/>
      <c r="J840" s="109"/>
      <c r="K840" s="109"/>
      <c r="L840" s="109"/>
      <c r="M840" s="109"/>
      <c r="N840" s="109"/>
      <c r="O840" s="109"/>
      <c r="P840" s="109"/>
      <c r="Q840" s="109"/>
      <c r="R840" s="109"/>
      <c r="S840" s="109"/>
      <c r="T840" s="109"/>
      <c r="U840" s="109"/>
      <c r="V840" s="109"/>
      <c r="W840" s="109"/>
      <c r="X840" s="109"/>
      <c r="Y840" s="109"/>
      <c r="Z840" s="109"/>
    </row>
    <row r="841" ht="29.25" customHeight="1">
      <c r="A841" s="109"/>
      <c r="B841" s="109"/>
      <c r="C841" s="109"/>
      <c r="D841" s="109"/>
      <c r="E841" s="109"/>
      <c r="F841" s="109"/>
      <c r="G841" s="109"/>
      <c r="H841" s="317"/>
      <c r="I841" s="109"/>
      <c r="J841" s="109"/>
      <c r="K841" s="109"/>
      <c r="L841" s="109"/>
      <c r="M841" s="109"/>
      <c r="N841" s="109"/>
      <c r="O841" s="109"/>
      <c r="P841" s="109"/>
      <c r="Q841" s="109"/>
      <c r="R841" s="109"/>
      <c r="S841" s="109"/>
      <c r="T841" s="109"/>
      <c r="U841" s="109"/>
      <c r="V841" s="109"/>
      <c r="W841" s="109"/>
      <c r="X841" s="109"/>
      <c r="Y841" s="109"/>
      <c r="Z841" s="109"/>
    </row>
    <row r="842" ht="29.25" customHeight="1">
      <c r="A842" s="109"/>
      <c r="B842" s="109"/>
      <c r="C842" s="109"/>
      <c r="D842" s="109"/>
      <c r="E842" s="109"/>
      <c r="F842" s="109"/>
      <c r="G842" s="109"/>
      <c r="H842" s="317"/>
      <c r="I842" s="109"/>
      <c r="J842" s="109"/>
      <c r="K842" s="109"/>
      <c r="L842" s="109"/>
      <c r="M842" s="109"/>
      <c r="N842" s="109"/>
      <c r="O842" s="109"/>
      <c r="P842" s="109"/>
      <c r="Q842" s="109"/>
      <c r="R842" s="109"/>
      <c r="S842" s="109"/>
      <c r="T842" s="109"/>
      <c r="U842" s="109"/>
      <c r="V842" s="109"/>
      <c r="W842" s="109"/>
      <c r="X842" s="109"/>
      <c r="Y842" s="109"/>
      <c r="Z842" s="109"/>
    </row>
    <row r="843" ht="29.25" customHeight="1">
      <c r="A843" s="109"/>
      <c r="B843" s="109"/>
      <c r="C843" s="109"/>
      <c r="D843" s="109"/>
      <c r="E843" s="109"/>
      <c r="F843" s="109"/>
      <c r="G843" s="109"/>
      <c r="H843" s="317"/>
      <c r="I843" s="109"/>
      <c r="J843" s="109"/>
      <c r="K843" s="109"/>
      <c r="L843" s="109"/>
      <c r="M843" s="109"/>
      <c r="N843" s="109"/>
      <c r="O843" s="109"/>
      <c r="P843" s="109"/>
      <c r="Q843" s="109"/>
      <c r="R843" s="109"/>
      <c r="S843" s="109"/>
      <c r="T843" s="109"/>
      <c r="U843" s="109"/>
      <c r="V843" s="109"/>
      <c r="W843" s="109"/>
      <c r="X843" s="109"/>
      <c r="Y843" s="109"/>
      <c r="Z843" s="109"/>
    </row>
    <row r="844" ht="29.25" customHeight="1">
      <c r="A844" s="109"/>
      <c r="B844" s="109"/>
      <c r="C844" s="109"/>
      <c r="D844" s="109"/>
      <c r="E844" s="109"/>
      <c r="F844" s="109"/>
      <c r="G844" s="109"/>
      <c r="H844" s="317"/>
      <c r="I844" s="109"/>
      <c r="J844" s="109"/>
      <c r="K844" s="109"/>
      <c r="L844" s="109"/>
      <c r="M844" s="109"/>
      <c r="N844" s="109"/>
      <c r="O844" s="109"/>
      <c r="P844" s="109"/>
      <c r="Q844" s="109"/>
      <c r="R844" s="109"/>
      <c r="S844" s="109"/>
      <c r="T844" s="109"/>
      <c r="U844" s="109"/>
      <c r="V844" s="109"/>
      <c r="W844" s="109"/>
      <c r="X844" s="109"/>
      <c r="Y844" s="109"/>
      <c r="Z844" s="109"/>
    </row>
    <row r="845" ht="29.25" customHeight="1">
      <c r="A845" s="109"/>
      <c r="B845" s="109"/>
      <c r="C845" s="109"/>
      <c r="D845" s="109"/>
      <c r="E845" s="109"/>
      <c r="F845" s="109"/>
      <c r="G845" s="109"/>
      <c r="H845" s="317"/>
      <c r="I845" s="109"/>
      <c r="J845" s="109"/>
      <c r="K845" s="109"/>
      <c r="L845" s="109"/>
      <c r="M845" s="109"/>
      <c r="N845" s="109"/>
      <c r="O845" s="109"/>
      <c r="P845" s="109"/>
      <c r="Q845" s="109"/>
      <c r="R845" s="109"/>
      <c r="S845" s="109"/>
      <c r="T845" s="109"/>
      <c r="U845" s="109"/>
      <c r="V845" s="109"/>
      <c r="W845" s="109"/>
      <c r="X845" s="109"/>
      <c r="Y845" s="109"/>
      <c r="Z845" s="109"/>
    </row>
    <row r="846" ht="29.25" customHeight="1">
      <c r="A846" s="109"/>
      <c r="B846" s="109"/>
      <c r="C846" s="109"/>
      <c r="D846" s="109"/>
      <c r="E846" s="109"/>
      <c r="F846" s="109"/>
      <c r="G846" s="109"/>
      <c r="H846" s="317"/>
      <c r="I846" s="109"/>
      <c r="J846" s="109"/>
      <c r="K846" s="109"/>
      <c r="L846" s="109"/>
      <c r="M846" s="109"/>
      <c r="N846" s="109"/>
      <c r="O846" s="109"/>
      <c r="P846" s="109"/>
      <c r="Q846" s="109"/>
      <c r="R846" s="109"/>
      <c r="S846" s="109"/>
      <c r="T846" s="109"/>
      <c r="U846" s="109"/>
      <c r="V846" s="109"/>
      <c r="W846" s="109"/>
      <c r="X846" s="109"/>
      <c r="Y846" s="109"/>
      <c r="Z846" s="109"/>
    </row>
    <row r="847" ht="29.25" customHeight="1">
      <c r="A847" s="109"/>
      <c r="B847" s="109"/>
      <c r="C847" s="109"/>
      <c r="D847" s="109"/>
      <c r="E847" s="109"/>
      <c r="F847" s="109"/>
      <c r="G847" s="109"/>
      <c r="H847" s="317"/>
      <c r="I847" s="109"/>
      <c r="J847" s="109"/>
      <c r="K847" s="109"/>
      <c r="L847" s="109"/>
      <c r="M847" s="109"/>
      <c r="N847" s="109"/>
      <c r="O847" s="109"/>
      <c r="P847" s="109"/>
      <c r="Q847" s="109"/>
      <c r="R847" s="109"/>
      <c r="S847" s="109"/>
      <c r="T847" s="109"/>
      <c r="U847" s="109"/>
      <c r="V847" s="109"/>
      <c r="W847" s="109"/>
      <c r="X847" s="109"/>
      <c r="Y847" s="109"/>
      <c r="Z847" s="109"/>
    </row>
    <row r="848" ht="29.25" customHeight="1">
      <c r="A848" s="109"/>
      <c r="B848" s="109"/>
      <c r="C848" s="109"/>
      <c r="D848" s="109"/>
      <c r="E848" s="109"/>
      <c r="F848" s="109"/>
      <c r="G848" s="109"/>
      <c r="H848" s="317"/>
      <c r="I848" s="109"/>
      <c r="J848" s="109"/>
      <c r="K848" s="109"/>
      <c r="L848" s="109"/>
      <c r="M848" s="109"/>
      <c r="N848" s="109"/>
      <c r="O848" s="109"/>
      <c r="P848" s="109"/>
      <c r="Q848" s="109"/>
      <c r="R848" s="109"/>
      <c r="S848" s="109"/>
      <c r="T848" s="109"/>
      <c r="U848" s="109"/>
      <c r="V848" s="109"/>
      <c r="W848" s="109"/>
      <c r="X848" s="109"/>
      <c r="Y848" s="109"/>
      <c r="Z848" s="109"/>
    </row>
    <row r="849" ht="29.25" customHeight="1">
      <c r="A849" s="109"/>
      <c r="B849" s="109"/>
      <c r="C849" s="109"/>
      <c r="D849" s="109"/>
      <c r="E849" s="109"/>
      <c r="F849" s="109"/>
      <c r="G849" s="109"/>
      <c r="H849" s="317"/>
      <c r="I849" s="109"/>
      <c r="J849" s="109"/>
      <c r="K849" s="109"/>
      <c r="L849" s="109"/>
      <c r="M849" s="109"/>
      <c r="N849" s="109"/>
      <c r="O849" s="109"/>
      <c r="P849" s="109"/>
      <c r="Q849" s="109"/>
      <c r="R849" s="109"/>
      <c r="S849" s="109"/>
      <c r="T849" s="109"/>
      <c r="U849" s="109"/>
      <c r="V849" s="109"/>
      <c r="W849" s="109"/>
      <c r="X849" s="109"/>
      <c r="Y849" s="109"/>
      <c r="Z849" s="109"/>
    </row>
    <row r="850" ht="29.25" customHeight="1">
      <c r="A850" s="109"/>
      <c r="B850" s="109"/>
      <c r="C850" s="109"/>
      <c r="D850" s="109"/>
      <c r="E850" s="109"/>
      <c r="F850" s="109"/>
      <c r="G850" s="109"/>
      <c r="H850" s="317"/>
      <c r="I850" s="109"/>
      <c r="J850" s="109"/>
      <c r="K850" s="109"/>
      <c r="L850" s="109"/>
      <c r="M850" s="109"/>
      <c r="N850" s="109"/>
      <c r="O850" s="109"/>
      <c r="P850" s="109"/>
      <c r="Q850" s="109"/>
      <c r="R850" s="109"/>
      <c r="S850" s="109"/>
      <c r="T850" s="109"/>
      <c r="U850" s="109"/>
      <c r="V850" s="109"/>
      <c r="W850" s="109"/>
      <c r="X850" s="109"/>
      <c r="Y850" s="109"/>
      <c r="Z850" s="109"/>
    </row>
    <row r="851" ht="29.25" customHeight="1">
      <c r="A851" s="109"/>
      <c r="B851" s="109"/>
      <c r="C851" s="109"/>
      <c r="D851" s="109"/>
      <c r="E851" s="109"/>
      <c r="F851" s="109"/>
      <c r="G851" s="109"/>
      <c r="H851" s="317"/>
      <c r="I851" s="109"/>
      <c r="J851" s="109"/>
      <c r="K851" s="109"/>
      <c r="L851" s="109"/>
      <c r="M851" s="109"/>
      <c r="N851" s="109"/>
      <c r="O851" s="109"/>
      <c r="P851" s="109"/>
      <c r="Q851" s="109"/>
      <c r="R851" s="109"/>
      <c r="S851" s="109"/>
      <c r="T851" s="109"/>
      <c r="U851" s="109"/>
      <c r="V851" s="109"/>
      <c r="W851" s="109"/>
      <c r="X851" s="109"/>
      <c r="Y851" s="109"/>
      <c r="Z851" s="109"/>
    </row>
    <row r="852" ht="29.25" customHeight="1">
      <c r="A852" s="109"/>
      <c r="B852" s="109"/>
      <c r="C852" s="109"/>
      <c r="D852" s="109"/>
      <c r="E852" s="109"/>
      <c r="F852" s="109"/>
      <c r="G852" s="109"/>
      <c r="H852" s="317"/>
      <c r="I852" s="109"/>
      <c r="J852" s="109"/>
      <c r="K852" s="109"/>
      <c r="L852" s="109"/>
      <c r="M852" s="109"/>
      <c r="N852" s="109"/>
      <c r="O852" s="109"/>
      <c r="P852" s="109"/>
      <c r="Q852" s="109"/>
      <c r="R852" s="109"/>
      <c r="S852" s="109"/>
      <c r="T852" s="109"/>
      <c r="U852" s="109"/>
      <c r="V852" s="109"/>
      <c r="W852" s="109"/>
      <c r="X852" s="109"/>
      <c r="Y852" s="109"/>
      <c r="Z852" s="109"/>
    </row>
    <row r="853" ht="29.25" customHeight="1">
      <c r="A853" s="109"/>
      <c r="B853" s="109"/>
      <c r="C853" s="109"/>
      <c r="D853" s="109"/>
      <c r="E853" s="109"/>
      <c r="F853" s="109"/>
      <c r="G853" s="109"/>
      <c r="H853" s="317"/>
      <c r="I853" s="109"/>
      <c r="J853" s="109"/>
      <c r="K853" s="109"/>
      <c r="L853" s="109"/>
      <c r="M853" s="109"/>
      <c r="N853" s="109"/>
      <c r="O853" s="109"/>
      <c r="P853" s="109"/>
      <c r="Q853" s="109"/>
      <c r="R853" s="109"/>
      <c r="S853" s="109"/>
      <c r="T853" s="109"/>
      <c r="U853" s="109"/>
      <c r="V853" s="109"/>
      <c r="W853" s="109"/>
      <c r="X853" s="109"/>
      <c r="Y853" s="109"/>
      <c r="Z853" s="109"/>
    </row>
    <row r="854" ht="29.25" customHeight="1">
      <c r="A854" s="109"/>
      <c r="B854" s="109"/>
      <c r="C854" s="109"/>
      <c r="D854" s="109"/>
      <c r="E854" s="109"/>
      <c r="F854" s="109"/>
      <c r="G854" s="109"/>
      <c r="H854" s="317"/>
      <c r="I854" s="109"/>
      <c r="J854" s="109"/>
      <c r="K854" s="109"/>
      <c r="L854" s="109"/>
      <c r="M854" s="109"/>
      <c r="N854" s="109"/>
      <c r="O854" s="109"/>
      <c r="P854" s="109"/>
      <c r="Q854" s="109"/>
      <c r="R854" s="109"/>
      <c r="S854" s="109"/>
      <c r="T854" s="109"/>
      <c r="U854" s="109"/>
      <c r="V854" s="109"/>
      <c r="W854" s="109"/>
      <c r="X854" s="109"/>
      <c r="Y854" s="109"/>
      <c r="Z854" s="109"/>
    </row>
    <row r="855" ht="29.25" customHeight="1">
      <c r="A855" s="109"/>
      <c r="B855" s="109"/>
      <c r="C855" s="109"/>
      <c r="D855" s="109"/>
      <c r="E855" s="109"/>
      <c r="F855" s="109"/>
      <c r="G855" s="109"/>
      <c r="H855" s="317"/>
      <c r="I855" s="109"/>
      <c r="J855" s="109"/>
      <c r="K855" s="109"/>
      <c r="L855" s="109"/>
      <c r="M855" s="109"/>
      <c r="N855" s="109"/>
      <c r="O855" s="109"/>
      <c r="P855" s="109"/>
      <c r="Q855" s="109"/>
      <c r="R855" s="109"/>
      <c r="S855" s="109"/>
      <c r="T855" s="109"/>
      <c r="U855" s="109"/>
      <c r="V855" s="109"/>
      <c r="W855" s="109"/>
      <c r="X855" s="109"/>
      <c r="Y855" s="109"/>
      <c r="Z855" s="109"/>
    </row>
    <row r="856" ht="29.25" customHeight="1">
      <c r="A856" s="109"/>
      <c r="B856" s="109"/>
      <c r="C856" s="109"/>
      <c r="D856" s="109"/>
      <c r="E856" s="109"/>
      <c r="F856" s="109"/>
      <c r="G856" s="109"/>
      <c r="H856" s="317"/>
      <c r="I856" s="109"/>
      <c r="J856" s="109"/>
      <c r="K856" s="109"/>
      <c r="L856" s="109"/>
      <c r="M856" s="109"/>
      <c r="N856" s="109"/>
      <c r="O856" s="109"/>
      <c r="P856" s="109"/>
      <c r="Q856" s="109"/>
      <c r="R856" s="109"/>
      <c r="S856" s="109"/>
      <c r="T856" s="109"/>
      <c r="U856" s="109"/>
      <c r="V856" s="109"/>
      <c r="W856" s="109"/>
      <c r="X856" s="109"/>
      <c r="Y856" s="109"/>
      <c r="Z856" s="109"/>
    </row>
    <row r="857" ht="29.25" customHeight="1">
      <c r="A857" s="109"/>
      <c r="B857" s="109"/>
      <c r="C857" s="109"/>
      <c r="D857" s="109"/>
      <c r="E857" s="109"/>
      <c r="F857" s="109"/>
      <c r="G857" s="109"/>
      <c r="H857" s="317"/>
      <c r="I857" s="109"/>
      <c r="J857" s="109"/>
      <c r="K857" s="109"/>
      <c r="L857" s="109"/>
      <c r="M857" s="109"/>
      <c r="N857" s="109"/>
      <c r="O857" s="109"/>
      <c r="P857" s="109"/>
      <c r="Q857" s="109"/>
      <c r="R857" s="109"/>
      <c r="S857" s="109"/>
      <c r="T857" s="109"/>
      <c r="U857" s="109"/>
      <c r="V857" s="109"/>
      <c r="W857" s="109"/>
      <c r="X857" s="109"/>
      <c r="Y857" s="109"/>
      <c r="Z857" s="109"/>
    </row>
    <row r="858" ht="29.25" customHeight="1">
      <c r="A858" s="109"/>
      <c r="B858" s="109"/>
      <c r="C858" s="109"/>
      <c r="D858" s="109"/>
      <c r="E858" s="109"/>
      <c r="F858" s="109"/>
      <c r="G858" s="109"/>
      <c r="H858" s="317"/>
      <c r="I858" s="109"/>
      <c r="J858" s="109"/>
      <c r="K858" s="109"/>
      <c r="L858" s="109"/>
      <c r="M858" s="109"/>
      <c r="N858" s="109"/>
      <c r="O858" s="109"/>
      <c r="P858" s="109"/>
      <c r="Q858" s="109"/>
      <c r="R858" s="109"/>
      <c r="S858" s="109"/>
      <c r="T858" s="109"/>
      <c r="U858" s="109"/>
      <c r="V858" s="109"/>
      <c r="W858" s="109"/>
      <c r="X858" s="109"/>
      <c r="Y858" s="109"/>
      <c r="Z858" s="109"/>
    </row>
    <row r="859" ht="29.25" customHeight="1">
      <c r="A859" s="109"/>
      <c r="B859" s="109"/>
      <c r="C859" s="109"/>
      <c r="D859" s="109"/>
      <c r="E859" s="109"/>
      <c r="F859" s="109"/>
      <c r="G859" s="109"/>
      <c r="H859" s="317"/>
      <c r="I859" s="109"/>
      <c r="J859" s="109"/>
      <c r="K859" s="109"/>
      <c r="L859" s="109"/>
      <c r="M859" s="109"/>
      <c r="N859" s="109"/>
      <c r="O859" s="109"/>
      <c r="P859" s="109"/>
      <c r="Q859" s="109"/>
      <c r="R859" s="109"/>
      <c r="S859" s="109"/>
      <c r="T859" s="109"/>
      <c r="U859" s="109"/>
      <c r="V859" s="109"/>
      <c r="W859" s="109"/>
      <c r="X859" s="109"/>
      <c r="Y859" s="109"/>
      <c r="Z859" s="109"/>
    </row>
    <row r="860" ht="29.25" customHeight="1">
      <c r="A860" s="109"/>
      <c r="B860" s="109"/>
      <c r="C860" s="109"/>
      <c r="D860" s="109"/>
      <c r="E860" s="109"/>
      <c r="F860" s="109"/>
      <c r="G860" s="109"/>
      <c r="H860" s="317"/>
      <c r="I860" s="109"/>
      <c r="J860" s="109"/>
      <c r="K860" s="109"/>
      <c r="L860" s="109"/>
      <c r="M860" s="109"/>
      <c r="N860" s="109"/>
      <c r="O860" s="109"/>
      <c r="P860" s="109"/>
      <c r="Q860" s="109"/>
      <c r="R860" s="109"/>
      <c r="S860" s="109"/>
      <c r="T860" s="109"/>
      <c r="U860" s="109"/>
      <c r="V860" s="109"/>
      <c r="W860" s="109"/>
      <c r="X860" s="109"/>
      <c r="Y860" s="109"/>
      <c r="Z860" s="109"/>
    </row>
    <row r="861" ht="29.25" customHeight="1">
      <c r="A861" s="109"/>
      <c r="B861" s="109"/>
      <c r="C861" s="109"/>
      <c r="D861" s="109"/>
      <c r="E861" s="109"/>
      <c r="F861" s="109"/>
      <c r="G861" s="109"/>
      <c r="H861" s="317"/>
      <c r="I861" s="109"/>
      <c r="J861" s="109"/>
      <c r="K861" s="109"/>
      <c r="L861" s="109"/>
      <c r="M861" s="109"/>
      <c r="N861" s="109"/>
      <c r="O861" s="109"/>
      <c r="P861" s="109"/>
      <c r="Q861" s="109"/>
      <c r="R861" s="109"/>
      <c r="S861" s="109"/>
      <c r="T861" s="109"/>
      <c r="U861" s="109"/>
      <c r="V861" s="109"/>
      <c r="W861" s="109"/>
      <c r="X861" s="109"/>
      <c r="Y861" s="109"/>
      <c r="Z861" s="109"/>
    </row>
    <row r="862" ht="29.25" customHeight="1">
      <c r="A862" s="109"/>
      <c r="B862" s="109"/>
      <c r="C862" s="109"/>
      <c r="D862" s="109"/>
      <c r="E862" s="109"/>
      <c r="F862" s="109"/>
      <c r="G862" s="109"/>
      <c r="H862" s="317"/>
      <c r="I862" s="109"/>
      <c r="J862" s="109"/>
      <c r="K862" s="109"/>
      <c r="L862" s="109"/>
      <c r="M862" s="109"/>
      <c r="N862" s="109"/>
      <c r="O862" s="109"/>
      <c r="P862" s="109"/>
      <c r="Q862" s="109"/>
      <c r="R862" s="109"/>
      <c r="S862" s="109"/>
      <c r="T862" s="109"/>
      <c r="U862" s="109"/>
      <c r="V862" s="109"/>
      <c r="W862" s="109"/>
      <c r="X862" s="109"/>
      <c r="Y862" s="109"/>
      <c r="Z862" s="109"/>
    </row>
    <row r="863" ht="29.25" customHeight="1">
      <c r="A863" s="109"/>
      <c r="B863" s="109"/>
      <c r="C863" s="109"/>
      <c r="D863" s="109"/>
      <c r="E863" s="109"/>
      <c r="F863" s="109"/>
      <c r="G863" s="109"/>
      <c r="H863" s="317"/>
      <c r="I863" s="109"/>
      <c r="J863" s="109"/>
      <c r="K863" s="109"/>
      <c r="L863" s="109"/>
      <c r="M863" s="109"/>
      <c r="N863" s="109"/>
      <c r="O863" s="109"/>
      <c r="P863" s="109"/>
      <c r="Q863" s="109"/>
      <c r="R863" s="109"/>
      <c r="S863" s="109"/>
      <c r="T863" s="109"/>
      <c r="U863" s="109"/>
      <c r="V863" s="109"/>
      <c r="W863" s="109"/>
      <c r="X863" s="109"/>
      <c r="Y863" s="109"/>
      <c r="Z863" s="109"/>
    </row>
    <row r="864" ht="29.25" customHeight="1">
      <c r="A864" s="109"/>
      <c r="B864" s="109"/>
      <c r="C864" s="109"/>
      <c r="D864" s="109"/>
      <c r="E864" s="109"/>
      <c r="F864" s="109"/>
      <c r="G864" s="109"/>
      <c r="H864" s="317"/>
      <c r="I864" s="109"/>
      <c r="J864" s="109"/>
      <c r="K864" s="109"/>
      <c r="L864" s="109"/>
      <c r="M864" s="109"/>
      <c r="N864" s="109"/>
      <c r="O864" s="109"/>
      <c r="P864" s="109"/>
      <c r="Q864" s="109"/>
      <c r="R864" s="109"/>
      <c r="S864" s="109"/>
      <c r="T864" s="109"/>
      <c r="U864" s="109"/>
      <c r="V864" s="109"/>
      <c r="W864" s="109"/>
      <c r="X864" s="109"/>
      <c r="Y864" s="109"/>
      <c r="Z864" s="109"/>
    </row>
    <row r="865" ht="29.25" customHeight="1">
      <c r="A865" s="109"/>
      <c r="B865" s="109"/>
      <c r="C865" s="109"/>
      <c r="D865" s="109"/>
      <c r="E865" s="109"/>
      <c r="F865" s="109"/>
      <c r="G865" s="109"/>
      <c r="H865" s="317"/>
      <c r="I865" s="109"/>
      <c r="J865" s="109"/>
      <c r="K865" s="109"/>
      <c r="L865" s="109"/>
      <c r="M865" s="109"/>
      <c r="N865" s="109"/>
      <c r="O865" s="109"/>
      <c r="P865" s="109"/>
      <c r="Q865" s="109"/>
      <c r="R865" s="109"/>
      <c r="S865" s="109"/>
      <c r="T865" s="109"/>
      <c r="U865" s="109"/>
      <c r="V865" s="109"/>
      <c r="W865" s="109"/>
      <c r="X865" s="109"/>
      <c r="Y865" s="109"/>
      <c r="Z865" s="109"/>
    </row>
    <row r="866" ht="29.25" customHeight="1">
      <c r="A866" s="109"/>
      <c r="B866" s="109"/>
      <c r="C866" s="109"/>
      <c r="D866" s="109"/>
      <c r="E866" s="109"/>
      <c r="F866" s="109"/>
      <c r="G866" s="109"/>
      <c r="H866" s="317"/>
      <c r="I866" s="109"/>
      <c r="J866" s="109"/>
      <c r="K866" s="109"/>
      <c r="L866" s="109"/>
      <c r="M866" s="109"/>
      <c r="N866" s="109"/>
      <c r="O866" s="109"/>
      <c r="P866" s="109"/>
      <c r="Q866" s="109"/>
      <c r="R866" s="109"/>
      <c r="S866" s="109"/>
      <c r="T866" s="109"/>
      <c r="U866" s="109"/>
      <c r="V866" s="109"/>
      <c r="W866" s="109"/>
      <c r="X866" s="109"/>
      <c r="Y866" s="109"/>
      <c r="Z866" s="109"/>
    </row>
    <row r="867" ht="29.25" customHeight="1">
      <c r="A867" s="109"/>
      <c r="B867" s="109"/>
      <c r="C867" s="109"/>
      <c r="D867" s="109"/>
      <c r="E867" s="109"/>
      <c r="F867" s="109"/>
      <c r="G867" s="109"/>
      <c r="H867" s="317"/>
      <c r="I867" s="109"/>
      <c r="J867" s="109"/>
      <c r="K867" s="109"/>
      <c r="L867" s="109"/>
      <c r="M867" s="109"/>
      <c r="N867" s="109"/>
      <c r="O867" s="109"/>
      <c r="P867" s="109"/>
      <c r="Q867" s="109"/>
      <c r="R867" s="109"/>
      <c r="S867" s="109"/>
      <c r="T867" s="109"/>
      <c r="U867" s="109"/>
      <c r="V867" s="109"/>
      <c r="W867" s="109"/>
      <c r="X867" s="109"/>
      <c r="Y867" s="109"/>
      <c r="Z867" s="109"/>
    </row>
    <row r="868" ht="29.25" customHeight="1">
      <c r="A868" s="109"/>
      <c r="B868" s="109"/>
      <c r="C868" s="109"/>
      <c r="D868" s="109"/>
      <c r="E868" s="109"/>
      <c r="F868" s="109"/>
      <c r="G868" s="109"/>
      <c r="H868" s="317"/>
      <c r="I868" s="109"/>
      <c r="J868" s="109"/>
      <c r="K868" s="109"/>
      <c r="L868" s="109"/>
      <c r="M868" s="109"/>
      <c r="N868" s="109"/>
      <c r="O868" s="109"/>
      <c r="P868" s="109"/>
      <c r="Q868" s="109"/>
      <c r="R868" s="109"/>
      <c r="S868" s="109"/>
      <c r="T868" s="109"/>
      <c r="U868" s="109"/>
      <c r="V868" s="109"/>
      <c r="W868" s="109"/>
      <c r="X868" s="109"/>
      <c r="Y868" s="109"/>
      <c r="Z868" s="109"/>
    </row>
    <row r="869" ht="29.25" customHeight="1">
      <c r="A869" s="109"/>
      <c r="B869" s="109"/>
      <c r="C869" s="109"/>
      <c r="D869" s="109"/>
      <c r="E869" s="109"/>
      <c r="F869" s="109"/>
      <c r="G869" s="109"/>
      <c r="H869" s="317"/>
      <c r="I869" s="109"/>
      <c r="J869" s="109"/>
      <c r="K869" s="109"/>
      <c r="L869" s="109"/>
      <c r="M869" s="109"/>
      <c r="N869" s="109"/>
      <c r="O869" s="109"/>
      <c r="P869" s="109"/>
      <c r="Q869" s="109"/>
      <c r="R869" s="109"/>
      <c r="S869" s="109"/>
      <c r="T869" s="109"/>
      <c r="U869" s="109"/>
      <c r="V869" s="109"/>
      <c r="W869" s="109"/>
      <c r="X869" s="109"/>
      <c r="Y869" s="109"/>
      <c r="Z869" s="109"/>
    </row>
    <row r="870" ht="29.25" customHeight="1">
      <c r="A870" s="109"/>
      <c r="B870" s="109"/>
      <c r="C870" s="109"/>
      <c r="D870" s="109"/>
      <c r="E870" s="109"/>
      <c r="F870" s="109"/>
      <c r="G870" s="109"/>
      <c r="H870" s="317"/>
      <c r="I870" s="109"/>
      <c r="J870" s="109"/>
      <c r="K870" s="109"/>
      <c r="L870" s="109"/>
      <c r="M870" s="109"/>
      <c r="N870" s="109"/>
      <c r="O870" s="109"/>
      <c r="P870" s="109"/>
      <c r="Q870" s="109"/>
      <c r="R870" s="109"/>
      <c r="S870" s="109"/>
      <c r="T870" s="109"/>
      <c r="U870" s="109"/>
      <c r="V870" s="109"/>
      <c r="W870" s="109"/>
      <c r="X870" s="109"/>
      <c r="Y870" s="109"/>
      <c r="Z870" s="109"/>
    </row>
    <row r="871" ht="29.25" customHeight="1">
      <c r="A871" s="109"/>
      <c r="B871" s="109"/>
      <c r="C871" s="109"/>
      <c r="D871" s="109"/>
      <c r="E871" s="109"/>
      <c r="F871" s="109"/>
      <c r="G871" s="109"/>
      <c r="H871" s="317"/>
      <c r="I871" s="109"/>
      <c r="J871" s="109"/>
      <c r="K871" s="109"/>
      <c r="L871" s="109"/>
      <c r="M871" s="109"/>
      <c r="N871" s="109"/>
      <c r="O871" s="109"/>
      <c r="P871" s="109"/>
      <c r="Q871" s="109"/>
      <c r="R871" s="109"/>
      <c r="S871" s="109"/>
      <c r="T871" s="109"/>
      <c r="U871" s="109"/>
      <c r="V871" s="109"/>
      <c r="W871" s="109"/>
      <c r="X871" s="109"/>
      <c r="Y871" s="109"/>
      <c r="Z871" s="109"/>
    </row>
    <row r="872" ht="29.25" customHeight="1">
      <c r="A872" s="109"/>
      <c r="B872" s="109"/>
      <c r="C872" s="109"/>
      <c r="D872" s="109"/>
      <c r="E872" s="109"/>
      <c r="F872" s="109"/>
      <c r="G872" s="109"/>
      <c r="H872" s="317"/>
      <c r="I872" s="109"/>
      <c r="J872" s="109"/>
      <c r="K872" s="109"/>
      <c r="L872" s="109"/>
      <c r="M872" s="109"/>
      <c r="N872" s="109"/>
      <c r="O872" s="109"/>
      <c r="P872" s="109"/>
      <c r="Q872" s="109"/>
      <c r="R872" s="109"/>
      <c r="S872" s="109"/>
      <c r="T872" s="109"/>
      <c r="U872" s="109"/>
      <c r="V872" s="109"/>
      <c r="W872" s="109"/>
      <c r="X872" s="109"/>
      <c r="Y872" s="109"/>
      <c r="Z872" s="109"/>
    </row>
    <row r="873" ht="29.25" customHeight="1">
      <c r="A873" s="109"/>
      <c r="B873" s="109"/>
      <c r="C873" s="109"/>
      <c r="D873" s="109"/>
      <c r="E873" s="109"/>
      <c r="F873" s="109"/>
      <c r="G873" s="109"/>
      <c r="H873" s="317"/>
      <c r="I873" s="109"/>
      <c r="J873" s="109"/>
      <c r="K873" s="109"/>
      <c r="L873" s="109"/>
      <c r="M873" s="109"/>
      <c r="N873" s="109"/>
      <c r="O873" s="109"/>
      <c r="P873" s="109"/>
      <c r="Q873" s="109"/>
      <c r="R873" s="109"/>
      <c r="S873" s="109"/>
      <c r="T873" s="109"/>
      <c r="U873" s="109"/>
      <c r="V873" s="109"/>
      <c r="W873" s="109"/>
      <c r="X873" s="109"/>
      <c r="Y873" s="109"/>
      <c r="Z873" s="109"/>
    </row>
    <row r="874" ht="29.25" customHeight="1">
      <c r="A874" s="109"/>
      <c r="B874" s="109"/>
      <c r="C874" s="109"/>
      <c r="D874" s="109"/>
      <c r="E874" s="109"/>
      <c r="F874" s="109"/>
      <c r="G874" s="109"/>
      <c r="H874" s="317"/>
      <c r="I874" s="109"/>
      <c r="J874" s="109"/>
      <c r="K874" s="109"/>
      <c r="L874" s="109"/>
      <c r="M874" s="109"/>
      <c r="N874" s="109"/>
      <c r="O874" s="109"/>
      <c r="P874" s="109"/>
      <c r="Q874" s="109"/>
      <c r="R874" s="109"/>
      <c r="S874" s="109"/>
      <c r="T874" s="109"/>
      <c r="U874" s="109"/>
      <c r="V874" s="109"/>
      <c r="W874" s="109"/>
      <c r="X874" s="109"/>
      <c r="Y874" s="109"/>
      <c r="Z874" s="109"/>
    </row>
    <row r="875" ht="29.25" customHeight="1">
      <c r="A875" s="109"/>
      <c r="B875" s="109"/>
      <c r="C875" s="109"/>
      <c r="D875" s="109"/>
      <c r="E875" s="109"/>
      <c r="F875" s="109"/>
      <c r="G875" s="109"/>
      <c r="H875" s="317"/>
      <c r="I875" s="109"/>
      <c r="J875" s="109"/>
      <c r="K875" s="109"/>
      <c r="L875" s="109"/>
      <c r="M875" s="109"/>
      <c r="N875" s="109"/>
      <c r="O875" s="109"/>
      <c r="P875" s="109"/>
      <c r="Q875" s="109"/>
      <c r="R875" s="109"/>
      <c r="S875" s="109"/>
      <c r="T875" s="109"/>
      <c r="U875" s="109"/>
      <c r="V875" s="109"/>
      <c r="W875" s="109"/>
      <c r="X875" s="109"/>
      <c r="Y875" s="109"/>
      <c r="Z875" s="109"/>
    </row>
    <row r="876" ht="29.25" customHeight="1">
      <c r="A876" s="109"/>
      <c r="B876" s="109"/>
      <c r="C876" s="109"/>
      <c r="D876" s="109"/>
      <c r="E876" s="109"/>
      <c r="F876" s="109"/>
      <c r="G876" s="109"/>
      <c r="H876" s="317"/>
      <c r="I876" s="109"/>
      <c r="J876" s="109"/>
      <c r="K876" s="109"/>
      <c r="L876" s="109"/>
      <c r="M876" s="109"/>
      <c r="N876" s="109"/>
      <c r="O876" s="109"/>
      <c r="P876" s="109"/>
      <c r="Q876" s="109"/>
      <c r="R876" s="109"/>
      <c r="S876" s="109"/>
      <c r="T876" s="109"/>
      <c r="U876" s="109"/>
      <c r="V876" s="109"/>
      <c r="W876" s="109"/>
      <c r="X876" s="109"/>
      <c r="Y876" s="109"/>
      <c r="Z876" s="109"/>
    </row>
    <row r="877" ht="29.25" customHeight="1">
      <c r="A877" s="109"/>
      <c r="B877" s="109"/>
      <c r="C877" s="109"/>
      <c r="D877" s="109"/>
      <c r="E877" s="109"/>
      <c r="F877" s="109"/>
      <c r="G877" s="109"/>
      <c r="H877" s="317"/>
      <c r="I877" s="109"/>
      <c r="J877" s="109"/>
      <c r="K877" s="109"/>
      <c r="L877" s="109"/>
      <c r="M877" s="109"/>
      <c r="N877" s="109"/>
      <c r="O877" s="109"/>
      <c r="P877" s="109"/>
      <c r="Q877" s="109"/>
      <c r="R877" s="109"/>
      <c r="S877" s="109"/>
      <c r="T877" s="109"/>
      <c r="U877" s="109"/>
      <c r="V877" s="109"/>
      <c r="W877" s="109"/>
      <c r="X877" s="109"/>
      <c r="Y877" s="109"/>
      <c r="Z877" s="109"/>
    </row>
    <row r="878" ht="29.25" customHeight="1">
      <c r="A878" s="109"/>
      <c r="B878" s="109"/>
      <c r="C878" s="109"/>
      <c r="D878" s="109"/>
      <c r="E878" s="109"/>
      <c r="F878" s="109"/>
      <c r="G878" s="109"/>
      <c r="H878" s="317"/>
      <c r="I878" s="109"/>
      <c r="J878" s="109"/>
      <c r="K878" s="109"/>
      <c r="L878" s="109"/>
      <c r="M878" s="109"/>
      <c r="N878" s="109"/>
      <c r="O878" s="109"/>
      <c r="P878" s="109"/>
      <c r="Q878" s="109"/>
      <c r="R878" s="109"/>
      <c r="S878" s="109"/>
      <c r="T878" s="109"/>
      <c r="U878" s="109"/>
      <c r="V878" s="109"/>
      <c r="W878" s="109"/>
      <c r="X878" s="109"/>
      <c r="Y878" s="109"/>
      <c r="Z878" s="109"/>
    </row>
    <row r="879" ht="29.25" customHeight="1">
      <c r="A879" s="109"/>
      <c r="B879" s="109"/>
      <c r="C879" s="109"/>
      <c r="D879" s="109"/>
      <c r="E879" s="109"/>
      <c r="F879" s="109"/>
      <c r="G879" s="109"/>
      <c r="H879" s="317"/>
      <c r="I879" s="109"/>
      <c r="J879" s="109"/>
      <c r="K879" s="109"/>
      <c r="L879" s="109"/>
      <c r="M879" s="109"/>
      <c r="N879" s="109"/>
      <c r="O879" s="109"/>
      <c r="P879" s="109"/>
      <c r="Q879" s="109"/>
      <c r="R879" s="109"/>
      <c r="S879" s="109"/>
      <c r="T879" s="109"/>
      <c r="U879" s="109"/>
      <c r="V879" s="109"/>
      <c r="W879" s="109"/>
      <c r="X879" s="109"/>
      <c r="Y879" s="109"/>
      <c r="Z879" s="109"/>
    </row>
    <row r="880" ht="29.25" customHeight="1">
      <c r="A880" s="109"/>
      <c r="B880" s="109"/>
      <c r="C880" s="109"/>
      <c r="D880" s="109"/>
      <c r="E880" s="109"/>
      <c r="F880" s="109"/>
      <c r="G880" s="109"/>
      <c r="H880" s="317"/>
      <c r="I880" s="109"/>
      <c r="J880" s="109"/>
      <c r="K880" s="109"/>
      <c r="L880" s="109"/>
      <c r="M880" s="109"/>
      <c r="N880" s="109"/>
      <c r="O880" s="109"/>
      <c r="P880" s="109"/>
      <c r="Q880" s="109"/>
      <c r="R880" s="109"/>
      <c r="S880" s="109"/>
      <c r="T880" s="109"/>
      <c r="U880" s="109"/>
      <c r="V880" s="109"/>
      <c r="W880" s="109"/>
      <c r="X880" s="109"/>
      <c r="Y880" s="109"/>
      <c r="Z880" s="109"/>
    </row>
    <row r="881" ht="29.25" customHeight="1">
      <c r="A881" s="109"/>
      <c r="B881" s="109"/>
      <c r="C881" s="109"/>
      <c r="D881" s="109"/>
      <c r="E881" s="109"/>
      <c r="F881" s="109"/>
      <c r="G881" s="109"/>
      <c r="H881" s="317"/>
      <c r="I881" s="109"/>
      <c r="J881" s="109"/>
      <c r="K881" s="109"/>
      <c r="L881" s="109"/>
      <c r="M881" s="109"/>
      <c r="N881" s="109"/>
      <c r="O881" s="109"/>
      <c r="P881" s="109"/>
      <c r="Q881" s="109"/>
      <c r="R881" s="109"/>
      <c r="S881" s="109"/>
      <c r="T881" s="109"/>
      <c r="U881" s="109"/>
      <c r="V881" s="109"/>
      <c r="W881" s="109"/>
      <c r="X881" s="109"/>
      <c r="Y881" s="109"/>
      <c r="Z881" s="109"/>
    </row>
    <row r="882" ht="29.25" customHeight="1">
      <c r="A882" s="109"/>
      <c r="B882" s="109"/>
      <c r="C882" s="109"/>
      <c r="D882" s="109"/>
      <c r="E882" s="109"/>
      <c r="F882" s="109"/>
      <c r="G882" s="109"/>
      <c r="H882" s="317"/>
      <c r="I882" s="109"/>
      <c r="J882" s="109"/>
      <c r="K882" s="109"/>
      <c r="L882" s="109"/>
      <c r="M882" s="109"/>
      <c r="N882" s="109"/>
      <c r="O882" s="109"/>
      <c r="P882" s="109"/>
      <c r="Q882" s="109"/>
      <c r="R882" s="109"/>
      <c r="S882" s="109"/>
      <c r="T882" s="109"/>
      <c r="U882" s="109"/>
      <c r="V882" s="109"/>
      <c r="W882" s="109"/>
      <c r="X882" s="109"/>
      <c r="Y882" s="109"/>
      <c r="Z882" s="109"/>
    </row>
    <row r="883" ht="29.25" customHeight="1">
      <c r="A883" s="109"/>
      <c r="B883" s="109"/>
      <c r="C883" s="109"/>
      <c r="D883" s="109"/>
      <c r="E883" s="109"/>
      <c r="F883" s="109"/>
      <c r="G883" s="109"/>
      <c r="H883" s="317"/>
      <c r="I883" s="109"/>
      <c r="J883" s="109"/>
      <c r="K883" s="109"/>
      <c r="L883" s="109"/>
      <c r="M883" s="109"/>
      <c r="N883" s="109"/>
      <c r="O883" s="109"/>
      <c r="P883" s="109"/>
      <c r="Q883" s="109"/>
      <c r="R883" s="109"/>
      <c r="S883" s="109"/>
      <c r="T883" s="109"/>
      <c r="U883" s="109"/>
      <c r="V883" s="109"/>
      <c r="W883" s="109"/>
      <c r="X883" s="109"/>
      <c r="Y883" s="109"/>
      <c r="Z883" s="109"/>
    </row>
    <row r="884" ht="29.25" customHeight="1">
      <c r="A884" s="109"/>
      <c r="B884" s="109"/>
      <c r="C884" s="109"/>
      <c r="D884" s="109"/>
      <c r="E884" s="109"/>
      <c r="F884" s="109"/>
      <c r="G884" s="109"/>
      <c r="H884" s="317"/>
      <c r="I884" s="109"/>
      <c r="J884" s="109"/>
      <c r="K884" s="109"/>
      <c r="L884" s="109"/>
      <c r="M884" s="109"/>
      <c r="N884" s="109"/>
      <c r="O884" s="109"/>
      <c r="P884" s="109"/>
      <c r="Q884" s="109"/>
      <c r="R884" s="109"/>
      <c r="S884" s="109"/>
      <c r="T884" s="109"/>
      <c r="U884" s="109"/>
      <c r="V884" s="109"/>
      <c r="W884" s="109"/>
      <c r="X884" s="109"/>
      <c r="Y884" s="109"/>
      <c r="Z884" s="109"/>
    </row>
    <row r="885" ht="29.25" customHeight="1">
      <c r="A885" s="109"/>
      <c r="B885" s="109"/>
      <c r="C885" s="109"/>
      <c r="D885" s="109"/>
      <c r="E885" s="109"/>
      <c r="F885" s="109"/>
      <c r="G885" s="109"/>
      <c r="H885" s="317"/>
      <c r="I885" s="109"/>
      <c r="J885" s="109"/>
      <c r="K885" s="109"/>
      <c r="L885" s="109"/>
      <c r="M885" s="109"/>
      <c r="N885" s="109"/>
      <c r="O885" s="109"/>
      <c r="P885" s="109"/>
      <c r="Q885" s="109"/>
      <c r="R885" s="109"/>
      <c r="S885" s="109"/>
      <c r="T885" s="109"/>
      <c r="U885" s="109"/>
      <c r="V885" s="109"/>
      <c r="W885" s="109"/>
      <c r="X885" s="109"/>
      <c r="Y885" s="109"/>
      <c r="Z885" s="109"/>
    </row>
    <row r="886" ht="29.25" customHeight="1">
      <c r="A886" s="109"/>
      <c r="B886" s="109"/>
      <c r="C886" s="109"/>
      <c r="D886" s="109"/>
      <c r="E886" s="109"/>
      <c r="F886" s="109"/>
      <c r="G886" s="109"/>
      <c r="H886" s="317"/>
      <c r="I886" s="109"/>
      <c r="J886" s="109"/>
      <c r="K886" s="109"/>
      <c r="L886" s="109"/>
      <c r="M886" s="109"/>
      <c r="N886" s="109"/>
      <c r="O886" s="109"/>
      <c r="P886" s="109"/>
      <c r="Q886" s="109"/>
      <c r="R886" s="109"/>
      <c r="S886" s="109"/>
      <c r="T886" s="109"/>
      <c r="U886" s="109"/>
      <c r="V886" s="109"/>
      <c r="W886" s="109"/>
      <c r="X886" s="109"/>
      <c r="Y886" s="109"/>
      <c r="Z886" s="109"/>
    </row>
    <row r="887" ht="29.25" customHeight="1">
      <c r="A887" s="109"/>
      <c r="B887" s="109"/>
      <c r="C887" s="109"/>
      <c r="D887" s="109"/>
      <c r="E887" s="109"/>
      <c r="F887" s="109"/>
      <c r="G887" s="109"/>
      <c r="H887" s="317"/>
      <c r="I887" s="109"/>
      <c r="J887" s="109"/>
      <c r="K887" s="109"/>
      <c r="L887" s="109"/>
      <c r="M887" s="109"/>
      <c r="N887" s="109"/>
      <c r="O887" s="109"/>
      <c r="P887" s="109"/>
      <c r="Q887" s="109"/>
      <c r="R887" s="109"/>
      <c r="S887" s="109"/>
      <c r="T887" s="109"/>
      <c r="U887" s="109"/>
      <c r="V887" s="109"/>
      <c r="W887" s="109"/>
      <c r="X887" s="109"/>
      <c r="Y887" s="109"/>
      <c r="Z887" s="109"/>
    </row>
    <row r="888" ht="29.25" customHeight="1">
      <c r="A888" s="109"/>
      <c r="B888" s="109"/>
      <c r="C888" s="109"/>
      <c r="D888" s="109"/>
      <c r="E888" s="109"/>
      <c r="F888" s="109"/>
      <c r="G888" s="109"/>
      <c r="H888" s="317"/>
      <c r="I888" s="109"/>
      <c r="J888" s="109"/>
      <c r="K888" s="109"/>
      <c r="L888" s="109"/>
      <c r="M888" s="109"/>
      <c r="N888" s="109"/>
      <c r="O888" s="109"/>
      <c r="P888" s="109"/>
      <c r="Q888" s="109"/>
      <c r="R888" s="109"/>
      <c r="S888" s="109"/>
      <c r="T888" s="109"/>
      <c r="U888" s="109"/>
      <c r="V888" s="109"/>
      <c r="W888" s="109"/>
      <c r="X888" s="109"/>
      <c r="Y888" s="109"/>
      <c r="Z888" s="109"/>
    </row>
    <row r="889" ht="29.25" customHeight="1">
      <c r="A889" s="109"/>
      <c r="B889" s="109"/>
      <c r="C889" s="109"/>
      <c r="D889" s="109"/>
      <c r="E889" s="109"/>
      <c r="F889" s="109"/>
      <c r="G889" s="109"/>
      <c r="H889" s="317"/>
      <c r="I889" s="109"/>
      <c r="J889" s="109"/>
      <c r="K889" s="109"/>
      <c r="L889" s="109"/>
      <c r="M889" s="109"/>
      <c r="N889" s="109"/>
      <c r="O889" s="109"/>
      <c r="P889" s="109"/>
      <c r="Q889" s="109"/>
      <c r="R889" s="109"/>
      <c r="S889" s="109"/>
      <c r="T889" s="109"/>
      <c r="U889" s="109"/>
      <c r="V889" s="109"/>
      <c r="W889" s="109"/>
      <c r="X889" s="109"/>
      <c r="Y889" s="109"/>
      <c r="Z889" s="109"/>
    </row>
    <row r="890" ht="29.25" customHeight="1">
      <c r="A890" s="109"/>
      <c r="B890" s="109"/>
      <c r="C890" s="109"/>
      <c r="D890" s="109"/>
      <c r="E890" s="109"/>
      <c r="F890" s="109"/>
      <c r="G890" s="109"/>
      <c r="H890" s="317"/>
      <c r="I890" s="109"/>
      <c r="J890" s="109"/>
      <c r="K890" s="109"/>
      <c r="L890" s="109"/>
      <c r="M890" s="109"/>
      <c r="N890" s="109"/>
      <c r="O890" s="109"/>
      <c r="P890" s="109"/>
      <c r="Q890" s="109"/>
      <c r="R890" s="109"/>
      <c r="S890" s="109"/>
      <c r="T890" s="109"/>
      <c r="U890" s="109"/>
      <c r="V890" s="109"/>
      <c r="W890" s="109"/>
      <c r="X890" s="109"/>
      <c r="Y890" s="109"/>
      <c r="Z890" s="109"/>
    </row>
    <row r="891" ht="29.25" customHeight="1">
      <c r="A891" s="109"/>
      <c r="B891" s="109"/>
      <c r="C891" s="109"/>
      <c r="D891" s="109"/>
      <c r="E891" s="109"/>
      <c r="F891" s="109"/>
      <c r="G891" s="109"/>
      <c r="H891" s="317"/>
      <c r="I891" s="109"/>
      <c r="J891" s="109"/>
      <c r="K891" s="109"/>
      <c r="L891" s="109"/>
      <c r="M891" s="109"/>
      <c r="N891" s="109"/>
      <c r="O891" s="109"/>
      <c r="P891" s="109"/>
      <c r="Q891" s="109"/>
      <c r="R891" s="109"/>
      <c r="S891" s="109"/>
      <c r="T891" s="109"/>
      <c r="U891" s="109"/>
      <c r="V891" s="109"/>
      <c r="W891" s="109"/>
      <c r="X891" s="109"/>
      <c r="Y891" s="109"/>
      <c r="Z891" s="109"/>
    </row>
    <row r="892" ht="29.25" customHeight="1">
      <c r="A892" s="109"/>
      <c r="B892" s="109"/>
      <c r="C892" s="109"/>
      <c r="D892" s="109"/>
      <c r="E892" s="109"/>
      <c r="F892" s="109"/>
      <c r="G892" s="109"/>
      <c r="H892" s="317"/>
      <c r="I892" s="109"/>
      <c r="J892" s="109"/>
      <c r="K892" s="109"/>
      <c r="L892" s="109"/>
      <c r="M892" s="109"/>
      <c r="N892" s="109"/>
      <c r="O892" s="109"/>
      <c r="P892" s="109"/>
      <c r="Q892" s="109"/>
      <c r="R892" s="109"/>
      <c r="S892" s="109"/>
      <c r="T892" s="109"/>
      <c r="U892" s="109"/>
      <c r="V892" s="109"/>
      <c r="W892" s="109"/>
      <c r="X892" s="109"/>
      <c r="Y892" s="109"/>
      <c r="Z892" s="109"/>
    </row>
    <row r="893" ht="29.25" customHeight="1">
      <c r="A893" s="109"/>
      <c r="B893" s="109"/>
      <c r="C893" s="109"/>
      <c r="D893" s="109"/>
      <c r="E893" s="109"/>
      <c r="F893" s="109"/>
      <c r="G893" s="109"/>
      <c r="H893" s="317"/>
      <c r="I893" s="109"/>
      <c r="J893" s="109"/>
      <c r="K893" s="109"/>
      <c r="L893" s="109"/>
      <c r="M893" s="109"/>
      <c r="N893" s="109"/>
      <c r="O893" s="109"/>
      <c r="P893" s="109"/>
      <c r="Q893" s="109"/>
      <c r="R893" s="109"/>
      <c r="S893" s="109"/>
      <c r="T893" s="109"/>
      <c r="U893" s="109"/>
      <c r="V893" s="109"/>
      <c r="W893" s="109"/>
      <c r="X893" s="109"/>
      <c r="Y893" s="109"/>
      <c r="Z893" s="109"/>
    </row>
    <row r="894" ht="29.25" customHeight="1">
      <c r="A894" s="109"/>
      <c r="B894" s="109"/>
      <c r="C894" s="109"/>
      <c r="D894" s="109"/>
      <c r="E894" s="109"/>
      <c r="F894" s="109"/>
      <c r="G894" s="109"/>
      <c r="H894" s="317"/>
      <c r="I894" s="109"/>
      <c r="J894" s="109"/>
      <c r="K894" s="109"/>
      <c r="L894" s="109"/>
      <c r="M894" s="109"/>
      <c r="N894" s="109"/>
      <c r="O894" s="109"/>
      <c r="P894" s="109"/>
      <c r="Q894" s="109"/>
      <c r="R894" s="109"/>
      <c r="S894" s="109"/>
      <c r="T894" s="109"/>
      <c r="U894" s="109"/>
      <c r="V894" s="109"/>
      <c r="W894" s="109"/>
      <c r="X894" s="109"/>
      <c r="Y894" s="109"/>
      <c r="Z894" s="109"/>
    </row>
    <row r="895" ht="29.25" customHeight="1">
      <c r="A895" s="109"/>
      <c r="B895" s="109"/>
      <c r="C895" s="109"/>
      <c r="D895" s="109"/>
      <c r="E895" s="109"/>
      <c r="F895" s="109"/>
      <c r="G895" s="109"/>
      <c r="H895" s="317"/>
      <c r="I895" s="109"/>
      <c r="J895" s="109"/>
      <c r="K895" s="109"/>
      <c r="L895" s="109"/>
      <c r="M895" s="109"/>
      <c r="N895" s="109"/>
      <c r="O895" s="109"/>
      <c r="P895" s="109"/>
      <c r="Q895" s="109"/>
      <c r="R895" s="109"/>
      <c r="S895" s="109"/>
      <c r="T895" s="109"/>
      <c r="U895" s="109"/>
      <c r="V895" s="109"/>
      <c r="W895" s="109"/>
      <c r="X895" s="109"/>
      <c r="Y895" s="109"/>
      <c r="Z895" s="109"/>
    </row>
    <row r="896" ht="29.25" customHeight="1">
      <c r="A896" s="109"/>
      <c r="B896" s="109"/>
      <c r="C896" s="109"/>
      <c r="D896" s="109"/>
      <c r="E896" s="109"/>
      <c r="F896" s="109"/>
      <c r="G896" s="109"/>
      <c r="H896" s="317"/>
      <c r="I896" s="109"/>
      <c r="J896" s="109"/>
      <c r="K896" s="109"/>
      <c r="L896" s="109"/>
      <c r="M896" s="109"/>
      <c r="N896" s="109"/>
      <c r="O896" s="109"/>
      <c r="P896" s="109"/>
      <c r="Q896" s="109"/>
      <c r="R896" s="109"/>
      <c r="S896" s="109"/>
      <c r="T896" s="109"/>
      <c r="U896" s="109"/>
      <c r="V896" s="109"/>
      <c r="W896" s="109"/>
      <c r="X896" s="109"/>
      <c r="Y896" s="109"/>
      <c r="Z896" s="109"/>
    </row>
    <row r="897" ht="29.25" customHeight="1">
      <c r="A897" s="109"/>
      <c r="B897" s="109"/>
      <c r="C897" s="109"/>
      <c r="D897" s="109"/>
      <c r="E897" s="109"/>
      <c r="F897" s="109"/>
      <c r="G897" s="109"/>
      <c r="H897" s="317"/>
      <c r="I897" s="109"/>
      <c r="J897" s="109"/>
      <c r="K897" s="109"/>
      <c r="L897" s="109"/>
      <c r="M897" s="109"/>
      <c r="N897" s="109"/>
      <c r="O897" s="109"/>
      <c r="P897" s="109"/>
      <c r="Q897" s="109"/>
      <c r="R897" s="109"/>
      <c r="S897" s="109"/>
      <c r="T897" s="109"/>
      <c r="U897" s="109"/>
      <c r="V897" s="109"/>
      <c r="W897" s="109"/>
      <c r="X897" s="109"/>
      <c r="Y897" s="109"/>
      <c r="Z897" s="109"/>
    </row>
    <row r="898" ht="29.25" customHeight="1">
      <c r="A898" s="109"/>
      <c r="B898" s="109"/>
      <c r="C898" s="109"/>
      <c r="D898" s="109"/>
      <c r="E898" s="109"/>
      <c r="F898" s="109"/>
      <c r="G898" s="109"/>
      <c r="H898" s="317"/>
      <c r="I898" s="109"/>
      <c r="J898" s="109"/>
      <c r="K898" s="109"/>
      <c r="L898" s="109"/>
      <c r="M898" s="109"/>
      <c r="N898" s="109"/>
      <c r="O898" s="109"/>
      <c r="P898" s="109"/>
      <c r="Q898" s="109"/>
      <c r="R898" s="109"/>
      <c r="S898" s="109"/>
      <c r="T898" s="109"/>
      <c r="U898" s="109"/>
      <c r="V898" s="109"/>
      <c r="W898" s="109"/>
      <c r="X898" s="109"/>
      <c r="Y898" s="109"/>
      <c r="Z898" s="109"/>
    </row>
    <row r="899" ht="29.25" customHeight="1">
      <c r="A899" s="109"/>
      <c r="B899" s="109"/>
      <c r="C899" s="109"/>
      <c r="D899" s="109"/>
      <c r="E899" s="109"/>
      <c r="F899" s="109"/>
      <c r="G899" s="109"/>
      <c r="H899" s="317"/>
      <c r="I899" s="109"/>
      <c r="J899" s="109"/>
      <c r="K899" s="109"/>
      <c r="L899" s="109"/>
      <c r="M899" s="109"/>
      <c r="N899" s="109"/>
      <c r="O899" s="109"/>
      <c r="P899" s="109"/>
      <c r="Q899" s="109"/>
      <c r="R899" s="109"/>
      <c r="S899" s="109"/>
      <c r="T899" s="109"/>
      <c r="U899" s="109"/>
      <c r="V899" s="109"/>
      <c r="W899" s="109"/>
      <c r="X899" s="109"/>
      <c r="Y899" s="109"/>
      <c r="Z899" s="109"/>
    </row>
    <row r="900" ht="29.25" customHeight="1">
      <c r="A900" s="109"/>
      <c r="B900" s="109"/>
      <c r="C900" s="109"/>
      <c r="D900" s="109"/>
      <c r="E900" s="109"/>
      <c r="F900" s="109"/>
      <c r="G900" s="109"/>
      <c r="H900" s="317"/>
      <c r="I900" s="109"/>
      <c r="J900" s="109"/>
      <c r="K900" s="109"/>
      <c r="L900" s="109"/>
      <c r="M900" s="109"/>
      <c r="N900" s="109"/>
      <c r="O900" s="109"/>
      <c r="P900" s="109"/>
      <c r="Q900" s="109"/>
      <c r="R900" s="109"/>
      <c r="S900" s="109"/>
      <c r="T900" s="109"/>
      <c r="U900" s="109"/>
      <c r="V900" s="109"/>
      <c r="W900" s="109"/>
      <c r="X900" s="109"/>
      <c r="Y900" s="109"/>
      <c r="Z900" s="109"/>
    </row>
    <row r="901" ht="29.25" customHeight="1">
      <c r="A901" s="109"/>
      <c r="B901" s="109"/>
      <c r="C901" s="109"/>
      <c r="D901" s="109"/>
      <c r="E901" s="109"/>
      <c r="F901" s="109"/>
      <c r="G901" s="109"/>
      <c r="H901" s="317"/>
      <c r="I901" s="109"/>
      <c r="J901" s="109"/>
      <c r="K901" s="109"/>
      <c r="L901" s="109"/>
      <c r="M901" s="109"/>
      <c r="N901" s="109"/>
      <c r="O901" s="109"/>
      <c r="P901" s="109"/>
      <c r="Q901" s="109"/>
      <c r="R901" s="109"/>
      <c r="S901" s="109"/>
      <c r="T901" s="109"/>
      <c r="U901" s="109"/>
      <c r="V901" s="109"/>
      <c r="W901" s="109"/>
      <c r="X901" s="109"/>
      <c r="Y901" s="109"/>
      <c r="Z901" s="109"/>
    </row>
    <row r="902" ht="29.25" customHeight="1">
      <c r="A902" s="109"/>
      <c r="B902" s="109"/>
      <c r="C902" s="109"/>
      <c r="D902" s="109"/>
      <c r="E902" s="109"/>
      <c r="F902" s="109"/>
      <c r="G902" s="109"/>
      <c r="H902" s="317"/>
      <c r="I902" s="109"/>
      <c r="J902" s="109"/>
      <c r="K902" s="109"/>
      <c r="L902" s="109"/>
      <c r="M902" s="109"/>
      <c r="N902" s="109"/>
      <c r="O902" s="109"/>
      <c r="P902" s="109"/>
      <c r="Q902" s="109"/>
      <c r="R902" s="109"/>
      <c r="S902" s="109"/>
      <c r="T902" s="109"/>
      <c r="U902" s="109"/>
      <c r="V902" s="109"/>
      <c r="W902" s="109"/>
      <c r="X902" s="109"/>
      <c r="Y902" s="109"/>
      <c r="Z902" s="109"/>
    </row>
    <row r="903" ht="29.25" customHeight="1">
      <c r="A903" s="109"/>
      <c r="B903" s="109"/>
      <c r="C903" s="109"/>
      <c r="D903" s="109"/>
      <c r="E903" s="109"/>
      <c r="F903" s="109"/>
      <c r="G903" s="109"/>
      <c r="H903" s="317"/>
      <c r="I903" s="109"/>
      <c r="J903" s="109"/>
      <c r="K903" s="109"/>
      <c r="L903" s="109"/>
      <c r="M903" s="109"/>
      <c r="N903" s="109"/>
      <c r="O903" s="109"/>
      <c r="P903" s="109"/>
      <c r="Q903" s="109"/>
      <c r="R903" s="109"/>
      <c r="S903" s="109"/>
      <c r="T903" s="109"/>
      <c r="U903" s="109"/>
      <c r="V903" s="109"/>
      <c r="W903" s="109"/>
      <c r="X903" s="109"/>
      <c r="Y903" s="109"/>
      <c r="Z903" s="109"/>
    </row>
    <row r="904" ht="29.25" customHeight="1">
      <c r="A904" s="109"/>
      <c r="B904" s="109"/>
      <c r="C904" s="109"/>
      <c r="D904" s="109"/>
      <c r="E904" s="109"/>
      <c r="F904" s="109"/>
      <c r="G904" s="109"/>
      <c r="H904" s="317"/>
      <c r="I904" s="109"/>
      <c r="J904" s="109"/>
      <c r="K904" s="109"/>
      <c r="L904" s="109"/>
      <c r="M904" s="109"/>
      <c r="N904" s="109"/>
      <c r="O904" s="109"/>
      <c r="P904" s="109"/>
      <c r="Q904" s="109"/>
      <c r="R904" s="109"/>
      <c r="S904" s="109"/>
      <c r="T904" s="109"/>
      <c r="U904" s="109"/>
      <c r="V904" s="109"/>
      <c r="W904" s="109"/>
      <c r="X904" s="109"/>
      <c r="Y904" s="109"/>
      <c r="Z904" s="109"/>
    </row>
    <row r="905" ht="29.25" customHeight="1">
      <c r="A905" s="109"/>
      <c r="B905" s="109"/>
      <c r="C905" s="109"/>
      <c r="D905" s="109"/>
      <c r="E905" s="109"/>
      <c r="F905" s="109"/>
      <c r="G905" s="109"/>
      <c r="H905" s="317"/>
      <c r="I905" s="109"/>
      <c r="J905" s="109"/>
      <c r="K905" s="109"/>
      <c r="L905" s="109"/>
      <c r="M905" s="109"/>
      <c r="N905" s="109"/>
      <c r="O905" s="109"/>
      <c r="P905" s="109"/>
      <c r="Q905" s="109"/>
      <c r="R905" s="109"/>
      <c r="S905" s="109"/>
      <c r="T905" s="109"/>
      <c r="U905" s="109"/>
      <c r="V905" s="109"/>
      <c r="W905" s="109"/>
      <c r="X905" s="109"/>
      <c r="Y905" s="109"/>
      <c r="Z905" s="109"/>
    </row>
    <row r="906" ht="29.25" customHeight="1">
      <c r="A906" s="109"/>
      <c r="B906" s="109"/>
      <c r="C906" s="109"/>
      <c r="D906" s="109"/>
      <c r="E906" s="109"/>
      <c r="F906" s="109"/>
      <c r="G906" s="109"/>
      <c r="H906" s="317"/>
      <c r="I906" s="109"/>
      <c r="J906" s="109"/>
      <c r="K906" s="109"/>
      <c r="L906" s="109"/>
      <c r="M906" s="109"/>
      <c r="N906" s="109"/>
      <c r="O906" s="109"/>
      <c r="P906" s="109"/>
      <c r="Q906" s="109"/>
      <c r="R906" s="109"/>
      <c r="S906" s="109"/>
      <c r="T906" s="109"/>
      <c r="U906" s="109"/>
      <c r="V906" s="109"/>
      <c r="W906" s="109"/>
      <c r="X906" s="109"/>
      <c r="Y906" s="109"/>
      <c r="Z906" s="109"/>
    </row>
    <row r="907" ht="29.25" customHeight="1">
      <c r="A907" s="109"/>
      <c r="B907" s="109"/>
      <c r="C907" s="109"/>
      <c r="D907" s="109"/>
      <c r="E907" s="109"/>
      <c r="F907" s="109"/>
      <c r="G907" s="109"/>
      <c r="H907" s="317"/>
      <c r="I907" s="109"/>
      <c r="J907" s="109"/>
      <c r="K907" s="109"/>
      <c r="L907" s="109"/>
      <c r="M907" s="109"/>
      <c r="N907" s="109"/>
      <c r="O907" s="109"/>
      <c r="P907" s="109"/>
      <c r="Q907" s="109"/>
      <c r="R907" s="109"/>
      <c r="S907" s="109"/>
      <c r="T907" s="109"/>
      <c r="U907" s="109"/>
      <c r="V907" s="109"/>
      <c r="W907" s="109"/>
      <c r="X907" s="109"/>
      <c r="Y907" s="109"/>
      <c r="Z907" s="109"/>
    </row>
    <row r="908" ht="29.25" customHeight="1">
      <c r="A908" s="109"/>
      <c r="B908" s="109"/>
      <c r="C908" s="109"/>
      <c r="D908" s="109"/>
      <c r="E908" s="109"/>
      <c r="F908" s="109"/>
      <c r="G908" s="109"/>
      <c r="H908" s="317"/>
      <c r="I908" s="109"/>
      <c r="J908" s="109"/>
      <c r="K908" s="109"/>
      <c r="L908" s="109"/>
      <c r="M908" s="109"/>
      <c r="N908" s="109"/>
      <c r="O908" s="109"/>
      <c r="P908" s="109"/>
      <c r="Q908" s="109"/>
      <c r="R908" s="109"/>
      <c r="S908" s="109"/>
      <c r="T908" s="109"/>
      <c r="U908" s="109"/>
      <c r="V908" s="109"/>
      <c r="W908" s="109"/>
      <c r="X908" s="109"/>
      <c r="Y908" s="109"/>
      <c r="Z908" s="109"/>
    </row>
    <row r="909" ht="29.25" customHeight="1">
      <c r="A909" s="109"/>
      <c r="B909" s="109"/>
      <c r="C909" s="109"/>
      <c r="D909" s="109"/>
      <c r="E909" s="109"/>
      <c r="F909" s="109"/>
      <c r="G909" s="109"/>
      <c r="H909" s="317"/>
      <c r="I909" s="109"/>
      <c r="J909" s="109"/>
      <c r="K909" s="109"/>
      <c r="L909" s="109"/>
      <c r="M909" s="109"/>
      <c r="N909" s="109"/>
      <c r="O909" s="109"/>
      <c r="P909" s="109"/>
      <c r="Q909" s="109"/>
      <c r="R909" s="109"/>
      <c r="S909" s="109"/>
      <c r="T909" s="109"/>
      <c r="U909" s="109"/>
      <c r="V909" s="109"/>
      <c r="W909" s="109"/>
      <c r="X909" s="109"/>
      <c r="Y909" s="109"/>
      <c r="Z909" s="109"/>
    </row>
    <row r="910" ht="29.25" customHeight="1">
      <c r="A910" s="109"/>
      <c r="B910" s="109"/>
      <c r="C910" s="109"/>
      <c r="D910" s="109"/>
      <c r="E910" s="109"/>
      <c r="F910" s="109"/>
      <c r="G910" s="109"/>
      <c r="H910" s="317"/>
      <c r="I910" s="109"/>
      <c r="J910" s="109"/>
      <c r="K910" s="109"/>
      <c r="L910" s="109"/>
      <c r="M910" s="109"/>
      <c r="N910" s="109"/>
      <c r="O910" s="109"/>
      <c r="P910" s="109"/>
      <c r="Q910" s="109"/>
      <c r="R910" s="109"/>
      <c r="S910" s="109"/>
      <c r="T910" s="109"/>
      <c r="U910" s="109"/>
      <c r="V910" s="109"/>
      <c r="W910" s="109"/>
      <c r="X910" s="109"/>
      <c r="Y910" s="109"/>
      <c r="Z910" s="109"/>
    </row>
    <row r="911" ht="29.25" customHeight="1">
      <c r="A911" s="109"/>
      <c r="B911" s="109"/>
      <c r="C911" s="109"/>
      <c r="D911" s="109"/>
      <c r="E911" s="109"/>
      <c r="F911" s="109"/>
      <c r="G911" s="109"/>
      <c r="H911" s="317"/>
      <c r="I911" s="109"/>
      <c r="J911" s="109"/>
      <c r="K911" s="109"/>
      <c r="L911" s="109"/>
      <c r="M911" s="109"/>
      <c r="N911" s="109"/>
      <c r="O911" s="109"/>
      <c r="P911" s="109"/>
      <c r="Q911" s="109"/>
      <c r="R911" s="109"/>
      <c r="S911" s="109"/>
      <c r="T911" s="109"/>
      <c r="U911" s="109"/>
      <c r="V911" s="109"/>
      <c r="W911" s="109"/>
      <c r="X911" s="109"/>
      <c r="Y911" s="109"/>
      <c r="Z911" s="109"/>
    </row>
    <row r="912" ht="29.25" customHeight="1">
      <c r="A912" s="109"/>
      <c r="B912" s="109"/>
      <c r="C912" s="109"/>
      <c r="D912" s="109"/>
      <c r="E912" s="109"/>
      <c r="F912" s="109"/>
      <c r="G912" s="109"/>
      <c r="H912" s="317"/>
      <c r="I912" s="109"/>
      <c r="J912" s="109"/>
      <c r="K912" s="109"/>
      <c r="L912" s="109"/>
      <c r="M912" s="109"/>
      <c r="N912" s="109"/>
      <c r="O912" s="109"/>
      <c r="P912" s="109"/>
      <c r="Q912" s="109"/>
      <c r="R912" s="109"/>
      <c r="S912" s="109"/>
      <c r="T912" s="109"/>
      <c r="U912" s="109"/>
      <c r="V912" s="109"/>
      <c r="W912" s="109"/>
      <c r="X912" s="109"/>
      <c r="Y912" s="109"/>
      <c r="Z912" s="109"/>
    </row>
    <row r="913" ht="29.25" customHeight="1">
      <c r="A913" s="109"/>
      <c r="B913" s="109"/>
      <c r="C913" s="109"/>
      <c r="D913" s="109"/>
      <c r="E913" s="109"/>
      <c r="F913" s="109"/>
      <c r="G913" s="109"/>
      <c r="H913" s="317"/>
      <c r="I913" s="109"/>
      <c r="J913" s="109"/>
      <c r="K913" s="109"/>
      <c r="L913" s="109"/>
      <c r="M913" s="109"/>
      <c r="N913" s="109"/>
      <c r="O913" s="109"/>
      <c r="P913" s="109"/>
      <c r="Q913" s="109"/>
      <c r="R913" s="109"/>
      <c r="S913" s="109"/>
      <c r="T913" s="109"/>
      <c r="U913" s="109"/>
      <c r="V913" s="109"/>
      <c r="W913" s="109"/>
      <c r="X913" s="109"/>
      <c r="Y913" s="109"/>
      <c r="Z913" s="109"/>
    </row>
    <row r="914" ht="29.25" customHeight="1">
      <c r="A914" s="109"/>
      <c r="B914" s="109"/>
      <c r="C914" s="109"/>
      <c r="D914" s="109"/>
      <c r="E914" s="109"/>
      <c r="F914" s="109"/>
      <c r="G914" s="109"/>
      <c r="H914" s="317"/>
      <c r="I914" s="109"/>
      <c r="J914" s="109"/>
      <c r="K914" s="109"/>
      <c r="L914" s="109"/>
      <c r="M914" s="109"/>
      <c r="N914" s="109"/>
      <c r="O914" s="109"/>
      <c r="P914" s="109"/>
      <c r="Q914" s="109"/>
      <c r="R914" s="109"/>
      <c r="S914" s="109"/>
      <c r="T914" s="109"/>
      <c r="U914" s="109"/>
      <c r="V914" s="109"/>
      <c r="W914" s="109"/>
      <c r="X914" s="109"/>
      <c r="Y914" s="109"/>
      <c r="Z914" s="109"/>
    </row>
    <row r="915" ht="29.25" customHeight="1">
      <c r="A915" s="109"/>
      <c r="B915" s="109"/>
      <c r="C915" s="109"/>
      <c r="D915" s="109"/>
      <c r="E915" s="109"/>
      <c r="F915" s="109"/>
      <c r="G915" s="109"/>
      <c r="H915" s="317"/>
      <c r="I915" s="109"/>
      <c r="J915" s="109"/>
      <c r="K915" s="109"/>
      <c r="L915" s="109"/>
      <c r="M915" s="109"/>
      <c r="N915" s="109"/>
      <c r="O915" s="109"/>
      <c r="P915" s="109"/>
      <c r="Q915" s="109"/>
      <c r="R915" s="109"/>
      <c r="S915" s="109"/>
      <c r="T915" s="109"/>
      <c r="U915" s="109"/>
      <c r="V915" s="109"/>
      <c r="W915" s="109"/>
      <c r="X915" s="109"/>
      <c r="Y915" s="109"/>
      <c r="Z915" s="109"/>
    </row>
    <row r="916" ht="29.25" customHeight="1">
      <c r="A916" s="109"/>
      <c r="B916" s="109"/>
      <c r="C916" s="109"/>
      <c r="D916" s="109"/>
      <c r="E916" s="109"/>
      <c r="F916" s="109"/>
      <c r="G916" s="109"/>
      <c r="H916" s="317"/>
      <c r="I916" s="109"/>
      <c r="J916" s="109"/>
      <c r="K916" s="109"/>
      <c r="L916" s="109"/>
      <c r="M916" s="109"/>
      <c r="N916" s="109"/>
      <c r="O916" s="109"/>
      <c r="P916" s="109"/>
      <c r="Q916" s="109"/>
      <c r="R916" s="109"/>
      <c r="S916" s="109"/>
      <c r="T916" s="109"/>
      <c r="U916" s="109"/>
      <c r="V916" s="109"/>
      <c r="W916" s="109"/>
      <c r="X916" s="109"/>
      <c r="Y916" s="109"/>
      <c r="Z916" s="109"/>
    </row>
    <row r="917" ht="29.25" customHeight="1">
      <c r="A917" s="109"/>
      <c r="B917" s="109"/>
      <c r="C917" s="109"/>
      <c r="D917" s="109"/>
      <c r="E917" s="109"/>
      <c r="F917" s="109"/>
      <c r="G917" s="109"/>
      <c r="H917" s="317"/>
      <c r="I917" s="109"/>
      <c r="J917" s="109"/>
      <c r="K917" s="109"/>
      <c r="L917" s="109"/>
      <c r="M917" s="109"/>
      <c r="N917" s="109"/>
      <c r="O917" s="109"/>
      <c r="P917" s="109"/>
      <c r="Q917" s="109"/>
      <c r="R917" s="109"/>
      <c r="S917" s="109"/>
      <c r="T917" s="109"/>
      <c r="U917" s="109"/>
      <c r="V917" s="109"/>
      <c r="W917" s="109"/>
      <c r="X917" s="109"/>
      <c r="Y917" s="109"/>
      <c r="Z917" s="109"/>
    </row>
    <row r="918" ht="29.25" customHeight="1">
      <c r="A918" s="109"/>
      <c r="B918" s="109"/>
      <c r="C918" s="109"/>
      <c r="D918" s="109"/>
      <c r="E918" s="109"/>
      <c r="F918" s="109"/>
      <c r="G918" s="109"/>
      <c r="H918" s="317"/>
      <c r="I918" s="109"/>
      <c r="J918" s="109"/>
      <c r="K918" s="109"/>
      <c r="L918" s="109"/>
      <c r="M918" s="109"/>
      <c r="N918" s="109"/>
      <c r="O918" s="109"/>
      <c r="P918" s="109"/>
      <c r="Q918" s="109"/>
      <c r="R918" s="109"/>
      <c r="S918" s="109"/>
      <c r="T918" s="109"/>
      <c r="U918" s="109"/>
      <c r="V918" s="109"/>
      <c r="W918" s="109"/>
      <c r="X918" s="109"/>
      <c r="Y918" s="109"/>
      <c r="Z918" s="109"/>
    </row>
    <row r="919" ht="29.25" customHeight="1">
      <c r="A919" s="109"/>
      <c r="B919" s="109"/>
      <c r="C919" s="109"/>
      <c r="D919" s="109"/>
      <c r="E919" s="109"/>
      <c r="F919" s="109"/>
      <c r="G919" s="109"/>
      <c r="H919" s="317"/>
      <c r="I919" s="109"/>
      <c r="J919" s="109"/>
      <c r="K919" s="109"/>
      <c r="L919" s="109"/>
      <c r="M919" s="109"/>
      <c r="N919" s="109"/>
      <c r="O919" s="109"/>
      <c r="P919" s="109"/>
      <c r="Q919" s="109"/>
      <c r="R919" s="109"/>
      <c r="S919" s="109"/>
      <c r="T919" s="109"/>
      <c r="U919" s="109"/>
      <c r="V919" s="109"/>
      <c r="W919" s="109"/>
      <c r="X919" s="109"/>
      <c r="Y919" s="109"/>
      <c r="Z919" s="109"/>
    </row>
    <row r="920" ht="29.25" customHeight="1">
      <c r="A920" s="109"/>
      <c r="B920" s="109"/>
      <c r="C920" s="109"/>
      <c r="D920" s="109"/>
      <c r="E920" s="109"/>
      <c r="F920" s="109"/>
      <c r="G920" s="109"/>
      <c r="H920" s="317"/>
      <c r="I920" s="109"/>
      <c r="J920" s="109"/>
      <c r="K920" s="109"/>
      <c r="L920" s="109"/>
      <c r="M920" s="109"/>
      <c r="N920" s="109"/>
      <c r="O920" s="109"/>
      <c r="P920" s="109"/>
      <c r="Q920" s="109"/>
      <c r="R920" s="109"/>
      <c r="S920" s="109"/>
      <c r="T920" s="109"/>
      <c r="U920" s="109"/>
      <c r="V920" s="109"/>
      <c r="W920" s="109"/>
      <c r="X920" s="109"/>
      <c r="Y920" s="109"/>
      <c r="Z920" s="109"/>
    </row>
    <row r="921" ht="29.25" customHeight="1">
      <c r="A921" s="109"/>
      <c r="B921" s="109"/>
      <c r="C921" s="109"/>
      <c r="D921" s="109"/>
      <c r="E921" s="109"/>
      <c r="F921" s="109"/>
      <c r="G921" s="109"/>
      <c r="H921" s="317"/>
      <c r="I921" s="109"/>
      <c r="J921" s="109"/>
      <c r="K921" s="109"/>
      <c r="L921" s="109"/>
      <c r="M921" s="109"/>
      <c r="N921" s="109"/>
      <c r="O921" s="109"/>
      <c r="P921" s="109"/>
      <c r="Q921" s="109"/>
      <c r="R921" s="109"/>
      <c r="S921" s="109"/>
      <c r="T921" s="109"/>
      <c r="U921" s="109"/>
      <c r="V921" s="109"/>
      <c r="W921" s="109"/>
      <c r="X921" s="109"/>
      <c r="Y921" s="109"/>
      <c r="Z921" s="109"/>
    </row>
    <row r="922" ht="29.25" customHeight="1">
      <c r="A922" s="109"/>
      <c r="B922" s="109"/>
      <c r="C922" s="109"/>
      <c r="D922" s="109"/>
      <c r="E922" s="109"/>
      <c r="F922" s="109"/>
      <c r="G922" s="109"/>
      <c r="H922" s="317"/>
      <c r="I922" s="109"/>
      <c r="J922" s="109"/>
      <c r="K922" s="109"/>
      <c r="L922" s="109"/>
      <c r="M922" s="109"/>
      <c r="N922" s="109"/>
      <c r="O922" s="109"/>
      <c r="P922" s="109"/>
      <c r="Q922" s="109"/>
      <c r="R922" s="109"/>
      <c r="S922" s="109"/>
      <c r="T922" s="109"/>
      <c r="U922" s="109"/>
      <c r="V922" s="109"/>
      <c r="W922" s="109"/>
      <c r="X922" s="109"/>
      <c r="Y922" s="109"/>
      <c r="Z922" s="109"/>
    </row>
    <row r="923" ht="29.25" customHeight="1">
      <c r="A923" s="109"/>
      <c r="B923" s="109"/>
      <c r="C923" s="109"/>
      <c r="D923" s="109"/>
      <c r="E923" s="109"/>
      <c r="F923" s="109"/>
      <c r="G923" s="109"/>
      <c r="H923" s="317"/>
      <c r="I923" s="109"/>
      <c r="J923" s="109"/>
      <c r="K923" s="109"/>
      <c r="L923" s="109"/>
      <c r="M923" s="109"/>
      <c r="N923" s="109"/>
      <c r="O923" s="109"/>
      <c r="P923" s="109"/>
      <c r="Q923" s="109"/>
      <c r="R923" s="109"/>
      <c r="S923" s="109"/>
      <c r="T923" s="109"/>
      <c r="U923" s="109"/>
      <c r="V923" s="109"/>
      <c r="W923" s="109"/>
      <c r="X923" s="109"/>
      <c r="Y923" s="109"/>
      <c r="Z923" s="109"/>
    </row>
    <row r="924" ht="29.25" customHeight="1">
      <c r="A924" s="109"/>
      <c r="B924" s="109"/>
      <c r="C924" s="109"/>
      <c r="D924" s="109"/>
      <c r="E924" s="109"/>
      <c r="F924" s="109"/>
      <c r="G924" s="109"/>
      <c r="H924" s="317"/>
      <c r="I924" s="109"/>
      <c r="J924" s="109"/>
      <c r="K924" s="109"/>
      <c r="L924" s="109"/>
      <c r="M924" s="109"/>
      <c r="N924" s="109"/>
      <c r="O924" s="109"/>
      <c r="P924" s="109"/>
      <c r="Q924" s="109"/>
      <c r="R924" s="109"/>
      <c r="S924" s="109"/>
      <c r="T924" s="109"/>
      <c r="U924" s="109"/>
      <c r="V924" s="109"/>
      <c r="W924" s="109"/>
      <c r="X924" s="109"/>
      <c r="Y924" s="109"/>
      <c r="Z924" s="109"/>
    </row>
    <row r="925" ht="29.25" customHeight="1">
      <c r="A925" s="109"/>
      <c r="B925" s="109"/>
      <c r="C925" s="109"/>
      <c r="D925" s="109"/>
      <c r="E925" s="109"/>
      <c r="F925" s="109"/>
      <c r="G925" s="109"/>
      <c r="H925" s="317"/>
      <c r="I925" s="109"/>
      <c r="J925" s="109"/>
      <c r="K925" s="109"/>
      <c r="L925" s="109"/>
      <c r="M925" s="109"/>
      <c r="N925" s="109"/>
      <c r="O925" s="109"/>
      <c r="P925" s="109"/>
      <c r="Q925" s="109"/>
      <c r="R925" s="109"/>
      <c r="S925" s="109"/>
      <c r="T925" s="109"/>
      <c r="U925" s="109"/>
      <c r="V925" s="109"/>
      <c r="W925" s="109"/>
      <c r="X925" s="109"/>
      <c r="Y925" s="109"/>
      <c r="Z925" s="109"/>
    </row>
    <row r="926" ht="29.25" customHeight="1">
      <c r="A926" s="109"/>
      <c r="B926" s="109"/>
      <c r="C926" s="109"/>
      <c r="D926" s="109"/>
      <c r="E926" s="109"/>
      <c r="F926" s="109"/>
      <c r="G926" s="109"/>
      <c r="H926" s="317"/>
      <c r="I926" s="109"/>
      <c r="J926" s="109"/>
      <c r="K926" s="109"/>
      <c r="L926" s="109"/>
      <c r="M926" s="109"/>
      <c r="N926" s="109"/>
      <c r="O926" s="109"/>
      <c r="P926" s="109"/>
      <c r="Q926" s="109"/>
      <c r="R926" s="109"/>
      <c r="S926" s="109"/>
      <c r="T926" s="109"/>
      <c r="U926" s="109"/>
      <c r="V926" s="109"/>
      <c r="W926" s="109"/>
      <c r="X926" s="109"/>
      <c r="Y926" s="109"/>
      <c r="Z926" s="109"/>
    </row>
    <row r="927" ht="29.25" customHeight="1">
      <c r="A927" s="109"/>
      <c r="B927" s="109"/>
      <c r="C927" s="109"/>
      <c r="D927" s="109"/>
      <c r="E927" s="109"/>
      <c r="F927" s="109"/>
      <c r="G927" s="109"/>
      <c r="H927" s="317"/>
      <c r="I927" s="109"/>
      <c r="J927" s="109"/>
      <c r="K927" s="109"/>
      <c r="L927" s="109"/>
      <c r="M927" s="109"/>
      <c r="N927" s="109"/>
      <c r="O927" s="109"/>
      <c r="P927" s="109"/>
      <c r="Q927" s="109"/>
      <c r="R927" s="109"/>
      <c r="S927" s="109"/>
      <c r="T927" s="109"/>
      <c r="U927" s="109"/>
      <c r="V927" s="109"/>
      <c r="W927" s="109"/>
      <c r="X927" s="109"/>
      <c r="Y927" s="109"/>
      <c r="Z927" s="109"/>
    </row>
    <row r="928" ht="29.25" customHeight="1">
      <c r="A928" s="109"/>
      <c r="B928" s="109"/>
      <c r="C928" s="109"/>
      <c r="D928" s="109"/>
      <c r="E928" s="109"/>
      <c r="F928" s="109"/>
      <c r="G928" s="109"/>
      <c r="H928" s="317"/>
      <c r="I928" s="109"/>
      <c r="J928" s="109"/>
      <c r="K928" s="109"/>
      <c r="L928" s="109"/>
      <c r="M928" s="109"/>
      <c r="N928" s="109"/>
      <c r="O928" s="109"/>
      <c r="P928" s="109"/>
      <c r="Q928" s="109"/>
      <c r="R928" s="109"/>
      <c r="S928" s="109"/>
      <c r="T928" s="109"/>
      <c r="U928" s="109"/>
      <c r="V928" s="109"/>
      <c r="W928" s="109"/>
      <c r="X928" s="109"/>
      <c r="Y928" s="109"/>
      <c r="Z928" s="109"/>
    </row>
    <row r="929" ht="29.25" customHeight="1">
      <c r="A929" s="109"/>
      <c r="B929" s="109"/>
      <c r="C929" s="109"/>
      <c r="D929" s="109"/>
      <c r="E929" s="109"/>
      <c r="F929" s="109"/>
      <c r="G929" s="109"/>
      <c r="H929" s="317"/>
      <c r="I929" s="109"/>
      <c r="J929" s="109"/>
      <c r="K929" s="109"/>
      <c r="L929" s="109"/>
      <c r="M929" s="109"/>
      <c r="N929" s="109"/>
      <c r="O929" s="109"/>
      <c r="P929" s="109"/>
      <c r="Q929" s="109"/>
      <c r="R929" s="109"/>
      <c r="S929" s="109"/>
      <c r="T929" s="109"/>
      <c r="U929" s="109"/>
      <c r="V929" s="109"/>
      <c r="W929" s="109"/>
      <c r="X929" s="109"/>
      <c r="Y929" s="109"/>
      <c r="Z929" s="109"/>
    </row>
    <row r="930" ht="29.25" customHeight="1">
      <c r="A930" s="109"/>
      <c r="B930" s="109"/>
      <c r="C930" s="109"/>
      <c r="D930" s="109"/>
      <c r="E930" s="109"/>
      <c r="F930" s="109"/>
      <c r="G930" s="109"/>
      <c r="H930" s="317"/>
      <c r="I930" s="109"/>
      <c r="J930" s="109"/>
      <c r="K930" s="109"/>
      <c r="L930" s="109"/>
      <c r="M930" s="109"/>
      <c r="N930" s="109"/>
      <c r="O930" s="109"/>
      <c r="P930" s="109"/>
      <c r="Q930" s="109"/>
      <c r="R930" s="109"/>
      <c r="S930" s="109"/>
      <c r="T930" s="109"/>
      <c r="U930" s="109"/>
      <c r="V930" s="109"/>
      <c r="W930" s="109"/>
      <c r="X930" s="109"/>
      <c r="Y930" s="109"/>
      <c r="Z930" s="109"/>
    </row>
    <row r="931" ht="29.25" customHeight="1">
      <c r="A931" s="109"/>
      <c r="B931" s="109"/>
      <c r="C931" s="109"/>
      <c r="D931" s="109"/>
      <c r="E931" s="109"/>
      <c r="F931" s="109"/>
      <c r="G931" s="109"/>
      <c r="H931" s="317"/>
      <c r="I931" s="109"/>
      <c r="J931" s="109"/>
      <c r="K931" s="109"/>
      <c r="L931" s="109"/>
      <c r="M931" s="109"/>
      <c r="N931" s="109"/>
      <c r="O931" s="109"/>
      <c r="P931" s="109"/>
      <c r="Q931" s="109"/>
      <c r="R931" s="109"/>
      <c r="S931" s="109"/>
      <c r="T931" s="109"/>
      <c r="U931" s="109"/>
      <c r="V931" s="109"/>
      <c r="W931" s="109"/>
      <c r="X931" s="109"/>
      <c r="Y931" s="109"/>
      <c r="Z931" s="109"/>
    </row>
    <row r="932" ht="29.25" customHeight="1">
      <c r="A932" s="109"/>
      <c r="B932" s="109"/>
      <c r="C932" s="109"/>
      <c r="D932" s="109"/>
      <c r="E932" s="109"/>
      <c r="F932" s="109"/>
      <c r="G932" s="109"/>
      <c r="H932" s="317"/>
      <c r="I932" s="109"/>
      <c r="J932" s="109"/>
      <c r="K932" s="109"/>
      <c r="L932" s="109"/>
      <c r="M932" s="109"/>
      <c r="N932" s="109"/>
      <c r="O932" s="109"/>
      <c r="P932" s="109"/>
      <c r="Q932" s="109"/>
      <c r="R932" s="109"/>
      <c r="S932" s="109"/>
      <c r="T932" s="109"/>
      <c r="U932" s="109"/>
      <c r="V932" s="109"/>
      <c r="W932" s="109"/>
      <c r="X932" s="109"/>
      <c r="Y932" s="109"/>
      <c r="Z932" s="109"/>
    </row>
    <row r="933" ht="29.25" customHeight="1">
      <c r="A933" s="109"/>
      <c r="B933" s="109"/>
      <c r="C933" s="109"/>
      <c r="D933" s="109"/>
      <c r="E933" s="109"/>
      <c r="F933" s="109"/>
      <c r="G933" s="109"/>
      <c r="H933" s="317"/>
      <c r="I933" s="109"/>
      <c r="J933" s="109"/>
      <c r="K933" s="109"/>
      <c r="L933" s="109"/>
      <c r="M933" s="109"/>
      <c r="N933" s="109"/>
      <c r="O933" s="109"/>
      <c r="P933" s="109"/>
      <c r="Q933" s="109"/>
      <c r="R933" s="109"/>
      <c r="S933" s="109"/>
      <c r="T933" s="109"/>
      <c r="U933" s="109"/>
      <c r="V933" s="109"/>
      <c r="W933" s="109"/>
      <c r="X933" s="109"/>
      <c r="Y933" s="109"/>
      <c r="Z933" s="109"/>
    </row>
    <row r="934" ht="29.25" customHeight="1">
      <c r="A934" s="109"/>
      <c r="B934" s="109"/>
      <c r="C934" s="109"/>
      <c r="D934" s="109"/>
      <c r="E934" s="109"/>
      <c r="F934" s="109"/>
      <c r="G934" s="109"/>
      <c r="H934" s="317"/>
      <c r="I934" s="109"/>
      <c r="J934" s="109"/>
      <c r="K934" s="109"/>
      <c r="L934" s="109"/>
      <c r="M934" s="109"/>
      <c r="N934" s="109"/>
      <c r="O934" s="109"/>
      <c r="P934" s="109"/>
      <c r="Q934" s="109"/>
      <c r="R934" s="109"/>
      <c r="S934" s="109"/>
      <c r="T934" s="109"/>
      <c r="U934" s="109"/>
      <c r="V934" s="109"/>
      <c r="W934" s="109"/>
      <c r="X934" s="109"/>
      <c r="Y934" s="109"/>
      <c r="Z934" s="109"/>
    </row>
    <row r="935" ht="29.25" customHeight="1">
      <c r="A935" s="109"/>
      <c r="B935" s="109"/>
      <c r="C935" s="109"/>
      <c r="D935" s="109"/>
      <c r="E935" s="109"/>
      <c r="F935" s="109"/>
      <c r="G935" s="109"/>
      <c r="H935" s="317"/>
      <c r="I935" s="109"/>
      <c r="J935" s="109"/>
      <c r="K935" s="109"/>
      <c r="L935" s="109"/>
      <c r="M935" s="109"/>
      <c r="N935" s="109"/>
      <c r="O935" s="109"/>
      <c r="P935" s="109"/>
      <c r="Q935" s="109"/>
      <c r="R935" s="109"/>
      <c r="S935" s="109"/>
      <c r="T935" s="109"/>
      <c r="U935" s="109"/>
      <c r="V935" s="109"/>
      <c r="W935" s="109"/>
      <c r="X935" s="109"/>
      <c r="Y935" s="109"/>
      <c r="Z935" s="109"/>
    </row>
    <row r="936" ht="29.25" customHeight="1">
      <c r="A936" s="109"/>
      <c r="B936" s="109"/>
      <c r="C936" s="109"/>
      <c r="D936" s="109"/>
      <c r="E936" s="109"/>
      <c r="F936" s="109"/>
      <c r="G936" s="109"/>
      <c r="H936" s="317"/>
      <c r="I936" s="109"/>
      <c r="J936" s="109"/>
      <c r="K936" s="109"/>
      <c r="L936" s="109"/>
      <c r="M936" s="109"/>
      <c r="N936" s="109"/>
      <c r="O936" s="109"/>
      <c r="P936" s="109"/>
      <c r="Q936" s="109"/>
      <c r="R936" s="109"/>
      <c r="S936" s="109"/>
      <c r="T936" s="109"/>
      <c r="U936" s="109"/>
      <c r="V936" s="109"/>
      <c r="W936" s="109"/>
      <c r="X936" s="109"/>
      <c r="Y936" s="109"/>
      <c r="Z936" s="109"/>
    </row>
    <row r="937" ht="29.25" customHeight="1">
      <c r="A937" s="109"/>
      <c r="B937" s="109"/>
      <c r="C937" s="109"/>
      <c r="D937" s="109"/>
      <c r="E937" s="109"/>
      <c r="F937" s="109"/>
      <c r="G937" s="109"/>
      <c r="H937" s="317"/>
      <c r="I937" s="109"/>
      <c r="J937" s="109"/>
      <c r="K937" s="109"/>
      <c r="L937" s="109"/>
      <c r="M937" s="109"/>
      <c r="N937" s="109"/>
      <c r="O937" s="109"/>
      <c r="P937" s="109"/>
      <c r="Q937" s="109"/>
      <c r="R937" s="109"/>
      <c r="S937" s="109"/>
      <c r="T937" s="109"/>
      <c r="U937" s="109"/>
      <c r="V937" s="109"/>
      <c r="W937" s="109"/>
      <c r="X937" s="109"/>
      <c r="Y937" s="109"/>
      <c r="Z937" s="109"/>
    </row>
    <row r="938" ht="29.25" customHeight="1">
      <c r="A938" s="109"/>
      <c r="B938" s="109"/>
      <c r="C938" s="109"/>
      <c r="D938" s="109"/>
      <c r="E938" s="109"/>
      <c r="F938" s="109"/>
      <c r="G938" s="109"/>
      <c r="H938" s="317"/>
      <c r="I938" s="109"/>
      <c r="J938" s="109"/>
      <c r="K938" s="109"/>
      <c r="L938" s="109"/>
      <c r="M938" s="109"/>
      <c r="N938" s="109"/>
      <c r="O938" s="109"/>
      <c r="P938" s="109"/>
      <c r="Q938" s="109"/>
      <c r="R938" s="109"/>
      <c r="S938" s="109"/>
      <c r="T938" s="109"/>
      <c r="U938" s="109"/>
      <c r="V938" s="109"/>
      <c r="W938" s="109"/>
      <c r="X938" s="109"/>
      <c r="Y938" s="109"/>
      <c r="Z938" s="109"/>
    </row>
    <row r="939" ht="29.25" customHeight="1">
      <c r="A939" s="109"/>
      <c r="B939" s="109"/>
      <c r="C939" s="109"/>
      <c r="D939" s="109"/>
      <c r="E939" s="109"/>
      <c r="F939" s="109"/>
      <c r="G939" s="109"/>
      <c r="H939" s="317"/>
      <c r="I939" s="109"/>
      <c r="J939" s="109"/>
      <c r="K939" s="109"/>
      <c r="L939" s="109"/>
      <c r="M939" s="109"/>
      <c r="N939" s="109"/>
      <c r="O939" s="109"/>
      <c r="P939" s="109"/>
      <c r="Q939" s="109"/>
      <c r="R939" s="109"/>
      <c r="S939" s="109"/>
      <c r="T939" s="109"/>
      <c r="U939" s="109"/>
      <c r="V939" s="109"/>
      <c r="W939" s="109"/>
      <c r="X939" s="109"/>
      <c r="Y939" s="109"/>
      <c r="Z939" s="109"/>
    </row>
    <row r="940" ht="29.25" customHeight="1">
      <c r="A940" s="109"/>
      <c r="B940" s="109"/>
      <c r="C940" s="109"/>
      <c r="D940" s="109"/>
      <c r="E940" s="109"/>
      <c r="F940" s="109"/>
      <c r="G940" s="109"/>
      <c r="H940" s="317"/>
      <c r="I940" s="109"/>
      <c r="J940" s="109"/>
      <c r="K940" s="109"/>
      <c r="L940" s="109"/>
      <c r="M940" s="109"/>
      <c r="N940" s="109"/>
      <c r="O940" s="109"/>
      <c r="P940" s="109"/>
      <c r="Q940" s="109"/>
      <c r="R940" s="109"/>
      <c r="S940" s="109"/>
      <c r="T940" s="109"/>
      <c r="U940" s="109"/>
      <c r="V940" s="109"/>
      <c r="W940" s="109"/>
      <c r="X940" s="109"/>
      <c r="Y940" s="109"/>
      <c r="Z940" s="109"/>
    </row>
    <row r="941" ht="29.25" customHeight="1">
      <c r="A941" s="109"/>
      <c r="B941" s="109"/>
      <c r="C941" s="109"/>
      <c r="D941" s="109"/>
      <c r="E941" s="109"/>
      <c r="F941" s="109"/>
      <c r="G941" s="109"/>
      <c r="H941" s="317"/>
      <c r="I941" s="109"/>
      <c r="J941" s="109"/>
      <c r="K941" s="109"/>
      <c r="L941" s="109"/>
      <c r="M941" s="109"/>
      <c r="N941" s="109"/>
      <c r="O941" s="109"/>
      <c r="P941" s="109"/>
      <c r="Q941" s="109"/>
      <c r="R941" s="109"/>
      <c r="S941" s="109"/>
      <c r="T941" s="109"/>
      <c r="U941" s="109"/>
      <c r="V941" s="109"/>
      <c r="W941" s="109"/>
      <c r="X941" s="109"/>
      <c r="Y941" s="109"/>
      <c r="Z941" s="109"/>
    </row>
    <row r="942" ht="29.25" customHeight="1">
      <c r="A942" s="109"/>
      <c r="B942" s="109"/>
      <c r="C942" s="109"/>
      <c r="D942" s="109"/>
      <c r="E942" s="109"/>
      <c r="F942" s="109"/>
      <c r="G942" s="109"/>
      <c r="H942" s="317"/>
      <c r="I942" s="109"/>
      <c r="J942" s="109"/>
      <c r="K942" s="109"/>
      <c r="L942" s="109"/>
      <c r="M942" s="109"/>
      <c r="N942" s="109"/>
      <c r="O942" s="109"/>
      <c r="P942" s="109"/>
      <c r="Q942" s="109"/>
      <c r="R942" s="109"/>
      <c r="S942" s="109"/>
      <c r="T942" s="109"/>
      <c r="U942" s="109"/>
      <c r="V942" s="109"/>
      <c r="W942" s="109"/>
      <c r="X942" s="109"/>
      <c r="Y942" s="109"/>
      <c r="Z942" s="109"/>
    </row>
    <row r="943" ht="29.25" customHeight="1">
      <c r="A943" s="109"/>
      <c r="B943" s="109"/>
      <c r="C943" s="109"/>
      <c r="D943" s="109"/>
      <c r="E943" s="109"/>
      <c r="F943" s="109"/>
      <c r="G943" s="109"/>
      <c r="H943" s="317"/>
      <c r="I943" s="109"/>
      <c r="J943" s="109"/>
      <c r="K943" s="109"/>
      <c r="L943" s="109"/>
      <c r="M943" s="109"/>
      <c r="N943" s="109"/>
      <c r="O943" s="109"/>
      <c r="P943" s="109"/>
      <c r="Q943" s="109"/>
      <c r="R943" s="109"/>
      <c r="S943" s="109"/>
      <c r="T943" s="109"/>
      <c r="U943" s="109"/>
      <c r="V943" s="109"/>
      <c r="W943" s="109"/>
      <c r="X943" s="109"/>
      <c r="Y943" s="109"/>
      <c r="Z943" s="109"/>
    </row>
    <row r="944" ht="29.25" customHeight="1">
      <c r="A944" s="109"/>
      <c r="B944" s="109"/>
      <c r="C944" s="109"/>
      <c r="D944" s="109"/>
      <c r="E944" s="109"/>
      <c r="F944" s="109"/>
      <c r="G944" s="109"/>
      <c r="H944" s="317"/>
      <c r="I944" s="109"/>
      <c r="J944" s="109"/>
      <c r="K944" s="109"/>
      <c r="L944" s="109"/>
      <c r="M944" s="109"/>
      <c r="N944" s="109"/>
      <c r="O944" s="109"/>
      <c r="P944" s="109"/>
      <c r="Q944" s="109"/>
      <c r="R944" s="109"/>
      <c r="S944" s="109"/>
      <c r="T944" s="109"/>
      <c r="U944" s="109"/>
      <c r="V944" s="109"/>
      <c r="W944" s="109"/>
      <c r="X944" s="109"/>
      <c r="Y944" s="109"/>
      <c r="Z944" s="109"/>
    </row>
    <row r="945" ht="29.25" customHeight="1">
      <c r="A945" s="109"/>
      <c r="B945" s="109"/>
      <c r="C945" s="109"/>
      <c r="D945" s="109"/>
      <c r="E945" s="109"/>
      <c r="F945" s="109"/>
      <c r="G945" s="109"/>
      <c r="H945" s="317"/>
      <c r="I945" s="109"/>
      <c r="J945" s="109"/>
      <c r="K945" s="109"/>
      <c r="L945" s="109"/>
      <c r="M945" s="109"/>
      <c r="N945" s="109"/>
      <c r="O945" s="109"/>
      <c r="P945" s="109"/>
      <c r="Q945" s="109"/>
      <c r="R945" s="109"/>
      <c r="S945" s="109"/>
      <c r="T945" s="109"/>
      <c r="U945" s="109"/>
      <c r="V945" s="109"/>
      <c r="W945" s="109"/>
      <c r="X945" s="109"/>
      <c r="Y945" s="109"/>
      <c r="Z945" s="109"/>
    </row>
    <row r="946" ht="29.25" customHeight="1">
      <c r="A946" s="109"/>
      <c r="B946" s="109"/>
      <c r="C946" s="109"/>
      <c r="D946" s="109"/>
      <c r="E946" s="109"/>
      <c r="F946" s="109"/>
      <c r="G946" s="109"/>
      <c r="H946" s="317"/>
      <c r="I946" s="109"/>
      <c r="J946" s="109"/>
      <c r="K946" s="109"/>
      <c r="L946" s="109"/>
      <c r="M946" s="109"/>
      <c r="N946" s="109"/>
      <c r="O946" s="109"/>
      <c r="P946" s="109"/>
      <c r="Q946" s="109"/>
      <c r="R946" s="109"/>
      <c r="S946" s="109"/>
      <c r="T946" s="109"/>
      <c r="U946" s="109"/>
      <c r="V946" s="109"/>
      <c r="W946" s="109"/>
      <c r="X946" s="109"/>
      <c r="Y946" s="109"/>
      <c r="Z946" s="109"/>
    </row>
    <row r="947" ht="29.25" customHeight="1">
      <c r="A947" s="109"/>
      <c r="B947" s="109"/>
      <c r="C947" s="109"/>
      <c r="D947" s="109"/>
      <c r="E947" s="109"/>
      <c r="F947" s="109"/>
      <c r="G947" s="109"/>
      <c r="H947" s="317"/>
      <c r="I947" s="109"/>
      <c r="J947" s="109"/>
      <c r="K947" s="109"/>
      <c r="L947" s="109"/>
      <c r="M947" s="109"/>
      <c r="N947" s="109"/>
      <c r="O947" s="109"/>
      <c r="P947" s="109"/>
      <c r="Q947" s="109"/>
      <c r="R947" s="109"/>
      <c r="S947" s="109"/>
      <c r="T947" s="109"/>
      <c r="U947" s="109"/>
      <c r="V947" s="109"/>
      <c r="W947" s="109"/>
      <c r="X947" s="109"/>
      <c r="Y947" s="109"/>
      <c r="Z947" s="109"/>
    </row>
    <row r="948" ht="29.25" customHeight="1">
      <c r="A948" s="109"/>
      <c r="B948" s="109"/>
      <c r="C948" s="109"/>
      <c r="D948" s="109"/>
      <c r="E948" s="109"/>
      <c r="F948" s="109"/>
      <c r="G948" s="109"/>
      <c r="H948" s="317"/>
      <c r="I948" s="109"/>
      <c r="J948" s="109"/>
      <c r="K948" s="109"/>
      <c r="L948" s="109"/>
      <c r="M948" s="109"/>
      <c r="N948" s="109"/>
      <c r="O948" s="109"/>
      <c r="P948" s="109"/>
      <c r="Q948" s="109"/>
      <c r="R948" s="109"/>
      <c r="S948" s="109"/>
      <c r="T948" s="109"/>
      <c r="U948" s="109"/>
      <c r="V948" s="109"/>
      <c r="W948" s="109"/>
      <c r="X948" s="109"/>
      <c r="Y948" s="109"/>
      <c r="Z948" s="109"/>
    </row>
    <row r="949" ht="29.25" customHeight="1">
      <c r="A949" s="109"/>
      <c r="B949" s="109"/>
      <c r="C949" s="109"/>
      <c r="D949" s="109"/>
      <c r="E949" s="109"/>
      <c r="F949" s="109"/>
      <c r="G949" s="109"/>
      <c r="H949" s="317"/>
      <c r="I949" s="109"/>
      <c r="J949" s="109"/>
      <c r="K949" s="109"/>
      <c r="L949" s="109"/>
      <c r="M949" s="109"/>
      <c r="N949" s="109"/>
      <c r="O949" s="109"/>
      <c r="P949" s="109"/>
      <c r="Q949" s="109"/>
      <c r="R949" s="109"/>
      <c r="S949" s="109"/>
      <c r="T949" s="109"/>
      <c r="U949" s="109"/>
      <c r="V949" s="109"/>
      <c r="W949" s="109"/>
      <c r="X949" s="109"/>
      <c r="Y949" s="109"/>
      <c r="Z949" s="109"/>
    </row>
    <row r="950" ht="29.25" customHeight="1">
      <c r="A950" s="109"/>
      <c r="B950" s="109"/>
      <c r="C950" s="109"/>
      <c r="D950" s="109"/>
      <c r="E950" s="109"/>
      <c r="F950" s="109"/>
      <c r="G950" s="109"/>
      <c r="H950" s="317"/>
      <c r="I950" s="109"/>
      <c r="J950" s="109"/>
      <c r="K950" s="109"/>
      <c r="L950" s="109"/>
      <c r="M950" s="109"/>
      <c r="N950" s="109"/>
      <c r="O950" s="109"/>
      <c r="P950" s="109"/>
      <c r="Q950" s="109"/>
      <c r="R950" s="109"/>
      <c r="S950" s="109"/>
      <c r="T950" s="109"/>
      <c r="U950" s="109"/>
      <c r="V950" s="109"/>
      <c r="W950" s="109"/>
      <c r="X950" s="109"/>
      <c r="Y950" s="109"/>
      <c r="Z950" s="109"/>
    </row>
    <row r="951" ht="29.25" customHeight="1">
      <c r="A951" s="109"/>
      <c r="B951" s="109"/>
      <c r="C951" s="109"/>
      <c r="D951" s="109"/>
      <c r="E951" s="109"/>
      <c r="F951" s="109"/>
      <c r="G951" s="109"/>
      <c r="H951" s="317"/>
      <c r="I951" s="109"/>
      <c r="J951" s="109"/>
      <c r="K951" s="109"/>
      <c r="L951" s="109"/>
      <c r="M951" s="109"/>
      <c r="N951" s="109"/>
      <c r="O951" s="109"/>
      <c r="P951" s="109"/>
      <c r="Q951" s="109"/>
      <c r="R951" s="109"/>
      <c r="S951" s="109"/>
      <c r="T951" s="109"/>
      <c r="U951" s="109"/>
      <c r="V951" s="109"/>
      <c r="W951" s="109"/>
      <c r="X951" s="109"/>
      <c r="Y951" s="109"/>
      <c r="Z951" s="109"/>
    </row>
    <row r="952" ht="29.25" customHeight="1">
      <c r="A952" s="109"/>
      <c r="B952" s="109"/>
      <c r="C952" s="109"/>
      <c r="D952" s="109"/>
      <c r="E952" s="109"/>
      <c r="F952" s="109"/>
      <c r="G952" s="109"/>
      <c r="H952" s="317"/>
      <c r="I952" s="109"/>
      <c r="J952" s="109"/>
      <c r="K952" s="109"/>
      <c r="L952" s="109"/>
      <c r="M952" s="109"/>
      <c r="N952" s="109"/>
      <c r="O952" s="109"/>
      <c r="P952" s="109"/>
      <c r="Q952" s="109"/>
      <c r="R952" s="109"/>
      <c r="S952" s="109"/>
      <c r="T952" s="109"/>
      <c r="U952" s="109"/>
      <c r="V952" s="109"/>
      <c r="W952" s="109"/>
      <c r="X952" s="109"/>
      <c r="Y952" s="109"/>
      <c r="Z952" s="109"/>
    </row>
    <row r="953" ht="29.25" customHeight="1">
      <c r="A953" s="109"/>
      <c r="B953" s="109"/>
      <c r="C953" s="109"/>
      <c r="D953" s="109"/>
      <c r="E953" s="109"/>
      <c r="F953" s="109"/>
      <c r="G953" s="109"/>
      <c r="H953" s="317"/>
      <c r="I953" s="109"/>
      <c r="J953" s="109"/>
      <c r="K953" s="109"/>
      <c r="L953" s="109"/>
      <c r="M953" s="109"/>
      <c r="N953" s="109"/>
      <c r="O953" s="109"/>
      <c r="P953" s="109"/>
      <c r="Q953" s="109"/>
      <c r="R953" s="109"/>
      <c r="S953" s="109"/>
      <c r="T953" s="109"/>
      <c r="U953" s="109"/>
      <c r="V953" s="109"/>
      <c r="W953" s="109"/>
      <c r="X953" s="109"/>
      <c r="Y953" s="109"/>
      <c r="Z953" s="109"/>
    </row>
    <row r="954" ht="29.25" customHeight="1">
      <c r="A954" s="109"/>
      <c r="B954" s="109"/>
      <c r="C954" s="109"/>
      <c r="D954" s="109"/>
      <c r="E954" s="109"/>
      <c r="F954" s="109"/>
      <c r="G954" s="109"/>
      <c r="H954" s="317"/>
      <c r="I954" s="109"/>
      <c r="J954" s="109"/>
      <c r="K954" s="109"/>
      <c r="L954" s="109"/>
      <c r="M954" s="109"/>
      <c r="N954" s="109"/>
      <c r="O954" s="109"/>
      <c r="P954" s="109"/>
      <c r="Q954" s="109"/>
      <c r="R954" s="109"/>
      <c r="S954" s="109"/>
      <c r="T954" s="109"/>
      <c r="U954" s="109"/>
      <c r="V954" s="109"/>
      <c r="W954" s="109"/>
      <c r="X954" s="109"/>
      <c r="Y954" s="109"/>
      <c r="Z954" s="109"/>
    </row>
    <row r="955" ht="29.25" customHeight="1">
      <c r="A955" s="109"/>
      <c r="B955" s="109"/>
      <c r="C955" s="109"/>
      <c r="D955" s="109"/>
      <c r="E955" s="109"/>
      <c r="F955" s="109"/>
      <c r="G955" s="109"/>
      <c r="H955" s="317"/>
      <c r="I955" s="109"/>
      <c r="J955" s="109"/>
      <c r="K955" s="109"/>
      <c r="L955" s="109"/>
      <c r="M955" s="109"/>
      <c r="N955" s="109"/>
      <c r="O955" s="109"/>
      <c r="P955" s="109"/>
      <c r="Q955" s="109"/>
      <c r="R955" s="109"/>
      <c r="S955" s="109"/>
      <c r="T955" s="109"/>
      <c r="U955" s="109"/>
      <c r="V955" s="109"/>
      <c r="W955" s="109"/>
      <c r="X955" s="109"/>
      <c r="Y955" s="109"/>
      <c r="Z955" s="109"/>
    </row>
    <row r="956" ht="29.25" customHeight="1">
      <c r="A956" s="109"/>
      <c r="B956" s="109"/>
      <c r="C956" s="109"/>
      <c r="D956" s="109"/>
      <c r="E956" s="109"/>
      <c r="F956" s="109"/>
      <c r="G956" s="109"/>
      <c r="H956" s="317"/>
      <c r="I956" s="109"/>
      <c r="J956" s="109"/>
      <c r="K956" s="109"/>
      <c r="L956" s="109"/>
      <c r="M956" s="109"/>
      <c r="N956" s="109"/>
      <c r="O956" s="109"/>
      <c r="P956" s="109"/>
      <c r="Q956" s="109"/>
      <c r="R956" s="109"/>
      <c r="S956" s="109"/>
      <c r="T956" s="109"/>
      <c r="U956" s="109"/>
      <c r="V956" s="109"/>
      <c r="W956" s="109"/>
      <c r="X956" s="109"/>
      <c r="Y956" s="109"/>
      <c r="Z956" s="109"/>
    </row>
    <row r="957" ht="29.25" customHeight="1">
      <c r="A957" s="109"/>
      <c r="B957" s="109"/>
      <c r="C957" s="109"/>
      <c r="D957" s="109"/>
      <c r="E957" s="109"/>
      <c r="F957" s="109"/>
      <c r="G957" s="109"/>
      <c r="H957" s="317"/>
      <c r="I957" s="109"/>
      <c r="J957" s="109"/>
      <c r="K957" s="109"/>
      <c r="L957" s="109"/>
      <c r="M957" s="109"/>
      <c r="N957" s="109"/>
      <c r="O957" s="109"/>
      <c r="P957" s="109"/>
      <c r="Q957" s="109"/>
      <c r="R957" s="109"/>
      <c r="S957" s="109"/>
      <c r="T957" s="109"/>
      <c r="U957" s="109"/>
      <c r="V957" s="109"/>
      <c r="W957" s="109"/>
      <c r="X957" s="109"/>
      <c r="Y957" s="109"/>
      <c r="Z957" s="109"/>
    </row>
    <row r="958" ht="29.25" customHeight="1">
      <c r="A958" s="109"/>
      <c r="B958" s="109"/>
      <c r="C958" s="109"/>
      <c r="D958" s="109"/>
      <c r="E958" s="109"/>
      <c r="F958" s="109"/>
      <c r="G958" s="109"/>
      <c r="H958" s="317"/>
      <c r="I958" s="109"/>
      <c r="J958" s="109"/>
      <c r="K958" s="109"/>
      <c r="L958" s="109"/>
      <c r="M958" s="109"/>
      <c r="N958" s="109"/>
      <c r="O958" s="109"/>
      <c r="P958" s="109"/>
      <c r="Q958" s="109"/>
      <c r="R958" s="109"/>
      <c r="S958" s="109"/>
      <c r="T958" s="109"/>
      <c r="U958" s="109"/>
      <c r="V958" s="109"/>
      <c r="W958" s="109"/>
      <c r="X958" s="109"/>
      <c r="Y958" s="109"/>
      <c r="Z958" s="109"/>
    </row>
    <row r="959" ht="29.25" customHeight="1">
      <c r="A959" s="109"/>
      <c r="B959" s="109"/>
      <c r="C959" s="109"/>
      <c r="D959" s="109"/>
      <c r="E959" s="109"/>
      <c r="F959" s="109"/>
      <c r="G959" s="109"/>
      <c r="H959" s="317"/>
      <c r="I959" s="109"/>
      <c r="J959" s="109"/>
      <c r="K959" s="109"/>
      <c r="L959" s="109"/>
      <c r="M959" s="109"/>
      <c r="N959" s="109"/>
      <c r="O959" s="109"/>
      <c r="P959" s="109"/>
      <c r="Q959" s="109"/>
      <c r="R959" s="109"/>
      <c r="S959" s="109"/>
      <c r="T959" s="109"/>
      <c r="U959" s="109"/>
      <c r="V959" s="109"/>
      <c r="W959" s="109"/>
      <c r="X959" s="109"/>
      <c r="Y959" s="109"/>
      <c r="Z959" s="109"/>
    </row>
    <row r="960" ht="29.25" customHeight="1">
      <c r="A960" s="109"/>
      <c r="B960" s="109"/>
      <c r="C960" s="109"/>
      <c r="D960" s="109"/>
      <c r="E960" s="109"/>
      <c r="F960" s="109"/>
      <c r="G960" s="109"/>
      <c r="H960" s="317"/>
      <c r="I960" s="109"/>
      <c r="J960" s="109"/>
      <c r="K960" s="109"/>
      <c r="L960" s="109"/>
      <c r="M960" s="109"/>
      <c r="N960" s="109"/>
      <c r="O960" s="109"/>
      <c r="P960" s="109"/>
      <c r="Q960" s="109"/>
      <c r="R960" s="109"/>
      <c r="S960" s="109"/>
      <c r="T960" s="109"/>
      <c r="U960" s="109"/>
      <c r="V960" s="109"/>
      <c r="W960" s="109"/>
      <c r="X960" s="109"/>
      <c r="Y960" s="109"/>
      <c r="Z960" s="109"/>
    </row>
    <row r="961" ht="29.25" customHeight="1">
      <c r="A961" s="109"/>
      <c r="B961" s="109"/>
      <c r="C961" s="109"/>
      <c r="D961" s="109"/>
      <c r="E961" s="109"/>
      <c r="F961" s="109"/>
      <c r="G961" s="109"/>
      <c r="H961" s="317"/>
      <c r="I961" s="109"/>
      <c r="J961" s="109"/>
      <c r="K961" s="109"/>
      <c r="L961" s="109"/>
      <c r="M961" s="109"/>
      <c r="N961" s="109"/>
      <c r="O961" s="109"/>
      <c r="P961" s="109"/>
      <c r="Q961" s="109"/>
      <c r="R961" s="109"/>
      <c r="S961" s="109"/>
      <c r="T961" s="109"/>
      <c r="U961" s="109"/>
      <c r="V961" s="109"/>
      <c r="W961" s="109"/>
      <c r="X961" s="109"/>
      <c r="Y961" s="109"/>
      <c r="Z961" s="109"/>
    </row>
    <row r="962" ht="29.25" customHeight="1">
      <c r="A962" s="109"/>
      <c r="B962" s="109"/>
      <c r="C962" s="109"/>
      <c r="D962" s="109"/>
      <c r="E962" s="109"/>
      <c r="F962" s="109"/>
      <c r="G962" s="109"/>
      <c r="H962" s="317"/>
      <c r="I962" s="109"/>
      <c r="J962" s="109"/>
      <c r="K962" s="109"/>
      <c r="L962" s="109"/>
      <c r="M962" s="109"/>
      <c r="N962" s="109"/>
      <c r="O962" s="109"/>
      <c r="P962" s="109"/>
      <c r="Q962" s="109"/>
      <c r="R962" s="109"/>
      <c r="S962" s="109"/>
      <c r="T962" s="109"/>
      <c r="U962" s="109"/>
      <c r="V962" s="109"/>
      <c r="W962" s="109"/>
      <c r="X962" s="109"/>
      <c r="Y962" s="109"/>
      <c r="Z962" s="109"/>
    </row>
    <row r="963" ht="29.25" customHeight="1">
      <c r="A963" s="109"/>
      <c r="B963" s="109"/>
      <c r="C963" s="109"/>
      <c r="D963" s="109"/>
      <c r="E963" s="109"/>
      <c r="F963" s="109"/>
      <c r="G963" s="109"/>
      <c r="H963" s="317"/>
      <c r="I963" s="109"/>
      <c r="J963" s="109"/>
      <c r="K963" s="109"/>
      <c r="L963" s="109"/>
      <c r="M963" s="109"/>
      <c r="N963" s="109"/>
      <c r="O963" s="109"/>
      <c r="P963" s="109"/>
      <c r="Q963" s="109"/>
      <c r="R963" s="109"/>
      <c r="S963" s="109"/>
      <c r="T963" s="109"/>
      <c r="U963" s="109"/>
      <c r="V963" s="109"/>
      <c r="W963" s="109"/>
      <c r="X963" s="109"/>
      <c r="Y963" s="109"/>
      <c r="Z963" s="109"/>
    </row>
    <row r="964" ht="29.25" customHeight="1">
      <c r="A964" s="109"/>
      <c r="B964" s="109"/>
      <c r="C964" s="109"/>
      <c r="D964" s="109"/>
      <c r="E964" s="109"/>
      <c r="F964" s="109"/>
      <c r="G964" s="109"/>
      <c r="H964" s="317"/>
      <c r="I964" s="109"/>
      <c r="J964" s="109"/>
      <c r="K964" s="109"/>
      <c r="L964" s="109"/>
      <c r="M964" s="109"/>
      <c r="N964" s="109"/>
      <c r="O964" s="109"/>
      <c r="P964" s="109"/>
      <c r="Q964" s="109"/>
      <c r="R964" s="109"/>
      <c r="S964" s="109"/>
      <c r="T964" s="109"/>
      <c r="U964" s="109"/>
      <c r="V964" s="109"/>
      <c r="W964" s="109"/>
      <c r="X964" s="109"/>
      <c r="Y964" s="109"/>
      <c r="Z964" s="109"/>
    </row>
    <row r="965" ht="29.25" customHeight="1">
      <c r="A965" s="109"/>
      <c r="B965" s="109"/>
      <c r="C965" s="109"/>
      <c r="D965" s="109"/>
      <c r="E965" s="109"/>
      <c r="F965" s="109"/>
      <c r="G965" s="109"/>
      <c r="H965" s="317"/>
      <c r="I965" s="109"/>
      <c r="J965" s="109"/>
      <c r="K965" s="109"/>
      <c r="L965" s="109"/>
      <c r="M965" s="109"/>
      <c r="N965" s="109"/>
      <c r="O965" s="109"/>
      <c r="P965" s="109"/>
      <c r="Q965" s="109"/>
      <c r="R965" s="109"/>
      <c r="S965" s="109"/>
      <c r="T965" s="109"/>
      <c r="U965" s="109"/>
      <c r="V965" s="109"/>
      <c r="W965" s="109"/>
      <c r="X965" s="109"/>
      <c r="Y965" s="109"/>
      <c r="Z965" s="109"/>
    </row>
    <row r="966" ht="29.25" customHeight="1">
      <c r="A966" s="109"/>
      <c r="B966" s="109"/>
      <c r="C966" s="109"/>
      <c r="D966" s="109"/>
      <c r="E966" s="109"/>
      <c r="F966" s="109"/>
      <c r="G966" s="109"/>
      <c r="H966" s="317"/>
      <c r="I966" s="109"/>
      <c r="J966" s="109"/>
      <c r="K966" s="109"/>
      <c r="L966" s="109"/>
      <c r="M966" s="109"/>
      <c r="N966" s="109"/>
      <c r="O966" s="109"/>
      <c r="P966" s="109"/>
      <c r="Q966" s="109"/>
      <c r="R966" s="109"/>
      <c r="S966" s="109"/>
      <c r="T966" s="109"/>
      <c r="U966" s="109"/>
      <c r="V966" s="109"/>
      <c r="W966" s="109"/>
      <c r="X966" s="109"/>
      <c r="Y966" s="109"/>
      <c r="Z966" s="109"/>
    </row>
    <row r="967" ht="29.25" customHeight="1">
      <c r="A967" s="109"/>
      <c r="B967" s="109"/>
      <c r="C967" s="109"/>
      <c r="D967" s="109"/>
      <c r="E967" s="109"/>
      <c r="F967" s="109"/>
      <c r="G967" s="109"/>
      <c r="H967" s="317"/>
      <c r="I967" s="109"/>
      <c r="J967" s="109"/>
      <c r="K967" s="109"/>
      <c r="L967" s="109"/>
      <c r="M967" s="109"/>
      <c r="N967" s="109"/>
      <c r="O967" s="109"/>
      <c r="P967" s="109"/>
      <c r="Q967" s="109"/>
      <c r="R967" s="109"/>
      <c r="S967" s="109"/>
      <c r="T967" s="109"/>
      <c r="U967" s="109"/>
      <c r="V967" s="109"/>
      <c r="W967" s="109"/>
      <c r="X967" s="109"/>
      <c r="Y967" s="109"/>
      <c r="Z967" s="109"/>
    </row>
    <row r="968" ht="29.25" customHeight="1">
      <c r="A968" s="109"/>
      <c r="B968" s="109"/>
      <c r="C968" s="109"/>
      <c r="D968" s="109"/>
      <c r="E968" s="109"/>
      <c r="F968" s="109"/>
      <c r="G968" s="109"/>
      <c r="H968" s="317"/>
      <c r="I968" s="109"/>
      <c r="J968" s="109"/>
      <c r="K968" s="109"/>
      <c r="L968" s="109"/>
      <c r="M968" s="109"/>
      <c r="N968" s="109"/>
      <c r="O968" s="109"/>
      <c r="P968" s="109"/>
      <c r="Q968" s="109"/>
      <c r="R968" s="109"/>
      <c r="S968" s="109"/>
      <c r="T968" s="109"/>
      <c r="U968" s="109"/>
      <c r="V968" s="109"/>
      <c r="W968" s="109"/>
      <c r="X968" s="109"/>
      <c r="Y968" s="109"/>
      <c r="Z968" s="109"/>
    </row>
    <row r="969" ht="29.25" customHeight="1">
      <c r="A969" s="109"/>
      <c r="B969" s="109"/>
      <c r="C969" s="109"/>
      <c r="D969" s="109"/>
      <c r="E969" s="109"/>
      <c r="F969" s="109"/>
      <c r="G969" s="109"/>
      <c r="H969" s="317"/>
      <c r="I969" s="109"/>
      <c r="J969" s="109"/>
      <c r="K969" s="109"/>
      <c r="L969" s="109"/>
      <c r="M969" s="109"/>
      <c r="N969" s="109"/>
      <c r="O969" s="109"/>
      <c r="P969" s="109"/>
      <c r="Q969" s="109"/>
      <c r="R969" s="109"/>
      <c r="S969" s="109"/>
      <c r="T969" s="109"/>
      <c r="U969" s="109"/>
      <c r="V969" s="109"/>
      <c r="W969" s="109"/>
      <c r="X969" s="109"/>
      <c r="Y969" s="109"/>
      <c r="Z969" s="109"/>
    </row>
    <row r="970" ht="29.25" customHeight="1">
      <c r="A970" s="109"/>
      <c r="B970" s="109"/>
      <c r="C970" s="109"/>
      <c r="D970" s="109"/>
      <c r="E970" s="109"/>
      <c r="F970" s="109"/>
      <c r="G970" s="109"/>
      <c r="H970" s="317"/>
      <c r="I970" s="109"/>
      <c r="J970" s="109"/>
      <c r="K970" s="109"/>
      <c r="L970" s="109"/>
      <c r="M970" s="109"/>
      <c r="N970" s="109"/>
      <c r="O970" s="109"/>
      <c r="P970" s="109"/>
      <c r="Q970" s="109"/>
      <c r="R970" s="109"/>
      <c r="S970" s="109"/>
      <c r="T970" s="109"/>
      <c r="U970" s="109"/>
      <c r="V970" s="109"/>
      <c r="W970" s="109"/>
      <c r="X970" s="109"/>
      <c r="Y970" s="109"/>
      <c r="Z970" s="109"/>
    </row>
    <row r="971" ht="29.25" customHeight="1">
      <c r="A971" s="109"/>
      <c r="B971" s="109"/>
      <c r="C971" s="109"/>
      <c r="D971" s="109"/>
      <c r="E971" s="109"/>
      <c r="F971" s="109"/>
      <c r="G971" s="109"/>
      <c r="H971" s="317"/>
      <c r="I971" s="109"/>
      <c r="J971" s="109"/>
      <c r="K971" s="109"/>
      <c r="L971" s="109"/>
      <c r="M971" s="109"/>
      <c r="N971" s="109"/>
      <c r="O971" s="109"/>
      <c r="P971" s="109"/>
      <c r="Q971" s="109"/>
      <c r="R971" s="109"/>
      <c r="S971" s="109"/>
      <c r="T971" s="109"/>
      <c r="U971" s="109"/>
      <c r="V971" s="109"/>
      <c r="W971" s="109"/>
      <c r="X971" s="109"/>
      <c r="Y971" s="109"/>
      <c r="Z971" s="109"/>
    </row>
    <row r="972" ht="29.25" customHeight="1">
      <c r="A972" s="109"/>
      <c r="B972" s="109"/>
      <c r="C972" s="109"/>
      <c r="D972" s="109"/>
      <c r="E972" s="109"/>
      <c r="F972" s="109"/>
      <c r="G972" s="109"/>
      <c r="H972" s="317"/>
      <c r="I972" s="109"/>
      <c r="J972" s="109"/>
      <c r="K972" s="109"/>
      <c r="L972" s="109"/>
      <c r="M972" s="109"/>
      <c r="N972" s="109"/>
      <c r="O972" s="109"/>
      <c r="P972" s="109"/>
      <c r="Q972" s="109"/>
      <c r="R972" s="109"/>
      <c r="S972" s="109"/>
      <c r="T972" s="109"/>
      <c r="U972" s="109"/>
      <c r="V972" s="109"/>
      <c r="W972" s="109"/>
      <c r="X972" s="109"/>
      <c r="Y972" s="109"/>
      <c r="Z972" s="109"/>
    </row>
    <row r="973" ht="29.25" customHeight="1">
      <c r="A973" s="109"/>
      <c r="B973" s="109"/>
      <c r="C973" s="109"/>
      <c r="D973" s="109"/>
      <c r="E973" s="109"/>
      <c r="F973" s="109"/>
      <c r="G973" s="109"/>
      <c r="H973" s="317"/>
      <c r="I973" s="109"/>
      <c r="J973" s="109"/>
      <c r="K973" s="109"/>
      <c r="L973" s="109"/>
      <c r="M973" s="109"/>
      <c r="N973" s="109"/>
      <c r="O973" s="109"/>
      <c r="P973" s="109"/>
      <c r="Q973" s="109"/>
      <c r="R973" s="109"/>
      <c r="S973" s="109"/>
      <c r="T973" s="109"/>
      <c r="U973" s="109"/>
      <c r="V973" s="109"/>
      <c r="W973" s="109"/>
      <c r="X973" s="109"/>
      <c r="Y973" s="109"/>
      <c r="Z973" s="109"/>
    </row>
    <row r="974" ht="29.25" customHeight="1">
      <c r="A974" s="109"/>
      <c r="B974" s="109"/>
      <c r="C974" s="109"/>
      <c r="D974" s="109"/>
      <c r="E974" s="109"/>
      <c r="F974" s="109"/>
      <c r="G974" s="109"/>
      <c r="H974" s="317"/>
      <c r="I974" s="109"/>
      <c r="J974" s="109"/>
      <c r="K974" s="109"/>
      <c r="L974" s="109"/>
      <c r="M974" s="109"/>
      <c r="N974" s="109"/>
      <c r="O974" s="109"/>
      <c r="P974" s="109"/>
      <c r="Q974" s="109"/>
      <c r="R974" s="109"/>
      <c r="S974" s="109"/>
      <c r="T974" s="109"/>
      <c r="U974" s="109"/>
      <c r="V974" s="109"/>
      <c r="W974" s="109"/>
      <c r="X974" s="109"/>
      <c r="Y974" s="109"/>
      <c r="Z974" s="109"/>
    </row>
    <row r="975" ht="29.25" customHeight="1">
      <c r="A975" s="109"/>
      <c r="B975" s="109"/>
      <c r="C975" s="109"/>
      <c r="D975" s="109"/>
      <c r="E975" s="109"/>
      <c r="F975" s="109"/>
      <c r="G975" s="109"/>
      <c r="H975" s="317"/>
      <c r="I975" s="109"/>
      <c r="J975" s="109"/>
      <c r="K975" s="109"/>
      <c r="L975" s="109"/>
      <c r="M975" s="109"/>
      <c r="N975" s="109"/>
      <c r="O975" s="109"/>
      <c r="P975" s="109"/>
      <c r="Q975" s="109"/>
      <c r="R975" s="109"/>
      <c r="S975" s="109"/>
      <c r="T975" s="109"/>
      <c r="U975" s="109"/>
      <c r="V975" s="109"/>
      <c r="W975" s="109"/>
      <c r="X975" s="109"/>
      <c r="Y975" s="109"/>
      <c r="Z975" s="109"/>
    </row>
    <row r="976" ht="29.25" customHeight="1">
      <c r="A976" s="109"/>
      <c r="B976" s="109"/>
      <c r="C976" s="109"/>
      <c r="D976" s="109"/>
      <c r="E976" s="109"/>
      <c r="F976" s="109"/>
      <c r="G976" s="109"/>
      <c r="H976" s="317"/>
      <c r="I976" s="109"/>
      <c r="J976" s="109"/>
      <c r="K976" s="109"/>
      <c r="L976" s="109"/>
      <c r="M976" s="109"/>
      <c r="N976" s="109"/>
      <c r="O976" s="109"/>
      <c r="P976" s="109"/>
      <c r="Q976" s="109"/>
      <c r="R976" s="109"/>
      <c r="S976" s="109"/>
      <c r="T976" s="109"/>
      <c r="U976" s="109"/>
      <c r="V976" s="109"/>
      <c r="W976" s="109"/>
      <c r="X976" s="109"/>
      <c r="Y976" s="109"/>
      <c r="Z976" s="109"/>
    </row>
    <row r="977" ht="29.25" customHeight="1">
      <c r="A977" s="109"/>
      <c r="B977" s="109"/>
      <c r="C977" s="109"/>
      <c r="D977" s="109"/>
      <c r="E977" s="109"/>
      <c r="F977" s="109"/>
      <c r="G977" s="109"/>
      <c r="H977" s="317"/>
      <c r="I977" s="109"/>
      <c r="J977" s="109"/>
      <c r="K977" s="109"/>
      <c r="L977" s="109"/>
      <c r="M977" s="109"/>
      <c r="N977" s="109"/>
      <c r="O977" s="109"/>
      <c r="P977" s="109"/>
      <c r="Q977" s="109"/>
      <c r="R977" s="109"/>
      <c r="S977" s="109"/>
      <c r="T977" s="109"/>
      <c r="U977" s="109"/>
      <c r="V977" s="109"/>
      <c r="W977" s="109"/>
      <c r="X977" s="109"/>
      <c r="Y977" s="109"/>
      <c r="Z977" s="109"/>
    </row>
    <row r="978" ht="29.25" customHeight="1">
      <c r="A978" s="109"/>
      <c r="B978" s="109"/>
      <c r="C978" s="109"/>
      <c r="D978" s="109"/>
      <c r="E978" s="109"/>
      <c r="F978" s="109"/>
      <c r="G978" s="109"/>
      <c r="H978" s="317"/>
      <c r="I978" s="109"/>
      <c r="J978" s="109"/>
      <c r="K978" s="109"/>
      <c r="L978" s="109"/>
      <c r="M978" s="109"/>
      <c r="N978" s="109"/>
      <c r="O978" s="109"/>
      <c r="P978" s="109"/>
      <c r="Q978" s="109"/>
      <c r="R978" s="109"/>
      <c r="S978" s="109"/>
      <c r="T978" s="109"/>
      <c r="U978" s="109"/>
      <c r="V978" s="109"/>
      <c r="W978" s="109"/>
      <c r="X978" s="109"/>
      <c r="Y978" s="109"/>
      <c r="Z978" s="109"/>
    </row>
    <row r="979" ht="29.25" customHeight="1">
      <c r="A979" s="109"/>
      <c r="B979" s="109"/>
      <c r="C979" s="109"/>
      <c r="D979" s="109"/>
      <c r="E979" s="109"/>
      <c r="F979" s="109"/>
      <c r="G979" s="109"/>
      <c r="H979" s="317"/>
      <c r="I979" s="109"/>
      <c r="J979" s="109"/>
      <c r="K979" s="109"/>
      <c r="L979" s="109"/>
      <c r="M979" s="109"/>
      <c r="N979" s="109"/>
      <c r="O979" s="109"/>
      <c r="P979" s="109"/>
      <c r="Q979" s="109"/>
      <c r="R979" s="109"/>
      <c r="S979" s="109"/>
      <c r="T979" s="109"/>
      <c r="U979" s="109"/>
      <c r="V979" s="109"/>
      <c r="W979" s="109"/>
      <c r="X979" s="109"/>
      <c r="Y979" s="109"/>
      <c r="Z979" s="109"/>
    </row>
    <row r="980" ht="29.25" customHeight="1">
      <c r="A980" s="109"/>
      <c r="B980" s="109"/>
      <c r="C980" s="109"/>
      <c r="D980" s="109"/>
      <c r="E980" s="109"/>
      <c r="F980" s="109"/>
      <c r="G980" s="109"/>
      <c r="H980" s="317"/>
      <c r="I980" s="109"/>
      <c r="J980" s="109"/>
      <c r="K980" s="109"/>
      <c r="L980" s="109"/>
      <c r="M980" s="109"/>
      <c r="N980" s="109"/>
      <c r="O980" s="109"/>
      <c r="P980" s="109"/>
      <c r="Q980" s="109"/>
      <c r="R980" s="109"/>
      <c r="S980" s="109"/>
      <c r="T980" s="109"/>
      <c r="U980" s="109"/>
      <c r="V980" s="109"/>
      <c r="W980" s="109"/>
      <c r="X980" s="109"/>
      <c r="Y980" s="109"/>
      <c r="Z980" s="109"/>
    </row>
    <row r="981" ht="29.25" customHeight="1">
      <c r="A981" s="109"/>
      <c r="B981" s="109"/>
      <c r="C981" s="109"/>
      <c r="D981" s="109"/>
      <c r="E981" s="109"/>
      <c r="F981" s="109"/>
      <c r="G981" s="109"/>
      <c r="H981" s="317"/>
      <c r="I981" s="109"/>
      <c r="J981" s="109"/>
      <c r="K981" s="109"/>
      <c r="L981" s="109"/>
      <c r="M981" s="109"/>
      <c r="N981" s="109"/>
      <c r="O981" s="109"/>
      <c r="P981" s="109"/>
      <c r="Q981" s="109"/>
      <c r="R981" s="109"/>
      <c r="S981" s="109"/>
      <c r="T981" s="109"/>
      <c r="U981" s="109"/>
      <c r="V981" s="109"/>
      <c r="W981" s="109"/>
      <c r="X981" s="109"/>
      <c r="Y981" s="109"/>
      <c r="Z981" s="109"/>
    </row>
    <row r="982" ht="29.25" customHeight="1">
      <c r="A982" s="109"/>
      <c r="B982" s="109"/>
      <c r="C982" s="109"/>
      <c r="D982" s="109"/>
      <c r="E982" s="109"/>
      <c r="F982" s="109"/>
      <c r="G982" s="109"/>
      <c r="H982" s="317"/>
      <c r="I982" s="109"/>
      <c r="J982" s="109"/>
      <c r="K982" s="109"/>
      <c r="L982" s="109"/>
      <c r="M982" s="109"/>
      <c r="N982" s="109"/>
      <c r="O982" s="109"/>
      <c r="P982" s="109"/>
      <c r="Q982" s="109"/>
      <c r="R982" s="109"/>
      <c r="S982" s="109"/>
      <c r="T982" s="109"/>
      <c r="U982" s="109"/>
      <c r="V982" s="109"/>
      <c r="W982" s="109"/>
      <c r="X982" s="109"/>
      <c r="Y982" s="109"/>
      <c r="Z982" s="109"/>
    </row>
    <row r="983" ht="29.25" customHeight="1">
      <c r="A983" s="109"/>
      <c r="B983" s="109"/>
      <c r="C983" s="109"/>
      <c r="D983" s="109"/>
      <c r="E983" s="109"/>
      <c r="F983" s="109"/>
      <c r="G983" s="109"/>
      <c r="H983" s="317"/>
      <c r="I983" s="109"/>
      <c r="J983" s="109"/>
      <c r="K983" s="109"/>
      <c r="L983" s="109"/>
      <c r="M983" s="109"/>
      <c r="N983" s="109"/>
      <c r="O983" s="109"/>
      <c r="P983" s="109"/>
      <c r="Q983" s="109"/>
      <c r="R983" s="109"/>
      <c r="S983" s="109"/>
      <c r="T983" s="109"/>
      <c r="U983" s="109"/>
      <c r="V983" s="109"/>
      <c r="W983" s="109"/>
      <c r="X983" s="109"/>
      <c r="Y983" s="109"/>
      <c r="Z983" s="109"/>
    </row>
    <row r="984" ht="29.25" customHeight="1">
      <c r="A984" s="109"/>
      <c r="B984" s="109"/>
      <c r="C984" s="109"/>
      <c r="D984" s="109"/>
      <c r="E984" s="109"/>
      <c r="F984" s="109"/>
      <c r="G984" s="109"/>
      <c r="H984" s="317"/>
      <c r="I984" s="109"/>
      <c r="J984" s="109"/>
      <c r="K984" s="109"/>
      <c r="L984" s="109"/>
      <c r="M984" s="109"/>
      <c r="N984" s="109"/>
      <c r="O984" s="109"/>
      <c r="P984" s="109"/>
      <c r="Q984" s="109"/>
      <c r="R984" s="109"/>
      <c r="S984" s="109"/>
      <c r="T984" s="109"/>
      <c r="U984" s="109"/>
      <c r="V984" s="109"/>
      <c r="W984" s="109"/>
      <c r="X984" s="109"/>
      <c r="Y984" s="109"/>
      <c r="Z984" s="109"/>
    </row>
    <row r="985" ht="29.25" customHeight="1">
      <c r="A985" s="109"/>
      <c r="B985" s="109"/>
      <c r="C985" s="109"/>
      <c r="D985" s="109"/>
      <c r="E985" s="109"/>
      <c r="F985" s="109"/>
      <c r="G985" s="109"/>
      <c r="H985" s="317"/>
      <c r="I985" s="109"/>
      <c r="J985" s="109"/>
      <c r="K985" s="109"/>
      <c r="L985" s="109"/>
      <c r="M985" s="109"/>
      <c r="N985" s="109"/>
      <c r="O985" s="109"/>
      <c r="P985" s="109"/>
      <c r="Q985" s="109"/>
      <c r="R985" s="109"/>
      <c r="S985" s="109"/>
      <c r="T985" s="109"/>
      <c r="U985" s="109"/>
      <c r="V985" s="109"/>
      <c r="W985" s="109"/>
      <c r="X985" s="109"/>
      <c r="Y985" s="109"/>
      <c r="Z985" s="109"/>
    </row>
    <row r="986" ht="29.25" customHeight="1">
      <c r="A986" s="109"/>
      <c r="B986" s="109"/>
      <c r="C986" s="109"/>
      <c r="D986" s="109"/>
      <c r="E986" s="109"/>
      <c r="F986" s="109"/>
      <c r="G986" s="109"/>
      <c r="H986" s="317"/>
      <c r="I986" s="109"/>
      <c r="J986" s="109"/>
      <c r="K986" s="109"/>
      <c r="L986" s="109"/>
      <c r="M986" s="109"/>
      <c r="N986" s="109"/>
      <c r="O986" s="109"/>
      <c r="P986" s="109"/>
      <c r="Q986" s="109"/>
      <c r="R986" s="109"/>
      <c r="S986" s="109"/>
      <c r="T986" s="109"/>
      <c r="U986" s="109"/>
      <c r="V986" s="109"/>
      <c r="W986" s="109"/>
      <c r="X986" s="109"/>
      <c r="Y986" s="109"/>
      <c r="Z986" s="109"/>
    </row>
    <row r="987" ht="29.25" customHeight="1">
      <c r="A987" s="109"/>
      <c r="B987" s="109"/>
      <c r="C987" s="109"/>
      <c r="D987" s="109"/>
      <c r="E987" s="109"/>
      <c r="F987" s="109"/>
      <c r="G987" s="109"/>
      <c r="H987" s="317"/>
      <c r="I987" s="109"/>
      <c r="J987" s="109"/>
      <c r="K987" s="109"/>
      <c r="L987" s="109"/>
      <c r="M987" s="109"/>
      <c r="N987" s="109"/>
      <c r="O987" s="109"/>
      <c r="P987" s="109"/>
      <c r="Q987" s="109"/>
      <c r="R987" s="109"/>
      <c r="S987" s="109"/>
      <c r="T987" s="109"/>
      <c r="U987" s="109"/>
      <c r="V987" s="109"/>
      <c r="W987" s="109"/>
      <c r="X987" s="109"/>
      <c r="Y987" s="109"/>
      <c r="Z987" s="109"/>
    </row>
    <row r="988" ht="29.25" customHeight="1">
      <c r="A988" s="109"/>
      <c r="B988" s="109"/>
      <c r="C988" s="109"/>
      <c r="D988" s="109"/>
      <c r="E988" s="109"/>
      <c r="F988" s="109"/>
      <c r="G988" s="109"/>
      <c r="H988" s="317"/>
      <c r="I988" s="109"/>
      <c r="J988" s="109"/>
      <c r="K988" s="109"/>
      <c r="L988" s="109"/>
      <c r="M988" s="109"/>
      <c r="N988" s="109"/>
      <c r="O988" s="109"/>
      <c r="P988" s="109"/>
      <c r="Q988" s="109"/>
      <c r="R988" s="109"/>
      <c r="S988" s="109"/>
      <c r="T988" s="109"/>
      <c r="U988" s="109"/>
      <c r="V988" s="109"/>
      <c r="W988" s="109"/>
      <c r="X988" s="109"/>
      <c r="Y988" s="109"/>
      <c r="Z988" s="109"/>
    </row>
    <row r="989" ht="29.25" customHeight="1">
      <c r="A989" s="109"/>
      <c r="B989" s="109"/>
      <c r="C989" s="109"/>
      <c r="D989" s="109"/>
      <c r="E989" s="109"/>
      <c r="F989" s="109"/>
      <c r="G989" s="109"/>
      <c r="H989" s="317"/>
      <c r="I989" s="109"/>
      <c r="J989" s="109"/>
      <c r="K989" s="109"/>
      <c r="L989" s="109"/>
      <c r="M989" s="109"/>
      <c r="N989" s="109"/>
      <c r="O989" s="109"/>
      <c r="P989" s="109"/>
      <c r="Q989" s="109"/>
      <c r="R989" s="109"/>
      <c r="S989" s="109"/>
      <c r="T989" s="109"/>
      <c r="U989" s="109"/>
      <c r="V989" s="109"/>
      <c r="W989" s="109"/>
      <c r="X989" s="109"/>
      <c r="Y989" s="109"/>
      <c r="Z989" s="109"/>
    </row>
    <row r="990" ht="29.25" customHeight="1">
      <c r="A990" s="109"/>
      <c r="B990" s="109"/>
      <c r="C990" s="109"/>
      <c r="D990" s="109"/>
      <c r="E990" s="109"/>
      <c r="F990" s="109"/>
      <c r="G990" s="109"/>
      <c r="H990" s="317"/>
      <c r="I990" s="109"/>
      <c r="J990" s="109"/>
      <c r="K990" s="109"/>
      <c r="L990" s="109"/>
      <c r="M990" s="109"/>
      <c r="N990" s="109"/>
      <c r="O990" s="109"/>
      <c r="P990" s="109"/>
      <c r="Q990" s="109"/>
      <c r="R990" s="109"/>
      <c r="S990" s="109"/>
      <c r="T990" s="109"/>
      <c r="U990" s="109"/>
      <c r="V990" s="109"/>
      <c r="W990" s="109"/>
      <c r="X990" s="109"/>
      <c r="Y990" s="109"/>
      <c r="Z990" s="109"/>
    </row>
    <row r="991" ht="29.25" customHeight="1">
      <c r="A991" s="109"/>
      <c r="B991" s="109"/>
      <c r="C991" s="109"/>
      <c r="D991" s="109"/>
      <c r="E991" s="109"/>
      <c r="F991" s="109"/>
      <c r="G991" s="109"/>
      <c r="H991" s="317"/>
      <c r="I991" s="109"/>
      <c r="J991" s="109"/>
      <c r="K991" s="109"/>
      <c r="L991" s="109"/>
      <c r="M991" s="109"/>
      <c r="N991" s="109"/>
      <c r="O991" s="109"/>
      <c r="P991" s="109"/>
      <c r="Q991" s="109"/>
      <c r="R991" s="109"/>
      <c r="S991" s="109"/>
      <c r="T991" s="109"/>
      <c r="U991" s="109"/>
      <c r="V991" s="109"/>
      <c r="W991" s="109"/>
      <c r="X991" s="109"/>
      <c r="Y991" s="109"/>
      <c r="Z991" s="109"/>
    </row>
    <row r="992" ht="29.25" customHeight="1">
      <c r="A992" s="109"/>
      <c r="B992" s="109"/>
      <c r="C992" s="109"/>
      <c r="D992" s="109"/>
      <c r="E992" s="109"/>
      <c r="F992" s="109"/>
      <c r="G992" s="109"/>
      <c r="H992" s="317"/>
      <c r="I992" s="109"/>
      <c r="J992" s="109"/>
      <c r="K992" s="109"/>
      <c r="L992" s="109"/>
      <c r="M992" s="109"/>
      <c r="N992" s="109"/>
      <c r="O992" s="109"/>
      <c r="P992" s="109"/>
      <c r="Q992" s="109"/>
      <c r="R992" s="109"/>
      <c r="S992" s="109"/>
      <c r="T992" s="109"/>
      <c r="U992" s="109"/>
      <c r="V992" s="109"/>
      <c r="W992" s="109"/>
      <c r="X992" s="109"/>
      <c r="Y992" s="109"/>
      <c r="Z992" s="109"/>
    </row>
    <row r="993" ht="29.25" customHeight="1">
      <c r="A993" s="109"/>
      <c r="B993" s="109"/>
      <c r="C993" s="109"/>
      <c r="D993" s="109"/>
      <c r="E993" s="109"/>
      <c r="F993" s="109"/>
      <c r="G993" s="109"/>
      <c r="H993" s="317"/>
      <c r="I993" s="109"/>
      <c r="J993" s="109"/>
      <c r="K993" s="109"/>
      <c r="L993" s="109"/>
      <c r="M993" s="109"/>
      <c r="N993" s="109"/>
      <c r="O993" s="109"/>
      <c r="P993" s="109"/>
      <c r="Q993" s="109"/>
      <c r="R993" s="109"/>
      <c r="S993" s="109"/>
      <c r="T993" s="109"/>
      <c r="U993" s="109"/>
      <c r="V993" s="109"/>
      <c r="W993" s="109"/>
      <c r="X993" s="109"/>
      <c r="Y993" s="109"/>
      <c r="Z993" s="109"/>
    </row>
    <row r="994" ht="29.25" customHeight="1">
      <c r="A994" s="109"/>
      <c r="B994" s="109"/>
      <c r="C994" s="109"/>
      <c r="D994" s="109"/>
      <c r="E994" s="109"/>
      <c r="F994" s="109"/>
      <c r="G994" s="109"/>
      <c r="H994" s="317"/>
      <c r="I994" s="109"/>
      <c r="J994" s="109"/>
      <c r="K994" s="109"/>
      <c r="L994" s="109"/>
      <c r="M994" s="109"/>
      <c r="N994" s="109"/>
      <c r="O994" s="109"/>
      <c r="P994" s="109"/>
      <c r="Q994" s="109"/>
      <c r="R994" s="109"/>
      <c r="S994" s="109"/>
      <c r="T994" s="109"/>
      <c r="U994" s="109"/>
      <c r="V994" s="109"/>
      <c r="W994" s="109"/>
      <c r="X994" s="109"/>
      <c r="Y994" s="109"/>
      <c r="Z994" s="109"/>
    </row>
    <row r="995" ht="29.25" customHeight="1">
      <c r="A995" s="109"/>
      <c r="B995" s="109"/>
      <c r="C995" s="109"/>
      <c r="D995" s="109"/>
      <c r="E995" s="109"/>
      <c r="F995" s="109"/>
      <c r="G995" s="109"/>
      <c r="H995" s="317"/>
      <c r="I995" s="109"/>
      <c r="J995" s="109"/>
      <c r="K995" s="109"/>
      <c r="L995" s="109"/>
      <c r="M995" s="109"/>
      <c r="N995" s="109"/>
      <c r="O995" s="109"/>
      <c r="P995" s="109"/>
      <c r="Q995" s="109"/>
      <c r="R995" s="109"/>
      <c r="S995" s="109"/>
      <c r="T995" s="109"/>
      <c r="U995" s="109"/>
      <c r="V995" s="109"/>
      <c r="W995" s="109"/>
      <c r="X995" s="109"/>
      <c r="Y995" s="109"/>
      <c r="Z995" s="109"/>
    </row>
    <row r="996" ht="29.25" customHeight="1">
      <c r="A996" s="109"/>
      <c r="B996" s="109"/>
      <c r="C996" s="109"/>
      <c r="D996" s="109"/>
      <c r="E996" s="109"/>
      <c r="F996" s="109"/>
      <c r="G996" s="109"/>
      <c r="H996" s="317"/>
      <c r="I996" s="109"/>
      <c r="J996" s="109"/>
      <c r="K996" s="109"/>
      <c r="L996" s="109"/>
      <c r="M996" s="109"/>
      <c r="N996" s="109"/>
      <c r="O996" s="109"/>
      <c r="P996" s="109"/>
      <c r="Q996" s="109"/>
      <c r="R996" s="109"/>
      <c r="S996" s="109"/>
      <c r="T996" s="109"/>
      <c r="U996" s="109"/>
      <c r="V996" s="109"/>
      <c r="W996" s="109"/>
      <c r="X996" s="109"/>
      <c r="Y996" s="109"/>
      <c r="Z996" s="109"/>
    </row>
    <row r="997" ht="29.25" customHeight="1">
      <c r="A997" s="109"/>
      <c r="B997" s="109"/>
      <c r="C997" s="109"/>
      <c r="D997" s="109"/>
      <c r="E997" s="109"/>
      <c r="F997" s="109"/>
      <c r="G997" s="109"/>
      <c r="H997" s="317"/>
      <c r="I997" s="109"/>
      <c r="J997" s="109"/>
      <c r="K997" s="109"/>
      <c r="L997" s="109"/>
      <c r="M997" s="109"/>
      <c r="N997" s="109"/>
      <c r="O997" s="109"/>
      <c r="P997" s="109"/>
      <c r="Q997" s="109"/>
      <c r="R997" s="109"/>
      <c r="S997" s="109"/>
      <c r="T997" s="109"/>
      <c r="U997" s="109"/>
      <c r="V997" s="109"/>
      <c r="W997" s="109"/>
      <c r="X997" s="109"/>
      <c r="Y997" s="109"/>
      <c r="Z997" s="109"/>
    </row>
    <row r="998" ht="29.25" customHeight="1">
      <c r="A998" s="109"/>
      <c r="B998" s="109"/>
      <c r="C998" s="109"/>
      <c r="D998" s="109"/>
      <c r="E998" s="109"/>
      <c r="F998" s="109"/>
      <c r="G998" s="109"/>
      <c r="H998" s="317"/>
      <c r="I998" s="109"/>
      <c r="J998" s="109"/>
      <c r="K998" s="109"/>
      <c r="L998" s="109"/>
      <c r="M998" s="109"/>
      <c r="N998" s="109"/>
      <c r="O998" s="109"/>
      <c r="P998" s="109"/>
      <c r="Q998" s="109"/>
      <c r="R998" s="109"/>
      <c r="S998" s="109"/>
      <c r="T998" s="109"/>
      <c r="U998" s="109"/>
      <c r="V998" s="109"/>
      <c r="W998" s="109"/>
      <c r="X998" s="109"/>
      <c r="Y998" s="109"/>
      <c r="Z998" s="109"/>
    </row>
    <row r="999" ht="29.25" customHeight="1">
      <c r="A999" s="109"/>
      <c r="B999" s="109"/>
      <c r="C999" s="109"/>
      <c r="D999" s="109"/>
      <c r="E999" s="109"/>
      <c r="F999" s="109"/>
      <c r="G999" s="109"/>
      <c r="H999" s="317"/>
      <c r="I999" s="109"/>
      <c r="J999" s="109"/>
      <c r="K999" s="109"/>
      <c r="L999" s="109"/>
      <c r="M999" s="109"/>
      <c r="N999" s="109"/>
      <c r="O999" s="109"/>
      <c r="P999" s="109"/>
      <c r="Q999" s="109"/>
      <c r="R999" s="109"/>
      <c r="S999" s="109"/>
      <c r="T999" s="109"/>
      <c r="U999" s="109"/>
      <c r="V999" s="109"/>
      <c r="W999" s="109"/>
      <c r="X999" s="109"/>
      <c r="Y999" s="109"/>
      <c r="Z999" s="109"/>
    </row>
    <row r="1000" ht="29.25" customHeight="1">
      <c r="A1000" s="109"/>
      <c r="B1000" s="109"/>
      <c r="C1000" s="109"/>
      <c r="D1000" s="109"/>
      <c r="E1000" s="109"/>
      <c r="F1000" s="109"/>
      <c r="G1000" s="109"/>
      <c r="H1000" s="317"/>
      <c r="I1000" s="109"/>
      <c r="J1000" s="109"/>
      <c r="K1000" s="109"/>
      <c r="L1000" s="109"/>
      <c r="M1000" s="109"/>
      <c r="N1000" s="109"/>
      <c r="O1000" s="109"/>
      <c r="P1000" s="109"/>
      <c r="Q1000" s="109"/>
      <c r="R1000" s="109"/>
      <c r="S1000" s="109"/>
      <c r="T1000" s="109"/>
      <c r="U1000" s="109"/>
      <c r="V1000" s="109"/>
      <c r="W1000" s="109"/>
      <c r="X1000" s="109"/>
      <c r="Y1000" s="109"/>
      <c r="Z1000" s="109"/>
    </row>
  </sheetData>
  <hyperlinks>
    <hyperlink r:id="rId1" ref="D4"/>
  </hyperlinks>
  <drawing r:id="rId2"/>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3.44" defaultRowHeight="15.0"/>
  <cols>
    <col customWidth="1" min="1" max="1" width="17.44"/>
    <col customWidth="1" min="2" max="3" width="23.33"/>
    <col customWidth="1" min="4" max="8" width="17.44"/>
    <col customWidth="1" min="9" max="9" width="11.0"/>
    <col customWidth="1" min="10" max="11" width="17.44"/>
    <col customWidth="1" min="12" max="12" width="36.0"/>
    <col customWidth="1" min="13" max="13" width="26.44"/>
    <col customWidth="1" min="14" max="26" width="17.44"/>
  </cols>
  <sheetData>
    <row r="1" ht="168.75" customHeight="1">
      <c r="A1" s="288" t="s">
        <v>6438</v>
      </c>
      <c r="B1" s="289" t="s">
        <v>8813</v>
      </c>
      <c r="C1" s="289" t="s">
        <v>3801</v>
      </c>
      <c r="D1" s="289" t="s">
        <v>8814</v>
      </c>
      <c r="E1" s="289" t="s">
        <v>8815</v>
      </c>
      <c r="F1" s="289" t="s">
        <v>8816</v>
      </c>
      <c r="G1" s="289" t="s">
        <v>8817</v>
      </c>
      <c r="H1" s="289" t="s">
        <v>8818</v>
      </c>
      <c r="I1" s="289" t="s">
        <v>8819</v>
      </c>
      <c r="J1" s="289" t="s">
        <v>8820</v>
      </c>
      <c r="K1" s="289" t="s">
        <v>8821</v>
      </c>
      <c r="L1" s="290" t="s">
        <v>8822</v>
      </c>
      <c r="M1" s="291" t="s">
        <v>8823</v>
      </c>
      <c r="N1" s="292" t="s">
        <v>72</v>
      </c>
      <c r="O1" s="293"/>
      <c r="P1" s="289"/>
      <c r="Q1" s="288"/>
      <c r="R1" s="288"/>
      <c r="S1" s="288"/>
      <c r="T1" s="288"/>
      <c r="U1" s="288"/>
      <c r="V1" s="288"/>
      <c r="W1" s="288"/>
      <c r="X1" s="288"/>
      <c r="Y1" s="288"/>
      <c r="Z1" s="288"/>
    </row>
    <row r="2" ht="29.25" customHeight="1">
      <c r="A2" s="124"/>
      <c r="B2" s="130" t="s">
        <v>8824</v>
      </c>
      <c r="C2" s="130"/>
      <c r="D2" s="130" t="s">
        <v>8825</v>
      </c>
      <c r="E2" s="130" t="s">
        <v>7846</v>
      </c>
      <c r="F2" s="130" t="s">
        <v>8826</v>
      </c>
      <c r="G2" s="130" t="s">
        <v>8827</v>
      </c>
      <c r="H2" s="130"/>
      <c r="I2" s="130" t="s">
        <v>8828</v>
      </c>
      <c r="J2" s="130">
        <v>1995.0</v>
      </c>
      <c r="K2" s="130"/>
      <c r="L2" s="130" t="s">
        <v>8829</v>
      </c>
      <c r="M2" s="130" t="s">
        <v>462</v>
      </c>
      <c r="N2" s="130" t="s">
        <v>462</v>
      </c>
      <c r="O2" s="124"/>
      <c r="P2" s="124"/>
      <c r="Q2" s="124"/>
      <c r="R2" s="124"/>
      <c r="S2" s="124"/>
      <c r="T2" s="124"/>
      <c r="U2" s="124"/>
      <c r="V2" s="124"/>
      <c r="W2" s="124"/>
      <c r="X2" s="124"/>
      <c r="Y2" s="124"/>
      <c r="Z2" s="124"/>
    </row>
    <row r="3" ht="29.25" customHeight="1">
      <c r="A3" s="124"/>
      <c r="B3" s="130" t="s">
        <v>8830</v>
      </c>
      <c r="C3" s="130"/>
      <c r="D3" s="130" t="s">
        <v>8831</v>
      </c>
      <c r="E3" s="130" t="s">
        <v>8832</v>
      </c>
      <c r="F3" s="130"/>
      <c r="G3" s="130"/>
      <c r="H3" s="130"/>
      <c r="I3" s="355" t="s">
        <v>1429</v>
      </c>
      <c r="J3" s="130"/>
      <c r="K3" s="130" t="s">
        <v>7271</v>
      </c>
      <c r="L3" s="130"/>
      <c r="M3" s="130" t="s">
        <v>462</v>
      </c>
      <c r="N3" s="130" t="s">
        <v>462</v>
      </c>
      <c r="O3" s="124"/>
      <c r="P3" s="124"/>
      <c r="Q3" s="124"/>
      <c r="R3" s="124"/>
      <c r="S3" s="124"/>
      <c r="T3" s="124"/>
      <c r="U3" s="124"/>
      <c r="V3" s="124"/>
      <c r="W3" s="124"/>
      <c r="X3" s="124"/>
      <c r="Y3" s="124"/>
      <c r="Z3" s="124"/>
    </row>
    <row r="4" ht="29.25" customHeight="1">
      <c r="A4" s="124"/>
      <c r="B4" s="130" t="s">
        <v>8833</v>
      </c>
      <c r="C4" s="130"/>
      <c r="D4" s="130" t="s">
        <v>8834</v>
      </c>
      <c r="E4" s="130"/>
      <c r="F4" s="130"/>
      <c r="G4" s="130" t="s">
        <v>8835</v>
      </c>
      <c r="H4" s="130"/>
      <c r="I4" s="130" t="s">
        <v>2163</v>
      </c>
      <c r="J4" s="130">
        <v>2006.0</v>
      </c>
      <c r="K4" s="130"/>
      <c r="L4" s="130" t="s">
        <v>8836</v>
      </c>
      <c r="M4" s="130" t="s">
        <v>462</v>
      </c>
      <c r="N4" s="130" t="s">
        <v>462</v>
      </c>
      <c r="O4" s="124"/>
      <c r="P4" s="124"/>
      <c r="Q4" s="124"/>
      <c r="R4" s="124"/>
      <c r="S4" s="124"/>
      <c r="T4" s="124"/>
      <c r="U4" s="124"/>
      <c r="V4" s="124"/>
      <c r="W4" s="124"/>
      <c r="X4" s="124"/>
      <c r="Y4" s="124"/>
      <c r="Z4" s="124"/>
    </row>
    <row r="5" ht="29.25" customHeight="1">
      <c r="A5" s="124"/>
      <c r="B5" s="130" t="s">
        <v>8837</v>
      </c>
      <c r="C5" s="130"/>
      <c r="D5" s="130"/>
      <c r="E5" s="130"/>
      <c r="F5" s="130"/>
      <c r="G5" s="130"/>
      <c r="H5" s="130"/>
      <c r="I5" s="130" t="s">
        <v>8838</v>
      </c>
      <c r="J5" s="130">
        <v>2012.0</v>
      </c>
      <c r="K5" s="356" t="str">
        <f>HYPERLINK("http://www.thevictorylab.com/","www.thevictorylab.com")</f>
        <v>www.thevictorylab.com</v>
      </c>
      <c r="L5" s="130" t="s">
        <v>8839</v>
      </c>
      <c r="M5" s="130" t="s">
        <v>462</v>
      </c>
      <c r="N5" s="130" t="s">
        <v>462</v>
      </c>
      <c r="O5" s="124"/>
      <c r="P5" s="124"/>
      <c r="Q5" s="124"/>
      <c r="R5" s="124"/>
      <c r="S5" s="124"/>
      <c r="T5" s="124"/>
      <c r="U5" s="124"/>
      <c r="V5" s="124"/>
      <c r="W5" s="124"/>
      <c r="X5" s="124"/>
      <c r="Y5" s="124"/>
      <c r="Z5" s="124"/>
    </row>
    <row r="6" ht="29.25" customHeight="1">
      <c r="A6" s="124"/>
      <c r="B6" s="130" t="s">
        <v>8840</v>
      </c>
      <c r="C6" s="130"/>
      <c r="D6" s="130" t="s">
        <v>8841</v>
      </c>
      <c r="E6" s="130" t="s">
        <v>7846</v>
      </c>
      <c r="F6" s="130" t="s">
        <v>8842</v>
      </c>
      <c r="G6" s="130" t="s">
        <v>8843</v>
      </c>
      <c r="H6" s="130"/>
      <c r="I6" s="130" t="s">
        <v>7240</v>
      </c>
      <c r="J6" s="130">
        <v>2013.0</v>
      </c>
      <c r="K6" s="130"/>
      <c r="L6" s="130" t="s">
        <v>8847</v>
      </c>
      <c r="M6" s="130" t="s">
        <v>462</v>
      </c>
      <c r="N6" s="130" t="s">
        <v>462</v>
      </c>
      <c r="O6" s="124"/>
      <c r="P6" s="124"/>
      <c r="Q6" s="124"/>
      <c r="R6" s="124"/>
      <c r="S6" s="124"/>
      <c r="T6" s="124"/>
      <c r="U6" s="124"/>
      <c r="V6" s="124"/>
      <c r="W6" s="124"/>
      <c r="X6" s="124"/>
      <c r="Y6" s="124"/>
      <c r="Z6" s="124"/>
    </row>
    <row r="7" ht="29.25" customHeight="1">
      <c r="A7" s="124"/>
      <c r="B7" s="130" t="s">
        <v>8848</v>
      </c>
      <c r="C7" s="130"/>
      <c r="D7" s="130" t="s">
        <v>8831</v>
      </c>
      <c r="E7" s="130" t="s">
        <v>8849</v>
      </c>
      <c r="F7" s="130" t="s">
        <v>8850</v>
      </c>
      <c r="G7" s="130"/>
      <c r="H7" s="130" t="s">
        <v>8851</v>
      </c>
      <c r="I7" s="130" t="s">
        <v>8852</v>
      </c>
      <c r="J7" s="130">
        <v>2011.0</v>
      </c>
      <c r="K7" s="130" t="s">
        <v>8853</v>
      </c>
      <c r="L7" s="130" t="s">
        <v>8854</v>
      </c>
      <c r="M7" s="130" t="s">
        <v>462</v>
      </c>
      <c r="N7" s="130" t="s">
        <v>462</v>
      </c>
      <c r="O7" s="124"/>
      <c r="P7" s="124"/>
      <c r="Q7" s="124"/>
      <c r="R7" s="124"/>
      <c r="S7" s="124"/>
      <c r="T7" s="124"/>
      <c r="U7" s="124"/>
      <c r="V7" s="124"/>
      <c r="W7" s="124"/>
      <c r="X7" s="124"/>
      <c r="Y7" s="124"/>
      <c r="Z7" s="124"/>
    </row>
    <row r="8" ht="29.25" customHeight="1">
      <c r="A8" s="124" t="s">
        <v>7730</v>
      </c>
      <c r="B8" s="130" t="s">
        <v>7571</v>
      </c>
      <c r="C8" s="130" t="s">
        <v>8855</v>
      </c>
      <c r="D8" s="130" t="s">
        <v>8831</v>
      </c>
      <c r="E8" s="130" t="s">
        <v>8856</v>
      </c>
      <c r="F8" s="130" t="s">
        <v>7730</v>
      </c>
      <c r="G8" s="130"/>
      <c r="H8" s="130" t="s">
        <v>8857</v>
      </c>
      <c r="I8" s="130" t="s">
        <v>3944</v>
      </c>
      <c r="J8" s="130">
        <v>2012.0</v>
      </c>
      <c r="K8" s="130" t="s">
        <v>8265</v>
      </c>
      <c r="L8" s="130"/>
      <c r="M8" s="130" t="s">
        <v>428</v>
      </c>
      <c r="N8" s="130" t="s">
        <v>462</v>
      </c>
      <c r="O8" s="124"/>
      <c r="P8" s="124"/>
      <c r="Q8" s="124"/>
      <c r="R8" s="124"/>
      <c r="S8" s="124"/>
      <c r="T8" s="124"/>
      <c r="U8" s="124"/>
      <c r="V8" s="124"/>
      <c r="W8" s="124"/>
      <c r="X8" s="124"/>
      <c r="Y8" s="124"/>
      <c r="Z8" s="124"/>
    </row>
    <row r="9" ht="29.25" customHeight="1">
      <c r="A9" s="124"/>
      <c r="B9" s="130" t="s">
        <v>8858</v>
      </c>
      <c r="C9" s="130"/>
      <c r="D9" s="130" t="s">
        <v>8859</v>
      </c>
      <c r="E9" s="130"/>
      <c r="F9" s="130" t="s">
        <v>8860</v>
      </c>
      <c r="G9" s="130"/>
      <c r="H9" s="130" t="s">
        <v>610</v>
      </c>
      <c r="I9" s="130"/>
      <c r="J9" s="130"/>
      <c r="K9" s="130" t="s">
        <v>8861</v>
      </c>
      <c r="L9" s="130"/>
      <c r="M9" s="130" t="s">
        <v>462</v>
      </c>
      <c r="N9" s="130" t="s">
        <v>462</v>
      </c>
      <c r="O9" s="124"/>
      <c r="P9" s="124"/>
      <c r="Q9" s="124"/>
      <c r="R9" s="124"/>
      <c r="S9" s="124"/>
      <c r="T9" s="124"/>
      <c r="U9" s="124"/>
      <c r="V9" s="124"/>
      <c r="W9" s="124"/>
      <c r="X9" s="124"/>
      <c r="Y9" s="124"/>
      <c r="Z9" s="124"/>
    </row>
    <row r="10" ht="29.25" customHeight="1">
      <c r="A10" s="124"/>
      <c r="B10" s="130" t="s">
        <v>8862</v>
      </c>
      <c r="C10" s="130"/>
      <c r="D10" s="130" t="s">
        <v>8863</v>
      </c>
      <c r="E10" s="130" t="s">
        <v>7679</v>
      </c>
      <c r="F10" s="130" t="s">
        <v>8864</v>
      </c>
      <c r="G10" s="130"/>
      <c r="H10" s="130" t="s">
        <v>8865</v>
      </c>
      <c r="I10" s="130" t="s">
        <v>8866</v>
      </c>
      <c r="J10" s="130">
        <v>2015.0</v>
      </c>
      <c r="K10" s="130" t="s">
        <v>8867</v>
      </c>
      <c r="L10" s="130" t="s">
        <v>8868</v>
      </c>
      <c r="M10" s="130" t="s">
        <v>462</v>
      </c>
      <c r="N10" s="130" t="s">
        <v>462</v>
      </c>
      <c r="O10" s="124"/>
      <c r="P10" s="124"/>
      <c r="Q10" s="124"/>
      <c r="R10" s="124"/>
      <c r="S10" s="124"/>
      <c r="T10" s="124"/>
      <c r="U10" s="124"/>
      <c r="V10" s="124"/>
      <c r="W10" s="124"/>
      <c r="X10" s="124"/>
      <c r="Y10" s="124"/>
      <c r="Z10" s="124"/>
    </row>
    <row r="11" ht="29.25" customHeight="1">
      <c r="A11" s="124"/>
      <c r="B11" s="130" t="s">
        <v>1105</v>
      </c>
      <c r="C11" s="130"/>
      <c r="D11" s="130" t="s">
        <v>8869</v>
      </c>
      <c r="E11" s="130" t="s">
        <v>8870</v>
      </c>
      <c r="F11" s="130"/>
      <c r="G11" s="130"/>
      <c r="H11" s="130"/>
      <c r="I11" s="130" t="s">
        <v>8871</v>
      </c>
      <c r="J11" s="130"/>
      <c r="K11" s="130"/>
      <c r="L11" s="130" t="s">
        <v>8872</v>
      </c>
      <c r="M11" s="130" t="s">
        <v>462</v>
      </c>
      <c r="N11" s="130" t="s">
        <v>462</v>
      </c>
      <c r="O11" s="124"/>
      <c r="P11" s="124"/>
      <c r="Q11" s="124"/>
      <c r="R11" s="124"/>
      <c r="S11" s="124"/>
      <c r="T11" s="124"/>
      <c r="U11" s="124"/>
      <c r="V11" s="124"/>
      <c r="W11" s="124"/>
      <c r="X11" s="124"/>
      <c r="Y11" s="124"/>
      <c r="Z11" s="124"/>
    </row>
    <row r="12" ht="29.25" customHeight="1">
      <c r="A12" s="124"/>
      <c r="B12" s="130" t="s">
        <v>8873</v>
      </c>
      <c r="C12" s="130"/>
      <c r="D12" s="130" t="s">
        <v>8831</v>
      </c>
      <c r="E12" s="130" t="s">
        <v>8874</v>
      </c>
      <c r="F12" s="130"/>
      <c r="G12" s="130" t="s">
        <v>8875</v>
      </c>
      <c r="H12" s="130"/>
      <c r="I12" s="130" t="s">
        <v>8146</v>
      </c>
      <c r="J12" s="130"/>
      <c r="K12" s="130"/>
      <c r="L12" s="130" t="s">
        <v>8876</v>
      </c>
      <c r="M12" s="130" t="s">
        <v>462</v>
      </c>
      <c r="N12" s="130" t="s">
        <v>462</v>
      </c>
      <c r="O12" s="124"/>
      <c r="P12" s="124"/>
      <c r="Q12" s="124"/>
      <c r="R12" s="124"/>
      <c r="S12" s="124"/>
      <c r="T12" s="124"/>
      <c r="U12" s="124"/>
      <c r="V12" s="124"/>
      <c r="W12" s="124"/>
      <c r="X12" s="124"/>
      <c r="Y12" s="124"/>
      <c r="Z12" s="124"/>
    </row>
    <row r="13" ht="29.25" customHeight="1">
      <c r="A13" s="124"/>
      <c r="B13" s="130" t="s">
        <v>8877</v>
      </c>
      <c r="C13" s="130"/>
      <c r="D13" s="130" t="s">
        <v>8878</v>
      </c>
      <c r="E13" s="130" t="s">
        <v>7028</v>
      </c>
      <c r="F13" s="130"/>
      <c r="G13" s="130"/>
      <c r="H13" s="130"/>
      <c r="I13" s="130"/>
      <c r="J13" s="130"/>
      <c r="K13" s="130"/>
      <c r="L13" s="130" t="s">
        <v>8879</v>
      </c>
      <c r="M13" s="130" t="s">
        <v>462</v>
      </c>
      <c r="N13" s="130" t="s">
        <v>462</v>
      </c>
      <c r="O13" s="124"/>
      <c r="P13" s="124"/>
      <c r="Q13" s="124"/>
      <c r="R13" s="124"/>
      <c r="S13" s="124"/>
      <c r="T13" s="124"/>
      <c r="U13" s="124"/>
      <c r="V13" s="124"/>
      <c r="W13" s="124"/>
      <c r="X13" s="124"/>
      <c r="Y13" s="124"/>
      <c r="Z13" s="124"/>
    </row>
    <row r="14" ht="29.25" customHeight="1">
      <c r="A14" s="124"/>
      <c r="B14" s="130" t="s">
        <v>7272</v>
      </c>
      <c r="C14" s="130"/>
      <c r="D14" s="130" t="s">
        <v>8831</v>
      </c>
      <c r="E14" s="130"/>
      <c r="F14" s="130"/>
      <c r="G14" s="130"/>
      <c r="H14" s="130"/>
      <c r="I14" s="130" t="s">
        <v>1429</v>
      </c>
      <c r="J14" s="130"/>
      <c r="K14" s="130"/>
      <c r="L14" s="130"/>
      <c r="M14" s="130" t="s">
        <v>462</v>
      </c>
      <c r="N14" s="130" t="s">
        <v>462</v>
      </c>
      <c r="O14" s="124"/>
      <c r="P14" s="124"/>
      <c r="Q14" s="124"/>
      <c r="R14" s="124"/>
      <c r="S14" s="124"/>
      <c r="T14" s="124"/>
      <c r="U14" s="124"/>
      <c r="V14" s="124"/>
      <c r="W14" s="124"/>
      <c r="X14" s="124"/>
      <c r="Y14" s="124"/>
      <c r="Z14" s="124"/>
    </row>
    <row r="15" ht="29.25" customHeight="1">
      <c r="A15" s="124"/>
      <c r="B15" s="130" t="s">
        <v>1105</v>
      </c>
      <c r="C15" s="130"/>
      <c r="D15" s="130" t="s">
        <v>8869</v>
      </c>
      <c r="E15" s="130" t="s">
        <v>8880</v>
      </c>
      <c r="F15" s="130"/>
      <c r="G15" s="130"/>
      <c r="H15" s="130"/>
      <c r="I15" s="130" t="s">
        <v>8871</v>
      </c>
      <c r="J15" s="130"/>
      <c r="K15" s="130"/>
      <c r="L15" s="130" t="s">
        <v>8881</v>
      </c>
      <c r="M15" s="130" t="s">
        <v>462</v>
      </c>
      <c r="N15" s="130" t="s">
        <v>462</v>
      </c>
      <c r="O15" s="124"/>
      <c r="P15" s="124"/>
      <c r="Q15" s="124"/>
      <c r="R15" s="124"/>
      <c r="S15" s="124"/>
      <c r="T15" s="124"/>
      <c r="U15" s="124"/>
      <c r="V15" s="124"/>
      <c r="W15" s="124"/>
      <c r="X15" s="124"/>
      <c r="Y15" s="124"/>
      <c r="Z15" s="124"/>
    </row>
    <row r="16" ht="29.25" customHeight="1">
      <c r="A16" s="124"/>
      <c r="B16" s="130" t="s">
        <v>8882</v>
      </c>
      <c r="C16" s="130"/>
      <c r="D16" s="130" t="s">
        <v>8883</v>
      </c>
      <c r="E16" s="130" t="s">
        <v>8884</v>
      </c>
      <c r="F16" s="130" t="s">
        <v>8885</v>
      </c>
      <c r="G16" s="130" t="s">
        <v>8886</v>
      </c>
      <c r="H16" s="130"/>
      <c r="I16" s="355" t="s">
        <v>7161</v>
      </c>
      <c r="J16" s="357">
        <v>74850.0</v>
      </c>
      <c r="K16" s="130" t="s">
        <v>8887</v>
      </c>
      <c r="L16" s="130" t="s">
        <v>8888</v>
      </c>
      <c r="M16" s="130" t="s">
        <v>462</v>
      </c>
      <c r="N16" s="130" t="s">
        <v>462</v>
      </c>
      <c r="O16" s="124"/>
      <c r="P16" s="124"/>
      <c r="Q16" s="124"/>
      <c r="R16" s="124"/>
      <c r="S16" s="124"/>
      <c r="T16" s="124"/>
      <c r="U16" s="124"/>
      <c r="V16" s="124"/>
      <c r="W16" s="124"/>
      <c r="X16" s="124"/>
      <c r="Y16" s="124"/>
      <c r="Z16" s="124"/>
    </row>
    <row r="17" ht="29.25" customHeight="1">
      <c r="A17" s="124"/>
      <c r="B17" s="130" t="s">
        <v>8889</v>
      </c>
      <c r="C17" s="130"/>
      <c r="D17" s="130" t="s">
        <v>8831</v>
      </c>
      <c r="E17" s="130" t="s">
        <v>8874</v>
      </c>
      <c r="F17" s="130" t="s">
        <v>8890</v>
      </c>
      <c r="G17" s="130"/>
      <c r="H17" s="130"/>
      <c r="I17" s="130" t="s">
        <v>8891</v>
      </c>
      <c r="J17" s="357">
        <v>40071.0</v>
      </c>
      <c r="K17" s="130"/>
      <c r="L17" s="130" t="s">
        <v>8892</v>
      </c>
      <c r="M17" s="130" t="s">
        <v>462</v>
      </c>
      <c r="N17" s="130" t="s">
        <v>462</v>
      </c>
      <c r="O17" s="124"/>
      <c r="P17" s="124"/>
      <c r="Q17" s="124"/>
      <c r="R17" s="124"/>
      <c r="S17" s="124"/>
      <c r="T17" s="124"/>
      <c r="U17" s="124"/>
      <c r="V17" s="124"/>
      <c r="W17" s="124"/>
      <c r="X17" s="124"/>
      <c r="Y17" s="124"/>
      <c r="Z17" s="124"/>
    </row>
    <row r="18" ht="29.25" customHeight="1">
      <c r="A18" s="124"/>
      <c r="B18" s="130" t="s">
        <v>1105</v>
      </c>
      <c r="C18" s="130"/>
      <c r="D18" s="130" t="s">
        <v>8869</v>
      </c>
      <c r="E18" s="130" t="s">
        <v>1510</v>
      </c>
      <c r="F18" s="130" t="s">
        <v>8893</v>
      </c>
      <c r="G18" s="130" t="s">
        <v>8894</v>
      </c>
      <c r="H18" s="130" t="s">
        <v>8895</v>
      </c>
      <c r="I18" s="130" t="s">
        <v>8896</v>
      </c>
      <c r="J18" s="130"/>
      <c r="K18" s="130" t="s">
        <v>8897</v>
      </c>
      <c r="L18" s="130" t="s">
        <v>8898</v>
      </c>
      <c r="M18" s="130" t="s">
        <v>462</v>
      </c>
      <c r="N18" s="130" t="s">
        <v>462</v>
      </c>
      <c r="O18" s="124"/>
      <c r="P18" s="124"/>
      <c r="Q18" s="124"/>
      <c r="R18" s="124"/>
      <c r="S18" s="124"/>
      <c r="T18" s="124"/>
      <c r="U18" s="124"/>
      <c r="V18" s="124"/>
      <c r="W18" s="124"/>
      <c r="X18" s="124"/>
      <c r="Y18" s="124"/>
      <c r="Z18" s="124"/>
    </row>
    <row r="19" ht="29.25" customHeight="1">
      <c r="A19" s="124" t="s">
        <v>8899</v>
      </c>
      <c r="B19" s="124" t="s">
        <v>8900</v>
      </c>
      <c r="C19" s="124" t="s">
        <v>8901</v>
      </c>
      <c r="D19" s="124" t="s">
        <v>8831</v>
      </c>
      <c r="E19" s="124" t="s">
        <v>8902</v>
      </c>
      <c r="F19" s="124" t="s">
        <v>8501</v>
      </c>
      <c r="G19" s="124"/>
      <c r="H19" s="124" t="s">
        <v>8903</v>
      </c>
      <c r="I19" s="124" t="s">
        <v>7107</v>
      </c>
      <c r="J19" s="124">
        <v>2013.0</v>
      </c>
      <c r="K19" s="124"/>
      <c r="L19" s="124"/>
      <c r="M19" s="124" t="s">
        <v>8904</v>
      </c>
      <c r="N19" s="124" t="s">
        <v>8905</v>
      </c>
      <c r="O19" s="124"/>
      <c r="P19" s="124"/>
      <c r="Q19" s="124"/>
      <c r="R19" s="124"/>
      <c r="S19" s="124"/>
      <c r="T19" s="124"/>
      <c r="U19" s="124"/>
      <c r="V19" s="124"/>
      <c r="W19" s="124"/>
      <c r="X19" s="124"/>
      <c r="Y19" s="124"/>
      <c r="Z19" s="124"/>
    </row>
    <row r="20" ht="29.25" customHeight="1">
      <c r="A20" s="124" t="s">
        <v>7730</v>
      </c>
      <c r="B20" s="124" t="s">
        <v>8906</v>
      </c>
      <c r="C20" s="124" t="s">
        <v>8907</v>
      </c>
      <c r="D20" s="124" t="s">
        <v>8831</v>
      </c>
      <c r="E20" s="124"/>
      <c r="F20" s="124"/>
      <c r="G20" s="124"/>
      <c r="H20" s="124"/>
      <c r="I20" s="126"/>
      <c r="J20" s="124">
        <v>2015.0</v>
      </c>
      <c r="K20" s="124"/>
      <c r="L20" s="124"/>
      <c r="M20" s="124" t="s">
        <v>428</v>
      </c>
      <c r="N20" s="130" t="s">
        <v>462</v>
      </c>
      <c r="O20" s="124"/>
      <c r="P20" s="124"/>
      <c r="Q20" s="124"/>
      <c r="R20" s="124"/>
      <c r="S20" s="124"/>
      <c r="T20" s="124"/>
      <c r="U20" s="124"/>
      <c r="V20" s="124"/>
      <c r="W20" s="124"/>
      <c r="X20" s="124"/>
      <c r="Y20" s="124"/>
      <c r="Z20" s="124"/>
    </row>
    <row r="21" ht="29.25" customHeight="1">
      <c r="A21" s="124" t="s">
        <v>7041</v>
      </c>
      <c r="B21" s="358" t="s">
        <v>8908</v>
      </c>
      <c r="C21" s="124" t="s">
        <v>8909</v>
      </c>
      <c r="D21" s="124" t="s">
        <v>8831</v>
      </c>
      <c r="E21" s="124"/>
      <c r="F21" s="124"/>
      <c r="G21" s="124"/>
      <c r="H21" s="124"/>
      <c r="I21" s="358" t="s">
        <v>8910</v>
      </c>
      <c r="J21" s="124">
        <v>2013.0</v>
      </c>
      <c r="K21" s="124"/>
      <c r="L21" s="124"/>
      <c r="M21" s="124" t="s">
        <v>428</v>
      </c>
      <c r="N21" s="130" t="s">
        <v>462</v>
      </c>
      <c r="O21" s="124"/>
      <c r="P21" s="124"/>
      <c r="Q21" s="124"/>
      <c r="R21" s="124"/>
      <c r="S21" s="124"/>
      <c r="T21" s="124"/>
      <c r="U21" s="124"/>
      <c r="V21" s="124"/>
      <c r="W21" s="124"/>
      <c r="X21" s="124"/>
      <c r="Y21" s="124"/>
      <c r="Z21" s="124"/>
    </row>
    <row r="22" ht="29.25" customHeight="1">
      <c r="A22" s="124"/>
      <c r="B22" s="124"/>
      <c r="C22" s="124"/>
      <c r="D22" s="124"/>
      <c r="E22" s="124"/>
      <c r="F22" s="124"/>
      <c r="G22" s="124"/>
      <c r="H22" s="124"/>
      <c r="I22" s="126"/>
      <c r="J22" s="124"/>
      <c r="K22" s="124"/>
      <c r="L22" s="124"/>
      <c r="M22" s="124"/>
      <c r="N22" s="124"/>
      <c r="O22" s="124"/>
      <c r="P22" s="124"/>
      <c r="Q22" s="124"/>
      <c r="R22" s="124"/>
      <c r="S22" s="124"/>
      <c r="T22" s="124"/>
      <c r="U22" s="124"/>
      <c r="V22" s="124"/>
      <c r="W22" s="124"/>
      <c r="X22" s="124"/>
      <c r="Y22" s="124"/>
      <c r="Z22" s="124"/>
    </row>
    <row r="23" ht="29.25" customHeight="1">
      <c r="A23" s="124"/>
      <c r="B23" s="124"/>
      <c r="C23" s="124"/>
      <c r="D23" s="124"/>
      <c r="E23" s="124"/>
      <c r="F23" s="124"/>
      <c r="G23" s="124"/>
      <c r="H23" s="124"/>
      <c r="I23" s="124"/>
      <c r="J23" s="124"/>
      <c r="K23" s="124"/>
      <c r="L23" s="124"/>
      <c r="M23" s="124"/>
      <c r="N23" s="124"/>
      <c r="O23" s="124"/>
      <c r="P23" s="124"/>
      <c r="Q23" s="124"/>
      <c r="R23" s="124"/>
      <c r="S23" s="124"/>
      <c r="T23" s="124"/>
      <c r="U23" s="124"/>
      <c r="V23" s="124"/>
      <c r="W23" s="124"/>
      <c r="X23" s="124"/>
      <c r="Y23" s="124"/>
      <c r="Z23" s="124"/>
    </row>
    <row r="24" ht="29.25" customHeight="1">
      <c r="A24" s="124"/>
      <c r="B24" s="124"/>
      <c r="C24" s="124"/>
      <c r="D24" s="124"/>
      <c r="E24" s="124"/>
      <c r="F24" s="124"/>
      <c r="G24" s="124"/>
      <c r="H24" s="124"/>
      <c r="I24" s="126"/>
      <c r="J24" s="124"/>
      <c r="K24" s="124"/>
      <c r="L24" s="124"/>
      <c r="M24" s="124"/>
      <c r="N24" s="124"/>
      <c r="O24" s="124"/>
      <c r="P24" s="124"/>
      <c r="Q24" s="124"/>
      <c r="R24" s="124"/>
      <c r="S24" s="124"/>
      <c r="T24" s="124"/>
      <c r="U24" s="124"/>
      <c r="V24" s="124"/>
      <c r="W24" s="124"/>
      <c r="X24" s="124"/>
      <c r="Y24" s="124"/>
      <c r="Z24" s="124"/>
    </row>
    <row r="25" ht="29.25" customHeight="1">
      <c r="A25" s="124"/>
      <c r="B25" s="124"/>
      <c r="C25" s="124"/>
      <c r="D25" s="124"/>
      <c r="E25" s="124"/>
      <c r="F25" s="124"/>
      <c r="G25" s="124"/>
      <c r="H25" s="124"/>
      <c r="I25" s="126"/>
      <c r="J25" s="124"/>
      <c r="K25" s="124"/>
      <c r="L25" s="124"/>
      <c r="M25" s="124"/>
      <c r="N25" s="124"/>
      <c r="O25" s="124"/>
      <c r="P25" s="124"/>
      <c r="Q25" s="124"/>
      <c r="R25" s="124"/>
      <c r="S25" s="124"/>
      <c r="T25" s="124"/>
      <c r="U25" s="124"/>
      <c r="V25" s="124"/>
      <c r="W25" s="124"/>
      <c r="X25" s="124"/>
      <c r="Y25" s="124"/>
      <c r="Z25" s="124"/>
    </row>
    <row r="26" ht="29.25" customHeight="1">
      <c r="A26" s="124"/>
      <c r="B26" s="124"/>
      <c r="C26" s="124"/>
      <c r="D26" s="124"/>
      <c r="E26" s="124"/>
      <c r="F26" s="124"/>
      <c r="G26" s="124"/>
      <c r="H26" s="124"/>
      <c r="I26" s="126"/>
      <c r="J26" s="124"/>
      <c r="K26" s="124"/>
      <c r="L26" s="124"/>
      <c r="M26" s="124"/>
      <c r="N26" s="124"/>
      <c r="O26" s="124"/>
      <c r="P26" s="124"/>
      <c r="Q26" s="124"/>
      <c r="R26" s="124"/>
      <c r="S26" s="124"/>
      <c r="T26" s="124"/>
      <c r="U26" s="124"/>
      <c r="V26" s="124"/>
      <c r="W26" s="124"/>
      <c r="X26" s="124"/>
      <c r="Y26" s="124"/>
      <c r="Z26" s="124"/>
    </row>
    <row r="27" ht="29.25" customHeight="1">
      <c r="A27" s="124"/>
      <c r="B27" s="124"/>
      <c r="C27" s="124"/>
      <c r="D27" s="124"/>
      <c r="E27" s="124"/>
      <c r="F27" s="124"/>
      <c r="G27" s="124"/>
      <c r="H27" s="124"/>
      <c r="I27" s="126"/>
      <c r="J27" s="124"/>
      <c r="K27" s="124"/>
      <c r="L27" s="124"/>
      <c r="M27" s="124"/>
      <c r="N27" s="124"/>
      <c r="O27" s="124"/>
      <c r="P27" s="124"/>
      <c r="Q27" s="124"/>
      <c r="R27" s="124"/>
      <c r="S27" s="124"/>
      <c r="T27" s="124"/>
      <c r="U27" s="124"/>
      <c r="V27" s="124"/>
      <c r="W27" s="124"/>
      <c r="X27" s="124"/>
      <c r="Y27" s="124"/>
      <c r="Z27" s="124"/>
    </row>
    <row r="28" ht="29.25" customHeight="1">
      <c r="A28" s="124"/>
      <c r="B28" s="124"/>
      <c r="C28" s="124"/>
      <c r="D28" s="124"/>
      <c r="E28" s="124"/>
      <c r="F28" s="124"/>
      <c r="G28" s="124"/>
      <c r="H28" s="124"/>
      <c r="I28" s="126"/>
      <c r="J28" s="124"/>
      <c r="K28" s="124"/>
      <c r="L28" s="124"/>
      <c r="M28" s="124"/>
      <c r="N28" s="124"/>
      <c r="O28" s="124"/>
      <c r="P28" s="124"/>
      <c r="Q28" s="124"/>
      <c r="R28" s="124"/>
      <c r="S28" s="124"/>
      <c r="T28" s="124"/>
      <c r="U28" s="124"/>
      <c r="V28" s="124"/>
      <c r="W28" s="124"/>
      <c r="X28" s="124"/>
      <c r="Y28" s="124"/>
      <c r="Z28" s="124"/>
    </row>
    <row r="29" ht="29.25" customHeight="1">
      <c r="A29" s="124"/>
      <c r="B29" s="124"/>
      <c r="C29" s="124"/>
      <c r="D29" s="124"/>
      <c r="E29" s="124"/>
      <c r="F29" s="124"/>
      <c r="G29" s="124"/>
      <c r="H29" s="124"/>
      <c r="I29" s="126"/>
      <c r="J29" s="124"/>
      <c r="K29" s="124"/>
      <c r="L29" s="359"/>
      <c r="M29" s="124"/>
      <c r="N29" s="124"/>
      <c r="O29" s="124"/>
      <c r="P29" s="124"/>
      <c r="Q29" s="124"/>
      <c r="R29" s="124"/>
      <c r="S29" s="124"/>
      <c r="T29" s="124"/>
      <c r="U29" s="124"/>
      <c r="V29" s="124"/>
      <c r="W29" s="124"/>
      <c r="X29" s="124"/>
      <c r="Y29" s="124"/>
      <c r="Z29" s="124"/>
    </row>
    <row r="30" ht="29.25" customHeight="1">
      <c r="A30" s="124"/>
      <c r="B30" s="124"/>
      <c r="C30" s="124"/>
      <c r="D30" s="124"/>
      <c r="E30" s="124"/>
      <c r="F30" s="124"/>
      <c r="G30" s="124"/>
      <c r="H30" s="124"/>
      <c r="I30" s="126"/>
      <c r="J30" s="124"/>
      <c r="K30" s="124"/>
      <c r="L30" s="124"/>
      <c r="M30" s="124"/>
      <c r="N30" s="124"/>
      <c r="O30" s="124"/>
      <c r="P30" s="124"/>
      <c r="Q30" s="124"/>
      <c r="R30" s="124"/>
      <c r="S30" s="124"/>
      <c r="T30" s="124"/>
      <c r="U30" s="124"/>
      <c r="V30" s="124"/>
      <c r="W30" s="124"/>
      <c r="X30" s="124"/>
      <c r="Y30" s="124"/>
      <c r="Z30" s="124"/>
    </row>
    <row r="31" ht="29.25" customHeight="1">
      <c r="A31" s="124"/>
      <c r="B31" s="124"/>
      <c r="C31" s="124"/>
      <c r="D31" s="124"/>
      <c r="E31" s="124"/>
      <c r="F31" s="124"/>
      <c r="G31" s="124"/>
      <c r="H31" s="124"/>
      <c r="I31" s="126"/>
      <c r="J31" s="124"/>
      <c r="K31" s="124"/>
      <c r="L31" s="124"/>
      <c r="M31" s="124"/>
      <c r="N31" s="124"/>
      <c r="O31" s="124"/>
      <c r="P31" s="124"/>
      <c r="Q31" s="124"/>
      <c r="R31" s="124"/>
      <c r="S31" s="124"/>
      <c r="T31" s="124"/>
      <c r="U31" s="124"/>
      <c r="V31" s="124"/>
      <c r="W31" s="124"/>
      <c r="X31" s="124"/>
      <c r="Y31" s="124"/>
      <c r="Z31" s="124"/>
    </row>
    <row r="32" ht="29.25" customHeight="1">
      <c r="A32" s="124"/>
      <c r="B32" s="124"/>
      <c r="C32" s="124"/>
      <c r="D32" s="124"/>
      <c r="E32" s="124"/>
      <c r="F32" s="124"/>
      <c r="G32" s="124"/>
      <c r="H32" s="124"/>
      <c r="I32" s="126"/>
      <c r="J32" s="124"/>
      <c r="K32" s="124"/>
      <c r="L32" s="124"/>
      <c r="M32" s="124"/>
      <c r="N32" s="124"/>
      <c r="O32" s="124"/>
      <c r="P32" s="124"/>
      <c r="Q32" s="124"/>
      <c r="R32" s="124"/>
      <c r="S32" s="124"/>
      <c r="T32" s="124"/>
      <c r="U32" s="124"/>
      <c r="V32" s="124"/>
      <c r="W32" s="124"/>
      <c r="X32" s="124"/>
      <c r="Y32" s="124"/>
      <c r="Z32" s="124"/>
    </row>
    <row r="33" ht="29.25" customHeight="1">
      <c r="A33" s="124"/>
      <c r="B33" s="124"/>
      <c r="C33" s="124"/>
      <c r="D33" s="124"/>
      <c r="E33" s="124"/>
      <c r="F33" s="124"/>
      <c r="G33" s="124"/>
      <c r="H33" s="124"/>
      <c r="I33" s="126"/>
      <c r="J33" s="124"/>
      <c r="K33" s="124"/>
      <c r="L33" s="124"/>
      <c r="M33" s="124"/>
      <c r="N33" s="124"/>
      <c r="O33" s="124"/>
      <c r="P33" s="124"/>
      <c r="Q33" s="124"/>
      <c r="R33" s="124"/>
      <c r="S33" s="124"/>
      <c r="T33" s="124"/>
      <c r="U33" s="124"/>
      <c r="V33" s="124"/>
      <c r="W33" s="124"/>
      <c r="X33" s="124"/>
      <c r="Y33" s="124"/>
      <c r="Z33" s="124"/>
    </row>
    <row r="34" ht="29.25" customHeight="1">
      <c r="A34" s="124"/>
      <c r="B34" s="124"/>
      <c r="C34" s="124"/>
      <c r="D34" s="124"/>
      <c r="E34" s="124"/>
      <c r="F34" s="124"/>
      <c r="G34" s="124"/>
      <c r="H34" s="124"/>
      <c r="I34" s="126"/>
      <c r="J34" s="124"/>
      <c r="K34" s="124"/>
      <c r="L34" s="124"/>
      <c r="M34" s="124"/>
      <c r="N34" s="124"/>
      <c r="O34" s="124"/>
      <c r="P34" s="124"/>
      <c r="Q34" s="124"/>
      <c r="R34" s="124"/>
      <c r="S34" s="124"/>
      <c r="T34" s="124"/>
      <c r="U34" s="124"/>
      <c r="V34" s="124"/>
      <c r="W34" s="124"/>
      <c r="X34" s="124"/>
      <c r="Y34" s="124"/>
      <c r="Z34" s="124"/>
    </row>
    <row r="35" ht="29.25" customHeight="1">
      <c r="A35" s="124"/>
      <c r="B35" s="124"/>
      <c r="C35" s="124"/>
      <c r="D35" s="124"/>
      <c r="E35" s="124"/>
      <c r="F35" s="124"/>
      <c r="G35" s="124"/>
      <c r="H35" s="124"/>
      <c r="I35" s="126"/>
      <c r="J35" s="124"/>
      <c r="K35" s="124"/>
      <c r="L35" s="124"/>
      <c r="M35" s="124"/>
      <c r="N35" s="124"/>
      <c r="O35" s="124"/>
      <c r="P35" s="124"/>
      <c r="Q35" s="124"/>
      <c r="R35" s="124"/>
      <c r="S35" s="124"/>
      <c r="T35" s="124"/>
      <c r="U35" s="124"/>
      <c r="V35" s="124"/>
      <c r="W35" s="124"/>
      <c r="X35" s="124"/>
      <c r="Y35" s="124"/>
      <c r="Z35" s="124"/>
    </row>
    <row r="36" ht="29.25" customHeight="1">
      <c r="A36" s="124"/>
      <c r="B36" s="124"/>
      <c r="C36" s="124"/>
      <c r="D36" s="124"/>
      <c r="E36" s="124"/>
      <c r="F36" s="124"/>
      <c r="G36" s="124"/>
      <c r="H36" s="124"/>
      <c r="I36" s="126"/>
      <c r="J36" s="124"/>
      <c r="K36" s="124"/>
      <c r="L36" s="124"/>
      <c r="M36" s="124"/>
      <c r="N36" s="124"/>
      <c r="O36" s="124"/>
      <c r="P36" s="124"/>
      <c r="Q36" s="124"/>
      <c r="R36" s="124"/>
      <c r="S36" s="124"/>
      <c r="T36" s="124"/>
      <c r="U36" s="124"/>
      <c r="V36" s="124"/>
      <c r="W36" s="124"/>
      <c r="X36" s="124"/>
      <c r="Y36" s="124"/>
      <c r="Z36" s="124"/>
    </row>
    <row r="37" ht="29.25" customHeight="1">
      <c r="A37" s="124"/>
      <c r="B37" s="124"/>
      <c r="C37" s="124"/>
      <c r="D37" s="124"/>
      <c r="E37" s="124"/>
      <c r="F37" s="124"/>
      <c r="G37" s="124"/>
      <c r="H37" s="124"/>
      <c r="I37" s="126"/>
      <c r="J37" s="124"/>
      <c r="K37" s="124"/>
      <c r="L37" s="124"/>
      <c r="M37" s="124"/>
      <c r="N37" s="124"/>
      <c r="O37" s="124"/>
      <c r="P37" s="124"/>
      <c r="Q37" s="124"/>
      <c r="R37" s="124"/>
      <c r="S37" s="124"/>
      <c r="T37" s="124"/>
      <c r="U37" s="124"/>
      <c r="V37" s="124"/>
      <c r="W37" s="124"/>
      <c r="X37" s="124"/>
      <c r="Y37" s="124"/>
      <c r="Z37" s="124"/>
    </row>
    <row r="38" ht="29.25" customHeight="1">
      <c r="A38" s="124"/>
      <c r="B38" s="124"/>
      <c r="C38" s="124"/>
      <c r="D38" s="124"/>
      <c r="E38" s="124"/>
      <c r="F38" s="124"/>
      <c r="G38" s="124"/>
      <c r="H38" s="124"/>
      <c r="I38" s="126"/>
      <c r="J38" s="124"/>
      <c r="K38" s="124"/>
      <c r="L38" s="124"/>
      <c r="M38" s="124"/>
      <c r="N38" s="124"/>
      <c r="O38" s="124"/>
      <c r="P38" s="124"/>
      <c r="Q38" s="124"/>
      <c r="R38" s="124"/>
      <c r="S38" s="124"/>
      <c r="T38" s="124"/>
      <c r="U38" s="124"/>
      <c r="V38" s="124"/>
      <c r="W38" s="124"/>
      <c r="X38" s="124"/>
      <c r="Y38" s="124"/>
      <c r="Z38" s="124"/>
    </row>
    <row r="39" ht="29.25" customHeight="1">
      <c r="A39" s="124"/>
      <c r="B39" s="124"/>
      <c r="C39" s="124"/>
      <c r="D39" s="124"/>
      <c r="E39" s="124"/>
      <c r="F39" s="124"/>
      <c r="G39" s="124"/>
      <c r="H39" s="124"/>
      <c r="I39" s="126"/>
      <c r="J39" s="124"/>
      <c r="K39" s="124"/>
      <c r="L39" s="124"/>
      <c r="M39" s="124"/>
      <c r="N39" s="124"/>
      <c r="O39" s="124"/>
      <c r="P39" s="124"/>
      <c r="Q39" s="124"/>
      <c r="R39" s="124"/>
      <c r="S39" s="124"/>
      <c r="T39" s="124"/>
      <c r="U39" s="124"/>
      <c r="V39" s="124"/>
      <c r="W39" s="124"/>
      <c r="X39" s="124"/>
      <c r="Y39" s="124"/>
      <c r="Z39" s="124"/>
    </row>
    <row r="40" ht="29.25" customHeight="1">
      <c r="A40" s="124"/>
      <c r="B40" s="124"/>
      <c r="C40" s="124"/>
      <c r="D40" s="124"/>
      <c r="E40" s="124"/>
      <c r="F40" s="124"/>
      <c r="G40" s="124"/>
      <c r="H40" s="124"/>
      <c r="I40" s="126"/>
      <c r="J40" s="124"/>
      <c r="K40" s="124"/>
      <c r="L40" s="124"/>
      <c r="M40" s="124"/>
      <c r="N40" s="124"/>
      <c r="O40" s="124"/>
      <c r="P40" s="124"/>
      <c r="Q40" s="124"/>
      <c r="R40" s="124"/>
      <c r="S40" s="124"/>
      <c r="T40" s="124"/>
      <c r="U40" s="124"/>
      <c r="V40" s="124"/>
      <c r="W40" s="124"/>
      <c r="X40" s="124"/>
      <c r="Y40" s="124"/>
      <c r="Z40" s="124"/>
    </row>
    <row r="41" ht="29.25" customHeight="1">
      <c r="A41" s="124"/>
      <c r="B41" s="124"/>
      <c r="C41" s="124"/>
      <c r="D41" s="124"/>
      <c r="E41" s="124"/>
      <c r="F41" s="124"/>
      <c r="G41" s="124"/>
      <c r="H41" s="124"/>
      <c r="I41" s="126"/>
      <c r="J41" s="124"/>
      <c r="K41" s="124"/>
      <c r="L41" s="124"/>
      <c r="M41" s="124"/>
      <c r="N41" s="124"/>
      <c r="O41" s="124"/>
      <c r="P41" s="124"/>
      <c r="Q41" s="124"/>
      <c r="R41" s="124"/>
      <c r="S41" s="124"/>
      <c r="T41" s="124"/>
      <c r="U41" s="124"/>
      <c r="V41" s="124"/>
      <c r="W41" s="124"/>
      <c r="X41" s="124"/>
      <c r="Y41" s="124"/>
      <c r="Z41" s="124"/>
    </row>
    <row r="42" ht="29.25" customHeight="1">
      <c r="A42" s="124"/>
      <c r="B42" s="124"/>
      <c r="C42" s="124"/>
      <c r="D42" s="124"/>
      <c r="E42" s="124"/>
      <c r="F42" s="124"/>
      <c r="G42" s="124"/>
      <c r="H42" s="124"/>
      <c r="I42" s="126"/>
      <c r="J42" s="124"/>
      <c r="K42" s="124"/>
      <c r="L42" s="124"/>
      <c r="M42" s="124"/>
      <c r="N42" s="124"/>
      <c r="O42" s="124"/>
      <c r="P42" s="124"/>
      <c r="Q42" s="124"/>
      <c r="R42" s="124"/>
      <c r="S42" s="124"/>
      <c r="T42" s="124"/>
      <c r="U42" s="124"/>
      <c r="V42" s="124"/>
      <c r="W42" s="124"/>
      <c r="X42" s="124"/>
      <c r="Y42" s="124"/>
      <c r="Z42" s="124"/>
    </row>
    <row r="43" ht="29.25" customHeight="1">
      <c r="A43" s="124"/>
      <c r="B43" s="124"/>
      <c r="C43" s="124"/>
      <c r="D43" s="124"/>
      <c r="E43" s="124"/>
      <c r="F43" s="124"/>
      <c r="G43" s="124"/>
      <c r="H43" s="124"/>
      <c r="I43" s="126"/>
      <c r="J43" s="124"/>
      <c r="K43" s="124"/>
      <c r="L43" s="124"/>
      <c r="M43" s="124"/>
      <c r="N43" s="124"/>
      <c r="O43" s="124"/>
      <c r="P43" s="124"/>
      <c r="Q43" s="124"/>
      <c r="R43" s="124"/>
      <c r="S43" s="124"/>
      <c r="T43" s="124"/>
      <c r="U43" s="124"/>
      <c r="V43" s="124"/>
      <c r="W43" s="124"/>
      <c r="X43" s="124"/>
      <c r="Y43" s="124"/>
      <c r="Z43" s="124"/>
    </row>
    <row r="44" ht="29.25" customHeight="1">
      <c r="A44" s="124"/>
      <c r="B44" s="124"/>
      <c r="C44" s="124"/>
      <c r="D44" s="124"/>
      <c r="E44" s="124"/>
      <c r="F44" s="124"/>
      <c r="G44" s="124"/>
      <c r="H44" s="124"/>
      <c r="I44" s="126"/>
      <c r="J44" s="124"/>
      <c r="K44" s="124"/>
      <c r="L44" s="124"/>
      <c r="M44" s="124"/>
      <c r="N44" s="124"/>
      <c r="O44" s="124"/>
      <c r="P44" s="124"/>
      <c r="Q44" s="124"/>
      <c r="R44" s="124"/>
      <c r="S44" s="124"/>
      <c r="T44" s="124"/>
      <c r="U44" s="124"/>
      <c r="V44" s="124"/>
      <c r="W44" s="124"/>
      <c r="X44" s="124"/>
      <c r="Y44" s="124"/>
      <c r="Z44" s="124"/>
    </row>
    <row r="45" ht="29.25" customHeight="1">
      <c r="A45" s="124"/>
      <c r="B45" s="124"/>
      <c r="C45" s="124"/>
      <c r="D45" s="124"/>
      <c r="E45" s="124"/>
      <c r="F45" s="124"/>
      <c r="G45" s="124"/>
      <c r="H45" s="124"/>
      <c r="I45" s="126"/>
      <c r="J45" s="124"/>
      <c r="K45" s="124"/>
      <c r="L45" s="124"/>
      <c r="M45" s="124"/>
      <c r="N45" s="124"/>
      <c r="O45" s="124"/>
      <c r="P45" s="124"/>
      <c r="Q45" s="124"/>
      <c r="R45" s="124"/>
      <c r="S45" s="124"/>
      <c r="T45" s="124"/>
      <c r="U45" s="124"/>
      <c r="V45" s="124"/>
      <c r="W45" s="124"/>
      <c r="X45" s="124"/>
      <c r="Y45" s="124"/>
      <c r="Z45" s="124"/>
    </row>
    <row r="46" ht="29.25" customHeight="1">
      <c r="A46" s="124"/>
      <c r="B46" s="124"/>
      <c r="C46" s="124"/>
      <c r="D46" s="124"/>
      <c r="E46" s="124"/>
      <c r="F46" s="124"/>
      <c r="G46" s="124"/>
      <c r="H46" s="124"/>
      <c r="I46" s="124"/>
      <c r="J46" s="124"/>
      <c r="K46" s="124"/>
      <c r="L46" s="124"/>
      <c r="M46" s="124"/>
      <c r="N46" s="124"/>
      <c r="O46" s="124"/>
      <c r="P46" s="124"/>
      <c r="Q46" s="124"/>
      <c r="R46" s="124"/>
      <c r="S46" s="124"/>
      <c r="T46" s="124"/>
      <c r="U46" s="124"/>
      <c r="V46" s="124"/>
      <c r="W46" s="124"/>
      <c r="X46" s="124"/>
      <c r="Y46" s="124"/>
      <c r="Z46" s="124"/>
    </row>
    <row r="47" ht="29.25" customHeight="1">
      <c r="A47" s="124"/>
      <c r="B47" s="124"/>
      <c r="C47" s="124"/>
      <c r="D47" s="124"/>
      <c r="E47" s="124"/>
      <c r="F47" s="124"/>
      <c r="G47" s="124"/>
      <c r="H47" s="124"/>
      <c r="I47" s="124"/>
      <c r="J47" s="124"/>
      <c r="K47" s="124"/>
      <c r="L47" s="124"/>
      <c r="M47" s="124"/>
      <c r="N47" s="124"/>
      <c r="O47" s="124"/>
      <c r="P47" s="124"/>
      <c r="Q47" s="124"/>
      <c r="R47" s="124"/>
      <c r="S47" s="124"/>
      <c r="T47" s="124"/>
      <c r="U47" s="124"/>
      <c r="V47" s="124"/>
      <c r="W47" s="124"/>
      <c r="X47" s="124"/>
      <c r="Y47" s="124"/>
      <c r="Z47" s="124"/>
    </row>
    <row r="48" ht="29.25" customHeight="1">
      <c r="A48" s="124"/>
      <c r="B48" s="124"/>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row>
    <row r="49" ht="29.25" customHeight="1">
      <c r="A49" s="124"/>
      <c r="B49" s="124"/>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row>
    <row r="50" ht="29.25" customHeight="1">
      <c r="A50" s="124"/>
      <c r="B50" s="124"/>
      <c r="C50" s="124"/>
      <c r="D50" s="124"/>
      <c r="E50" s="124"/>
      <c r="F50" s="124"/>
      <c r="G50" s="124"/>
      <c r="H50" s="124"/>
      <c r="I50" s="124"/>
      <c r="J50" s="124"/>
      <c r="K50" s="124"/>
      <c r="L50" s="124"/>
      <c r="M50" s="124"/>
      <c r="N50" s="124"/>
      <c r="O50" s="124"/>
      <c r="P50" s="124"/>
      <c r="Q50" s="124"/>
      <c r="R50" s="124"/>
      <c r="S50" s="124"/>
      <c r="T50" s="124"/>
      <c r="U50" s="124"/>
      <c r="V50" s="124"/>
      <c r="W50" s="124"/>
      <c r="X50" s="124"/>
      <c r="Y50" s="124"/>
      <c r="Z50" s="124"/>
    </row>
    <row r="51" ht="29.25" customHeight="1">
      <c r="A51" s="124"/>
      <c r="B51" s="124"/>
      <c r="C51" s="124"/>
      <c r="D51" s="124"/>
      <c r="E51" s="124"/>
      <c r="F51" s="124"/>
      <c r="G51" s="124"/>
      <c r="H51" s="124"/>
      <c r="I51" s="124"/>
      <c r="J51" s="124"/>
      <c r="K51" s="124"/>
      <c r="L51" s="124"/>
      <c r="M51" s="124"/>
      <c r="N51" s="124"/>
      <c r="O51" s="124"/>
      <c r="P51" s="124"/>
      <c r="Q51" s="124"/>
      <c r="R51" s="124"/>
      <c r="S51" s="124"/>
      <c r="T51" s="124"/>
      <c r="U51" s="124"/>
      <c r="V51" s="124"/>
      <c r="W51" s="124"/>
      <c r="X51" s="124"/>
      <c r="Y51" s="124"/>
      <c r="Z51" s="124"/>
    </row>
    <row r="52" ht="29.25" customHeight="1">
      <c r="A52" s="124"/>
      <c r="B52" s="124"/>
      <c r="C52" s="124"/>
      <c r="D52" s="124"/>
      <c r="E52" s="124"/>
      <c r="F52" s="124"/>
      <c r="G52" s="124"/>
      <c r="H52" s="124"/>
      <c r="I52" s="124"/>
      <c r="J52" s="124"/>
      <c r="K52" s="124"/>
      <c r="L52" s="124"/>
      <c r="M52" s="124"/>
      <c r="N52" s="124"/>
      <c r="O52" s="124"/>
      <c r="P52" s="124"/>
      <c r="Q52" s="124"/>
      <c r="R52" s="124"/>
      <c r="S52" s="124"/>
      <c r="T52" s="124"/>
      <c r="U52" s="124"/>
      <c r="V52" s="124"/>
      <c r="W52" s="124"/>
      <c r="X52" s="124"/>
      <c r="Y52" s="124"/>
      <c r="Z52" s="124"/>
    </row>
    <row r="53" ht="29.25" customHeight="1">
      <c r="A53" s="124"/>
      <c r="B53" s="124"/>
      <c r="C53" s="124"/>
      <c r="D53" s="124"/>
      <c r="E53" s="124"/>
      <c r="F53" s="124"/>
      <c r="G53" s="124"/>
      <c r="H53" s="124"/>
      <c r="I53" s="124"/>
      <c r="J53" s="124"/>
      <c r="K53" s="124"/>
      <c r="L53" s="124"/>
      <c r="M53" s="124"/>
      <c r="N53" s="124"/>
      <c r="O53" s="124"/>
      <c r="P53" s="124"/>
      <c r="Q53" s="124"/>
      <c r="R53" s="124"/>
      <c r="S53" s="124"/>
      <c r="T53" s="124"/>
      <c r="U53" s="124"/>
      <c r="V53" s="124"/>
      <c r="W53" s="124"/>
      <c r="X53" s="124"/>
      <c r="Y53" s="124"/>
      <c r="Z53" s="124"/>
    </row>
    <row r="54" ht="29.25" customHeight="1">
      <c r="A54" s="124"/>
      <c r="B54" s="124"/>
      <c r="C54" s="124"/>
      <c r="D54" s="124"/>
      <c r="E54" s="124"/>
      <c r="F54" s="124"/>
      <c r="G54" s="124"/>
      <c r="H54" s="124"/>
      <c r="I54" s="124"/>
      <c r="J54" s="124"/>
      <c r="K54" s="124"/>
      <c r="L54" s="124"/>
      <c r="M54" s="124"/>
      <c r="N54" s="124"/>
      <c r="O54" s="124"/>
      <c r="P54" s="124"/>
      <c r="Q54" s="124"/>
      <c r="R54" s="124"/>
      <c r="S54" s="124"/>
      <c r="T54" s="124"/>
      <c r="U54" s="124"/>
      <c r="V54" s="124"/>
      <c r="W54" s="124"/>
      <c r="X54" s="124"/>
      <c r="Y54" s="124"/>
      <c r="Z54" s="124"/>
    </row>
    <row r="55" ht="29.25" customHeight="1">
      <c r="A55" s="124"/>
      <c r="B55" s="124"/>
      <c r="C55" s="124"/>
      <c r="D55" s="124"/>
      <c r="E55" s="124"/>
      <c r="F55" s="124"/>
      <c r="G55" s="124"/>
      <c r="H55" s="124"/>
      <c r="I55" s="124"/>
      <c r="J55" s="124"/>
      <c r="K55" s="124"/>
      <c r="L55" s="124"/>
      <c r="M55" s="124"/>
      <c r="N55" s="124"/>
      <c r="O55" s="124"/>
      <c r="P55" s="124"/>
      <c r="Q55" s="124"/>
      <c r="R55" s="124"/>
      <c r="S55" s="124"/>
      <c r="T55" s="124"/>
      <c r="U55" s="124"/>
      <c r="V55" s="124"/>
      <c r="W55" s="124"/>
      <c r="X55" s="124"/>
      <c r="Y55" s="124"/>
      <c r="Z55" s="124"/>
    </row>
    <row r="56" ht="29.25" customHeight="1">
      <c r="A56" s="124"/>
      <c r="B56" s="124"/>
      <c r="C56" s="124"/>
      <c r="D56" s="124"/>
      <c r="E56" s="124"/>
      <c r="F56" s="124"/>
      <c r="G56" s="124"/>
      <c r="H56" s="124"/>
      <c r="I56" s="124"/>
      <c r="J56" s="124"/>
      <c r="K56" s="124"/>
      <c r="L56" s="124"/>
      <c r="M56" s="124"/>
      <c r="N56" s="124"/>
      <c r="O56" s="124"/>
      <c r="P56" s="124"/>
      <c r="Q56" s="124"/>
      <c r="R56" s="124"/>
      <c r="S56" s="124"/>
      <c r="T56" s="124"/>
      <c r="U56" s="124"/>
      <c r="V56" s="124"/>
      <c r="W56" s="124"/>
      <c r="X56" s="124"/>
      <c r="Y56" s="124"/>
      <c r="Z56" s="124"/>
    </row>
    <row r="57" ht="29.25" customHeight="1">
      <c r="A57" s="124"/>
      <c r="B57" s="124"/>
      <c r="C57" s="124"/>
      <c r="D57" s="124"/>
      <c r="E57" s="124"/>
      <c r="F57" s="124"/>
      <c r="G57" s="124"/>
      <c r="H57" s="124"/>
      <c r="I57" s="124"/>
      <c r="J57" s="124"/>
      <c r="K57" s="124"/>
      <c r="L57" s="124"/>
      <c r="M57" s="124"/>
      <c r="N57" s="124"/>
      <c r="O57" s="124"/>
      <c r="P57" s="124"/>
      <c r="Q57" s="124"/>
      <c r="R57" s="124"/>
      <c r="S57" s="124"/>
      <c r="T57" s="124"/>
      <c r="U57" s="124"/>
      <c r="V57" s="124"/>
      <c r="W57" s="124"/>
      <c r="X57" s="124"/>
      <c r="Y57" s="124"/>
      <c r="Z57" s="124"/>
    </row>
    <row r="58" ht="29.25" customHeight="1">
      <c r="A58" s="124"/>
      <c r="B58" s="124"/>
      <c r="C58" s="124"/>
      <c r="D58" s="124"/>
      <c r="E58" s="124"/>
      <c r="F58" s="124"/>
      <c r="G58" s="124"/>
      <c r="H58" s="124"/>
      <c r="I58" s="124"/>
      <c r="J58" s="124"/>
      <c r="K58" s="124"/>
      <c r="L58" s="124"/>
      <c r="M58" s="124"/>
      <c r="N58" s="124"/>
      <c r="O58" s="124"/>
      <c r="P58" s="124"/>
      <c r="Q58" s="124"/>
      <c r="R58" s="124"/>
      <c r="S58" s="124"/>
      <c r="T58" s="124"/>
      <c r="U58" s="124"/>
      <c r="V58" s="124"/>
      <c r="W58" s="124"/>
      <c r="X58" s="124"/>
      <c r="Y58" s="124"/>
      <c r="Z58" s="124"/>
    </row>
    <row r="59" ht="29.25" customHeight="1">
      <c r="A59" s="124"/>
      <c r="B59" s="124"/>
      <c r="C59" s="124"/>
      <c r="D59" s="124"/>
      <c r="E59" s="124"/>
      <c r="F59" s="124"/>
      <c r="G59" s="124"/>
      <c r="H59" s="124"/>
      <c r="I59" s="124"/>
      <c r="J59" s="124"/>
      <c r="K59" s="124"/>
      <c r="L59" s="124"/>
      <c r="M59" s="124"/>
      <c r="N59" s="124"/>
      <c r="O59" s="124"/>
      <c r="P59" s="124"/>
      <c r="Q59" s="124"/>
      <c r="R59" s="124"/>
      <c r="S59" s="124"/>
      <c r="T59" s="124"/>
      <c r="U59" s="124"/>
      <c r="V59" s="124"/>
      <c r="W59" s="124"/>
      <c r="X59" s="124"/>
      <c r="Y59" s="124"/>
      <c r="Z59" s="124"/>
    </row>
    <row r="60" ht="29.25" customHeight="1">
      <c r="A60" s="124"/>
      <c r="B60" s="124"/>
      <c r="C60" s="124"/>
      <c r="D60" s="124"/>
      <c r="E60" s="124"/>
      <c r="F60" s="124"/>
      <c r="G60" s="124"/>
      <c r="H60" s="124"/>
      <c r="I60" s="124"/>
      <c r="J60" s="124"/>
      <c r="K60" s="124"/>
      <c r="L60" s="124"/>
      <c r="M60" s="124"/>
      <c r="N60" s="124"/>
      <c r="O60" s="124"/>
      <c r="P60" s="124"/>
      <c r="Q60" s="124"/>
      <c r="R60" s="124"/>
      <c r="S60" s="124"/>
      <c r="T60" s="124"/>
      <c r="U60" s="124"/>
      <c r="V60" s="124"/>
      <c r="W60" s="124"/>
      <c r="X60" s="124"/>
      <c r="Y60" s="124"/>
      <c r="Z60" s="124"/>
    </row>
    <row r="61" ht="29.25" customHeight="1">
      <c r="A61" s="124"/>
      <c r="B61" s="124"/>
      <c r="C61" s="124"/>
      <c r="D61" s="124"/>
      <c r="E61" s="124"/>
      <c r="F61" s="124"/>
      <c r="G61" s="124"/>
      <c r="H61" s="124"/>
      <c r="I61" s="126"/>
      <c r="J61" s="124"/>
      <c r="K61" s="124"/>
      <c r="L61" s="124"/>
      <c r="M61" s="124"/>
      <c r="N61" s="124"/>
      <c r="O61" s="124"/>
      <c r="P61" s="124"/>
      <c r="Q61" s="124"/>
      <c r="R61" s="124"/>
      <c r="S61" s="124"/>
      <c r="T61" s="124"/>
      <c r="U61" s="124"/>
      <c r="V61" s="124"/>
      <c r="W61" s="124"/>
      <c r="X61" s="124"/>
      <c r="Y61" s="124"/>
      <c r="Z61" s="124"/>
    </row>
    <row r="62" ht="29.25" customHeight="1">
      <c r="A62" s="124"/>
      <c r="B62" s="124"/>
      <c r="C62" s="124"/>
      <c r="D62" s="124"/>
      <c r="E62" s="124"/>
      <c r="F62" s="124"/>
      <c r="G62" s="124"/>
      <c r="H62" s="124"/>
      <c r="I62" s="126"/>
      <c r="J62" s="124"/>
      <c r="K62" s="124"/>
      <c r="L62" s="124"/>
      <c r="M62" s="124"/>
      <c r="N62" s="124"/>
      <c r="O62" s="124"/>
      <c r="P62" s="124"/>
      <c r="Q62" s="124"/>
      <c r="R62" s="124"/>
      <c r="S62" s="124"/>
      <c r="T62" s="124"/>
      <c r="U62" s="124"/>
      <c r="V62" s="124"/>
      <c r="W62" s="124"/>
      <c r="X62" s="124"/>
      <c r="Y62" s="124"/>
      <c r="Z62" s="124"/>
    </row>
    <row r="63" ht="29.25" customHeight="1">
      <c r="A63" s="124"/>
      <c r="B63" s="124"/>
      <c r="C63" s="124"/>
      <c r="D63" s="124"/>
      <c r="E63" s="124"/>
      <c r="F63" s="124"/>
      <c r="G63" s="124"/>
      <c r="H63" s="124"/>
      <c r="I63" s="126"/>
      <c r="J63" s="124"/>
      <c r="K63" s="124"/>
      <c r="L63" s="124"/>
      <c r="M63" s="124"/>
      <c r="N63" s="124"/>
      <c r="O63" s="124"/>
      <c r="P63" s="124"/>
      <c r="Q63" s="124"/>
      <c r="R63" s="124"/>
      <c r="S63" s="124"/>
      <c r="T63" s="124"/>
      <c r="U63" s="124"/>
      <c r="V63" s="124"/>
      <c r="W63" s="124"/>
      <c r="X63" s="124"/>
      <c r="Y63" s="124"/>
      <c r="Z63" s="124"/>
    </row>
    <row r="64" ht="29.25" customHeight="1">
      <c r="A64" s="124"/>
      <c r="B64" s="124"/>
      <c r="C64" s="124"/>
      <c r="D64" s="124"/>
      <c r="E64" s="124"/>
      <c r="F64" s="124"/>
      <c r="G64" s="124"/>
      <c r="H64" s="124"/>
      <c r="I64" s="126"/>
      <c r="J64" s="124"/>
      <c r="K64" s="124"/>
      <c r="L64" s="124"/>
      <c r="M64" s="124"/>
      <c r="N64" s="124"/>
      <c r="O64" s="124"/>
      <c r="P64" s="124"/>
      <c r="Q64" s="124"/>
      <c r="R64" s="124"/>
      <c r="S64" s="124"/>
      <c r="T64" s="124"/>
      <c r="U64" s="124"/>
      <c r="V64" s="124"/>
      <c r="W64" s="124"/>
      <c r="X64" s="124"/>
      <c r="Y64" s="124"/>
      <c r="Z64" s="124"/>
    </row>
    <row r="65" ht="29.25" customHeight="1">
      <c r="A65" s="124"/>
      <c r="B65" s="124"/>
      <c r="C65" s="124"/>
      <c r="D65" s="124"/>
      <c r="E65" s="124"/>
      <c r="F65" s="124"/>
      <c r="G65" s="124"/>
      <c r="H65" s="124"/>
      <c r="I65" s="126"/>
      <c r="J65" s="124"/>
      <c r="K65" s="124"/>
      <c r="L65" s="124"/>
      <c r="M65" s="124"/>
      <c r="N65" s="124"/>
      <c r="O65" s="124"/>
      <c r="P65" s="124"/>
      <c r="Q65" s="124"/>
      <c r="R65" s="124"/>
      <c r="S65" s="124"/>
      <c r="T65" s="124"/>
      <c r="U65" s="124"/>
      <c r="V65" s="124"/>
      <c r="W65" s="124"/>
      <c r="X65" s="124"/>
      <c r="Y65" s="124"/>
      <c r="Z65" s="124"/>
    </row>
    <row r="66" ht="29.25" customHeight="1">
      <c r="A66" s="124"/>
      <c r="B66" s="124"/>
      <c r="C66" s="124"/>
      <c r="D66" s="124"/>
      <c r="E66" s="124"/>
      <c r="F66" s="124"/>
      <c r="G66" s="124"/>
      <c r="H66" s="124"/>
      <c r="I66" s="126"/>
      <c r="J66" s="124"/>
      <c r="K66" s="124"/>
      <c r="L66" s="124"/>
      <c r="M66" s="124"/>
      <c r="N66" s="124"/>
      <c r="O66" s="124"/>
      <c r="P66" s="124"/>
      <c r="Q66" s="124"/>
      <c r="R66" s="124"/>
      <c r="S66" s="124"/>
      <c r="T66" s="124"/>
      <c r="U66" s="124"/>
      <c r="V66" s="124"/>
      <c r="W66" s="124"/>
      <c r="X66" s="124"/>
      <c r="Y66" s="124"/>
      <c r="Z66" s="124"/>
    </row>
    <row r="67" ht="29.25" customHeight="1">
      <c r="A67" s="124"/>
      <c r="B67" s="124"/>
      <c r="C67" s="124"/>
      <c r="D67" s="124"/>
      <c r="E67" s="124"/>
      <c r="F67" s="124"/>
      <c r="G67" s="124"/>
      <c r="H67" s="124"/>
      <c r="I67" s="126"/>
      <c r="J67" s="124"/>
      <c r="K67" s="124"/>
      <c r="L67" s="124"/>
      <c r="M67" s="124"/>
      <c r="N67" s="124"/>
      <c r="O67" s="124"/>
      <c r="P67" s="124"/>
      <c r="Q67" s="124"/>
      <c r="R67" s="124"/>
      <c r="S67" s="124"/>
      <c r="T67" s="124"/>
      <c r="U67" s="124"/>
      <c r="V67" s="124"/>
      <c r="W67" s="124"/>
      <c r="X67" s="124"/>
      <c r="Y67" s="124"/>
      <c r="Z67" s="124"/>
    </row>
    <row r="68" ht="29.25" customHeight="1">
      <c r="A68" s="124"/>
      <c r="B68" s="124"/>
      <c r="C68" s="124"/>
      <c r="D68" s="124"/>
      <c r="E68" s="124"/>
      <c r="F68" s="124"/>
      <c r="G68" s="124"/>
      <c r="H68" s="124"/>
      <c r="I68" s="126"/>
      <c r="J68" s="124"/>
      <c r="K68" s="124"/>
      <c r="L68" s="124"/>
      <c r="M68" s="124"/>
      <c r="N68" s="124"/>
      <c r="O68" s="124"/>
      <c r="P68" s="124"/>
      <c r="Q68" s="124"/>
      <c r="R68" s="124"/>
      <c r="S68" s="124"/>
      <c r="T68" s="124"/>
      <c r="U68" s="124"/>
      <c r="V68" s="124"/>
      <c r="W68" s="124"/>
      <c r="X68" s="124"/>
      <c r="Y68" s="124"/>
      <c r="Z68" s="124"/>
    </row>
    <row r="69" ht="29.25" customHeight="1">
      <c r="A69" s="124"/>
      <c r="B69" s="124"/>
      <c r="C69" s="124"/>
      <c r="D69" s="124"/>
      <c r="E69" s="124"/>
      <c r="F69" s="124"/>
      <c r="G69" s="124"/>
      <c r="H69" s="124"/>
      <c r="I69" s="126"/>
      <c r="J69" s="124"/>
      <c r="K69" s="124"/>
      <c r="L69" s="124"/>
      <c r="M69" s="124"/>
      <c r="N69" s="124"/>
      <c r="O69" s="124"/>
      <c r="P69" s="124"/>
      <c r="Q69" s="124"/>
      <c r="R69" s="124"/>
      <c r="S69" s="124"/>
      <c r="T69" s="124"/>
      <c r="U69" s="124"/>
      <c r="V69" s="124"/>
      <c r="W69" s="124"/>
      <c r="X69" s="124"/>
      <c r="Y69" s="124"/>
      <c r="Z69" s="124"/>
    </row>
    <row r="70" ht="29.25" customHeight="1">
      <c r="A70" s="124"/>
      <c r="B70" s="124"/>
      <c r="C70" s="124"/>
      <c r="D70" s="124"/>
      <c r="E70" s="124"/>
      <c r="F70" s="124"/>
      <c r="G70" s="124"/>
      <c r="H70" s="124"/>
      <c r="I70" s="126"/>
      <c r="J70" s="124"/>
      <c r="K70" s="124"/>
      <c r="L70" s="124"/>
      <c r="M70" s="124"/>
      <c r="N70" s="124"/>
      <c r="O70" s="124"/>
      <c r="P70" s="124"/>
      <c r="Q70" s="124"/>
      <c r="R70" s="124"/>
      <c r="S70" s="124"/>
      <c r="T70" s="124"/>
      <c r="U70" s="124"/>
      <c r="V70" s="124"/>
      <c r="W70" s="124"/>
      <c r="X70" s="124"/>
      <c r="Y70" s="124"/>
      <c r="Z70" s="124"/>
    </row>
    <row r="71" ht="29.25" customHeight="1">
      <c r="A71" s="124"/>
      <c r="B71" s="124"/>
      <c r="C71" s="124"/>
      <c r="D71" s="124"/>
      <c r="E71" s="124"/>
      <c r="F71" s="124"/>
      <c r="G71" s="124"/>
      <c r="H71" s="124"/>
      <c r="I71" s="126"/>
      <c r="J71" s="124"/>
      <c r="K71" s="124"/>
      <c r="L71" s="124"/>
      <c r="M71" s="124"/>
      <c r="N71" s="124"/>
      <c r="O71" s="124"/>
      <c r="P71" s="124"/>
      <c r="Q71" s="124"/>
      <c r="R71" s="124"/>
      <c r="S71" s="124"/>
      <c r="T71" s="124"/>
      <c r="U71" s="124"/>
      <c r="V71" s="124"/>
      <c r="W71" s="124"/>
      <c r="X71" s="124"/>
      <c r="Y71" s="124"/>
      <c r="Z71" s="124"/>
    </row>
    <row r="72" ht="29.25" customHeight="1">
      <c r="A72" s="124"/>
      <c r="B72" s="124"/>
      <c r="C72" s="124"/>
      <c r="D72" s="124"/>
      <c r="E72" s="124"/>
      <c r="F72" s="124"/>
      <c r="G72" s="124"/>
      <c r="H72" s="124"/>
      <c r="I72" s="126"/>
      <c r="J72" s="124"/>
      <c r="K72" s="124"/>
      <c r="L72" s="124"/>
      <c r="M72" s="124"/>
      <c r="N72" s="124"/>
      <c r="O72" s="124"/>
      <c r="P72" s="124"/>
      <c r="Q72" s="124"/>
      <c r="R72" s="124"/>
      <c r="S72" s="124"/>
      <c r="T72" s="124"/>
      <c r="U72" s="124"/>
      <c r="V72" s="124"/>
      <c r="W72" s="124"/>
      <c r="X72" s="124"/>
      <c r="Y72" s="124"/>
      <c r="Z72" s="124"/>
    </row>
    <row r="73" ht="29.25" customHeight="1">
      <c r="A73" s="124"/>
      <c r="B73" s="124"/>
      <c r="C73" s="124"/>
      <c r="D73" s="124"/>
      <c r="E73" s="124"/>
      <c r="F73" s="124"/>
      <c r="G73" s="124"/>
      <c r="H73" s="124"/>
      <c r="I73" s="126"/>
      <c r="J73" s="124"/>
      <c r="K73" s="124"/>
      <c r="L73" s="124"/>
      <c r="M73" s="124"/>
      <c r="N73" s="124"/>
      <c r="O73" s="124"/>
      <c r="P73" s="124"/>
      <c r="Q73" s="124"/>
      <c r="R73" s="124"/>
      <c r="S73" s="124"/>
      <c r="T73" s="124"/>
      <c r="U73" s="124"/>
      <c r="V73" s="124"/>
      <c r="W73" s="124"/>
      <c r="X73" s="124"/>
      <c r="Y73" s="124"/>
      <c r="Z73" s="124"/>
    </row>
    <row r="74" ht="29.25" customHeight="1">
      <c r="A74" s="124"/>
      <c r="B74" s="124"/>
      <c r="C74" s="124"/>
      <c r="D74" s="124"/>
      <c r="E74" s="124"/>
      <c r="F74" s="124"/>
      <c r="G74" s="124"/>
      <c r="H74" s="124"/>
      <c r="I74" s="126"/>
      <c r="J74" s="124"/>
      <c r="K74" s="124"/>
      <c r="L74" s="124"/>
      <c r="M74" s="124"/>
      <c r="N74" s="124"/>
      <c r="O74" s="124"/>
      <c r="P74" s="124"/>
      <c r="Q74" s="124"/>
      <c r="R74" s="124"/>
      <c r="S74" s="124"/>
      <c r="T74" s="124"/>
      <c r="U74" s="124"/>
      <c r="V74" s="124"/>
      <c r="W74" s="124"/>
      <c r="X74" s="124"/>
      <c r="Y74" s="124"/>
      <c r="Z74" s="124"/>
    </row>
    <row r="75" ht="29.25" customHeight="1">
      <c r="A75" s="124"/>
      <c r="B75" s="124"/>
      <c r="C75" s="124"/>
      <c r="D75" s="124"/>
      <c r="E75" s="124"/>
      <c r="F75" s="124"/>
      <c r="G75" s="124"/>
      <c r="H75" s="124"/>
      <c r="I75" s="126"/>
      <c r="J75" s="124"/>
      <c r="K75" s="124"/>
      <c r="L75" s="124"/>
      <c r="M75" s="124"/>
      <c r="N75" s="124"/>
      <c r="O75" s="124"/>
      <c r="P75" s="124"/>
      <c r="Q75" s="124"/>
      <c r="R75" s="124"/>
      <c r="S75" s="124"/>
      <c r="T75" s="124"/>
      <c r="U75" s="124"/>
      <c r="V75" s="124"/>
      <c r="W75" s="124"/>
      <c r="X75" s="124"/>
      <c r="Y75" s="124"/>
      <c r="Z75" s="124"/>
    </row>
    <row r="76" ht="29.25" customHeight="1">
      <c r="A76" s="124"/>
      <c r="B76" s="124"/>
      <c r="C76" s="124"/>
      <c r="D76" s="124"/>
      <c r="E76" s="124"/>
      <c r="F76" s="124"/>
      <c r="G76" s="124"/>
      <c r="H76" s="124"/>
      <c r="I76" s="126"/>
      <c r="J76" s="124"/>
      <c r="K76" s="124"/>
      <c r="L76" s="124"/>
      <c r="M76" s="124"/>
      <c r="N76" s="124"/>
      <c r="O76" s="124"/>
      <c r="P76" s="124"/>
      <c r="Q76" s="124"/>
      <c r="R76" s="124"/>
      <c r="S76" s="124"/>
      <c r="T76" s="124"/>
      <c r="U76" s="124"/>
      <c r="V76" s="124"/>
      <c r="W76" s="124"/>
      <c r="X76" s="124"/>
      <c r="Y76" s="124"/>
      <c r="Z76" s="124"/>
    </row>
    <row r="77" ht="29.25" customHeight="1">
      <c r="A77" s="124"/>
      <c r="B77" s="124"/>
      <c r="C77" s="124"/>
      <c r="D77" s="124"/>
      <c r="E77" s="124"/>
      <c r="F77" s="124"/>
      <c r="G77" s="124"/>
      <c r="H77" s="124"/>
      <c r="I77" s="126"/>
      <c r="J77" s="124"/>
      <c r="K77" s="124"/>
      <c r="L77" s="124"/>
      <c r="M77" s="124"/>
      <c r="N77" s="124"/>
      <c r="O77" s="124"/>
      <c r="P77" s="124"/>
      <c r="Q77" s="124"/>
      <c r="R77" s="124"/>
      <c r="S77" s="124"/>
      <c r="T77" s="124"/>
      <c r="U77" s="124"/>
      <c r="V77" s="124"/>
      <c r="W77" s="124"/>
      <c r="X77" s="124"/>
      <c r="Y77" s="124"/>
      <c r="Z77" s="124"/>
    </row>
    <row r="78" ht="29.25" customHeight="1">
      <c r="A78" s="124"/>
      <c r="B78" s="124"/>
      <c r="C78" s="124"/>
      <c r="D78" s="124"/>
      <c r="E78" s="124"/>
      <c r="F78" s="124"/>
      <c r="G78" s="124"/>
      <c r="H78" s="124"/>
      <c r="I78" s="126"/>
      <c r="J78" s="124"/>
      <c r="K78" s="124"/>
      <c r="L78" s="124"/>
      <c r="M78" s="124"/>
      <c r="N78" s="124"/>
      <c r="O78" s="124"/>
      <c r="P78" s="124"/>
      <c r="Q78" s="124"/>
      <c r="R78" s="124"/>
      <c r="S78" s="124"/>
      <c r="T78" s="124"/>
      <c r="U78" s="124"/>
      <c r="V78" s="124"/>
      <c r="W78" s="124"/>
      <c r="X78" s="124"/>
      <c r="Y78" s="124"/>
      <c r="Z78" s="124"/>
    </row>
    <row r="79" ht="29.25" customHeight="1">
      <c r="A79" s="124"/>
      <c r="B79" s="124"/>
      <c r="C79" s="124"/>
      <c r="D79" s="124"/>
      <c r="E79" s="124"/>
      <c r="F79" s="124"/>
      <c r="G79" s="124"/>
      <c r="H79" s="124"/>
      <c r="I79" s="126"/>
      <c r="J79" s="124"/>
      <c r="K79" s="124"/>
      <c r="L79" s="124"/>
      <c r="M79" s="124"/>
      <c r="N79" s="124"/>
      <c r="O79" s="124"/>
      <c r="P79" s="124"/>
      <c r="Q79" s="124"/>
      <c r="R79" s="124"/>
      <c r="S79" s="124"/>
      <c r="T79" s="124"/>
      <c r="U79" s="124"/>
      <c r="V79" s="124"/>
      <c r="W79" s="124"/>
      <c r="X79" s="124"/>
      <c r="Y79" s="124"/>
      <c r="Z79" s="124"/>
    </row>
    <row r="80" ht="29.25" customHeight="1">
      <c r="A80" s="124"/>
      <c r="B80" s="124"/>
      <c r="C80" s="124"/>
      <c r="D80" s="124"/>
      <c r="E80" s="124"/>
      <c r="F80" s="124"/>
      <c r="G80" s="124"/>
      <c r="H80" s="124"/>
      <c r="I80" s="126"/>
      <c r="J80" s="124"/>
      <c r="K80" s="124"/>
      <c r="L80" s="124"/>
      <c r="M80" s="124"/>
      <c r="N80" s="124"/>
      <c r="O80" s="124"/>
      <c r="P80" s="124"/>
      <c r="Q80" s="124"/>
      <c r="R80" s="124"/>
      <c r="S80" s="124"/>
      <c r="T80" s="124"/>
      <c r="U80" s="124"/>
      <c r="V80" s="124"/>
      <c r="W80" s="124"/>
      <c r="X80" s="124"/>
      <c r="Y80" s="124"/>
      <c r="Z80" s="124"/>
    </row>
    <row r="81" ht="29.25" customHeight="1">
      <c r="A81" s="124"/>
      <c r="B81" s="124"/>
      <c r="C81" s="124"/>
      <c r="D81" s="124"/>
      <c r="E81" s="124"/>
      <c r="F81" s="124"/>
      <c r="G81" s="124"/>
      <c r="H81" s="124"/>
      <c r="I81" s="126"/>
      <c r="J81" s="124"/>
      <c r="K81" s="124"/>
      <c r="L81" s="124"/>
      <c r="M81" s="124"/>
      <c r="N81" s="124"/>
      <c r="O81" s="124"/>
      <c r="P81" s="124"/>
      <c r="Q81" s="124"/>
      <c r="R81" s="124"/>
      <c r="S81" s="124"/>
      <c r="T81" s="124"/>
      <c r="U81" s="124"/>
      <c r="V81" s="124"/>
      <c r="W81" s="124"/>
      <c r="X81" s="124"/>
      <c r="Y81" s="124"/>
      <c r="Z81" s="124"/>
    </row>
    <row r="82" ht="29.25" customHeight="1">
      <c r="A82" s="124"/>
      <c r="B82" s="124"/>
      <c r="C82" s="124"/>
      <c r="D82" s="124"/>
      <c r="E82" s="124"/>
      <c r="F82" s="124"/>
      <c r="G82" s="124"/>
      <c r="H82" s="124"/>
      <c r="I82" s="126"/>
      <c r="J82" s="124"/>
      <c r="K82" s="124"/>
      <c r="L82" s="124"/>
      <c r="M82" s="124"/>
      <c r="N82" s="124"/>
      <c r="O82" s="124"/>
      <c r="P82" s="124"/>
      <c r="Q82" s="124"/>
      <c r="R82" s="124"/>
      <c r="S82" s="124"/>
      <c r="T82" s="124"/>
      <c r="U82" s="124"/>
      <c r="V82" s="124"/>
      <c r="W82" s="124"/>
      <c r="X82" s="124"/>
      <c r="Y82" s="124"/>
      <c r="Z82" s="124"/>
    </row>
    <row r="83" ht="29.25" customHeight="1">
      <c r="A83" s="124"/>
      <c r="B83" s="124"/>
      <c r="C83" s="124"/>
      <c r="D83" s="124"/>
      <c r="E83" s="124"/>
      <c r="F83" s="124"/>
      <c r="G83" s="124"/>
      <c r="H83" s="124"/>
      <c r="I83" s="126"/>
      <c r="J83" s="124"/>
      <c r="K83" s="124"/>
      <c r="L83" s="124"/>
      <c r="M83" s="124"/>
      <c r="N83" s="124"/>
      <c r="O83" s="124"/>
      <c r="P83" s="124"/>
      <c r="Q83" s="124"/>
      <c r="R83" s="124"/>
      <c r="S83" s="124"/>
      <c r="T83" s="124"/>
      <c r="U83" s="124"/>
      <c r="V83" s="124"/>
      <c r="W83" s="124"/>
      <c r="X83" s="124"/>
      <c r="Y83" s="124"/>
      <c r="Z83" s="124"/>
    </row>
    <row r="84" ht="29.25" customHeight="1">
      <c r="A84" s="124"/>
      <c r="B84" s="124"/>
      <c r="C84" s="124"/>
      <c r="D84" s="124"/>
      <c r="E84" s="124"/>
      <c r="F84" s="124"/>
      <c r="G84" s="124"/>
      <c r="H84" s="124"/>
      <c r="I84" s="126"/>
      <c r="J84" s="124"/>
      <c r="K84" s="124"/>
      <c r="L84" s="124"/>
      <c r="M84" s="124"/>
      <c r="N84" s="124"/>
      <c r="O84" s="124"/>
      <c r="P84" s="124"/>
      <c r="Q84" s="124"/>
      <c r="R84" s="124"/>
      <c r="S84" s="124"/>
      <c r="T84" s="124"/>
      <c r="U84" s="124"/>
      <c r="V84" s="124"/>
      <c r="W84" s="124"/>
      <c r="X84" s="124"/>
      <c r="Y84" s="124"/>
      <c r="Z84" s="124"/>
    </row>
    <row r="85" ht="29.25" customHeight="1">
      <c r="A85" s="124"/>
      <c r="B85" s="124"/>
      <c r="C85" s="124"/>
      <c r="D85" s="124"/>
      <c r="E85" s="124"/>
      <c r="F85" s="124"/>
      <c r="G85" s="124"/>
      <c r="H85" s="124"/>
      <c r="I85" s="126"/>
      <c r="J85" s="124"/>
      <c r="K85" s="124"/>
      <c r="L85" s="124"/>
      <c r="M85" s="124"/>
      <c r="N85" s="124"/>
      <c r="O85" s="124"/>
      <c r="P85" s="124"/>
      <c r="Q85" s="124"/>
      <c r="R85" s="124"/>
      <c r="S85" s="124"/>
      <c r="T85" s="124"/>
      <c r="U85" s="124"/>
      <c r="V85" s="124"/>
      <c r="W85" s="124"/>
      <c r="X85" s="124"/>
      <c r="Y85" s="124"/>
      <c r="Z85" s="124"/>
    </row>
    <row r="86" ht="29.25" customHeight="1">
      <c r="A86" s="124"/>
      <c r="B86" s="124"/>
      <c r="C86" s="124"/>
      <c r="D86" s="124"/>
      <c r="E86" s="124"/>
      <c r="F86" s="124"/>
      <c r="G86" s="124"/>
      <c r="H86" s="124"/>
      <c r="I86" s="126"/>
      <c r="J86" s="124"/>
      <c r="K86" s="124"/>
      <c r="L86" s="124"/>
      <c r="M86" s="124"/>
      <c r="N86" s="124"/>
      <c r="O86" s="124"/>
      <c r="P86" s="124"/>
      <c r="Q86" s="124"/>
      <c r="R86" s="124"/>
      <c r="S86" s="124"/>
      <c r="T86" s="124"/>
      <c r="U86" s="124"/>
      <c r="V86" s="124"/>
      <c r="W86" s="124"/>
      <c r="X86" s="124"/>
      <c r="Y86" s="124"/>
      <c r="Z86" s="124"/>
    </row>
    <row r="87" ht="29.25" customHeight="1">
      <c r="A87" s="124"/>
      <c r="B87" s="124"/>
      <c r="C87" s="124"/>
      <c r="D87" s="124"/>
      <c r="E87" s="124"/>
      <c r="F87" s="124"/>
      <c r="G87" s="124"/>
      <c r="H87" s="124"/>
      <c r="I87" s="126"/>
      <c r="J87" s="124"/>
      <c r="K87" s="124"/>
      <c r="L87" s="124"/>
      <c r="M87" s="124"/>
      <c r="N87" s="124"/>
      <c r="O87" s="124"/>
      <c r="P87" s="124"/>
      <c r="Q87" s="124"/>
      <c r="R87" s="124"/>
      <c r="S87" s="124"/>
      <c r="T87" s="124"/>
      <c r="U87" s="124"/>
      <c r="V87" s="124"/>
      <c r="W87" s="124"/>
      <c r="X87" s="124"/>
      <c r="Y87" s="124"/>
      <c r="Z87" s="124"/>
    </row>
    <row r="88" ht="29.25" customHeight="1">
      <c r="A88" s="124"/>
      <c r="B88" s="124"/>
      <c r="C88" s="124"/>
      <c r="D88" s="124"/>
      <c r="E88" s="124"/>
      <c r="F88" s="124"/>
      <c r="G88" s="124"/>
      <c r="H88" s="124"/>
      <c r="I88" s="126"/>
      <c r="J88" s="124"/>
      <c r="K88" s="124"/>
      <c r="L88" s="124"/>
      <c r="M88" s="124"/>
      <c r="N88" s="124"/>
      <c r="O88" s="124"/>
      <c r="P88" s="124"/>
      <c r="Q88" s="124"/>
      <c r="R88" s="124"/>
      <c r="S88" s="124"/>
      <c r="T88" s="124"/>
      <c r="U88" s="124"/>
      <c r="V88" s="124"/>
      <c r="W88" s="124"/>
      <c r="X88" s="124"/>
      <c r="Y88" s="124"/>
      <c r="Z88" s="124"/>
    </row>
    <row r="89" ht="29.25" customHeight="1">
      <c r="A89" s="124"/>
      <c r="B89" s="124"/>
      <c r="C89" s="124"/>
      <c r="D89" s="124"/>
      <c r="E89" s="124"/>
      <c r="F89" s="124"/>
      <c r="G89" s="124"/>
      <c r="H89" s="124"/>
      <c r="I89" s="126"/>
      <c r="J89" s="124"/>
      <c r="K89" s="124"/>
      <c r="L89" s="124"/>
      <c r="M89" s="124"/>
      <c r="N89" s="124"/>
      <c r="O89" s="124"/>
      <c r="P89" s="124"/>
      <c r="Q89" s="124"/>
      <c r="R89" s="124"/>
      <c r="S89" s="124"/>
      <c r="T89" s="124"/>
      <c r="U89" s="124"/>
      <c r="V89" s="124"/>
      <c r="W89" s="124"/>
      <c r="X89" s="124"/>
      <c r="Y89" s="124"/>
      <c r="Z89" s="124"/>
    </row>
    <row r="90" ht="29.25" customHeight="1">
      <c r="A90" s="124"/>
      <c r="B90" s="124"/>
      <c r="C90" s="124"/>
      <c r="D90" s="124"/>
      <c r="E90" s="124"/>
      <c r="F90" s="124"/>
      <c r="G90" s="124"/>
      <c r="H90" s="124"/>
      <c r="I90" s="126"/>
      <c r="J90" s="124"/>
      <c r="K90" s="124"/>
      <c r="L90" s="124"/>
      <c r="M90" s="124"/>
      <c r="N90" s="124"/>
      <c r="O90" s="124"/>
      <c r="P90" s="124"/>
      <c r="Q90" s="124"/>
      <c r="R90" s="124"/>
      <c r="S90" s="124"/>
      <c r="T90" s="124"/>
      <c r="U90" s="124"/>
      <c r="V90" s="124"/>
      <c r="W90" s="124"/>
      <c r="X90" s="124"/>
      <c r="Y90" s="124"/>
      <c r="Z90" s="124"/>
    </row>
    <row r="91" ht="29.25" customHeight="1">
      <c r="A91" s="124"/>
      <c r="B91" s="124"/>
      <c r="C91" s="124"/>
      <c r="D91" s="124"/>
      <c r="E91" s="124"/>
      <c r="F91" s="124"/>
      <c r="G91" s="124"/>
      <c r="H91" s="124"/>
      <c r="I91" s="126"/>
      <c r="J91" s="124"/>
      <c r="K91" s="124"/>
      <c r="L91" s="124"/>
      <c r="M91" s="124"/>
      <c r="N91" s="124"/>
      <c r="O91" s="124"/>
      <c r="P91" s="124"/>
      <c r="Q91" s="124"/>
      <c r="R91" s="124"/>
      <c r="S91" s="124"/>
      <c r="T91" s="124"/>
      <c r="U91" s="124"/>
      <c r="V91" s="124"/>
      <c r="W91" s="124"/>
      <c r="X91" s="124"/>
      <c r="Y91" s="124"/>
      <c r="Z91" s="124"/>
    </row>
    <row r="92" ht="29.25" customHeight="1">
      <c r="A92" s="124"/>
      <c r="B92" s="124"/>
      <c r="C92" s="124"/>
      <c r="D92" s="124"/>
      <c r="E92" s="124"/>
      <c r="F92" s="124"/>
      <c r="G92" s="124"/>
      <c r="H92" s="124"/>
      <c r="I92" s="126"/>
      <c r="J92" s="124"/>
      <c r="K92" s="124"/>
      <c r="L92" s="124"/>
      <c r="M92" s="124"/>
      <c r="N92" s="124"/>
      <c r="O92" s="124"/>
      <c r="P92" s="124"/>
      <c r="Q92" s="124"/>
      <c r="R92" s="124"/>
      <c r="S92" s="124"/>
      <c r="T92" s="124"/>
      <c r="U92" s="124"/>
      <c r="V92" s="124"/>
      <c r="W92" s="124"/>
      <c r="X92" s="124"/>
      <c r="Y92" s="124"/>
      <c r="Z92" s="124"/>
    </row>
    <row r="93" ht="29.25" customHeight="1">
      <c r="A93" s="124"/>
      <c r="B93" s="124"/>
      <c r="C93" s="124"/>
      <c r="D93" s="124"/>
      <c r="E93" s="124"/>
      <c r="F93" s="124"/>
      <c r="G93" s="124"/>
      <c r="H93" s="124"/>
      <c r="I93" s="126"/>
      <c r="J93" s="124"/>
      <c r="K93" s="124"/>
      <c r="L93" s="124"/>
      <c r="M93" s="124"/>
      <c r="N93" s="124"/>
      <c r="O93" s="124"/>
      <c r="P93" s="124"/>
      <c r="Q93" s="124"/>
      <c r="R93" s="124"/>
      <c r="S93" s="124"/>
      <c r="T93" s="124"/>
      <c r="U93" s="124"/>
      <c r="V93" s="124"/>
      <c r="W93" s="124"/>
      <c r="X93" s="124"/>
      <c r="Y93" s="124"/>
      <c r="Z93" s="124"/>
    </row>
    <row r="94" ht="29.25" customHeight="1">
      <c r="A94" s="124"/>
      <c r="B94" s="124"/>
      <c r="C94" s="124"/>
      <c r="D94" s="124"/>
      <c r="E94" s="124"/>
      <c r="F94" s="124"/>
      <c r="G94" s="124"/>
      <c r="H94" s="124"/>
      <c r="I94" s="126"/>
      <c r="J94" s="124"/>
      <c r="K94" s="124"/>
      <c r="L94" s="124"/>
      <c r="M94" s="124"/>
      <c r="N94" s="124"/>
      <c r="O94" s="124"/>
      <c r="P94" s="124"/>
      <c r="Q94" s="124"/>
      <c r="R94" s="124"/>
      <c r="S94" s="124"/>
      <c r="T94" s="124"/>
      <c r="U94" s="124"/>
      <c r="V94" s="124"/>
      <c r="W94" s="124"/>
      <c r="X94" s="124"/>
      <c r="Y94" s="124"/>
      <c r="Z94" s="124"/>
    </row>
    <row r="95" ht="29.25" customHeight="1">
      <c r="A95" s="124"/>
      <c r="B95" s="124"/>
      <c r="C95" s="124"/>
      <c r="D95" s="124"/>
      <c r="E95" s="124"/>
      <c r="F95" s="124"/>
      <c r="G95" s="124"/>
      <c r="H95" s="124"/>
      <c r="I95" s="126"/>
      <c r="J95" s="124"/>
      <c r="K95" s="124"/>
      <c r="L95" s="124"/>
      <c r="M95" s="124"/>
      <c r="N95" s="124"/>
      <c r="O95" s="124"/>
      <c r="P95" s="124"/>
      <c r="Q95" s="124"/>
      <c r="R95" s="124"/>
      <c r="S95" s="124"/>
      <c r="T95" s="124"/>
      <c r="U95" s="124"/>
      <c r="V95" s="124"/>
      <c r="W95" s="124"/>
      <c r="X95" s="124"/>
      <c r="Y95" s="124"/>
      <c r="Z95" s="124"/>
    </row>
    <row r="96" ht="29.25" customHeight="1">
      <c r="A96" s="124"/>
      <c r="B96" s="124"/>
      <c r="C96" s="124"/>
      <c r="D96" s="124"/>
      <c r="E96" s="124"/>
      <c r="F96" s="124"/>
      <c r="G96" s="124"/>
      <c r="H96" s="124"/>
      <c r="I96" s="126"/>
      <c r="J96" s="124"/>
      <c r="K96" s="124"/>
      <c r="L96" s="124"/>
      <c r="M96" s="124"/>
      <c r="N96" s="124"/>
      <c r="O96" s="124"/>
      <c r="P96" s="124"/>
      <c r="Q96" s="124"/>
      <c r="R96" s="124"/>
      <c r="S96" s="124"/>
      <c r="T96" s="124"/>
      <c r="U96" s="124"/>
      <c r="V96" s="124"/>
      <c r="W96" s="124"/>
      <c r="X96" s="124"/>
      <c r="Y96" s="124"/>
      <c r="Z96" s="124"/>
    </row>
    <row r="97" ht="29.25" customHeight="1">
      <c r="A97" s="124"/>
      <c r="B97" s="124"/>
      <c r="C97" s="124"/>
      <c r="D97" s="124"/>
      <c r="E97" s="124"/>
      <c r="F97" s="124"/>
      <c r="G97" s="124"/>
      <c r="H97" s="124"/>
      <c r="I97" s="126"/>
      <c r="J97" s="124"/>
      <c r="K97" s="124"/>
      <c r="L97" s="124"/>
      <c r="M97" s="124"/>
      <c r="N97" s="124"/>
      <c r="O97" s="124"/>
      <c r="P97" s="124"/>
      <c r="Q97" s="124"/>
      <c r="R97" s="124"/>
      <c r="S97" s="124"/>
      <c r="T97" s="124"/>
      <c r="U97" s="124"/>
      <c r="V97" s="124"/>
      <c r="W97" s="124"/>
      <c r="X97" s="124"/>
      <c r="Y97" s="124"/>
      <c r="Z97" s="124"/>
    </row>
    <row r="98" ht="29.25" customHeight="1">
      <c r="A98" s="124"/>
      <c r="B98" s="124"/>
      <c r="C98" s="124"/>
      <c r="D98" s="124"/>
      <c r="E98" s="124"/>
      <c r="F98" s="124"/>
      <c r="G98" s="124"/>
      <c r="H98" s="124"/>
      <c r="I98" s="126"/>
      <c r="J98" s="124"/>
      <c r="K98" s="124"/>
      <c r="L98" s="124"/>
      <c r="M98" s="124"/>
      <c r="N98" s="124"/>
      <c r="O98" s="124"/>
      <c r="P98" s="124"/>
      <c r="Q98" s="124"/>
      <c r="R98" s="124"/>
      <c r="S98" s="124"/>
      <c r="T98" s="124"/>
      <c r="U98" s="124"/>
      <c r="V98" s="124"/>
      <c r="W98" s="124"/>
      <c r="X98" s="124"/>
      <c r="Y98" s="124"/>
      <c r="Z98" s="124"/>
    </row>
    <row r="99" ht="29.25" customHeight="1">
      <c r="A99" s="124"/>
      <c r="B99" s="124"/>
      <c r="C99" s="124"/>
      <c r="D99" s="124"/>
      <c r="E99" s="124"/>
      <c r="F99" s="124"/>
      <c r="G99" s="124"/>
      <c r="H99" s="124"/>
      <c r="I99" s="126"/>
      <c r="J99" s="124"/>
      <c r="K99" s="124"/>
      <c r="L99" s="124"/>
      <c r="M99" s="124"/>
      <c r="N99" s="124"/>
      <c r="O99" s="124"/>
      <c r="P99" s="124"/>
      <c r="Q99" s="124"/>
      <c r="R99" s="124"/>
      <c r="S99" s="124"/>
      <c r="T99" s="124"/>
      <c r="U99" s="124"/>
      <c r="V99" s="124"/>
      <c r="W99" s="124"/>
      <c r="X99" s="124"/>
      <c r="Y99" s="124"/>
      <c r="Z99" s="124"/>
    </row>
    <row r="100" ht="29.25" customHeight="1">
      <c r="A100" s="124"/>
      <c r="B100" s="124"/>
      <c r="C100" s="124"/>
      <c r="D100" s="124"/>
      <c r="E100" s="124"/>
      <c r="F100" s="124"/>
      <c r="G100" s="124"/>
      <c r="H100" s="124"/>
      <c r="I100" s="126"/>
      <c r="J100" s="124"/>
      <c r="K100" s="124"/>
      <c r="L100" s="124"/>
      <c r="M100" s="124"/>
      <c r="N100" s="124"/>
      <c r="O100" s="124"/>
      <c r="P100" s="124"/>
      <c r="Q100" s="124"/>
      <c r="R100" s="124"/>
      <c r="S100" s="124"/>
      <c r="T100" s="124"/>
      <c r="U100" s="124"/>
      <c r="V100" s="124"/>
      <c r="W100" s="124"/>
      <c r="X100" s="124"/>
      <c r="Y100" s="124"/>
      <c r="Z100" s="124"/>
    </row>
    <row r="101" ht="29.25" customHeight="1">
      <c r="A101" s="124"/>
      <c r="B101" s="124"/>
      <c r="C101" s="124"/>
      <c r="D101" s="124"/>
      <c r="E101" s="124"/>
      <c r="F101" s="124"/>
      <c r="G101" s="124"/>
      <c r="H101" s="124"/>
      <c r="I101" s="126"/>
      <c r="J101" s="124"/>
      <c r="K101" s="124"/>
      <c r="L101" s="124"/>
      <c r="M101" s="124"/>
      <c r="N101" s="124"/>
      <c r="O101" s="124"/>
      <c r="P101" s="124"/>
      <c r="Q101" s="124"/>
      <c r="R101" s="124"/>
      <c r="S101" s="124"/>
      <c r="T101" s="124"/>
      <c r="U101" s="124"/>
      <c r="V101" s="124"/>
      <c r="W101" s="124"/>
      <c r="X101" s="124"/>
      <c r="Y101" s="124"/>
      <c r="Z101" s="124"/>
    </row>
    <row r="102" ht="29.25" customHeight="1">
      <c r="A102" s="124"/>
      <c r="B102" s="124"/>
      <c r="C102" s="124"/>
      <c r="D102" s="124"/>
      <c r="E102" s="124"/>
      <c r="F102" s="124"/>
      <c r="G102" s="124"/>
      <c r="H102" s="124"/>
      <c r="I102" s="126"/>
      <c r="J102" s="124"/>
      <c r="K102" s="124"/>
      <c r="L102" s="124"/>
      <c r="M102" s="124"/>
      <c r="N102" s="124"/>
      <c r="O102" s="124"/>
      <c r="P102" s="124"/>
      <c r="Q102" s="124"/>
      <c r="R102" s="124"/>
      <c r="S102" s="124"/>
      <c r="T102" s="124"/>
      <c r="U102" s="124"/>
      <c r="V102" s="124"/>
      <c r="W102" s="124"/>
      <c r="X102" s="124"/>
      <c r="Y102" s="124"/>
      <c r="Z102" s="124"/>
    </row>
    <row r="103" ht="29.25" customHeight="1">
      <c r="A103" s="124"/>
      <c r="B103" s="124"/>
      <c r="C103" s="124"/>
      <c r="D103" s="124"/>
      <c r="E103" s="124"/>
      <c r="F103" s="124"/>
      <c r="G103" s="124"/>
      <c r="H103" s="124"/>
      <c r="I103" s="126"/>
      <c r="J103" s="124"/>
      <c r="K103" s="124"/>
      <c r="L103" s="124"/>
      <c r="M103" s="124"/>
      <c r="N103" s="124"/>
      <c r="O103" s="124"/>
      <c r="P103" s="124"/>
      <c r="Q103" s="124"/>
      <c r="R103" s="124"/>
      <c r="S103" s="124"/>
      <c r="T103" s="124"/>
      <c r="U103" s="124"/>
      <c r="V103" s="124"/>
      <c r="W103" s="124"/>
      <c r="X103" s="124"/>
      <c r="Y103" s="124"/>
      <c r="Z103" s="124"/>
    </row>
    <row r="104" ht="29.25" customHeight="1">
      <c r="A104" s="124"/>
      <c r="B104" s="124"/>
      <c r="C104" s="124"/>
      <c r="D104" s="124"/>
      <c r="E104" s="124"/>
      <c r="F104" s="124"/>
      <c r="G104" s="124"/>
      <c r="H104" s="124"/>
      <c r="I104" s="126"/>
      <c r="J104" s="124"/>
      <c r="K104" s="124"/>
      <c r="L104" s="124"/>
      <c r="M104" s="124"/>
      <c r="N104" s="124"/>
      <c r="O104" s="124"/>
      <c r="P104" s="124"/>
      <c r="Q104" s="124"/>
      <c r="R104" s="124"/>
      <c r="S104" s="124"/>
      <c r="T104" s="124"/>
      <c r="U104" s="124"/>
      <c r="V104" s="124"/>
      <c r="W104" s="124"/>
      <c r="X104" s="124"/>
      <c r="Y104" s="124"/>
      <c r="Z104" s="124"/>
    </row>
    <row r="105" ht="29.25" customHeight="1">
      <c r="A105" s="124"/>
      <c r="B105" s="124"/>
      <c r="C105" s="124"/>
      <c r="D105" s="124"/>
      <c r="E105" s="124"/>
      <c r="F105" s="124"/>
      <c r="G105" s="124"/>
      <c r="H105" s="124"/>
      <c r="I105" s="126"/>
      <c r="J105" s="124"/>
      <c r="K105" s="124"/>
      <c r="L105" s="124"/>
      <c r="M105" s="124"/>
      <c r="N105" s="124"/>
      <c r="O105" s="124"/>
      <c r="P105" s="124"/>
      <c r="Q105" s="124"/>
      <c r="R105" s="124"/>
      <c r="S105" s="124"/>
      <c r="T105" s="124"/>
      <c r="U105" s="124"/>
      <c r="V105" s="124"/>
      <c r="W105" s="124"/>
      <c r="X105" s="124"/>
      <c r="Y105" s="124"/>
      <c r="Z105" s="124"/>
    </row>
    <row r="106" ht="29.25" customHeight="1">
      <c r="A106" s="124"/>
      <c r="B106" s="124"/>
      <c r="C106" s="124"/>
      <c r="D106" s="124"/>
      <c r="E106" s="124"/>
      <c r="F106" s="124"/>
      <c r="G106" s="124"/>
      <c r="H106" s="124"/>
      <c r="I106" s="126"/>
      <c r="J106" s="124"/>
      <c r="K106" s="124"/>
      <c r="L106" s="124"/>
      <c r="M106" s="124"/>
      <c r="N106" s="124"/>
      <c r="O106" s="124"/>
      <c r="P106" s="124"/>
      <c r="Q106" s="124"/>
      <c r="R106" s="124"/>
      <c r="S106" s="124"/>
      <c r="T106" s="124"/>
      <c r="U106" s="124"/>
      <c r="V106" s="124"/>
      <c r="W106" s="124"/>
      <c r="X106" s="124"/>
      <c r="Y106" s="124"/>
      <c r="Z106" s="124"/>
    </row>
    <row r="107" ht="29.25" customHeight="1">
      <c r="A107" s="124"/>
      <c r="B107" s="124"/>
      <c r="C107" s="124"/>
      <c r="D107" s="124"/>
      <c r="E107" s="124"/>
      <c r="F107" s="124"/>
      <c r="G107" s="124"/>
      <c r="H107" s="124"/>
      <c r="I107" s="126"/>
      <c r="J107" s="124"/>
      <c r="K107" s="124"/>
      <c r="L107" s="124"/>
      <c r="M107" s="124"/>
      <c r="N107" s="124"/>
      <c r="O107" s="124"/>
      <c r="P107" s="124"/>
      <c r="Q107" s="124"/>
      <c r="R107" s="124"/>
      <c r="S107" s="124"/>
      <c r="T107" s="124"/>
      <c r="U107" s="124"/>
      <c r="V107" s="124"/>
      <c r="W107" s="124"/>
      <c r="X107" s="124"/>
      <c r="Y107" s="124"/>
      <c r="Z107" s="124"/>
    </row>
    <row r="108" ht="29.25" customHeight="1">
      <c r="A108" s="124"/>
      <c r="B108" s="124"/>
      <c r="C108" s="124"/>
      <c r="D108" s="124"/>
      <c r="E108" s="124"/>
      <c r="F108" s="124"/>
      <c r="G108" s="124"/>
      <c r="H108" s="124"/>
      <c r="I108" s="126"/>
      <c r="J108" s="124"/>
      <c r="K108" s="124"/>
      <c r="L108" s="124"/>
      <c r="M108" s="124"/>
      <c r="N108" s="124"/>
      <c r="O108" s="124"/>
      <c r="P108" s="124"/>
      <c r="Q108" s="124"/>
      <c r="R108" s="124"/>
      <c r="S108" s="124"/>
      <c r="T108" s="124"/>
      <c r="U108" s="124"/>
      <c r="V108" s="124"/>
      <c r="W108" s="124"/>
      <c r="X108" s="124"/>
      <c r="Y108" s="124"/>
      <c r="Z108" s="124"/>
    </row>
    <row r="109" ht="29.25" customHeight="1">
      <c r="A109" s="124"/>
      <c r="B109" s="124"/>
      <c r="C109" s="124"/>
      <c r="D109" s="124"/>
      <c r="E109" s="124"/>
      <c r="F109" s="124"/>
      <c r="G109" s="124"/>
      <c r="H109" s="124"/>
      <c r="I109" s="126"/>
      <c r="J109" s="124"/>
      <c r="K109" s="124"/>
      <c r="L109" s="124"/>
      <c r="M109" s="124"/>
      <c r="N109" s="124"/>
      <c r="O109" s="124"/>
      <c r="P109" s="124"/>
      <c r="Q109" s="124"/>
      <c r="R109" s="124"/>
      <c r="S109" s="124"/>
      <c r="T109" s="124"/>
      <c r="U109" s="124"/>
      <c r="V109" s="124"/>
      <c r="W109" s="124"/>
      <c r="X109" s="124"/>
      <c r="Y109" s="124"/>
      <c r="Z109" s="124"/>
    </row>
    <row r="110" ht="29.25" customHeight="1">
      <c r="A110" s="124"/>
      <c r="B110" s="124"/>
      <c r="C110" s="124"/>
      <c r="D110" s="124"/>
      <c r="E110" s="124"/>
      <c r="F110" s="124"/>
      <c r="G110" s="124"/>
      <c r="H110" s="124"/>
      <c r="I110" s="126"/>
      <c r="J110" s="124"/>
      <c r="K110" s="124"/>
      <c r="L110" s="124"/>
      <c r="M110" s="124"/>
      <c r="N110" s="124"/>
      <c r="O110" s="124"/>
      <c r="P110" s="124"/>
      <c r="Q110" s="124"/>
      <c r="R110" s="124"/>
      <c r="S110" s="124"/>
      <c r="T110" s="124"/>
      <c r="U110" s="124"/>
      <c r="V110" s="124"/>
      <c r="W110" s="124"/>
      <c r="X110" s="124"/>
      <c r="Y110" s="124"/>
      <c r="Z110" s="124"/>
    </row>
    <row r="111" ht="29.25" customHeight="1">
      <c r="A111" s="124"/>
      <c r="B111" s="124"/>
      <c r="C111" s="124"/>
      <c r="D111" s="124"/>
      <c r="E111" s="124"/>
      <c r="F111" s="124"/>
      <c r="G111" s="124"/>
      <c r="H111" s="124"/>
      <c r="I111" s="126"/>
      <c r="J111" s="124"/>
      <c r="K111" s="124"/>
      <c r="L111" s="124"/>
      <c r="M111" s="124"/>
      <c r="N111" s="124"/>
      <c r="O111" s="124"/>
      <c r="P111" s="124"/>
      <c r="Q111" s="124"/>
      <c r="R111" s="124"/>
      <c r="S111" s="124"/>
      <c r="T111" s="124"/>
      <c r="U111" s="124"/>
      <c r="V111" s="124"/>
      <c r="W111" s="124"/>
      <c r="X111" s="124"/>
      <c r="Y111" s="124"/>
      <c r="Z111" s="124"/>
    </row>
    <row r="112" ht="29.25" customHeight="1">
      <c r="A112" s="124"/>
      <c r="B112" s="124"/>
      <c r="C112" s="124"/>
      <c r="D112" s="124"/>
      <c r="E112" s="124"/>
      <c r="F112" s="124"/>
      <c r="G112" s="124"/>
      <c r="H112" s="124"/>
      <c r="I112" s="126"/>
      <c r="J112" s="124"/>
      <c r="K112" s="124"/>
      <c r="L112" s="124"/>
      <c r="M112" s="124"/>
      <c r="N112" s="124"/>
      <c r="O112" s="124"/>
      <c r="P112" s="124"/>
      <c r="Q112" s="124"/>
      <c r="R112" s="124"/>
      <c r="S112" s="124"/>
      <c r="T112" s="124"/>
      <c r="U112" s="124"/>
      <c r="V112" s="124"/>
      <c r="W112" s="124"/>
      <c r="X112" s="124"/>
      <c r="Y112" s="124"/>
      <c r="Z112" s="124"/>
    </row>
    <row r="113" ht="29.25" customHeight="1">
      <c r="A113" s="124"/>
      <c r="B113" s="124"/>
      <c r="C113" s="124"/>
      <c r="D113" s="124"/>
      <c r="E113" s="124"/>
      <c r="F113" s="124"/>
      <c r="G113" s="124"/>
      <c r="H113" s="124"/>
      <c r="I113" s="126"/>
      <c r="J113" s="124"/>
      <c r="K113" s="124"/>
      <c r="L113" s="124"/>
      <c r="M113" s="124"/>
      <c r="N113" s="124"/>
      <c r="O113" s="124"/>
      <c r="P113" s="124"/>
      <c r="Q113" s="124"/>
      <c r="R113" s="124"/>
      <c r="S113" s="124"/>
      <c r="T113" s="124"/>
      <c r="U113" s="124"/>
      <c r="V113" s="124"/>
      <c r="W113" s="124"/>
      <c r="X113" s="124"/>
      <c r="Y113" s="124"/>
      <c r="Z113" s="124"/>
    </row>
    <row r="114" ht="29.25" customHeight="1">
      <c r="A114" s="124"/>
      <c r="B114" s="124"/>
      <c r="C114" s="124"/>
      <c r="D114" s="124"/>
      <c r="E114" s="124"/>
      <c r="F114" s="124"/>
      <c r="G114" s="124"/>
      <c r="H114" s="124"/>
      <c r="I114" s="126"/>
      <c r="J114" s="124"/>
      <c r="K114" s="124"/>
      <c r="L114" s="124"/>
      <c r="M114" s="124"/>
      <c r="N114" s="124"/>
      <c r="O114" s="124"/>
      <c r="P114" s="124"/>
      <c r="Q114" s="124"/>
      <c r="R114" s="124"/>
      <c r="S114" s="124"/>
      <c r="T114" s="124"/>
      <c r="U114" s="124"/>
      <c r="V114" s="124"/>
      <c r="W114" s="124"/>
      <c r="X114" s="124"/>
      <c r="Y114" s="124"/>
      <c r="Z114" s="124"/>
    </row>
    <row r="115" ht="29.25" customHeight="1">
      <c r="A115" s="124"/>
      <c r="B115" s="124"/>
      <c r="C115" s="124"/>
      <c r="D115" s="124"/>
      <c r="E115" s="124"/>
      <c r="F115" s="124"/>
      <c r="G115" s="124"/>
      <c r="H115" s="124"/>
      <c r="I115" s="126"/>
      <c r="J115" s="124"/>
      <c r="K115" s="124"/>
      <c r="L115" s="124"/>
      <c r="M115" s="124"/>
      <c r="N115" s="124"/>
      <c r="O115" s="124"/>
      <c r="P115" s="124"/>
      <c r="Q115" s="124"/>
      <c r="R115" s="124"/>
      <c r="S115" s="124"/>
      <c r="T115" s="124"/>
      <c r="U115" s="124"/>
      <c r="V115" s="124"/>
      <c r="W115" s="124"/>
      <c r="X115" s="124"/>
      <c r="Y115" s="124"/>
      <c r="Z115" s="124"/>
    </row>
    <row r="116" ht="29.25" customHeight="1">
      <c r="A116" s="124"/>
      <c r="B116" s="124"/>
      <c r="C116" s="124"/>
      <c r="D116" s="124"/>
      <c r="E116" s="124"/>
      <c r="F116" s="124"/>
      <c r="G116" s="124"/>
      <c r="H116" s="124"/>
      <c r="I116" s="126"/>
      <c r="J116" s="124"/>
      <c r="K116" s="124"/>
      <c r="L116" s="124"/>
      <c r="M116" s="124"/>
      <c r="N116" s="124"/>
      <c r="O116" s="124"/>
      <c r="P116" s="124"/>
      <c r="Q116" s="124"/>
      <c r="R116" s="124"/>
      <c r="S116" s="124"/>
      <c r="T116" s="124"/>
      <c r="U116" s="124"/>
      <c r="V116" s="124"/>
      <c r="W116" s="124"/>
      <c r="X116" s="124"/>
      <c r="Y116" s="124"/>
      <c r="Z116" s="124"/>
    </row>
    <row r="117" ht="29.25" customHeight="1">
      <c r="A117" s="124"/>
      <c r="B117" s="124"/>
      <c r="C117" s="124"/>
      <c r="D117" s="124"/>
      <c r="E117" s="124"/>
      <c r="F117" s="124"/>
      <c r="G117" s="124"/>
      <c r="H117" s="124"/>
      <c r="I117" s="126"/>
      <c r="J117" s="124"/>
      <c r="K117" s="124"/>
      <c r="L117" s="124"/>
      <c r="M117" s="124"/>
      <c r="N117" s="124"/>
      <c r="O117" s="124"/>
      <c r="P117" s="124"/>
      <c r="Q117" s="124"/>
      <c r="R117" s="124"/>
      <c r="S117" s="124"/>
      <c r="T117" s="124"/>
      <c r="U117" s="124"/>
      <c r="V117" s="124"/>
      <c r="W117" s="124"/>
      <c r="X117" s="124"/>
      <c r="Y117" s="124"/>
      <c r="Z117" s="124"/>
    </row>
    <row r="118" ht="29.25" customHeight="1">
      <c r="A118" s="124"/>
      <c r="B118" s="124"/>
      <c r="C118" s="124"/>
      <c r="D118" s="124"/>
      <c r="E118" s="124"/>
      <c r="F118" s="124"/>
      <c r="G118" s="124"/>
      <c r="H118" s="124"/>
      <c r="I118" s="126"/>
      <c r="J118" s="124"/>
      <c r="K118" s="124"/>
      <c r="L118" s="124"/>
      <c r="M118" s="124"/>
      <c r="N118" s="124"/>
      <c r="O118" s="124"/>
      <c r="P118" s="124"/>
      <c r="Q118" s="124"/>
      <c r="R118" s="124"/>
      <c r="S118" s="124"/>
      <c r="T118" s="124"/>
      <c r="U118" s="124"/>
      <c r="V118" s="124"/>
      <c r="W118" s="124"/>
      <c r="X118" s="124"/>
      <c r="Y118" s="124"/>
      <c r="Z118" s="124"/>
    </row>
    <row r="119" ht="29.25" customHeight="1">
      <c r="A119" s="124"/>
      <c r="B119" s="124"/>
      <c r="C119" s="124"/>
      <c r="D119" s="124"/>
      <c r="E119" s="124"/>
      <c r="F119" s="124"/>
      <c r="G119" s="124"/>
      <c r="H119" s="124"/>
      <c r="I119" s="126"/>
      <c r="J119" s="124"/>
      <c r="K119" s="124"/>
      <c r="L119" s="124"/>
      <c r="M119" s="124"/>
      <c r="N119" s="124"/>
      <c r="O119" s="124"/>
      <c r="P119" s="124"/>
      <c r="Q119" s="124"/>
      <c r="R119" s="124"/>
      <c r="S119" s="124"/>
      <c r="T119" s="124"/>
      <c r="U119" s="124"/>
      <c r="V119" s="124"/>
      <c r="W119" s="124"/>
      <c r="X119" s="124"/>
      <c r="Y119" s="124"/>
      <c r="Z119" s="124"/>
    </row>
    <row r="120" ht="29.25" customHeight="1">
      <c r="A120" s="124"/>
      <c r="B120" s="124"/>
      <c r="C120" s="124"/>
      <c r="D120" s="124"/>
      <c r="E120" s="124"/>
      <c r="F120" s="124"/>
      <c r="G120" s="124"/>
      <c r="H120" s="124"/>
      <c r="I120" s="126"/>
      <c r="J120" s="124"/>
      <c r="K120" s="124"/>
      <c r="L120" s="124"/>
      <c r="M120" s="124"/>
      <c r="N120" s="124"/>
      <c r="O120" s="124"/>
      <c r="P120" s="124"/>
      <c r="Q120" s="124"/>
      <c r="R120" s="124"/>
      <c r="S120" s="124"/>
      <c r="T120" s="124"/>
      <c r="U120" s="124"/>
      <c r="V120" s="124"/>
      <c r="W120" s="124"/>
      <c r="X120" s="124"/>
      <c r="Y120" s="124"/>
      <c r="Z120" s="124"/>
    </row>
    <row r="121" ht="29.25" customHeight="1">
      <c r="A121" s="124"/>
      <c r="B121" s="124"/>
      <c r="C121" s="124"/>
      <c r="D121" s="124"/>
      <c r="E121" s="124"/>
      <c r="F121" s="124"/>
      <c r="G121" s="124"/>
      <c r="H121" s="124"/>
      <c r="I121" s="126"/>
      <c r="J121" s="124"/>
      <c r="K121" s="124"/>
      <c r="L121" s="124"/>
      <c r="M121" s="124"/>
      <c r="N121" s="124"/>
      <c r="O121" s="124"/>
      <c r="P121" s="124"/>
      <c r="Q121" s="124"/>
      <c r="R121" s="124"/>
      <c r="S121" s="124"/>
      <c r="T121" s="124"/>
      <c r="U121" s="124"/>
      <c r="V121" s="124"/>
      <c r="W121" s="124"/>
      <c r="X121" s="124"/>
      <c r="Y121" s="124"/>
      <c r="Z121" s="124"/>
    </row>
    <row r="122" ht="29.25" customHeight="1">
      <c r="A122" s="124"/>
      <c r="B122" s="124"/>
      <c r="C122" s="124"/>
      <c r="D122" s="124"/>
      <c r="E122" s="124"/>
      <c r="F122" s="124"/>
      <c r="G122" s="124"/>
      <c r="H122" s="124"/>
      <c r="I122" s="126"/>
      <c r="J122" s="124"/>
      <c r="K122" s="124"/>
      <c r="L122" s="124"/>
      <c r="M122" s="124"/>
      <c r="N122" s="124"/>
      <c r="O122" s="124"/>
      <c r="P122" s="124"/>
      <c r="Q122" s="124"/>
      <c r="R122" s="124"/>
      <c r="S122" s="124"/>
      <c r="T122" s="124"/>
      <c r="U122" s="124"/>
      <c r="V122" s="124"/>
      <c r="W122" s="124"/>
      <c r="X122" s="124"/>
      <c r="Y122" s="124"/>
      <c r="Z122" s="124"/>
    </row>
    <row r="123" ht="29.25" customHeight="1">
      <c r="A123" s="124"/>
      <c r="B123" s="124"/>
      <c r="C123" s="124"/>
      <c r="D123" s="124"/>
      <c r="E123" s="124"/>
      <c r="F123" s="124"/>
      <c r="G123" s="124"/>
      <c r="H123" s="124"/>
      <c r="I123" s="126"/>
      <c r="J123" s="124"/>
      <c r="K123" s="124"/>
      <c r="L123" s="124"/>
      <c r="M123" s="124"/>
      <c r="N123" s="124"/>
      <c r="O123" s="124"/>
      <c r="P123" s="124"/>
      <c r="Q123" s="124"/>
      <c r="R123" s="124"/>
      <c r="S123" s="124"/>
      <c r="T123" s="124"/>
      <c r="U123" s="124"/>
      <c r="V123" s="124"/>
      <c r="W123" s="124"/>
      <c r="X123" s="124"/>
      <c r="Y123" s="124"/>
      <c r="Z123" s="124"/>
    </row>
    <row r="124" ht="29.25" customHeight="1">
      <c r="A124" s="124"/>
      <c r="B124" s="124"/>
      <c r="C124" s="124"/>
      <c r="D124" s="124"/>
      <c r="E124" s="124"/>
      <c r="F124" s="124"/>
      <c r="G124" s="124"/>
      <c r="H124" s="124"/>
      <c r="I124" s="126"/>
      <c r="J124" s="124"/>
      <c r="K124" s="124"/>
      <c r="L124" s="124"/>
      <c r="M124" s="124"/>
      <c r="N124" s="124"/>
      <c r="O124" s="124"/>
      <c r="P124" s="124"/>
      <c r="Q124" s="124"/>
      <c r="R124" s="124"/>
      <c r="S124" s="124"/>
      <c r="T124" s="124"/>
      <c r="U124" s="124"/>
      <c r="V124" s="124"/>
      <c r="W124" s="124"/>
      <c r="X124" s="124"/>
      <c r="Y124" s="124"/>
      <c r="Z124" s="124"/>
    </row>
    <row r="125" ht="29.25" customHeight="1">
      <c r="A125" s="124"/>
      <c r="B125" s="124"/>
      <c r="C125" s="124"/>
      <c r="D125" s="124"/>
      <c r="E125" s="124"/>
      <c r="F125" s="124"/>
      <c r="G125" s="124"/>
      <c r="H125" s="124"/>
      <c r="I125" s="126"/>
      <c r="J125" s="124"/>
      <c r="K125" s="124"/>
      <c r="L125" s="124"/>
      <c r="M125" s="124"/>
      <c r="N125" s="124"/>
      <c r="O125" s="124"/>
      <c r="P125" s="124"/>
      <c r="Q125" s="124"/>
      <c r="R125" s="124"/>
      <c r="S125" s="124"/>
      <c r="T125" s="124"/>
      <c r="U125" s="124"/>
      <c r="V125" s="124"/>
      <c r="W125" s="124"/>
      <c r="X125" s="124"/>
      <c r="Y125" s="124"/>
      <c r="Z125" s="124"/>
    </row>
    <row r="126" ht="29.25" customHeight="1">
      <c r="A126" s="124"/>
      <c r="B126" s="124"/>
      <c r="C126" s="124"/>
      <c r="D126" s="124"/>
      <c r="E126" s="124"/>
      <c r="F126" s="124"/>
      <c r="G126" s="124"/>
      <c r="H126" s="124"/>
      <c r="I126" s="126"/>
      <c r="J126" s="124"/>
      <c r="K126" s="124"/>
      <c r="L126" s="124"/>
      <c r="M126" s="124"/>
      <c r="N126" s="124"/>
      <c r="O126" s="124"/>
      <c r="P126" s="124"/>
      <c r="Q126" s="124"/>
      <c r="R126" s="124"/>
      <c r="S126" s="124"/>
      <c r="T126" s="124"/>
      <c r="U126" s="124"/>
      <c r="V126" s="124"/>
      <c r="W126" s="124"/>
      <c r="X126" s="124"/>
      <c r="Y126" s="124"/>
      <c r="Z126" s="124"/>
    </row>
    <row r="127" ht="29.25" customHeight="1">
      <c r="A127" s="124"/>
      <c r="B127" s="124"/>
      <c r="C127" s="124"/>
      <c r="D127" s="124"/>
      <c r="E127" s="124"/>
      <c r="F127" s="124"/>
      <c r="G127" s="124"/>
      <c r="H127" s="124"/>
      <c r="I127" s="126"/>
      <c r="J127" s="124"/>
      <c r="K127" s="124"/>
      <c r="L127" s="124"/>
      <c r="M127" s="124"/>
      <c r="N127" s="124"/>
      <c r="O127" s="124"/>
      <c r="P127" s="124"/>
      <c r="Q127" s="124"/>
      <c r="R127" s="124"/>
      <c r="S127" s="124"/>
      <c r="T127" s="124"/>
      <c r="U127" s="124"/>
      <c r="V127" s="124"/>
      <c r="W127" s="124"/>
      <c r="X127" s="124"/>
      <c r="Y127" s="124"/>
      <c r="Z127" s="124"/>
    </row>
    <row r="128" ht="29.25" customHeight="1">
      <c r="A128" s="124"/>
      <c r="B128" s="124"/>
      <c r="C128" s="124"/>
      <c r="D128" s="124"/>
      <c r="E128" s="124"/>
      <c r="F128" s="124"/>
      <c r="G128" s="124"/>
      <c r="H128" s="124"/>
      <c r="I128" s="126"/>
      <c r="J128" s="124"/>
      <c r="K128" s="124"/>
      <c r="L128" s="124"/>
      <c r="M128" s="124"/>
      <c r="N128" s="124"/>
      <c r="O128" s="124"/>
      <c r="P128" s="124"/>
      <c r="Q128" s="124"/>
      <c r="R128" s="124"/>
      <c r="S128" s="124"/>
      <c r="T128" s="124"/>
      <c r="U128" s="124"/>
      <c r="V128" s="124"/>
      <c r="W128" s="124"/>
      <c r="X128" s="124"/>
      <c r="Y128" s="124"/>
      <c r="Z128" s="124"/>
    </row>
    <row r="129" ht="29.25" customHeight="1">
      <c r="A129" s="124"/>
      <c r="B129" s="124"/>
      <c r="C129" s="124"/>
      <c r="D129" s="124"/>
      <c r="E129" s="124"/>
      <c r="F129" s="124"/>
      <c r="G129" s="124"/>
      <c r="H129" s="124"/>
      <c r="I129" s="126"/>
      <c r="J129" s="124"/>
      <c r="K129" s="124"/>
      <c r="L129" s="124"/>
      <c r="M129" s="124"/>
      <c r="N129" s="124"/>
      <c r="O129" s="124"/>
      <c r="P129" s="124"/>
      <c r="Q129" s="124"/>
      <c r="R129" s="124"/>
      <c r="S129" s="124"/>
      <c r="T129" s="124"/>
      <c r="U129" s="124"/>
      <c r="V129" s="124"/>
      <c r="W129" s="124"/>
      <c r="X129" s="124"/>
      <c r="Y129" s="124"/>
      <c r="Z129" s="124"/>
    </row>
    <row r="130" ht="29.25" customHeight="1">
      <c r="A130" s="124"/>
      <c r="B130" s="124"/>
      <c r="C130" s="124"/>
      <c r="D130" s="124"/>
      <c r="E130" s="124"/>
      <c r="F130" s="124"/>
      <c r="G130" s="124"/>
      <c r="H130" s="124"/>
      <c r="I130" s="126"/>
      <c r="J130" s="124"/>
      <c r="K130" s="124"/>
      <c r="L130" s="124"/>
      <c r="M130" s="124"/>
      <c r="N130" s="124"/>
      <c r="O130" s="124"/>
      <c r="P130" s="124"/>
      <c r="Q130" s="124"/>
      <c r="R130" s="124"/>
      <c r="S130" s="124"/>
      <c r="T130" s="124"/>
      <c r="U130" s="124"/>
      <c r="V130" s="124"/>
      <c r="W130" s="124"/>
      <c r="X130" s="124"/>
      <c r="Y130" s="124"/>
      <c r="Z130" s="124"/>
    </row>
    <row r="131" ht="29.25" customHeight="1">
      <c r="A131" s="124"/>
      <c r="B131" s="124"/>
      <c r="C131" s="124"/>
      <c r="D131" s="124"/>
      <c r="E131" s="124"/>
      <c r="F131" s="124"/>
      <c r="G131" s="124"/>
      <c r="H131" s="124"/>
      <c r="I131" s="126"/>
      <c r="J131" s="124"/>
      <c r="K131" s="124"/>
      <c r="L131" s="124"/>
      <c r="M131" s="124"/>
      <c r="N131" s="124"/>
      <c r="O131" s="124"/>
      <c r="P131" s="124"/>
      <c r="Q131" s="124"/>
      <c r="R131" s="124"/>
      <c r="S131" s="124"/>
      <c r="T131" s="124"/>
      <c r="U131" s="124"/>
      <c r="V131" s="124"/>
      <c r="W131" s="124"/>
      <c r="X131" s="124"/>
      <c r="Y131" s="124"/>
      <c r="Z131" s="124"/>
    </row>
    <row r="132" ht="29.25" customHeight="1">
      <c r="A132" s="124"/>
      <c r="B132" s="124"/>
      <c r="C132" s="124"/>
      <c r="D132" s="124"/>
      <c r="E132" s="124"/>
      <c r="F132" s="124"/>
      <c r="G132" s="124"/>
      <c r="H132" s="124"/>
      <c r="I132" s="126"/>
      <c r="J132" s="124"/>
      <c r="K132" s="124"/>
      <c r="L132" s="124"/>
      <c r="M132" s="124"/>
      <c r="N132" s="124"/>
      <c r="O132" s="124"/>
      <c r="P132" s="124"/>
      <c r="Q132" s="124"/>
      <c r="R132" s="124"/>
      <c r="S132" s="124"/>
      <c r="T132" s="124"/>
      <c r="U132" s="124"/>
      <c r="V132" s="124"/>
      <c r="W132" s="124"/>
      <c r="X132" s="124"/>
      <c r="Y132" s="124"/>
      <c r="Z132" s="124"/>
    </row>
    <row r="133" ht="29.25" customHeight="1">
      <c r="A133" s="124"/>
      <c r="B133" s="124"/>
      <c r="C133" s="124"/>
      <c r="D133" s="124"/>
      <c r="E133" s="124"/>
      <c r="F133" s="124"/>
      <c r="G133" s="124"/>
      <c r="H133" s="124"/>
      <c r="I133" s="126"/>
      <c r="J133" s="124"/>
      <c r="K133" s="124"/>
      <c r="L133" s="124"/>
      <c r="M133" s="124"/>
      <c r="N133" s="124"/>
      <c r="O133" s="124"/>
      <c r="P133" s="124"/>
      <c r="Q133" s="124"/>
      <c r="R133" s="124"/>
      <c r="S133" s="124"/>
      <c r="T133" s="124"/>
      <c r="U133" s="124"/>
      <c r="V133" s="124"/>
      <c r="W133" s="124"/>
      <c r="X133" s="124"/>
      <c r="Y133" s="124"/>
      <c r="Z133" s="124"/>
    </row>
    <row r="134" ht="29.25" customHeight="1">
      <c r="A134" s="124"/>
      <c r="B134" s="124"/>
      <c r="C134" s="124"/>
      <c r="D134" s="124"/>
      <c r="E134" s="124"/>
      <c r="F134" s="124"/>
      <c r="G134" s="124"/>
      <c r="H134" s="124"/>
      <c r="I134" s="126"/>
      <c r="J134" s="124"/>
      <c r="K134" s="124"/>
      <c r="L134" s="124"/>
      <c r="M134" s="124"/>
      <c r="N134" s="124"/>
      <c r="O134" s="124"/>
      <c r="P134" s="124"/>
      <c r="Q134" s="124"/>
      <c r="R134" s="124"/>
      <c r="S134" s="124"/>
      <c r="T134" s="124"/>
      <c r="U134" s="124"/>
      <c r="V134" s="124"/>
      <c r="W134" s="124"/>
      <c r="X134" s="124"/>
      <c r="Y134" s="124"/>
      <c r="Z134" s="124"/>
    </row>
    <row r="135" ht="29.25" customHeight="1">
      <c r="A135" s="124"/>
      <c r="B135" s="124"/>
      <c r="C135" s="124"/>
      <c r="D135" s="124"/>
      <c r="E135" s="124"/>
      <c r="F135" s="124"/>
      <c r="G135" s="124"/>
      <c r="H135" s="124"/>
      <c r="I135" s="126"/>
      <c r="J135" s="124"/>
      <c r="K135" s="124"/>
      <c r="L135" s="124"/>
      <c r="M135" s="124"/>
      <c r="N135" s="124"/>
      <c r="O135" s="124"/>
      <c r="P135" s="124"/>
      <c r="Q135" s="124"/>
      <c r="R135" s="124"/>
      <c r="S135" s="124"/>
      <c r="T135" s="124"/>
      <c r="U135" s="124"/>
      <c r="V135" s="124"/>
      <c r="W135" s="124"/>
      <c r="X135" s="124"/>
      <c r="Y135" s="124"/>
      <c r="Z135" s="124"/>
    </row>
    <row r="136" ht="29.25" customHeight="1">
      <c r="A136" s="124"/>
      <c r="B136" s="124"/>
      <c r="C136" s="124"/>
      <c r="D136" s="124"/>
      <c r="E136" s="124"/>
      <c r="F136" s="124"/>
      <c r="G136" s="124"/>
      <c r="H136" s="124"/>
      <c r="I136" s="126"/>
      <c r="J136" s="124"/>
      <c r="K136" s="124"/>
      <c r="L136" s="124"/>
      <c r="M136" s="124"/>
      <c r="N136" s="124"/>
      <c r="O136" s="124"/>
      <c r="P136" s="124"/>
      <c r="Q136" s="124"/>
      <c r="R136" s="124"/>
      <c r="S136" s="124"/>
      <c r="T136" s="124"/>
      <c r="U136" s="124"/>
      <c r="V136" s="124"/>
      <c r="W136" s="124"/>
      <c r="X136" s="124"/>
      <c r="Y136" s="124"/>
      <c r="Z136" s="124"/>
    </row>
    <row r="137" ht="29.25" customHeight="1">
      <c r="A137" s="124"/>
      <c r="B137" s="124"/>
      <c r="C137" s="124"/>
      <c r="D137" s="124"/>
      <c r="E137" s="124"/>
      <c r="F137" s="124"/>
      <c r="G137" s="124"/>
      <c r="H137" s="124"/>
      <c r="I137" s="126"/>
      <c r="J137" s="124"/>
      <c r="K137" s="124"/>
      <c r="L137" s="124"/>
      <c r="M137" s="124"/>
      <c r="N137" s="124"/>
      <c r="O137" s="124"/>
      <c r="P137" s="124"/>
      <c r="Q137" s="124"/>
      <c r="R137" s="124"/>
      <c r="S137" s="124"/>
      <c r="T137" s="124"/>
      <c r="U137" s="124"/>
      <c r="V137" s="124"/>
      <c r="W137" s="124"/>
      <c r="X137" s="124"/>
      <c r="Y137" s="124"/>
      <c r="Z137" s="124"/>
    </row>
    <row r="138" ht="29.25" customHeight="1">
      <c r="A138" s="124"/>
      <c r="B138" s="124"/>
      <c r="C138" s="124"/>
      <c r="D138" s="124"/>
      <c r="E138" s="124"/>
      <c r="F138" s="124"/>
      <c r="G138" s="124"/>
      <c r="H138" s="124"/>
      <c r="I138" s="126"/>
      <c r="J138" s="124"/>
      <c r="K138" s="124"/>
      <c r="L138" s="124"/>
      <c r="M138" s="124"/>
      <c r="N138" s="124"/>
      <c r="O138" s="124"/>
      <c r="P138" s="124"/>
      <c r="Q138" s="124"/>
      <c r="R138" s="124"/>
      <c r="S138" s="124"/>
      <c r="T138" s="124"/>
      <c r="U138" s="124"/>
      <c r="V138" s="124"/>
      <c r="W138" s="124"/>
      <c r="X138" s="124"/>
      <c r="Y138" s="124"/>
      <c r="Z138" s="124"/>
    </row>
    <row r="139" ht="29.25" customHeight="1">
      <c r="A139" s="124"/>
      <c r="B139" s="124"/>
      <c r="C139" s="124"/>
      <c r="D139" s="124"/>
      <c r="E139" s="124"/>
      <c r="F139" s="124"/>
      <c r="G139" s="124"/>
      <c r="H139" s="124"/>
      <c r="I139" s="126"/>
      <c r="J139" s="124"/>
      <c r="K139" s="124"/>
      <c r="L139" s="124"/>
      <c r="M139" s="124"/>
      <c r="N139" s="124"/>
      <c r="O139" s="124"/>
      <c r="P139" s="124"/>
      <c r="Q139" s="124"/>
      <c r="R139" s="124"/>
      <c r="S139" s="124"/>
      <c r="T139" s="124"/>
      <c r="U139" s="124"/>
      <c r="V139" s="124"/>
      <c r="W139" s="124"/>
      <c r="X139" s="124"/>
      <c r="Y139" s="124"/>
      <c r="Z139" s="124"/>
    </row>
    <row r="140" ht="29.25" customHeight="1">
      <c r="A140" s="124"/>
      <c r="B140" s="124"/>
      <c r="C140" s="124"/>
      <c r="D140" s="124"/>
      <c r="E140" s="124"/>
      <c r="F140" s="124"/>
      <c r="G140" s="124"/>
      <c r="H140" s="124"/>
      <c r="I140" s="126"/>
      <c r="J140" s="124"/>
      <c r="K140" s="124"/>
      <c r="L140" s="124"/>
      <c r="M140" s="124"/>
      <c r="N140" s="124"/>
      <c r="O140" s="124"/>
      <c r="P140" s="124"/>
      <c r="Q140" s="124"/>
      <c r="R140" s="124"/>
      <c r="S140" s="124"/>
      <c r="T140" s="124"/>
      <c r="U140" s="124"/>
      <c r="V140" s="124"/>
      <c r="W140" s="124"/>
      <c r="X140" s="124"/>
      <c r="Y140" s="124"/>
      <c r="Z140" s="124"/>
    </row>
    <row r="141" ht="29.25" customHeight="1">
      <c r="A141" s="124"/>
      <c r="B141" s="124"/>
      <c r="C141" s="124"/>
      <c r="D141" s="124"/>
      <c r="E141" s="124"/>
      <c r="F141" s="124"/>
      <c r="G141" s="124"/>
      <c r="H141" s="124"/>
      <c r="I141" s="126"/>
      <c r="J141" s="124"/>
      <c r="K141" s="124"/>
      <c r="L141" s="124"/>
      <c r="M141" s="124"/>
      <c r="N141" s="124"/>
      <c r="O141" s="124"/>
      <c r="P141" s="124"/>
      <c r="Q141" s="124"/>
      <c r="R141" s="124"/>
      <c r="S141" s="124"/>
      <c r="T141" s="124"/>
      <c r="U141" s="124"/>
      <c r="V141" s="124"/>
      <c r="W141" s="124"/>
      <c r="X141" s="124"/>
      <c r="Y141" s="124"/>
      <c r="Z141" s="124"/>
    </row>
    <row r="142" ht="29.25" customHeight="1">
      <c r="A142" s="124"/>
      <c r="B142" s="124"/>
      <c r="C142" s="124"/>
      <c r="D142" s="124"/>
      <c r="E142" s="124"/>
      <c r="F142" s="124"/>
      <c r="G142" s="124"/>
      <c r="H142" s="124"/>
      <c r="I142" s="126"/>
      <c r="J142" s="124"/>
      <c r="K142" s="124"/>
      <c r="L142" s="124"/>
      <c r="M142" s="124"/>
      <c r="N142" s="124"/>
      <c r="O142" s="124"/>
      <c r="P142" s="124"/>
      <c r="Q142" s="124"/>
      <c r="R142" s="124"/>
      <c r="S142" s="124"/>
      <c r="T142" s="124"/>
      <c r="U142" s="124"/>
      <c r="V142" s="124"/>
      <c r="W142" s="124"/>
      <c r="X142" s="124"/>
      <c r="Y142" s="124"/>
      <c r="Z142" s="124"/>
    </row>
    <row r="143" ht="29.25" customHeight="1">
      <c r="A143" s="124"/>
      <c r="B143" s="124"/>
      <c r="C143" s="124"/>
      <c r="D143" s="124"/>
      <c r="E143" s="124"/>
      <c r="F143" s="124"/>
      <c r="G143" s="124"/>
      <c r="H143" s="124"/>
      <c r="I143" s="126"/>
      <c r="J143" s="124"/>
      <c r="K143" s="124"/>
      <c r="L143" s="124"/>
      <c r="M143" s="124"/>
      <c r="N143" s="124"/>
      <c r="O143" s="124"/>
      <c r="P143" s="124"/>
      <c r="Q143" s="124"/>
      <c r="R143" s="124"/>
      <c r="S143" s="124"/>
      <c r="T143" s="124"/>
      <c r="U143" s="124"/>
      <c r="V143" s="124"/>
      <c r="W143" s="124"/>
      <c r="X143" s="124"/>
      <c r="Y143" s="124"/>
      <c r="Z143" s="124"/>
    </row>
    <row r="144" ht="29.25" customHeight="1">
      <c r="A144" s="124"/>
      <c r="B144" s="124"/>
      <c r="C144" s="124"/>
      <c r="D144" s="124"/>
      <c r="E144" s="124"/>
      <c r="F144" s="124"/>
      <c r="G144" s="124"/>
      <c r="H144" s="124"/>
      <c r="I144" s="126"/>
      <c r="J144" s="124"/>
      <c r="K144" s="124"/>
      <c r="L144" s="124"/>
      <c r="M144" s="124"/>
      <c r="N144" s="124"/>
      <c r="O144" s="124"/>
      <c r="P144" s="124"/>
      <c r="Q144" s="124"/>
      <c r="R144" s="124"/>
      <c r="S144" s="124"/>
      <c r="T144" s="124"/>
      <c r="U144" s="124"/>
      <c r="V144" s="124"/>
      <c r="W144" s="124"/>
      <c r="X144" s="124"/>
      <c r="Y144" s="124"/>
      <c r="Z144" s="124"/>
    </row>
    <row r="145" ht="29.25" customHeight="1">
      <c r="A145" s="124"/>
      <c r="B145" s="124"/>
      <c r="C145" s="124"/>
      <c r="D145" s="124"/>
      <c r="E145" s="124"/>
      <c r="F145" s="124"/>
      <c r="G145" s="124"/>
      <c r="H145" s="124"/>
      <c r="I145" s="126"/>
      <c r="J145" s="124"/>
      <c r="K145" s="124"/>
      <c r="L145" s="124"/>
      <c r="M145" s="124"/>
      <c r="N145" s="124"/>
      <c r="O145" s="124"/>
      <c r="P145" s="124"/>
      <c r="Q145" s="124"/>
      <c r="R145" s="124"/>
      <c r="S145" s="124"/>
      <c r="T145" s="124"/>
      <c r="U145" s="124"/>
      <c r="V145" s="124"/>
      <c r="W145" s="124"/>
      <c r="X145" s="124"/>
      <c r="Y145" s="124"/>
      <c r="Z145" s="124"/>
    </row>
    <row r="146" ht="29.25" customHeight="1">
      <c r="A146" s="124"/>
      <c r="B146" s="124"/>
      <c r="C146" s="124"/>
      <c r="D146" s="124"/>
      <c r="E146" s="124"/>
      <c r="F146" s="124"/>
      <c r="G146" s="124"/>
      <c r="H146" s="124"/>
      <c r="I146" s="126"/>
      <c r="J146" s="124"/>
      <c r="K146" s="124"/>
      <c r="L146" s="124"/>
      <c r="M146" s="124"/>
      <c r="N146" s="124"/>
      <c r="O146" s="124"/>
      <c r="P146" s="124"/>
      <c r="Q146" s="124"/>
      <c r="R146" s="124"/>
      <c r="S146" s="124"/>
      <c r="T146" s="124"/>
      <c r="U146" s="124"/>
      <c r="V146" s="124"/>
      <c r="W146" s="124"/>
      <c r="X146" s="124"/>
      <c r="Y146" s="124"/>
      <c r="Z146" s="124"/>
    </row>
    <row r="147" ht="29.25" customHeight="1">
      <c r="A147" s="124"/>
      <c r="B147" s="124"/>
      <c r="C147" s="124"/>
      <c r="D147" s="124"/>
      <c r="E147" s="124"/>
      <c r="F147" s="124"/>
      <c r="G147" s="124"/>
      <c r="H147" s="124"/>
      <c r="I147" s="126"/>
      <c r="J147" s="124"/>
      <c r="K147" s="124"/>
      <c r="L147" s="124"/>
      <c r="M147" s="124"/>
      <c r="N147" s="124"/>
      <c r="O147" s="124"/>
      <c r="P147" s="124"/>
      <c r="Q147" s="124"/>
      <c r="R147" s="124"/>
      <c r="S147" s="124"/>
      <c r="T147" s="124"/>
      <c r="U147" s="124"/>
      <c r="V147" s="124"/>
      <c r="W147" s="124"/>
      <c r="X147" s="124"/>
      <c r="Y147" s="124"/>
      <c r="Z147" s="124"/>
    </row>
    <row r="148" ht="29.25" customHeight="1">
      <c r="A148" s="124"/>
      <c r="B148" s="124"/>
      <c r="C148" s="124"/>
      <c r="D148" s="124"/>
      <c r="E148" s="124"/>
      <c r="F148" s="124"/>
      <c r="G148" s="124"/>
      <c r="H148" s="124"/>
      <c r="I148" s="126"/>
      <c r="J148" s="124"/>
      <c r="K148" s="124"/>
      <c r="L148" s="124"/>
      <c r="M148" s="124"/>
      <c r="N148" s="124"/>
      <c r="O148" s="124"/>
      <c r="P148" s="124"/>
      <c r="Q148" s="124"/>
      <c r="R148" s="124"/>
      <c r="S148" s="124"/>
      <c r="T148" s="124"/>
      <c r="U148" s="124"/>
      <c r="V148" s="124"/>
      <c r="W148" s="124"/>
      <c r="X148" s="124"/>
      <c r="Y148" s="124"/>
      <c r="Z148" s="124"/>
    </row>
    <row r="149" ht="29.25" customHeight="1">
      <c r="A149" s="124"/>
      <c r="B149" s="124"/>
      <c r="C149" s="124"/>
      <c r="D149" s="124"/>
      <c r="E149" s="124"/>
      <c r="F149" s="124"/>
      <c r="G149" s="124"/>
      <c r="H149" s="124"/>
      <c r="I149" s="126"/>
      <c r="J149" s="124"/>
      <c r="K149" s="124"/>
      <c r="L149" s="124"/>
      <c r="M149" s="124"/>
      <c r="N149" s="124"/>
      <c r="O149" s="124"/>
      <c r="P149" s="124"/>
      <c r="Q149" s="124"/>
      <c r="R149" s="124"/>
      <c r="S149" s="124"/>
      <c r="T149" s="124"/>
      <c r="U149" s="124"/>
      <c r="V149" s="124"/>
      <c r="W149" s="124"/>
      <c r="X149" s="124"/>
      <c r="Y149" s="124"/>
      <c r="Z149" s="124"/>
    </row>
    <row r="150" ht="29.25" customHeight="1">
      <c r="A150" s="124"/>
      <c r="B150" s="124"/>
      <c r="C150" s="124"/>
      <c r="D150" s="124"/>
      <c r="E150" s="124"/>
      <c r="F150" s="124"/>
      <c r="G150" s="124"/>
      <c r="H150" s="124"/>
      <c r="I150" s="126"/>
      <c r="J150" s="124"/>
      <c r="K150" s="124"/>
      <c r="L150" s="124"/>
      <c r="M150" s="124"/>
      <c r="N150" s="124"/>
      <c r="O150" s="124"/>
      <c r="P150" s="124"/>
      <c r="Q150" s="124"/>
      <c r="R150" s="124"/>
      <c r="S150" s="124"/>
      <c r="T150" s="124"/>
      <c r="U150" s="124"/>
      <c r="V150" s="124"/>
      <c r="W150" s="124"/>
      <c r="X150" s="124"/>
      <c r="Y150" s="124"/>
      <c r="Z150" s="124"/>
    </row>
    <row r="151" ht="29.25" customHeight="1">
      <c r="A151" s="124"/>
      <c r="B151" s="124"/>
      <c r="C151" s="124"/>
      <c r="D151" s="124"/>
      <c r="E151" s="124"/>
      <c r="F151" s="124"/>
      <c r="G151" s="124"/>
      <c r="H151" s="124"/>
      <c r="I151" s="126"/>
      <c r="J151" s="124"/>
      <c r="K151" s="124"/>
      <c r="L151" s="124"/>
      <c r="M151" s="124"/>
      <c r="N151" s="124"/>
      <c r="O151" s="124"/>
      <c r="P151" s="124"/>
      <c r="Q151" s="124"/>
      <c r="R151" s="124"/>
      <c r="S151" s="124"/>
      <c r="T151" s="124"/>
      <c r="U151" s="124"/>
      <c r="V151" s="124"/>
      <c r="W151" s="124"/>
      <c r="X151" s="124"/>
      <c r="Y151" s="124"/>
      <c r="Z151" s="124"/>
    </row>
    <row r="152" ht="29.25" customHeight="1">
      <c r="A152" s="124"/>
      <c r="B152" s="124"/>
      <c r="C152" s="124"/>
      <c r="D152" s="124"/>
      <c r="E152" s="124"/>
      <c r="F152" s="124"/>
      <c r="G152" s="124"/>
      <c r="H152" s="124"/>
      <c r="I152" s="126"/>
      <c r="J152" s="124"/>
      <c r="K152" s="124"/>
      <c r="L152" s="124"/>
      <c r="M152" s="124"/>
      <c r="N152" s="124"/>
      <c r="O152" s="124"/>
      <c r="P152" s="124"/>
      <c r="Q152" s="124"/>
      <c r="R152" s="124"/>
      <c r="S152" s="124"/>
      <c r="T152" s="124"/>
      <c r="U152" s="124"/>
      <c r="V152" s="124"/>
      <c r="W152" s="124"/>
      <c r="X152" s="124"/>
      <c r="Y152" s="124"/>
      <c r="Z152" s="124"/>
    </row>
    <row r="153" ht="29.25" customHeight="1">
      <c r="A153" s="124"/>
      <c r="B153" s="124"/>
      <c r="C153" s="124"/>
      <c r="D153" s="124"/>
      <c r="E153" s="124"/>
      <c r="F153" s="124"/>
      <c r="G153" s="124"/>
      <c r="H153" s="124"/>
      <c r="I153" s="126"/>
      <c r="J153" s="124"/>
      <c r="K153" s="124"/>
      <c r="L153" s="124"/>
      <c r="M153" s="124"/>
      <c r="N153" s="124"/>
      <c r="O153" s="124"/>
      <c r="P153" s="124"/>
      <c r="Q153" s="124"/>
      <c r="R153" s="124"/>
      <c r="S153" s="124"/>
      <c r="T153" s="124"/>
      <c r="U153" s="124"/>
      <c r="V153" s="124"/>
      <c r="W153" s="124"/>
      <c r="X153" s="124"/>
      <c r="Y153" s="124"/>
      <c r="Z153" s="124"/>
    </row>
    <row r="154" ht="29.25" customHeight="1">
      <c r="A154" s="124"/>
      <c r="B154" s="124"/>
      <c r="C154" s="124"/>
      <c r="D154" s="124"/>
      <c r="E154" s="124"/>
      <c r="F154" s="124"/>
      <c r="G154" s="124"/>
      <c r="H154" s="124"/>
      <c r="I154" s="126"/>
      <c r="J154" s="124"/>
      <c r="K154" s="124"/>
      <c r="L154" s="124"/>
      <c r="M154" s="124"/>
      <c r="N154" s="124"/>
      <c r="O154" s="124"/>
      <c r="P154" s="124"/>
      <c r="Q154" s="124"/>
      <c r="R154" s="124"/>
      <c r="S154" s="124"/>
      <c r="T154" s="124"/>
      <c r="U154" s="124"/>
      <c r="V154" s="124"/>
      <c r="W154" s="124"/>
      <c r="X154" s="124"/>
      <c r="Y154" s="124"/>
      <c r="Z154" s="124"/>
    </row>
    <row r="155" ht="29.25" customHeight="1">
      <c r="A155" s="124"/>
      <c r="B155" s="124"/>
      <c r="C155" s="124"/>
      <c r="D155" s="124"/>
      <c r="E155" s="124"/>
      <c r="F155" s="124"/>
      <c r="G155" s="124"/>
      <c r="H155" s="124"/>
      <c r="I155" s="126"/>
      <c r="J155" s="124"/>
      <c r="K155" s="124"/>
      <c r="L155" s="124"/>
      <c r="M155" s="124"/>
      <c r="N155" s="124"/>
      <c r="O155" s="124"/>
      <c r="P155" s="124"/>
      <c r="Q155" s="124"/>
      <c r="R155" s="124"/>
      <c r="S155" s="124"/>
      <c r="T155" s="124"/>
      <c r="U155" s="124"/>
      <c r="V155" s="124"/>
      <c r="W155" s="124"/>
      <c r="X155" s="124"/>
      <c r="Y155" s="124"/>
      <c r="Z155" s="124"/>
    </row>
    <row r="156" ht="29.25" customHeight="1">
      <c r="A156" s="124"/>
      <c r="B156" s="124"/>
      <c r="C156" s="124"/>
      <c r="D156" s="124"/>
      <c r="E156" s="124"/>
      <c r="F156" s="124"/>
      <c r="G156" s="124"/>
      <c r="H156" s="124"/>
      <c r="I156" s="126"/>
      <c r="J156" s="124"/>
      <c r="K156" s="124"/>
      <c r="L156" s="124"/>
      <c r="M156" s="124"/>
      <c r="N156" s="124"/>
      <c r="O156" s="124"/>
      <c r="P156" s="124"/>
      <c r="Q156" s="124"/>
      <c r="R156" s="124"/>
      <c r="S156" s="124"/>
      <c r="T156" s="124"/>
      <c r="U156" s="124"/>
      <c r="V156" s="124"/>
      <c r="W156" s="124"/>
      <c r="X156" s="124"/>
      <c r="Y156" s="124"/>
      <c r="Z156" s="124"/>
    </row>
    <row r="157" ht="29.25" customHeight="1">
      <c r="A157" s="124"/>
      <c r="B157" s="124"/>
      <c r="C157" s="124"/>
      <c r="D157" s="124"/>
      <c r="E157" s="124"/>
      <c r="F157" s="124"/>
      <c r="G157" s="124"/>
      <c r="H157" s="124"/>
      <c r="I157" s="126"/>
      <c r="J157" s="124"/>
      <c r="K157" s="124"/>
      <c r="L157" s="124"/>
      <c r="M157" s="124"/>
      <c r="N157" s="124"/>
      <c r="O157" s="124"/>
      <c r="P157" s="124"/>
      <c r="Q157" s="124"/>
      <c r="R157" s="124"/>
      <c r="S157" s="124"/>
      <c r="T157" s="124"/>
      <c r="U157" s="124"/>
      <c r="V157" s="124"/>
      <c r="W157" s="124"/>
      <c r="X157" s="124"/>
      <c r="Y157" s="124"/>
      <c r="Z157" s="124"/>
    </row>
    <row r="158" ht="29.25" customHeight="1">
      <c r="A158" s="124"/>
      <c r="B158" s="124"/>
      <c r="C158" s="124"/>
      <c r="D158" s="124"/>
      <c r="E158" s="124"/>
      <c r="F158" s="124"/>
      <c r="G158" s="124"/>
      <c r="H158" s="124"/>
      <c r="I158" s="126"/>
      <c r="J158" s="124"/>
      <c r="K158" s="124"/>
      <c r="L158" s="124"/>
      <c r="M158" s="124"/>
      <c r="N158" s="124"/>
      <c r="O158" s="124"/>
      <c r="P158" s="124"/>
      <c r="Q158" s="124"/>
      <c r="R158" s="124"/>
      <c r="S158" s="124"/>
      <c r="T158" s="124"/>
      <c r="U158" s="124"/>
      <c r="V158" s="124"/>
      <c r="W158" s="124"/>
      <c r="X158" s="124"/>
      <c r="Y158" s="124"/>
      <c r="Z158" s="124"/>
    </row>
    <row r="159" ht="29.25" customHeight="1">
      <c r="A159" s="124"/>
      <c r="B159" s="124"/>
      <c r="C159" s="124"/>
      <c r="D159" s="124"/>
      <c r="E159" s="124"/>
      <c r="F159" s="124"/>
      <c r="G159" s="124"/>
      <c r="H159" s="124"/>
      <c r="I159" s="126"/>
      <c r="J159" s="124"/>
      <c r="K159" s="124"/>
      <c r="L159" s="124"/>
      <c r="M159" s="124"/>
      <c r="N159" s="124"/>
      <c r="O159" s="124"/>
      <c r="P159" s="124"/>
      <c r="Q159" s="124"/>
      <c r="R159" s="124"/>
      <c r="S159" s="124"/>
      <c r="T159" s="124"/>
      <c r="U159" s="124"/>
      <c r="V159" s="124"/>
      <c r="W159" s="124"/>
      <c r="X159" s="124"/>
      <c r="Y159" s="124"/>
      <c r="Z159" s="124"/>
    </row>
    <row r="160" ht="29.25" customHeight="1">
      <c r="A160" s="124"/>
      <c r="B160" s="124"/>
      <c r="C160" s="124"/>
      <c r="D160" s="124"/>
      <c r="E160" s="124"/>
      <c r="F160" s="124"/>
      <c r="G160" s="124"/>
      <c r="H160" s="124"/>
      <c r="I160" s="126"/>
      <c r="J160" s="124"/>
      <c r="K160" s="124"/>
      <c r="L160" s="124"/>
      <c r="M160" s="124"/>
      <c r="N160" s="124"/>
      <c r="O160" s="124"/>
      <c r="P160" s="124"/>
      <c r="Q160" s="124"/>
      <c r="R160" s="124"/>
      <c r="S160" s="124"/>
      <c r="T160" s="124"/>
      <c r="U160" s="124"/>
      <c r="V160" s="124"/>
      <c r="W160" s="124"/>
      <c r="X160" s="124"/>
      <c r="Y160" s="124"/>
      <c r="Z160" s="124"/>
    </row>
    <row r="161" ht="29.25" customHeight="1">
      <c r="A161" s="124"/>
      <c r="B161" s="124"/>
      <c r="C161" s="124"/>
      <c r="D161" s="124"/>
      <c r="E161" s="124"/>
      <c r="F161" s="124"/>
      <c r="G161" s="124"/>
      <c r="H161" s="124"/>
      <c r="I161" s="126"/>
      <c r="J161" s="124"/>
      <c r="K161" s="124"/>
      <c r="L161" s="124"/>
      <c r="M161" s="124"/>
      <c r="N161" s="124"/>
      <c r="O161" s="124"/>
      <c r="P161" s="124"/>
      <c r="Q161" s="124"/>
      <c r="R161" s="124"/>
      <c r="S161" s="124"/>
      <c r="T161" s="124"/>
      <c r="U161" s="124"/>
      <c r="V161" s="124"/>
      <c r="W161" s="124"/>
      <c r="X161" s="124"/>
      <c r="Y161" s="124"/>
      <c r="Z161" s="124"/>
    </row>
    <row r="162" ht="29.25" customHeight="1">
      <c r="A162" s="124"/>
      <c r="B162" s="124"/>
      <c r="C162" s="124"/>
      <c r="D162" s="124"/>
      <c r="E162" s="124"/>
      <c r="F162" s="124"/>
      <c r="G162" s="124"/>
      <c r="H162" s="124"/>
      <c r="I162" s="126"/>
      <c r="J162" s="124"/>
      <c r="K162" s="124"/>
      <c r="L162" s="124"/>
      <c r="M162" s="124"/>
      <c r="N162" s="124"/>
      <c r="O162" s="124"/>
      <c r="P162" s="124"/>
      <c r="Q162" s="124"/>
      <c r="R162" s="124"/>
      <c r="S162" s="124"/>
      <c r="T162" s="124"/>
      <c r="U162" s="124"/>
      <c r="V162" s="124"/>
      <c r="W162" s="124"/>
      <c r="X162" s="124"/>
      <c r="Y162" s="124"/>
      <c r="Z162" s="124"/>
    </row>
    <row r="163" ht="29.25" customHeight="1">
      <c r="A163" s="124"/>
      <c r="B163" s="124"/>
      <c r="C163" s="124"/>
      <c r="D163" s="124"/>
      <c r="E163" s="124"/>
      <c r="F163" s="124"/>
      <c r="G163" s="124"/>
      <c r="H163" s="124"/>
      <c r="I163" s="126"/>
      <c r="J163" s="124"/>
      <c r="K163" s="124"/>
      <c r="L163" s="124"/>
      <c r="M163" s="124"/>
      <c r="N163" s="124"/>
      <c r="O163" s="124"/>
      <c r="P163" s="124"/>
      <c r="Q163" s="124"/>
      <c r="R163" s="124"/>
      <c r="S163" s="124"/>
      <c r="T163" s="124"/>
      <c r="U163" s="124"/>
      <c r="V163" s="124"/>
      <c r="W163" s="124"/>
      <c r="X163" s="124"/>
      <c r="Y163" s="124"/>
      <c r="Z163" s="124"/>
    </row>
    <row r="164" ht="29.25" customHeight="1">
      <c r="A164" s="124"/>
      <c r="B164" s="124"/>
      <c r="C164" s="124"/>
      <c r="D164" s="124"/>
      <c r="E164" s="124"/>
      <c r="F164" s="124"/>
      <c r="G164" s="124"/>
      <c r="H164" s="124"/>
      <c r="I164" s="126"/>
      <c r="J164" s="124"/>
      <c r="K164" s="124"/>
      <c r="L164" s="124"/>
      <c r="M164" s="124"/>
      <c r="N164" s="124"/>
      <c r="O164" s="124"/>
      <c r="P164" s="124"/>
      <c r="Q164" s="124"/>
      <c r="R164" s="124"/>
      <c r="S164" s="124"/>
      <c r="T164" s="124"/>
      <c r="U164" s="124"/>
      <c r="V164" s="124"/>
      <c r="W164" s="124"/>
      <c r="X164" s="124"/>
      <c r="Y164" s="124"/>
      <c r="Z164" s="124"/>
    </row>
    <row r="165" ht="29.25" customHeight="1">
      <c r="A165" s="124"/>
      <c r="B165" s="124"/>
      <c r="C165" s="124"/>
      <c r="D165" s="124"/>
      <c r="E165" s="124"/>
      <c r="F165" s="124"/>
      <c r="G165" s="124"/>
      <c r="H165" s="124"/>
      <c r="I165" s="126"/>
      <c r="J165" s="124"/>
      <c r="K165" s="124"/>
      <c r="L165" s="124"/>
      <c r="M165" s="124"/>
      <c r="N165" s="124"/>
      <c r="O165" s="124"/>
      <c r="P165" s="124"/>
      <c r="Q165" s="124"/>
      <c r="R165" s="124"/>
      <c r="S165" s="124"/>
      <c r="T165" s="124"/>
      <c r="U165" s="124"/>
      <c r="V165" s="124"/>
      <c r="W165" s="124"/>
      <c r="X165" s="124"/>
      <c r="Y165" s="124"/>
      <c r="Z165" s="124"/>
    </row>
    <row r="166" ht="29.25" customHeight="1">
      <c r="A166" s="124"/>
      <c r="B166" s="124"/>
      <c r="C166" s="124"/>
      <c r="D166" s="124"/>
      <c r="E166" s="124"/>
      <c r="F166" s="124"/>
      <c r="G166" s="124"/>
      <c r="H166" s="124"/>
      <c r="I166" s="126"/>
      <c r="J166" s="124"/>
      <c r="K166" s="124"/>
      <c r="L166" s="124"/>
      <c r="M166" s="124"/>
      <c r="N166" s="124"/>
      <c r="O166" s="124"/>
      <c r="P166" s="124"/>
      <c r="Q166" s="124"/>
      <c r="R166" s="124"/>
      <c r="S166" s="124"/>
      <c r="T166" s="124"/>
      <c r="U166" s="124"/>
      <c r="V166" s="124"/>
      <c r="W166" s="124"/>
      <c r="X166" s="124"/>
      <c r="Y166" s="124"/>
      <c r="Z166" s="124"/>
    </row>
    <row r="167" ht="29.25" customHeight="1">
      <c r="A167" s="124"/>
      <c r="B167" s="124"/>
      <c r="C167" s="124"/>
      <c r="D167" s="124"/>
      <c r="E167" s="124"/>
      <c r="F167" s="124"/>
      <c r="G167" s="124"/>
      <c r="H167" s="124"/>
      <c r="I167" s="126"/>
      <c r="J167" s="124"/>
      <c r="K167" s="124"/>
      <c r="L167" s="124"/>
      <c r="M167" s="124"/>
      <c r="N167" s="124"/>
      <c r="O167" s="124"/>
      <c r="P167" s="124"/>
      <c r="Q167" s="124"/>
      <c r="R167" s="124"/>
      <c r="S167" s="124"/>
      <c r="T167" s="124"/>
      <c r="U167" s="124"/>
      <c r="V167" s="124"/>
      <c r="W167" s="124"/>
      <c r="X167" s="124"/>
      <c r="Y167" s="124"/>
      <c r="Z167" s="124"/>
    </row>
    <row r="168" ht="29.25" customHeight="1">
      <c r="A168" s="124"/>
      <c r="B168" s="124"/>
      <c r="C168" s="124"/>
      <c r="D168" s="124"/>
      <c r="E168" s="124"/>
      <c r="F168" s="124"/>
      <c r="G168" s="124"/>
      <c r="H168" s="124"/>
      <c r="I168" s="126"/>
      <c r="J168" s="124"/>
      <c r="K168" s="124"/>
      <c r="L168" s="124"/>
      <c r="M168" s="124"/>
      <c r="N168" s="124"/>
      <c r="O168" s="124"/>
      <c r="P168" s="124"/>
      <c r="Q168" s="124"/>
      <c r="R168" s="124"/>
      <c r="S168" s="124"/>
      <c r="T168" s="124"/>
      <c r="U168" s="124"/>
      <c r="V168" s="124"/>
      <c r="W168" s="124"/>
      <c r="X168" s="124"/>
      <c r="Y168" s="124"/>
      <c r="Z168" s="124"/>
    </row>
    <row r="169" ht="29.25" customHeight="1">
      <c r="A169" s="124"/>
      <c r="B169" s="124"/>
      <c r="C169" s="124"/>
      <c r="D169" s="124"/>
      <c r="E169" s="124"/>
      <c r="F169" s="124"/>
      <c r="G169" s="124"/>
      <c r="H169" s="124"/>
      <c r="I169" s="126"/>
      <c r="J169" s="124"/>
      <c r="K169" s="124"/>
      <c r="L169" s="124"/>
      <c r="M169" s="124"/>
      <c r="N169" s="124"/>
      <c r="O169" s="124"/>
      <c r="P169" s="124"/>
      <c r="Q169" s="124"/>
      <c r="R169" s="124"/>
      <c r="S169" s="124"/>
      <c r="T169" s="124"/>
      <c r="U169" s="124"/>
      <c r="V169" s="124"/>
      <c r="W169" s="124"/>
      <c r="X169" s="124"/>
      <c r="Y169" s="124"/>
      <c r="Z169" s="124"/>
    </row>
    <row r="170" ht="29.25" customHeight="1">
      <c r="A170" s="124"/>
      <c r="B170" s="124"/>
      <c r="C170" s="124"/>
      <c r="D170" s="124"/>
      <c r="E170" s="124"/>
      <c r="F170" s="124"/>
      <c r="G170" s="124"/>
      <c r="H170" s="124"/>
      <c r="I170" s="126"/>
      <c r="J170" s="124"/>
      <c r="K170" s="124"/>
      <c r="L170" s="124"/>
      <c r="M170" s="124"/>
      <c r="N170" s="124"/>
      <c r="O170" s="124"/>
      <c r="P170" s="124"/>
      <c r="Q170" s="124"/>
      <c r="R170" s="124"/>
      <c r="S170" s="124"/>
      <c r="T170" s="124"/>
      <c r="U170" s="124"/>
      <c r="V170" s="124"/>
      <c r="W170" s="124"/>
      <c r="X170" s="124"/>
      <c r="Y170" s="124"/>
      <c r="Z170" s="124"/>
    </row>
    <row r="171" ht="29.25" customHeight="1">
      <c r="A171" s="124"/>
      <c r="B171" s="124"/>
      <c r="C171" s="124"/>
      <c r="D171" s="124"/>
      <c r="E171" s="124"/>
      <c r="F171" s="124"/>
      <c r="G171" s="124"/>
      <c r="H171" s="124"/>
      <c r="I171" s="126"/>
      <c r="J171" s="124"/>
      <c r="K171" s="124"/>
      <c r="L171" s="124"/>
      <c r="M171" s="124"/>
      <c r="N171" s="124"/>
      <c r="O171" s="124"/>
      <c r="P171" s="124"/>
      <c r="Q171" s="124"/>
      <c r="R171" s="124"/>
      <c r="S171" s="124"/>
      <c r="T171" s="124"/>
      <c r="U171" s="124"/>
      <c r="V171" s="124"/>
      <c r="W171" s="124"/>
      <c r="X171" s="124"/>
      <c r="Y171" s="124"/>
      <c r="Z171" s="124"/>
    </row>
    <row r="172" ht="29.25" customHeight="1">
      <c r="A172" s="124"/>
      <c r="B172" s="124"/>
      <c r="C172" s="124"/>
      <c r="D172" s="124"/>
      <c r="E172" s="124"/>
      <c r="F172" s="124"/>
      <c r="G172" s="124"/>
      <c r="H172" s="124"/>
      <c r="I172" s="126"/>
      <c r="J172" s="124"/>
      <c r="K172" s="124"/>
      <c r="L172" s="124"/>
      <c r="M172" s="124"/>
      <c r="N172" s="124"/>
      <c r="O172" s="124"/>
      <c r="P172" s="124"/>
      <c r="Q172" s="124"/>
      <c r="R172" s="124"/>
      <c r="S172" s="124"/>
      <c r="T172" s="124"/>
      <c r="U172" s="124"/>
      <c r="V172" s="124"/>
      <c r="W172" s="124"/>
      <c r="X172" s="124"/>
      <c r="Y172" s="124"/>
      <c r="Z172" s="124"/>
    </row>
    <row r="173" ht="29.25" customHeight="1">
      <c r="A173" s="124"/>
      <c r="B173" s="124"/>
      <c r="C173" s="124"/>
      <c r="D173" s="124"/>
      <c r="E173" s="124"/>
      <c r="F173" s="124"/>
      <c r="G173" s="124"/>
      <c r="H173" s="124"/>
      <c r="I173" s="126"/>
      <c r="J173" s="124"/>
      <c r="K173" s="124"/>
      <c r="L173" s="124"/>
      <c r="M173" s="124"/>
      <c r="N173" s="124"/>
      <c r="O173" s="124"/>
      <c r="P173" s="124"/>
      <c r="Q173" s="124"/>
      <c r="R173" s="124"/>
      <c r="S173" s="124"/>
      <c r="T173" s="124"/>
      <c r="U173" s="124"/>
      <c r="V173" s="124"/>
      <c r="W173" s="124"/>
      <c r="X173" s="124"/>
      <c r="Y173" s="124"/>
      <c r="Z173" s="124"/>
    </row>
    <row r="174" ht="29.25" customHeight="1">
      <c r="A174" s="124"/>
      <c r="B174" s="124"/>
      <c r="C174" s="124"/>
      <c r="D174" s="124"/>
      <c r="E174" s="124"/>
      <c r="F174" s="124"/>
      <c r="G174" s="124"/>
      <c r="H174" s="124"/>
      <c r="I174" s="126"/>
      <c r="J174" s="124"/>
      <c r="K174" s="124"/>
      <c r="L174" s="124"/>
      <c r="M174" s="124"/>
      <c r="N174" s="124"/>
      <c r="O174" s="124"/>
      <c r="P174" s="124"/>
      <c r="Q174" s="124"/>
      <c r="R174" s="124"/>
      <c r="S174" s="124"/>
      <c r="T174" s="124"/>
      <c r="U174" s="124"/>
      <c r="V174" s="124"/>
      <c r="W174" s="124"/>
      <c r="X174" s="124"/>
      <c r="Y174" s="124"/>
      <c r="Z174" s="124"/>
    </row>
    <row r="175" ht="29.25" customHeight="1">
      <c r="A175" s="124"/>
      <c r="B175" s="124"/>
      <c r="C175" s="124"/>
      <c r="D175" s="124"/>
      <c r="E175" s="124"/>
      <c r="F175" s="124"/>
      <c r="G175" s="124"/>
      <c r="H175" s="124"/>
      <c r="I175" s="126"/>
      <c r="J175" s="124"/>
      <c r="K175" s="124"/>
      <c r="L175" s="124"/>
      <c r="M175" s="124"/>
      <c r="N175" s="124"/>
      <c r="O175" s="124"/>
      <c r="P175" s="124"/>
      <c r="Q175" s="124"/>
      <c r="R175" s="124"/>
      <c r="S175" s="124"/>
      <c r="T175" s="124"/>
      <c r="U175" s="124"/>
      <c r="V175" s="124"/>
      <c r="W175" s="124"/>
      <c r="X175" s="124"/>
      <c r="Y175" s="124"/>
      <c r="Z175" s="124"/>
    </row>
    <row r="176" ht="29.25" customHeight="1">
      <c r="A176" s="124"/>
      <c r="B176" s="124"/>
      <c r="C176" s="124"/>
      <c r="D176" s="124"/>
      <c r="E176" s="124"/>
      <c r="F176" s="124"/>
      <c r="G176" s="124"/>
      <c r="H176" s="124"/>
      <c r="I176" s="126"/>
      <c r="J176" s="124"/>
      <c r="K176" s="124"/>
      <c r="L176" s="124"/>
      <c r="M176" s="124"/>
      <c r="N176" s="124"/>
      <c r="O176" s="124"/>
      <c r="P176" s="124"/>
      <c r="Q176" s="124"/>
      <c r="R176" s="124"/>
      <c r="S176" s="124"/>
      <c r="T176" s="124"/>
      <c r="U176" s="124"/>
      <c r="V176" s="124"/>
      <c r="W176" s="124"/>
      <c r="X176" s="124"/>
      <c r="Y176" s="124"/>
      <c r="Z176" s="124"/>
    </row>
    <row r="177" ht="29.25" customHeight="1">
      <c r="A177" s="124"/>
      <c r="B177" s="124"/>
      <c r="C177" s="124"/>
      <c r="D177" s="124"/>
      <c r="E177" s="124"/>
      <c r="F177" s="124"/>
      <c r="G177" s="124"/>
      <c r="H177" s="124"/>
      <c r="I177" s="126"/>
      <c r="J177" s="124"/>
      <c r="K177" s="124"/>
      <c r="L177" s="124"/>
      <c r="M177" s="124"/>
      <c r="N177" s="124"/>
      <c r="O177" s="124"/>
      <c r="P177" s="124"/>
      <c r="Q177" s="124"/>
      <c r="R177" s="124"/>
      <c r="S177" s="124"/>
      <c r="T177" s="124"/>
      <c r="U177" s="124"/>
      <c r="V177" s="124"/>
      <c r="W177" s="124"/>
      <c r="X177" s="124"/>
      <c r="Y177" s="124"/>
      <c r="Z177" s="124"/>
    </row>
    <row r="178" ht="29.25" customHeight="1">
      <c r="A178" s="124"/>
      <c r="B178" s="124"/>
      <c r="C178" s="124"/>
      <c r="D178" s="124"/>
      <c r="E178" s="124"/>
      <c r="F178" s="124"/>
      <c r="G178" s="124"/>
      <c r="H178" s="124"/>
      <c r="I178" s="126"/>
      <c r="J178" s="124"/>
      <c r="K178" s="124"/>
      <c r="L178" s="124"/>
      <c r="M178" s="124"/>
      <c r="N178" s="124"/>
      <c r="O178" s="124"/>
      <c r="P178" s="124"/>
      <c r="Q178" s="124"/>
      <c r="R178" s="124"/>
      <c r="S178" s="124"/>
      <c r="T178" s="124"/>
      <c r="U178" s="124"/>
      <c r="V178" s="124"/>
      <c r="W178" s="124"/>
      <c r="X178" s="124"/>
      <c r="Y178" s="124"/>
      <c r="Z178" s="124"/>
    </row>
    <row r="179" ht="29.25" customHeight="1">
      <c r="A179" s="124"/>
      <c r="B179" s="124"/>
      <c r="C179" s="124"/>
      <c r="D179" s="124"/>
      <c r="E179" s="124"/>
      <c r="F179" s="124"/>
      <c r="G179" s="124"/>
      <c r="H179" s="124"/>
      <c r="I179" s="126"/>
      <c r="J179" s="124"/>
      <c r="K179" s="124"/>
      <c r="L179" s="124"/>
      <c r="M179" s="124"/>
      <c r="N179" s="124"/>
      <c r="O179" s="124"/>
      <c r="P179" s="124"/>
      <c r="Q179" s="124"/>
      <c r="R179" s="124"/>
      <c r="S179" s="124"/>
      <c r="T179" s="124"/>
      <c r="U179" s="124"/>
      <c r="V179" s="124"/>
      <c r="W179" s="124"/>
      <c r="X179" s="124"/>
      <c r="Y179" s="124"/>
      <c r="Z179" s="124"/>
    </row>
    <row r="180" ht="29.25" customHeight="1">
      <c r="A180" s="124"/>
      <c r="B180" s="124"/>
      <c r="C180" s="124"/>
      <c r="D180" s="124"/>
      <c r="E180" s="124"/>
      <c r="F180" s="124"/>
      <c r="G180" s="124"/>
      <c r="H180" s="124"/>
      <c r="I180" s="126"/>
      <c r="J180" s="124"/>
      <c r="K180" s="124"/>
      <c r="L180" s="124"/>
      <c r="M180" s="124"/>
      <c r="N180" s="124"/>
      <c r="O180" s="124"/>
      <c r="P180" s="124"/>
      <c r="Q180" s="124"/>
      <c r="R180" s="124"/>
      <c r="S180" s="124"/>
      <c r="T180" s="124"/>
      <c r="U180" s="124"/>
      <c r="V180" s="124"/>
      <c r="W180" s="124"/>
      <c r="X180" s="124"/>
      <c r="Y180" s="124"/>
      <c r="Z180" s="124"/>
    </row>
    <row r="181" ht="29.25" customHeight="1">
      <c r="A181" s="124"/>
      <c r="B181" s="124"/>
      <c r="C181" s="124"/>
      <c r="D181" s="124"/>
      <c r="E181" s="124"/>
      <c r="F181" s="124"/>
      <c r="G181" s="124"/>
      <c r="H181" s="124"/>
      <c r="I181" s="126"/>
      <c r="J181" s="124"/>
      <c r="K181" s="124"/>
      <c r="L181" s="124"/>
      <c r="M181" s="124"/>
      <c r="N181" s="124"/>
      <c r="O181" s="124"/>
      <c r="P181" s="124"/>
      <c r="Q181" s="124"/>
      <c r="R181" s="124"/>
      <c r="S181" s="124"/>
      <c r="T181" s="124"/>
      <c r="U181" s="124"/>
      <c r="V181" s="124"/>
      <c r="W181" s="124"/>
      <c r="X181" s="124"/>
      <c r="Y181" s="124"/>
      <c r="Z181" s="124"/>
    </row>
    <row r="182" ht="29.25" customHeight="1">
      <c r="A182" s="124"/>
      <c r="B182" s="124"/>
      <c r="C182" s="124"/>
      <c r="D182" s="124"/>
      <c r="E182" s="124"/>
      <c r="F182" s="124"/>
      <c r="G182" s="124"/>
      <c r="H182" s="124"/>
      <c r="I182" s="126"/>
      <c r="J182" s="124"/>
      <c r="K182" s="124"/>
      <c r="L182" s="124"/>
      <c r="M182" s="124"/>
      <c r="N182" s="124"/>
      <c r="O182" s="124"/>
      <c r="P182" s="124"/>
      <c r="Q182" s="124"/>
      <c r="R182" s="124"/>
      <c r="S182" s="124"/>
      <c r="T182" s="124"/>
      <c r="U182" s="124"/>
      <c r="V182" s="124"/>
      <c r="W182" s="124"/>
      <c r="X182" s="124"/>
      <c r="Y182" s="124"/>
      <c r="Z182" s="124"/>
    </row>
    <row r="183" ht="29.25" customHeight="1">
      <c r="A183" s="124"/>
      <c r="B183" s="124"/>
      <c r="C183" s="124"/>
      <c r="D183" s="124"/>
      <c r="E183" s="124"/>
      <c r="F183" s="124"/>
      <c r="G183" s="124"/>
      <c r="H183" s="124"/>
      <c r="I183" s="126"/>
      <c r="J183" s="124"/>
      <c r="K183" s="124"/>
      <c r="L183" s="124"/>
      <c r="M183" s="124"/>
      <c r="N183" s="124"/>
      <c r="O183" s="124"/>
      <c r="P183" s="124"/>
      <c r="Q183" s="124"/>
      <c r="R183" s="124"/>
      <c r="S183" s="124"/>
      <c r="T183" s="124"/>
      <c r="U183" s="124"/>
      <c r="V183" s="124"/>
      <c r="W183" s="124"/>
      <c r="X183" s="124"/>
      <c r="Y183" s="124"/>
      <c r="Z183" s="124"/>
    </row>
    <row r="184" ht="29.25" customHeight="1">
      <c r="A184" s="124"/>
      <c r="B184" s="124"/>
      <c r="C184" s="124"/>
      <c r="D184" s="124"/>
      <c r="E184" s="124"/>
      <c r="F184" s="124"/>
      <c r="G184" s="124"/>
      <c r="H184" s="124"/>
      <c r="I184" s="126"/>
      <c r="J184" s="124"/>
      <c r="K184" s="124"/>
      <c r="L184" s="124"/>
      <c r="M184" s="124"/>
      <c r="N184" s="124"/>
      <c r="O184" s="124"/>
      <c r="P184" s="124"/>
      <c r="Q184" s="124"/>
      <c r="R184" s="124"/>
      <c r="S184" s="124"/>
      <c r="T184" s="124"/>
      <c r="U184" s="124"/>
      <c r="V184" s="124"/>
      <c r="W184" s="124"/>
      <c r="X184" s="124"/>
      <c r="Y184" s="124"/>
      <c r="Z184" s="124"/>
    </row>
    <row r="185" ht="29.25" customHeight="1">
      <c r="A185" s="124"/>
      <c r="B185" s="124"/>
      <c r="C185" s="124"/>
      <c r="D185" s="124"/>
      <c r="E185" s="124"/>
      <c r="F185" s="124"/>
      <c r="G185" s="124"/>
      <c r="H185" s="124"/>
      <c r="I185" s="126"/>
      <c r="J185" s="124"/>
      <c r="K185" s="124"/>
      <c r="L185" s="124"/>
      <c r="M185" s="124"/>
      <c r="N185" s="124"/>
      <c r="O185" s="124"/>
      <c r="P185" s="124"/>
      <c r="Q185" s="124"/>
      <c r="R185" s="124"/>
      <c r="S185" s="124"/>
      <c r="T185" s="124"/>
      <c r="U185" s="124"/>
      <c r="V185" s="124"/>
      <c r="W185" s="124"/>
      <c r="X185" s="124"/>
      <c r="Y185" s="124"/>
      <c r="Z185" s="124"/>
    </row>
    <row r="186" ht="29.25" customHeight="1">
      <c r="A186" s="124"/>
      <c r="B186" s="124"/>
      <c r="C186" s="124"/>
      <c r="D186" s="124"/>
      <c r="E186" s="124"/>
      <c r="F186" s="124"/>
      <c r="G186" s="124"/>
      <c r="H186" s="124"/>
      <c r="I186" s="126"/>
      <c r="J186" s="124"/>
      <c r="K186" s="124"/>
      <c r="L186" s="124"/>
      <c r="M186" s="124"/>
      <c r="N186" s="124"/>
      <c r="O186" s="124"/>
      <c r="P186" s="124"/>
      <c r="Q186" s="124"/>
      <c r="R186" s="124"/>
      <c r="S186" s="124"/>
      <c r="T186" s="124"/>
      <c r="U186" s="124"/>
      <c r="V186" s="124"/>
      <c r="W186" s="124"/>
      <c r="X186" s="124"/>
      <c r="Y186" s="124"/>
      <c r="Z186" s="124"/>
    </row>
    <row r="187" ht="29.25" customHeight="1">
      <c r="A187" s="124"/>
      <c r="B187" s="124"/>
      <c r="C187" s="124"/>
      <c r="D187" s="124"/>
      <c r="E187" s="124"/>
      <c r="F187" s="124"/>
      <c r="G187" s="124"/>
      <c r="H187" s="124"/>
      <c r="I187" s="126"/>
      <c r="J187" s="124"/>
      <c r="K187" s="124"/>
      <c r="L187" s="124"/>
      <c r="M187" s="124"/>
      <c r="N187" s="124"/>
      <c r="O187" s="124"/>
      <c r="P187" s="124"/>
      <c r="Q187" s="124"/>
      <c r="R187" s="124"/>
      <c r="S187" s="124"/>
      <c r="T187" s="124"/>
      <c r="U187" s="124"/>
      <c r="V187" s="124"/>
      <c r="W187" s="124"/>
      <c r="X187" s="124"/>
      <c r="Y187" s="124"/>
      <c r="Z187" s="124"/>
    </row>
    <row r="188" ht="29.25" customHeight="1">
      <c r="A188" s="124"/>
      <c r="B188" s="124"/>
      <c r="C188" s="124"/>
      <c r="D188" s="124"/>
      <c r="E188" s="124"/>
      <c r="F188" s="124"/>
      <c r="G188" s="124"/>
      <c r="H188" s="124"/>
      <c r="I188" s="126"/>
      <c r="J188" s="124"/>
      <c r="K188" s="124"/>
      <c r="L188" s="124"/>
      <c r="M188" s="124"/>
      <c r="N188" s="124"/>
      <c r="O188" s="124"/>
      <c r="P188" s="124"/>
      <c r="Q188" s="124"/>
      <c r="R188" s="124"/>
      <c r="S188" s="124"/>
      <c r="T188" s="124"/>
      <c r="U188" s="124"/>
      <c r="V188" s="124"/>
      <c r="W188" s="124"/>
      <c r="X188" s="124"/>
      <c r="Y188" s="124"/>
      <c r="Z188" s="124"/>
    </row>
    <row r="189" ht="29.25" customHeight="1">
      <c r="A189" s="124"/>
      <c r="B189" s="124"/>
      <c r="C189" s="124"/>
      <c r="D189" s="124"/>
      <c r="E189" s="124"/>
      <c r="F189" s="124"/>
      <c r="G189" s="124"/>
      <c r="H189" s="124"/>
      <c r="I189" s="126"/>
      <c r="J189" s="124"/>
      <c r="K189" s="124"/>
      <c r="L189" s="124"/>
      <c r="M189" s="124"/>
      <c r="N189" s="124"/>
      <c r="O189" s="124"/>
      <c r="P189" s="124"/>
      <c r="Q189" s="124"/>
      <c r="R189" s="124"/>
      <c r="S189" s="124"/>
      <c r="T189" s="124"/>
      <c r="U189" s="124"/>
      <c r="V189" s="124"/>
      <c r="W189" s="124"/>
      <c r="X189" s="124"/>
      <c r="Y189" s="124"/>
      <c r="Z189" s="124"/>
    </row>
    <row r="190" ht="29.25" customHeight="1">
      <c r="A190" s="124"/>
      <c r="B190" s="124"/>
      <c r="C190" s="124"/>
      <c r="D190" s="124"/>
      <c r="E190" s="124"/>
      <c r="F190" s="124"/>
      <c r="G190" s="124"/>
      <c r="H190" s="124"/>
      <c r="I190" s="126"/>
      <c r="J190" s="124"/>
      <c r="K190" s="124"/>
      <c r="L190" s="124"/>
      <c r="M190" s="124"/>
      <c r="N190" s="124"/>
      <c r="O190" s="124"/>
      <c r="P190" s="124"/>
      <c r="Q190" s="124"/>
      <c r="R190" s="124"/>
      <c r="S190" s="124"/>
      <c r="T190" s="124"/>
      <c r="U190" s="124"/>
      <c r="V190" s="124"/>
      <c r="W190" s="124"/>
      <c r="X190" s="124"/>
      <c r="Y190" s="124"/>
      <c r="Z190" s="124"/>
    </row>
    <row r="191" ht="29.25" customHeight="1">
      <c r="A191" s="124"/>
      <c r="B191" s="124"/>
      <c r="C191" s="124"/>
      <c r="D191" s="124"/>
      <c r="E191" s="124"/>
      <c r="F191" s="124"/>
      <c r="G191" s="124"/>
      <c r="H191" s="124"/>
      <c r="I191" s="126"/>
      <c r="J191" s="124"/>
      <c r="K191" s="124"/>
      <c r="L191" s="124"/>
      <c r="M191" s="124"/>
      <c r="N191" s="124"/>
      <c r="O191" s="124"/>
      <c r="P191" s="124"/>
      <c r="Q191" s="124"/>
      <c r="R191" s="124"/>
      <c r="S191" s="124"/>
      <c r="T191" s="124"/>
      <c r="U191" s="124"/>
      <c r="V191" s="124"/>
      <c r="W191" s="124"/>
      <c r="X191" s="124"/>
      <c r="Y191" s="124"/>
      <c r="Z191" s="124"/>
    </row>
    <row r="192" ht="29.25" customHeight="1">
      <c r="A192" s="124"/>
      <c r="B192" s="124"/>
      <c r="C192" s="124"/>
      <c r="D192" s="124"/>
      <c r="E192" s="124"/>
      <c r="F192" s="124"/>
      <c r="G192" s="124"/>
      <c r="H192" s="124"/>
      <c r="I192" s="126"/>
      <c r="J192" s="124"/>
      <c r="K192" s="124"/>
      <c r="L192" s="124"/>
      <c r="M192" s="124"/>
      <c r="N192" s="124"/>
      <c r="O192" s="124"/>
      <c r="P192" s="124"/>
      <c r="Q192" s="124"/>
      <c r="R192" s="124"/>
      <c r="S192" s="124"/>
      <c r="T192" s="124"/>
      <c r="U192" s="124"/>
      <c r="V192" s="124"/>
      <c r="W192" s="124"/>
      <c r="X192" s="124"/>
      <c r="Y192" s="124"/>
      <c r="Z192" s="124"/>
    </row>
    <row r="193" ht="29.25" customHeight="1">
      <c r="A193" s="124"/>
      <c r="B193" s="124"/>
      <c r="C193" s="124"/>
      <c r="D193" s="124"/>
      <c r="E193" s="124"/>
      <c r="F193" s="124"/>
      <c r="G193" s="124"/>
      <c r="H193" s="124"/>
      <c r="I193" s="126"/>
      <c r="J193" s="124"/>
      <c r="K193" s="124"/>
      <c r="L193" s="124"/>
      <c r="M193" s="124"/>
      <c r="N193" s="124"/>
      <c r="O193" s="124"/>
      <c r="P193" s="124"/>
      <c r="Q193" s="124"/>
      <c r="R193" s="124"/>
      <c r="S193" s="124"/>
      <c r="T193" s="124"/>
      <c r="U193" s="124"/>
      <c r="V193" s="124"/>
      <c r="W193" s="124"/>
      <c r="X193" s="124"/>
      <c r="Y193" s="124"/>
      <c r="Z193" s="124"/>
    </row>
    <row r="194" ht="29.25" customHeight="1">
      <c r="A194" s="124"/>
      <c r="B194" s="124"/>
      <c r="C194" s="124"/>
      <c r="D194" s="124"/>
      <c r="E194" s="124"/>
      <c r="F194" s="124"/>
      <c r="G194" s="124"/>
      <c r="H194" s="124"/>
      <c r="I194" s="126"/>
      <c r="J194" s="124"/>
      <c r="K194" s="124"/>
      <c r="L194" s="124"/>
      <c r="M194" s="124"/>
      <c r="N194" s="124"/>
      <c r="O194" s="124"/>
      <c r="P194" s="124"/>
      <c r="Q194" s="124"/>
      <c r="R194" s="124"/>
      <c r="S194" s="124"/>
      <c r="T194" s="124"/>
      <c r="U194" s="124"/>
      <c r="V194" s="124"/>
      <c r="W194" s="124"/>
      <c r="X194" s="124"/>
      <c r="Y194" s="124"/>
      <c r="Z194" s="124"/>
    </row>
    <row r="195" ht="29.25" customHeight="1">
      <c r="A195" s="124"/>
      <c r="B195" s="124"/>
      <c r="C195" s="124"/>
      <c r="D195" s="124"/>
      <c r="E195" s="124"/>
      <c r="F195" s="124"/>
      <c r="G195" s="124"/>
      <c r="H195" s="124"/>
      <c r="I195" s="126"/>
      <c r="J195" s="124"/>
      <c r="K195" s="124"/>
      <c r="L195" s="124"/>
      <c r="M195" s="124"/>
      <c r="N195" s="124"/>
      <c r="O195" s="124"/>
      <c r="P195" s="124"/>
      <c r="Q195" s="124"/>
      <c r="R195" s="124"/>
      <c r="S195" s="124"/>
      <c r="T195" s="124"/>
      <c r="U195" s="124"/>
      <c r="V195" s="124"/>
      <c r="W195" s="124"/>
      <c r="X195" s="124"/>
      <c r="Y195" s="124"/>
      <c r="Z195" s="124"/>
    </row>
    <row r="196" ht="29.25" customHeight="1">
      <c r="A196" s="124"/>
      <c r="B196" s="124"/>
      <c r="C196" s="124"/>
      <c r="D196" s="124"/>
      <c r="E196" s="124"/>
      <c r="F196" s="124"/>
      <c r="G196" s="124"/>
      <c r="H196" s="124"/>
      <c r="I196" s="126"/>
      <c r="J196" s="124"/>
      <c r="K196" s="124"/>
      <c r="L196" s="124"/>
      <c r="M196" s="124"/>
      <c r="N196" s="124"/>
      <c r="O196" s="124"/>
      <c r="P196" s="124"/>
      <c r="Q196" s="124"/>
      <c r="R196" s="124"/>
      <c r="S196" s="124"/>
      <c r="T196" s="124"/>
      <c r="U196" s="124"/>
      <c r="V196" s="124"/>
      <c r="W196" s="124"/>
      <c r="X196" s="124"/>
      <c r="Y196" s="124"/>
      <c r="Z196" s="124"/>
    </row>
    <row r="197" ht="29.25" customHeight="1">
      <c r="A197" s="124"/>
      <c r="B197" s="124"/>
      <c r="C197" s="124"/>
      <c r="D197" s="124"/>
      <c r="E197" s="124"/>
      <c r="F197" s="124"/>
      <c r="G197" s="124"/>
      <c r="H197" s="124"/>
      <c r="I197" s="126"/>
      <c r="J197" s="124"/>
      <c r="K197" s="124"/>
      <c r="L197" s="124"/>
      <c r="M197" s="124"/>
      <c r="N197" s="124"/>
      <c r="O197" s="124"/>
      <c r="P197" s="124"/>
      <c r="Q197" s="124"/>
      <c r="R197" s="124"/>
      <c r="S197" s="124"/>
      <c r="T197" s="124"/>
      <c r="U197" s="124"/>
      <c r="V197" s="124"/>
      <c r="W197" s="124"/>
      <c r="X197" s="124"/>
      <c r="Y197" s="124"/>
      <c r="Z197" s="124"/>
    </row>
    <row r="198" ht="29.25" customHeight="1">
      <c r="A198" s="124"/>
      <c r="B198" s="124"/>
      <c r="C198" s="124"/>
      <c r="D198" s="124"/>
      <c r="E198" s="124"/>
      <c r="F198" s="124"/>
      <c r="G198" s="124"/>
      <c r="H198" s="124"/>
      <c r="I198" s="126"/>
      <c r="J198" s="124"/>
      <c r="K198" s="124"/>
      <c r="L198" s="124"/>
      <c r="M198" s="124"/>
      <c r="N198" s="124"/>
      <c r="O198" s="124"/>
      <c r="P198" s="124"/>
      <c r="Q198" s="124"/>
      <c r="R198" s="124"/>
      <c r="S198" s="124"/>
      <c r="T198" s="124"/>
      <c r="U198" s="124"/>
      <c r="V198" s="124"/>
      <c r="W198" s="124"/>
      <c r="X198" s="124"/>
      <c r="Y198" s="124"/>
      <c r="Z198" s="124"/>
    </row>
    <row r="199" ht="29.25" customHeight="1">
      <c r="A199" s="124"/>
      <c r="B199" s="124"/>
      <c r="C199" s="124"/>
      <c r="D199" s="124"/>
      <c r="E199" s="124"/>
      <c r="F199" s="124"/>
      <c r="G199" s="124"/>
      <c r="H199" s="124"/>
      <c r="I199" s="126"/>
      <c r="J199" s="124"/>
      <c r="K199" s="124"/>
      <c r="L199" s="124"/>
      <c r="M199" s="124"/>
      <c r="N199" s="124"/>
      <c r="O199" s="124"/>
      <c r="P199" s="124"/>
      <c r="Q199" s="124"/>
      <c r="R199" s="124"/>
      <c r="S199" s="124"/>
      <c r="T199" s="124"/>
      <c r="U199" s="124"/>
      <c r="V199" s="124"/>
      <c r="W199" s="124"/>
      <c r="X199" s="124"/>
      <c r="Y199" s="124"/>
      <c r="Z199" s="124"/>
    </row>
    <row r="200" ht="29.25" customHeight="1">
      <c r="A200" s="124"/>
      <c r="B200" s="124"/>
      <c r="C200" s="124"/>
      <c r="D200" s="124"/>
      <c r="E200" s="124"/>
      <c r="F200" s="124"/>
      <c r="G200" s="124"/>
      <c r="H200" s="124"/>
      <c r="I200" s="126"/>
      <c r="J200" s="124"/>
      <c r="K200" s="124"/>
      <c r="L200" s="124"/>
      <c r="M200" s="124"/>
      <c r="N200" s="124"/>
      <c r="O200" s="124"/>
      <c r="P200" s="124"/>
      <c r="Q200" s="124"/>
      <c r="R200" s="124"/>
      <c r="S200" s="124"/>
      <c r="T200" s="124"/>
      <c r="U200" s="124"/>
      <c r="V200" s="124"/>
      <c r="W200" s="124"/>
      <c r="X200" s="124"/>
      <c r="Y200" s="124"/>
      <c r="Z200" s="124"/>
    </row>
    <row r="201" ht="29.25" customHeight="1">
      <c r="A201" s="124"/>
      <c r="B201" s="124"/>
      <c r="C201" s="124"/>
      <c r="D201" s="124"/>
      <c r="E201" s="124"/>
      <c r="F201" s="124"/>
      <c r="G201" s="124"/>
      <c r="H201" s="124"/>
      <c r="I201" s="126"/>
      <c r="J201" s="124"/>
      <c r="K201" s="124"/>
      <c r="L201" s="124"/>
      <c r="M201" s="124"/>
      <c r="N201" s="124"/>
      <c r="O201" s="124"/>
      <c r="P201" s="124"/>
      <c r="Q201" s="124"/>
      <c r="R201" s="124"/>
      <c r="S201" s="124"/>
      <c r="T201" s="124"/>
      <c r="U201" s="124"/>
      <c r="V201" s="124"/>
      <c r="W201" s="124"/>
      <c r="X201" s="124"/>
      <c r="Y201" s="124"/>
      <c r="Z201" s="124"/>
    </row>
    <row r="202" ht="29.25" customHeight="1">
      <c r="A202" s="124"/>
      <c r="B202" s="124"/>
      <c r="C202" s="124"/>
      <c r="D202" s="124"/>
      <c r="E202" s="124"/>
      <c r="F202" s="124"/>
      <c r="G202" s="124"/>
      <c r="H202" s="124"/>
      <c r="I202" s="126"/>
      <c r="J202" s="124"/>
      <c r="K202" s="124"/>
      <c r="L202" s="124"/>
      <c r="M202" s="124"/>
      <c r="N202" s="124"/>
      <c r="O202" s="124"/>
      <c r="P202" s="124"/>
      <c r="Q202" s="124"/>
      <c r="R202" s="124"/>
      <c r="S202" s="124"/>
      <c r="T202" s="124"/>
      <c r="U202" s="124"/>
      <c r="V202" s="124"/>
      <c r="W202" s="124"/>
      <c r="X202" s="124"/>
      <c r="Y202" s="124"/>
      <c r="Z202" s="124"/>
    </row>
    <row r="203" ht="29.25" customHeight="1">
      <c r="A203" s="124"/>
      <c r="B203" s="124"/>
      <c r="C203" s="124"/>
      <c r="D203" s="124"/>
      <c r="E203" s="124"/>
      <c r="F203" s="124"/>
      <c r="G203" s="124"/>
      <c r="H203" s="124"/>
      <c r="I203" s="126"/>
      <c r="J203" s="124"/>
      <c r="K203" s="124"/>
      <c r="L203" s="124"/>
      <c r="M203" s="124"/>
      <c r="N203" s="124"/>
      <c r="O203" s="124"/>
      <c r="P203" s="124"/>
      <c r="Q203" s="124"/>
      <c r="R203" s="124"/>
      <c r="S203" s="124"/>
      <c r="T203" s="124"/>
      <c r="U203" s="124"/>
      <c r="V203" s="124"/>
      <c r="W203" s="124"/>
      <c r="X203" s="124"/>
      <c r="Y203" s="124"/>
      <c r="Z203" s="124"/>
    </row>
    <row r="204" ht="29.25" customHeight="1">
      <c r="A204" s="124"/>
      <c r="B204" s="124"/>
      <c r="C204" s="124"/>
      <c r="D204" s="124"/>
      <c r="E204" s="124"/>
      <c r="F204" s="124"/>
      <c r="G204" s="124"/>
      <c r="H204" s="124"/>
      <c r="I204" s="126"/>
      <c r="J204" s="124"/>
      <c r="K204" s="124"/>
      <c r="L204" s="124"/>
      <c r="M204" s="124"/>
      <c r="N204" s="124"/>
      <c r="O204" s="124"/>
      <c r="P204" s="124"/>
      <c r="Q204" s="124"/>
      <c r="R204" s="124"/>
      <c r="S204" s="124"/>
      <c r="T204" s="124"/>
      <c r="U204" s="124"/>
      <c r="V204" s="124"/>
      <c r="W204" s="124"/>
      <c r="X204" s="124"/>
      <c r="Y204" s="124"/>
      <c r="Z204" s="124"/>
    </row>
    <row r="205" ht="29.25" customHeight="1">
      <c r="A205" s="124"/>
      <c r="B205" s="124"/>
      <c r="C205" s="124"/>
      <c r="D205" s="124"/>
      <c r="E205" s="124"/>
      <c r="F205" s="124"/>
      <c r="G205" s="124"/>
      <c r="H205" s="124"/>
      <c r="I205" s="126"/>
      <c r="J205" s="124"/>
      <c r="K205" s="124"/>
      <c r="L205" s="124"/>
      <c r="M205" s="124"/>
      <c r="N205" s="124"/>
      <c r="O205" s="124"/>
      <c r="P205" s="124"/>
      <c r="Q205" s="124"/>
      <c r="R205" s="124"/>
      <c r="S205" s="124"/>
      <c r="T205" s="124"/>
      <c r="U205" s="124"/>
      <c r="V205" s="124"/>
      <c r="W205" s="124"/>
      <c r="X205" s="124"/>
      <c r="Y205" s="124"/>
      <c r="Z205" s="124"/>
    </row>
    <row r="206" ht="29.25" customHeight="1">
      <c r="A206" s="124"/>
      <c r="B206" s="124"/>
      <c r="C206" s="124"/>
      <c r="D206" s="124"/>
      <c r="E206" s="124"/>
      <c r="F206" s="124"/>
      <c r="G206" s="124"/>
      <c r="H206" s="124"/>
      <c r="I206" s="126"/>
      <c r="J206" s="124"/>
      <c r="K206" s="124"/>
      <c r="L206" s="124"/>
      <c r="M206" s="124"/>
      <c r="N206" s="124"/>
      <c r="O206" s="124"/>
      <c r="P206" s="124"/>
      <c r="Q206" s="124"/>
      <c r="R206" s="124"/>
      <c r="S206" s="124"/>
      <c r="T206" s="124"/>
      <c r="U206" s="124"/>
      <c r="V206" s="124"/>
      <c r="W206" s="124"/>
      <c r="X206" s="124"/>
      <c r="Y206" s="124"/>
      <c r="Z206" s="124"/>
    </row>
    <row r="207" ht="29.25" customHeight="1">
      <c r="A207" s="124"/>
      <c r="B207" s="124"/>
      <c r="C207" s="124"/>
      <c r="D207" s="124"/>
      <c r="E207" s="124"/>
      <c r="F207" s="124"/>
      <c r="G207" s="124"/>
      <c r="H207" s="124"/>
      <c r="I207" s="126"/>
      <c r="J207" s="124"/>
      <c r="K207" s="124"/>
      <c r="L207" s="124"/>
      <c r="M207" s="124"/>
      <c r="N207" s="124"/>
      <c r="O207" s="124"/>
      <c r="P207" s="124"/>
      <c r="Q207" s="124"/>
      <c r="R207" s="124"/>
      <c r="S207" s="124"/>
      <c r="T207" s="124"/>
      <c r="U207" s="124"/>
      <c r="V207" s="124"/>
      <c r="W207" s="124"/>
      <c r="X207" s="124"/>
      <c r="Y207" s="124"/>
      <c r="Z207" s="124"/>
    </row>
    <row r="208" ht="29.25" customHeight="1">
      <c r="A208" s="124"/>
      <c r="B208" s="124"/>
      <c r="C208" s="124"/>
      <c r="D208" s="124"/>
      <c r="E208" s="124"/>
      <c r="F208" s="124"/>
      <c r="G208" s="124"/>
      <c r="H208" s="124"/>
      <c r="I208" s="126"/>
      <c r="J208" s="124"/>
      <c r="K208" s="124"/>
      <c r="L208" s="124"/>
      <c r="M208" s="124"/>
      <c r="N208" s="124"/>
      <c r="O208" s="124"/>
      <c r="P208" s="124"/>
      <c r="Q208" s="124"/>
      <c r="R208" s="124"/>
      <c r="S208" s="124"/>
      <c r="T208" s="124"/>
      <c r="U208" s="124"/>
      <c r="V208" s="124"/>
      <c r="W208" s="124"/>
      <c r="X208" s="124"/>
      <c r="Y208" s="124"/>
      <c r="Z208" s="124"/>
    </row>
    <row r="209" ht="29.25" customHeight="1">
      <c r="A209" s="124"/>
      <c r="B209" s="124"/>
      <c r="C209" s="124"/>
      <c r="D209" s="124"/>
      <c r="E209" s="124"/>
      <c r="F209" s="124"/>
      <c r="G209" s="124"/>
      <c r="H209" s="124"/>
      <c r="I209" s="126"/>
      <c r="J209" s="124"/>
      <c r="K209" s="124"/>
      <c r="L209" s="124"/>
      <c r="M209" s="124"/>
      <c r="N209" s="124"/>
      <c r="O209" s="124"/>
      <c r="P209" s="124"/>
      <c r="Q209" s="124"/>
      <c r="R209" s="124"/>
      <c r="S209" s="124"/>
      <c r="T209" s="124"/>
      <c r="U209" s="124"/>
      <c r="V209" s="124"/>
      <c r="W209" s="124"/>
      <c r="X209" s="124"/>
      <c r="Y209" s="124"/>
      <c r="Z209" s="124"/>
    </row>
    <row r="210" ht="29.25" customHeight="1">
      <c r="A210" s="124"/>
      <c r="B210" s="124"/>
      <c r="C210" s="124"/>
      <c r="D210" s="124"/>
      <c r="E210" s="124"/>
      <c r="F210" s="124"/>
      <c r="G210" s="124"/>
      <c r="H210" s="124"/>
      <c r="I210" s="126"/>
      <c r="J210" s="124"/>
      <c r="K210" s="124"/>
      <c r="L210" s="124"/>
      <c r="M210" s="124"/>
      <c r="N210" s="124"/>
      <c r="O210" s="124"/>
      <c r="P210" s="124"/>
      <c r="Q210" s="124"/>
      <c r="R210" s="124"/>
      <c r="S210" s="124"/>
      <c r="T210" s="124"/>
      <c r="U210" s="124"/>
      <c r="V210" s="124"/>
      <c r="W210" s="124"/>
      <c r="X210" s="124"/>
      <c r="Y210" s="124"/>
      <c r="Z210" s="124"/>
    </row>
    <row r="211" ht="29.25" customHeight="1">
      <c r="A211" s="124"/>
      <c r="B211" s="124"/>
      <c r="C211" s="124"/>
      <c r="D211" s="124"/>
      <c r="E211" s="124"/>
      <c r="F211" s="124"/>
      <c r="G211" s="124"/>
      <c r="H211" s="124"/>
      <c r="I211" s="126"/>
      <c r="J211" s="124"/>
      <c r="K211" s="124"/>
      <c r="L211" s="124"/>
      <c r="M211" s="124"/>
      <c r="N211" s="124"/>
      <c r="O211" s="124"/>
      <c r="P211" s="124"/>
      <c r="Q211" s="124"/>
      <c r="R211" s="124"/>
      <c r="S211" s="124"/>
      <c r="T211" s="124"/>
      <c r="U211" s="124"/>
      <c r="V211" s="124"/>
      <c r="W211" s="124"/>
      <c r="X211" s="124"/>
      <c r="Y211" s="124"/>
      <c r="Z211" s="124"/>
    </row>
    <row r="212" ht="29.25" customHeight="1">
      <c r="A212" s="124"/>
      <c r="B212" s="124"/>
      <c r="C212" s="124"/>
      <c r="D212" s="124"/>
      <c r="E212" s="124"/>
      <c r="F212" s="124"/>
      <c r="G212" s="124"/>
      <c r="H212" s="124"/>
      <c r="I212" s="126"/>
      <c r="J212" s="124"/>
      <c r="K212" s="124"/>
      <c r="L212" s="124"/>
      <c r="M212" s="124"/>
      <c r="N212" s="124"/>
      <c r="O212" s="124"/>
      <c r="P212" s="124"/>
      <c r="Q212" s="124"/>
      <c r="R212" s="124"/>
      <c r="S212" s="124"/>
      <c r="T212" s="124"/>
      <c r="U212" s="124"/>
      <c r="V212" s="124"/>
      <c r="W212" s="124"/>
      <c r="X212" s="124"/>
      <c r="Y212" s="124"/>
      <c r="Z212" s="124"/>
    </row>
    <row r="213" ht="29.25" customHeight="1">
      <c r="A213" s="124"/>
      <c r="B213" s="124"/>
      <c r="C213" s="124"/>
      <c r="D213" s="124"/>
      <c r="E213" s="124"/>
      <c r="F213" s="124"/>
      <c r="G213" s="124"/>
      <c r="H213" s="124"/>
      <c r="I213" s="126"/>
      <c r="J213" s="124"/>
      <c r="K213" s="124"/>
      <c r="L213" s="124"/>
      <c r="M213" s="124"/>
      <c r="N213" s="124"/>
      <c r="O213" s="124"/>
      <c r="P213" s="124"/>
      <c r="Q213" s="124"/>
      <c r="R213" s="124"/>
      <c r="S213" s="124"/>
      <c r="T213" s="124"/>
      <c r="U213" s="124"/>
      <c r="V213" s="124"/>
      <c r="W213" s="124"/>
      <c r="X213" s="124"/>
      <c r="Y213" s="124"/>
      <c r="Z213" s="124"/>
    </row>
    <row r="214" ht="29.25" customHeight="1">
      <c r="A214" s="124"/>
      <c r="B214" s="124"/>
      <c r="C214" s="124"/>
      <c r="D214" s="124"/>
      <c r="E214" s="124"/>
      <c r="F214" s="124"/>
      <c r="G214" s="124"/>
      <c r="H214" s="124"/>
      <c r="I214" s="126"/>
      <c r="J214" s="124"/>
      <c r="K214" s="124"/>
      <c r="L214" s="124"/>
      <c r="M214" s="124"/>
      <c r="N214" s="124"/>
      <c r="O214" s="124"/>
      <c r="P214" s="124"/>
      <c r="Q214" s="124"/>
      <c r="R214" s="124"/>
      <c r="S214" s="124"/>
      <c r="T214" s="124"/>
      <c r="U214" s="124"/>
      <c r="V214" s="124"/>
      <c r="W214" s="124"/>
      <c r="X214" s="124"/>
      <c r="Y214" s="124"/>
      <c r="Z214" s="124"/>
    </row>
    <row r="215" ht="29.25" customHeight="1">
      <c r="A215" s="124"/>
      <c r="B215" s="124"/>
      <c r="C215" s="124"/>
      <c r="D215" s="124"/>
      <c r="E215" s="124"/>
      <c r="F215" s="124"/>
      <c r="G215" s="124"/>
      <c r="H215" s="124"/>
      <c r="I215" s="126"/>
      <c r="J215" s="124"/>
      <c r="K215" s="124"/>
      <c r="L215" s="124"/>
      <c r="M215" s="124"/>
      <c r="N215" s="124"/>
      <c r="O215" s="124"/>
      <c r="P215" s="124"/>
      <c r="Q215" s="124"/>
      <c r="R215" s="124"/>
      <c r="S215" s="124"/>
      <c r="T215" s="124"/>
      <c r="U215" s="124"/>
      <c r="V215" s="124"/>
      <c r="W215" s="124"/>
      <c r="X215" s="124"/>
      <c r="Y215" s="124"/>
      <c r="Z215" s="124"/>
    </row>
    <row r="216" ht="29.25" customHeight="1">
      <c r="A216" s="124"/>
      <c r="B216" s="124"/>
      <c r="C216" s="124"/>
      <c r="D216" s="124"/>
      <c r="E216" s="124"/>
      <c r="F216" s="124"/>
      <c r="G216" s="124"/>
      <c r="H216" s="124"/>
      <c r="I216" s="126"/>
      <c r="J216" s="124"/>
      <c r="K216" s="124"/>
      <c r="L216" s="124"/>
      <c r="M216" s="124"/>
      <c r="N216" s="124"/>
      <c r="O216" s="124"/>
      <c r="P216" s="124"/>
      <c r="Q216" s="124"/>
      <c r="R216" s="124"/>
      <c r="S216" s="124"/>
      <c r="T216" s="124"/>
      <c r="U216" s="124"/>
      <c r="V216" s="124"/>
      <c r="W216" s="124"/>
      <c r="X216" s="124"/>
      <c r="Y216" s="124"/>
      <c r="Z216" s="124"/>
    </row>
    <row r="217" ht="29.25" customHeight="1">
      <c r="A217" s="124"/>
      <c r="B217" s="124"/>
      <c r="C217" s="124"/>
      <c r="D217" s="124"/>
      <c r="E217" s="124"/>
      <c r="F217" s="124"/>
      <c r="G217" s="124"/>
      <c r="H217" s="124"/>
      <c r="I217" s="126"/>
      <c r="J217" s="124"/>
      <c r="K217" s="124"/>
      <c r="L217" s="124"/>
      <c r="M217" s="124"/>
      <c r="N217" s="124"/>
      <c r="O217" s="124"/>
      <c r="P217" s="124"/>
      <c r="Q217" s="124"/>
      <c r="R217" s="124"/>
      <c r="S217" s="124"/>
      <c r="T217" s="124"/>
      <c r="U217" s="124"/>
      <c r="V217" s="124"/>
      <c r="W217" s="124"/>
      <c r="X217" s="124"/>
      <c r="Y217" s="124"/>
      <c r="Z217" s="124"/>
    </row>
    <row r="218" ht="29.25" customHeight="1">
      <c r="A218" s="124"/>
      <c r="B218" s="124"/>
      <c r="C218" s="124"/>
      <c r="D218" s="124"/>
      <c r="E218" s="124"/>
      <c r="F218" s="124"/>
      <c r="G218" s="124"/>
      <c r="H218" s="124"/>
      <c r="I218" s="126"/>
      <c r="J218" s="124"/>
      <c r="K218" s="124"/>
      <c r="L218" s="124"/>
      <c r="M218" s="124"/>
      <c r="N218" s="124"/>
      <c r="O218" s="124"/>
      <c r="P218" s="124"/>
      <c r="Q218" s="124"/>
      <c r="R218" s="124"/>
      <c r="S218" s="124"/>
      <c r="T218" s="124"/>
      <c r="U218" s="124"/>
      <c r="V218" s="124"/>
      <c r="W218" s="124"/>
      <c r="X218" s="124"/>
      <c r="Y218" s="124"/>
      <c r="Z218" s="124"/>
    </row>
    <row r="219" ht="29.25" customHeight="1">
      <c r="A219" s="124"/>
      <c r="B219" s="124"/>
      <c r="C219" s="124"/>
      <c r="D219" s="124"/>
      <c r="E219" s="124"/>
      <c r="F219" s="124"/>
      <c r="G219" s="124"/>
      <c r="H219" s="124"/>
      <c r="I219" s="126"/>
      <c r="J219" s="124"/>
      <c r="K219" s="124"/>
      <c r="L219" s="124"/>
      <c r="M219" s="124"/>
      <c r="N219" s="124"/>
      <c r="O219" s="124"/>
      <c r="P219" s="124"/>
      <c r="Q219" s="124"/>
      <c r="R219" s="124"/>
      <c r="S219" s="124"/>
      <c r="T219" s="124"/>
      <c r="U219" s="124"/>
      <c r="V219" s="124"/>
      <c r="W219" s="124"/>
      <c r="X219" s="124"/>
      <c r="Y219" s="124"/>
      <c r="Z219" s="124"/>
    </row>
    <row r="220" ht="29.25" customHeight="1">
      <c r="A220" s="124"/>
      <c r="B220" s="124"/>
      <c r="C220" s="124"/>
      <c r="D220" s="124"/>
      <c r="E220" s="124"/>
      <c r="F220" s="124"/>
      <c r="G220" s="124"/>
      <c r="H220" s="124"/>
      <c r="I220" s="126"/>
      <c r="J220" s="124"/>
      <c r="K220" s="124"/>
      <c r="L220" s="124"/>
      <c r="M220" s="124"/>
      <c r="N220" s="124"/>
      <c r="O220" s="124"/>
      <c r="P220" s="124"/>
      <c r="Q220" s="124"/>
      <c r="R220" s="124"/>
      <c r="S220" s="124"/>
      <c r="T220" s="124"/>
      <c r="U220" s="124"/>
      <c r="V220" s="124"/>
      <c r="W220" s="124"/>
      <c r="X220" s="124"/>
      <c r="Y220" s="124"/>
      <c r="Z220" s="124"/>
    </row>
    <row r="221" ht="29.25" customHeight="1">
      <c r="A221" s="124"/>
      <c r="B221" s="124"/>
      <c r="C221" s="124"/>
      <c r="D221" s="124"/>
      <c r="E221" s="124"/>
      <c r="F221" s="124"/>
      <c r="G221" s="124"/>
      <c r="H221" s="124"/>
      <c r="I221" s="126"/>
      <c r="J221" s="124"/>
      <c r="K221" s="124"/>
      <c r="L221" s="124"/>
      <c r="M221" s="124"/>
      <c r="N221" s="124"/>
      <c r="O221" s="124"/>
      <c r="P221" s="124"/>
      <c r="Q221" s="124"/>
      <c r="R221" s="124"/>
      <c r="S221" s="124"/>
      <c r="T221" s="124"/>
      <c r="U221" s="124"/>
      <c r="V221" s="124"/>
      <c r="W221" s="124"/>
      <c r="X221" s="124"/>
      <c r="Y221" s="124"/>
      <c r="Z221" s="124"/>
    </row>
    <row r="222" ht="29.25" customHeight="1">
      <c r="A222" s="124"/>
      <c r="B222" s="124"/>
      <c r="C222" s="124"/>
      <c r="D222" s="124"/>
      <c r="E222" s="124"/>
      <c r="F222" s="124"/>
      <c r="G222" s="124"/>
      <c r="H222" s="124"/>
      <c r="I222" s="126"/>
      <c r="J222" s="124"/>
      <c r="K222" s="124"/>
      <c r="L222" s="124"/>
      <c r="M222" s="124"/>
      <c r="N222" s="124"/>
      <c r="O222" s="124"/>
      <c r="P222" s="124"/>
      <c r="Q222" s="124"/>
      <c r="R222" s="124"/>
      <c r="S222" s="124"/>
      <c r="T222" s="124"/>
      <c r="U222" s="124"/>
      <c r="V222" s="124"/>
      <c r="W222" s="124"/>
      <c r="X222" s="124"/>
      <c r="Y222" s="124"/>
      <c r="Z222" s="124"/>
    </row>
    <row r="223" ht="29.25" customHeight="1">
      <c r="A223" s="124"/>
      <c r="B223" s="124"/>
      <c r="C223" s="124"/>
      <c r="D223" s="124"/>
      <c r="E223" s="124"/>
      <c r="F223" s="124"/>
      <c r="G223" s="124"/>
      <c r="H223" s="124"/>
      <c r="I223" s="126"/>
      <c r="J223" s="124"/>
      <c r="K223" s="124"/>
      <c r="L223" s="124"/>
      <c r="M223" s="124"/>
      <c r="N223" s="124"/>
      <c r="O223" s="124"/>
      <c r="P223" s="124"/>
      <c r="Q223" s="124"/>
      <c r="R223" s="124"/>
      <c r="S223" s="124"/>
      <c r="T223" s="124"/>
      <c r="U223" s="124"/>
      <c r="V223" s="124"/>
      <c r="W223" s="124"/>
      <c r="X223" s="124"/>
      <c r="Y223" s="124"/>
      <c r="Z223" s="124"/>
    </row>
    <row r="224" ht="29.25" customHeight="1">
      <c r="A224" s="124"/>
      <c r="B224" s="124"/>
      <c r="C224" s="124"/>
      <c r="D224" s="124"/>
      <c r="E224" s="124"/>
      <c r="F224" s="124"/>
      <c r="G224" s="124"/>
      <c r="H224" s="124"/>
      <c r="I224" s="126"/>
      <c r="J224" s="124"/>
      <c r="K224" s="124"/>
      <c r="L224" s="124"/>
      <c r="M224" s="124"/>
      <c r="N224" s="124"/>
      <c r="O224" s="124"/>
      <c r="P224" s="124"/>
      <c r="Q224" s="124"/>
      <c r="R224" s="124"/>
      <c r="S224" s="124"/>
      <c r="T224" s="124"/>
      <c r="U224" s="124"/>
      <c r="V224" s="124"/>
      <c r="W224" s="124"/>
      <c r="X224" s="124"/>
      <c r="Y224" s="124"/>
      <c r="Z224" s="124"/>
    </row>
    <row r="225" ht="29.25" customHeight="1">
      <c r="A225" s="124"/>
      <c r="B225" s="124"/>
      <c r="C225" s="124"/>
      <c r="D225" s="124"/>
      <c r="E225" s="124"/>
      <c r="F225" s="124"/>
      <c r="G225" s="124"/>
      <c r="H225" s="124"/>
      <c r="I225" s="126"/>
      <c r="J225" s="124"/>
      <c r="K225" s="124"/>
      <c r="L225" s="124"/>
      <c r="M225" s="124"/>
      <c r="N225" s="124"/>
      <c r="O225" s="124"/>
      <c r="P225" s="124"/>
      <c r="Q225" s="124"/>
      <c r="R225" s="124"/>
      <c r="S225" s="124"/>
      <c r="T225" s="124"/>
      <c r="U225" s="124"/>
      <c r="V225" s="124"/>
      <c r="W225" s="124"/>
      <c r="X225" s="124"/>
      <c r="Y225" s="124"/>
      <c r="Z225" s="124"/>
    </row>
    <row r="226" ht="29.25" customHeight="1">
      <c r="A226" s="124"/>
      <c r="B226" s="124"/>
      <c r="C226" s="124"/>
      <c r="D226" s="124"/>
      <c r="E226" s="124"/>
      <c r="F226" s="124"/>
      <c r="G226" s="124"/>
      <c r="H226" s="124"/>
      <c r="I226" s="126"/>
      <c r="J226" s="124"/>
      <c r="K226" s="124"/>
      <c r="L226" s="124"/>
      <c r="M226" s="124"/>
      <c r="N226" s="124"/>
      <c r="O226" s="124"/>
      <c r="P226" s="124"/>
      <c r="Q226" s="124"/>
      <c r="R226" s="124"/>
      <c r="S226" s="124"/>
      <c r="T226" s="124"/>
      <c r="U226" s="124"/>
      <c r="V226" s="124"/>
      <c r="W226" s="124"/>
      <c r="X226" s="124"/>
      <c r="Y226" s="124"/>
      <c r="Z226" s="124"/>
    </row>
    <row r="227" ht="29.25" customHeight="1">
      <c r="A227" s="124"/>
      <c r="B227" s="124"/>
      <c r="C227" s="124"/>
      <c r="D227" s="124"/>
      <c r="E227" s="124"/>
      <c r="F227" s="124"/>
      <c r="G227" s="124"/>
      <c r="H227" s="124"/>
      <c r="I227" s="126"/>
      <c r="J227" s="124"/>
      <c r="K227" s="124"/>
      <c r="L227" s="124"/>
      <c r="M227" s="124"/>
      <c r="N227" s="124"/>
      <c r="O227" s="124"/>
      <c r="P227" s="124"/>
      <c r="Q227" s="124"/>
      <c r="R227" s="124"/>
      <c r="S227" s="124"/>
      <c r="T227" s="124"/>
      <c r="U227" s="124"/>
      <c r="V227" s="124"/>
      <c r="W227" s="124"/>
      <c r="X227" s="124"/>
      <c r="Y227" s="124"/>
      <c r="Z227" s="124"/>
    </row>
    <row r="228" ht="29.25" customHeight="1">
      <c r="A228" s="124"/>
      <c r="B228" s="124"/>
      <c r="C228" s="124"/>
      <c r="D228" s="124"/>
      <c r="E228" s="124"/>
      <c r="F228" s="124"/>
      <c r="G228" s="124"/>
      <c r="H228" s="124"/>
      <c r="I228" s="126"/>
      <c r="J228" s="124"/>
      <c r="K228" s="124"/>
      <c r="L228" s="124"/>
      <c r="M228" s="124"/>
      <c r="N228" s="124"/>
      <c r="O228" s="124"/>
      <c r="P228" s="124"/>
      <c r="Q228" s="124"/>
      <c r="R228" s="124"/>
      <c r="S228" s="124"/>
      <c r="T228" s="124"/>
      <c r="U228" s="124"/>
      <c r="V228" s="124"/>
      <c r="W228" s="124"/>
      <c r="X228" s="124"/>
      <c r="Y228" s="124"/>
      <c r="Z228" s="124"/>
    </row>
    <row r="229" ht="29.25" customHeight="1">
      <c r="A229" s="124"/>
      <c r="B229" s="124"/>
      <c r="C229" s="124"/>
      <c r="D229" s="124"/>
      <c r="E229" s="124"/>
      <c r="F229" s="124"/>
      <c r="G229" s="124"/>
      <c r="H229" s="124"/>
      <c r="I229" s="126"/>
      <c r="J229" s="124"/>
      <c r="K229" s="124"/>
      <c r="L229" s="124"/>
      <c r="M229" s="124"/>
      <c r="N229" s="124"/>
      <c r="O229" s="124"/>
      <c r="P229" s="124"/>
      <c r="Q229" s="124"/>
      <c r="R229" s="124"/>
      <c r="S229" s="124"/>
      <c r="T229" s="124"/>
      <c r="U229" s="124"/>
      <c r="V229" s="124"/>
      <c r="W229" s="124"/>
      <c r="X229" s="124"/>
      <c r="Y229" s="124"/>
      <c r="Z229" s="124"/>
    </row>
    <row r="230" ht="29.25" customHeight="1">
      <c r="A230" s="124"/>
      <c r="B230" s="124"/>
      <c r="C230" s="124"/>
      <c r="D230" s="124"/>
      <c r="E230" s="124"/>
      <c r="F230" s="124"/>
      <c r="G230" s="124"/>
      <c r="H230" s="124"/>
      <c r="I230" s="126"/>
      <c r="J230" s="124"/>
      <c r="K230" s="124"/>
      <c r="L230" s="124"/>
      <c r="M230" s="124"/>
      <c r="N230" s="124"/>
      <c r="O230" s="124"/>
      <c r="P230" s="124"/>
      <c r="Q230" s="124"/>
      <c r="R230" s="124"/>
      <c r="S230" s="124"/>
      <c r="T230" s="124"/>
      <c r="U230" s="124"/>
      <c r="V230" s="124"/>
      <c r="W230" s="124"/>
      <c r="X230" s="124"/>
      <c r="Y230" s="124"/>
      <c r="Z230" s="124"/>
    </row>
    <row r="231" ht="29.25" customHeight="1">
      <c r="A231" s="124"/>
      <c r="B231" s="124"/>
      <c r="C231" s="124"/>
      <c r="D231" s="124"/>
      <c r="E231" s="124"/>
      <c r="F231" s="124"/>
      <c r="G231" s="124"/>
      <c r="H231" s="124"/>
      <c r="I231" s="126"/>
      <c r="J231" s="124"/>
      <c r="K231" s="124"/>
      <c r="L231" s="124"/>
      <c r="M231" s="124"/>
      <c r="N231" s="124"/>
      <c r="O231" s="124"/>
      <c r="P231" s="124"/>
      <c r="Q231" s="124"/>
      <c r="R231" s="124"/>
      <c r="S231" s="124"/>
      <c r="T231" s="124"/>
      <c r="U231" s="124"/>
      <c r="V231" s="124"/>
      <c r="W231" s="124"/>
      <c r="X231" s="124"/>
      <c r="Y231" s="124"/>
      <c r="Z231" s="124"/>
    </row>
    <row r="232" ht="29.25" customHeight="1">
      <c r="A232" s="124"/>
      <c r="B232" s="124"/>
      <c r="C232" s="124"/>
      <c r="D232" s="124"/>
      <c r="E232" s="124"/>
      <c r="F232" s="124"/>
      <c r="G232" s="124"/>
      <c r="H232" s="124"/>
      <c r="I232" s="126"/>
      <c r="J232" s="124"/>
      <c r="K232" s="124"/>
      <c r="L232" s="124"/>
      <c r="M232" s="124"/>
      <c r="N232" s="124"/>
      <c r="O232" s="124"/>
      <c r="P232" s="124"/>
      <c r="Q232" s="124"/>
      <c r="R232" s="124"/>
      <c r="S232" s="124"/>
      <c r="T232" s="124"/>
      <c r="U232" s="124"/>
      <c r="V232" s="124"/>
      <c r="W232" s="124"/>
      <c r="X232" s="124"/>
      <c r="Y232" s="124"/>
      <c r="Z232" s="124"/>
    </row>
    <row r="233" ht="29.25" customHeight="1">
      <c r="A233" s="124"/>
      <c r="B233" s="124"/>
      <c r="C233" s="124"/>
      <c r="D233" s="124"/>
      <c r="E233" s="124"/>
      <c r="F233" s="124"/>
      <c r="G233" s="124"/>
      <c r="H233" s="124"/>
      <c r="I233" s="126"/>
      <c r="J233" s="124"/>
      <c r="K233" s="124"/>
      <c r="L233" s="124"/>
      <c r="M233" s="124"/>
      <c r="N233" s="124"/>
      <c r="O233" s="124"/>
      <c r="P233" s="124"/>
      <c r="Q233" s="124"/>
      <c r="R233" s="124"/>
      <c r="S233" s="124"/>
      <c r="T233" s="124"/>
      <c r="U233" s="124"/>
      <c r="V233" s="124"/>
      <c r="W233" s="124"/>
      <c r="X233" s="124"/>
      <c r="Y233" s="124"/>
      <c r="Z233" s="124"/>
    </row>
    <row r="234" ht="29.25" customHeight="1">
      <c r="A234" s="124"/>
      <c r="B234" s="124"/>
      <c r="C234" s="124"/>
      <c r="D234" s="124"/>
      <c r="E234" s="124"/>
      <c r="F234" s="124"/>
      <c r="G234" s="124"/>
      <c r="H234" s="124"/>
      <c r="I234" s="126"/>
      <c r="J234" s="124"/>
      <c r="K234" s="124"/>
      <c r="L234" s="124"/>
      <c r="M234" s="124"/>
      <c r="N234" s="124"/>
      <c r="O234" s="124"/>
      <c r="P234" s="124"/>
      <c r="Q234" s="124"/>
      <c r="R234" s="124"/>
      <c r="S234" s="124"/>
      <c r="T234" s="124"/>
      <c r="U234" s="124"/>
      <c r="V234" s="124"/>
      <c r="W234" s="124"/>
      <c r="X234" s="124"/>
      <c r="Y234" s="124"/>
      <c r="Z234" s="124"/>
    </row>
    <row r="235" ht="29.25" customHeight="1">
      <c r="A235" s="124"/>
      <c r="B235" s="124"/>
      <c r="C235" s="124"/>
      <c r="D235" s="124"/>
      <c r="E235" s="124"/>
      <c r="F235" s="124"/>
      <c r="G235" s="124"/>
      <c r="H235" s="124"/>
      <c r="I235" s="126"/>
      <c r="J235" s="124"/>
      <c r="K235" s="124"/>
      <c r="L235" s="124"/>
      <c r="M235" s="124"/>
      <c r="N235" s="124"/>
      <c r="O235" s="124"/>
      <c r="P235" s="124"/>
      <c r="Q235" s="124"/>
      <c r="R235" s="124"/>
      <c r="S235" s="124"/>
      <c r="T235" s="124"/>
      <c r="U235" s="124"/>
      <c r="V235" s="124"/>
      <c r="W235" s="124"/>
      <c r="X235" s="124"/>
      <c r="Y235" s="124"/>
      <c r="Z235" s="124"/>
    </row>
    <row r="236" ht="29.25" customHeight="1">
      <c r="A236" s="124"/>
      <c r="B236" s="124"/>
      <c r="C236" s="124"/>
      <c r="D236" s="124"/>
      <c r="E236" s="124"/>
      <c r="F236" s="124"/>
      <c r="G236" s="124"/>
      <c r="H236" s="124"/>
      <c r="I236" s="126"/>
      <c r="J236" s="124"/>
      <c r="K236" s="124"/>
      <c r="L236" s="124"/>
      <c r="M236" s="124"/>
      <c r="N236" s="124"/>
      <c r="O236" s="124"/>
      <c r="P236" s="124"/>
      <c r="Q236" s="124"/>
      <c r="R236" s="124"/>
      <c r="S236" s="124"/>
      <c r="T236" s="124"/>
      <c r="U236" s="124"/>
      <c r="V236" s="124"/>
      <c r="W236" s="124"/>
      <c r="X236" s="124"/>
      <c r="Y236" s="124"/>
      <c r="Z236" s="124"/>
    </row>
    <row r="237" ht="29.25" customHeight="1">
      <c r="A237" s="124"/>
      <c r="B237" s="124"/>
      <c r="C237" s="124"/>
      <c r="D237" s="124"/>
      <c r="E237" s="124"/>
      <c r="F237" s="124"/>
      <c r="G237" s="124"/>
      <c r="H237" s="124"/>
      <c r="I237" s="126"/>
      <c r="J237" s="124"/>
      <c r="K237" s="124"/>
      <c r="L237" s="124"/>
      <c r="M237" s="124"/>
      <c r="N237" s="124"/>
      <c r="O237" s="124"/>
      <c r="P237" s="124"/>
      <c r="Q237" s="124"/>
      <c r="R237" s="124"/>
      <c r="S237" s="124"/>
      <c r="T237" s="124"/>
      <c r="U237" s="124"/>
      <c r="V237" s="124"/>
      <c r="W237" s="124"/>
      <c r="X237" s="124"/>
      <c r="Y237" s="124"/>
      <c r="Z237" s="124"/>
    </row>
    <row r="238" ht="29.25" customHeight="1">
      <c r="A238" s="124"/>
      <c r="B238" s="124"/>
      <c r="C238" s="124"/>
      <c r="D238" s="124"/>
      <c r="E238" s="124"/>
      <c r="F238" s="124"/>
      <c r="G238" s="124"/>
      <c r="H238" s="124"/>
      <c r="I238" s="126"/>
      <c r="J238" s="124"/>
      <c r="K238" s="124"/>
      <c r="L238" s="124"/>
      <c r="M238" s="124"/>
      <c r="N238" s="124"/>
      <c r="O238" s="124"/>
      <c r="P238" s="124"/>
      <c r="Q238" s="124"/>
      <c r="R238" s="124"/>
      <c r="S238" s="124"/>
      <c r="T238" s="124"/>
      <c r="U238" s="124"/>
      <c r="V238" s="124"/>
      <c r="W238" s="124"/>
      <c r="X238" s="124"/>
      <c r="Y238" s="124"/>
      <c r="Z238" s="124"/>
    </row>
    <row r="239" ht="29.25" customHeight="1">
      <c r="A239" s="124"/>
      <c r="B239" s="124"/>
      <c r="C239" s="124"/>
      <c r="D239" s="124"/>
      <c r="E239" s="124"/>
      <c r="F239" s="124"/>
      <c r="G239" s="124"/>
      <c r="H239" s="124"/>
      <c r="I239" s="126"/>
      <c r="J239" s="124"/>
      <c r="K239" s="124"/>
      <c r="L239" s="124"/>
      <c r="M239" s="124"/>
      <c r="N239" s="124"/>
      <c r="O239" s="124"/>
      <c r="P239" s="124"/>
      <c r="Q239" s="124"/>
      <c r="R239" s="124"/>
      <c r="S239" s="124"/>
      <c r="T239" s="124"/>
      <c r="U239" s="124"/>
      <c r="V239" s="124"/>
      <c r="W239" s="124"/>
      <c r="X239" s="124"/>
      <c r="Y239" s="124"/>
      <c r="Z239" s="124"/>
    </row>
    <row r="240" ht="29.25" customHeight="1">
      <c r="A240" s="124"/>
      <c r="B240" s="124"/>
      <c r="C240" s="124"/>
      <c r="D240" s="124"/>
      <c r="E240" s="124"/>
      <c r="F240" s="124"/>
      <c r="G240" s="124"/>
      <c r="H240" s="124"/>
      <c r="I240" s="126"/>
      <c r="J240" s="124"/>
      <c r="K240" s="124"/>
      <c r="L240" s="124"/>
      <c r="M240" s="124"/>
      <c r="N240" s="124"/>
      <c r="O240" s="124"/>
      <c r="P240" s="124"/>
      <c r="Q240" s="124"/>
      <c r="R240" s="124"/>
      <c r="S240" s="124"/>
      <c r="T240" s="124"/>
      <c r="U240" s="124"/>
      <c r="V240" s="124"/>
      <c r="W240" s="124"/>
      <c r="X240" s="124"/>
      <c r="Y240" s="124"/>
      <c r="Z240" s="124"/>
    </row>
    <row r="241" ht="29.25" customHeight="1">
      <c r="A241" s="124"/>
      <c r="B241" s="124"/>
      <c r="C241" s="124"/>
      <c r="D241" s="124"/>
      <c r="E241" s="124"/>
      <c r="F241" s="124"/>
      <c r="G241" s="124"/>
      <c r="H241" s="124"/>
      <c r="I241" s="126"/>
      <c r="J241" s="124"/>
      <c r="K241" s="124"/>
      <c r="L241" s="124"/>
      <c r="M241" s="124"/>
      <c r="N241" s="124"/>
      <c r="O241" s="124"/>
      <c r="P241" s="124"/>
      <c r="Q241" s="124"/>
      <c r="R241" s="124"/>
      <c r="S241" s="124"/>
      <c r="T241" s="124"/>
      <c r="U241" s="124"/>
      <c r="V241" s="124"/>
      <c r="W241" s="124"/>
      <c r="X241" s="124"/>
      <c r="Y241" s="124"/>
      <c r="Z241" s="124"/>
    </row>
    <row r="242" ht="29.25" customHeight="1">
      <c r="A242" s="124"/>
      <c r="B242" s="124"/>
      <c r="C242" s="124"/>
      <c r="D242" s="124"/>
      <c r="E242" s="124"/>
      <c r="F242" s="124"/>
      <c r="G242" s="124"/>
      <c r="H242" s="124"/>
      <c r="I242" s="126"/>
      <c r="J242" s="124"/>
      <c r="K242" s="124"/>
      <c r="L242" s="124"/>
      <c r="M242" s="124"/>
      <c r="N242" s="124"/>
      <c r="O242" s="124"/>
      <c r="P242" s="124"/>
      <c r="Q242" s="124"/>
      <c r="R242" s="124"/>
      <c r="S242" s="124"/>
      <c r="T242" s="124"/>
      <c r="U242" s="124"/>
      <c r="V242" s="124"/>
      <c r="W242" s="124"/>
      <c r="X242" s="124"/>
      <c r="Y242" s="124"/>
      <c r="Z242" s="124"/>
    </row>
    <row r="243" ht="29.25" customHeight="1">
      <c r="A243" s="124"/>
      <c r="B243" s="124"/>
      <c r="C243" s="124"/>
      <c r="D243" s="124"/>
      <c r="E243" s="124"/>
      <c r="F243" s="124"/>
      <c r="G243" s="124"/>
      <c r="H243" s="124"/>
      <c r="I243" s="126"/>
      <c r="J243" s="124"/>
      <c r="K243" s="124"/>
      <c r="L243" s="124"/>
      <c r="M243" s="124"/>
      <c r="N243" s="124"/>
      <c r="O243" s="124"/>
      <c r="P243" s="124"/>
      <c r="Q243" s="124"/>
      <c r="R243" s="124"/>
      <c r="S243" s="124"/>
      <c r="T243" s="124"/>
      <c r="U243" s="124"/>
      <c r="V243" s="124"/>
      <c r="W243" s="124"/>
      <c r="X243" s="124"/>
      <c r="Y243" s="124"/>
      <c r="Z243" s="124"/>
    </row>
    <row r="244" ht="29.25" customHeight="1">
      <c r="A244" s="124"/>
      <c r="B244" s="124"/>
      <c r="C244" s="124"/>
      <c r="D244" s="124"/>
      <c r="E244" s="124"/>
      <c r="F244" s="124"/>
      <c r="G244" s="124"/>
      <c r="H244" s="124"/>
      <c r="I244" s="126"/>
      <c r="J244" s="124"/>
      <c r="K244" s="124"/>
      <c r="L244" s="124"/>
      <c r="M244" s="124"/>
      <c r="N244" s="124"/>
      <c r="O244" s="124"/>
      <c r="P244" s="124"/>
      <c r="Q244" s="124"/>
      <c r="R244" s="124"/>
      <c r="S244" s="124"/>
      <c r="T244" s="124"/>
      <c r="U244" s="124"/>
      <c r="V244" s="124"/>
      <c r="W244" s="124"/>
      <c r="X244" s="124"/>
      <c r="Y244" s="124"/>
      <c r="Z244" s="124"/>
    </row>
    <row r="245" ht="29.25" customHeight="1">
      <c r="A245" s="124"/>
      <c r="B245" s="124"/>
      <c r="C245" s="124"/>
      <c r="D245" s="124"/>
      <c r="E245" s="124"/>
      <c r="F245" s="124"/>
      <c r="G245" s="124"/>
      <c r="H245" s="124"/>
      <c r="I245" s="126"/>
      <c r="J245" s="124"/>
      <c r="K245" s="124"/>
      <c r="L245" s="124"/>
      <c r="M245" s="124"/>
      <c r="N245" s="124"/>
      <c r="O245" s="124"/>
      <c r="P245" s="124"/>
      <c r="Q245" s="124"/>
      <c r="R245" s="124"/>
      <c r="S245" s="124"/>
      <c r="T245" s="124"/>
      <c r="U245" s="124"/>
      <c r="V245" s="124"/>
      <c r="W245" s="124"/>
      <c r="X245" s="124"/>
      <c r="Y245" s="124"/>
      <c r="Z245" s="124"/>
    </row>
    <row r="246" ht="29.25" customHeight="1">
      <c r="A246" s="124"/>
      <c r="B246" s="124"/>
      <c r="C246" s="124"/>
      <c r="D246" s="124"/>
      <c r="E246" s="124"/>
      <c r="F246" s="124"/>
      <c r="G246" s="124"/>
      <c r="H246" s="124"/>
      <c r="I246" s="126"/>
      <c r="J246" s="124"/>
      <c r="K246" s="124"/>
      <c r="L246" s="124"/>
      <c r="M246" s="124"/>
      <c r="N246" s="124"/>
      <c r="O246" s="124"/>
      <c r="P246" s="124"/>
      <c r="Q246" s="124"/>
      <c r="R246" s="124"/>
      <c r="S246" s="124"/>
      <c r="T246" s="124"/>
      <c r="U246" s="124"/>
      <c r="V246" s="124"/>
      <c r="W246" s="124"/>
      <c r="X246" s="124"/>
      <c r="Y246" s="124"/>
      <c r="Z246" s="124"/>
    </row>
    <row r="247" ht="29.25" customHeight="1">
      <c r="A247" s="124"/>
      <c r="B247" s="124"/>
      <c r="C247" s="124"/>
      <c r="D247" s="124"/>
      <c r="E247" s="124"/>
      <c r="F247" s="124"/>
      <c r="G247" s="124"/>
      <c r="H247" s="124"/>
      <c r="I247" s="126"/>
      <c r="J247" s="124"/>
      <c r="K247" s="124"/>
      <c r="L247" s="124"/>
      <c r="M247" s="124"/>
      <c r="N247" s="124"/>
      <c r="O247" s="124"/>
      <c r="P247" s="124"/>
      <c r="Q247" s="124"/>
      <c r="R247" s="124"/>
      <c r="S247" s="124"/>
      <c r="T247" s="124"/>
      <c r="U247" s="124"/>
      <c r="V247" s="124"/>
      <c r="W247" s="124"/>
      <c r="X247" s="124"/>
      <c r="Y247" s="124"/>
      <c r="Z247" s="124"/>
    </row>
    <row r="248" ht="29.25" customHeight="1">
      <c r="A248" s="124"/>
      <c r="B248" s="124"/>
      <c r="C248" s="124"/>
      <c r="D248" s="124"/>
      <c r="E248" s="124"/>
      <c r="F248" s="124"/>
      <c r="G248" s="124"/>
      <c r="H248" s="124"/>
      <c r="I248" s="126"/>
      <c r="J248" s="124"/>
      <c r="K248" s="124"/>
      <c r="L248" s="124"/>
      <c r="M248" s="124"/>
      <c r="N248" s="124"/>
      <c r="O248" s="124"/>
      <c r="P248" s="124"/>
      <c r="Q248" s="124"/>
      <c r="R248" s="124"/>
      <c r="S248" s="124"/>
      <c r="T248" s="124"/>
      <c r="U248" s="124"/>
      <c r="V248" s="124"/>
      <c r="W248" s="124"/>
      <c r="X248" s="124"/>
      <c r="Y248" s="124"/>
      <c r="Z248" s="124"/>
    </row>
    <row r="249" ht="29.25" customHeight="1">
      <c r="A249" s="124"/>
      <c r="B249" s="124"/>
      <c r="C249" s="124"/>
      <c r="D249" s="124"/>
      <c r="E249" s="124"/>
      <c r="F249" s="124"/>
      <c r="G249" s="124"/>
      <c r="H249" s="124"/>
      <c r="I249" s="126"/>
      <c r="J249" s="124"/>
      <c r="K249" s="124"/>
      <c r="L249" s="124"/>
      <c r="M249" s="124"/>
      <c r="N249" s="124"/>
      <c r="O249" s="124"/>
      <c r="P249" s="124"/>
      <c r="Q249" s="124"/>
      <c r="R249" s="124"/>
      <c r="S249" s="124"/>
      <c r="T249" s="124"/>
      <c r="U249" s="124"/>
      <c r="V249" s="124"/>
      <c r="W249" s="124"/>
      <c r="X249" s="124"/>
      <c r="Y249" s="124"/>
      <c r="Z249" s="124"/>
    </row>
    <row r="250" ht="29.25" customHeight="1">
      <c r="A250" s="124"/>
      <c r="B250" s="124"/>
      <c r="C250" s="124"/>
      <c r="D250" s="124"/>
      <c r="E250" s="124"/>
      <c r="F250" s="124"/>
      <c r="G250" s="124"/>
      <c r="H250" s="124"/>
      <c r="I250" s="126"/>
      <c r="J250" s="124"/>
      <c r="K250" s="124"/>
      <c r="L250" s="124"/>
      <c r="M250" s="124"/>
      <c r="N250" s="124"/>
      <c r="O250" s="124"/>
      <c r="P250" s="124"/>
      <c r="Q250" s="124"/>
      <c r="R250" s="124"/>
      <c r="S250" s="124"/>
      <c r="T250" s="124"/>
      <c r="U250" s="124"/>
      <c r="V250" s="124"/>
      <c r="W250" s="124"/>
      <c r="X250" s="124"/>
      <c r="Y250" s="124"/>
      <c r="Z250" s="124"/>
    </row>
    <row r="251" ht="29.25" customHeight="1">
      <c r="A251" s="124"/>
      <c r="B251" s="124"/>
      <c r="C251" s="124"/>
      <c r="D251" s="124"/>
      <c r="E251" s="124"/>
      <c r="F251" s="124"/>
      <c r="G251" s="124"/>
      <c r="H251" s="124"/>
      <c r="I251" s="126"/>
      <c r="J251" s="124"/>
      <c r="K251" s="124"/>
      <c r="L251" s="124"/>
      <c r="M251" s="124"/>
      <c r="N251" s="124"/>
      <c r="O251" s="124"/>
      <c r="P251" s="124"/>
      <c r="Q251" s="124"/>
      <c r="R251" s="124"/>
      <c r="S251" s="124"/>
      <c r="T251" s="124"/>
      <c r="U251" s="124"/>
      <c r="V251" s="124"/>
      <c r="W251" s="124"/>
      <c r="X251" s="124"/>
      <c r="Y251" s="124"/>
      <c r="Z251" s="124"/>
    </row>
    <row r="252" ht="29.25" customHeight="1">
      <c r="A252" s="124"/>
      <c r="B252" s="124"/>
      <c r="C252" s="124"/>
      <c r="D252" s="124"/>
      <c r="E252" s="124"/>
      <c r="F252" s="124"/>
      <c r="G252" s="124"/>
      <c r="H252" s="124"/>
      <c r="I252" s="126"/>
      <c r="J252" s="124"/>
      <c r="K252" s="124"/>
      <c r="L252" s="124"/>
      <c r="M252" s="124"/>
      <c r="N252" s="124"/>
      <c r="O252" s="124"/>
      <c r="P252" s="124"/>
      <c r="Q252" s="124"/>
      <c r="R252" s="124"/>
      <c r="S252" s="124"/>
      <c r="T252" s="124"/>
      <c r="U252" s="124"/>
      <c r="V252" s="124"/>
      <c r="W252" s="124"/>
      <c r="X252" s="124"/>
      <c r="Y252" s="124"/>
      <c r="Z252" s="124"/>
    </row>
    <row r="253" ht="29.25" customHeight="1">
      <c r="A253" s="124"/>
      <c r="B253" s="124"/>
      <c r="C253" s="124"/>
      <c r="D253" s="124"/>
      <c r="E253" s="124"/>
      <c r="F253" s="124"/>
      <c r="G253" s="124"/>
      <c r="H253" s="124"/>
      <c r="I253" s="126"/>
      <c r="J253" s="124"/>
      <c r="K253" s="124"/>
      <c r="L253" s="124"/>
      <c r="M253" s="124"/>
      <c r="N253" s="124"/>
      <c r="O253" s="124"/>
      <c r="P253" s="124"/>
      <c r="Q253" s="124"/>
      <c r="R253" s="124"/>
      <c r="S253" s="124"/>
      <c r="T253" s="124"/>
      <c r="U253" s="124"/>
      <c r="V253" s="124"/>
      <c r="W253" s="124"/>
      <c r="X253" s="124"/>
      <c r="Y253" s="124"/>
      <c r="Z253" s="124"/>
    </row>
    <row r="254" ht="29.25" customHeight="1">
      <c r="A254" s="124"/>
      <c r="B254" s="124"/>
      <c r="C254" s="124"/>
      <c r="D254" s="124"/>
      <c r="E254" s="124"/>
      <c r="F254" s="124"/>
      <c r="G254" s="124"/>
      <c r="H254" s="124"/>
      <c r="I254" s="126"/>
      <c r="J254" s="124"/>
      <c r="K254" s="124"/>
      <c r="L254" s="124"/>
      <c r="M254" s="124"/>
      <c r="N254" s="124"/>
      <c r="O254" s="124"/>
      <c r="P254" s="124"/>
      <c r="Q254" s="124"/>
      <c r="R254" s="124"/>
      <c r="S254" s="124"/>
      <c r="T254" s="124"/>
      <c r="U254" s="124"/>
      <c r="V254" s="124"/>
      <c r="W254" s="124"/>
      <c r="X254" s="124"/>
      <c r="Y254" s="124"/>
      <c r="Z254" s="124"/>
    </row>
    <row r="255" ht="29.25" customHeight="1">
      <c r="A255" s="124"/>
      <c r="B255" s="124"/>
      <c r="C255" s="124"/>
      <c r="D255" s="124"/>
      <c r="E255" s="124"/>
      <c r="F255" s="124"/>
      <c r="G255" s="124"/>
      <c r="H255" s="124"/>
      <c r="I255" s="126"/>
      <c r="J255" s="124"/>
      <c r="K255" s="124"/>
      <c r="L255" s="124"/>
      <c r="M255" s="124"/>
      <c r="N255" s="124"/>
      <c r="O255" s="124"/>
      <c r="P255" s="124"/>
      <c r="Q255" s="124"/>
      <c r="R255" s="124"/>
      <c r="S255" s="124"/>
      <c r="T255" s="124"/>
      <c r="U255" s="124"/>
      <c r="V255" s="124"/>
      <c r="W255" s="124"/>
      <c r="X255" s="124"/>
      <c r="Y255" s="124"/>
      <c r="Z255" s="124"/>
    </row>
    <row r="256" ht="29.25" customHeight="1">
      <c r="A256" s="124"/>
      <c r="B256" s="124"/>
      <c r="C256" s="124"/>
      <c r="D256" s="124"/>
      <c r="E256" s="124"/>
      <c r="F256" s="124"/>
      <c r="G256" s="124"/>
      <c r="H256" s="124"/>
      <c r="I256" s="126"/>
      <c r="J256" s="124"/>
      <c r="K256" s="124"/>
      <c r="L256" s="124"/>
      <c r="M256" s="124"/>
      <c r="N256" s="124"/>
      <c r="O256" s="124"/>
      <c r="P256" s="124"/>
      <c r="Q256" s="124"/>
      <c r="R256" s="124"/>
      <c r="S256" s="124"/>
      <c r="T256" s="124"/>
      <c r="U256" s="124"/>
      <c r="V256" s="124"/>
      <c r="W256" s="124"/>
      <c r="X256" s="124"/>
      <c r="Y256" s="124"/>
      <c r="Z256" s="124"/>
    </row>
    <row r="257" ht="29.25" customHeight="1">
      <c r="A257" s="124"/>
      <c r="B257" s="124"/>
      <c r="C257" s="124"/>
      <c r="D257" s="124"/>
      <c r="E257" s="124"/>
      <c r="F257" s="124"/>
      <c r="G257" s="124"/>
      <c r="H257" s="124"/>
      <c r="I257" s="126"/>
      <c r="J257" s="124"/>
      <c r="K257" s="124"/>
      <c r="L257" s="124"/>
      <c r="M257" s="124"/>
      <c r="N257" s="124"/>
      <c r="O257" s="124"/>
      <c r="P257" s="124"/>
      <c r="Q257" s="124"/>
      <c r="R257" s="124"/>
      <c r="S257" s="124"/>
      <c r="T257" s="124"/>
      <c r="U257" s="124"/>
      <c r="V257" s="124"/>
      <c r="W257" s="124"/>
      <c r="X257" s="124"/>
      <c r="Y257" s="124"/>
      <c r="Z257" s="124"/>
    </row>
    <row r="258" ht="29.25" customHeight="1">
      <c r="A258" s="124"/>
      <c r="B258" s="124"/>
      <c r="C258" s="124"/>
      <c r="D258" s="124"/>
      <c r="E258" s="124"/>
      <c r="F258" s="124"/>
      <c r="G258" s="124"/>
      <c r="H258" s="124"/>
      <c r="I258" s="126"/>
      <c r="J258" s="124"/>
      <c r="K258" s="124"/>
      <c r="L258" s="124"/>
      <c r="M258" s="124"/>
      <c r="N258" s="124"/>
      <c r="O258" s="124"/>
      <c r="P258" s="124"/>
      <c r="Q258" s="124"/>
      <c r="R258" s="124"/>
      <c r="S258" s="124"/>
      <c r="T258" s="124"/>
      <c r="U258" s="124"/>
      <c r="V258" s="124"/>
      <c r="W258" s="124"/>
      <c r="X258" s="124"/>
      <c r="Y258" s="124"/>
      <c r="Z258" s="124"/>
    </row>
    <row r="259" ht="29.25" customHeight="1">
      <c r="A259" s="124"/>
      <c r="B259" s="124"/>
      <c r="C259" s="124"/>
      <c r="D259" s="124"/>
      <c r="E259" s="124"/>
      <c r="F259" s="124"/>
      <c r="G259" s="124"/>
      <c r="H259" s="124"/>
      <c r="I259" s="126"/>
      <c r="J259" s="124"/>
      <c r="K259" s="124"/>
      <c r="L259" s="124"/>
      <c r="M259" s="124"/>
      <c r="N259" s="124"/>
      <c r="O259" s="124"/>
      <c r="P259" s="124"/>
      <c r="Q259" s="124"/>
      <c r="R259" s="124"/>
      <c r="S259" s="124"/>
      <c r="T259" s="124"/>
      <c r="U259" s="124"/>
      <c r="V259" s="124"/>
      <c r="W259" s="124"/>
      <c r="X259" s="124"/>
      <c r="Y259" s="124"/>
      <c r="Z259" s="124"/>
    </row>
    <row r="260" ht="29.25" customHeight="1">
      <c r="A260" s="124"/>
      <c r="B260" s="124"/>
      <c r="C260" s="124"/>
      <c r="D260" s="124"/>
      <c r="E260" s="124"/>
      <c r="F260" s="124"/>
      <c r="G260" s="124"/>
      <c r="H260" s="124"/>
      <c r="I260" s="126"/>
      <c r="J260" s="124"/>
      <c r="K260" s="124"/>
      <c r="L260" s="124"/>
      <c r="M260" s="124"/>
      <c r="N260" s="124"/>
      <c r="O260" s="124"/>
      <c r="P260" s="124"/>
      <c r="Q260" s="124"/>
      <c r="R260" s="124"/>
      <c r="S260" s="124"/>
      <c r="T260" s="124"/>
      <c r="U260" s="124"/>
      <c r="V260" s="124"/>
      <c r="W260" s="124"/>
      <c r="X260" s="124"/>
      <c r="Y260" s="124"/>
      <c r="Z260" s="124"/>
    </row>
    <row r="261" ht="29.25" customHeight="1">
      <c r="A261" s="124"/>
      <c r="B261" s="124"/>
      <c r="C261" s="124"/>
      <c r="D261" s="124"/>
      <c r="E261" s="124"/>
      <c r="F261" s="124"/>
      <c r="G261" s="124"/>
      <c r="H261" s="124"/>
      <c r="I261" s="126"/>
      <c r="J261" s="124"/>
      <c r="K261" s="124"/>
      <c r="L261" s="124"/>
      <c r="M261" s="124"/>
      <c r="N261" s="124"/>
      <c r="O261" s="124"/>
      <c r="P261" s="124"/>
      <c r="Q261" s="124"/>
      <c r="R261" s="124"/>
      <c r="S261" s="124"/>
      <c r="T261" s="124"/>
      <c r="U261" s="124"/>
      <c r="V261" s="124"/>
      <c r="W261" s="124"/>
      <c r="X261" s="124"/>
      <c r="Y261" s="124"/>
      <c r="Z261" s="124"/>
    </row>
    <row r="262" ht="29.25" customHeight="1">
      <c r="A262" s="124"/>
      <c r="B262" s="124"/>
      <c r="C262" s="124"/>
      <c r="D262" s="124"/>
      <c r="E262" s="124"/>
      <c r="F262" s="124"/>
      <c r="G262" s="124"/>
      <c r="H262" s="124"/>
      <c r="I262" s="126"/>
      <c r="J262" s="124"/>
      <c r="K262" s="124"/>
      <c r="L262" s="124"/>
      <c r="M262" s="124"/>
      <c r="N262" s="124"/>
      <c r="O262" s="124"/>
      <c r="P262" s="124"/>
      <c r="Q262" s="124"/>
      <c r="R262" s="124"/>
      <c r="S262" s="124"/>
      <c r="T262" s="124"/>
      <c r="U262" s="124"/>
      <c r="V262" s="124"/>
      <c r="W262" s="124"/>
      <c r="X262" s="124"/>
      <c r="Y262" s="124"/>
      <c r="Z262" s="124"/>
    </row>
    <row r="263" ht="29.25" customHeight="1">
      <c r="A263" s="124"/>
      <c r="B263" s="124"/>
      <c r="C263" s="124"/>
      <c r="D263" s="124"/>
      <c r="E263" s="124"/>
      <c r="F263" s="124"/>
      <c r="G263" s="124"/>
      <c r="H263" s="124"/>
      <c r="I263" s="126"/>
      <c r="J263" s="124"/>
      <c r="K263" s="124"/>
      <c r="L263" s="124"/>
      <c r="M263" s="124"/>
      <c r="N263" s="124"/>
      <c r="O263" s="124"/>
      <c r="P263" s="124"/>
      <c r="Q263" s="124"/>
      <c r="R263" s="124"/>
      <c r="S263" s="124"/>
      <c r="T263" s="124"/>
      <c r="U263" s="124"/>
      <c r="V263" s="124"/>
      <c r="W263" s="124"/>
      <c r="X263" s="124"/>
      <c r="Y263" s="124"/>
      <c r="Z263" s="124"/>
    </row>
    <row r="264" ht="29.25" customHeight="1">
      <c r="A264" s="124"/>
      <c r="B264" s="124"/>
      <c r="C264" s="124"/>
      <c r="D264" s="124"/>
      <c r="E264" s="124"/>
      <c r="F264" s="124"/>
      <c r="G264" s="124"/>
      <c r="H264" s="124"/>
      <c r="I264" s="126"/>
      <c r="J264" s="124"/>
      <c r="K264" s="124"/>
      <c r="L264" s="124"/>
      <c r="M264" s="124"/>
      <c r="N264" s="124"/>
      <c r="O264" s="124"/>
      <c r="P264" s="124"/>
      <c r="Q264" s="124"/>
      <c r="R264" s="124"/>
      <c r="S264" s="124"/>
      <c r="T264" s="124"/>
      <c r="U264" s="124"/>
      <c r="V264" s="124"/>
      <c r="W264" s="124"/>
      <c r="X264" s="124"/>
      <c r="Y264" s="124"/>
      <c r="Z264" s="124"/>
    </row>
    <row r="265" ht="29.25" customHeight="1">
      <c r="A265" s="124"/>
      <c r="B265" s="124"/>
      <c r="C265" s="124"/>
      <c r="D265" s="124"/>
      <c r="E265" s="124"/>
      <c r="F265" s="124"/>
      <c r="G265" s="124"/>
      <c r="H265" s="124"/>
      <c r="I265" s="126"/>
      <c r="J265" s="124"/>
      <c r="K265" s="124"/>
      <c r="L265" s="124"/>
      <c r="M265" s="124"/>
      <c r="N265" s="124"/>
      <c r="O265" s="124"/>
      <c r="P265" s="124"/>
      <c r="Q265" s="124"/>
      <c r="R265" s="124"/>
      <c r="S265" s="124"/>
      <c r="T265" s="124"/>
      <c r="U265" s="124"/>
      <c r="V265" s="124"/>
      <c r="W265" s="124"/>
      <c r="X265" s="124"/>
      <c r="Y265" s="124"/>
      <c r="Z265" s="124"/>
    </row>
    <row r="266" ht="29.25" customHeight="1">
      <c r="A266" s="124"/>
      <c r="B266" s="124"/>
      <c r="C266" s="124"/>
      <c r="D266" s="124"/>
      <c r="E266" s="124"/>
      <c r="F266" s="124"/>
      <c r="G266" s="124"/>
      <c r="H266" s="124"/>
      <c r="I266" s="126"/>
      <c r="J266" s="124"/>
      <c r="K266" s="124"/>
      <c r="L266" s="124"/>
      <c r="M266" s="124"/>
      <c r="N266" s="124"/>
      <c r="O266" s="124"/>
      <c r="P266" s="124"/>
      <c r="Q266" s="124"/>
      <c r="R266" s="124"/>
      <c r="S266" s="124"/>
      <c r="T266" s="124"/>
      <c r="U266" s="124"/>
      <c r="V266" s="124"/>
      <c r="W266" s="124"/>
      <c r="X266" s="124"/>
      <c r="Y266" s="124"/>
      <c r="Z266" s="124"/>
    </row>
    <row r="267" ht="29.25" customHeight="1">
      <c r="A267" s="124"/>
      <c r="B267" s="124"/>
      <c r="C267" s="124"/>
      <c r="D267" s="124"/>
      <c r="E267" s="124"/>
      <c r="F267" s="124"/>
      <c r="G267" s="124"/>
      <c r="H267" s="124"/>
      <c r="I267" s="126"/>
      <c r="J267" s="124"/>
      <c r="K267" s="124"/>
      <c r="L267" s="124"/>
      <c r="M267" s="124"/>
      <c r="N267" s="124"/>
      <c r="O267" s="124"/>
      <c r="P267" s="124"/>
      <c r="Q267" s="124"/>
      <c r="R267" s="124"/>
      <c r="S267" s="124"/>
      <c r="T267" s="124"/>
      <c r="U267" s="124"/>
      <c r="V267" s="124"/>
      <c r="W267" s="124"/>
      <c r="X267" s="124"/>
      <c r="Y267" s="124"/>
      <c r="Z267" s="124"/>
    </row>
    <row r="268" ht="29.25" customHeight="1">
      <c r="A268" s="124"/>
      <c r="B268" s="124"/>
      <c r="C268" s="124"/>
      <c r="D268" s="124"/>
      <c r="E268" s="124"/>
      <c r="F268" s="124"/>
      <c r="G268" s="124"/>
      <c r="H268" s="124"/>
      <c r="I268" s="126"/>
      <c r="J268" s="124"/>
      <c r="K268" s="124"/>
      <c r="L268" s="124"/>
      <c r="M268" s="124"/>
      <c r="N268" s="124"/>
      <c r="O268" s="124"/>
      <c r="P268" s="124"/>
      <c r="Q268" s="124"/>
      <c r="R268" s="124"/>
      <c r="S268" s="124"/>
      <c r="T268" s="124"/>
      <c r="U268" s="124"/>
      <c r="V268" s="124"/>
      <c r="W268" s="124"/>
      <c r="X268" s="124"/>
      <c r="Y268" s="124"/>
      <c r="Z268" s="124"/>
    </row>
    <row r="269" ht="29.25" customHeight="1">
      <c r="A269" s="124"/>
      <c r="B269" s="124"/>
      <c r="C269" s="124"/>
      <c r="D269" s="124"/>
      <c r="E269" s="124"/>
      <c r="F269" s="124"/>
      <c r="G269" s="124"/>
      <c r="H269" s="124"/>
      <c r="I269" s="126"/>
      <c r="J269" s="124"/>
      <c r="K269" s="124"/>
      <c r="L269" s="124"/>
      <c r="M269" s="124"/>
      <c r="N269" s="124"/>
      <c r="O269" s="124"/>
      <c r="P269" s="124"/>
      <c r="Q269" s="124"/>
      <c r="R269" s="124"/>
      <c r="S269" s="124"/>
      <c r="T269" s="124"/>
      <c r="U269" s="124"/>
      <c r="V269" s="124"/>
      <c r="W269" s="124"/>
      <c r="X269" s="124"/>
      <c r="Y269" s="124"/>
      <c r="Z269" s="124"/>
    </row>
    <row r="270" ht="29.25" customHeight="1">
      <c r="A270" s="124"/>
      <c r="B270" s="124"/>
      <c r="C270" s="124"/>
      <c r="D270" s="124"/>
      <c r="E270" s="124"/>
      <c r="F270" s="124"/>
      <c r="G270" s="124"/>
      <c r="H270" s="124"/>
      <c r="I270" s="126"/>
      <c r="J270" s="124"/>
      <c r="K270" s="124"/>
      <c r="L270" s="124"/>
      <c r="M270" s="124"/>
      <c r="N270" s="124"/>
      <c r="O270" s="124"/>
      <c r="P270" s="124"/>
      <c r="Q270" s="124"/>
      <c r="R270" s="124"/>
      <c r="S270" s="124"/>
      <c r="T270" s="124"/>
      <c r="U270" s="124"/>
      <c r="V270" s="124"/>
      <c r="W270" s="124"/>
      <c r="X270" s="124"/>
      <c r="Y270" s="124"/>
      <c r="Z270" s="124"/>
    </row>
    <row r="271" ht="29.25" customHeight="1">
      <c r="A271" s="124"/>
      <c r="B271" s="124"/>
      <c r="C271" s="124"/>
      <c r="D271" s="124"/>
      <c r="E271" s="124"/>
      <c r="F271" s="124"/>
      <c r="G271" s="124"/>
      <c r="H271" s="124"/>
      <c r="I271" s="126"/>
      <c r="J271" s="124"/>
      <c r="K271" s="124"/>
      <c r="L271" s="124"/>
      <c r="M271" s="124"/>
      <c r="N271" s="124"/>
      <c r="O271" s="124"/>
      <c r="P271" s="124"/>
      <c r="Q271" s="124"/>
      <c r="R271" s="124"/>
      <c r="S271" s="124"/>
      <c r="T271" s="124"/>
      <c r="U271" s="124"/>
      <c r="V271" s="124"/>
      <c r="W271" s="124"/>
      <c r="X271" s="124"/>
      <c r="Y271" s="124"/>
      <c r="Z271" s="124"/>
    </row>
    <row r="272" ht="29.25" customHeight="1">
      <c r="A272" s="124"/>
      <c r="B272" s="124"/>
      <c r="C272" s="124"/>
      <c r="D272" s="124"/>
      <c r="E272" s="124"/>
      <c r="F272" s="124"/>
      <c r="G272" s="124"/>
      <c r="H272" s="124"/>
      <c r="I272" s="126"/>
      <c r="J272" s="124"/>
      <c r="K272" s="124"/>
      <c r="L272" s="124"/>
      <c r="M272" s="124"/>
      <c r="N272" s="124"/>
      <c r="O272" s="124"/>
      <c r="P272" s="124"/>
      <c r="Q272" s="124"/>
      <c r="R272" s="124"/>
      <c r="S272" s="124"/>
      <c r="T272" s="124"/>
      <c r="U272" s="124"/>
      <c r="V272" s="124"/>
      <c r="W272" s="124"/>
      <c r="X272" s="124"/>
      <c r="Y272" s="124"/>
      <c r="Z272" s="124"/>
    </row>
    <row r="273" ht="29.25" customHeight="1">
      <c r="A273" s="124"/>
      <c r="B273" s="124"/>
      <c r="C273" s="124"/>
      <c r="D273" s="124"/>
      <c r="E273" s="124"/>
      <c r="F273" s="124"/>
      <c r="G273" s="124"/>
      <c r="H273" s="124"/>
      <c r="I273" s="126"/>
      <c r="J273" s="124"/>
      <c r="K273" s="124"/>
      <c r="L273" s="124"/>
      <c r="M273" s="124"/>
      <c r="N273" s="124"/>
      <c r="O273" s="124"/>
      <c r="P273" s="124"/>
      <c r="Q273" s="124"/>
      <c r="R273" s="124"/>
      <c r="S273" s="124"/>
      <c r="T273" s="124"/>
      <c r="U273" s="124"/>
      <c r="V273" s="124"/>
      <c r="W273" s="124"/>
      <c r="X273" s="124"/>
      <c r="Y273" s="124"/>
      <c r="Z273" s="124"/>
    </row>
    <row r="274" ht="29.25" customHeight="1">
      <c r="A274" s="124"/>
      <c r="B274" s="124"/>
      <c r="C274" s="124"/>
      <c r="D274" s="124"/>
      <c r="E274" s="124"/>
      <c r="F274" s="124"/>
      <c r="G274" s="124"/>
      <c r="H274" s="124"/>
      <c r="I274" s="126"/>
      <c r="J274" s="124"/>
      <c r="K274" s="124"/>
      <c r="L274" s="124"/>
      <c r="M274" s="124"/>
      <c r="N274" s="124"/>
      <c r="O274" s="124"/>
      <c r="P274" s="124"/>
      <c r="Q274" s="124"/>
      <c r="R274" s="124"/>
      <c r="S274" s="124"/>
      <c r="T274" s="124"/>
      <c r="U274" s="124"/>
      <c r="V274" s="124"/>
      <c r="W274" s="124"/>
      <c r="X274" s="124"/>
      <c r="Y274" s="124"/>
      <c r="Z274" s="124"/>
    </row>
    <row r="275" ht="29.25" customHeight="1">
      <c r="A275" s="124"/>
      <c r="B275" s="124"/>
      <c r="C275" s="124"/>
      <c r="D275" s="124"/>
      <c r="E275" s="124"/>
      <c r="F275" s="124"/>
      <c r="G275" s="124"/>
      <c r="H275" s="124"/>
      <c r="I275" s="126"/>
      <c r="J275" s="124"/>
      <c r="K275" s="124"/>
      <c r="L275" s="124"/>
      <c r="M275" s="124"/>
      <c r="N275" s="124"/>
      <c r="O275" s="124"/>
      <c r="P275" s="124"/>
      <c r="Q275" s="124"/>
      <c r="R275" s="124"/>
      <c r="S275" s="124"/>
      <c r="T275" s="124"/>
      <c r="U275" s="124"/>
      <c r="V275" s="124"/>
      <c r="W275" s="124"/>
      <c r="X275" s="124"/>
      <c r="Y275" s="124"/>
      <c r="Z275" s="124"/>
    </row>
    <row r="276" ht="29.25" customHeight="1">
      <c r="A276" s="124"/>
      <c r="B276" s="124"/>
      <c r="C276" s="124"/>
      <c r="D276" s="124"/>
      <c r="E276" s="124"/>
      <c r="F276" s="124"/>
      <c r="G276" s="124"/>
      <c r="H276" s="124"/>
      <c r="I276" s="126"/>
      <c r="J276" s="124"/>
      <c r="K276" s="124"/>
      <c r="L276" s="124"/>
      <c r="M276" s="124"/>
      <c r="N276" s="124"/>
      <c r="O276" s="124"/>
      <c r="P276" s="124"/>
      <c r="Q276" s="124"/>
      <c r="R276" s="124"/>
      <c r="S276" s="124"/>
      <c r="T276" s="124"/>
      <c r="U276" s="124"/>
      <c r="V276" s="124"/>
      <c r="W276" s="124"/>
      <c r="X276" s="124"/>
      <c r="Y276" s="124"/>
      <c r="Z276" s="124"/>
    </row>
    <row r="277" ht="29.25" customHeight="1">
      <c r="A277" s="124"/>
      <c r="B277" s="124"/>
      <c r="C277" s="124"/>
      <c r="D277" s="124"/>
      <c r="E277" s="124"/>
      <c r="F277" s="124"/>
      <c r="G277" s="124"/>
      <c r="H277" s="124"/>
      <c r="I277" s="126"/>
      <c r="J277" s="124"/>
      <c r="K277" s="124"/>
      <c r="L277" s="124"/>
      <c r="M277" s="124"/>
      <c r="N277" s="124"/>
      <c r="O277" s="124"/>
      <c r="P277" s="124"/>
      <c r="Q277" s="124"/>
      <c r="R277" s="124"/>
      <c r="S277" s="124"/>
      <c r="T277" s="124"/>
      <c r="U277" s="124"/>
      <c r="V277" s="124"/>
      <c r="W277" s="124"/>
      <c r="X277" s="124"/>
      <c r="Y277" s="124"/>
      <c r="Z277" s="124"/>
    </row>
    <row r="278" ht="29.25" customHeight="1">
      <c r="A278" s="124"/>
      <c r="B278" s="124"/>
      <c r="C278" s="124"/>
      <c r="D278" s="124"/>
      <c r="E278" s="124"/>
      <c r="F278" s="124"/>
      <c r="G278" s="124"/>
      <c r="H278" s="124"/>
      <c r="I278" s="126"/>
      <c r="J278" s="124"/>
      <c r="K278" s="124"/>
      <c r="L278" s="124"/>
      <c r="M278" s="124"/>
      <c r="N278" s="124"/>
      <c r="O278" s="124"/>
      <c r="P278" s="124"/>
      <c r="Q278" s="124"/>
      <c r="R278" s="124"/>
      <c r="S278" s="124"/>
      <c r="T278" s="124"/>
      <c r="U278" s="124"/>
      <c r="V278" s="124"/>
      <c r="W278" s="124"/>
      <c r="X278" s="124"/>
      <c r="Y278" s="124"/>
      <c r="Z278" s="124"/>
    </row>
    <row r="279" ht="29.25" customHeight="1">
      <c r="A279" s="124"/>
      <c r="B279" s="124"/>
      <c r="C279" s="124"/>
      <c r="D279" s="124"/>
      <c r="E279" s="124"/>
      <c r="F279" s="124"/>
      <c r="G279" s="124"/>
      <c r="H279" s="124"/>
      <c r="I279" s="126"/>
      <c r="J279" s="124"/>
      <c r="K279" s="124"/>
      <c r="L279" s="124"/>
      <c r="M279" s="124"/>
      <c r="N279" s="124"/>
      <c r="O279" s="124"/>
      <c r="P279" s="124"/>
      <c r="Q279" s="124"/>
      <c r="R279" s="124"/>
      <c r="S279" s="124"/>
      <c r="T279" s="124"/>
      <c r="U279" s="124"/>
      <c r="V279" s="124"/>
      <c r="W279" s="124"/>
      <c r="X279" s="124"/>
      <c r="Y279" s="124"/>
      <c r="Z279" s="124"/>
    </row>
    <row r="280" ht="29.25" customHeight="1">
      <c r="A280" s="124"/>
      <c r="B280" s="124"/>
      <c r="C280" s="124"/>
      <c r="D280" s="124"/>
      <c r="E280" s="124"/>
      <c r="F280" s="124"/>
      <c r="G280" s="124"/>
      <c r="H280" s="124"/>
      <c r="I280" s="126"/>
      <c r="J280" s="124"/>
      <c r="K280" s="124"/>
      <c r="L280" s="124"/>
      <c r="M280" s="124"/>
      <c r="N280" s="124"/>
      <c r="O280" s="124"/>
      <c r="P280" s="124"/>
      <c r="Q280" s="124"/>
      <c r="R280" s="124"/>
      <c r="S280" s="124"/>
      <c r="T280" s="124"/>
      <c r="U280" s="124"/>
      <c r="V280" s="124"/>
      <c r="W280" s="124"/>
      <c r="X280" s="124"/>
      <c r="Y280" s="124"/>
      <c r="Z280" s="124"/>
    </row>
    <row r="281" ht="29.25" customHeight="1">
      <c r="A281" s="124"/>
      <c r="B281" s="124"/>
      <c r="C281" s="124"/>
      <c r="D281" s="124"/>
      <c r="E281" s="124"/>
      <c r="F281" s="124"/>
      <c r="G281" s="124"/>
      <c r="H281" s="124"/>
      <c r="I281" s="126"/>
      <c r="J281" s="124"/>
      <c r="K281" s="124"/>
      <c r="L281" s="124"/>
      <c r="M281" s="124"/>
      <c r="N281" s="124"/>
      <c r="O281" s="124"/>
      <c r="P281" s="124"/>
      <c r="Q281" s="124"/>
      <c r="R281" s="124"/>
      <c r="S281" s="124"/>
      <c r="T281" s="124"/>
      <c r="U281" s="124"/>
      <c r="V281" s="124"/>
      <c r="W281" s="124"/>
      <c r="X281" s="124"/>
      <c r="Y281" s="124"/>
      <c r="Z281" s="124"/>
    </row>
    <row r="282" ht="29.25" customHeight="1">
      <c r="A282" s="124"/>
      <c r="B282" s="124"/>
      <c r="C282" s="124"/>
      <c r="D282" s="124"/>
      <c r="E282" s="124"/>
      <c r="F282" s="124"/>
      <c r="G282" s="124"/>
      <c r="H282" s="124"/>
      <c r="I282" s="126"/>
      <c r="J282" s="124"/>
      <c r="K282" s="124"/>
      <c r="L282" s="124"/>
      <c r="M282" s="124"/>
      <c r="N282" s="124"/>
      <c r="O282" s="124"/>
      <c r="P282" s="124"/>
      <c r="Q282" s="124"/>
      <c r="R282" s="124"/>
      <c r="S282" s="124"/>
      <c r="T282" s="124"/>
      <c r="U282" s="124"/>
      <c r="V282" s="124"/>
      <c r="W282" s="124"/>
      <c r="X282" s="124"/>
      <c r="Y282" s="124"/>
      <c r="Z282" s="124"/>
    </row>
    <row r="283" ht="29.25" customHeight="1">
      <c r="A283" s="124"/>
      <c r="B283" s="124"/>
      <c r="C283" s="124"/>
      <c r="D283" s="124"/>
      <c r="E283" s="124"/>
      <c r="F283" s="124"/>
      <c r="G283" s="124"/>
      <c r="H283" s="124"/>
      <c r="I283" s="126"/>
      <c r="J283" s="124"/>
      <c r="K283" s="124"/>
      <c r="L283" s="124"/>
      <c r="M283" s="124"/>
      <c r="N283" s="124"/>
      <c r="O283" s="124"/>
      <c r="P283" s="124"/>
      <c r="Q283" s="124"/>
      <c r="R283" s="124"/>
      <c r="S283" s="124"/>
      <c r="T283" s="124"/>
      <c r="U283" s="124"/>
      <c r="V283" s="124"/>
      <c r="W283" s="124"/>
      <c r="X283" s="124"/>
      <c r="Y283" s="124"/>
      <c r="Z283" s="124"/>
    </row>
    <row r="284" ht="29.25" customHeight="1">
      <c r="A284" s="124"/>
      <c r="B284" s="124"/>
      <c r="C284" s="124"/>
      <c r="D284" s="124"/>
      <c r="E284" s="124"/>
      <c r="F284" s="124"/>
      <c r="G284" s="124"/>
      <c r="H284" s="124"/>
      <c r="I284" s="126"/>
      <c r="J284" s="124"/>
      <c r="K284" s="124"/>
      <c r="L284" s="124"/>
      <c r="M284" s="124"/>
      <c r="N284" s="124"/>
      <c r="O284" s="124"/>
      <c r="P284" s="124"/>
      <c r="Q284" s="124"/>
      <c r="R284" s="124"/>
      <c r="S284" s="124"/>
      <c r="T284" s="124"/>
      <c r="U284" s="124"/>
      <c r="V284" s="124"/>
      <c r="W284" s="124"/>
      <c r="X284" s="124"/>
      <c r="Y284" s="124"/>
      <c r="Z284" s="124"/>
    </row>
    <row r="285" ht="29.25" customHeight="1">
      <c r="A285" s="124"/>
      <c r="B285" s="124"/>
      <c r="C285" s="124"/>
      <c r="D285" s="124"/>
      <c r="E285" s="124"/>
      <c r="F285" s="124"/>
      <c r="G285" s="124"/>
      <c r="H285" s="124"/>
      <c r="I285" s="126"/>
      <c r="J285" s="124"/>
      <c r="K285" s="124"/>
      <c r="L285" s="124"/>
      <c r="M285" s="124"/>
      <c r="N285" s="124"/>
      <c r="O285" s="124"/>
      <c r="P285" s="124"/>
      <c r="Q285" s="124"/>
      <c r="R285" s="124"/>
      <c r="S285" s="124"/>
      <c r="T285" s="124"/>
      <c r="U285" s="124"/>
      <c r="V285" s="124"/>
      <c r="W285" s="124"/>
      <c r="X285" s="124"/>
      <c r="Y285" s="124"/>
      <c r="Z285" s="124"/>
    </row>
    <row r="286" ht="29.25" customHeight="1">
      <c r="A286" s="124"/>
      <c r="B286" s="124"/>
      <c r="C286" s="124"/>
      <c r="D286" s="124"/>
      <c r="E286" s="124"/>
      <c r="F286" s="124"/>
      <c r="G286" s="124"/>
      <c r="H286" s="124"/>
      <c r="I286" s="126"/>
      <c r="J286" s="124"/>
      <c r="K286" s="124"/>
      <c r="L286" s="124"/>
      <c r="M286" s="124"/>
      <c r="N286" s="124"/>
      <c r="O286" s="124"/>
      <c r="P286" s="124"/>
      <c r="Q286" s="124"/>
      <c r="R286" s="124"/>
      <c r="S286" s="124"/>
      <c r="T286" s="124"/>
      <c r="U286" s="124"/>
      <c r="V286" s="124"/>
      <c r="W286" s="124"/>
      <c r="X286" s="124"/>
      <c r="Y286" s="124"/>
      <c r="Z286" s="124"/>
    </row>
    <row r="287" ht="29.25" customHeight="1">
      <c r="A287" s="124"/>
      <c r="B287" s="124"/>
      <c r="C287" s="124"/>
      <c r="D287" s="124"/>
      <c r="E287" s="124"/>
      <c r="F287" s="124"/>
      <c r="G287" s="124"/>
      <c r="H287" s="124"/>
      <c r="I287" s="126"/>
      <c r="J287" s="124"/>
      <c r="K287" s="124"/>
      <c r="L287" s="124"/>
      <c r="M287" s="124"/>
      <c r="N287" s="124"/>
      <c r="O287" s="124"/>
      <c r="P287" s="124"/>
      <c r="Q287" s="124"/>
      <c r="R287" s="124"/>
      <c r="S287" s="124"/>
      <c r="T287" s="124"/>
      <c r="U287" s="124"/>
      <c r="V287" s="124"/>
      <c r="W287" s="124"/>
      <c r="X287" s="124"/>
      <c r="Y287" s="124"/>
      <c r="Z287" s="124"/>
    </row>
    <row r="288" ht="29.25" customHeight="1">
      <c r="A288" s="124"/>
      <c r="B288" s="124"/>
      <c r="C288" s="124"/>
      <c r="D288" s="124"/>
      <c r="E288" s="124"/>
      <c r="F288" s="124"/>
      <c r="G288" s="124"/>
      <c r="H288" s="124"/>
      <c r="I288" s="126"/>
      <c r="J288" s="124"/>
      <c r="K288" s="124"/>
      <c r="L288" s="124"/>
      <c r="M288" s="124"/>
      <c r="N288" s="124"/>
      <c r="O288" s="124"/>
      <c r="P288" s="124"/>
      <c r="Q288" s="124"/>
      <c r="R288" s="124"/>
      <c r="S288" s="124"/>
      <c r="T288" s="124"/>
      <c r="U288" s="124"/>
      <c r="V288" s="124"/>
      <c r="W288" s="124"/>
      <c r="X288" s="124"/>
      <c r="Y288" s="124"/>
      <c r="Z288" s="124"/>
    </row>
    <row r="289" ht="29.25" customHeight="1">
      <c r="A289" s="124"/>
      <c r="B289" s="124"/>
      <c r="C289" s="124"/>
      <c r="D289" s="124"/>
      <c r="E289" s="124"/>
      <c r="F289" s="124"/>
      <c r="G289" s="124"/>
      <c r="H289" s="124"/>
      <c r="I289" s="126"/>
      <c r="J289" s="124"/>
      <c r="K289" s="124"/>
      <c r="L289" s="124"/>
      <c r="M289" s="124"/>
      <c r="N289" s="124"/>
      <c r="O289" s="124"/>
      <c r="P289" s="124"/>
      <c r="Q289" s="124"/>
      <c r="R289" s="124"/>
      <c r="S289" s="124"/>
      <c r="T289" s="124"/>
      <c r="U289" s="124"/>
      <c r="V289" s="124"/>
      <c r="W289" s="124"/>
      <c r="X289" s="124"/>
      <c r="Y289" s="124"/>
      <c r="Z289" s="124"/>
    </row>
    <row r="290" ht="29.25" customHeight="1">
      <c r="A290" s="124"/>
      <c r="B290" s="124"/>
      <c r="C290" s="124"/>
      <c r="D290" s="124"/>
      <c r="E290" s="124"/>
      <c r="F290" s="124"/>
      <c r="G290" s="124"/>
      <c r="H290" s="124"/>
      <c r="I290" s="126"/>
      <c r="J290" s="124"/>
      <c r="K290" s="124"/>
      <c r="L290" s="124"/>
      <c r="M290" s="124"/>
      <c r="N290" s="124"/>
      <c r="O290" s="124"/>
      <c r="P290" s="124"/>
      <c r="Q290" s="124"/>
      <c r="R290" s="124"/>
      <c r="S290" s="124"/>
      <c r="T290" s="124"/>
      <c r="U290" s="124"/>
      <c r="V290" s="124"/>
      <c r="W290" s="124"/>
      <c r="X290" s="124"/>
      <c r="Y290" s="124"/>
      <c r="Z290" s="124"/>
    </row>
    <row r="291" ht="29.25" customHeight="1">
      <c r="A291" s="124"/>
      <c r="B291" s="124"/>
      <c r="C291" s="124"/>
      <c r="D291" s="124"/>
      <c r="E291" s="124"/>
      <c r="F291" s="124"/>
      <c r="G291" s="124"/>
      <c r="H291" s="124"/>
      <c r="I291" s="126"/>
      <c r="J291" s="124"/>
      <c r="K291" s="124"/>
      <c r="L291" s="124"/>
      <c r="M291" s="124"/>
      <c r="N291" s="124"/>
      <c r="O291" s="124"/>
      <c r="P291" s="124"/>
      <c r="Q291" s="124"/>
      <c r="R291" s="124"/>
      <c r="S291" s="124"/>
      <c r="T291" s="124"/>
      <c r="U291" s="124"/>
      <c r="V291" s="124"/>
      <c r="W291" s="124"/>
      <c r="X291" s="124"/>
      <c r="Y291" s="124"/>
      <c r="Z291" s="124"/>
    </row>
    <row r="292" ht="29.25" customHeight="1">
      <c r="A292" s="124"/>
      <c r="B292" s="124"/>
      <c r="C292" s="124"/>
      <c r="D292" s="124"/>
      <c r="E292" s="124"/>
      <c r="F292" s="124"/>
      <c r="G292" s="124"/>
      <c r="H292" s="124"/>
      <c r="I292" s="126"/>
      <c r="J292" s="124"/>
      <c r="K292" s="124"/>
      <c r="L292" s="124"/>
      <c r="M292" s="124"/>
      <c r="N292" s="124"/>
      <c r="O292" s="124"/>
      <c r="P292" s="124"/>
      <c r="Q292" s="124"/>
      <c r="R292" s="124"/>
      <c r="S292" s="124"/>
      <c r="T292" s="124"/>
      <c r="U292" s="124"/>
      <c r="V292" s="124"/>
      <c r="W292" s="124"/>
      <c r="X292" s="124"/>
      <c r="Y292" s="124"/>
      <c r="Z292" s="124"/>
    </row>
    <row r="293" ht="29.25" customHeight="1">
      <c r="A293" s="124"/>
      <c r="B293" s="124"/>
      <c r="C293" s="124"/>
      <c r="D293" s="124"/>
      <c r="E293" s="124"/>
      <c r="F293" s="124"/>
      <c r="G293" s="124"/>
      <c r="H293" s="124"/>
      <c r="I293" s="126"/>
      <c r="J293" s="124"/>
      <c r="K293" s="124"/>
      <c r="L293" s="124"/>
      <c r="M293" s="124"/>
      <c r="N293" s="124"/>
      <c r="O293" s="124"/>
      <c r="P293" s="124"/>
      <c r="Q293" s="124"/>
      <c r="R293" s="124"/>
      <c r="S293" s="124"/>
      <c r="T293" s="124"/>
      <c r="U293" s="124"/>
      <c r="V293" s="124"/>
      <c r="W293" s="124"/>
      <c r="X293" s="124"/>
      <c r="Y293" s="124"/>
      <c r="Z293" s="124"/>
    </row>
    <row r="294" ht="29.25" customHeight="1">
      <c r="A294" s="124"/>
      <c r="B294" s="124"/>
      <c r="C294" s="124"/>
      <c r="D294" s="124"/>
      <c r="E294" s="124"/>
      <c r="F294" s="124"/>
      <c r="G294" s="124"/>
      <c r="H294" s="124"/>
      <c r="I294" s="126"/>
      <c r="J294" s="124"/>
      <c r="K294" s="124"/>
      <c r="L294" s="124"/>
      <c r="M294" s="124"/>
      <c r="N294" s="124"/>
      <c r="O294" s="124"/>
      <c r="P294" s="124"/>
      <c r="Q294" s="124"/>
      <c r="R294" s="124"/>
      <c r="S294" s="124"/>
      <c r="T294" s="124"/>
      <c r="U294" s="124"/>
      <c r="V294" s="124"/>
      <c r="W294" s="124"/>
      <c r="X294" s="124"/>
      <c r="Y294" s="124"/>
      <c r="Z294" s="124"/>
    </row>
    <row r="295" ht="29.25" customHeight="1">
      <c r="A295" s="124"/>
      <c r="B295" s="124"/>
      <c r="C295" s="124"/>
      <c r="D295" s="124"/>
      <c r="E295" s="124"/>
      <c r="F295" s="124"/>
      <c r="G295" s="124"/>
      <c r="H295" s="124"/>
      <c r="I295" s="126"/>
      <c r="J295" s="124"/>
      <c r="K295" s="124"/>
      <c r="L295" s="124"/>
      <c r="M295" s="124"/>
      <c r="N295" s="124"/>
      <c r="O295" s="124"/>
      <c r="P295" s="124"/>
      <c r="Q295" s="124"/>
      <c r="R295" s="124"/>
      <c r="S295" s="124"/>
      <c r="T295" s="124"/>
      <c r="U295" s="124"/>
      <c r="V295" s="124"/>
      <c r="W295" s="124"/>
      <c r="X295" s="124"/>
      <c r="Y295" s="124"/>
      <c r="Z295" s="124"/>
    </row>
    <row r="296" ht="29.25" customHeight="1">
      <c r="A296" s="124"/>
      <c r="B296" s="124"/>
      <c r="C296" s="124"/>
      <c r="D296" s="124"/>
      <c r="E296" s="124"/>
      <c r="F296" s="124"/>
      <c r="G296" s="124"/>
      <c r="H296" s="124"/>
      <c r="I296" s="126"/>
      <c r="J296" s="124"/>
      <c r="K296" s="124"/>
      <c r="L296" s="124"/>
      <c r="M296" s="124"/>
      <c r="N296" s="124"/>
      <c r="O296" s="124"/>
      <c r="P296" s="124"/>
      <c r="Q296" s="124"/>
      <c r="R296" s="124"/>
      <c r="S296" s="124"/>
      <c r="T296" s="124"/>
      <c r="U296" s="124"/>
      <c r="V296" s="124"/>
      <c r="W296" s="124"/>
      <c r="X296" s="124"/>
      <c r="Y296" s="124"/>
      <c r="Z296" s="124"/>
    </row>
    <row r="297" ht="29.25" customHeight="1">
      <c r="A297" s="124"/>
      <c r="B297" s="124"/>
      <c r="C297" s="124"/>
      <c r="D297" s="124"/>
      <c r="E297" s="124"/>
      <c r="F297" s="124"/>
      <c r="G297" s="124"/>
      <c r="H297" s="124"/>
      <c r="I297" s="126"/>
      <c r="J297" s="124"/>
      <c r="K297" s="124"/>
      <c r="L297" s="124"/>
      <c r="M297" s="124"/>
      <c r="N297" s="124"/>
      <c r="O297" s="124"/>
      <c r="P297" s="124"/>
      <c r="Q297" s="124"/>
      <c r="R297" s="124"/>
      <c r="S297" s="124"/>
      <c r="T297" s="124"/>
      <c r="U297" s="124"/>
      <c r="V297" s="124"/>
      <c r="W297" s="124"/>
      <c r="X297" s="124"/>
      <c r="Y297" s="124"/>
      <c r="Z297" s="124"/>
    </row>
    <row r="298" ht="29.25" customHeight="1">
      <c r="A298" s="124"/>
      <c r="B298" s="124"/>
      <c r="C298" s="124"/>
      <c r="D298" s="124"/>
      <c r="E298" s="124"/>
      <c r="F298" s="124"/>
      <c r="G298" s="124"/>
      <c r="H298" s="124"/>
      <c r="I298" s="126"/>
      <c r="J298" s="124"/>
      <c r="K298" s="124"/>
      <c r="L298" s="124"/>
      <c r="M298" s="124"/>
      <c r="N298" s="124"/>
      <c r="O298" s="124"/>
      <c r="P298" s="124"/>
      <c r="Q298" s="124"/>
      <c r="R298" s="124"/>
      <c r="S298" s="124"/>
      <c r="T298" s="124"/>
      <c r="U298" s="124"/>
      <c r="V298" s="124"/>
      <c r="W298" s="124"/>
      <c r="X298" s="124"/>
      <c r="Y298" s="124"/>
      <c r="Z298" s="124"/>
    </row>
    <row r="299" ht="29.25" customHeight="1">
      <c r="A299" s="124"/>
      <c r="B299" s="124"/>
      <c r="C299" s="124"/>
      <c r="D299" s="124"/>
      <c r="E299" s="124"/>
      <c r="F299" s="124"/>
      <c r="G299" s="124"/>
      <c r="H299" s="124"/>
      <c r="I299" s="126"/>
      <c r="J299" s="124"/>
      <c r="K299" s="124"/>
      <c r="L299" s="124"/>
      <c r="M299" s="124"/>
      <c r="N299" s="124"/>
      <c r="O299" s="124"/>
      <c r="P299" s="124"/>
      <c r="Q299" s="124"/>
      <c r="R299" s="124"/>
      <c r="S299" s="124"/>
      <c r="T299" s="124"/>
      <c r="U299" s="124"/>
      <c r="V299" s="124"/>
      <c r="W299" s="124"/>
      <c r="X299" s="124"/>
      <c r="Y299" s="124"/>
      <c r="Z299" s="124"/>
    </row>
    <row r="300" ht="29.25" customHeight="1">
      <c r="A300" s="124"/>
      <c r="B300" s="124"/>
      <c r="C300" s="124"/>
      <c r="D300" s="124"/>
      <c r="E300" s="124"/>
      <c r="F300" s="124"/>
      <c r="G300" s="124"/>
      <c r="H300" s="124"/>
      <c r="I300" s="126"/>
      <c r="J300" s="124"/>
      <c r="K300" s="124"/>
      <c r="L300" s="124"/>
      <c r="M300" s="124"/>
      <c r="N300" s="124"/>
      <c r="O300" s="124"/>
      <c r="P300" s="124"/>
      <c r="Q300" s="124"/>
      <c r="R300" s="124"/>
      <c r="S300" s="124"/>
      <c r="T300" s="124"/>
      <c r="U300" s="124"/>
      <c r="V300" s="124"/>
      <c r="W300" s="124"/>
      <c r="X300" s="124"/>
      <c r="Y300" s="124"/>
      <c r="Z300" s="124"/>
    </row>
    <row r="301" ht="29.25" customHeight="1">
      <c r="A301" s="124"/>
      <c r="B301" s="124"/>
      <c r="C301" s="124"/>
      <c r="D301" s="124"/>
      <c r="E301" s="124"/>
      <c r="F301" s="124"/>
      <c r="G301" s="124"/>
      <c r="H301" s="124"/>
      <c r="I301" s="126"/>
      <c r="J301" s="124"/>
      <c r="K301" s="124"/>
      <c r="L301" s="124"/>
      <c r="M301" s="124"/>
      <c r="N301" s="124"/>
      <c r="O301" s="124"/>
      <c r="P301" s="124"/>
      <c r="Q301" s="124"/>
      <c r="R301" s="124"/>
      <c r="S301" s="124"/>
      <c r="T301" s="124"/>
      <c r="U301" s="124"/>
      <c r="V301" s="124"/>
      <c r="W301" s="124"/>
      <c r="X301" s="124"/>
      <c r="Y301" s="124"/>
      <c r="Z301" s="124"/>
    </row>
    <row r="302" ht="29.25" customHeight="1">
      <c r="A302" s="124"/>
      <c r="B302" s="124"/>
      <c r="C302" s="124"/>
      <c r="D302" s="124"/>
      <c r="E302" s="124"/>
      <c r="F302" s="124"/>
      <c r="G302" s="124"/>
      <c r="H302" s="124"/>
      <c r="I302" s="126"/>
      <c r="J302" s="124"/>
      <c r="K302" s="124"/>
      <c r="L302" s="124"/>
      <c r="M302" s="124"/>
      <c r="N302" s="124"/>
      <c r="O302" s="124"/>
      <c r="P302" s="124"/>
      <c r="Q302" s="124"/>
      <c r="R302" s="124"/>
      <c r="S302" s="124"/>
      <c r="T302" s="124"/>
      <c r="U302" s="124"/>
      <c r="V302" s="124"/>
      <c r="W302" s="124"/>
      <c r="X302" s="124"/>
      <c r="Y302" s="124"/>
      <c r="Z302" s="124"/>
    </row>
    <row r="303" ht="29.25" customHeight="1">
      <c r="A303" s="124"/>
      <c r="B303" s="124"/>
      <c r="C303" s="124"/>
      <c r="D303" s="124"/>
      <c r="E303" s="124"/>
      <c r="F303" s="124"/>
      <c r="G303" s="124"/>
      <c r="H303" s="124"/>
      <c r="I303" s="126"/>
      <c r="J303" s="124"/>
      <c r="K303" s="124"/>
      <c r="L303" s="124"/>
      <c r="M303" s="124"/>
      <c r="N303" s="124"/>
      <c r="O303" s="124"/>
      <c r="P303" s="124"/>
      <c r="Q303" s="124"/>
      <c r="R303" s="124"/>
      <c r="S303" s="124"/>
      <c r="T303" s="124"/>
      <c r="U303" s="124"/>
      <c r="V303" s="124"/>
      <c r="W303" s="124"/>
      <c r="X303" s="124"/>
      <c r="Y303" s="124"/>
      <c r="Z303" s="124"/>
    </row>
    <row r="304" ht="29.25" customHeight="1">
      <c r="A304" s="124"/>
      <c r="B304" s="124"/>
      <c r="C304" s="124"/>
      <c r="D304" s="124"/>
      <c r="E304" s="124"/>
      <c r="F304" s="124"/>
      <c r="G304" s="124"/>
      <c r="H304" s="124"/>
      <c r="I304" s="126"/>
      <c r="J304" s="124"/>
      <c r="K304" s="124"/>
      <c r="L304" s="124"/>
      <c r="M304" s="124"/>
      <c r="N304" s="124"/>
      <c r="O304" s="124"/>
      <c r="P304" s="124"/>
      <c r="Q304" s="124"/>
      <c r="R304" s="124"/>
      <c r="S304" s="124"/>
      <c r="T304" s="124"/>
      <c r="U304" s="124"/>
      <c r="V304" s="124"/>
      <c r="W304" s="124"/>
      <c r="X304" s="124"/>
      <c r="Y304" s="124"/>
      <c r="Z304" s="124"/>
    </row>
    <row r="305" ht="29.25" customHeight="1">
      <c r="A305" s="124"/>
      <c r="B305" s="124"/>
      <c r="C305" s="124"/>
      <c r="D305" s="124"/>
      <c r="E305" s="124"/>
      <c r="F305" s="124"/>
      <c r="G305" s="124"/>
      <c r="H305" s="124"/>
      <c r="I305" s="126"/>
      <c r="J305" s="124"/>
      <c r="K305" s="124"/>
      <c r="L305" s="124"/>
      <c r="M305" s="124"/>
      <c r="N305" s="124"/>
      <c r="O305" s="124"/>
      <c r="P305" s="124"/>
      <c r="Q305" s="124"/>
      <c r="R305" s="124"/>
      <c r="S305" s="124"/>
      <c r="T305" s="124"/>
      <c r="U305" s="124"/>
      <c r="V305" s="124"/>
      <c r="W305" s="124"/>
      <c r="X305" s="124"/>
      <c r="Y305" s="124"/>
      <c r="Z305" s="124"/>
    </row>
    <row r="306" ht="29.25" customHeight="1">
      <c r="A306" s="124"/>
      <c r="B306" s="124"/>
      <c r="C306" s="124"/>
      <c r="D306" s="124"/>
      <c r="E306" s="124"/>
      <c r="F306" s="124"/>
      <c r="G306" s="124"/>
      <c r="H306" s="124"/>
      <c r="I306" s="126"/>
      <c r="J306" s="124"/>
      <c r="K306" s="124"/>
      <c r="L306" s="124"/>
      <c r="M306" s="124"/>
      <c r="N306" s="124"/>
      <c r="O306" s="124"/>
      <c r="P306" s="124"/>
      <c r="Q306" s="124"/>
      <c r="R306" s="124"/>
      <c r="S306" s="124"/>
      <c r="T306" s="124"/>
      <c r="U306" s="124"/>
      <c r="V306" s="124"/>
      <c r="W306" s="124"/>
      <c r="X306" s="124"/>
      <c r="Y306" s="124"/>
      <c r="Z306" s="124"/>
    </row>
    <row r="307" ht="29.25" customHeight="1">
      <c r="A307" s="124"/>
      <c r="B307" s="124"/>
      <c r="C307" s="124"/>
      <c r="D307" s="124"/>
      <c r="E307" s="124"/>
      <c r="F307" s="124"/>
      <c r="G307" s="124"/>
      <c r="H307" s="124"/>
      <c r="I307" s="126"/>
      <c r="J307" s="124"/>
      <c r="K307" s="124"/>
      <c r="L307" s="124"/>
      <c r="M307" s="124"/>
      <c r="N307" s="124"/>
      <c r="O307" s="124"/>
      <c r="P307" s="124"/>
      <c r="Q307" s="124"/>
      <c r="R307" s="124"/>
      <c r="S307" s="124"/>
      <c r="T307" s="124"/>
      <c r="U307" s="124"/>
      <c r="V307" s="124"/>
      <c r="W307" s="124"/>
      <c r="X307" s="124"/>
      <c r="Y307" s="124"/>
      <c r="Z307" s="124"/>
    </row>
    <row r="308" ht="29.25" customHeight="1">
      <c r="A308" s="124"/>
      <c r="B308" s="124"/>
      <c r="C308" s="124"/>
      <c r="D308" s="124"/>
      <c r="E308" s="124"/>
      <c r="F308" s="124"/>
      <c r="G308" s="124"/>
      <c r="H308" s="124"/>
      <c r="I308" s="126"/>
      <c r="J308" s="124"/>
      <c r="K308" s="124"/>
      <c r="L308" s="124"/>
      <c r="M308" s="124"/>
      <c r="N308" s="124"/>
      <c r="O308" s="124"/>
      <c r="P308" s="124"/>
      <c r="Q308" s="124"/>
      <c r="R308" s="124"/>
      <c r="S308" s="124"/>
      <c r="T308" s="124"/>
      <c r="U308" s="124"/>
      <c r="V308" s="124"/>
      <c r="W308" s="124"/>
      <c r="X308" s="124"/>
      <c r="Y308" s="124"/>
      <c r="Z308" s="124"/>
    </row>
    <row r="309" ht="29.25" customHeight="1">
      <c r="A309" s="124"/>
      <c r="B309" s="124"/>
      <c r="C309" s="124"/>
      <c r="D309" s="124"/>
      <c r="E309" s="124"/>
      <c r="F309" s="124"/>
      <c r="G309" s="124"/>
      <c r="H309" s="124"/>
      <c r="I309" s="126"/>
      <c r="J309" s="124"/>
      <c r="K309" s="124"/>
      <c r="L309" s="124"/>
      <c r="M309" s="124"/>
      <c r="N309" s="124"/>
      <c r="O309" s="124"/>
      <c r="P309" s="124"/>
      <c r="Q309" s="124"/>
      <c r="R309" s="124"/>
      <c r="S309" s="124"/>
      <c r="T309" s="124"/>
      <c r="U309" s="124"/>
      <c r="V309" s="124"/>
      <c r="W309" s="124"/>
      <c r="X309" s="124"/>
      <c r="Y309" s="124"/>
      <c r="Z309" s="124"/>
    </row>
    <row r="310" ht="29.25" customHeight="1">
      <c r="A310" s="124"/>
      <c r="B310" s="124"/>
      <c r="C310" s="124"/>
      <c r="D310" s="124"/>
      <c r="E310" s="124"/>
      <c r="F310" s="124"/>
      <c r="G310" s="124"/>
      <c r="H310" s="124"/>
      <c r="I310" s="126"/>
      <c r="J310" s="124"/>
      <c r="K310" s="124"/>
      <c r="L310" s="124"/>
      <c r="M310" s="124"/>
      <c r="N310" s="124"/>
      <c r="O310" s="124"/>
      <c r="P310" s="124"/>
      <c r="Q310" s="124"/>
      <c r="R310" s="124"/>
      <c r="S310" s="124"/>
      <c r="T310" s="124"/>
      <c r="U310" s="124"/>
      <c r="V310" s="124"/>
      <c r="W310" s="124"/>
      <c r="X310" s="124"/>
      <c r="Y310" s="124"/>
      <c r="Z310" s="124"/>
    </row>
    <row r="311" ht="29.25" customHeight="1">
      <c r="A311" s="124"/>
      <c r="B311" s="124"/>
      <c r="C311" s="124"/>
      <c r="D311" s="124"/>
      <c r="E311" s="124"/>
      <c r="F311" s="124"/>
      <c r="G311" s="124"/>
      <c r="H311" s="124"/>
      <c r="I311" s="126"/>
      <c r="J311" s="124"/>
      <c r="K311" s="124"/>
      <c r="L311" s="124"/>
      <c r="M311" s="124"/>
      <c r="N311" s="124"/>
      <c r="O311" s="124"/>
      <c r="P311" s="124"/>
      <c r="Q311" s="124"/>
      <c r="R311" s="124"/>
      <c r="S311" s="124"/>
      <c r="T311" s="124"/>
      <c r="U311" s="124"/>
      <c r="V311" s="124"/>
      <c r="W311" s="124"/>
      <c r="X311" s="124"/>
      <c r="Y311" s="124"/>
      <c r="Z311" s="124"/>
    </row>
    <row r="312" ht="29.25" customHeight="1">
      <c r="A312" s="124"/>
      <c r="B312" s="124"/>
      <c r="C312" s="124"/>
      <c r="D312" s="124"/>
      <c r="E312" s="124"/>
      <c r="F312" s="124"/>
      <c r="G312" s="124"/>
      <c r="H312" s="124"/>
      <c r="I312" s="126"/>
      <c r="J312" s="124"/>
      <c r="K312" s="124"/>
      <c r="L312" s="124"/>
      <c r="M312" s="124"/>
      <c r="N312" s="124"/>
      <c r="O312" s="124"/>
      <c r="P312" s="124"/>
      <c r="Q312" s="124"/>
      <c r="R312" s="124"/>
      <c r="S312" s="124"/>
      <c r="T312" s="124"/>
      <c r="U312" s="124"/>
      <c r="V312" s="124"/>
      <c r="W312" s="124"/>
      <c r="X312" s="124"/>
      <c r="Y312" s="124"/>
      <c r="Z312" s="124"/>
    </row>
    <row r="313" ht="29.25" customHeight="1">
      <c r="A313" s="124"/>
      <c r="B313" s="124"/>
      <c r="C313" s="124"/>
      <c r="D313" s="124"/>
      <c r="E313" s="124"/>
      <c r="F313" s="124"/>
      <c r="G313" s="124"/>
      <c r="H313" s="124"/>
      <c r="I313" s="126"/>
      <c r="J313" s="124"/>
      <c r="K313" s="124"/>
      <c r="L313" s="124"/>
      <c r="M313" s="124"/>
      <c r="N313" s="124"/>
      <c r="O313" s="124"/>
      <c r="P313" s="124"/>
      <c r="Q313" s="124"/>
      <c r="R313" s="124"/>
      <c r="S313" s="124"/>
      <c r="T313" s="124"/>
      <c r="U313" s="124"/>
      <c r="V313" s="124"/>
      <c r="W313" s="124"/>
      <c r="X313" s="124"/>
      <c r="Y313" s="124"/>
      <c r="Z313" s="124"/>
    </row>
    <row r="314" ht="29.25" customHeight="1">
      <c r="A314" s="124"/>
      <c r="B314" s="124"/>
      <c r="C314" s="124"/>
      <c r="D314" s="124"/>
      <c r="E314" s="124"/>
      <c r="F314" s="124"/>
      <c r="G314" s="124"/>
      <c r="H314" s="124"/>
      <c r="I314" s="126"/>
      <c r="J314" s="124"/>
      <c r="K314" s="124"/>
      <c r="L314" s="124"/>
      <c r="M314" s="124"/>
      <c r="N314" s="124"/>
      <c r="O314" s="124"/>
      <c r="P314" s="124"/>
      <c r="Q314" s="124"/>
      <c r="R314" s="124"/>
      <c r="S314" s="124"/>
      <c r="T314" s="124"/>
      <c r="U314" s="124"/>
      <c r="V314" s="124"/>
      <c r="W314" s="124"/>
      <c r="X314" s="124"/>
      <c r="Y314" s="124"/>
      <c r="Z314" s="124"/>
    </row>
    <row r="315" ht="29.25" customHeight="1">
      <c r="A315" s="124"/>
      <c r="B315" s="124"/>
      <c r="C315" s="124"/>
      <c r="D315" s="124"/>
      <c r="E315" s="124"/>
      <c r="F315" s="124"/>
      <c r="G315" s="124"/>
      <c r="H315" s="124"/>
      <c r="I315" s="126"/>
      <c r="J315" s="124"/>
      <c r="K315" s="124"/>
      <c r="L315" s="124"/>
      <c r="M315" s="124"/>
      <c r="N315" s="124"/>
      <c r="O315" s="124"/>
      <c r="P315" s="124"/>
      <c r="Q315" s="124"/>
      <c r="R315" s="124"/>
      <c r="S315" s="124"/>
      <c r="T315" s="124"/>
      <c r="U315" s="124"/>
      <c r="V315" s="124"/>
      <c r="W315" s="124"/>
      <c r="X315" s="124"/>
      <c r="Y315" s="124"/>
      <c r="Z315" s="124"/>
    </row>
    <row r="316" ht="29.25" customHeight="1">
      <c r="A316" s="124"/>
      <c r="B316" s="124"/>
      <c r="C316" s="124"/>
      <c r="D316" s="124"/>
      <c r="E316" s="124"/>
      <c r="F316" s="124"/>
      <c r="G316" s="124"/>
      <c r="H316" s="124"/>
      <c r="I316" s="126"/>
      <c r="J316" s="124"/>
      <c r="K316" s="124"/>
      <c r="L316" s="124"/>
      <c r="M316" s="124"/>
      <c r="N316" s="124"/>
      <c r="O316" s="124"/>
      <c r="P316" s="124"/>
      <c r="Q316" s="124"/>
      <c r="R316" s="124"/>
      <c r="S316" s="124"/>
      <c r="T316" s="124"/>
      <c r="U316" s="124"/>
      <c r="V316" s="124"/>
      <c r="W316" s="124"/>
      <c r="X316" s="124"/>
      <c r="Y316" s="124"/>
      <c r="Z316" s="124"/>
    </row>
    <row r="317" ht="29.25" customHeight="1">
      <c r="A317" s="124"/>
      <c r="B317" s="124"/>
      <c r="C317" s="124"/>
      <c r="D317" s="124"/>
      <c r="E317" s="124"/>
      <c r="F317" s="124"/>
      <c r="G317" s="124"/>
      <c r="H317" s="124"/>
      <c r="I317" s="126"/>
      <c r="J317" s="124"/>
      <c r="K317" s="124"/>
      <c r="L317" s="124"/>
      <c r="M317" s="124"/>
      <c r="N317" s="124"/>
      <c r="O317" s="124"/>
      <c r="P317" s="124"/>
      <c r="Q317" s="124"/>
      <c r="R317" s="124"/>
      <c r="S317" s="124"/>
      <c r="T317" s="124"/>
      <c r="U317" s="124"/>
      <c r="V317" s="124"/>
      <c r="W317" s="124"/>
      <c r="X317" s="124"/>
      <c r="Y317" s="124"/>
      <c r="Z317" s="124"/>
    </row>
    <row r="318" ht="29.25" customHeight="1">
      <c r="A318" s="124"/>
      <c r="B318" s="124"/>
      <c r="C318" s="124"/>
      <c r="D318" s="124"/>
      <c r="E318" s="124"/>
      <c r="F318" s="124"/>
      <c r="G318" s="124"/>
      <c r="H318" s="124"/>
      <c r="I318" s="126"/>
      <c r="J318" s="124"/>
      <c r="K318" s="124"/>
      <c r="L318" s="124"/>
      <c r="M318" s="124"/>
      <c r="N318" s="124"/>
      <c r="O318" s="124"/>
      <c r="P318" s="124"/>
      <c r="Q318" s="124"/>
      <c r="R318" s="124"/>
      <c r="S318" s="124"/>
      <c r="T318" s="124"/>
      <c r="U318" s="124"/>
      <c r="V318" s="124"/>
      <c r="W318" s="124"/>
      <c r="X318" s="124"/>
      <c r="Y318" s="124"/>
      <c r="Z318" s="124"/>
    </row>
    <row r="319" ht="29.25" customHeight="1">
      <c r="A319" s="124"/>
      <c r="B319" s="124"/>
      <c r="C319" s="124"/>
      <c r="D319" s="124"/>
      <c r="E319" s="124"/>
      <c r="F319" s="124"/>
      <c r="G319" s="124"/>
      <c r="H319" s="124"/>
      <c r="I319" s="126"/>
      <c r="J319" s="124"/>
      <c r="K319" s="124"/>
      <c r="L319" s="124"/>
      <c r="M319" s="124"/>
      <c r="N319" s="124"/>
      <c r="O319" s="124"/>
      <c r="P319" s="124"/>
      <c r="Q319" s="124"/>
      <c r="R319" s="124"/>
      <c r="S319" s="124"/>
      <c r="T319" s="124"/>
      <c r="U319" s="124"/>
      <c r="V319" s="124"/>
      <c r="W319" s="124"/>
      <c r="X319" s="124"/>
      <c r="Y319" s="124"/>
      <c r="Z319" s="124"/>
    </row>
    <row r="320" ht="29.25" customHeight="1">
      <c r="A320" s="124"/>
      <c r="B320" s="124"/>
      <c r="C320" s="124"/>
      <c r="D320" s="124"/>
      <c r="E320" s="124"/>
      <c r="F320" s="124"/>
      <c r="G320" s="124"/>
      <c r="H320" s="124"/>
      <c r="I320" s="126"/>
      <c r="J320" s="124"/>
      <c r="K320" s="124"/>
      <c r="L320" s="124"/>
      <c r="M320" s="124"/>
      <c r="N320" s="124"/>
      <c r="O320" s="124"/>
      <c r="P320" s="124"/>
      <c r="Q320" s="124"/>
      <c r="R320" s="124"/>
      <c r="S320" s="124"/>
      <c r="T320" s="124"/>
      <c r="U320" s="124"/>
      <c r="V320" s="124"/>
      <c r="W320" s="124"/>
      <c r="X320" s="124"/>
      <c r="Y320" s="124"/>
      <c r="Z320" s="124"/>
    </row>
    <row r="321" ht="29.25" customHeight="1">
      <c r="A321" s="124"/>
      <c r="B321" s="124"/>
      <c r="C321" s="124"/>
      <c r="D321" s="124"/>
      <c r="E321" s="124"/>
      <c r="F321" s="124"/>
      <c r="G321" s="124"/>
      <c r="H321" s="124"/>
      <c r="I321" s="126"/>
      <c r="J321" s="124"/>
      <c r="K321" s="124"/>
      <c r="L321" s="124"/>
      <c r="M321" s="124"/>
      <c r="N321" s="124"/>
      <c r="O321" s="124"/>
      <c r="P321" s="124"/>
      <c r="Q321" s="124"/>
      <c r="R321" s="124"/>
      <c r="S321" s="124"/>
      <c r="T321" s="124"/>
      <c r="U321" s="124"/>
      <c r="V321" s="124"/>
      <c r="W321" s="124"/>
      <c r="X321" s="124"/>
      <c r="Y321" s="124"/>
      <c r="Z321" s="124"/>
    </row>
    <row r="322" ht="29.25" customHeight="1">
      <c r="A322" s="124"/>
      <c r="B322" s="124"/>
      <c r="C322" s="124"/>
      <c r="D322" s="124"/>
      <c r="E322" s="124"/>
      <c r="F322" s="124"/>
      <c r="G322" s="124"/>
      <c r="H322" s="124"/>
      <c r="I322" s="126"/>
      <c r="J322" s="124"/>
      <c r="K322" s="124"/>
      <c r="L322" s="124"/>
      <c r="M322" s="124"/>
      <c r="N322" s="124"/>
      <c r="O322" s="124"/>
      <c r="P322" s="124"/>
      <c r="Q322" s="124"/>
      <c r="R322" s="124"/>
      <c r="S322" s="124"/>
      <c r="T322" s="124"/>
      <c r="U322" s="124"/>
      <c r="V322" s="124"/>
      <c r="W322" s="124"/>
      <c r="X322" s="124"/>
      <c r="Y322" s="124"/>
      <c r="Z322" s="124"/>
    </row>
    <row r="323" ht="29.25" customHeight="1">
      <c r="A323" s="124"/>
      <c r="B323" s="124"/>
      <c r="C323" s="124"/>
      <c r="D323" s="124"/>
      <c r="E323" s="124"/>
      <c r="F323" s="124"/>
      <c r="G323" s="124"/>
      <c r="H323" s="124"/>
      <c r="I323" s="126"/>
      <c r="J323" s="124"/>
      <c r="K323" s="124"/>
      <c r="L323" s="124"/>
      <c r="M323" s="124"/>
      <c r="N323" s="124"/>
      <c r="O323" s="124"/>
      <c r="P323" s="124"/>
      <c r="Q323" s="124"/>
      <c r="R323" s="124"/>
      <c r="S323" s="124"/>
      <c r="T323" s="124"/>
      <c r="U323" s="124"/>
      <c r="V323" s="124"/>
      <c r="W323" s="124"/>
      <c r="X323" s="124"/>
      <c r="Y323" s="124"/>
      <c r="Z323" s="124"/>
    </row>
    <row r="324" ht="29.25" customHeight="1">
      <c r="A324" s="124"/>
      <c r="B324" s="124"/>
      <c r="C324" s="124"/>
      <c r="D324" s="124"/>
      <c r="E324" s="124"/>
      <c r="F324" s="124"/>
      <c r="G324" s="124"/>
      <c r="H324" s="124"/>
      <c r="I324" s="126"/>
      <c r="J324" s="124"/>
      <c r="K324" s="124"/>
      <c r="L324" s="124"/>
      <c r="M324" s="124"/>
      <c r="N324" s="124"/>
      <c r="O324" s="124"/>
      <c r="P324" s="124"/>
      <c r="Q324" s="124"/>
      <c r="R324" s="124"/>
      <c r="S324" s="124"/>
      <c r="T324" s="124"/>
      <c r="U324" s="124"/>
      <c r="V324" s="124"/>
      <c r="W324" s="124"/>
      <c r="X324" s="124"/>
      <c r="Y324" s="124"/>
      <c r="Z324" s="124"/>
    </row>
    <row r="325" ht="29.25" customHeight="1">
      <c r="A325" s="124"/>
      <c r="B325" s="124"/>
      <c r="C325" s="124"/>
      <c r="D325" s="124"/>
      <c r="E325" s="124"/>
      <c r="F325" s="124"/>
      <c r="G325" s="124"/>
      <c r="H325" s="124"/>
      <c r="I325" s="126"/>
      <c r="J325" s="124"/>
      <c r="K325" s="124"/>
      <c r="L325" s="124"/>
      <c r="M325" s="124"/>
      <c r="N325" s="124"/>
      <c r="O325" s="124"/>
      <c r="P325" s="124"/>
      <c r="Q325" s="124"/>
      <c r="R325" s="124"/>
      <c r="S325" s="124"/>
      <c r="T325" s="124"/>
      <c r="U325" s="124"/>
      <c r="V325" s="124"/>
      <c r="W325" s="124"/>
      <c r="X325" s="124"/>
      <c r="Y325" s="124"/>
      <c r="Z325" s="124"/>
    </row>
    <row r="326" ht="29.25" customHeight="1">
      <c r="A326" s="124"/>
      <c r="B326" s="124"/>
      <c r="C326" s="124"/>
      <c r="D326" s="124"/>
      <c r="E326" s="124"/>
      <c r="F326" s="124"/>
      <c r="G326" s="124"/>
      <c r="H326" s="124"/>
      <c r="I326" s="126"/>
      <c r="J326" s="124"/>
      <c r="K326" s="124"/>
      <c r="L326" s="124"/>
      <c r="M326" s="124"/>
      <c r="N326" s="124"/>
      <c r="O326" s="124"/>
      <c r="P326" s="124"/>
      <c r="Q326" s="124"/>
      <c r="R326" s="124"/>
      <c r="S326" s="124"/>
      <c r="T326" s="124"/>
      <c r="U326" s="124"/>
      <c r="V326" s="124"/>
      <c r="W326" s="124"/>
      <c r="X326" s="124"/>
      <c r="Y326" s="124"/>
      <c r="Z326" s="124"/>
    </row>
    <row r="327" ht="29.25" customHeight="1">
      <c r="A327" s="124"/>
      <c r="B327" s="124"/>
      <c r="C327" s="124"/>
      <c r="D327" s="124"/>
      <c r="E327" s="124"/>
      <c r="F327" s="124"/>
      <c r="G327" s="124"/>
      <c r="H327" s="124"/>
      <c r="I327" s="126"/>
      <c r="J327" s="124"/>
      <c r="K327" s="124"/>
      <c r="L327" s="124"/>
      <c r="M327" s="124"/>
      <c r="N327" s="124"/>
      <c r="O327" s="124"/>
      <c r="P327" s="124"/>
      <c r="Q327" s="124"/>
      <c r="R327" s="124"/>
      <c r="S327" s="124"/>
      <c r="T327" s="124"/>
      <c r="U327" s="124"/>
      <c r="V327" s="124"/>
      <c r="W327" s="124"/>
      <c r="X327" s="124"/>
      <c r="Y327" s="124"/>
      <c r="Z327" s="124"/>
    </row>
    <row r="328" ht="29.25" customHeight="1">
      <c r="A328" s="124"/>
      <c r="B328" s="124"/>
      <c r="C328" s="124"/>
      <c r="D328" s="124"/>
      <c r="E328" s="124"/>
      <c r="F328" s="124"/>
      <c r="G328" s="124"/>
      <c r="H328" s="124"/>
      <c r="I328" s="126"/>
      <c r="J328" s="124"/>
      <c r="K328" s="124"/>
      <c r="L328" s="124"/>
      <c r="M328" s="124"/>
      <c r="N328" s="124"/>
      <c r="O328" s="124"/>
      <c r="P328" s="124"/>
      <c r="Q328" s="124"/>
      <c r="R328" s="124"/>
      <c r="S328" s="124"/>
      <c r="T328" s="124"/>
      <c r="U328" s="124"/>
      <c r="V328" s="124"/>
      <c r="W328" s="124"/>
      <c r="X328" s="124"/>
      <c r="Y328" s="124"/>
      <c r="Z328" s="124"/>
    </row>
    <row r="329" ht="29.25" customHeight="1">
      <c r="A329" s="124"/>
      <c r="B329" s="124"/>
      <c r="C329" s="124"/>
      <c r="D329" s="124"/>
      <c r="E329" s="124"/>
      <c r="F329" s="124"/>
      <c r="G329" s="124"/>
      <c r="H329" s="124"/>
      <c r="I329" s="126"/>
      <c r="J329" s="124"/>
      <c r="K329" s="124"/>
      <c r="L329" s="124"/>
      <c r="M329" s="124"/>
      <c r="N329" s="124"/>
      <c r="O329" s="124"/>
      <c r="P329" s="124"/>
      <c r="Q329" s="124"/>
      <c r="R329" s="124"/>
      <c r="S329" s="124"/>
      <c r="T329" s="124"/>
      <c r="U329" s="124"/>
      <c r="V329" s="124"/>
      <c r="W329" s="124"/>
      <c r="X329" s="124"/>
      <c r="Y329" s="124"/>
      <c r="Z329" s="124"/>
    </row>
    <row r="330" ht="29.25" customHeight="1">
      <c r="A330" s="124"/>
      <c r="B330" s="124"/>
      <c r="C330" s="124"/>
      <c r="D330" s="124"/>
      <c r="E330" s="124"/>
      <c r="F330" s="124"/>
      <c r="G330" s="124"/>
      <c r="H330" s="124"/>
      <c r="I330" s="126"/>
      <c r="J330" s="124"/>
      <c r="K330" s="124"/>
      <c r="L330" s="124"/>
      <c r="M330" s="124"/>
      <c r="N330" s="124"/>
      <c r="O330" s="124"/>
      <c r="P330" s="124"/>
      <c r="Q330" s="124"/>
      <c r="R330" s="124"/>
      <c r="S330" s="124"/>
      <c r="T330" s="124"/>
      <c r="U330" s="124"/>
      <c r="V330" s="124"/>
      <c r="W330" s="124"/>
      <c r="X330" s="124"/>
      <c r="Y330" s="124"/>
      <c r="Z330" s="124"/>
    </row>
    <row r="331" ht="29.25" customHeight="1">
      <c r="A331" s="124"/>
      <c r="B331" s="124"/>
      <c r="C331" s="124"/>
      <c r="D331" s="124"/>
      <c r="E331" s="124"/>
      <c r="F331" s="124"/>
      <c r="G331" s="124"/>
      <c r="H331" s="124"/>
      <c r="I331" s="126"/>
      <c r="J331" s="124"/>
      <c r="K331" s="124"/>
      <c r="L331" s="124"/>
      <c r="M331" s="124"/>
      <c r="N331" s="124"/>
      <c r="O331" s="124"/>
      <c r="P331" s="124"/>
      <c r="Q331" s="124"/>
      <c r="R331" s="124"/>
      <c r="S331" s="124"/>
      <c r="T331" s="124"/>
      <c r="U331" s="124"/>
      <c r="V331" s="124"/>
      <c r="W331" s="124"/>
      <c r="X331" s="124"/>
      <c r="Y331" s="124"/>
      <c r="Z331" s="124"/>
    </row>
    <row r="332" ht="29.25" customHeight="1">
      <c r="A332" s="124"/>
      <c r="B332" s="124"/>
      <c r="C332" s="124"/>
      <c r="D332" s="124"/>
      <c r="E332" s="124"/>
      <c r="F332" s="124"/>
      <c r="G332" s="124"/>
      <c r="H332" s="124"/>
      <c r="I332" s="126"/>
      <c r="J332" s="124"/>
      <c r="K332" s="124"/>
      <c r="L332" s="124"/>
      <c r="M332" s="124"/>
      <c r="N332" s="124"/>
      <c r="O332" s="124"/>
      <c r="P332" s="124"/>
      <c r="Q332" s="124"/>
      <c r="R332" s="124"/>
      <c r="S332" s="124"/>
      <c r="T332" s="124"/>
      <c r="U332" s="124"/>
      <c r="V332" s="124"/>
      <c r="W332" s="124"/>
      <c r="X332" s="124"/>
      <c r="Y332" s="124"/>
      <c r="Z332" s="124"/>
    </row>
    <row r="333" ht="29.25" customHeight="1">
      <c r="A333" s="124"/>
      <c r="B333" s="124"/>
      <c r="C333" s="124"/>
      <c r="D333" s="124"/>
      <c r="E333" s="124"/>
      <c r="F333" s="124"/>
      <c r="G333" s="124"/>
      <c r="H333" s="124"/>
      <c r="I333" s="126"/>
      <c r="J333" s="124"/>
      <c r="K333" s="124"/>
      <c r="L333" s="124"/>
      <c r="M333" s="124"/>
      <c r="N333" s="124"/>
      <c r="O333" s="124"/>
      <c r="P333" s="124"/>
      <c r="Q333" s="124"/>
      <c r="R333" s="124"/>
      <c r="S333" s="124"/>
      <c r="T333" s="124"/>
      <c r="U333" s="124"/>
      <c r="V333" s="124"/>
      <c r="W333" s="124"/>
      <c r="X333" s="124"/>
      <c r="Y333" s="124"/>
      <c r="Z333" s="124"/>
    </row>
    <row r="334" ht="29.25" customHeight="1">
      <c r="A334" s="124"/>
      <c r="B334" s="124"/>
      <c r="C334" s="124"/>
      <c r="D334" s="124"/>
      <c r="E334" s="124"/>
      <c r="F334" s="124"/>
      <c r="G334" s="124"/>
      <c r="H334" s="124"/>
      <c r="I334" s="126"/>
      <c r="J334" s="124"/>
      <c r="K334" s="124"/>
      <c r="L334" s="124"/>
      <c r="M334" s="124"/>
      <c r="N334" s="124"/>
      <c r="O334" s="124"/>
      <c r="P334" s="124"/>
      <c r="Q334" s="124"/>
      <c r="R334" s="124"/>
      <c r="S334" s="124"/>
      <c r="T334" s="124"/>
      <c r="U334" s="124"/>
      <c r="V334" s="124"/>
      <c r="W334" s="124"/>
      <c r="X334" s="124"/>
      <c r="Y334" s="124"/>
      <c r="Z334" s="124"/>
    </row>
    <row r="335" ht="29.25" customHeight="1">
      <c r="A335" s="124"/>
      <c r="B335" s="124"/>
      <c r="C335" s="124"/>
      <c r="D335" s="124"/>
      <c r="E335" s="124"/>
      <c r="F335" s="124"/>
      <c r="G335" s="124"/>
      <c r="H335" s="124"/>
      <c r="I335" s="126"/>
      <c r="J335" s="124"/>
      <c r="K335" s="124"/>
      <c r="L335" s="124"/>
      <c r="M335" s="124"/>
      <c r="N335" s="124"/>
      <c r="O335" s="124"/>
      <c r="P335" s="124"/>
      <c r="Q335" s="124"/>
      <c r="R335" s="124"/>
      <c r="S335" s="124"/>
      <c r="T335" s="124"/>
      <c r="U335" s="124"/>
      <c r="V335" s="124"/>
      <c r="W335" s="124"/>
      <c r="X335" s="124"/>
      <c r="Y335" s="124"/>
      <c r="Z335" s="124"/>
    </row>
    <row r="336" ht="29.25" customHeight="1">
      <c r="A336" s="124"/>
      <c r="B336" s="124"/>
      <c r="C336" s="124"/>
      <c r="D336" s="124"/>
      <c r="E336" s="124"/>
      <c r="F336" s="124"/>
      <c r="G336" s="124"/>
      <c r="H336" s="124"/>
      <c r="I336" s="126"/>
      <c r="J336" s="124"/>
      <c r="K336" s="124"/>
      <c r="L336" s="124"/>
      <c r="M336" s="124"/>
      <c r="N336" s="124"/>
      <c r="O336" s="124"/>
      <c r="P336" s="124"/>
      <c r="Q336" s="124"/>
      <c r="R336" s="124"/>
      <c r="S336" s="124"/>
      <c r="T336" s="124"/>
      <c r="U336" s="124"/>
      <c r="V336" s="124"/>
      <c r="W336" s="124"/>
      <c r="X336" s="124"/>
      <c r="Y336" s="124"/>
      <c r="Z336" s="124"/>
    </row>
    <row r="337" ht="29.25" customHeight="1">
      <c r="A337" s="124"/>
      <c r="B337" s="124"/>
      <c r="C337" s="124"/>
      <c r="D337" s="124"/>
      <c r="E337" s="124"/>
      <c r="F337" s="124"/>
      <c r="G337" s="124"/>
      <c r="H337" s="124"/>
      <c r="I337" s="126"/>
      <c r="J337" s="124"/>
      <c r="K337" s="124"/>
      <c r="L337" s="124"/>
      <c r="M337" s="124"/>
      <c r="N337" s="124"/>
      <c r="O337" s="124"/>
      <c r="P337" s="124"/>
      <c r="Q337" s="124"/>
      <c r="R337" s="124"/>
      <c r="S337" s="124"/>
      <c r="T337" s="124"/>
      <c r="U337" s="124"/>
      <c r="V337" s="124"/>
      <c r="W337" s="124"/>
      <c r="X337" s="124"/>
      <c r="Y337" s="124"/>
      <c r="Z337" s="124"/>
    </row>
    <row r="338" ht="29.25" customHeight="1">
      <c r="A338" s="124"/>
      <c r="B338" s="124"/>
      <c r="C338" s="124"/>
      <c r="D338" s="124"/>
      <c r="E338" s="124"/>
      <c r="F338" s="124"/>
      <c r="G338" s="124"/>
      <c r="H338" s="124"/>
      <c r="I338" s="126"/>
      <c r="J338" s="124"/>
      <c r="K338" s="124"/>
      <c r="L338" s="124"/>
      <c r="M338" s="124"/>
      <c r="N338" s="124"/>
      <c r="O338" s="124"/>
      <c r="P338" s="124"/>
      <c r="Q338" s="124"/>
      <c r="R338" s="124"/>
      <c r="S338" s="124"/>
      <c r="T338" s="124"/>
      <c r="U338" s="124"/>
      <c r="V338" s="124"/>
      <c r="W338" s="124"/>
      <c r="X338" s="124"/>
      <c r="Y338" s="124"/>
      <c r="Z338" s="124"/>
    </row>
    <row r="339" ht="29.25" customHeight="1">
      <c r="A339" s="124"/>
      <c r="B339" s="124"/>
      <c r="C339" s="124"/>
      <c r="D339" s="124"/>
      <c r="E339" s="124"/>
      <c r="F339" s="124"/>
      <c r="G339" s="124"/>
      <c r="H339" s="124"/>
      <c r="I339" s="126"/>
      <c r="J339" s="124"/>
      <c r="K339" s="124"/>
      <c r="L339" s="124"/>
      <c r="M339" s="124"/>
      <c r="N339" s="124"/>
      <c r="O339" s="124"/>
      <c r="P339" s="124"/>
      <c r="Q339" s="124"/>
      <c r="R339" s="124"/>
      <c r="S339" s="124"/>
      <c r="T339" s="124"/>
      <c r="U339" s="124"/>
      <c r="V339" s="124"/>
      <c r="W339" s="124"/>
      <c r="X339" s="124"/>
      <c r="Y339" s="124"/>
      <c r="Z339" s="124"/>
    </row>
    <row r="340" ht="29.25" customHeight="1">
      <c r="A340" s="124"/>
      <c r="B340" s="124"/>
      <c r="C340" s="124"/>
      <c r="D340" s="124"/>
      <c r="E340" s="124"/>
      <c r="F340" s="124"/>
      <c r="G340" s="124"/>
      <c r="H340" s="124"/>
      <c r="I340" s="126"/>
      <c r="J340" s="124"/>
      <c r="K340" s="124"/>
      <c r="L340" s="124"/>
      <c r="M340" s="124"/>
      <c r="N340" s="124"/>
      <c r="O340" s="124"/>
      <c r="P340" s="124"/>
      <c r="Q340" s="124"/>
      <c r="R340" s="124"/>
      <c r="S340" s="124"/>
      <c r="T340" s="124"/>
      <c r="U340" s="124"/>
      <c r="V340" s="124"/>
      <c r="W340" s="124"/>
      <c r="X340" s="124"/>
      <c r="Y340" s="124"/>
      <c r="Z340" s="124"/>
    </row>
    <row r="341" ht="29.25" customHeight="1">
      <c r="A341" s="124"/>
      <c r="B341" s="124"/>
      <c r="C341" s="124"/>
      <c r="D341" s="124"/>
      <c r="E341" s="124"/>
      <c r="F341" s="124"/>
      <c r="G341" s="124"/>
      <c r="H341" s="124"/>
      <c r="I341" s="126"/>
      <c r="J341" s="124"/>
      <c r="K341" s="124"/>
      <c r="L341" s="124"/>
      <c r="M341" s="124"/>
      <c r="N341" s="124"/>
      <c r="O341" s="124"/>
      <c r="P341" s="124"/>
      <c r="Q341" s="124"/>
      <c r="R341" s="124"/>
      <c r="S341" s="124"/>
      <c r="T341" s="124"/>
      <c r="U341" s="124"/>
      <c r="V341" s="124"/>
      <c r="W341" s="124"/>
      <c r="X341" s="124"/>
      <c r="Y341" s="124"/>
      <c r="Z341" s="124"/>
    </row>
    <row r="342" ht="29.25" customHeight="1">
      <c r="A342" s="124"/>
      <c r="B342" s="124"/>
      <c r="C342" s="124"/>
      <c r="D342" s="124"/>
      <c r="E342" s="124"/>
      <c r="F342" s="124"/>
      <c r="G342" s="124"/>
      <c r="H342" s="124"/>
      <c r="I342" s="126"/>
      <c r="J342" s="124"/>
      <c r="K342" s="124"/>
      <c r="L342" s="124"/>
      <c r="M342" s="124"/>
      <c r="N342" s="124"/>
      <c r="O342" s="124"/>
      <c r="P342" s="124"/>
      <c r="Q342" s="124"/>
      <c r="R342" s="124"/>
      <c r="S342" s="124"/>
      <c r="T342" s="124"/>
      <c r="U342" s="124"/>
      <c r="V342" s="124"/>
      <c r="W342" s="124"/>
      <c r="X342" s="124"/>
      <c r="Y342" s="124"/>
      <c r="Z342" s="124"/>
    </row>
    <row r="343" ht="29.25" customHeight="1">
      <c r="A343" s="124"/>
      <c r="B343" s="124"/>
      <c r="C343" s="124"/>
      <c r="D343" s="124"/>
      <c r="E343" s="124"/>
      <c r="F343" s="124"/>
      <c r="G343" s="124"/>
      <c r="H343" s="124"/>
      <c r="I343" s="126"/>
      <c r="J343" s="124"/>
      <c r="K343" s="124"/>
      <c r="L343" s="124"/>
      <c r="M343" s="124"/>
      <c r="N343" s="124"/>
      <c r="O343" s="124"/>
      <c r="P343" s="124"/>
      <c r="Q343" s="124"/>
      <c r="R343" s="124"/>
      <c r="S343" s="124"/>
      <c r="T343" s="124"/>
      <c r="U343" s="124"/>
      <c r="V343" s="124"/>
      <c r="W343" s="124"/>
      <c r="X343" s="124"/>
      <c r="Y343" s="124"/>
      <c r="Z343" s="124"/>
    </row>
    <row r="344" ht="29.25" customHeight="1">
      <c r="A344" s="124"/>
      <c r="B344" s="124"/>
      <c r="C344" s="124"/>
      <c r="D344" s="124"/>
      <c r="E344" s="124"/>
      <c r="F344" s="124"/>
      <c r="G344" s="124"/>
      <c r="H344" s="124"/>
      <c r="I344" s="126"/>
      <c r="J344" s="124"/>
      <c r="K344" s="124"/>
      <c r="L344" s="124"/>
      <c r="M344" s="124"/>
      <c r="N344" s="124"/>
      <c r="O344" s="124"/>
      <c r="P344" s="124"/>
      <c r="Q344" s="124"/>
      <c r="R344" s="124"/>
      <c r="S344" s="124"/>
      <c r="T344" s="124"/>
      <c r="U344" s="124"/>
      <c r="V344" s="124"/>
      <c r="W344" s="124"/>
      <c r="X344" s="124"/>
      <c r="Y344" s="124"/>
      <c r="Z344" s="124"/>
    </row>
    <row r="345" ht="29.25" customHeight="1">
      <c r="A345" s="124"/>
      <c r="B345" s="124"/>
      <c r="C345" s="124"/>
      <c r="D345" s="124"/>
      <c r="E345" s="124"/>
      <c r="F345" s="124"/>
      <c r="G345" s="124"/>
      <c r="H345" s="124"/>
      <c r="I345" s="126"/>
      <c r="J345" s="124"/>
      <c r="K345" s="124"/>
      <c r="L345" s="124"/>
      <c r="M345" s="124"/>
      <c r="N345" s="124"/>
      <c r="O345" s="124"/>
      <c r="P345" s="124"/>
      <c r="Q345" s="124"/>
      <c r="R345" s="124"/>
      <c r="S345" s="124"/>
      <c r="T345" s="124"/>
      <c r="U345" s="124"/>
      <c r="V345" s="124"/>
      <c r="W345" s="124"/>
      <c r="X345" s="124"/>
      <c r="Y345" s="124"/>
      <c r="Z345" s="124"/>
    </row>
    <row r="346" ht="29.25" customHeight="1">
      <c r="A346" s="124"/>
      <c r="B346" s="124"/>
      <c r="C346" s="124"/>
      <c r="D346" s="124"/>
      <c r="E346" s="124"/>
      <c r="F346" s="124"/>
      <c r="G346" s="124"/>
      <c r="H346" s="124"/>
      <c r="I346" s="126"/>
      <c r="J346" s="124"/>
      <c r="K346" s="124"/>
      <c r="L346" s="124"/>
      <c r="M346" s="124"/>
      <c r="N346" s="124"/>
      <c r="O346" s="124"/>
      <c r="P346" s="124"/>
      <c r="Q346" s="124"/>
      <c r="R346" s="124"/>
      <c r="S346" s="124"/>
      <c r="T346" s="124"/>
      <c r="U346" s="124"/>
      <c r="V346" s="124"/>
      <c r="W346" s="124"/>
      <c r="X346" s="124"/>
      <c r="Y346" s="124"/>
      <c r="Z346" s="124"/>
    </row>
    <row r="347" ht="29.25" customHeight="1">
      <c r="A347" s="124"/>
      <c r="B347" s="124"/>
      <c r="C347" s="124"/>
      <c r="D347" s="124"/>
      <c r="E347" s="124"/>
      <c r="F347" s="124"/>
      <c r="G347" s="124"/>
      <c r="H347" s="124"/>
      <c r="I347" s="126"/>
      <c r="J347" s="124"/>
      <c r="K347" s="124"/>
      <c r="L347" s="124"/>
      <c r="M347" s="124"/>
      <c r="N347" s="124"/>
      <c r="O347" s="124"/>
      <c r="P347" s="124"/>
      <c r="Q347" s="124"/>
      <c r="R347" s="124"/>
      <c r="S347" s="124"/>
      <c r="T347" s="124"/>
      <c r="U347" s="124"/>
      <c r="V347" s="124"/>
      <c r="W347" s="124"/>
      <c r="X347" s="124"/>
      <c r="Y347" s="124"/>
      <c r="Z347" s="124"/>
    </row>
    <row r="348" ht="29.25" customHeight="1">
      <c r="A348" s="124"/>
      <c r="B348" s="124"/>
      <c r="C348" s="124"/>
      <c r="D348" s="124"/>
      <c r="E348" s="124"/>
      <c r="F348" s="124"/>
      <c r="G348" s="124"/>
      <c r="H348" s="124"/>
      <c r="I348" s="126"/>
      <c r="J348" s="124"/>
      <c r="K348" s="124"/>
      <c r="L348" s="124"/>
      <c r="M348" s="124"/>
      <c r="N348" s="124"/>
      <c r="O348" s="124"/>
      <c r="P348" s="124"/>
      <c r="Q348" s="124"/>
      <c r="R348" s="124"/>
      <c r="S348" s="124"/>
      <c r="T348" s="124"/>
      <c r="U348" s="124"/>
      <c r="V348" s="124"/>
      <c r="W348" s="124"/>
      <c r="X348" s="124"/>
      <c r="Y348" s="124"/>
      <c r="Z348" s="124"/>
    </row>
    <row r="349" ht="29.25" customHeight="1">
      <c r="A349" s="124"/>
      <c r="B349" s="124"/>
      <c r="C349" s="124"/>
      <c r="D349" s="124"/>
      <c r="E349" s="124"/>
      <c r="F349" s="124"/>
      <c r="G349" s="124"/>
      <c r="H349" s="124"/>
      <c r="I349" s="126"/>
      <c r="J349" s="124"/>
      <c r="K349" s="124"/>
      <c r="L349" s="124"/>
      <c r="M349" s="124"/>
      <c r="N349" s="124"/>
      <c r="O349" s="124"/>
      <c r="P349" s="124"/>
      <c r="Q349" s="124"/>
      <c r="R349" s="124"/>
      <c r="S349" s="124"/>
      <c r="T349" s="124"/>
      <c r="U349" s="124"/>
      <c r="V349" s="124"/>
      <c r="W349" s="124"/>
      <c r="X349" s="124"/>
      <c r="Y349" s="124"/>
      <c r="Z349" s="124"/>
    </row>
    <row r="350" ht="29.25" customHeight="1">
      <c r="A350" s="124"/>
      <c r="B350" s="124"/>
      <c r="C350" s="124"/>
      <c r="D350" s="124"/>
      <c r="E350" s="124"/>
      <c r="F350" s="124"/>
      <c r="G350" s="124"/>
      <c r="H350" s="124"/>
      <c r="I350" s="126"/>
      <c r="J350" s="124"/>
      <c r="K350" s="124"/>
      <c r="L350" s="124"/>
      <c r="M350" s="124"/>
      <c r="N350" s="124"/>
      <c r="O350" s="124"/>
      <c r="P350" s="124"/>
      <c r="Q350" s="124"/>
      <c r="R350" s="124"/>
      <c r="S350" s="124"/>
      <c r="T350" s="124"/>
      <c r="U350" s="124"/>
      <c r="V350" s="124"/>
      <c r="W350" s="124"/>
      <c r="X350" s="124"/>
      <c r="Y350" s="124"/>
      <c r="Z350" s="124"/>
    </row>
    <row r="351" ht="29.25" customHeight="1">
      <c r="A351" s="124"/>
      <c r="B351" s="124"/>
      <c r="C351" s="124"/>
      <c r="D351" s="124"/>
      <c r="E351" s="124"/>
      <c r="F351" s="124"/>
      <c r="G351" s="124"/>
      <c r="H351" s="124"/>
      <c r="I351" s="126"/>
      <c r="J351" s="124"/>
      <c r="K351" s="124"/>
      <c r="L351" s="124"/>
      <c r="M351" s="124"/>
      <c r="N351" s="124"/>
      <c r="O351" s="124"/>
      <c r="P351" s="124"/>
      <c r="Q351" s="124"/>
      <c r="R351" s="124"/>
      <c r="S351" s="124"/>
      <c r="T351" s="124"/>
      <c r="U351" s="124"/>
      <c r="V351" s="124"/>
      <c r="W351" s="124"/>
      <c r="X351" s="124"/>
      <c r="Y351" s="124"/>
      <c r="Z351" s="124"/>
    </row>
    <row r="352" ht="29.25" customHeight="1">
      <c r="A352" s="124"/>
      <c r="B352" s="124"/>
      <c r="C352" s="124"/>
      <c r="D352" s="124"/>
      <c r="E352" s="124"/>
      <c r="F352" s="124"/>
      <c r="G352" s="124"/>
      <c r="H352" s="124"/>
      <c r="I352" s="126"/>
      <c r="J352" s="124"/>
      <c r="K352" s="124"/>
      <c r="L352" s="124"/>
      <c r="M352" s="124"/>
      <c r="N352" s="124"/>
      <c r="O352" s="124"/>
      <c r="P352" s="124"/>
      <c r="Q352" s="124"/>
      <c r="R352" s="124"/>
      <c r="S352" s="124"/>
      <c r="T352" s="124"/>
      <c r="U352" s="124"/>
      <c r="V352" s="124"/>
      <c r="W352" s="124"/>
      <c r="X352" s="124"/>
      <c r="Y352" s="124"/>
      <c r="Z352" s="124"/>
    </row>
    <row r="353" ht="29.25" customHeight="1">
      <c r="A353" s="124"/>
      <c r="B353" s="124"/>
      <c r="C353" s="124"/>
      <c r="D353" s="124"/>
      <c r="E353" s="124"/>
      <c r="F353" s="124"/>
      <c r="G353" s="124"/>
      <c r="H353" s="124"/>
      <c r="I353" s="126"/>
      <c r="J353" s="124"/>
      <c r="K353" s="124"/>
      <c r="L353" s="124"/>
      <c r="M353" s="124"/>
      <c r="N353" s="124"/>
      <c r="O353" s="124"/>
      <c r="P353" s="124"/>
      <c r="Q353" s="124"/>
      <c r="R353" s="124"/>
      <c r="S353" s="124"/>
      <c r="T353" s="124"/>
      <c r="U353" s="124"/>
      <c r="V353" s="124"/>
      <c r="W353" s="124"/>
      <c r="X353" s="124"/>
      <c r="Y353" s="124"/>
      <c r="Z353" s="124"/>
    </row>
    <row r="354" ht="29.25" customHeight="1">
      <c r="A354" s="124"/>
      <c r="B354" s="124"/>
      <c r="C354" s="124"/>
      <c r="D354" s="124"/>
      <c r="E354" s="124"/>
      <c r="F354" s="124"/>
      <c r="G354" s="124"/>
      <c r="H354" s="124"/>
      <c r="I354" s="126"/>
      <c r="J354" s="124"/>
      <c r="K354" s="124"/>
      <c r="L354" s="124"/>
      <c r="M354" s="124"/>
      <c r="N354" s="124"/>
      <c r="O354" s="124"/>
      <c r="P354" s="124"/>
      <c r="Q354" s="124"/>
      <c r="R354" s="124"/>
      <c r="S354" s="124"/>
      <c r="T354" s="124"/>
      <c r="U354" s="124"/>
      <c r="V354" s="124"/>
      <c r="W354" s="124"/>
      <c r="X354" s="124"/>
      <c r="Y354" s="124"/>
      <c r="Z354" s="124"/>
    </row>
    <row r="355" ht="29.25" customHeight="1">
      <c r="A355" s="124"/>
      <c r="B355" s="124"/>
      <c r="C355" s="124"/>
      <c r="D355" s="124"/>
      <c r="E355" s="124"/>
      <c r="F355" s="124"/>
      <c r="G355" s="124"/>
      <c r="H355" s="124"/>
      <c r="I355" s="126"/>
      <c r="J355" s="124"/>
      <c r="K355" s="124"/>
      <c r="L355" s="124"/>
      <c r="M355" s="124"/>
      <c r="N355" s="124"/>
      <c r="O355" s="124"/>
      <c r="P355" s="124"/>
      <c r="Q355" s="124"/>
      <c r="R355" s="124"/>
      <c r="S355" s="124"/>
      <c r="T355" s="124"/>
      <c r="U355" s="124"/>
      <c r="V355" s="124"/>
      <c r="W355" s="124"/>
      <c r="X355" s="124"/>
      <c r="Y355" s="124"/>
      <c r="Z355" s="124"/>
    </row>
    <row r="356" ht="29.25" customHeight="1">
      <c r="A356" s="124"/>
      <c r="B356" s="124"/>
      <c r="C356" s="124"/>
      <c r="D356" s="124"/>
      <c r="E356" s="124"/>
      <c r="F356" s="124"/>
      <c r="G356" s="124"/>
      <c r="H356" s="124"/>
      <c r="I356" s="126"/>
      <c r="J356" s="124"/>
      <c r="K356" s="124"/>
      <c r="L356" s="124"/>
      <c r="M356" s="124"/>
      <c r="N356" s="124"/>
      <c r="O356" s="124"/>
      <c r="P356" s="124"/>
      <c r="Q356" s="124"/>
      <c r="R356" s="124"/>
      <c r="S356" s="124"/>
      <c r="T356" s="124"/>
      <c r="U356" s="124"/>
      <c r="V356" s="124"/>
      <c r="W356" s="124"/>
      <c r="X356" s="124"/>
      <c r="Y356" s="124"/>
      <c r="Z356" s="124"/>
    </row>
    <row r="357" ht="29.25" customHeight="1">
      <c r="A357" s="124"/>
      <c r="B357" s="124"/>
      <c r="C357" s="124"/>
      <c r="D357" s="124"/>
      <c r="E357" s="124"/>
      <c r="F357" s="124"/>
      <c r="G357" s="124"/>
      <c r="H357" s="124"/>
      <c r="I357" s="126"/>
      <c r="J357" s="124"/>
      <c r="K357" s="124"/>
      <c r="L357" s="124"/>
      <c r="M357" s="124"/>
      <c r="N357" s="124"/>
      <c r="O357" s="124"/>
      <c r="P357" s="124"/>
      <c r="Q357" s="124"/>
      <c r="R357" s="124"/>
      <c r="S357" s="124"/>
      <c r="T357" s="124"/>
      <c r="U357" s="124"/>
      <c r="V357" s="124"/>
      <c r="W357" s="124"/>
      <c r="X357" s="124"/>
      <c r="Y357" s="124"/>
      <c r="Z357" s="124"/>
    </row>
    <row r="358" ht="29.25" customHeight="1">
      <c r="A358" s="124"/>
      <c r="B358" s="124"/>
      <c r="C358" s="124"/>
      <c r="D358" s="124"/>
      <c r="E358" s="124"/>
      <c r="F358" s="124"/>
      <c r="G358" s="124"/>
      <c r="H358" s="124"/>
      <c r="I358" s="126"/>
      <c r="J358" s="124"/>
      <c r="K358" s="124"/>
      <c r="L358" s="124"/>
      <c r="M358" s="124"/>
      <c r="N358" s="124"/>
      <c r="O358" s="124"/>
      <c r="P358" s="124"/>
      <c r="Q358" s="124"/>
      <c r="R358" s="124"/>
      <c r="S358" s="124"/>
      <c r="T358" s="124"/>
      <c r="U358" s="124"/>
      <c r="V358" s="124"/>
      <c r="W358" s="124"/>
      <c r="X358" s="124"/>
      <c r="Y358" s="124"/>
      <c r="Z358" s="124"/>
    </row>
    <row r="359" ht="29.25" customHeight="1">
      <c r="A359" s="124"/>
      <c r="B359" s="124"/>
      <c r="C359" s="124"/>
      <c r="D359" s="124"/>
      <c r="E359" s="124"/>
      <c r="F359" s="124"/>
      <c r="G359" s="124"/>
      <c r="H359" s="124"/>
      <c r="I359" s="126"/>
      <c r="J359" s="124"/>
      <c r="K359" s="124"/>
      <c r="L359" s="124"/>
      <c r="M359" s="124"/>
      <c r="N359" s="124"/>
      <c r="O359" s="124"/>
      <c r="P359" s="124"/>
      <c r="Q359" s="124"/>
      <c r="R359" s="124"/>
      <c r="S359" s="124"/>
      <c r="T359" s="124"/>
      <c r="U359" s="124"/>
      <c r="V359" s="124"/>
      <c r="W359" s="124"/>
      <c r="X359" s="124"/>
      <c r="Y359" s="124"/>
      <c r="Z359" s="124"/>
    </row>
    <row r="360" ht="29.25" customHeight="1">
      <c r="A360" s="124"/>
      <c r="B360" s="124"/>
      <c r="C360" s="124"/>
      <c r="D360" s="124"/>
      <c r="E360" s="124"/>
      <c r="F360" s="124"/>
      <c r="G360" s="124"/>
      <c r="H360" s="124"/>
      <c r="I360" s="126"/>
      <c r="J360" s="124"/>
      <c r="K360" s="124"/>
      <c r="L360" s="124"/>
      <c r="M360" s="124"/>
      <c r="N360" s="124"/>
      <c r="O360" s="124"/>
      <c r="P360" s="124"/>
      <c r="Q360" s="124"/>
      <c r="R360" s="124"/>
      <c r="S360" s="124"/>
      <c r="T360" s="124"/>
      <c r="U360" s="124"/>
      <c r="V360" s="124"/>
      <c r="W360" s="124"/>
      <c r="X360" s="124"/>
      <c r="Y360" s="124"/>
      <c r="Z360" s="124"/>
    </row>
    <row r="361" ht="29.25" customHeight="1">
      <c r="A361" s="124"/>
      <c r="B361" s="124"/>
      <c r="C361" s="124"/>
      <c r="D361" s="124"/>
      <c r="E361" s="124"/>
      <c r="F361" s="124"/>
      <c r="G361" s="124"/>
      <c r="H361" s="124"/>
      <c r="I361" s="126"/>
      <c r="J361" s="124"/>
      <c r="K361" s="124"/>
      <c r="L361" s="124"/>
      <c r="M361" s="124"/>
      <c r="N361" s="124"/>
      <c r="O361" s="124"/>
      <c r="P361" s="124"/>
      <c r="Q361" s="124"/>
      <c r="R361" s="124"/>
      <c r="S361" s="124"/>
      <c r="T361" s="124"/>
      <c r="U361" s="124"/>
      <c r="V361" s="124"/>
      <c r="W361" s="124"/>
      <c r="X361" s="124"/>
      <c r="Y361" s="124"/>
      <c r="Z361" s="124"/>
    </row>
    <row r="362" ht="29.25" customHeight="1">
      <c r="A362" s="124"/>
      <c r="B362" s="124"/>
      <c r="C362" s="124"/>
      <c r="D362" s="124"/>
      <c r="E362" s="124"/>
      <c r="F362" s="124"/>
      <c r="G362" s="124"/>
      <c r="H362" s="124"/>
      <c r="I362" s="126"/>
      <c r="J362" s="124"/>
      <c r="K362" s="124"/>
      <c r="L362" s="124"/>
      <c r="M362" s="124"/>
      <c r="N362" s="124"/>
      <c r="O362" s="124"/>
      <c r="P362" s="124"/>
      <c r="Q362" s="124"/>
      <c r="R362" s="124"/>
      <c r="S362" s="124"/>
      <c r="T362" s="124"/>
      <c r="U362" s="124"/>
      <c r="V362" s="124"/>
      <c r="W362" s="124"/>
      <c r="X362" s="124"/>
      <c r="Y362" s="124"/>
      <c r="Z362" s="124"/>
    </row>
    <row r="363" ht="29.25" customHeight="1">
      <c r="A363" s="124"/>
      <c r="B363" s="124"/>
      <c r="C363" s="124"/>
      <c r="D363" s="124"/>
      <c r="E363" s="124"/>
      <c r="F363" s="124"/>
      <c r="G363" s="124"/>
      <c r="H363" s="124"/>
      <c r="I363" s="126"/>
      <c r="J363" s="124"/>
      <c r="K363" s="124"/>
      <c r="L363" s="124"/>
      <c r="M363" s="124"/>
      <c r="N363" s="124"/>
      <c r="O363" s="124"/>
      <c r="P363" s="124"/>
      <c r="Q363" s="124"/>
      <c r="R363" s="124"/>
      <c r="S363" s="124"/>
      <c r="T363" s="124"/>
      <c r="U363" s="124"/>
      <c r="V363" s="124"/>
      <c r="W363" s="124"/>
      <c r="X363" s="124"/>
      <c r="Y363" s="124"/>
      <c r="Z363" s="124"/>
    </row>
    <row r="364" ht="29.25" customHeight="1">
      <c r="A364" s="124"/>
      <c r="B364" s="124"/>
      <c r="C364" s="124"/>
      <c r="D364" s="124"/>
      <c r="E364" s="124"/>
      <c r="F364" s="124"/>
      <c r="G364" s="124"/>
      <c r="H364" s="124"/>
      <c r="I364" s="126"/>
      <c r="J364" s="124"/>
      <c r="K364" s="124"/>
      <c r="L364" s="124"/>
      <c r="M364" s="124"/>
      <c r="N364" s="124"/>
      <c r="O364" s="124"/>
      <c r="P364" s="124"/>
      <c r="Q364" s="124"/>
      <c r="R364" s="124"/>
      <c r="S364" s="124"/>
      <c r="T364" s="124"/>
      <c r="U364" s="124"/>
      <c r="V364" s="124"/>
      <c r="W364" s="124"/>
      <c r="X364" s="124"/>
      <c r="Y364" s="124"/>
      <c r="Z364" s="124"/>
    </row>
    <row r="365" ht="29.25" customHeight="1">
      <c r="A365" s="124"/>
      <c r="B365" s="124"/>
      <c r="C365" s="124"/>
      <c r="D365" s="124"/>
      <c r="E365" s="124"/>
      <c r="F365" s="124"/>
      <c r="G365" s="124"/>
      <c r="H365" s="124"/>
      <c r="I365" s="126"/>
      <c r="J365" s="124"/>
      <c r="K365" s="124"/>
      <c r="L365" s="124"/>
      <c r="M365" s="124"/>
      <c r="N365" s="124"/>
      <c r="O365" s="124"/>
      <c r="P365" s="124"/>
      <c r="Q365" s="124"/>
      <c r="R365" s="124"/>
      <c r="S365" s="124"/>
      <c r="T365" s="124"/>
      <c r="U365" s="124"/>
      <c r="V365" s="124"/>
      <c r="W365" s="124"/>
      <c r="X365" s="124"/>
      <c r="Y365" s="124"/>
      <c r="Z365" s="124"/>
    </row>
    <row r="366" ht="29.25" customHeight="1">
      <c r="A366" s="124"/>
      <c r="B366" s="124"/>
      <c r="C366" s="124"/>
      <c r="D366" s="124"/>
      <c r="E366" s="124"/>
      <c r="F366" s="124"/>
      <c r="G366" s="124"/>
      <c r="H366" s="124"/>
      <c r="I366" s="126"/>
      <c r="J366" s="124"/>
      <c r="K366" s="124"/>
      <c r="L366" s="124"/>
      <c r="M366" s="124"/>
      <c r="N366" s="124"/>
      <c r="O366" s="124"/>
      <c r="P366" s="124"/>
      <c r="Q366" s="124"/>
      <c r="R366" s="124"/>
      <c r="S366" s="124"/>
      <c r="T366" s="124"/>
      <c r="U366" s="124"/>
      <c r="V366" s="124"/>
      <c r="W366" s="124"/>
      <c r="X366" s="124"/>
      <c r="Y366" s="124"/>
      <c r="Z366" s="124"/>
    </row>
    <row r="367" ht="29.25" customHeight="1">
      <c r="A367" s="124"/>
      <c r="B367" s="124"/>
      <c r="C367" s="124"/>
      <c r="D367" s="124"/>
      <c r="E367" s="124"/>
      <c r="F367" s="124"/>
      <c r="G367" s="124"/>
      <c r="H367" s="124"/>
      <c r="I367" s="126"/>
      <c r="J367" s="124"/>
      <c r="K367" s="124"/>
      <c r="L367" s="124"/>
      <c r="M367" s="124"/>
      <c r="N367" s="124"/>
      <c r="O367" s="124"/>
      <c r="P367" s="124"/>
      <c r="Q367" s="124"/>
      <c r="R367" s="124"/>
      <c r="S367" s="124"/>
      <c r="T367" s="124"/>
      <c r="U367" s="124"/>
      <c r="V367" s="124"/>
      <c r="W367" s="124"/>
      <c r="X367" s="124"/>
      <c r="Y367" s="124"/>
      <c r="Z367" s="124"/>
    </row>
    <row r="368" ht="29.25" customHeight="1">
      <c r="A368" s="124"/>
      <c r="B368" s="124"/>
      <c r="C368" s="124"/>
      <c r="D368" s="124"/>
      <c r="E368" s="124"/>
      <c r="F368" s="124"/>
      <c r="G368" s="124"/>
      <c r="H368" s="124"/>
      <c r="I368" s="126"/>
      <c r="J368" s="124"/>
      <c r="K368" s="124"/>
      <c r="L368" s="124"/>
      <c r="M368" s="124"/>
      <c r="N368" s="124"/>
      <c r="O368" s="124"/>
      <c r="P368" s="124"/>
      <c r="Q368" s="124"/>
      <c r="R368" s="124"/>
      <c r="S368" s="124"/>
      <c r="T368" s="124"/>
      <c r="U368" s="124"/>
      <c r="V368" s="124"/>
      <c r="W368" s="124"/>
      <c r="X368" s="124"/>
      <c r="Y368" s="124"/>
      <c r="Z368" s="124"/>
    </row>
    <row r="369" ht="29.25" customHeight="1">
      <c r="A369" s="124"/>
      <c r="B369" s="124"/>
      <c r="C369" s="124"/>
      <c r="D369" s="124"/>
      <c r="E369" s="124"/>
      <c r="F369" s="124"/>
      <c r="G369" s="124"/>
      <c r="H369" s="124"/>
      <c r="I369" s="126"/>
      <c r="J369" s="124"/>
      <c r="K369" s="124"/>
      <c r="L369" s="124"/>
      <c r="M369" s="124"/>
      <c r="N369" s="124"/>
      <c r="O369" s="124"/>
      <c r="P369" s="124"/>
      <c r="Q369" s="124"/>
      <c r="R369" s="124"/>
      <c r="S369" s="124"/>
      <c r="T369" s="124"/>
      <c r="U369" s="124"/>
      <c r="V369" s="124"/>
      <c r="W369" s="124"/>
      <c r="X369" s="124"/>
      <c r="Y369" s="124"/>
      <c r="Z369" s="124"/>
    </row>
    <row r="370" ht="29.25" customHeight="1">
      <c r="A370" s="124"/>
      <c r="B370" s="124"/>
      <c r="C370" s="124"/>
      <c r="D370" s="124"/>
      <c r="E370" s="124"/>
      <c r="F370" s="124"/>
      <c r="G370" s="124"/>
      <c r="H370" s="124"/>
      <c r="I370" s="126"/>
      <c r="J370" s="124"/>
      <c r="K370" s="124"/>
      <c r="L370" s="124"/>
      <c r="M370" s="124"/>
      <c r="N370" s="124"/>
      <c r="O370" s="124"/>
      <c r="P370" s="124"/>
      <c r="Q370" s="124"/>
      <c r="R370" s="124"/>
      <c r="S370" s="124"/>
      <c r="T370" s="124"/>
      <c r="U370" s="124"/>
      <c r="V370" s="124"/>
      <c r="W370" s="124"/>
      <c r="X370" s="124"/>
      <c r="Y370" s="124"/>
      <c r="Z370" s="124"/>
    </row>
    <row r="371" ht="29.25" customHeight="1">
      <c r="A371" s="124"/>
      <c r="B371" s="124"/>
      <c r="C371" s="124"/>
      <c r="D371" s="124"/>
      <c r="E371" s="124"/>
      <c r="F371" s="124"/>
      <c r="G371" s="124"/>
      <c r="H371" s="124"/>
      <c r="I371" s="126"/>
      <c r="J371" s="124"/>
      <c r="K371" s="124"/>
      <c r="L371" s="124"/>
      <c r="M371" s="124"/>
      <c r="N371" s="124"/>
      <c r="O371" s="124"/>
      <c r="P371" s="124"/>
      <c r="Q371" s="124"/>
      <c r="R371" s="124"/>
      <c r="S371" s="124"/>
      <c r="T371" s="124"/>
      <c r="U371" s="124"/>
      <c r="V371" s="124"/>
      <c r="W371" s="124"/>
      <c r="X371" s="124"/>
      <c r="Y371" s="124"/>
      <c r="Z371" s="124"/>
    </row>
    <row r="372" ht="29.25" customHeight="1">
      <c r="A372" s="124"/>
      <c r="B372" s="124"/>
      <c r="C372" s="124"/>
      <c r="D372" s="124"/>
      <c r="E372" s="124"/>
      <c r="F372" s="124"/>
      <c r="G372" s="124"/>
      <c r="H372" s="124"/>
      <c r="I372" s="126"/>
      <c r="J372" s="124"/>
      <c r="K372" s="124"/>
      <c r="L372" s="124"/>
      <c r="M372" s="124"/>
      <c r="N372" s="124"/>
      <c r="O372" s="124"/>
      <c r="P372" s="124"/>
      <c r="Q372" s="124"/>
      <c r="R372" s="124"/>
      <c r="S372" s="124"/>
      <c r="T372" s="124"/>
      <c r="U372" s="124"/>
      <c r="V372" s="124"/>
      <c r="W372" s="124"/>
      <c r="X372" s="124"/>
      <c r="Y372" s="124"/>
      <c r="Z372" s="124"/>
    </row>
    <row r="373" ht="29.25" customHeight="1">
      <c r="A373" s="124"/>
      <c r="B373" s="124"/>
      <c r="C373" s="124"/>
      <c r="D373" s="124"/>
      <c r="E373" s="124"/>
      <c r="F373" s="124"/>
      <c r="G373" s="124"/>
      <c r="H373" s="124"/>
      <c r="I373" s="126"/>
      <c r="J373" s="124"/>
      <c r="K373" s="124"/>
      <c r="L373" s="124"/>
      <c r="M373" s="124"/>
      <c r="N373" s="124"/>
      <c r="O373" s="124"/>
      <c r="P373" s="124"/>
      <c r="Q373" s="124"/>
      <c r="R373" s="124"/>
      <c r="S373" s="124"/>
      <c r="T373" s="124"/>
      <c r="U373" s="124"/>
      <c r="V373" s="124"/>
      <c r="W373" s="124"/>
      <c r="X373" s="124"/>
      <c r="Y373" s="124"/>
      <c r="Z373" s="124"/>
    </row>
    <row r="374" ht="29.25" customHeight="1">
      <c r="A374" s="124"/>
      <c r="B374" s="124"/>
      <c r="C374" s="124"/>
      <c r="D374" s="124"/>
      <c r="E374" s="124"/>
      <c r="F374" s="124"/>
      <c r="G374" s="124"/>
      <c r="H374" s="124"/>
      <c r="I374" s="126"/>
      <c r="J374" s="124"/>
      <c r="K374" s="124"/>
      <c r="L374" s="124"/>
      <c r="M374" s="124"/>
      <c r="N374" s="124"/>
      <c r="O374" s="124"/>
      <c r="P374" s="124"/>
      <c r="Q374" s="124"/>
      <c r="R374" s="124"/>
      <c r="S374" s="124"/>
      <c r="T374" s="124"/>
      <c r="U374" s="124"/>
      <c r="V374" s="124"/>
      <c r="W374" s="124"/>
      <c r="X374" s="124"/>
      <c r="Y374" s="124"/>
      <c r="Z374" s="124"/>
    </row>
    <row r="375" ht="29.25" customHeight="1">
      <c r="A375" s="124"/>
      <c r="B375" s="124"/>
      <c r="C375" s="124"/>
      <c r="D375" s="124"/>
      <c r="E375" s="124"/>
      <c r="F375" s="124"/>
      <c r="G375" s="124"/>
      <c r="H375" s="124"/>
      <c r="I375" s="126"/>
      <c r="J375" s="124"/>
      <c r="K375" s="124"/>
      <c r="L375" s="124"/>
      <c r="M375" s="124"/>
      <c r="N375" s="124"/>
      <c r="O375" s="124"/>
      <c r="P375" s="124"/>
      <c r="Q375" s="124"/>
      <c r="R375" s="124"/>
      <c r="S375" s="124"/>
      <c r="T375" s="124"/>
      <c r="U375" s="124"/>
      <c r="V375" s="124"/>
      <c r="W375" s="124"/>
      <c r="X375" s="124"/>
      <c r="Y375" s="124"/>
      <c r="Z375" s="124"/>
    </row>
    <row r="376" ht="29.25" customHeight="1">
      <c r="A376" s="124"/>
      <c r="B376" s="124"/>
      <c r="C376" s="124"/>
      <c r="D376" s="124"/>
      <c r="E376" s="124"/>
      <c r="F376" s="124"/>
      <c r="G376" s="124"/>
      <c r="H376" s="124"/>
      <c r="I376" s="126"/>
      <c r="J376" s="124"/>
      <c r="K376" s="124"/>
      <c r="L376" s="124"/>
      <c r="M376" s="124"/>
      <c r="N376" s="124"/>
      <c r="O376" s="124"/>
      <c r="P376" s="124"/>
      <c r="Q376" s="124"/>
      <c r="R376" s="124"/>
      <c r="S376" s="124"/>
      <c r="T376" s="124"/>
      <c r="U376" s="124"/>
      <c r="V376" s="124"/>
      <c r="W376" s="124"/>
      <c r="X376" s="124"/>
      <c r="Y376" s="124"/>
      <c r="Z376" s="124"/>
    </row>
    <row r="377" ht="29.25" customHeight="1">
      <c r="A377" s="124"/>
      <c r="B377" s="124"/>
      <c r="C377" s="124"/>
      <c r="D377" s="124"/>
      <c r="E377" s="124"/>
      <c r="F377" s="124"/>
      <c r="G377" s="124"/>
      <c r="H377" s="124"/>
      <c r="I377" s="126"/>
      <c r="J377" s="124"/>
      <c r="K377" s="124"/>
      <c r="L377" s="124"/>
      <c r="M377" s="124"/>
      <c r="N377" s="124"/>
      <c r="O377" s="124"/>
      <c r="P377" s="124"/>
      <c r="Q377" s="124"/>
      <c r="R377" s="124"/>
      <c r="S377" s="124"/>
      <c r="T377" s="124"/>
      <c r="U377" s="124"/>
      <c r="V377" s="124"/>
      <c r="W377" s="124"/>
      <c r="X377" s="124"/>
      <c r="Y377" s="124"/>
      <c r="Z377" s="124"/>
    </row>
    <row r="378" ht="29.25" customHeight="1">
      <c r="A378" s="124"/>
      <c r="B378" s="124"/>
      <c r="C378" s="124"/>
      <c r="D378" s="124"/>
      <c r="E378" s="124"/>
      <c r="F378" s="124"/>
      <c r="G378" s="124"/>
      <c r="H378" s="124"/>
      <c r="I378" s="126"/>
      <c r="J378" s="124"/>
      <c r="K378" s="124"/>
      <c r="L378" s="124"/>
      <c r="M378" s="124"/>
      <c r="N378" s="124"/>
      <c r="O378" s="124"/>
      <c r="P378" s="124"/>
      <c r="Q378" s="124"/>
      <c r="R378" s="124"/>
      <c r="S378" s="124"/>
      <c r="T378" s="124"/>
      <c r="U378" s="124"/>
      <c r="V378" s="124"/>
      <c r="W378" s="124"/>
      <c r="X378" s="124"/>
      <c r="Y378" s="124"/>
      <c r="Z378" s="124"/>
    </row>
    <row r="379" ht="29.25" customHeight="1">
      <c r="A379" s="124"/>
      <c r="B379" s="124"/>
      <c r="C379" s="124"/>
      <c r="D379" s="124"/>
      <c r="E379" s="124"/>
      <c r="F379" s="124"/>
      <c r="G379" s="124"/>
      <c r="H379" s="124"/>
      <c r="I379" s="126"/>
      <c r="J379" s="124"/>
      <c r="K379" s="124"/>
      <c r="L379" s="124"/>
      <c r="M379" s="124"/>
      <c r="N379" s="124"/>
      <c r="O379" s="124"/>
      <c r="P379" s="124"/>
      <c r="Q379" s="124"/>
      <c r="R379" s="124"/>
      <c r="S379" s="124"/>
      <c r="T379" s="124"/>
      <c r="U379" s="124"/>
      <c r="V379" s="124"/>
      <c r="W379" s="124"/>
      <c r="X379" s="124"/>
      <c r="Y379" s="124"/>
      <c r="Z379" s="124"/>
    </row>
    <row r="380" ht="29.25" customHeight="1">
      <c r="A380" s="124"/>
      <c r="B380" s="124"/>
      <c r="C380" s="124"/>
      <c r="D380" s="124"/>
      <c r="E380" s="124"/>
      <c r="F380" s="124"/>
      <c r="G380" s="124"/>
      <c r="H380" s="124"/>
      <c r="I380" s="126"/>
      <c r="J380" s="124"/>
      <c r="K380" s="124"/>
      <c r="L380" s="124"/>
      <c r="M380" s="124"/>
      <c r="N380" s="124"/>
      <c r="O380" s="124"/>
      <c r="P380" s="124"/>
      <c r="Q380" s="124"/>
      <c r="R380" s="124"/>
      <c r="S380" s="124"/>
      <c r="T380" s="124"/>
      <c r="U380" s="124"/>
      <c r="V380" s="124"/>
      <c r="W380" s="124"/>
      <c r="X380" s="124"/>
      <c r="Y380" s="124"/>
      <c r="Z380" s="124"/>
    </row>
    <row r="381" ht="29.25" customHeight="1">
      <c r="A381" s="124"/>
      <c r="B381" s="124"/>
      <c r="C381" s="124"/>
      <c r="D381" s="124"/>
      <c r="E381" s="124"/>
      <c r="F381" s="124"/>
      <c r="G381" s="124"/>
      <c r="H381" s="124"/>
      <c r="I381" s="126"/>
      <c r="J381" s="124"/>
      <c r="K381" s="124"/>
      <c r="L381" s="124"/>
      <c r="M381" s="124"/>
      <c r="N381" s="124"/>
      <c r="O381" s="124"/>
      <c r="P381" s="124"/>
      <c r="Q381" s="124"/>
      <c r="R381" s="124"/>
      <c r="S381" s="124"/>
      <c r="T381" s="124"/>
      <c r="U381" s="124"/>
      <c r="V381" s="124"/>
      <c r="W381" s="124"/>
      <c r="X381" s="124"/>
      <c r="Y381" s="124"/>
      <c r="Z381" s="124"/>
    </row>
    <row r="382" ht="29.25" customHeight="1">
      <c r="A382" s="124"/>
      <c r="B382" s="124"/>
      <c r="C382" s="124"/>
      <c r="D382" s="124"/>
      <c r="E382" s="124"/>
      <c r="F382" s="124"/>
      <c r="G382" s="124"/>
      <c r="H382" s="124"/>
      <c r="I382" s="126"/>
      <c r="J382" s="124"/>
      <c r="K382" s="124"/>
      <c r="L382" s="124"/>
      <c r="M382" s="124"/>
      <c r="N382" s="124"/>
      <c r="O382" s="124"/>
      <c r="P382" s="124"/>
      <c r="Q382" s="124"/>
      <c r="R382" s="124"/>
      <c r="S382" s="124"/>
      <c r="T382" s="124"/>
      <c r="U382" s="124"/>
      <c r="V382" s="124"/>
      <c r="W382" s="124"/>
      <c r="X382" s="124"/>
      <c r="Y382" s="124"/>
      <c r="Z382" s="124"/>
    </row>
    <row r="383" ht="29.25" customHeight="1">
      <c r="A383" s="124"/>
      <c r="B383" s="124"/>
      <c r="C383" s="124"/>
      <c r="D383" s="124"/>
      <c r="E383" s="124"/>
      <c r="F383" s="124"/>
      <c r="G383" s="124"/>
      <c r="H383" s="124"/>
      <c r="I383" s="126"/>
      <c r="J383" s="124"/>
      <c r="K383" s="124"/>
      <c r="L383" s="124"/>
      <c r="M383" s="124"/>
      <c r="N383" s="124"/>
      <c r="O383" s="124"/>
      <c r="P383" s="124"/>
      <c r="Q383" s="124"/>
      <c r="R383" s="124"/>
      <c r="S383" s="124"/>
      <c r="T383" s="124"/>
      <c r="U383" s="124"/>
      <c r="V383" s="124"/>
      <c r="W383" s="124"/>
      <c r="X383" s="124"/>
      <c r="Y383" s="124"/>
      <c r="Z383" s="124"/>
    </row>
    <row r="384" ht="29.25" customHeight="1">
      <c r="A384" s="124"/>
      <c r="B384" s="124"/>
      <c r="C384" s="124"/>
      <c r="D384" s="124"/>
      <c r="E384" s="124"/>
      <c r="F384" s="124"/>
      <c r="G384" s="124"/>
      <c r="H384" s="124"/>
      <c r="I384" s="126"/>
      <c r="J384" s="124"/>
      <c r="K384" s="124"/>
      <c r="L384" s="124"/>
      <c r="M384" s="124"/>
      <c r="N384" s="124"/>
      <c r="O384" s="124"/>
      <c r="P384" s="124"/>
      <c r="Q384" s="124"/>
      <c r="R384" s="124"/>
      <c r="S384" s="124"/>
      <c r="T384" s="124"/>
      <c r="U384" s="124"/>
      <c r="V384" s="124"/>
      <c r="W384" s="124"/>
      <c r="X384" s="124"/>
      <c r="Y384" s="124"/>
      <c r="Z384" s="124"/>
    </row>
    <row r="385" ht="29.25" customHeight="1">
      <c r="A385" s="124"/>
      <c r="B385" s="124"/>
      <c r="C385" s="124"/>
      <c r="D385" s="124"/>
      <c r="E385" s="124"/>
      <c r="F385" s="124"/>
      <c r="G385" s="124"/>
      <c r="H385" s="124"/>
      <c r="I385" s="126"/>
      <c r="J385" s="124"/>
      <c r="K385" s="124"/>
      <c r="L385" s="124"/>
      <c r="M385" s="124"/>
      <c r="N385" s="124"/>
      <c r="O385" s="124"/>
      <c r="P385" s="124"/>
      <c r="Q385" s="124"/>
      <c r="R385" s="124"/>
      <c r="S385" s="124"/>
      <c r="T385" s="124"/>
      <c r="U385" s="124"/>
      <c r="V385" s="124"/>
      <c r="W385" s="124"/>
      <c r="X385" s="124"/>
      <c r="Y385" s="124"/>
      <c r="Z385" s="124"/>
    </row>
    <row r="386" ht="29.25" customHeight="1">
      <c r="A386" s="124"/>
      <c r="B386" s="124"/>
      <c r="C386" s="124"/>
      <c r="D386" s="124"/>
      <c r="E386" s="124"/>
      <c r="F386" s="124"/>
      <c r="G386" s="124"/>
      <c r="H386" s="124"/>
      <c r="I386" s="126"/>
      <c r="J386" s="124"/>
      <c r="K386" s="124"/>
      <c r="L386" s="124"/>
      <c r="M386" s="124"/>
      <c r="N386" s="124"/>
      <c r="O386" s="124"/>
      <c r="P386" s="124"/>
      <c r="Q386" s="124"/>
      <c r="R386" s="124"/>
      <c r="S386" s="124"/>
      <c r="T386" s="124"/>
      <c r="U386" s="124"/>
      <c r="V386" s="124"/>
      <c r="W386" s="124"/>
      <c r="X386" s="124"/>
      <c r="Y386" s="124"/>
      <c r="Z386" s="124"/>
    </row>
    <row r="387" ht="29.25" customHeight="1">
      <c r="A387" s="124"/>
      <c r="B387" s="124"/>
      <c r="C387" s="124"/>
      <c r="D387" s="124"/>
      <c r="E387" s="124"/>
      <c r="F387" s="124"/>
      <c r="G387" s="124"/>
      <c r="H387" s="124"/>
      <c r="I387" s="126"/>
      <c r="J387" s="124"/>
      <c r="K387" s="124"/>
      <c r="L387" s="124"/>
      <c r="M387" s="124"/>
      <c r="N387" s="124"/>
      <c r="O387" s="124"/>
      <c r="P387" s="124"/>
      <c r="Q387" s="124"/>
      <c r="R387" s="124"/>
      <c r="S387" s="124"/>
      <c r="T387" s="124"/>
      <c r="U387" s="124"/>
      <c r="V387" s="124"/>
      <c r="W387" s="124"/>
      <c r="X387" s="124"/>
      <c r="Y387" s="124"/>
      <c r="Z387" s="124"/>
    </row>
    <row r="388" ht="29.25" customHeight="1">
      <c r="A388" s="124"/>
      <c r="B388" s="124"/>
      <c r="C388" s="124"/>
      <c r="D388" s="124"/>
      <c r="E388" s="124"/>
      <c r="F388" s="124"/>
      <c r="G388" s="124"/>
      <c r="H388" s="124"/>
      <c r="I388" s="126"/>
      <c r="J388" s="124"/>
      <c r="K388" s="124"/>
      <c r="L388" s="124"/>
      <c r="M388" s="124"/>
      <c r="N388" s="124"/>
      <c r="O388" s="124"/>
      <c r="P388" s="124"/>
      <c r="Q388" s="124"/>
      <c r="R388" s="124"/>
      <c r="S388" s="124"/>
      <c r="T388" s="124"/>
      <c r="U388" s="124"/>
      <c r="V388" s="124"/>
      <c r="W388" s="124"/>
      <c r="X388" s="124"/>
      <c r="Y388" s="124"/>
      <c r="Z388" s="124"/>
    </row>
    <row r="389" ht="29.25" customHeight="1">
      <c r="A389" s="124"/>
      <c r="B389" s="124"/>
      <c r="C389" s="124"/>
      <c r="D389" s="124"/>
      <c r="E389" s="124"/>
      <c r="F389" s="124"/>
      <c r="G389" s="124"/>
      <c r="H389" s="124"/>
      <c r="I389" s="126"/>
      <c r="J389" s="124"/>
      <c r="K389" s="124"/>
      <c r="L389" s="124"/>
      <c r="M389" s="124"/>
      <c r="N389" s="124"/>
      <c r="O389" s="124"/>
      <c r="P389" s="124"/>
      <c r="Q389" s="124"/>
      <c r="R389" s="124"/>
      <c r="S389" s="124"/>
      <c r="T389" s="124"/>
      <c r="U389" s="124"/>
      <c r="V389" s="124"/>
      <c r="W389" s="124"/>
      <c r="X389" s="124"/>
      <c r="Y389" s="124"/>
      <c r="Z389" s="124"/>
    </row>
    <row r="390" ht="29.25" customHeight="1">
      <c r="A390" s="124"/>
      <c r="B390" s="124"/>
      <c r="C390" s="124"/>
      <c r="D390" s="124"/>
      <c r="E390" s="124"/>
      <c r="F390" s="124"/>
      <c r="G390" s="124"/>
      <c r="H390" s="124"/>
      <c r="I390" s="126"/>
      <c r="J390" s="124"/>
      <c r="K390" s="124"/>
      <c r="L390" s="124"/>
      <c r="M390" s="124"/>
      <c r="N390" s="124"/>
      <c r="O390" s="124"/>
      <c r="P390" s="124"/>
      <c r="Q390" s="124"/>
      <c r="R390" s="124"/>
      <c r="S390" s="124"/>
      <c r="T390" s="124"/>
      <c r="U390" s="124"/>
      <c r="V390" s="124"/>
      <c r="W390" s="124"/>
      <c r="X390" s="124"/>
      <c r="Y390" s="124"/>
      <c r="Z390" s="124"/>
    </row>
    <row r="391" ht="29.25" customHeight="1">
      <c r="A391" s="124"/>
      <c r="B391" s="124"/>
      <c r="C391" s="124"/>
      <c r="D391" s="124"/>
      <c r="E391" s="124"/>
      <c r="F391" s="124"/>
      <c r="G391" s="124"/>
      <c r="H391" s="124"/>
      <c r="I391" s="126"/>
      <c r="J391" s="124"/>
      <c r="K391" s="124"/>
      <c r="L391" s="124"/>
      <c r="M391" s="124"/>
      <c r="N391" s="124"/>
      <c r="O391" s="124"/>
      <c r="P391" s="124"/>
      <c r="Q391" s="124"/>
      <c r="R391" s="124"/>
      <c r="S391" s="124"/>
      <c r="T391" s="124"/>
      <c r="U391" s="124"/>
      <c r="V391" s="124"/>
      <c r="W391" s="124"/>
      <c r="X391" s="124"/>
      <c r="Y391" s="124"/>
      <c r="Z391" s="124"/>
    </row>
    <row r="392" ht="29.25" customHeight="1">
      <c r="A392" s="124"/>
      <c r="B392" s="124"/>
      <c r="C392" s="124"/>
      <c r="D392" s="124"/>
      <c r="E392" s="124"/>
      <c r="F392" s="124"/>
      <c r="G392" s="124"/>
      <c r="H392" s="124"/>
      <c r="I392" s="126"/>
      <c r="J392" s="124"/>
      <c r="K392" s="124"/>
      <c r="L392" s="124"/>
      <c r="M392" s="124"/>
      <c r="N392" s="124"/>
      <c r="O392" s="124"/>
      <c r="P392" s="124"/>
      <c r="Q392" s="124"/>
      <c r="R392" s="124"/>
      <c r="S392" s="124"/>
      <c r="T392" s="124"/>
      <c r="U392" s="124"/>
      <c r="V392" s="124"/>
      <c r="W392" s="124"/>
      <c r="X392" s="124"/>
      <c r="Y392" s="124"/>
      <c r="Z392" s="124"/>
    </row>
    <row r="393" ht="29.25" customHeight="1">
      <c r="A393" s="124"/>
      <c r="B393" s="124"/>
      <c r="C393" s="124"/>
      <c r="D393" s="124"/>
      <c r="E393" s="124"/>
      <c r="F393" s="124"/>
      <c r="G393" s="124"/>
      <c r="H393" s="124"/>
      <c r="I393" s="126"/>
      <c r="J393" s="124"/>
      <c r="K393" s="124"/>
      <c r="L393" s="124"/>
      <c r="M393" s="124"/>
      <c r="N393" s="124"/>
      <c r="O393" s="124"/>
      <c r="P393" s="124"/>
      <c r="Q393" s="124"/>
      <c r="R393" s="124"/>
      <c r="S393" s="124"/>
      <c r="T393" s="124"/>
      <c r="U393" s="124"/>
      <c r="V393" s="124"/>
      <c r="W393" s="124"/>
      <c r="X393" s="124"/>
      <c r="Y393" s="124"/>
      <c r="Z393" s="124"/>
    </row>
    <row r="394" ht="29.25" customHeight="1">
      <c r="A394" s="124"/>
      <c r="B394" s="124"/>
      <c r="C394" s="124"/>
      <c r="D394" s="124"/>
      <c r="E394" s="124"/>
      <c r="F394" s="124"/>
      <c r="G394" s="124"/>
      <c r="H394" s="124"/>
      <c r="I394" s="126"/>
      <c r="J394" s="124"/>
      <c r="K394" s="124"/>
      <c r="L394" s="124"/>
      <c r="M394" s="124"/>
      <c r="N394" s="124"/>
      <c r="O394" s="124"/>
      <c r="P394" s="124"/>
      <c r="Q394" s="124"/>
      <c r="R394" s="124"/>
      <c r="S394" s="124"/>
      <c r="T394" s="124"/>
      <c r="U394" s="124"/>
      <c r="V394" s="124"/>
      <c r="W394" s="124"/>
      <c r="X394" s="124"/>
      <c r="Y394" s="124"/>
      <c r="Z394" s="124"/>
    </row>
    <row r="395" ht="29.25" customHeight="1">
      <c r="A395" s="124"/>
      <c r="B395" s="124"/>
      <c r="C395" s="124"/>
      <c r="D395" s="124"/>
      <c r="E395" s="124"/>
      <c r="F395" s="124"/>
      <c r="G395" s="124"/>
      <c r="H395" s="124"/>
      <c r="I395" s="126"/>
      <c r="J395" s="124"/>
      <c r="K395" s="124"/>
      <c r="L395" s="124"/>
      <c r="M395" s="124"/>
      <c r="N395" s="124"/>
      <c r="O395" s="124"/>
      <c r="P395" s="124"/>
      <c r="Q395" s="124"/>
      <c r="R395" s="124"/>
      <c r="S395" s="124"/>
      <c r="T395" s="124"/>
      <c r="U395" s="124"/>
      <c r="V395" s="124"/>
      <c r="W395" s="124"/>
      <c r="X395" s="124"/>
      <c r="Y395" s="124"/>
      <c r="Z395" s="124"/>
    </row>
    <row r="396" ht="29.25" customHeight="1">
      <c r="A396" s="124"/>
      <c r="B396" s="124"/>
      <c r="C396" s="124"/>
      <c r="D396" s="124"/>
      <c r="E396" s="124"/>
      <c r="F396" s="124"/>
      <c r="G396" s="124"/>
      <c r="H396" s="124"/>
      <c r="I396" s="126"/>
      <c r="J396" s="124"/>
      <c r="K396" s="124"/>
      <c r="L396" s="124"/>
      <c r="M396" s="124"/>
      <c r="N396" s="124"/>
      <c r="O396" s="124"/>
      <c r="P396" s="124"/>
      <c r="Q396" s="124"/>
      <c r="R396" s="124"/>
      <c r="S396" s="124"/>
      <c r="T396" s="124"/>
      <c r="U396" s="124"/>
      <c r="V396" s="124"/>
      <c r="W396" s="124"/>
      <c r="X396" s="124"/>
      <c r="Y396" s="124"/>
      <c r="Z396" s="124"/>
    </row>
    <row r="397" ht="29.25" customHeight="1">
      <c r="A397" s="124"/>
      <c r="B397" s="124"/>
      <c r="C397" s="124"/>
      <c r="D397" s="124"/>
      <c r="E397" s="124"/>
      <c r="F397" s="124"/>
      <c r="G397" s="124"/>
      <c r="H397" s="124"/>
      <c r="I397" s="126"/>
      <c r="J397" s="124"/>
      <c r="K397" s="124"/>
      <c r="L397" s="124"/>
      <c r="M397" s="124"/>
      <c r="N397" s="124"/>
      <c r="O397" s="124"/>
      <c r="P397" s="124"/>
      <c r="Q397" s="124"/>
      <c r="R397" s="124"/>
      <c r="S397" s="124"/>
      <c r="T397" s="124"/>
      <c r="U397" s="124"/>
      <c r="V397" s="124"/>
      <c r="W397" s="124"/>
      <c r="X397" s="124"/>
      <c r="Y397" s="124"/>
      <c r="Z397" s="124"/>
    </row>
    <row r="398" ht="29.25" customHeight="1">
      <c r="A398" s="124"/>
      <c r="B398" s="124"/>
      <c r="C398" s="124"/>
      <c r="D398" s="124"/>
      <c r="E398" s="124"/>
      <c r="F398" s="124"/>
      <c r="G398" s="124"/>
      <c r="H398" s="124"/>
      <c r="I398" s="126"/>
      <c r="J398" s="124"/>
      <c r="K398" s="124"/>
      <c r="L398" s="124"/>
      <c r="M398" s="124"/>
      <c r="N398" s="124"/>
      <c r="O398" s="124"/>
      <c r="P398" s="124"/>
      <c r="Q398" s="124"/>
      <c r="R398" s="124"/>
      <c r="S398" s="124"/>
      <c r="T398" s="124"/>
      <c r="U398" s="124"/>
      <c r="V398" s="124"/>
      <c r="W398" s="124"/>
      <c r="X398" s="124"/>
      <c r="Y398" s="124"/>
      <c r="Z398" s="124"/>
    </row>
    <row r="399" ht="29.25" customHeight="1">
      <c r="A399" s="124"/>
      <c r="B399" s="124"/>
      <c r="C399" s="124"/>
      <c r="D399" s="124"/>
      <c r="E399" s="124"/>
      <c r="F399" s="124"/>
      <c r="G399" s="124"/>
      <c r="H399" s="124"/>
      <c r="I399" s="126"/>
      <c r="J399" s="124"/>
      <c r="K399" s="124"/>
      <c r="L399" s="124"/>
      <c r="M399" s="124"/>
      <c r="N399" s="124"/>
      <c r="O399" s="124"/>
      <c r="P399" s="124"/>
      <c r="Q399" s="124"/>
      <c r="R399" s="124"/>
      <c r="S399" s="124"/>
      <c r="T399" s="124"/>
      <c r="U399" s="124"/>
      <c r="V399" s="124"/>
      <c r="W399" s="124"/>
      <c r="X399" s="124"/>
      <c r="Y399" s="124"/>
      <c r="Z399" s="124"/>
    </row>
    <row r="400" ht="29.25" customHeight="1">
      <c r="A400" s="124"/>
      <c r="B400" s="124"/>
      <c r="C400" s="124"/>
      <c r="D400" s="124"/>
      <c r="E400" s="124"/>
      <c r="F400" s="124"/>
      <c r="G400" s="124"/>
      <c r="H400" s="124"/>
      <c r="I400" s="126"/>
      <c r="J400" s="124"/>
      <c r="K400" s="124"/>
      <c r="L400" s="124"/>
      <c r="M400" s="124"/>
      <c r="N400" s="124"/>
      <c r="O400" s="124"/>
      <c r="P400" s="124"/>
      <c r="Q400" s="124"/>
      <c r="R400" s="124"/>
      <c r="S400" s="124"/>
      <c r="T400" s="124"/>
      <c r="U400" s="124"/>
      <c r="V400" s="124"/>
      <c r="W400" s="124"/>
      <c r="X400" s="124"/>
      <c r="Y400" s="124"/>
      <c r="Z400" s="124"/>
    </row>
    <row r="401" ht="29.25" customHeight="1">
      <c r="A401" s="124"/>
      <c r="B401" s="124"/>
      <c r="C401" s="124"/>
      <c r="D401" s="124"/>
      <c r="E401" s="124"/>
      <c r="F401" s="124"/>
      <c r="G401" s="124"/>
      <c r="H401" s="124"/>
      <c r="I401" s="126"/>
      <c r="J401" s="124"/>
      <c r="K401" s="124"/>
      <c r="L401" s="124"/>
      <c r="M401" s="124"/>
      <c r="N401" s="124"/>
      <c r="O401" s="124"/>
      <c r="P401" s="124"/>
      <c r="Q401" s="124"/>
      <c r="R401" s="124"/>
      <c r="S401" s="124"/>
      <c r="T401" s="124"/>
      <c r="U401" s="124"/>
      <c r="V401" s="124"/>
      <c r="W401" s="124"/>
      <c r="X401" s="124"/>
      <c r="Y401" s="124"/>
      <c r="Z401" s="124"/>
    </row>
    <row r="402" ht="29.25" customHeight="1">
      <c r="A402" s="124"/>
      <c r="B402" s="124"/>
      <c r="C402" s="124"/>
      <c r="D402" s="124"/>
      <c r="E402" s="124"/>
      <c r="F402" s="124"/>
      <c r="G402" s="124"/>
      <c r="H402" s="124"/>
      <c r="I402" s="126"/>
      <c r="J402" s="124"/>
      <c r="K402" s="124"/>
      <c r="L402" s="124"/>
      <c r="M402" s="124"/>
      <c r="N402" s="124"/>
      <c r="O402" s="124"/>
      <c r="P402" s="124"/>
      <c r="Q402" s="124"/>
      <c r="R402" s="124"/>
      <c r="S402" s="124"/>
      <c r="T402" s="124"/>
      <c r="U402" s="124"/>
      <c r="V402" s="124"/>
      <c r="W402" s="124"/>
      <c r="X402" s="124"/>
      <c r="Y402" s="124"/>
      <c r="Z402" s="124"/>
    </row>
    <row r="403" ht="29.25" customHeight="1">
      <c r="A403" s="124"/>
      <c r="B403" s="124"/>
      <c r="C403" s="124"/>
      <c r="D403" s="124"/>
      <c r="E403" s="124"/>
      <c r="F403" s="124"/>
      <c r="G403" s="124"/>
      <c r="H403" s="124"/>
      <c r="I403" s="126"/>
      <c r="J403" s="124"/>
      <c r="K403" s="124"/>
      <c r="L403" s="124"/>
      <c r="M403" s="124"/>
      <c r="N403" s="124"/>
      <c r="O403" s="124"/>
      <c r="P403" s="124"/>
      <c r="Q403" s="124"/>
      <c r="R403" s="124"/>
      <c r="S403" s="124"/>
      <c r="T403" s="124"/>
      <c r="U403" s="124"/>
      <c r="V403" s="124"/>
      <c r="W403" s="124"/>
      <c r="X403" s="124"/>
      <c r="Y403" s="124"/>
      <c r="Z403" s="124"/>
    </row>
    <row r="404" ht="29.25" customHeight="1">
      <c r="A404" s="124"/>
      <c r="B404" s="124"/>
      <c r="C404" s="124"/>
      <c r="D404" s="124"/>
      <c r="E404" s="124"/>
      <c r="F404" s="124"/>
      <c r="G404" s="124"/>
      <c r="H404" s="124"/>
      <c r="I404" s="126"/>
      <c r="J404" s="124"/>
      <c r="K404" s="124"/>
      <c r="L404" s="124"/>
      <c r="M404" s="124"/>
      <c r="N404" s="124"/>
      <c r="O404" s="124"/>
      <c r="P404" s="124"/>
      <c r="Q404" s="124"/>
      <c r="R404" s="124"/>
      <c r="S404" s="124"/>
      <c r="T404" s="124"/>
      <c r="U404" s="124"/>
      <c r="V404" s="124"/>
      <c r="W404" s="124"/>
      <c r="X404" s="124"/>
      <c r="Y404" s="124"/>
      <c r="Z404" s="124"/>
    </row>
    <row r="405" ht="29.25" customHeight="1">
      <c r="A405" s="124"/>
      <c r="B405" s="124"/>
      <c r="C405" s="124"/>
      <c r="D405" s="124"/>
      <c r="E405" s="124"/>
      <c r="F405" s="124"/>
      <c r="G405" s="124"/>
      <c r="H405" s="124"/>
      <c r="I405" s="126"/>
      <c r="J405" s="124"/>
      <c r="K405" s="124"/>
      <c r="L405" s="124"/>
      <c r="M405" s="124"/>
      <c r="N405" s="124"/>
      <c r="O405" s="124"/>
      <c r="P405" s="124"/>
      <c r="Q405" s="124"/>
      <c r="R405" s="124"/>
      <c r="S405" s="124"/>
      <c r="T405" s="124"/>
      <c r="U405" s="124"/>
      <c r="V405" s="124"/>
      <c r="W405" s="124"/>
      <c r="X405" s="124"/>
      <c r="Y405" s="124"/>
      <c r="Z405" s="124"/>
    </row>
    <row r="406" ht="29.25" customHeight="1">
      <c r="A406" s="124"/>
      <c r="B406" s="124"/>
      <c r="C406" s="124"/>
      <c r="D406" s="124"/>
      <c r="E406" s="124"/>
      <c r="F406" s="124"/>
      <c r="G406" s="124"/>
      <c r="H406" s="124"/>
      <c r="I406" s="126"/>
      <c r="J406" s="124"/>
      <c r="K406" s="124"/>
      <c r="L406" s="124"/>
      <c r="M406" s="124"/>
      <c r="N406" s="124"/>
      <c r="O406" s="124"/>
      <c r="P406" s="124"/>
      <c r="Q406" s="124"/>
      <c r="R406" s="124"/>
      <c r="S406" s="124"/>
      <c r="T406" s="124"/>
      <c r="U406" s="124"/>
      <c r="V406" s="124"/>
      <c r="W406" s="124"/>
      <c r="X406" s="124"/>
      <c r="Y406" s="124"/>
      <c r="Z406" s="124"/>
    </row>
    <row r="407" ht="29.25" customHeight="1">
      <c r="A407" s="124"/>
      <c r="B407" s="124"/>
      <c r="C407" s="124"/>
      <c r="D407" s="124"/>
      <c r="E407" s="124"/>
      <c r="F407" s="124"/>
      <c r="G407" s="124"/>
      <c r="H407" s="124"/>
      <c r="I407" s="126"/>
      <c r="J407" s="124"/>
      <c r="K407" s="124"/>
      <c r="L407" s="124"/>
      <c r="M407" s="124"/>
      <c r="N407" s="124"/>
      <c r="O407" s="124"/>
      <c r="P407" s="124"/>
      <c r="Q407" s="124"/>
      <c r="R407" s="124"/>
      <c r="S407" s="124"/>
      <c r="T407" s="124"/>
      <c r="U407" s="124"/>
      <c r="V407" s="124"/>
      <c r="W407" s="124"/>
      <c r="X407" s="124"/>
      <c r="Y407" s="124"/>
      <c r="Z407" s="124"/>
    </row>
    <row r="408" ht="29.25" customHeight="1">
      <c r="A408" s="124"/>
      <c r="B408" s="124"/>
      <c r="C408" s="124"/>
      <c r="D408" s="124"/>
      <c r="E408" s="124"/>
      <c r="F408" s="124"/>
      <c r="G408" s="124"/>
      <c r="H408" s="124"/>
      <c r="I408" s="126"/>
      <c r="J408" s="124"/>
      <c r="K408" s="124"/>
      <c r="L408" s="124"/>
      <c r="M408" s="124"/>
      <c r="N408" s="124"/>
      <c r="O408" s="124"/>
      <c r="P408" s="124"/>
      <c r="Q408" s="124"/>
      <c r="R408" s="124"/>
      <c r="S408" s="124"/>
      <c r="T408" s="124"/>
      <c r="U408" s="124"/>
      <c r="V408" s="124"/>
      <c r="W408" s="124"/>
      <c r="X408" s="124"/>
      <c r="Y408" s="124"/>
      <c r="Z408" s="124"/>
    </row>
    <row r="409" ht="29.25" customHeight="1">
      <c r="A409" s="124"/>
      <c r="B409" s="124"/>
      <c r="C409" s="124"/>
      <c r="D409" s="124"/>
      <c r="E409" s="124"/>
      <c r="F409" s="124"/>
      <c r="G409" s="124"/>
      <c r="H409" s="124"/>
      <c r="I409" s="126"/>
      <c r="J409" s="124"/>
      <c r="K409" s="124"/>
      <c r="L409" s="124"/>
      <c r="M409" s="124"/>
      <c r="N409" s="124"/>
      <c r="O409" s="124"/>
      <c r="P409" s="124"/>
      <c r="Q409" s="124"/>
      <c r="R409" s="124"/>
      <c r="S409" s="124"/>
      <c r="T409" s="124"/>
      <c r="U409" s="124"/>
      <c r="V409" s="124"/>
      <c r="W409" s="124"/>
      <c r="X409" s="124"/>
      <c r="Y409" s="124"/>
      <c r="Z409" s="124"/>
    </row>
    <row r="410" ht="29.25" customHeight="1">
      <c r="A410" s="124"/>
      <c r="B410" s="124"/>
      <c r="C410" s="124"/>
      <c r="D410" s="124"/>
      <c r="E410" s="124"/>
      <c r="F410" s="124"/>
      <c r="G410" s="124"/>
      <c r="H410" s="124"/>
      <c r="I410" s="126"/>
      <c r="J410" s="124"/>
      <c r="K410" s="124"/>
      <c r="L410" s="124"/>
      <c r="M410" s="124"/>
      <c r="N410" s="124"/>
      <c r="O410" s="124"/>
      <c r="P410" s="124"/>
      <c r="Q410" s="124"/>
      <c r="R410" s="124"/>
      <c r="S410" s="124"/>
      <c r="T410" s="124"/>
      <c r="U410" s="124"/>
      <c r="V410" s="124"/>
      <c r="W410" s="124"/>
      <c r="X410" s="124"/>
      <c r="Y410" s="124"/>
      <c r="Z410" s="124"/>
    </row>
    <row r="411" ht="29.25" customHeight="1">
      <c r="A411" s="124"/>
      <c r="B411" s="124"/>
      <c r="C411" s="124"/>
      <c r="D411" s="124"/>
      <c r="E411" s="124"/>
      <c r="F411" s="124"/>
      <c r="G411" s="124"/>
      <c r="H411" s="124"/>
      <c r="I411" s="126"/>
      <c r="J411" s="124"/>
      <c r="K411" s="124"/>
      <c r="L411" s="124"/>
      <c r="M411" s="124"/>
      <c r="N411" s="124"/>
      <c r="O411" s="124"/>
      <c r="P411" s="124"/>
      <c r="Q411" s="124"/>
      <c r="R411" s="124"/>
      <c r="S411" s="124"/>
      <c r="T411" s="124"/>
      <c r="U411" s="124"/>
      <c r="V411" s="124"/>
      <c r="W411" s="124"/>
      <c r="X411" s="124"/>
      <c r="Y411" s="124"/>
      <c r="Z411" s="124"/>
    </row>
    <row r="412" ht="29.25" customHeight="1">
      <c r="A412" s="124"/>
      <c r="B412" s="124"/>
      <c r="C412" s="124"/>
      <c r="D412" s="124"/>
      <c r="E412" s="124"/>
      <c r="F412" s="124"/>
      <c r="G412" s="124"/>
      <c r="H412" s="124"/>
      <c r="I412" s="126"/>
      <c r="J412" s="124"/>
      <c r="K412" s="124"/>
      <c r="L412" s="124"/>
      <c r="M412" s="124"/>
      <c r="N412" s="124"/>
      <c r="O412" s="124"/>
      <c r="P412" s="124"/>
      <c r="Q412" s="124"/>
      <c r="R412" s="124"/>
      <c r="S412" s="124"/>
      <c r="T412" s="124"/>
      <c r="U412" s="124"/>
      <c r="V412" s="124"/>
      <c r="W412" s="124"/>
      <c r="X412" s="124"/>
      <c r="Y412" s="124"/>
      <c r="Z412" s="124"/>
    </row>
    <row r="413" ht="29.25" customHeight="1">
      <c r="A413" s="124"/>
      <c r="B413" s="124"/>
      <c r="C413" s="124"/>
      <c r="D413" s="124"/>
      <c r="E413" s="124"/>
      <c r="F413" s="124"/>
      <c r="G413" s="124"/>
      <c r="H413" s="124"/>
      <c r="I413" s="126"/>
      <c r="J413" s="124"/>
      <c r="K413" s="124"/>
      <c r="L413" s="124"/>
      <c r="M413" s="124"/>
      <c r="N413" s="124"/>
      <c r="O413" s="124"/>
      <c r="P413" s="124"/>
      <c r="Q413" s="124"/>
      <c r="R413" s="124"/>
      <c r="S413" s="124"/>
      <c r="T413" s="124"/>
      <c r="U413" s="124"/>
      <c r="V413" s="124"/>
      <c r="W413" s="124"/>
      <c r="X413" s="124"/>
      <c r="Y413" s="124"/>
      <c r="Z413" s="124"/>
    </row>
    <row r="414" ht="29.25" customHeight="1">
      <c r="A414" s="124"/>
      <c r="B414" s="124"/>
      <c r="C414" s="124"/>
      <c r="D414" s="124"/>
      <c r="E414" s="124"/>
      <c r="F414" s="124"/>
      <c r="G414" s="124"/>
      <c r="H414" s="124"/>
      <c r="I414" s="126"/>
      <c r="J414" s="124"/>
      <c r="K414" s="124"/>
      <c r="L414" s="124"/>
      <c r="M414" s="124"/>
      <c r="N414" s="124"/>
      <c r="O414" s="124"/>
      <c r="P414" s="124"/>
      <c r="Q414" s="124"/>
      <c r="R414" s="124"/>
      <c r="S414" s="124"/>
      <c r="T414" s="124"/>
      <c r="U414" s="124"/>
      <c r="V414" s="124"/>
      <c r="W414" s="124"/>
      <c r="X414" s="124"/>
      <c r="Y414" s="124"/>
      <c r="Z414" s="124"/>
    </row>
    <row r="415" ht="29.25" customHeight="1">
      <c r="A415" s="124"/>
      <c r="B415" s="124"/>
      <c r="C415" s="124"/>
      <c r="D415" s="124"/>
      <c r="E415" s="124"/>
      <c r="F415" s="124"/>
      <c r="G415" s="124"/>
      <c r="H415" s="124"/>
      <c r="I415" s="126"/>
      <c r="J415" s="124"/>
      <c r="K415" s="124"/>
      <c r="L415" s="124"/>
      <c r="M415" s="124"/>
      <c r="N415" s="124"/>
      <c r="O415" s="124"/>
      <c r="P415" s="124"/>
      <c r="Q415" s="124"/>
      <c r="R415" s="124"/>
      <c r="S415" s="124"/>
      <c r="T415" s="124"/>
      <c r="U415" s="124"/>
      <c r="V415" s="124"/>
      <c r="W415" s="124"/>
      <c r="X415" s="124"/>
      <c r="Y415" s="124"/>
      <c r="Z415" s="124"/>
    </row>
    <row r="416" ht="29.25" customHeight="1">
      <c r="A416" s="124"/>
      <c r="B416" s="124"/>
      <c r="C416" s="124"/>
      <c r="D416" s="124"/>
      <c r="E416" s="124"/>
      <c r="F416" s="124"/>
      <c r="G416" s="124"/>
      <c r="H416" s="124"/>
      <c r="I416" s="126"/>
      <c r="J416" s="124"/>
      <c r="K416" s="124"/>
      <c r="L416" s="124"/>
      <c r="M416" s="124"/>
      <c r="N416" s="124"/>
      <c r="O416" s="124"/>
      <c r="P416" s="124"/>
      <c r="Q416" s="124"/>
      <c r="R416" s="124"/>
      <c r="S416" s="124"/>
      <c r="T416" s="124"/>
      <c r="U416" s="124"/>
      <c r="V416" s="124"/>
      <c r="W416" s="124"/>
      <c r="X416" s="124"/>
      <c r="Y416" s="124"/>
      <c r="Z416" s="124"/>
    </row>
    <row r="417" ht="29.25" customHeight="1">
      <c r="A417" s="124"/>
      <c r="B417" s="124"/>
      <c r="C417" s="124"/>
      <c r="D417" s="124"/>
      <c r="E417" s="124"/>
      <c r="F417" s="124"/>
      <c r="G417" s="124"/>
      <c r="H417" s="124"/>
      <c r="I417" s="126"/>
      <c r="J417" s="124"/>
      <c r="K417" s="124"/>
      <c r="L417" s="124"/>
      <c r="M417" s="124"/>
      <c r="N417" s="124"/>
      <c r="O417" s="124"/>
      <c r="P417" s="124"/>
      <c r="Q417" s="124"/>
      <c r="R417" s="124"/>
      <c r="S417" s="124"/>
      <c r="T417" s="124"/>
      <c r="U417" s="124"/>
      <c r="V417" s="124"/>
      <c r="W417" s="124"/>
      <c r="X417" s="124"/>
      <c r="Y417" s="124"/>
      <c r="Z417" s="124"/>
    </row>
    <row r="418" ht="29.25" customHeight="1">
      <c r="A418" s="124"/>
      <c r="B418" s="124"/>
      <c r="C418" s="124"/>
      <c r="D418" s="124"/>
      <c r="E418" s="124"/>
      <c r="F418" s="124"/>
      <c r="G418" s="124"/>
      <c r="H418" s="124"/>
      <c r="I418" s="126"/>
      <c r="J418" s="124"/>
      <c r="K418" s="124"/>
      <c r="L418" s="124"/>
      <c r="M418" s="124"/>
      <c r="N418" s="124"/>
      <c r="O418" s="124"/>
      <c r="P418" s="124"/>
      <c r="Q418" s="124"/>
      <c r="R418" s="124"/>
      <c r="S418" s="124"/>
      <c r="T418" s="124"/>
      <c r="U418" s="124"/>
      <c r="V418" s="124"/>
      <c r="W418" s="124"/>
      <c r="X418" s="124"/>
      <c r="Y418" s="124"/>
      <c r="Z418" s="124"/>
    </row>
    <row r="419" ht="29.25" customHeight="1">
      <c r="A419" s="124"/>
      <c r="B419" s="124"/>
      <c r="C419" s="124"/>
      <c r="D419" s="124"/>
      <c r="E419" s="124"/>
      <c r="F419" s="124"/>
      <c r="G419" s="124"/>
      <c r="H419" s="124"/>
      <c r="I419" s="126"/>
      <c r="J419" s="124"/>
      <c r="K419" s="124"/>
      <c r="L419" s="124"/>
      <c r="M419" s="124"/>
      <c r="N419" s="124"/>
      <c r="O419" s="124"/>
      <c r="P419" s="124"/>
      <c r="Q419" s="124"/>
      <c r="R419" s="124"/>
      <c r="S419" s="124"/>
      <c r="T419" s="124"/>
      <c r="U419" s="124"/>
      <c r="V419" s="124"/>
      <c r="W419" s="124"/>
      <c r="X419" s="124"/>
      <c r="Y419" s="124"/>
      <c r="Z419" s="124"/>
    </row>
    <row r="420" ht="29.25" customHeight="1">
      <c r="A420" s="124"/>
      <c r="B420" s="124"/>
      <c r="C420" s="124"/>
      <c r="D420" s="124"/>
      <c r="E420" s="124"/>
      <c r="F420" s="124"/>
      <c r="G420" s="124"/>
      <c r="H420" s="124"/>
      <c r="I420" s="126"/>
      <c r="J420" s="124"/>
      <c r="K420" s="124"/>
      <c r="L420" s="124"/>
      <c r="M420" s="124"/>
      <c r="N420" s="124"/>
      <c r="O420" s="124"/>
      <c r="P420" s="124"/>
      <c r="Q420" s="124"/>
      <c r="R420" s="124"/>
      <c r="S420" s="124"/>
      <c r="T420" s="124"/>
      <c r="U420" s="124"/>
      <c r="V420" s="124"/>
      <c r="W420" s="124"/>
      <c r="X420" s="124"/>
      <c r="Y420" s="124"/>
      <c r="Z420" s="124"/>
    </row>
    <row r="421" ht="29.25" customHeight="1">
      <c r="A421" s="124"/>
      <c r="B421" s="124"/>
      <c r="C421" s="124"/>
      <c r="D421" s="124"/>
      <c r="E421" s="124"/>
      <c r="F421" s="124"/>
      <c r="G421" s="124"/>
      <c r="H421" s="124"/>
      <c r="I421" s="126"/>
      <c r="J421" s="124"/>
      <c r="K421" s="124"/>
      <c r="L421" s="124"/>
      <c r="M421" s="124"/>
      <c r="N421" s="124"/>
      <c r="O421" s="124"/>
      <c r="P421" s="124"/>
      <c r="Q421" s="124"/>
      <c r="R421" s="124"/>
      <c r="S421" s="124"/>
      <c r="T421" s="124"/>
      <c r="U421" s="124"/>
      <c r="V421" s="124"/>
      <c r="W421" s="124"/>
      <c r="X421" s="124"/>
      <c r="Y421" s="124"/>
      <c r="Z421" s="124"/>
    </row>
    <row r="422" ht="29.25" customHeight="1">
      <c r="A422" s="124"/>
      <c r="B422" s="124"/>
      <c r="C422" s="124"/>
      <c r="D422" s="124"/>
      <c r="E422" s="124"/>
      <c r="F422" s="124"/>
      <c r="G422" s="124"/>
      <c r="H422" s="124"/>
      <c r="I422" s="126"/>
      <c r="J422" s="124"/>
      <c r="K422" s="124"/>
      <c r="L422" s="124"/>
      <c r="M422" s="124"/>
      <c r="N422" s="124"/>
      <c r="O422" s="124"/>
      <c r="P422" s="124"/>
      <c r="Q422" s="124"/>
      <c r="R422" s="124"/>
      <c r="S422" s="124"/>
      <c r="T422" s="124"/>
      <c r="U422" s="124"/>
      <c r="V422" s="124"/>
      <c r="W422" s="124"/>
      <c r="X422" s="124"/>
      <c r="Y422" s="124"/>
      <c r="Z422" s="124"/>
    </row>
    <row r="423" ht="29.25" customHeight="1">
      <c r="A423" s="124"/>
      <c r="B423" s="124"/>
      <c r="C423" s="124"/>
      <c r="D423" s="124"/>
      <c r="E423" s="124"/>
      <c r="F423" s="124"/>
      <c r="G423" s="124"/>
      <c r="H423" s="124"/>
      <c r="I423" s="126"/>
      <c r="J423" s="124"/>
      <c r="K423" s="124"/>
      <c r="L423" s="124"/>
      <c r="M423" s="124"/>
      <c r="N423" s="124"/>
      <c r="O423" s="124"/>
      <c r="P423" s="124"/>
      <c r="Q423" s="124"/>
      <c r="R423" s="124"/>
      <c r="S423" s="124"/>
      <c r="T423" s="124"/>
      <c r="U423" s="124"/>
      <c r="V423" s="124"/>
      <c r="W423" s="124"/>
      <c r="X423" s="124"/>
      <c r="Y423" s="124"/>
      <c r="Z423" s="124"/>
    </row>
    <row r="424" ht="29.25" customHeight="1">
      <c r="A424" s="124"/>
      <c r="B424" s="124"/>
      <c r="C424" s="124"/>
      <c r="D424" s="124"/>
      <c r="E424" s="124"/>
      <c r="F424" s="124"/>
      <c r="G424" s="124"/>
      <c r="H424" s="124"/>
      <c r="I424" s="126"/>
      <c r="J424" s="124"/>
      <c r="K424" s="124"/>
      <c r="L424" s="124"/>
      <c r="M424" s="124"/>
      <c r="N424" s="124"/>
      <c r="O424" s="124"/>
      <c r="P424" s="124"/>
      <c r="Q424" s="124"/>
      <c r="R424" s="124"/>
      <c r="S424" s="124"/>
      <c r="T424" s="124"/>
      <c r="U424" s="124"/>
      <c r="V424" s="124"/>
      <c r="W424" s="124"/>
      <c r="X424" s="124"/>
      <c r="Y424" s="124"/>
      <c r="Z424" s="124"/>
    </row>
    <row r="425" ht="29.25" customHeight="1">
      <c r="A425" s="124"/>
      <c r="B425" s="124"/>
      <c r="C425" s="124"/>
      <c r="D425" s="124"/>
      <c r="E425" s="124"/>
      <c r="F425" s="124"/>
      <c r="G425" s="124"/>
      <c r="H425" s="124"/>
      <c r="I425" s="126"/>
      <c r="J425" s="124"/>
      <c r="K425" s="124"/>
      <c r="L425" s="124"/>
      <c r="M425" s="124"/>
      <c r="N425" s="124"/>
      <c r="O425" s="124"/>
      <c r="P425" s="124"/>
      <c r="Q425" s="124"/>
      <c r="R425" s="124"/>
      <c r="S425" s="124"/>
      <c r="T425" s="124"/>
      <c r="U425" s="124"/>
      <c r="V425" s="124"/>
      <c r="W425" s="124"/>
      <c r="X425" s="124"/>
      <c r="Y425" s="124"/>
      <c r="Z425" s="124"/>
    </row>
    <row r="426" ht="29.25" customHeight="1">
      <c r="A426" s="124"/>
      <c r="B426" s="124"/>
      <c r="C426" s="124"/>
      <c r="D426" s="124"/>
      <c r="E426" s="124"/>
      <c r="F426" s="124"/>
      <c r="G426" s="124"/>
      <c r="H426" s="124"/>
      <c r="I426" s="126"/>
      <c r="J426" s="124"/>
      <c r="K426" s="124"/>
      <c r="L426" s="124"/>
      <c r="M426" s="124"/>
      <c r="N426" s="124"/>
      <c r="O426" s="124"/>
      <c r="P426" s="124"/>
      <c r="Q426" s="124"/>
      <c r="R426" s="124"/>
      <c r="S426" s="124"/>
      <c r="T426" s="124"/>
      <c r="U426" s="124"/>
      <c r="V426" s="124"/>
      <c r="W426" s="124"/>
      <c r="X426" s="124"/>
      <c r="Y426" s="124"/>
      <c r="Z426" s="124"/>
    </row>
    <row r="427" ht="29.25" customHeight="1">
      <c r="A427" s="124"/>
      <c r="B427" s="124"/>
      <c r="C427" s="124"/>
      <c r="D427" s="124"/>
      <c r="E427" s="124"/>
      <c r="F427" s="124"/>
      <c r="G427" s="124"/>
      <c r="H427" s="124"/>
      <c r="I427" s="126"/>
      <c r="J427" s="124"/>
      <c r="K427" s="124"/>
      <c r="L427" s="124"/>
      <c r="M427" s="124"/>
      <c r="N427" s="124"/>
      <c r="O427" s="124"/>
      <c r="P427" s="124"/>
      <c r="Q427" s="124"/>
      <c r="R427" s="124"/>
      <c r="S427" s="124"/>
      <c r="T427" s="124"/>
      <c r="U427" s="124"/>
      <c r="V427" s="124"/>
      <c r="W427" s="124"/>
      <c r="X427" s="124"/>
      <c r="Y427" s="124"/>
      <c r="Z427" s="124"/>
    </row>
    <row r="428" ht="29.25" customHeight="1">
      <c r="A428" s="124"/>
      <c r="B428" s="124"/>
      <c r="C428" s="124"/>
      <c r="D428" s="124"/>
      <c r="E428" s="124"/>
      <c r="F428" s="124"/>
      <c r="G428" s="124"/>
      <c r="H428" s="124"/>
      <c r="I428" s="126"/>
      <c r="J428" s="124"/>
      <c r="K428" s="124"/>
      <c r="L428" s="124"/>
      <c r="M428" s="124"/>
      <c r="N428" s="124"/>
      <c r="O428" s="124"/>
      <c r="P428" s="124"/>
      <c r="Q428" s="124"/>
      <c r="R428" s="124"/>
      <c r="S428" s="124"/>
      <c r="T428" s="124"/>
      <c r="U428" s="124"/>
      <c r="V428" s="124"/>
      <c r="W428" s="124"/>
      <c r="X428" s="124"/>
      <c r="Y428" s="124"/>
      <c r="Z428" s="124"/>
    </row>
    <row r="429" ht="29.25" customHeight="1">
      <c r="A429" s="124"/>
      <c r="B429" s="124"/>
      <c r="C429" s="124"/>
      <c r="D429" s="124"/>
      <c r="E429" s="124"/>
      <c r="F429" s="124"/>
      <c r="G429" s="124"/>
      <c r="H429" s="124"/>
      <c r="I429" s="126"/>
      <c r="J429" s="124"/>
      <c r="K429" s="124"/>
      <c r="L429" s="124"/>
      <c r="M429" s="124"/>
      <c r="N429" s="124"/>
      <c r="O429" s="124"/>
      <c r="P429" s="124"/>
      <c r="Q429" s="124"/>
      <c r="R429" s="124"/>
      <c r="S429" s="124"/>
      <c r="T429" s="124"/>
      <c r="U429" s="124"/>
      <c r="V429" s="124"/>
      <c r="W429" s="124"/>
      <c r="X429" s="124"/>
      <c r="Y429" s="124"/>
      <c r="Z429" s="124"/>
    </row>
    <row r="430" ht="29.25" customHeight="1">
      <c r="A430" s="124"/>
      <c r="B430" s="124"/>
      <c r="C430" s="124"/>
      <c r="D430" s="124"/>
      <c r="E430" s="124"/>
      <c r="F430" s="124"/>
      <c r="G430" s="124"/>
      <c r="H430" s="124"/>
      <c r="I430" s="126"/>
      <c r="J430" s="124"/>
      <c r="K430" s="124"/>
      <c r="L430" s="124"/>
      <c r="M430" s="124"/>
      <c r="N430" s="124"/>
      <c r="O430" s="124"/>
      <c r="P430" s="124"/>
      <c r="Q430" s="124"/>
      <c r="R430" s="124"/>
      <c r="S430" s="124"/>
      <c r="T430" s="124"/>
      <c r="U430" s="124"/>
      <c r="V430" s="124"/>
      <c r="W430" s="124"/>
      <c r="X430" s="124"/>
      <c r="Y430" s="124"/>
      <c r="Z430" s="124"/>
    </row>
    <row r="431" ht="29.25" customHeight="1">
      <c r="A431" s="124"/>
      <c r="B431" s="124"/>
      <c r="C431" s="124"/>
      <c r="D431" s="124"/>
      <c r="E431" s="124"/>
      <c r="F431" s="124"/>
      <c r="G431" s="124"/>
      <c r="H431" s="124"/>
      <c r="I431" s="126"/>
      <c r="J431" s="124"/>
      <c r="K431" s="124"/>
      <c r="L431" s="124"/>
      <c r="M431" s="124"/>
      <c r="N431" s="124"/>
      <c r="O431" s="124"/>
      <c r="P431" s="124"/>
      <c r="Q431" s="124"/>
      <c r="R431" s="124"/>
      <c r="S431" s="124"/>
      <c r="T431" s="124"/>
      <c r="U431" s="124"/>
      <c r="V431" s="124"/>
      <c r="W431" s="124"/>
      <c r="X431" s="124"/>
      <c r="Y431" s="124"/>
      <c r="Z431" s="124"/>
    </row>
    <row r="432" ht="29.25" customHeight="1">
      <c r="A432" s="124"/>
      <c r="B432" s="124"/>
      <c r="C432" s="124"/>
      <c r="D432" s="124"/>
      <c r="E432" s="124"/>
      <c r="F432" s="124"/>
      <c r="G432" s="124"/>
      <c r="H432" s="124"/>
      <c r="I432" s="126"/>
      <c r="J432" s="124"/>
      <c r="K432" s="124"/>
      <c r="L432" s="124"/>
      <c r="M432" s="124"/>
      <c r="N432" s="124"/>
      <c r="O432" s="124"/>
      <c r="P432" s="124"/>
      <c r="Q432" s="124"/>
      <c r="R432" s="124"/>
      <c r="S432" s="124"/>
      <c r="T432" s="124"/>
      <c r="U432" s="124"/>
      <c r="V432" s="124"/>
      <c r="W432" s="124"/>
      <c r="X432" s="124"/>
      <c r="Y432" s="124"/>
      <c r="Z432" s="124"/>
    </row>
    <row r="433" ht="29.25" customHeight="1">
      <c r="A433" s="124"/>
      <c r="B433" s="124"/>
      <c r="C433" s="124"/>
      <c r="D433" s="124"/>
      <c r="E433" s="124"/>
      <c r="F433" s="124"/>
      <c r="G433" s="124"/>
      <c r="H433" s="124"/>
      <c r="I433" s="126"/>
      <c r="J433" s="124"/>
      <c r="K433" s="124"/>
      <c r="L433" s="124"/>
      <c r="M433" s="124"/>
      <c r="N433" s="124"/>
      <c r="O433" s="124"/>
      <c r="P433" s="124"/>
      <c r="Q433" s="124"/>
      <c r="R433" s="124"/>
      <c r="S433" s="124"/>
      <c r="T433" s="124"/>
      <c r="U433" s="124"/>
      <c r="V433" s="124"/>
      <c r="W433" s="124"/>
      <c r="X433" s="124"/>
      <c r="Y433" s="124"/>
      <c r="Z433" s="124"/>
    </row>
    <row r="434" ht="29.25" customHeight="1">
      <c r="A434" s="124"/>
      <c r="B434" s="124"/>
      <c r="C434" s="124"/>
      <c r="D434" s="124"/>
      <c r="E434" s="124"/>
      <c r="F434" s="124"/>
      <c r="G434" s="124"/>
      <c r="H434" s="124"/>
      <c r="I434" s="126"/>
      <c r="J434" s="124"/>
      <c r="K434" s="124"/>
      <c r="L434" s="124"/>
      <c r="M434" s="124"/>
      <c r="N434" s="124"/>
      <c r="O434" s="124"/>
      <c r="P434" s="124"/>
      <c r="Q434" s="124"/>
      <c r="R434" s="124"/>
      <c r="S434" s="124"/>
      <c r="T434" s="124"/>
      <c r="U434" s="124"/>
      <c r="V434" s="124"/>
      <c r="W434" s="124"/>
      <c r="X434" s="124"/>
      <c r="Y434" s="124"/>
      <c r="Z434" s="124"/>
    </row>
    <row r="435" ht="29.25" customHeight="1">
      <c r="A435" s="124"/>
      <c r="B435" s="124"/>
      <c r="C435" s="124"/>
      <c r="D435" s="124"/>
      <c r="E435" s="124"/>
      <c r="F435" s="124"/>
      <c r="G435" s="124"/>
      <c r="H435" s="124"/>
      <c r="I435" s="126"/>
      <c r="J435" s="124"/>
      <c r="K435" s="124"/>
      <c r="L435" s="124"/>
      <c r="M435" s="124"/>
      <c r="N435" s="124"/>
      <c r="O435" s="124"/>
      <c r="P435" s="124"/>
      <c r="Q435" s="124"/>
      <c r="R435" s="124"/>
      <c r="S435" s="124"/>
      <c r="T435" s="124"/>
      <c r="U435" s="124"/>
      <c r="V435" s="124"/>
      <c r="W435" s="124"/>
      <c r="X435" s="124"/>
      <c r="Y435" s="124"/>
      <c r="Z435" s="124"/>
    </row>
    <row r="436" ht="29.25" customHeight="1">
      <c r="A436" s="124"/>
      <c r="B436" s="124"/>
      <c r="C436" s="124"/>
      <c r="D436" s="124"/>
      <c r="E436" s="124"/>
      <c r="F436" s="124"/>
      <c r="G436" s="124"/>
      <c r="H436" s="124"/>
      <c r="I436" s="126"/>
      <c r="J436" s="124"/>
      <c r="K436" s="124"/>
      <c r="L436" s="124"/>
      <c r="M436" s="124"/>
      <c r="N436" s="124"/>
      <c r="O436" s="124"/>
      <c r="P436" s="124"/>
      <c r="Q436" s="124"/>
      <c r="R436" s="124"/>
      <c r="S436" s="124"/>
      <c r="T436" s="124"/>
      <c r="U436" s="124"/>
      <c r="V436" s="124"/>
      <c r="W436" s="124"/>
      <c r="X436" s="124"/>
      <c r="Y436" s="124"/>
      <c r="Z436" s="124"/>
    </row>
    <row r="437" ht="29.25" customHeight="1">
      <c r="A437" s="124"/>
      <c r="B437" s="124"/>
      <c r="C437" s="124"/>
      <c r="D437" s="124"/>
      <c r="E437" s="124"/>
      <c r="F437" s="124"/>
      <c r="G437" s="124"/>
      <c r="H437" s="124"/>
      <c r="I437" s="126"/>
      <c r="J437" s="124"/>
      <c r="K437" s="124"/>
      <c r="L437" s="124"/>
      <c r="M437" s="124"/>
      <c r="N437" s="124"/>
      <c r="O437" s="124"/>
      <c r="P437" s="124"/>
      <c r="Q437" s="124"/>
      <c r="R437" s="124"/>
      <c r="S437" s="124"/>
      <c r="T437" s="124"/>
      <c r="U437" s="124"/>
      <c r="V437" s="124"/>
      <c r="W437" s="124"/>
      <c r="X437" s="124"/>
      <c r="Y437" s="124"/>
      <c r="Z437" s="124"/>
    </row>
    <row r="438" ht="29.25" customHeight="1">
      <c r="A438" s="124"/>
      <c r="B438" s="124"/>
      <c r="C438" s="124"/>
      <c r="D438" s="124"/>
      <c r="E438" s="124"/>
      <c r="F438" s="124"/>
      <c r="G438" s="124"/>
      <c r="H438" s="124"/>
      <c r="I438" s="126"/>
      <c r="J438" s="124"/>
      <c r="K438" s="124"/>
      <c r="L438" s="124"/>
      <c r="M438" s="124"/>
      <c r="N438" s="124"/>
      <c r="O438" s="124"/>
      <c r="P438" s="124"/>
      <c r="Q438" s="124"/>
      <c r="R438" s="124"/>
      <c r="S438" s="124"/>
      <c r="T438" s="124"/>
      <c r="U438" s="124"/>
      <c r="V438" s="124"/>
      <c r="W438" s="124"/>
      <c r="X438" s="124"/>
      <c r="Y438" s="124"/>
      <c r="Z438" s="124"/>
    </row>
    <row r="439" ht="29.25" customHeight="1">
      <c r="A439" s="124"/>
      <c r="B439" s="124"/>
      <c r="C439" s="124"/>
      <c r="D439" s="124"/>
      <c r="E439" s="124"/>
      <c r="F439" s="124"/>
      <c r="G439" s="124"/>
      <c r="H439" s="124"/>
      <c r="I439" s="126"/>
      <c r="J439" s="124"/>
      <c r="K439" s="124"/>
      <c r="L439" s="124"/>
      <c r="M439" s="124"/>
      <c r="N439" s="124"/>
      <c r="O439" s="124"/>
      <c r="P439" s="124"/>
      <c r="Q439" s="124"/>
      <c r="R439" s="124"/>
      <c r="S439" s="124"/>
      <c r="T439" s="124"/>
      <c r="U439" s="124"/>
      <c r="V439" s="124"/>
      <c r="W439" s="124"/>
      <c r="X439" s="124"/>
      <c r="Y439" s="124"/>
      <c r="Z439" s="124"/>
    </row>
    <row r="440" ht="29.25" customHeight="1">
      <c r="A440" s="124"/>
      <c r="B440" s="124"/>
      <c r="C440" s="124"/>
      <c r="D440" s="124"/>
      <c r="E440" s="124"/>
      <c r="F440" s="124"/>
      <c r="G440" s="124"/>
      <c r="H440" s="124"/>
      <c r="I440" s="126"/>
      <c r="J440" s="124"/>
      <c r="K440" s="124"/>
      <c r="L440" s="124"/>
      <c r="M440" s="124"/>
      <c r="N440" s="124"/>
      <c r="O440" s="124"/>
      <c r="P440" s="124"/>
      <c r="Q440" s="124"/>
      <c r="R440" s="124"/>
      <c r="S440" s="124"/>
      <c r="T440" s="124"/>
      <c r="U440" s="124"/>
      <c r="V440" s="124"/>
      <c r="W440" s="124"/>
      <c r="X440" s="124"/>
      <c r="Y440" s="124"/>
      <c r="Z440" s="124"/>
    </row>
    <row r="441" ht="29.25" customHeight="1">
      <c r="A441" s="124"/>
      <c r="B441" s="124"/>
      <c r="C441" s="124"/>
      <c r="D441" s="124"/>
      <c r="E441" s="124"/>
      <c r="F441" s="124"/>
      <c r="G441" s="124"/>
      <c r="H441" s="124"/>
      <c r="I441" s="126"/>
      <c r="J441" s="124"/>
      <c r="K441" s="124"/>
      <c r="L441" s="124"/>
      <c r="M441" s="124"/>
      <c r="N441" s="124"/>
      <c r="O441" s="124"/>
      <c r="P441" s="124"/>
      <c r="Q441" s="124"/>
      <c r="R441" s="124"/>
      <c r="S441" s="124"/>
      <c r="T441" s="124"/>
      <c r="U441" s="124"/>
      <c r="V441" s="124"/>
      <c r="W441" s="124"/>
      <c r="X441" s="124"/>
      <c r="Y441" s="124"/>
      <c r="Z441" s="124"/>
    </row>
    <row r="442" ht="29.25" customHeight="1">
      <c r="A442" s="124"/>
      <c r="B442" s="124"/>
      <c r="C442" s="124"/>
      <c r="D442" s="124"/>
      <c r="E442" s="124"/>
      <c r="F442" s="124"/>
      <c r="G442" s="124"/>
      <c r="H442" s="124"/>
      <c r="I442" s="126"/>
      <c r="J442" s="124"/>
      <c r="K442" s="124"/>
      <c r="L442" s="124"/>
      <c r="M442" s="124"/>
      <c r="N442" s="124"/>
      <c r="O442" s="124"/>
      <c r="P442" s="124"/>
      <c r="Q442" s="124"/>
      <c r="R442" s="124"/>
      <c r="S442" s="124"/>
      <c r="T442" s="124"/>
      <c r="U442" s="124"/>
      <c r="V442" s="124"/>
      <c r="W442" s="124"/>
      <c r="X442" s="124"/>
      <c r="Y442" s="124"/>
      <c r="Z442" s="124"/>
    </row>
    <row r="443" ht="29.25" customHeight="1">
      <c r="A443" s="124"/>
      <c r="B443" s="124"/>
      <c r="C443" s="124"/>
      <c r="D443" s="124"/>
      <c r="E443" s="124"/>
      <c r="F443" s="124"/>
      <c r="G443" s="124"/>
      <c r="H443" s="124"/>
      <c r="I443" s="126"/>
      <c r="J443" s="124"/>
      <c r="K443" s="124"/>
      <c r="L443" s="124"/>
      <c r="M443" s="124"/>
      <c r="N443" s="124"/>
      <c r="O443" s="124"/>
      <c r="P443" s="124"/>
      <c r="Q443" s="124"/>
      <c r="R443" s="124"/>
      <c r="S443" s="124"/>
      <c r="T443" s="124"/>
      <c r="U443" s="124"/>
      <c r="V443" s="124"/>
      <c r="W443" s="124"/>
      <c r="X443" s="124"/>
      <c r="Y443" s="124"/>
      <c r="Z443" s="124"/>
    </row>
    <row r="444" ht="29.25" customHeight="1">
      <c r="A444" s="124"/>
      <c r="B444" s="124"/>
      <c r="C444" s="124"/>
      <c r="D444" s="124"/>
      <c r="E444" s="124"/>
      <c r="F444" s="124"/>
      <c r="G444" s="124"/>
      <c r="H444" s="124"/>
      <c r="I444" s="126"/>
      <c r="J444" s="124"/>
      <c r="K444" s="124"/>
      <c r="L444" s="124"/>
      <c r="M444" s="124"/>
      <c r="N444" s="124"/>
      <c r="O444" s="124"/>
      <c r="P444" s="124"/>
      <c r="Q444" s="124"/>
      <c r="R444" s="124"/>
      <c r="S444" s="124"/>
      <c r="T444" s="124"/>
      <c r="U444" s="124"/>
      <c r="V444" s="124"/>
      <c r="W444" s="124"/>
      <c r="X444" s="124"/>
      <c r="Y444" s="124"/>
      <c r="Z444" s="124"/>
    </row>
    <row r="445" ht="29.25" customHeight="1">
      <c r="A445" s="124"/>
      <c r="B445" s="124"/>
      <c r="C445" s="124"/>
      <c r="D445" s="124"/>
      <c r="E445" s="124"/>
      <c r="F445" s="124"/>
      <c r="G445" s="124"/>
      <c r="H445" s="124"/>
      <c r="I445" s="126"/>
      <c r="J445" s="124"/>
      <c r="K445" s="124"/>
      <c r="L445" s="124"/>
      <c r="M445" s="124"/>
      <c r="N445" s="124"/>
      <c r="O445" s="124"/>
      <c r="P445" s="124"/>
      <c r="Q445" s="124"/>
      <c r="R445" s="124"/>
      <c r="S445" s="124"/>
      <c r="T445" s="124"/>
      <c r="U445" s="124"/>
      <c r="V445" s="124"/>
      <c r="W445" s="124"/>
      <c r="X445" s="124"/>
      <c r="Y445" s="124"/>
      <c r="Z445" s="124"/>
    </row>
    <row r="446" ht="29.25" customHeight="1">
      <c r="A446" s="124"/>
      <c r="B446" s="124"/>
      <c r="C446" s="124"/>
      <c r="D446" s="124"/>
      <c r="E446" s="124"/>
      <c r="F446" s="124"/>
      <c r="G446" s="124"/>
      <c r="H446" s="124"/>
      <c r="I446" s="126"/>
      <c r="J446" s="124"/>
      <c r="K446" s="124"/>
      <c r="L446" s="124"/>
      <c r="M446" s="124"/>
      <c r="N446" s="124"/>
      <c r="O446" s="124"/>
      <c r="P446" s="124"/>
      <c r="Q446" s="124"/>
      <c r="R446" s="124"/>
      <c r="S446" s="124"/>
      <c r="T446" s="124"/>
      <c r="U446" s="124"/>
      <c r="V446" s="124"/>
      <c r="W446" s="124"/>
      <c r="X446" s="124"/>
      <c r="Y446" s="124"/>
      <c r="Z446" s="124"/>
    </row>
    <row r="447" ht="29.25" customHeight="1">
      <c r="A447" s="124"/>
      <c r="B447" s="124"/>
      <c r="C447" s="124"/>
      <c r="D447" s="124"/>
      <c r="E447" s="124"/>
      <c r="F447" s="124"/>
      <c r="G447" s="124"/>
      <c r="H447" s="124"/>
      <c r="I447" s="126"/>
      <c r="J447" s="124"/>
      <c r="K447" s="124"/>
      <c r="L447" s="124"/>
      <c r="M447" s="124"/>
      <c r="N447" s="124"/>
      <c r="O447" s="124"/>
      <c r="P447" s="124"/>
      <c r="Q447" s="124"/>
      <c r="R447" s="124"/>
      <c r="S447" s="124"/>
      <c r="T447" s="124"/>
      <c r="U447" s="124"/>
      <c r="V447" s="124"/>
      <c r="W447" s="124"/>
      <c r="X447" s="124"/>
      <c r="Y447" s="124"/>
      <c r="Z447" s="124"/>
    </row>
    <row r="448" ht="29.25" customHeight="1">
      <c r="A448" s="124"/>
      <c r="B448" s="124"/>
      <c r="C448" s="124"/>
      <c r="D448" s="124"/>
      <c r="E448" s="124"/>
      <c r="F448" s="124"/>
      <c r="G448" s="124"/>
      <c r="H448" s="124"/>
      <c r="I448" s="126"/>
      <c r="J448" s="124"/>
      <c r="K448" s="124"/>
      <c r="L448" s="124"/>
      <c r="M448" s="124"/>
      <c r="N448" s="124"/>
      <c r="O448" s="124"/>
      <c r="P448" s="124"/>
      <c r="Q448" s="124"/>
      <c r="R448" s="124"/>
      <c r="S448" s="124"/>
      <c r="T448" s="124"/>
      <c r="U448" s="124"/>
      <c r="V448" s="124"/>
      <c r="W448" s="124"/>
      <c r="X448" s="124"/>
      <c r="Y448" s="124"/>
      <c r="Z448" s="124"/>
    </row>
    <row r="449" ht="29.25" customHeight="1">
      <c r="A449" s="124"/>
      <c r="B449" s="124"/>
      <c r="C449" s="124"/>
      <c r="D449" s="124"/>
      <c r="E449" s="124"/>
      <c r="F449" s="124"/>
      <c r="G449" s="124"/>
      <c r="H449" s="124"/>
      <c r="I449" s="126"/>
      <c r="J449" s="124"/>
      <c r="K449" s="124"/>
      <c r="L449" s="124"/>
      <c r="M449" s="124"/>
      <c r="N449" s="124"/>
      <c r="O449" s="124"/>
      <c r="P449" s="124"/>
      <c r="Q449" s="124"/>
      <c r="R449" s="124"/>
      <c r="S449" s="124"/>
      <c r="T449" s="124"/>
      <c r="U449" s="124"/>
      <c r="V449" s="124"/>
      <c r="W449" s="124"/>
      <c r="X449" s="124"/>
      <c r="Y449" s="124"/>
      <c r="Z449" s="124"/>
    </row>
    <row r="450" ht="29.25" customHeight="1">
      <c r="A450" s="124"/>
      <c r="B450" s="124"/>
      <c r="C450" s="124"/>
      <c r="D450" s="124"/>
      <c r="E450" s="124"/>
      <c r="F450" s="124"/>
      <c r="G450" s="124"/>
      <c r="H450" s="124"/>
      <c r="I450" s="126"/>
      <c r="J450" s="124"/>
      <c r="K450" s="124"/>
      <c r="L450" s="124"/>
      <c r="M450" s="124"/>
      <c r="N450" s="124"/>
      <c r="O450" s="124"/>
      <c r="P450" s="124"/>
      <c r="Q450" s="124"/>
      <c r="R450" s="124"/>
      <c r="S450" s="124"/>
      <c r="T450" s="124"/>
      <c r="U450" s="124"/>
      <c r="V450" s="124"/>
      <c r="W450" s="124"/>
      <c r="X450" s="124"/>
      <c r="Y450" s="124"/>
      <c r="Z450" s="124"/>
    </row>
    <row r="451" ht="29.25" customHeight="1">
      <c r="A451" s="124"/>
      <c r="B451" s="124"/>
      <c r="C451" s="124"/>
      <c r="D451" s="124"/>
      <c r="E451" s="124"/>
      <c r="F451" s="124"/>
      <c r="G451" s="124"/>
      <c r="H451" s="124"/>
      <c r="I451" s="126"/>
      <c r="J451" s="124"/>
      <c r="K451" s="124"/>
      <c r="L451" s="124"/>
      <c r="M451" s="124"/>
      <c r="N451" s="124"/>
      <c r="O451" s="124"/>
      <c r="P451" s="124"/>
      <c r="Q451" s="124"/>
      <c r="R451" s="124"/>
      <c r="S451" s="124"/>
      <c r="T451" s="124"/>
      <c r="U451" s="124"/>
      <c r="V451" s="124"/>
      <c r="W451" s="124"/>
      <c r="X451" s="124"/>
      <c r="Y451" s="124"/>
      <c r="Z451" s="124"/>
    </row>
    <row r="452" ht="29.25" customHeight="1">
      <c r="A452" s="124"/>
      <c r="B452" s="124"/>
      <c r="C452" s="124"/>
      <c r="D452" s="124"/>
      <c r="E452" s="124"/>
      <c r="F452" s="124"/>
      <c r="G452" s="124"/>
      <c r="H452" s="124"/>
      <c r="I452" s="126"/>
      <c r="J452" s="124"/>
      <c r="K452" s="124"/>
      <c r="L452" s="124"/>
      <c r="M452" s="124"/>
      <c r="N452" s="124"/>
      <c r="O452" s="124"/>
      <c r="P452" s="124"/>
      <c r="Q452" s="124"/>
      <c r="R452" s="124"/>
      <c r="S452" s="124"/>
      <c r="T452" s="124"/>
      <c r="U452" s="124"/>
      <c r="V452" s="124"/>
      <c r="W452" s="124"/>
      <c r="X452" s="124"/>
      <c r="Y452" s="124"/>
      <c r="Z452" s="124"/>
    </row>
    <row r="453" ht="29.25" customHeight="1">
      <c r="A453" s="124"/>
      <c r="B453" s="124"/>
      <c r="C453" s="124"/>
      <c r="D453" s="124"/>
      <c r="E453" s="124"/>
      <c r="F453" s="124"/>
      <c r="G453" s="124"/>
      <c r="H453" s="124"/>
      <c r="I453" s="126"/>
      <c r="J453" s="124"/>
      <c r="K453" s="124"/>
      <c r="L453" s="124"/>
      <c r="M453" s="124"/>
      <c r="N453" s="124"/>
      <c r="O453" s="124"/>
      <c r="P453" s="124"/>
      <c r="Q453" s="124"/>
      <c r="R453" s="124"/>
      <c r="S453" s="124"/>
      <c r="T453" s="124"/>
      <c r="U453" s="124"/>
      <c r="V453" s="124"/>
      <c r="W453" s="124"/>
      <c r="X453" s="124"/>
      <c r="Y453" s="124"/>
      <c r="Z453" s="124"/>
    </row>
    <row r="454" ht="29.25" customHeight="1">
      <c r="A454" s="124"/>
      <c r="B454" s="124"/>
      <c r="C454" s="124"/>
      <c r="D454" s="124"/>
      <c r="E454" s="124"/>
      <c r="F454" s="124"/>
      <c r="G454" s="124"/>
      <c r="H454" s="124"/>
      <c r="I454" s="126"/>
      <c r="J454" s="124"/>
      <c r="K454" s="124"/>
      <c r="L454" s="124"/>
      <c r="M454" s="124"/>
      <c r="N454" s="124"/>
      <c r="O454" s="124"/>
      <c r="P454" s="124"/>
      <c r="Q454" s="124"/>
      <c r="R454" s="124"/>
      <c r="S454" s="124"/>
      <c r="T454" s="124"/>
      <c r="U454" s="124"/>
      <c r="V454" s="124"/>
      <c r="W454" s="124"/>
      <c r="X454" s="124"/>
      <c r="Y454" s="124"/>
      <c r="Z454" s="124"/>
    </row>
    <row r="455" ht="29.25" customHeight="1">
      <c r="A455" s="124"/>
      <c r="B455" s="124"/>
      <c r="C455" s="124"/>
      <c r="D455" s="124"/>
      <c r="E455" s="124"/>
      <c r="F455" s="124"/>
      <c r="G455" s="124"/>
      <c r="H455" s="124"/>
      <c r="I455" s="126"/>
      <c r="J455" s="124"/>
      <c r="K455" s="124"/>
      <c r="L455" s="124"/>
      <c r="M455" s="124"/>
      <c r="N455" s="124"/>
      <c r="O455" s="124"/>
      <c r="P455" s="124"/>
      <c r="Q455" s="124"/>
      <c r="R455" s="124"/>
      <c r="S455" s="124"/>
      <c r="T455" s="124"/>
      <c r="U455" s="124"/>
      <c r="V455" s="124"/>
      <c r="W455" s="124"/>
      <c r="X455" s="124"/>
      <c r="Y455" s="124"/>
      <c r="Z455" s="124"/>
    </row>
    <row r="456" ht="29.25" customHeight="1">
      <c r="A456" s="124"/>
      <c r="B456" s="124"/>
      <c r="C456" s="124"/>
      <c r="D456" s="124"/>
      <c r="E456" s="124"/>
      <c r="F456" s="124"/>
      <c r="G456" s="124"/>
      <c r="H456" s="124"/>
      <c r="I456" s="126"/>
      <c r="J456" s="124"/>
      <c r="K456" s="124"/>
      <c r="L456" s="124"/>
      <c r="M456" s="124"/>
      <c r="N456" s="124"/>
      <c r="O456" s="124"/>
      <c r="P456" s="124"/>
      <c r="Q456" s="124"/>
      <c r="R456" s="124"/>
      <c r="S456" s="124"/>
      <c r="T456" s="124"/>
      <c r="U456" s="124"/>
      <c r="V456" s="124"/>
      <c r="W456" s="124"/>
      <c r="X456" s="124"/>
      <c r="Y456" s="124"/>
      <c r="Z456" s="124"/>
    </row>
    <row r="457" ht="29.25" customHeight="1">
      <c r="A457" s="124"/>
      <c r="B457" s="124"/>
      <c r="C457" s="124"/>
      <c r="D457" s="124"/>
      <c r="E457" s="124"/>
      <c r="F457" s="124"/>
      <c r="G457" s="124"/>
      <c r="H457" s="124"/>
      <c r="I457" s="126"/>
      <c r="J457" s="124"/>
      <c r="K457" s="124"/>
      <c r="L457" s="124"/>
      <c r="M457" s="124"/>
      <c r="N457" s="124"/>
      <c r="O457" s="124"/>
      <c r="P457" s="124"/>
      <c r="Q457" s="124"/>
      <c r="R457" s="124"/>
      <c r="S457" s="124"/>
      <c r="T457" s="124"/>
      <c r="U457" s="124"/>
      <c r="V457" s="124"/>
      <c r="W457" s="124"/>
      <c r="X457" s="124"/>
      <c r="Y457" s="124"/>
      <c r="Z457" s="124"/>
    </row>
    <row r="458" ht="29.25" customHeight="1">
      <c r="A458" s="124"/>
      <c r="B458" s="124"/>
      <c r="C458" s="124"/>
      <c r="D458" s="124"/>
      <c r="E458" s="124"/>
      <c r="F458" s="124"/>
      <c r="G458" s="124"/>
      <c r="H458" s="124"/>
      <c r="I458" s="126"/>
      <c r="J458" s="124"/>
      <c r="K458" s="124"/>
      <c r="L458" s="124"/>
      <c r="M458" s="124"/>
      <c r="N458" s="124"/>
      <c r="O458" s="124"/>
      <c r="P458" s="124"/>
      <c r="Q458" s="124"/>
      <c r="R458" s="124"/>
      <c r="S458" s="124"/>
      <c r="T458" s="124"/>
      <c r="U458" s="124"/>
      <c r="V458" s="124"/>
      <c r="W458" s="124"/>
      <c r="X458" s="124"/>
      <c r="Y458" s="124"/>
      <c r="Z458" s="124"/>
    </row>
    <row r="459" ht="29.25" customHeight="1">
      <c r="A459" s="124"/>
      <c r="B459" s="124"/>
      <c r="C459" s="124"/>
      <c r="D459" s="124"/>
      <c r="E459" s="124"/>
      <c r="F459" s="124"/>
      <c r="G459" s="124"/>
      <c r="H459" s="124"/>
      <c r="I459" s="126"/>
      <c r="J459" s="124"/>
      <c r="K459" s="124"/>
      <c r="L459" s="124"/>
      <c r="M459" s="124"/>
      <c r="N459" s="124"/>
      <c r="O459" s="124"/>
      <c r="P459" s="124"/>
      <c r="Q459" s="124"/>
      <c r="R459" s="124"/>
      <c r="S459" s="124"/>
      <c r="T459" s="124"/>
      <c r="U459" s="124"/>
      <c r="V459" s="124"/>
      <c r="W459" s="124"/>
      <c r="X459" s="124"/>
      <c r="Y459" s="124"/>
      <c r="Z459" s="124"/>
    </row>
    <row r="460" ht="29.25" customHeight="1">
      <c r="A460" s="124"/>
      <c r="B460" s="124"/>
      <c r="C460" s="124"/>
      <c r="D460" s="124"/>
      <c r="E460" s="124"/>
      <c r="F460" s="124"/>
      <c r="G460" s="124"/>
      <c r="H460" s="124"/>
      <c r="I460" s="126"/>
      <c r="J460" s="124"/>
      <c r="K460" s="124"/>
      <c r="L460" s="124"/>
      <c r="M460" s="124"/>
      <c r="N460" s="124"/>
      <c r="O460" s="124"/>
      <c r="P460" s="124"/>
      <c r="Q460" s="124"/>
      <c r="R460" s="124"/>
      <c r="S460" s="124"/>
      <c r="T460" s="124"/>
      <c r="U460" s="124"/>
      <c r="V460" s="124"/>
      <c r="W460" s="124"/>
      <c r="X460" s="124"/>
      <c r="Y460" s="124"/>
      <c r="Z460" s="124"/>
    </row>
    <row r="461" ht="29.25" customHeight="1">
      <c r="A461" s="124"/>
      <c r="B461" s="124"/>
      <c r="C461" s="124"/>
      <c r="D461" s="124"/>
      <c r="E461" s="124"/>
      <c r="F461" s="124"/>
      <c r="G461" s="124"/>
      <c r="H461" s="124"/>
      <c r="I461" s="126"/>
      <c r="J461" s="124"/>
      <c r="K461" s="124"/>
      <c r="L461" s="124"/>
      <c r="M461" s="124"/>
      <c r="N461" s="124"/>
      <c r="O461" s="124"/>
      <c r="P461" s="124"/>
      <c r="Q461" s="124"/>
      <c r="R461" s="124"/>
      <c r="S461" s="124"/>
      <c r="T461" s="124"/>
      <c r="U461" s="124"/>
      <c r="V461" s="124"/>
      <c r="W461" s="124"/>
      <c r="X461" s="124"/>
      <c r="Y461" s="124"/>
      <c r="Z461" s="124"/>
    </row>
    <row r="462" ht="29.25" customHeight="1">
      <c r="A462" s="124"/>
      <c r="B462" s="124"/>
      <c r="C462" s="124"/>
      <c r="D462" s="124"/>
      <c r="E462" s="124"/>
      <c r="F462" s="124"/>
      <c r="G462" s="124"/>
      <c r="H462" s="124"/>
      <c r="I462" s="126"/>
      <c r="J462" s="124"/>
      <c r="K462" s="124"/>
      <c r="L462" s="124"/>
      <c r="M462" s="124"/>
      <c r="N462" s="124"/>
      <c r="O462" s="124"/>
      <c r="P462" s="124"/>
      <c r="Q462" s="124"/>
      <c r="R462" s="124"/>
      <c r="S462" s="124"/>
      <c r="T462" s="124"/>
      <c r="U462" s="124"/>
      <c r="V462" s="124"/>
      <c r="W462" s="124"/>
      <c r="X462" s="124"/>
      <c r="Y462" s="124"/>
      <c r="Z462" s="124"/>
    </row>
    <row r="463" ht="29.25" customHeight="1">
      <c r="A463" s="124"/>
      <c r="B463" s="124"/>
      <c r="C463" s="124"/>
      <c r="D463" s="124"/>
      <c r="E463" s="124"/>
      <c r="F463" s="124"/>
      <c r="G463" s="124"/>
      <c r="H463" s="124"/>
      <c r="I463" s="126"/>
      <c r="J463" s="124"/>
      <c r="K463" s="124"/>
      <c r="L463" s="124"/>
      <c r="M463" s="124"/>
      <c r="N463" s="124"/>
      <c r="O463" s="124"/>
      <c r="P463" s="124"/>
      <c r="Q463" s="124"/>
      <c r="R463" s="124"/>
      <c r="S463" s="124"/>
      <c r="T463" s="124"/>
      <c r="U463" s="124"/>
      <c r="V463" s="124"/>
      <c r="W463" s="124"/>
      <c r="X463" s="124"/>
      <c r="Y463" s="124"/>
      <c r="Z463" s="124"/>
    </row>
    <row r="464" ht="29.25" customHeight="1">
      <c r="A464" s="124"/>
      <c r="B464" s="124"/>
      <c r="C464" s="124"/>
      <c r="D464" s="124"/>
      <c r="E464" s="124"/>
      <c r="F464" s="124"/>
      <c r="G464" s="124"/>
      <c r="H464" s="124"/>
      <c r="I464" s="126"/>
      <c r="J464" s="124"/>
      <c r="K464" s="124"/>
      <c r="L464" s="124"/>
      <c r="M464" s="124"/>
      <c r="N464" s="124"/>
      <c r="O464" s="124"/>
      <c r="P464" s="124"/>
      <c r="Q464" s="124"/>
      <c r="R464" s="124"/>
      <c r="S464" s="124"/>
      <c r="T464" s="124"/>
      <c r="U464" s="124"/>
      <c r="V464" s="124"/>
      <c r="W464" s="124"/>
      <c r="X464" s="124"/>
      <c r="Y464" s="124"/>
      <c r="Z464" s="124"/>
    </row>
    <row r="465" ht="29.25" customHeight="1">
      <c r="A465" s="124"/>
      <c r="B465" s="124"/>
      <c r="C465" s="124"/>
      <c r="D465" s="124"/>
      <c r="E465" s="124"/>
      <c r="F465" s="124"/>
      <c r="G465" s="124"/>
      <c r="H465" s="124"/>
      <c r="I465" s="126"/>
      <c r="J465" s="124"/>
      <c r="K465" s="124"/>
      <c r="L465" s="124"/>
      <c r="M465" s="124"/>
      <c r="N465" s="124"/>
      <c r="O465" s="124"/>
      <c r="P465" s="124"/>
      <c r="Q465" s="124"/>
      <c r="R465" s="124"/>
      <c r="S465" s="124"/>
      <c r="T465" s="124"/>
      <c r="U465" s="124"/>
      <c r="V465" s="124"/>
      <c r="W465" s="124"/>
      <c r="X465" s="124"/>
      <c r="Y465" s="124"/>
      <c r="Z465" s="124"/>
    </row>
    <row r="466" ht="29.25" customHeight="1">
      <c r="A466" s="124"/>
      <c r="B466" s="124"/>
      <c r="C466" s="124"/>
      <c r="D466" s="124"/>
      <c r="E466" s="124"/>
      <c r="F466" s="124"/>
      <c r="G466" s="124"/>
      <c r="H466" s="124"/>
      <c r="I466" s="126"/>
      <c r="J466" s="124"/>
      <c r="K466" s="124"/>
      <c r="L466" s="124"/>
      <c r="M466" s="124"/>
      <c r="N466" s="124"/>
      <c r="O466" s="124"/>
      <c r="P466" s="124"/>
      <c r="Q466" s="124"/>
      <c r="R466" s="124"/>
      <c r="S466" s="124"/>
      <c r="T466" s="124"/>
      <c r="U466" s="124"/>
      <c r="V466" s="124"/>
      <c r="W466" s="124"/>
      <c r="X466" s="124"/>
      <c r="Y466" s="124"/>
      <c r="Z466" s="124"/>
    </row>
    <row r="467" ht="29.25" customHeight="1">
      <c r="A467" s="124"/>
      <c r="B467" s="124"/>
      <c r="C467" s="124"/>
      <c r="D467" s="124"/>
      <c r="E467" s="124"/>
      <c r="F467" s="124"/>
      <c r="G467" s="124"/>
      <c r="H467" s="124"/>
      <c r="I467" s="126"/>
      <c r="J467" s="124"/>
      <c r="K467" s="124"/>
      <c r="L467" s="124"/>
      <c r="M467" s="124"/>
      <c r="N467" s="124"/>
      <c r="O467" s="124"/>
      <c r="P467" s="124"/>
      <c r="Q467" s="124"/>
      <c r="R467" s="124"/>
      <c r="S467" s="124"/>
      <c r="T467" s="124"/>
      <c r="U467" s="124"/>
      <c r="V467" s="124"/>
      <c r="W467" s="124"/>
      <c r="X467" s="124"/>
      <c r="Y467" s="124"/>
      <c r="Z467" s="124"/>
    </row>
    <row r="468" ht="29.25" customHeight="1">
      <c r="A468" s="124"/>
      <c r="B468" s="124"/>
      <c r="C468" s="124"/>
      <c r="D468" s="124"/>
      <c r="E468" s="124"/>
      <c r="F468" s="124"/>
      <c r="G468" s="124"/>
      <c r="H468" s="124"/>
      <c r="I468" s="126"/>
      <c r="J468" s="124"/>
      <c r="K468" s="124"/>
      <c r="L468" s="124"/>
      <c r="M468" s="124"/>
      <c r="N468" s="124"/>
      <c r="O468" s="124"/>
      <c r="P468" s="124"/>
      <c r="Q468" s="124"/>
      <c r="R468" s="124"/>
      <c r="S468" s="124"/>
      <c r="T468" s="124"/>
      <c r="U468" s="124"/>
      <c r="V468" s="124"/>
      <c r="W468" s="124"/>
      <c r="X468" s="124"/>
      <c r="Y468" s="124"/>
      <c r="Z468" s="124"/>
    </row>
    <row r="469" ht="29.25" customHeight="1">
      <c r="A469" s="124"/>
      <c r="B469" s="124"/>
      <c r="C469" s="124"/>
      <c r="D469" s="124"/>
      <c r="E469" s="124"/>
      <c r="F469" s="124"/>
      <c r="G469" s="124"/>
      <c r="H469" s="124"/>
      <c r="I469" s="126"/>
      <c r="J469" s="124"/>
      <c r="K469" s="124"/>
      <c r="L469" s="124"/>
      <c r="M469" s="124"/>
      <c r="N469" s="124"/>
      <c r="O469" s="124"/>
      <c r="P469" s="124"/>
      <c r="Q469" s="124"/>
      <c r="R469" s="124"/>
      <c r="S469" s="124"/>
      <c r="T469" s="124"/>
      <c r="U469" s="124"/>
      <c r="V469" s="124"/>
      <c r="W469" s="124"/>
      <c r="X469" s="124"/>
      <c r="Y469" s="124"/>
      <c r="Z469" s="124"/>
    </row>
    <row r="470" ht="29.25" customHeight="1">
      <c r="A470" s="124"/>
      <c r="B470" s="124"/>
      <c r="C470" s="124"/>
      <c r="D470" s="124"/>
      <c r="E470" s="124"/>
      <c r="F470" s="124"/>
      <c r="G470" s="124"/>
      <c r="H470" s="124"/>
      <c r="I470" s="126"/>
      <c r="J470" s="124"/>
      <c r="K470" s="124"/>
      <c r="L470" s="124"/>
      <c r="M470" s="124"/>
      <c r="N470" s="124"/>
      <c r="O470" s="124"/>
      <c r="P470" s="124"/>
      <c r="Q470" s="124"/>
      <c r="R470" s="124"/>
      <c r="S470" s="124"/>
      <c r="T470" s="124"/>
      <c r="U470" s="124"/>
      <c r="V470" s="124"/>
      <c r="W470" s="124"/>
      <c r="X470" s="124"/>
      <c r="Y470" s="124"/>
      <c r="Z470" s="124"/>
    </row>
    <row r="471" ht="29.25" customHeight="1">
      <c r="A471" s="124"/>
      <c r="B471" s="124"/>
      <c r="C471" s="124"/>
      <c r="D471" s="124"/>
      <c r="E471" s="124"/>
      <c r="F471" s="124"/>
      <c r="G471" s="124"/>
      <c r="H471" s="124"/>
      <c r="I471" s="126"/>
      <c r="J471" s="124"/>
      <c r="K471" s="124"/>
      <c r="L471" s="124"/>
      <c r="M471" s="124"/>
      <c r="N471" s="124"/>
      <c r="O471" s="124"/>
      <c r="P471" s="124"/>
      <c r="Q471" s="124"/>
      <c r="R471" s="124"/>
      <c r="S471" s="124"/>
      <c r="T471" s="124"/>
      <c r="U471" s="124"/>
      <c r="V471" s="124"/>
      <c r="W471" s="124"/>
      <c r="X471" s="124"/>
      <c r="Y471" s="124"/>
      <c r="Z471" s="124"/>
    </row>
    <row r="472" ht="29.25" customHeight="1">
      <c r="A472" s="124"/>
      <c r="B472" s="124"/>
      <c r="C472" s="124"/>
      <c r="D472" s="124"/>
      <c r="E472" s="124"/>
      <c r="F472" s="124"/>
      <c r="G472" s="124"/>
      <c r="H472" s="124"/>
      <c r="I472" s="126"/>
      <c r="J472" s="124"/>
      <c r="K472" s="124"/>
      <c r="L472" s="124"/>
      <c r="M472" s="124"/>
      <c r="N472" s="124"/>
      <c r="O472" s="124"/>
      <c r="P472" s="124"/>
      <c r="Q472" s="124"/>
      <c r="R472" s="124"/>
      <c r="S472" s="124"/>
      <c r="T472" s="124"/>
      <c r="U472" s="124"/>
      <c r="V472" s="124"/>
      <c r="W472" s="124"/>
      <c r="X472" s="124"/>
      <c r="Y472" s="124"/>
      <c r="Z472" s="124"/>
    </row>
    <row r="473" ht="29.25" customHeight="1">
      <c r="A473" s="124"/>
      <c r="B473" s="124"/>
      <c r="C473" s="124"/>
      <c r="D473" s="124"/>
      <c r="E473" s="124"/>
      <c r="F473" s="124"/>
      <c r="G473" s="124"/>
      <c r="H473" s="124"/>
      <c r="I473" s="126"/>
      <c r="J473" s="124"/>
      <c r="K473" s="124"/>
      <c r="L473" s="124"/>
      <c r="M473" s="124"/>
      <c r="N473" s="124"/>
      <c r="O473" s="124"/>
      <c r="P473" s="124"/>
      <c r="Q473" s="124"/>
      <c r="R473" s="124"/>
      <c r="S473" s="124"/>
      <c r="T473" s="124"/>
      <c r="U473" s="124"/>
      <c r="V473" s="124"/>
      <c r="W473" s="124"/>
      <c r="X473" s="124"/>
      <c r="Y473" s="124"/>
      <c r="Z473" s="124"/>
    </row>
    <row r="474" ht="29.25" customHeight="1">
      <c r="A474" s="124"/>
      <c r="B474" s="124"/>
      <c r="C474" s="124"/>
      <c r="D474" s="124"/>
      <c r="E474" s="124"/>
      <c r="F474" s="124"/>
      <c r="G474" s="124"/>
      <c r="H474" s="124"/>
      <c r="I474" s="126"/>
      <c r="J474" s="124"/>
      <c r="K474" s="124"/>
      <c r="L474" s="124"/>
      <c r="M474" s="124"/>
      <c r="N474" s="124"/>
      <c r="O474" s="124"/>
      <c r="P474" s="124"/>
      <c r="Q474" s="124"/>
      <c r="R474" s="124"/>
      <c r="S474" s="124"/>
      <c r="T474" s="124"/>
      <c r="U474" s="124"/>
      <c r="V474" s="124"/>
      <c r="W474" s="124"/>
      <c r="X474" s="124"/>
      <c r="Y474" s="124"/>
      <c r="Z474" s="124"/>
    </row>
    <row r="475" ht="29.25" customHeight="1">
      <c r="A475" s="124"/>
      <c r="B475" s="124"/>
      <c r="C475" s="124"/>
      <c r="D475" s="124"/>
      <c r="E475" s="124"/>
      <c r="F475" s="124"/>
      <c r="G475" s="124"/>
      <c r="H475" s="124"/>
      <c r="I475" s="126"/>
      <c r="J475" s="124"/>
      <c r="K475" s="124"/>
      <c r="L475" s="124"/>
      <c r="M475" s="124"/>
      <c r="N475" s="124"/>
      <c r="O475" s="124"/>
      <c r="P475" s="124"/>
      <c r="Q475" s="124"/>
      <c r="R475" s="124"/>
      <c r="S475" s="124"/>
      <c r="T475" s="124"/>
      <c r="U475" s="124"/>
      <c r="V475" s="124"/>
      <c r="W475" s="124"/>
      <c r="X475" s="124"/>
      <c r="Y475" s="124"/>
      <c r="Z475" s="124"/>
    </row>
    <row r="476" ht="29.25" customHeight="1">
      <c r="A476" s="124"/>
      <c r="B476" s="124"/>
      <c r="C476" s="124"/>
      <c r="D476" s="124"/>
      <c r="E476" s="124"/>
      <c r="F476" s="124"/>
      <c r="G476" s="124"/>
      <c r="H476" s="124"/>
      <c r="I476" s="126"/>
      <c r="J476" s="124"/>
      <c r="K476" s="124"/>
      <c r="L476" s="124"/>
      <c r="M476" s="124"/>
      <c r="N476" s="124"/>
      <c r="O476" s="124"/>
      <c r="P476" s="124"/>
      <c r="Q476" s="124"/>
      <c r="R476" s="124"/>
      <c r="S476" s="124"/>
      <c r="T476" s="124"/>
      <c r="U476" s="124"/>
      <c r="V476" s="124"/>
      <c r="W476" s="124"/>
      <c r="X476" s="124"/>
      <c r="Y476" s="124"/>
      <c r="Z476" s="124"/>
    </row>
    <row r="477" ht="29.25" customHeight="1">
      <c r="A477" s="124"/>
      <c r="B477" s="124"/>
      <c r="C477" s="124"/>
      <c r="D477" s="124"/>
      <c r="E477" s="124"/>
      <c r="F477" s="124"/>
      <c r="G477" s="124"/>
      <c r="H477" s="124"/>
      <c r="I477" s="126"/>
      <c r="J477" s="124"/>
      <c r="K477" s="124"/>
      <c r="L477" s="124"/>
      <c r="M477" s="124"/>
      <c r="N477" s="124"/>
      <c r="O477" s="124"/>
      <c r="P477" s="124"/>
      <c r="Q477" s="124"/>
      <c r="R477" s="124"/>
      <c r="S477" s="124"/>
      <c r="T477" s="124"/>
      <c r="U477" s="124"/>
      <c r="V477" s="124"/>
      <c r="W477" s="124"/>
      <c r="X477" s="124"/>
      <c r="Y477" s="124"/>
      <c r="Z477" s="124"/>
    </row>
    <row r="478" ht="29.25" customHeight="1">
      <c r="A478" s="124"/>
      <c r="B478" s="124"/>
      <c r="C478" s="124"/>
      <c r="D478" s="124"/>
      <c r="E478" s="124"/>
      <c r="F478" s="124"/>
      <c r="G478" s="124"/>
      <c r="H478" s="124"/>
      <c r="I478" s="126"/>
      <c r="J478" s="124"/>
      <c r="K478" s="124"/>
      <c r="L478" s="124"/>
      <c r="M478" s="124"/>
      <c r="N478" s="124"/>
      <c r="O478" s="124"/>
      <c r="P478" s="124"/>
      <c r="Q478" s="124"/>
      <c r="R478" s="124"/>
      <c r="S478" s="124"/>
      <c r="T478" s="124"/>
      <c r="U478" s="124"/>
      <c r="V478" s="124"/>
      <c r="W478" s="124"/>
      <c r="X478" s="124"/>
      <c r="Y478" s="124"/>
      <c r="Z478" s="124"/>
    </row>
    <row r="479" ht="29.25" customHeight="1">
      <c r="A479" s="124"/>
      <c r="B479" s="124"/>
      <c r="C479" s="124"/>
      <c r="D479" s="124"/>
      <c r="E479" s="124"/>
      <c r="F479" s="124"/>
      <c r="G479" s="124"/>
      <c r="H479" s="124"/>
      <c r="I479" s="126"/>
      <c r="J479" s="124"/>
      <c r="K479" s="124"/>
      <c r="L479" s="124"/>
      <c r="M479" s="124"/>
      <c r="N479" s="124"/>
      <c r="O479" s="124"/>
      <c r="P479" s="124"/>
      <c r="Q479" s="124"/>
      <c r="R479" s="124"/>
      <c r="S479" s="124"/>
      <c r="T479" s="124"/>
      <c r="U479" s="124"/>
      <c r="V479" s="124"/>
      <c r="W479" s="124"/>
      <c r="X479" s="124"/>
      <c r="Y479" s="124"/>
      <c r="Z479" s="124"/>
    </row>
    <row r="480" ht="29.25" customHeight="1">
      <c r="A480" s="124"/>
      <c r="B480" s="124"/>
      <c r="C480" s="124"/>
      <c r="D480" s="124"/>
      <c r="E480" s="124"/>
      <c r="F480" s="124"/>
      <c r="G480" s="124"/>
      <c r="H480" s="124"/>
      <c r="I480" s="126"/>
      <c r="J480" s="124"/>
      <c r="K480" s="124"/>
      <c r="L480" s="124"/>
      <c r="M480" s="124"/>
      <c r="N480" s="124"/>
      <c r="O480" s="124"/>
      <c r="P480" s="124"/>
      <c r="Q480" s="124"/>
      <c r="R480" s="124"/>
      <c r="S480" s="124"/>
      <c r="T480" s="124"/>
      <c r="U480" s="124"/>
      <c r="V480" s="124"/>
      <c r="W480" s="124"/>
      <c r="X480" s="124"/>
      <c r="Y480" s="124"/>
      <c r="Z480" s="124"/>
    </row>
    <row r="481" ht="29.25" customHeight="1">
      <c r="A481" s="124"/>
      <c r="B481" s="124"/>
      <c r="C481" s="124"/>
      <c r="D481" s="124"/>
      <c r="E481" s="124"/>
      <c r="F481" s="124"/>
      <c r="G481" s="124"/>
      <c r="H481" s="124"/>
      <c r="I481" s="126"/>
      <c r="J481" s="124"/>
      <c r="K481" s="124"/>
      <c r="L481" s="124"/>
      <c r="M481" s="124"/>
      <c r="N481" s="124"/>
      <c r="O481" s="124"/>
      <c r="P481" s="124"/>
      <c r="Q481" s="124"/>
      <c r="R481" s="124"/>
      <c r="S481" s="124"/>
      <c r="T481" s="124"/>
      <c r="U481" s="124"/>
      <c r="V481" s="124"/>
      <c r="W481" s="124"/>
      <c r="X481" s="124"/>
      <c r="Y481" s="124"/>
      <c r="Z481" s="124"/>
    </row>
    <row r="482" ht="29.25" customHeight="1">
      <c r="A482" s="124"/>
      <c r="B482" s="124"/>
      <c r="C482" s="124"/>
      <c r="D482" s="124"/>
      <c r="E482" s="124"/>
      <c r="F482" s="124"/>
      <c r="G482" s="124"/>
      <c r="H482" s="124"/>
      <c r="I482" s="126"/>
      <c r="J482" s="124"/>
      <c r="K482" s="124"/>
      <c r="L482" s="124"/>
      <c r="M482" s="124"/>
      <c r="N482" s="124"/>
      <c r="O482" s="124"/>
      <c r="P482" s="124"/>
      <c r="Q482" s="124"/>
      <c r="R482" s="124"/>
      <c r="S482" s="124"/>
      <c r="T482" s="124"/>
      <c r="U482" s="124"/>
      <c r="V482" s="124"/>
      <c r="W482" s="124"/>
      <c r="X482" s="124"/>
      <c r="Y482" s="124"/>
      <c r="Z482" s="124"/>
    </row>
    <row r="483" ht="29.25" customHeight="1">
      <c r="A483" s="124"/>
      <c r="B483" s="124"/>
      <c r="C483" s="124"/>
      <c r="D483" s="124"/>
      <c r="E483" s="124"/>
      <c r="F483" s="124"/>
      <c r="G483" s="124"/>
      <c r="H483" s="124"/>
      <c r="I483" s="126"/>
      <c r="J483" s="124"/>
      <c r="K483" s="124"/>
      <c r="L483" s="124"/>
      <c r="M483" s="124"/>
      <c r="N483" s="124"/>
      <c r="O483" s="124"/>
      <c r="P483" s="124"/>
      <c r="Q483" s="124"/>
      <c r="R483" s="124"/>
      <c r="S483" s="124"/>
      <c r="T483" s="124"/>
      <c r="U483" s="124"/>
      <c r="V483" s="124"/>
      <c r="W483" s="124"/>
      <c r="X483" s="124"/>
      <c r="Y483" s="124"/>
      <c r="Z483" s="124"/>
    </row>
    <row r="484" ht="29.25" customHeight="1">
      <c r="A484" s="124"/>
      <c r="B484" s="124"/>
      <c r="C484" s="124"/>
      <c r="D484" s="124"/>
      <c r="E484" s="124"/>
      <c r="F484" s="124"/>
      <c r="G484" s="124"/>
      <c r="H484" s="124"/>
      <c r="I484" s="126"/>
      <c r="J484" s="124"/>
      <c r="K484" s="124"/>
      <c r="L484" s="124"/>
      <c r="M484" s="124"/>
      <c r="N484" s="124"/>
      <c r="O484" s="124"/>
      <c r="P484" s="124"/>
      <c r="Q484" s="124"/>
      <c r="R484" s="124"/>
      <c r="S484" s="124"/>
      <c r="T484" s="124"/>
      <c r="U484" s="124"/>
      <c r="V484" s="124"/>
      <c r="W484" s="124"/>
      <c r="X484" s="124"/>
      <c r="Y484" s="124"/>
      <c r="Z484" s="124"/>
    </row>
    <row r="485" ht="29.25" customHeight="1">
      <c r="A485" s="124"/>
      <c r="B485" s="124"/>
      <c r="C485" s="124"/>
      <c r="D485" s="124"/>
      <c r="E485" s="124"/>
      <c r="F485" s="124"/>
      <c r="G485" s="124"/>
      <c r="H485" s="124"/>
      <c r="I485" s="126"/>
      <c r="J485" s="124"/>
      <c r="K485" s="124"/>
      <c r="L485" s="124"/>
      <c r="M485" s="124"/>
      <c r="N485" s="124"/>
      <c r="O485" s="124"/>
      <c r="P485" s="124"/>
      <c r="Q485" s="124"/>
      <c r="R485" s="124"/>
      <c r="S485" s="124"/>
      <c r="T485" s="124"/>
      <c r="U485" s="124"/>
      <c r="V485" s="124"/>
      <c r="W485" s="124"/>
      <c r="X485" s="124"/>
      <c r="Y485" s="124"/>
      <c r="Z485" s="124"/>
    </row>
    <row r="486" ht="29.25" customHeight="1">
      <c r="A486" s="124"/>
      <c r="B486" s="124"/>
      <c r="C486" s="124"/>
      <c r="D486" s="124"/>
      <c r="E486" s="124"/>
      <c r="F486" s="124"/>
      <c r="G486" s="124"/>
      <c r="H486" s="124"/>
      <c r="I486" s="126"/>
      <c r="J486" s="124"/>
      <c r="K486" s="124"/>
      <c r="L486" s="124"/>
      <c r="M486" s="124"/>
      <c r="N486" s="124"/>
      <c r="O486" s="124"/>
      <c r="P486" s="124"/>
      <c r="Q486" s="124"/>
      <c r="R486" s="124"/>
      <c r="S486" s="124"/>
      <c r="T486" s="124"/>
      <c r="U486" s="124"/>
      <c r="V486" s="124"/>
      <c r="W486" s="124"/>
      <c r="X486" s="124"/>
      <c r="Y486" s="124"/>
      <c r="Z486" s="124"/>
    </row>
    <row r="487" ht="29.25" customHeight="1">
      <c r="A487" s="124"/>
      <c r="B487" s="124"/>
      <c r="C487" s="124"/>
      <c r="D487" s="124"/>
      <c r="E487" s="124"/>
      <c r="F487" s="124"/>
      <c r="G487" s="124"/>
      <c r="H487" s="124"/>
      <c r="I487" s="126"/>
      <c r="J487" s="124"/>
      <c r="K487" s="124"/>
      <c r="L487" s="124"/>
      <c r="M487" s="124"/>
      <c r="N487" s="124"/>
      <c r="O487" s="124"/>
      <c r="P487" s="124"/>
      <c r="Q487" s="124"/>
      <c r="R487" s="124"/>
      <c r="S487" s="124"/>
      <c r="T487" s="124"/>
      <c r="U487" s="124"/>
      <c r="V487" s="124"/>
      <c r="W487" s="124"/>
      <c r="X487" s="124"/>
      <c r="Y487" s="124"/>
      <c r="Z487" s="124"/>
    </row>
    <row r="488" ht="29.25" customHeight="1">
      <c r="A488" s="124"/>
      <c r="B488" s="124"/>
      <c r="C488" s="124"/>
      <c r="D488" s="124"/>
      <c r="E488" s="124"/>
      <c r="F488" s="124"/>
      <c r="G488" s="124"/>
      <c r="H488" s="124"/>
      <c r="I488" s="126"/>
      <c r="J488" s="124"/>
      <c r="K488" s="124"/>
      <c r="L488" s="124"/>
      <c r="M488" s="124"/>
      <c r="N488" s="124"/>
      <c r="O488" s="124"/>
      <c r="P488" s="124"/>
      <c r="Q488" s="124"/>
      <c r="R488" s="124"/>
      <c r="S488" s="124"/>
      <c r="T488" s="124"/>
      <c r="U488" s="124"/>
      <c r="V488" s="124"/>
      <c r="W488" s="124"/>
      <c r="X488" s="124"/>
      <c r="Y488" s="124"/>
      <c r="Z488" s="124"/>
    </row>
    <row r="489" ht="29.25" customHeight="1">
      <c r="A489" s="124"/>
      <c r="B489" s="124"/>
      <c r="C489" s="124"/>
      <c r="D489" s="124"/>
      <c r="E489" s="124"/>
      <c r="F489" s="124"/>
      <c r="G489" s="124"/>
      <c r="H489" s="124"/>
      <c r="I489" s="126"/>
      <c r="J489" s="124"/>
      <c r="K489" s="124"/>
      <c r="L489" s="124"/>
      <c r="M489" s="124"/>
      <c r="N489" s="124"/>
      <c r="O489" s="124"/>
      <c r="P489" s="124"/>
      <c r="Q489" s="124"/>
      <c r="R489" s="124"/>
      <c r="S489" s="124"/>
      <c r="T489" s="124"/>
      <c r="U489" s="124"/>
      <c r="V489" s="124"/>
      <c r="W489" s="124"/>
      <c r="X489" s="124"/>
      <c r="Y489" s="124"/>
      <c r="Z489" s="124"/>
    </row>
    <row r="490" ht="29.25" customHeight="1">
      <c r="A490" s="124"/>
      <c r="B490" s="124"/>
      <c r="C490" s="124"/>
      <c r="D490" s="124"/>
      <c r="E490" s="124"/>
      <c r="F490" s="124"/>
      <c r="G490" s="124"/>
      <c r="H490" s="124"/>
      <c r="I490" s="126"/>
      <c r="J490" s="124"/>
      <c r="K490" s="124"/>
      <c r="L490" s="124"/>
      <c r="M490" s="124"/>
      <c r="N490" s="124"/>
      <c r="O490" s="124"/>
      <c r="P490" s="124"/>
      <c r="Q490" s="124"/>
      <c r="R490" s="124"/>
      <c r="S490" s="124"/>
      <c r="T490" s="124"/>
      <c r="U490" s="124"/>
      <c r="V490" s="124"/>
      <c r="W490" s="124"/>
      <c r="X490" s="124"/>
      <c r="Y490" s="124"/>
      <c r="Z490" s="124"/>
    </row>
    <row r="491" ht="29.25" customHeight="1">
      <c r="A491" s="124"/>
      <c r="B491" s="124"/>
      <c r="C491" s="124"/>
      <c r="D491" s="124"/>
      <c r="E491" s="124"/>
      <c r="F491" s="124"/>
      <c r="G491" s="124"/>
      <c r="H491" s="124"/>
      <c r="I491" s="126"/>
      <c r="J491" s="124"/>
      <c r="K491" s="124"/>
      <c r="L491" s="124"/>
      <c r="M491" s="124"/>
      <c r="N491" s="124"/>
      <c r="O491" s="124"/>
      <c r="P491" s="124"/>
      <c r="Q491" s="124"/>
      <c r="R491" s="124"/>
      <c r="S491" s="124"/>
      <c r="T491" s="124"/>
      <c r="U491" s="124"/>
      <c r="V491" s="124"/>
      <c r="W491" s="124"/>
      <c r="X491" s="124"/>
      <c r="Y491" s="124"/>
      <c r="Z491" s="124"/>
    </row>
    <row r="492" ht="29.25" customHeight="1">
      <c r="A492" s="124"/>
      <c r="B492" s="124"/>
      <c r="C492" s="124"/>
      <c r="D492" s="124"/>
      <c r="E492" s="124"/>
      <c r="F492" s="124"/>
      <c r="G492" s="124"/>
      <c r="H492" s="124"/>
      <c r="I492" s="126"/>
      <c r="J492" s="124"/>
      <c r="K492" s="124"/>
      <c r="L492" s="124"/>
      <c r="M492" s="124"/>
      <c r="N492" s="124"/>
      <c r="O492" s="124"/>
      <c r="P492" s="124"/>
      <c r="Q492" s="124"/>
      <c r="R492" s="124"/>
      <c r="S492" s="124"/>
      <c r="T492" s="124"/>
      <c r="U492" s="124"/>
      <c r="V492" s="124"/>
      <c r="W492" s="124"/>
      <c r="X492" s="124"/>
      <c r="Y492" s="124"/>
      <c r="Z492" s="124"/>
    </row>
    <row r="493" ht="29.25" customHeight="1">
      <c r="A493" s="124"/>
      <c r="B493" s="124"/>
      <c r="C493" s="124"/>
      <c r="D493" s="124"/>
      <c r="E493" s="124"/>
      <c r="F493" s="124"/>
      <c r="G493" s="124"/>
      <c r="H493" s="124"/>
      <c r="I493" s="126"/>
      <c r="J493" s="124"/>
      <c r="K493" s="124"/>
      <c r="L493" s="124"/>
      <c r="M493" s="124"/>
      <c r="N493" s="124"/>
      <c r="O493" s="124"/>
      <c r="P493" s="124"/>
      <c r="Q493" s="124"/>
      <c r="R493" s="124"/>
      <c r="S493" s="124"/>
      <c r="T493" s="124"/>
      <c r="U493" s="124"/>
      <c r="V493" s="124"/>
      <c r="W493" s="124"/>
      <c r="X493" s="124"/>
      <c r="Y493" s="124"/>
      <c r="Z493" s="124"/>
    </row>
    <row r="494" ht="29.25" customHeight="1">
      <c r="A494" s="124"/>
      <c r="B494" s="124"/>
      <c r="C494" s="124"/>
      <c r="D494" s="124"/>
      <c r="E494" s="124"/>
      <c r="F494" s="124"/>
      <c r="G494" s="124"/>
      <c r="H494" s="124"/>
      <c r="I494" s="126"/>
      <c r="J494" s="124"/>
      <c r="K494" s="124"/>
      <c r="L494" s="124"/>
      <c r="M494" s="124"/>
      <c r="N494" s="124"/>
      <c r="O494" s="124"/>
      <c r="P494" s="124"/>
      <c r="Q494" s="124"/>
      <c r="R494" s="124"/>
      <c r="S494" s="124"/>
      <c r="T494" s="124"/>
      <c r="U494" s="124"/>
      <c r="V494" s="124"/>
      <c r="W494" s="124"/>
      <c r="X494" s="124"/>
      <c r="Y494" s="124"/>
      <c r="Z494" s="124"/>
    </row>
    <row r="495" ht="29.25" customHeight="1">
      <c r="A495" s="124"/>
      <c r="B495" s="124"/>
      <c r="C495" s="124"/>
      <c r="D495" s="124"/>
      <c r="E495" s="124"/>
      <c r="F495" s="124"/>
      <c r="G495" s="124"/>
      <c r="H495" s="124"/>
      <c r="I495" s="126"/>
      <c r="J495" s="124"/>
      <c r="K495" s="124"/>
      <c r="L495" s="124"/>
      <c r="M495" s="124"/>
      <c r="N495" s="124"/>
      <c r="O495" s="124"/>
      <c r="P495" s="124"/>
      <c r="Q495" s="124"/>
      <c r="R495" s="124"/>
      <c r="S495" s="124"/>
      <c r="T495" s="124"/>
      <c r="U495" s="124"/>
      <c r="V495" s="124"/>
      <c r="W495" s="124"/>
      <c r="X495" s="124"/>
      <c r="Y495" s="124"/>
      <c r="Z495" s="124"/>
    </row>
    <row r="496" ht="29.25" customHeight="1">
      <c r="A496" s="124"/>
      <c r="B496" s="124"/>
      <c r="C496" s="124"/>
      <c r="D496" s="124"/>
      <c r="E496" s="124"/>
      <c r="F496" s="124"/>
      <c r="G496" s="124"/>
      <c r="H496" s="124"/>
      <c r="I496" s="126"/>
      <c r="J496" s="124"/>
      <c r="K496" s="124"/>
      <c r="L496" s="124"/>
      <c r="M496" s="124"/>
      <c r="N496" s="124"/>
      <c r="O496" s="124"/>
      <c r="P496" s="124"/>
      <c r="Q496" s="124"/>
      <c r="R496" s="124"/>
      <c r="S496" s="124"/>
      <c r="T496" s="124"/>
      <c r="U496" s="124"/>
      <c r="V496" s="124"/>
      <c r="W496" s="124"/>
      <c r="X496" s="124"/>
      <c r="Y496" s="124"/>
      <c r="Z496" s="124"/>
    </row>
    <row r="497" ht="29.25" customHeight="1">
      <c r="A497" s="124"/>
      <c r="B497" s="124"/>
      <c r="C497" s="124"/>
      <c r="D497" s="124"/>
      <c r="E497" s="124"/>
      <c r="F497" s="124"/>
      <c r="G497" s="124"/>
      <c r="H497" s="124"/>
      <c r="I497" s="126"/>
      <c r="J497" s="124"/>
      <c r="K497" s="124"/>
      <c r="L497" s="124"/>
      <c r="M497" s="124"/>
      <c r="N497" s="124"/>
      <c r="O497" s="124"/>
      <c r="P497" s="124"/>
      <c r="Q497" s="124"/>
      <c r="R497" s="124"/>
      <c r="S497" s="124"/>
      <c r="T497" s="124"/>
      <c r="U497" s="124"/>
      <c r="V497" s="124"/>
      <c r="W497" s="124"/>
      <c r="X497" s="124"/>
      <c r="Y497" s="124"/>
      <c r="Z497" s="124"/>
    </row>
    <row r="498" ht="29.25" customHeight="1">
      <c r="A498" s="124"/>
      <c r="B498" s="124"/>
      <c r="C498" s="124"/>
      <c r="D498" s="124"/>
      <c r="E498" s="124"/>
      <c r="F498" s="124"/>
      <c r="G498" s="124"/>
      <c r="H498" s="124"/>
      <c r="I498" s="126"/>
      <c r="J498" s="124"/>
      <c r="K498" s="124"/>
      <c r="L498" s="124"/>
      <c r="M498" s="124"/>
      <c r="N498" s="124"/>
      <c r="O498" s="124"/>
      <c r="P498" s="124"/>
      <c r="Q498" s="124"/>
      <c r="R498" s="124"/>
      <c r="S498" s="124"/>
      <c r="T498" s="124"/>
      <c r="U498" s="124"/>
      <c r="V498" s="124"/>
      <c r="W498" s="124"/>
      <c r="X498" s="124"/>
      <c r="Y498" s="124"/>
      <c r="Z498" s="124"/>
    </row>
    <row r="499" ht="29.25" customHeight="1">
      <c r="A499" s="124"/>
      <c r="B499" s="124"/>
      <c r="C499" s="124"/>
      <c r="D499" s="124"/>
      <c r="E499" s="124"/>
      <c r="F499" s="124"/>
      <c r="G499" s="124"/>
      <c r="H499" s="124"/>
      <c r="I499" s="126"/>
      <c r="J499" s="124"/>
      <c r="K499" s="124"/>
      <c r="L499" s="124"/>
      <c r="M499" s="124"/>
      <c r="N499" s="124"/>
      <c r="O499" s="124"/>
      <c r="P499" s="124"/>
      <c r="Q499" s="124"/>
      <c r="R499" s="124"/>
      <c r="S499" s="124"/>
      <c r="T499" s="124"/>
      <c r="U499" s="124"/>
      <c r="V499" s="124"/>
      <c r="W499" s="124"/>
      <c r="X499" s="124"/>
      <c r="Y499" s="124"/>
      <c r="Z499" s="124"/>
    </row>
    <row r="500" ht="29.25" customHeight="1">
      <c r="A500" s="124"/>
      <c r="B500" s="124"/>
      <c r="C500" s="124"/>
      <c r="D500" s="124"/>
      <c r="E500" s="124"/>
      <c r="F500" s="124"/>
      <c r="G500" s="124"/>
      <c r="H500" s="124"/>
      <c r="I500" s="126"/>
      <c r="J500" s="124"/>
      <c r="K500" s="124"/>
      <c r="L500" s="124"/>
      <c r="M500" s="124"/>
      <c r="N500" s="124"/>
      <c r="O500" s="124"/>
      <c r="P500" s="124"/>
      <c r="Q500" s="124"/>
      <c r="R500" s="124"/>
      <c r="S500" s="124"/>
      <c r="T500" s="124"/>
      <c r="U500" s="124"/>
      <c r="V500" s="124"/>
      <c r="W500" s="124"/>
      <c r="X500" s="124"/>
      <c r="Y500" s="124"/>
      <c r="Z500" s="124"/>
    </row>
    <row r="501" ht="29.25" customHeight="1">
      <c r="A501" s="124"/>
      <c r="B501" s="124"/>
      <c r="C501" s="124"/>
      <c r="D501" s="124"/>
      <c r="E501" s="124"/>
      <c r="F501" s="124"/>
      <c r="G501" s="124"/>
      <c r="H501" s="124"/>
      <c r="I501" s="126"/>
      <c r="J501" s="124"/>
      <c r="K501" s="124"/>
      <c r="L501" s="124"/>
      <c r="M501" s="124"/>
      <c r="N501" s="124"/>
      <c r="O501" s="124"/>
      <c r="P501" s="124"/>
      <c r="Q501" s="124"/>
      <c r="R501" s="124"/>
      <c r="S501" s="124"/>
      <c r="T501" s="124"/>
      <c r="U501" s="124"/>
      <c r="V501" s="124"/>
      <c r="W501" s="124"/>
      <c r="X501" s="124"/>
      <c r="Y501" s="124"/>
      <c r="Z501" s="124"/>
    </row>
    <row r="502" ht="29.25" customHeight="1">
      <c r="A502" s="124"/>
      <c r="B502" s="124"/>
      <c r="C502" s="124"/>
      <c r="D502" s="124"/>
      <c r="E502" s="124"/>
      <c r="F502" s="124"/>
      <c r="G502" s="124"/>
      <c r="H502" s="124"/>
      <c r="I502" s="126"/>
      <c r="J502" s="124"/>
      <c r="K502" s="124"/>
      <c r="L502" s="124"/>
      <c r="M502" s="124"/>
      <c r="N502" s="124"/>
      <c r="O502" s="124"/>
      <c r="P502" s="124"/>
      <c r="Q502" s="124"/>
      <c r="R502" s="124"/>
      <c r="S502" s="124"/>
      <c r="T502" s="124"/>
      <c r="U502" s="124"/>
      <c r="V502" s="124"/>
      <c r="W502" s="124"/>
      <c r="X502" s="124"/>
      <c r="Y502" s="124"/>
      <c r="Z502" s="124"/>
    </row>
    <row r="503" ht="29.25" customHeight="1">
      <c r="A503" s="124"/>
      <c r="B503" s="124"/>
      <c r="C503" s="124"/>
      <c r="D503" s="124"/>
      <c r="E503" s="124"/>
      <c r="F503" s="124"/>
      <c r="G503" s="124"/>
      <c r="H503" s="124"/>
      <c r="I503" s="126"/>
      <c r="J503" s="124"/>
      <c r="K503" s="124"/>
      <c r="L503" s="124"/>
      <c r="M503" s="124"/>
      <c r="N503" s="124"/>
      <c r="O503" s="124"/>
      <c r="P503" s="124"/>
      <c r="Q503" s="124"/>
      <c r="R503" s="124"/>
      <c r="S503" s="124"/>
      <c r="T503" s="124"/>
      <c r="U503" s="124"/>
      <c r="V503" s="124"/>
      <c r="W503" s="124"/>
      <c r="X503" s="124"/>
      <c r="Y503" s="124"/>
      <c r="Z503" s="124"/>
    </row>
    <row r="504" ht="29.25" customHeight="1">
      <c r="A504" s="124"/>
      <c r="B504" s="124"/>
      <c r="C504" s="124"/>
      <c r="D504" s="124"/>
      <c r="E504" s="124"/>
      <c r="F504" s="124"/>
      <c r="G504" s="124"/>
      <c r="H504" s="124"/>
      <c r="I504" s="126"/>
      <c r="J504" s="124"/>
      <c r="K504" s="124"/>
      <c r="L504" s="124"/>
      <c r="M504" s="124"/>
      <c r="N504" s="124"/>
      <c r="O504" s="124"/>
      <c r="P504" s="124"/>
      <c r="Q504" s="124"/>
      <c r="R504" s="124"/>
      <c r="S504" s="124"/>
      <c r="T504" s="124"/>
      <c r="U504" s="124"/>
      <c r="V504" s="124"/>
      <c r="W504" s="124"/>
      <c r="X504" s="124"/>
      <c r="Y504" s="124"/>
      <c r="Z504" s="124"/>
    </row>
    <row r="505" ht="29.25" customHeight="1">
      <c r="A505" s="124"/>
      <c r="B505" s="124"/>
      <c r="C505" s="124"/>
      <c r="D505" s="124"/>
      <c r="E505" s="124"/>
      <c r="F505" s="124"/>
      <c r="G505" s="124"/>
      <c r="H505" s="124"/>
      <c r="I505" s="126"/>
      <c r="J505" s="124"/>
      <c r="K505" s="124"/>
      <c r="L505" s="124"/>
      <c r="M505" s="124"/>
      <c r="N505" s="124"/>
      <c r="O505" s="124"/>
      <c r="P505" s="124"/>
      <c r="Q505" s="124"/>
      <c r="R505" s="124"/>
      <c r="S505" s="124"/>
      <c r="T505" s="124"/>
      <c r="U505" s="124"/>
      <c r="V505" s="124"/>
      <c r="W505" s="124"/>
      <c r="X505" s="124"/>
      <c r="Y505" s="124"/>
      <c r="Z505" s="124"/>
    </row>
    <row r="506" ht="29.25" customHeight="1">
      <c r="A506" s="124"/>
      <c r="B506" s="124"/>
      <c r="C506" s="124"/>
      <c r="D506" s="124"/>
      <c r="E506" s="124"/>
      <c r="F506" s="124"/>
      <c r="G506" s="124"/>
      <c r="H506" s="124"/>
      <c r="I506" s="126"/>
      <c r="J506" s="124"/>
      <c r="K506" s="124"/>
      <c r="L506" s="124"/>
      <c r="M506" s="124"/>
      <c r="N506" s="124"/>
      <c r="O506" s="124"/>
      <c r="P506" s="124"/>
      <c r="Q506" s="124"/>
      <c r="R506" s="124"/>
      <c r="S506" s="124"/>
      <c r="T506" s="124"/>
      <c r="U506" s="124"/>
      <c r="V506" s="124"/>
      <c r="W506" s="124"/>
      <c r="X506" s="124"/>
      <c r="Y506" s="124"/>
      <c r="Z506" s="124"/>
    </row>
    <row r="507" ht="29.25" customHeight="1">
      <c r="A507" s="124"/>
      <c r="B507" s="124"/>
      <c r="C507" s="124"/>
      <c r="D507" s="124"/>
      <c r="E507" s="124"/>
      <c r="F507" s="124"/>
      <c r="G507" s="124"/>
      <c r="H507" s="124"/>
      <c r="I507" s="126"/>
      <c r="J507" s="124"/>
      <c r="K507" s="124"/>
      <c r="L507" s="124"/>
      <c r="M507" s="124"/>
      <c r="N507" s="124"/>
      <c r="O507" s="124"/>
      <c r="P507" s="124"/>
      <c r="Q507" s="124"/>
      <c r="R507" s="124"/>
      <c r="S507" s="124"/>
      <c r="T507" s="124"/>
      <c r="U507" s="124"/>
      <c r="V507" s="124"/>
      <c r="W507" s="124"/>
      <c r="X507" s="124"/>
      <c r="Y507" s="124"/>
      <c r="Z507" s="124"/>
    </row>
    <row r="508" ht="29.25" customHeight="1">
      <c r="A508" s="124"/>
      <c r="B508" s="124"/>
      <c r="C508" s="124"/>
      <c r="D508" s="124"/>
      <c r="E508" s="124"/>
      <c r="F508" s="124"/>
      <c r="G508" s="124"/>
      <c r="H508" s="124"/>
      <c r="I508" s="126"/>
      <c r="J508" s="124"/>
      <c r="K508" s="124"/>
      <c r="L508" s="124"/>
      <c r="M508" s="124"/>
      <c r="N508" s="124"/>
      <c r="O508" s="124"/>
      <c r="P508" s="124"/>
      <c r="Q508" s="124"/>
      <c r="R508" s="124"/>
      <c r="S508" s="124"/>
      <c r="T508" s="124"/>
      <c r="U508" s="124"/>
      <c r="V508" s="124"/>
      <c r="W508" s="124"/>
      <c r="X508" s="124"/>
      <c r="Y508" s="124"/>
      <c r="Z508" s="124"/>
    </row>
    <row r="509" ht="29.25" customHeight="1">
      <c r="A509" s="124"/>
      <c r="B509" s="124"/>
      <c r="C509" s="124"/>
      <c r="D509" s="124"/>
      <c r="E509" s="124"/>
      <c r="F509" s="124"/>
      <c r="G509" s="124"/>
      <c r="H509" s="124"/>
      <c r="I509" s="126"/>
      <c r="J509" s="124"/>
      <c r="K509" s="124"/>
      <c r="L509" s="124"/>
      <c r="M509" s="124"/>
      <c r="N509" s="124"/>
      <c r="O509" s="124"/>
      <c r="P509" s="124"/>
      <c r="Q509" s="124"/>
      <c r="R509" s="124"/>
      <c r="S509" s="124"/>
      <c r="T509" s="124"/>
      <c r="U509" s="124"/>
      <c r="V509" s="124"/>
      <c r="W509" s="124"/>
      <c r="X509" s="124"/>
      <c r="Y509" s="124"/>
      <c r="Z509" s="124"/>
    </row>
    <row r="510" ht="29.25" customHeight="1">
      <c r="A510" s="124"/>
      <c r="B510" s="124"/>
      <c r="C510" s="124"/>
      <c r="D510" s="124"/>
      <c r="E510" s="124"/>
      <c r="F510" s="124"/>
      <c r="G510" s="124"/>
      <c r="H510" s="124"/>
      <c r="I510" s="126"/>
      <c r="J510" s="124"/>
      <c r="K510" s="124"/>
      <c r="L510" s="124"/>
      <c r="M510" s="124"/>
      <c r="N510" s="124"/>
      <c r="O510" s="124"/>
      <c r="P510" s="124"/>
      <c r="Q510" s="124"/>
      <c r="R510" s="124"/>
      <c r="S510" s="124"/>
      <c r="T510" s="124"/>
      <c r="U510" s="124"/>
      <c r="V510" s="124"/>
      <c r="W510" s="124"/>
      <c r="X510" s="124"/>
      <c r="Y510" s="124"/>
      <c r="Z510" s="124"/>
    </row>
    <row r="511" ht="29.25" customHeight="1">
      <c r="A511" s="124"/>
      <c r="B511" s="124"/>
      <c r="C511" s="124"/>
      <c r="D511" s="124"/>
      <c r="E511" s="124"/>
      <c r="F511" s="124"/>
      <c r="G511" s="124"/>
      <c r="H511" s="124"/>
      <c r="I511" s="126"/>
      <c r="J511" s="124"/>
      <c r="K511" s="124"/>
      <c r="L511" s="124"/>
      <c r="M511" s="124"/>
      <c r="N511" s="124"/>
      <c r="O511" s="124"/>
      <c r="P511" s="124"/>
      <c r="Q511" s="124"/>
      <c r="R511" s="124"/>
      <c r="S511" s="124"/>
      <c r="T511" s="124"/>
      <c r="U511" s="124"/>
      <c r="V511" s="124"/>
      <c r="W511" s="124"/>
      <c r="X511" s="124"/>
      <c r="Y511" s="124"/>
      <c r="Z511" s="124"/>
    </row>
    <row r="512" ht="29.25" customHeight="1">
      <c r="A512" s="124"/>
      <c r="B512" s="124"/>
      <c r="C512" s="124"/>
      <c r="D512" s="124"/>
      <c r="E512" s="124"/>
      <c r="F512" s="124"/>
      <c r="G512" s="124"/>
      <c r="H512" s="124"/>
      <c r="I512" s="126"/>
      <c r="J512" s="124"/>
      <c r="K512" s="124"/>
      <c r="L512" s="124"/>
      <c r="M512" s="124"/>
      <c r="N512" s="124"/>
      <c r="O512" s="124"/>
      <c r="P512" s="124"/>
      <c r="Q512" s="124"/>
      <c r="R512" s="124"/>
      <c r="S512" s="124"/>
      <c r="T512" s="124"/>
      <c r="U512" s="124"/>
      <c r="V512" s="124"/>
      <c r="W512" s="124"/>
      <c r="X512" s="124"/>
      <c r="Y512" s="124"/>
      <c r="Z512" s="124"/>
    </row>
    <row r="513" ht="29.25" customHeight="1">
      <c r="A513" s="124"/>
      <c r="B513" s="124"/>
      <c r="C513" s="124"/>
      <c r="D513" s="124"/>
      <c r="E513" s="124"/>
      <c r="F513" s="124"/>
      <c r="G513" s="124"/>
      <c r="H513" s="124"/>
      <c r="I513" s="126"/>
      <c r="J513" s="124"/>
      <c r="K513" s="124"/>
      <c r="L513" s="124"/>
      <c r="M513" s="124"/>
      <c r="N513" s="124"/>
      <c r="O513" s="124"/>
      <c r="P513" s="124"/>
      <c r="Q513" s="124"/>
      <c r="R513" s="124"/>
      <c r="S513" s="124"/>
      <c r="T513" s="124"/>
      <c r="U513" s="124"/>
      <c r="V513" s="124"/>
      <c r="W513" s="124"/>
      <c r="X513" s="124"/>
      <c r="Y513" s="124"/>
      <c r="Z513" s="124"/>
    </row>
    <row r="514" ht="29.25" customHeight="1">
      <c r="A514" s="124"/>
      <c r="B514" s="124"/>
      <c r="C514" s="124"/>
      <c r="D514" s="124"/>
      <c r="E514" s="124"/>
      <c r="F514" s="124"/>
      <c r="G514" s="124"/>
      <c r="H514" s="124"/>
      <c r="I514" s="126"/>
      <c r="J514" s="124"/>
      <c r="K514" s="124"/>
      <c r="L514" s="124"/>
      <c r="M514" s="124"/>
      <c r="N514" s="124"/>
      <c r="O514" s="124"/>
      <c r="P514" s="124"/>
      <c r="Q514" s="124"/>
      <c r="R514" s="124"/>
      <c r="S514" s="124"/>
      <c r="T514" s="124"/>
      <c r="U514" s="124"/>
      <c r="V514" s="124"/>
      <c r="W514" s="124"/>
      <c r="X514" s="124"/>
      <c r="Y514" s="124"/>
      <c r="Z514" s="124"/>
    </row>
    <row r="515" ht="29.25" customHeight="1">
      <c r="A515" s="124"/>
      <c r="B515" s="124"/>
      <c r="C515" s="124"/>
      <c r="D515" s="124"/>
      <c r="E515" s="124"/>
      <c r="F515" s="124"/>
      <c r="G515" s="124"/>
      <c r="H515" s="124"/>
      <c r="I515" s="126"/>
      <c r="J515" s="124"/>
      <c r="K515" s="124"/>
      <c r="L515" s="124"/>
      <c r="M515" s="124"/>
      <c r="N515" s="124"/>
      <c r="O515" s="124"/>
      <c r="P515" s="124"/>
      <c r="Q515" s="124"/>
      <c r="R515" s="124"/>
      <c r="S515" s="124"/>
      <c r="T515" s="124"/>
      <c r="U515" s="124"/>
      <c r="V515" s="124"/>
      <c r="W515" s="124"/>
      <c r="X515" s="124"/>
      <c r="Y515" s="124"/>
      <c r="Z515" s="124"/>
    </row>
    <row r="516" ht="29.25" customHeight="1">
      <c r="A516" s="124"/>
      <c r="B516" s="124"/>
      <c r="C516" s="124"/>
      <c r="D516" s="124"/>
      <c r="E516" s="124"/>
      <c r="F516" s="124"/>
      <c r="G516" s="124"/>
      <c r="H516" s="124"/>
      <c r="I516" s="126"/>
      <c r="J516" s="124"/>
      <c r="K516" s="124"/>
      <c r="L516" s="124"/>
      <c r="M516" s="124"/>
      <c r="N516" s="124"/>
      <c r="O516" s="124"/>
      <c r="P516" s="124"/>
      <c r="Q516" s="124"/>
      <c r="R516" s="124"/>
      <c r="S516" s="124"/>
      <c r="T516" s="124"/>
      <c r="U516" s="124"/>
      <c r="V516" s="124"/>
      <c r="W516" s="124"/>
      <c r="X516" s="124"/>
      <c r="Y516" s="124"/>
      <c r="Z516" s="124"/>
    </row>
    <row r="517" ht="29.25" customHeight="1">
      <c r="A517" s="124"/>
      <c r="B517" s="124"/>
      <c r="C517" s="124"/>
      <c r="D517" s="124"/>
      <c r="E517" s="124"/>
      <c r="F517" s="124"/>
      <c r="G517" s="124"/>
      <c r="H517" s="124"/>
      <c r="I517" s="126"/>
      <c r="J517" s="124"/>
      <c r="K517" s="124"/>
      <c r="L517" s="124"/>
      <c r="M517" s="124"/>
      <c r="N517" s="124"/>
      <c r="O517" s="124"/>
      <c r="P517" s="124"/>
      <c r="Q517" s="124"/>
      <c r="R517" s="124"/>
      <c r="S517" s="124"/>
      <c r="T517" s="124"/>
      <c r="U517" s="124"/>
      <c r="V517" s="124"/>
      <c r="W517" s="124"/>
      <c r="X517" s="124"/>
      <c r="Y517" s="124"/>
      <c r="Z517" s="124"/>
    </row>
    <row r="518" ht="29.25" customHeight="1">
      <c r="A518" s="124"/>
      <c r="B518" s="124"/>
      <c r="C518" s="124"/>
      <c r="D518" s="124"/>
      <c r="E518" s="124"/>
      <c r="F518" s="124"/>
      <c r="G518" s="124"/>
      <c r="H518" s="124"/>
      <c r="I518" s="126"/>
      <c r="J518" s="124"/>
      <c r="K518" s="124"/>
      <c r="L518" s="124"/>
      <c r="M518" s="124"/>
      <c r="N518" s="124"/>
      <c r="O518" s="124"/>
      <c r="P518" s="124"/>
      <c r="Q518" s="124"/>
      <c r="R518" s="124"/>
      <c r="S518" s="124"/>
      <c r="T518" s="124"/>
      <c r="U518" s="124"/>
      <c r="V518" s="124"/>
      <c r="W518" s="124"/>
      <c r="X518" s="124"/>
      <c r="Y518" s="124"/>
      <c r="Z518" s="124"/>
    </row>
    <row r="519" ht="29.25" customHeight="1">
      <c r="A519" s="124"/>
      <c r="B519" s="124"/>
      <c r="C519" s="124"/>
      <c r="D519" s="124"/>
      <c r="E519" s="124"/>
      <c r="F519" s="124"/>
      <c r="G519" s="124"/>
      <c r="H519" s="124"/>
      <c r="I519" s="126"/>
      <c r="J519" s="124"/>
      <c r="K519" s="124"/>
      <c r="L519" s="124"/>
      <c r="M519" s="124"/>
      <c r="N519" s="124"/>
      <c r="O519" s="124"/>
      <c r="P519" s="124"/>
      <c r="Q519" s="124"/>
      <c r="R519" s="124"/>
      <c r="S519" s="124"/>
      <c r="T519" s="124"/>
      <c r="U519" s="124"/>
      <c r="V519" s="124"/>
      <c r="W519" s="124"/>
      <c r="X519" s="124"/>
      <c r="Y519" s="124"/>
      <c r="Z519" s="124"/>
    </row>
    <row r="520" ht="29.25" customHeight="1">
      <c r="A520" s="124"/>
      <c r="B520" s="124"/>
      <c r="C520" s="124"/>
      <c r="D520" s="124"/>
      <c r="E520" s="124"/>
      <c r="F520" s="124"/>
      <c r="G520" s="124"/>
      <c r="H520" s="124"/>
      <c r="I520" s="126"/>
      <c r="J520" s="124"/>
      <c r="K520" s="124"/>
      <c r="L520" s="124"/>
      <c r="M520" s="124"/>
      <c r="N520" s="124"/>
      <c r="O520" s="124"/>
      <c r="P520" s="124"/>
      <c r="Q520" s="124"/>
      <c r="R520" s="124"/>
      <c r="S520" s="124"/>
      <c r="T520" s="124"/>
      <c r="U520" s="124"/>
      <c r="V520" s="124"/>
      <c r="W520" s="124"/>
      <c r="X520" s="124"/>
      <c r="Y520" s="124"/>
      <c r="Z520" s="124"/>
    </row>
    <row r="521" ht="29.25" customHeight="1">
      <c r="A521" s="124"/>
      <c r="B521" s="124"/>
      <c r="C521" s="124"/>
      <c r="D521" s="124"/>
      <c r="E521" s="124"/>
      <c r="F521" s="124"/>
      <c r="G521" s="124"/>
      <c r="H521" s="124"/>
      <c r="I521" s="126"/>
      <c r="J521" s="124"/>
      <c r="K521" s="124"/>
      <c r="L521" s="124"/>
      <c r="M521" s="124"/>
      <c r="N521" s="124"/>
      <c r="O521" s="124"/>
      <c r="P521" s="124"/>
      <c r="Q521" s="124"/>
      <c r="R521" s="124"/>
      <c r="S521" s="124"/>
      <c r="T521" s="124"/>
      <c r="U521" s="124"/>
      <c r="V521" s="124"/>
      <c r="W521" s="124"/>
      <c r="X521" s="124"/>
      <c r="Y521" s="124"/>
      <c r="Z521" s="124"/>
    </row>
    <row r="522" ht="29.25" customHeight="1">
      <c r="A522" s="124"/>
      <c r="B522" s="124"/>
      <c r="C522" s="124"/>
      <c r="D522" s="124"/>
      <c r="E522" s="124"/>
      <c r="F522" s="124"/>
      <c r="G522" s="124"/>
      <c r="H522" s="124"/>
      <c r="I522" s="126"/>
      <c r="J522" s="124"/>
      <c r="K522" s="124"/>
      <c r="L522" s="124"/>
      <c r="M522" s="124"/>
      <c r="N522" s="124"/>
      <c r="O522" s="124"/>
      <c r="P522" s="124"/>
      <c r="Q522" s="124"/>
      <c r="R522" s="124"/>
      <c r="S522" s="124"/>
      <c r="T522" s="124"/>
      <c r="U522" s="124"/>
      <c r="V522" s="124"/>
      <c r="W522" s="124"/>
      <c r="X522" s="124"/>
      <c r="Y522" s="124"/>
      <c r="Z522" s="124"/>
    </row>
    <row r="523" ht="29.25" customHeight="1">
      <c r="A523" s="124"/>
      <c r="B523" s="124"/>
      <c r="C523" s="124"/>
      <c r="D523" s="124"/>
      <c r="E523" s="124"/>
      <c r="F523" s="124"/>
      <c r="G523" s="124"/>
      <c r="H523" s="124"/>
      <c r="I523" s="126"/>
      <c r="J523" s="124"/>
      <c r="K523" s="124"/>
      <c r="L523" s="124"/>
      <c r="M523" s="124"/>
      <c r="N523" s="124"/>
      <c r="O523" s="124"/>
      <c r="P523" s="124"/>
      <c r="Q523" s="124"/>
      <c r="R523" s="124"/>
      <c r="S523" s="124"/>
      <c r="T523" s="124"/>
      <c r="U523" s="124"/>
      <c r="V523" s="124"/>
      <c r="W523" s="124"/>
      <c r="X523" s="124"/>
      <c r="Y523" s="124"/>
      <c r="Z523" s="124"/>
    </row>
    <row r="524" ht="29.25" customHeight="1">
      <c r="A524" s="124"/>
      <c r="B524" s="124"/>
      <c r="C524" s="124"/>
      <c r="D524" s="124"/>
      <c r="E524" s="124"/>
      <c r="F524" s="124"/>
      <c r="G524" s="124"/>
      <c r="H524" s="124"/>
      <c r="I524" s="126"/>
      <c r="J524" s="124"/>
      <c r="K524" s="124"/>
      <c r="L524" s="124"/>
      <c r="M524" s="124"/>
      <c r="N524" s="124"/>
      <c r="O524" s="124"/>
      <c r="P524" s="124"/>
      <c r="Q524" s="124"/>
      <c r="R524" s="124"/>
      <c r="S524" s="124"/>
      <c r="T524" s="124"/>
      <c r="U524" s="124"/>
      <c r="V524" s="124"/>
      <c r="W524" s="124"/>
      <c r="X524" s="124"/>
      <c r="Y524" s="124"/>
      <c r="Z524" s="124"/>
    </row>
    <row r="525" ht="29.25" customHeight="1">
      <c r="A525" s="124"/>
      <c r="B525" s="124"/>
      <c r="C525" s="124"/>
      <c r="D525" s="124"/>
      <c r="E525" s="124"/>
      <c r="F525" s="124"/>
      <c r="G525" s="124"/>
      <c r="H525" s="124"/>
      <c r="I525" s="126"/>
      <c r="J525" s="124"/>
      <c r="K525" s="124"/>
      <c r="L525" s="124"/>
      <c r="M525" s="124"/>
      <c r="N525" s="124"/>
      <c r="O525" s="124"/>
      <c r="P525" s="124"/>
      <c r="Q525" s="124"/>
      <c r="R525" s="124"/>
      <c r="S525" s="124"/>
      <c r="T525" s="124"/>
      <c r="U525" s="124"/>
      <c r="V525" s="124"/>
      <c r="W525" s="124"/>
      <c r="X525" s="124"/>
      <c r="Y525" s="124"/>
      <c r="Z525" s="124"/>
    </row>
    <row r="526" ht="29.25" customHeight="1">
      <c r="A526" s="124"/>
      <c r="B526" s="124"/>
      <c r="C526" s="124"/>
      <c r="D526" s="124"/>
      <c r="E526" s="124"/>
      <c r="F526" s="124"/>
      <c r="G526" s="124"/>
      <c r="H526" s="124"/>
      <c r="I526" s="126"/>
      <c r="J526" s="124"/>
      <c r="K526" s="124"/>
      <c r="L526" s="124"/>
      <c r="M526" s="124"/>
      <c r="N526" s="124"/>
      <c r="O526" s="124"/>
      <c r="P526" s="124"/>
      <c r="Q526" s="124"/>
      <c r="R526" s="124"/>
      <c r="S526" s="124"/>
      <c r="T526" s="124"/>
      <c r="U526" s="124"/>
      <c r="V526" s="124"/>
      <c r="W526" s="124"/>
      <c r="X526" s="124"/>
      <c r="Y526" s="124"/>
      <c r="Z526" s="124"/>
    </row>
    <row r="527" ht="29.25" customHeight="1">
      <c r="A527" s="124"/>
      <c r="B527" s="124"/>
      <c r="C527" s="124"/>
      <c r="D527" s="124"/>
      <c r="E527" s="124"/>
      <c r="F527" s="124"/>
      <c r="G527" s="124"/>
      <c r="H527" s="124"/>
      <c r="I527" s="126"/>
      <c r="J527" s="124"/>
      <c r="K527" s="124"/>
      <c r="L527" s="124"/>
      <c r="M527" s="124"/>
      <c r="N527" s="124"/>
      <c r="O527" s="124"/>
      <c r="P527" s="124"/>
      <c r="Q527" s="124"/>
      <c r="R527" s="124"/>
      <c r="S527" s="124"/>
      <c r="T527" s="124"/>
      <c r="U527" s="124"/>
      <c r="V527" s="124"/>
      <c r="W527" s="124"/>
      <c r="X527" s="124"/>
      <c r="Y527" s="124"/>
      <c r="Z527" s="124"/>
    </row>
    <row r="528" ht="29.25" customHeight="1">
      <c r="A528" s="124"/>
      <c r="B528" s="124"/>
      <c r="C528" s="124"/>
      <c r="D528" s="124"/>
      <c r="E528" s="124"/>
      <c r="F528" s="124"/>
      <c r="G528" s="124"/>
      <c r="H528" s="124"/>
      <c r="I528" s="126"/>
      <c r="J528" s="124"/>
      <c r="K528" s="124"/>
      <c r="L528" s="124"/>
      <c r="M528" s="124"/>
      <c r="N528" s="124"/>
      <c r="O528" s="124"/>
      <c r="P528" s="124"/>
      <c r="Q528" s="124"/>
      <c r="R528" s="124"/>
      <c r="S528" s="124"/>
      <c r="T528" s="124"/>
      <c r="U528" s="124"/>
      <c r="V528" s="124"/>
      <c r="W528" s="124"/>
      <c r="X528" s="124"/>
      <c r="Y528" s="124"/>
      <c r="Z528" s="124"/>
    </row>
    <row r="529" ht="29.25" customHeight="1">
      <c r="A529" s="124"/>
      <c r="B529" s="124"/>
      <c r="C529" s="124"/>
      <c r="D529" s="124"/>
      <c r="E529" s="124"/>
      <c r="F529" s="124"/>
      <c r="G529" s="124"/>
      <c r="H529" s="124"/>
      <c r="I529" s="126"/>
      <c r="J529" s="124"/>
      <c r="K529" s="124"/>
      <c r="L529" s="124"/>
      <c r="M529" s="124"/>
      <c r="N529" s="124"/>
      <c r="O529" s="124"/>
      <c r="P529" s="124"/>
      <c r="Q529" s="124"/>
      <c r="R529" s="124"/>
      <c r="S529" s="124"/>
      <c r="T529" s="124"/>
      <c r="U529" s="124"/>
      <c r="V529" s="124"/>
      <c r="W529" s="124"/>
      <c r="X529" s="124"/>
      <c r="Y529" s="124"/>
      <c r="Z529" s="124"/>
    </row>
    <row r="530" ht="29.25" customHeight="1">
      <c r="A530" s="124"/>
      <c r="B530" s="124"/>
      <c r="C530" s="124"/>
      <c r="D530" s="124"/>
      <c r="E530" s="124"/>
      <c r="F530" s="124"/>
      <c r="G530" s="124"/>
      <c r="H530" s="124"/>
      <c r="I530" s="126"/>
      <c r="J530" s="124"/>
      <c r="K530" s="124"/>
      <c r="L530" s="124"/>
      <c r="M530" s="124"/>
      <c r="N530" s="124"/>
      <c r="O530" s="124"/>
      <c r="P530" s="124"/>
      <c r="Q530" s="124"/>
      <c r="R530" s="124"/>
      <c r="S530" s="124"/>
      <c r="T530" s="124"/>
      <c r="U530" s="124"/>
      <c r="V530" s="124"/>
      <c r="W530" s="124"/>
      <c r="X530" s="124"/>
      <c r="Y530" s="124"/>
      <c r="Z530" s="124"/>
    </row>
    <row r="531" ht="29.25" customHeight="1">
      <c r="A531" s="124"/>
      <c r="B531" s="124"/>
      <c r="C531" s="124"/>
      <c r="D531" s="124"/>
      <c r="E531" s="124"/>
      <c r="F531" s="124"/>
      <c r="G531" s="124"/>
      <c r="H531" s="124"/>
      <c r="I531" s="126"/>
      <c r="J531" s="124"/>
      <c r="K531" s="124"/>
      <c r="L531" s="124"/>
      <c r="M531" s="124"/>
      <c r="N531" s="124"/>
      <c r="O531" s="124"/>
      <c r="P531" s="124"/>
      <c r="Q531" s="124"/>
      <c r="R531" s="124"/>
      <c r="S531" s="124"/>
      <c r="T531" s="124"/>
      <c r="U531" s="124"/>
      <c r="V531" s="124"/>
      <c r="W531" s="124"/>
      <c r="X531" s="124"/>
      <c r="Y531" s="124"/>
      <c r="Z531" s="124"/>
    </row>
    <row r="532" ht="29.25" customHeight="1">
      <c r="A532" s="124"/>
      <c r="B532" s="124"/>
      <c r="C532" s="124"/>
      <c r="D532" s="124"/>
      <c r="E532" s="124"/>
      <c r="F532" s="124"/>
      <c r="G532" s="124"/>
      <c r="H532" s="124"/>
      <c r="I532" s="126"/>
      <c r="J532" s="124"/>
      <c r="K532" s="124"/>
      <c r="L532" s="124"/>
      <c r="M532" s="124"/>
      <c r="N532" s="124"/>
      <c r="O532" s="124"/>
      <c r="P532" s="124"/>
      <c r="Q532" s="124"/>
      <c r="R532" s="124"/>
      <c r="S532" s="124"/>
      <c r="T532" s="124"/>
      <c r="U532" s="124"/>
      <c r="V532" s="124"/>
      <c r="W532" s="124"/>
      <c r="X532" s="124"/>
      <c r="Y532" s="124"/>
      <c r="Z532" s="124"/>
    </row>
    <row r="533" ht="29.25" customHeight="1">
      <c r="A533" s="124"/>
      <c r="B533" s="124"/>
      <c r="C533" s="124"/>
      <c r="D533" s="124"/>
      <c r="E533" s="124"/>
      <c r="F533" s="124"/>
      <c r="G533" s="124"/>
      <c r="H533" s="124"/>
      <c r="I533" s="126"/>
      <c r="J533" s="124"/>
      <c r="K533" s="124"/>
      <c r="L533" s="124"/>
      <c r="M533" s="124"/>
      <c r="N533" s="124"/>
      <c r="O533" s="124"/>
      <c r="P533" s="124"/>
      <c r="Q533" s="124"/>
      <c r="R533" s="124"/>
      <c r="S533" s="124"/>
      <c r="T533" s="124"/>
      <c r="U533" s="124"/>
      <c r="V533" s="124"/>
      <c r="W533" s="124"/>
      <c r="X533" s="124"/>
      <c r="Y533" s="124"/>
      <c r="Z533" s="124"/>
    </row>
    <row r="534" ht="29.25" customHeight="1">
      <c r="A534" s="124"/>
      <c r="B534" s="124"/>
      <c r="C534" s="124"/>
      <c r="D534" s="124"/>
      <c r="E534" s="124"/>
      <c r="F534" s="124"/>
      <c r="G534" s="124"/>
      <c r="H534" s="124"/>
      <c r="I534" s="126"/>
      <c r="J534" s="124"/>
      <c r="K534" s="124"/>
      <c r="L534" s="124"/>
      <c r="M534" s="124"/>
      <c r="N534" s="124"/>
      <c r="O534" s="124"/>
      <c r="P534" s="124"/>
      <c r="Q534" s="124"/>
      <c r="R534" s="124"/>
      <c r="S534" s="124"/>
      <c r="T534" s="124"/>
      <c r="U534" s="124"/>
      <c r="V534" s="124"/>
      <c r="W534" s="124"/>
      <c r="X534" s="124"/>
      <c r="Y534" s="124"/>
      <c r="Z534" s="124"/>
    </row>
    <row r="535" ht="29.25" customHeight="1">
      <c r="A535" s="124"/>
      <c r="B535" s="124"/>
      <c r="C535" s="124"/>
      <c r="D535" s="124"/>
      <c r="E535" s="124"/>
      <c r="F535" s="124"/>
      <c r="G535" s="124"/>
      <c r="H535" s="124"/>
      <c r="I535" s="126"/>
      <c r="J535" s="124"/>
      <c r="K535" s="124"/>
      <c r="L535" s="124"/>
      <c r="M535" s="124"/>
      <c r="N535" s="124"/>
      <c r="O535" s="124"/>
      <c r="P535" s="124"/>
      <c r="Q535" s="124"/>
      <c r="R535" s="124"/>
      <c r="S535" s="124"/>
      <c r="T535" s="124"/>
      <c r="U535" s="124"/>
      <c r="V535" s="124"/>
      <c r="W535" s="124"/>
      <c r="X535" s="124"/>
      <c r="Y535" s="124"/>
      <c r="Z535" s="124"/>
    </row>
    <row r="536" ht="29.25" customHeight="1">
      <c r="A536" s="124"/>
      <c r="B536" s="124"/>
      <c r="C536" s="124"/>
      <c r="D536" s="124"/>
      <c r="E536" s="124"/>
      <c r="F536" s="124"/>
      <c r="G536" s="124"/>
      <c r="H536" s="124"/>
      <c r="I536" s="126"/>
      <c r="J536" s="124"/>
      <c r="K536" s="124"/>
      <c r="L536" s="124"/>
      <c r="M536" s="124"/>
      <c r="N536" s="124"/>
      <c r="O536" s="124"/>
      <c r="P536" s="124"/>
      <c r="Q536" s="124"/>
      <c r="R536" s="124"/>
      <c r="S536" s="124"/>
      <c r="T536" s="124"/>
      <c r="U536" s="124"/>
      <c r="V536" s="124"/>
      <c r="W536" s="124"/>
      <c r="X536" s="124"/>
      <c r="Y536" s="124"/>
      <c r="Z536" s="124"/>
    </row>
    <row r="537" ht="29.25" customHeight="1">
      <c r="A537" s="124"/>
      <c r="B537" s="124"/>
      <c r="C537" s="124"/>
      <c r="D537" s="124"/>
      <c r="E537" s="124"/>
      <c r="F537" s="124"/>
      <c r="G537" s="124"/>
      <c r="H537" s="124"/>
      <c r="I537" s="126"/>
      <c r="J537" s="124"/>
      <c r="K537" s="124"/>
      <c r="L537" s="124"/>
      <c r="M537" s="124"/>
      <c r="N537" s="124"/>
      <c r="O537" s="124"/>
      <c r="P537" s="124"/>
      <c r="Q537" s="124"/>
      <c r="R537" s="124"/>
      <c r="S537" s="124"/>
      <c r="T537" s="124"/>
      <c r="U537" s="124"/>
      <c r="V537" s="124"/>
      <c r="W537" s="124"/>
      <c r="X537" s="124"/>
      <c r="Y537" s="124"/>
      <c r="Z537" s="124"/>
    </row>
    <row r="538" ht="29.25" customHeight="1">
      <c r="A538" s="124"/>
      <c r="B538" s="124"/>
      <c r="C538" s="124"/>
      <c r="D538" s="124"/>
      <c r="E538" s="124"/>
      <c r="F538" s="124"/>
      <c r="G538" s="124"/>
      <c r="H538" s="124"/>
      <c r="I538" s="126"/>
      <c r="J538" s="124"/>
      <c r="K538" s="124"/>
      <c r="L538" s="124"/>
      <c r="M538" s="124"/>
      <c r="N538" s="124"/>
      <c r="O538" s="124"/>
      <c r="P538" s="124"/>
      <c r="Q538" s="124"/>
      <c r="R538" s="124"/>
      <c r="S538" s="124"/>
      <c r="T538" s="124"/>
      <c r="U538" s="124"/>
      <c r="V538" s="124"/>
      <c r="W538" s="124"/>
      <c r="X538" s="124"/>
      <c r="Y538" s="124"/>
      <c r="Z538" s="124"/>
    </row>
    <row r="539" ht="29.25" customHeight="1">
      <c r="A539" s="124"/>
      <c r="B539" s="124"/>
      <c r="C539" s="124"/>
      <c r="D539" s="124"/>
      <c r="E539" s="124"/>
      <c r="F539" s="124"/>
      <c r="G539" s="124"/>
      <c r="H539" s="124"/>
      <c r="I539" s="126"/>
      <c r="J539" s="124"/>
      <c r="K539" s="124"/>
      <c r="L539" s="124"/>
      <c r="M539" s="124"/>
      <c r="N539" s="124"/>
      <c r="O539" s="124"/>
      <c r="P539" s="124"/>
      <c r="Q539" s="124"/>
      <c r="R539" s="124"/>
      <c r="S539" s="124"/>
      <c r="T539" s="124"/>
      <c r="U539" s="124"/>
      <c r="V539" s="124"/>
      <c r="W539" s="124"/>
      <c r="X539" s="124"/>
      <c r="Y539" s="124"/>
      <c r="Z539" s="124"/>
    </row>
    <row r="540" ht="29.25" customHeight="1">
      <c r="A540" s="124"/>
      <c r="B540" s="124"/>
      <c r="C540" s="124"/>
      <c r="D540" s="124"/>
      <c r="E540" s="124"/>
      <c r="F540" s="124"/>
      <c r="G540" s="124"/>
      <c r="H540" s="124"/>
      <c r="I540" s="126"/>
      <c r="J540" s="124"/>
      <c r="K540" s="124"/>
      <c r="L540" s="124"/>
      <c r="M540" s="124"/>
      <c r="N540" s="124"/>
      <c r="O540" s="124"/>
      <c r="P540" s="124"/>
      <c r="Q540" s="124"/>
      <c r="R540" s="124"/>
      <c r="S540" s="124"/>
      <c r="T540" s="124"/>
      <c r="U540" s="124"/>
      <c r="V540" s="124"/>
      <c r="W540" s="124"/>
      <c r="X540" s="124"/>
      <c r="Y540" s="124"/>
      <c r="Z540" s="124"/>
    </row>
    <row r="541" ht="29.25" customHeight="1">
      <c r="A541" s="124"/>
      <c r="B541" s="124"/>
      <c r="C541" s="124"/>
      <c r="D541" s="124"/>
      <c r="E541" s="124"/>
      <c r="F541" s="124"/>
      <c r="G541" s="124"/>
      <c r="H541" s="124"/>
      <c r="I541" s="126"/>
      <c r="J541" s="124"/>
      <c r="K541" s="124"/>
      <c r="L541" s="124"/>
      <c r="M541" s="124"/>
      <c r="N541" s="124"/>
      <c r="O541" s="124"/>
      <c r="P541" s="124"/>
      <c r="Q541" s="124"/>
      <c r="R541" s="124"/>
      <c r="S541" s="124"/>
      <c r="T541" s="124"/>
      <c r="U541" s="124"/>
      <c r="V541" s="124"/>
      <c r="W541" s="124"/>
      <c r="X541" s="124"/>
      <c r="Y541" s="124"/>
      <c r="Z541" s="124"/>
    </row>
    <row r="542" ht="29.25" customHeight="1">
      <c r="A542" s="124"/>
      <c r="B542" s="124"/>
      <c r="C542" s="124"/>
      <c r="D542" s="124"/>
      <c r="E542" s="124"/>
      <c r="F542" s="124"/>
      <c r="G542" s="124"/>
      <c r="H542" s="124"/>
      <c r="I542" s="126"/>
      <c r="J542" s="124"/>
      <c r="K542" s="124"/>
      <c r="L542" s="124"/>
      <c r="M542" s="124"/>
      <c r="N542" s="124"/>
      <c r="O542" s="124"/>
      <c r="P542" s="124"/>
      <c r="Q542" s="124"/>
      <c r="R542" s="124"/>
      <c r="S542" s="124"/>
      <c r="T542" s="124"/>
      <c r="U542" s="124"/>
      <c r="V542" s="124"/>
      <c r="W542" s="124"/>
      <c r="X542" s="124"/>
      <c r="Y542" s="124"/>
      <c r="Z542" s="124"/>
    </row>
    <row r="543" ht="29.25" customHeight="1">
      <c r="A543" s="124"/>
      <c r="B543" s="124"/>
      <c r="C543" s="124"/>
      <c r="D543" s="124"/>
      <c r="E543" s="124"/>
      <c r="F543" s="124"/>
      <c r="G543" s="124"/>
      <c r="H543" s="124"/>
      <c r="I543" s="126"/>
      <c r="J543" s="124"/>
      <c r="K543" s="124"/>
      <c r="L543" s="124"/>
      <c r="M543" s="124"/>
      <c r="N543" s="124"/>
      <c r="O543" s="124"/>
      <c r="P543" s="124"/>
      <c r="Q543" s="124"/>
      <c r="R543" s="124"/>
      <c r="S543" s="124"/>
      <c r="T543" s="124"/>
      <c r="U543" s="124"/>
      <c r="V543" s="124"/>
      <c r="W543" s="124"/>
      <c r="X543" s="124"/>
      <c r="Y543" s="124"/>
      <c r="Z543" s="124"/>
    </row>
    <row r="544" ht="29.25" customHeight="1">
      <c r="A544" s="124"/>
      <c r="B544" s="124"/>
      <c r="C544" s="124"/>
      <c r="D544" s="124"/>
      <c r="E544" s="124"/>
      <c r="F544" s="124"/>
      <c r="G544" s="124"/>
      <c r="H544" s="124"/>
      <c r="I544" s="126"/>
      <c r="J544" s="124"/>
      <c r="K544" s="124"/>
      <c r="L544" s="124"/>
      <c r="M544" s="124"/>
      <c r="N544" s="124"/>
      <c r="O544" s="124"/>
      <c r="P544" s="124"/>
      <c r="Q544" s="124"/>
      <c r="R544" s="124"/>
      <c r="S544" s="124"/>
      <c r="T544" s="124"/>
      <c r="U544" s="124"/>
      <c r="V544" s="124"/>
      <c r="W544" s="124"/>
      <c r="X544" s="124"/>
      <c r="Y544" s="124"/>
      <c r="Z544" s="124"/>
    </row>
    <row r="545" ht="29.25" customHeight="1">
      <c r="A545" s="124"/>
      <c r="B545" s="124"/>
      <c r="C545" s="124"/>
      <c r="D545" s="124"/>
      <c r="E545" s="124"/>
      <c r="F545" s="124"/>
      <c r="G545" s="124"/>
      <c r="H545" s="124"/>
      <c r="I545" s="126"/>
      <c r="J545" s="124"/>
      <c r="K545" s="124"/>
      <c r="L545" s="124"/>
      <c r="M545" s="124"/>
      <c r="N545" s="124"/>
      <c r="O545" s="124"/>
      <c r="P545" s="124"/>
      <c r="Q545" s="124"/>
      <c r="R545" s="124"/>
      <c r="S545" s="124"/>
      <c r="T545" s="124"/>
      <c r="U545" s="124"/>
      <c r="V545" s="124"/>
      <c r="W545" s="124"/>
      <c r="X545" s="124"/>
      <c r="Y545" s="124"/>
      <c r="Z545" s="124"/>
    </row>
    <row r="546" ht="29.25" customHeight="1">
      <c r="A546" s="124"/>
      <c r="B546" s="124"/>
      <c r="C546" s="124"/>
      <c r="D546" s="124"/>
      <c r="E546" s="124"/>
      <c r="F546" s="124"/>
      <c r="G546" s="124"/>
      <c r="H546" s="124"/>
      <c r="I546" s="126"/>
      <c r="J546" s="124"/>
      <c r="K546" s="124"/>
      <c r="L546" s="124"/>
      <c r="M546" s="124"/>
      <c r="N546" s="124"/>
      <c r="O546" s="124"/>
      <c r="P546" s="124"/>
      <c r="Q546" s="124"/>
      <c r="R546" s="124"/>
      <c r="S546" s="124"/>
      <c r="T546" s="124"/>
      <c r="U546" s="124"/>
      <c r="V546" s="124"/>
      <c r="W546" s="124"/>
      <c r="X546" s="124"/>
      <c r="Y546" s="124"/>
      <c r="Z546" s="124"/>
    </row>
    <row r="547" ht="29.25" customHeight="1">
      <c r="A547" s="124"/>
      <c r="B547" s="124"/>
      <c r="C547" s="124"/>
      <c r="D547" s="124"/>
      <c r="E547" s="124"/>
      <c r="F547" s="124"/>
      <c r="G547" s="124"/>
      <c r="H547" s="124"/>
      <c r="I547" s="126"/>
      <c r="J547" s="124"/>
      <c r="K547" s="124"/>
      <c r="L547" s="124"/>
      <c r="M547" s="124"/>
      <c r="N547" s="124"/>
      <c r="O547" s="124"/>
      <c r="P547" s="124"/>
      <c r="Q547" s="124"/>
      <c r="R547" s="124"/>
      <c r="S547" s="124"/>
      <c r="T547" s="124"/>
      <c r="U547" s="124"/>
      <c r="V547" s="124"/>
      <c r="W547" s="124"/>
      <c r="X547" s="124"/>
      <c r="Y547" s="124"/>
      <c r="Z547" s="124"/>
    </row>
    <row r="548" ht="29.25" customHeight="1">
      <c r="A548" s="124"/>
      <c r="B548" s="124"/>
      <c r="C548" s="124"/>
      <c r="D548" s="124"/>
      <c r="E548" s="124"/>
      <c r="F548" s="124"/>
      <c r="G548" s="124"/>
      <c r="H548" s="124"/>
      <c r="I548" s="126"/>
      <c r="J548" s="124"/>
      <c r="K548" s="124"/>
      <c r="L548" s="124"/>
      <c r="M548" s="124"/>
      <c r="N548" s="124"/>
      <c r="O548" s="124"/>
      <c r="P548" s="124"/>
      <c r="Q548" s="124"/>
      <c r="R548" s="124"/>
      <c r="S548" s="124"/>
      <c r="T548" s="124"/>
      <c r="U548" s="124"/>
      <c r="V548" s="124"/>
      <c r="W548" s="124"/>
      <c r="X548" s="124"/>
      <c r="Y548" s="124"/>
      <c r="Z548" s="124"/>
    </row>
    <row r="549" ht="29.25" customHeight="1">
      <c r="A549" s="124"/>
      <c r="B549" s="124"/>
      <c r="C549" s="124"/>
      <c r="D549" s="124"/>
      <c r="E549" s="124"/>
      <c r="F549" s="124"/>
      <c r="G549" s="124"/>
      <c r="H549" s="124"/>
      <c r="I549" s="126"/>
      <c r="J549" s="124"/>
      <c r="K549" s="124"/>
      <c r="L549" s="124"/>
      <c r="M549" s="124"/>
      <c r="N549" s="124"/>
      <c r="O549" s="124"/>
      <c r="P549" s="124"/>
      <c r="Q549" s="124"/>
      <c r="R549" s="124"/>
      <c r="S549" s="124"/>
      <c r="T549" s="124"/>
      <c r="U549" s="124"/>
      <c r="V549" s="124"/>
      <c r="W549" s="124"/>
      <c r="X549" s="124"/>
      <c r="Y549" s="124"/>
      <c r="Z549" s="124"/>
    </row>
    <row r="550" ht="29.25" customHeight="1">
      <c r="A550" s="124"/>
      <c r="B550" s="124"/>
      <c r="C550" s="124"/>
      <c r="D550" s="124"/>
      <c r="E550" s="124"/>
      <c r="F550" s="124"/>
      <c r="G550" s="124"/>
      <c r="H550" s="124"/>
      <c r="I550" s="126"/>
      <c r="J550" s="124"/>
      <c r="K550" s="124"/>
      <c r="L550" s="124"/>
      <c r="M550" s="124"/>
      <c r="N550" s="124"/>
      <c r="O550" s="124"/>
      <c r="P550" s="124"/>
      <c r="Q550" s="124"/>
      <c r="R550" s="124"/>
      <c r="S550" s="124"/>
      <c r="T550" s="124"/>
      <c r="U550" s="124"/>
      <c r="V550" s="124"/>
      <c r="W550" s="124"/>
      <c r="X550" s="124"/>
      <c r="Y550" s="124"/>
      <c r="Z550" s="124"/>
    </row>
    <row r="551" ht="29.25" customHeight="1">
      <c r="A551" s="124"/>
      <c r="B551" s="124"/>
      <c r="C551" s="124"/>
      <c r="D551" s="124"/>
      <c r="E551" s="124"/>
      <c r="F551" s="124"/>
      <c r="G551" s="124"/>
      <c r="H551" s="124"/>
      <c r="I551" s="126"/>
      <c r="J551" s="124"/>
      <c r="K551" s="124"/>
      <c r="L551" s="124"/>
      <c r="M551" s="124"/>
      <c r="N551" s="124"/>
      <c r="O551" s="124"/>
      <c r="P551" s="124"/>
      <c r="Q551" s="124"/>
      <c r="R551" s="124"/>
      <c r="S551" s="124"/>
      <c r="T551" s="124"/>
      <c r="U551" s="124"/>
      <c r="V551" s="124"/>
      <c r="W551" s="124"/>
      <c r="X551" s="124"/>
      <c r="Y551" s="124"/>
      <c r="Z551" s="124"/>
    </row>
    <row r="552" ht="29.25" customHeight="1">
      <c r="A552" s="124"/>
      <c r="B552" s="124"/>
      <c r="C552" s="124"/>
      <c r="D552" s="124"/>
      <c r="E552" s="124"/>
      <c r="F552" s="124"/>
      <c r="G552" s="124"/>
      <c r="H552" s="124"/>
      <c r="I552" s="126"/>
      <c r="J552" s="124"/>
      <c r="K552" s="124"/>
      <c r="L552" s="124"/>
      <c r="M552" s="124"/>
      <c r="N552" s="124"/>
      <c r="O552" s="124"/>
      <c r="P552" s="124"/>
      <c r="Q552" s="124"/>
      <c r="R552" s="124"/>
      <c r="S552" s="124"/>
      <c r="T552" s="124"/>
      <c r="U552" s="124"/>
      <c r="V552" s="124"/>
      <c r="W552" s="124"/>
      <c r="X552" s="124"/>
      <c r="Y552" s="124"/>
      <c r="Z552" s="124"/>
    </row>
    <row r="553" ht="29.25" customHeight="1">
      <c r="A553" s="124"/>
      <c r="B553" s="124"/>
      <c r="C553" s="124"/>
      <c r="D553" s="124"/>
      <c r="E553" s="124"/>
      <c r="F553" s="124"/>
      <c r="G553" s="124"/>
      <c r="H553" s="124"/>
      <c r="I553" s="126"/>
      <c r="J553" s="124"/>
      <c r="K553" s="124"/>
      <c r="L553" s="124"/>
      <c r="M553" s="124"/>
      <c r="N553" s="124"/>
      <c r="O553" s="124"/>
      <c r="P553" s="124"/>
      <c r="Q553" s="124"/>
      <c r="R553" s="124"/>
      <c r="S553" s="124"/>
      <c r="T553" s="124"/>
      <c r="U553" s="124"/>
      <c r="V553" s="124"/>
      <c r="W553" s="124"/>
      <c r="X553" s="124"/>
      <c r="Y553" s="124"/>
      <c r="Z553" s="124"/>
    </row>
    <row r="554" ht="29.25" customHeight="1">
      <c r="A554" s="124"/>
      <c r="B554" s="124"/>
      <c r="C554" s="124"/>
      <c r="D554" s="124"/>
      <c r="E554" s="124"/>
      <c r="F554" s="124"/>
      <c r="G554" s="124"/>
      <c r="H554" s="124"/>
      <c r="I554" s="126"/>
      <c r="J554" s="124"/>
      <c r="K554" s="124"/>
      <c r="L554" s="124"/>
      <c r="M554" s="124"/>
      <c r="N554" s="124"/>
      <c r="O554" s="124"/>
      <c r="P554" s="124"/>
      <c r="Q554" s="124"/>
      <c r="R554" s="124"/>
      <c r="S554" s="124"/>
      <c r="T554" s="124"/>
      <c r="U554" s="124"/>
      <c r="V554" s="124"/>
      <c r="W554" s="124"/>
      <c r="X554" s="124"/>
      <c r="Y554" s="124"/>
      <c r="Z554" s="124"/>
    </row>
    <row r="555" ht="29.25" customHeight="1">
      <c r="A555" s="124"/>
      <c r="B555" s="124"/>
      <c r="C555" s="124"/>
      <c r="D555" s="124"/>
      <c r="E555" s="124"/>
      <c r="F555" s="124"/>
      <c r="G555" s="124"/>
      <c r="H555" s="124"/>
      <c r="I555" s="126"/>
      <c r="J555" s="124"/>
      <c r="K555" s="124"/>
      <c r="L555" s="124"/>
      <c r="M555" s="124"/>
      <c r="N555" s="124"/>
      <c r="O555" s="124"/>
      <c r="P555" s="124"/>
      <c r="Q555" s="124"/>
      <c r="R555" s="124"/>
      <c r="S555" s="124"/>
      <c r="T555" s="124"/>
      <c r="U555" s="124"/>
      <c r="V555" s="124"/>
      <c r="W555" s="124"/>
      <c r="X555" s="124"/>
      <c r="Y555" s="124"/>
      <c r="Z555" s="124"/>
    </row>
    <row r="556" ht="29.25" customHeight="1">
      <c r="A556" s="124"/>
      <c r="B556" s="124"/>
      <c r="C556" s="124"/>
      <c r="D556" s="124"/>
      <c r="E556" s="124"/>
      <c r="F556" s="124"/>
      <c r="G556" s="124"/>
      <c r="H556" s="124"/>
      <c r="I556" s="126"/>
      <c r="J556" s="124"/>
      <c r="K556" s="124"/>
      <c r="L556" s="124"/>
      <c r="M556" s="124"/>
      <c r="N556" s="124"/>
      <c r="O556" s="124"/>
      <c r="P556" s="124"/>
      <c r="Q556" s="124"/>
      <c r="R556" s="124"/>
      <c r="S556" s="124"/>
      <c r="T556" s="124"/>
      <c r="U556" s="124"/>
      <c r="V556" s="124"/>
      <c r="W556" s="124"/>
      <c r="X556" s="124"/>
      <c r="Y556" s="124"/>
      <c r="Z556" s="124"/>
    </row>
    <row r="557" ht="29.25" customHeight="1">
      <c r="A557" s="124"/>
      <c r="B557" s="124"/>
      <c r="C557" s="124"/>
      <c r="D557" s="124"/>
      <c r="E557" s="124"/>
      <c r="F557" s="124"/>
      <c r="G557" s="124"/>
      <c r="H557" s="124"/>
      <c r="I557" s="126"/>
      <c r="J557" s="124"/>
      <c r="K557" s="124"/>
      <c r="L557" s="124"/>
      <c r="M557" s="124"/>
      <c r="N557" s="124"/>
      <c r="O557" s="124"/>
      <c r="P557" s="124"/>
      <c r="Q557" s="124"/>
      <c r="R557" s="124"/>
      <c r="S557" s="124"/>
      <c r="T557" s="124"/>
      <c r="U557" s="124"/>
      <c r="V557" s="124"/>
      <c r="W557" s="124"/>
      <c r="X557" s="124"/>
      <c r="Y557" s="124"/>
      <c r="Z557" s="124"/>
    </row>
    <row r="558" ht="29.25" customHeight="1">
      <c r="A558" s="124"/>
      <c r="B558" s="124"/>
      <c r="C558" s="124"/>
      <c r="D558" s="124"/>
      <c r="E558" s="124"/>
      <c r="F558" s="124"/>
      <c r="G558" s="124"/>
      <c r="H558" s="124"/>
      <c r="I558" s="126"/>
      <c r="J558" s="124"/>
      <c r="K558" s="124"/>
      <c r="L558" s="124"/>
      <c r="M558" s="124"/>
      <c r="N558" s="124"/>
      <c r="O558" s="124"/>
      <c r="P558" s="124"/>
      <c r="Q558" s="124"/>
      <c r="R558" s="124"/>
      <c r="S558" s="124"/>
      <c r="T558" s="124"/>
      <c r="U558" s="124"/>
      <c r="V558" s="124"/>
      <c r="W558" s="124"/>
      <c r="X558" s="124"/>
      <c r="Y558" s="124"/>
      <c r="Z558" s="124"/>
    </row>
    <row r="559" ht="29.25" customHeight="1">
      <c r="A559" s="124"/>
      <c r="B559" s="124"/>
      <c r="C559" s="124"/>
      <c r="D559" s="124"/>
      <c r="E559" s="124"/>
      <c r="F559" s="124"/>
      <c r="G559" s="124"/>
      <c r="H559" s="124"/>
      <c r="I559" s="126"/>
      <c r="J559" s="124"/>
      <c r="K559" s="124"/>
      <c r="L559" s="124"/>
      <c r="M559" s="124"/>
      <c r="N559" s="124"/>
      <c r="O559" s="124"/>
      <c r="P559" s="124"/>
      <c r="Q559" s="124"/>
      <c r="R559" s="124"/>
      <c r="S559" s="124"/>
      <c r="T559" s="124"/>
      <c r="U559" s="124"/>
      <c r="V559" s="124"/>
      <c r="W559" s="124"/>
      <c r="X559" s="124"/>
      <c r="Y559" s="124"/>
      <c r="Z559" s="124"/>
    </row>
    <row r="560" ht="29.25" customHeight="1">
      <c r="A560" s="124"/>
      <c r="B560" s="124"/>
      <c r="C560" s="124"/>
      <c r="D560" s="124"/>
      <c r="E560" s="124"/>
      <c r="F560" s="124"/>
      <c r="G560" s="124"/>
      <c r="H560" s="124"/>
      <c r="I560" s="126"/>
      <c r="J560" s="124"/>
      <c r="K560" s="124"/>
      <c r="L560" s="124"/>
      <c r="M560" s="124"/>
      <c r="N560" s="124"/>
      <c r="O560" s="124"/>
      <c r="P560" s="124"/>
      <c r="Q560" s="124"/>
      <c r="R560" s="124"/>
      <c r="S560" s="124"/>
      <c r="T560" s="124"/>
      <c r="U560" s="124"/>
      <c r="V560" s="124"/>
      <c r="W560" s="124"/>
      <c r="X560" s="124"/>
      <c r="Y560" s="124"/>
      <c r="Z560" s="124"/>
    </row>
    <row r="561" ht="29.25" customHeight="1">
      <c r="A561" s="124"/>
      <c r="B561" s="124"/>
      <c r="C561" s="124"/>
      <c r="D561" s="124"/>
      <c r="E561" s="124"/>
      <c r="F561" s="124"/>
      <c r="G561" s="124"/>
      <c r="H561" s="124"/>
      <c r="I561" s="126"/>
      <c r="J561" s="124"/>
      <c r="K561" s="124"/>
      <c r="L561" s="124"/>
      <c r="M561" s="124"/>
      <c r="N561" s="124"/>
      <c r="O561" s="124"/>
      <c r="P561" s="124"/>
      <c r="Q561" s="124"/>
      <c r="R561" s="124"/>
      <c r="S561" s="124"/>
      <c r="T561" s="124"/>
      <c r="U561" s="124"/>
      <c r="V561" s="124"/>
      <c r="W561" s="124"/>
      <c r="X561" s="124"/>
      <c r="Y561" s="124"/>
      <c r="Z561" s="124"/>
    </row>
    <row r="562" ht="29.25" customHeight="1">
      <c r="A562" s="124"/>
      <c r="B562" s="124"/>
      <c r="C562" s="124"/>
      <c r="D562" s="124"/>
      <c r="E562" s="124"/>
      <c r="F562" s="124"/>
      <c r="G562" s="124"/>
      <c r="H562" s="124"/>
      <c r="I562" s="126"/>
      <c r="J562" s="124"/>
      <c r="K562" s="124"/>
      <c r="L562" s="124"/>
      <c r="M562" s="124"/>
      <c r="N562" s="124"/>
      <c r="O562" s="124"/>
      <c r="P562" s="124"/>
      <c r="Q562" s="124"/>
      <c r="R562" s="124"/>
      <c r="S562" s="124"/>
      <c r="T562" s="124"/>
      <c r="U562" s="124"/>
      <c r="V562" s="124"/>
      <c r="W562" s="124"/>
      <c r="X562" s="124"/>
      <c r="Y562" s="124"/>
      <c r="Z562" s="124"/>
    </row>
    <row r="563" ht="29.25" customHeight="1">
      <c r="A563" s="124"/>
      <c r="B563" s="124"/>
      <c r="C563" s="124"/>
      <c r="D563" s="124"/>
      <c r="E563" s="124"/>
      <c r="F563" s="124"/>
      <c r="G563" s="124"/>
      <c r="H563" s="124"/>
      <c r="I563" s="126"/>
      <c r="J563" s="124"/>
      <c r="K563" s="124"/>
      <c r="L563" s="124"/>
      <c r="M563" s="124"/>
      <c r="N563" s="124"/>
      <c r="O563" s="124"/>
      <c r="P563" s="124"/>
      <c r="Q563" s="124"/>
      <c r="R563" s="124"/>
      <c r="S563" s="124"/>
      <c r="T563" s="124"/>
      <c r="U563" s="124"/>
      <c r="V563" s="124"/>
      <c r="W563" s="124"/>
      <c r="X563" s="124"/>
      <c r="Y563" s="124"/>
      <c r="Z563" s="124"/>
    </row>
    <row r="564" ht="29.25" customHeight="1">
      <c r="A564" s="124"/>
      <c r="B564" s="124"/>
      <c r="C564" s="124"/>
      <c r="D564" s="124"/>
      <c r="E564" s="124"/>
      <c r="F564" s="124"/>
      <c r="G564" s="124"/>
      <c r="H564" s="124"/>
      <c r="I564" s="126"/>
      <c r="J564" s="124"/>
      <c r="K564" s="124"/>
      <c r="L564" s="124"/>
      <c r="M564" s="124"/>
      <c r="N564" s="124"/>
      <c r="O564" s="124"/>
      <c r="P564" s="124"/>
      <c r="Q564" s="124"/>
      <c r="R564" s="124"/>
      <c r="S564" s="124"/>
      <c r="T564" s="124"/>
      <c r="U564" s="124"/>
      <c r="V564" s="124"/>
      <c r="W564" s="124"/>
      <c r="X564" s="124"/>
      <c r="Y564" s="124"/>
      <c r="Z564" s="124"/>
    </row>
    <row r="565" ht="29.25" customHeight="1">
      <c r="A565" s="124"/>
      <c r="B565" s="124"/>
      <c r="C565" s="124"/>
      <c r="D565" s="124"/>
      <c r="E565" s="124"/>
      <c r="F565" s="124"/>
      <c r="G565" s="124"/>
      <c r="H565" s="124"/>
      <c r="I565" s="126"/>
      <c r="J565" s="124"/>
      <c r="K565" s="124"/>
      <c r="L565" s="124"/>
      <c r="M565" s="124"/>
      <c r="N565" s="124"/>
      <c r="O565" s="124"/>
      <c r="P565" s="124"/>
      <c r="Q565" s="124"/>
      <c r="R565" s="124"/>
      <c r="S565" s="124"/>
      <c r="T565" s="124"/>
      <c r="U565" s="124"/>
      <c r="V565" s="124"/>
      <c r="W565" s="124"/>
      <c r="X565" s="124"/>
      <c r="Y565" s="124"/>
      <c r="Z565" s="124"/>
    </row>
    <row r="566" ht="29.25" customHeight="1">
      <c r="A566" s="124"/>
      <c r="B566" s="124"/>
      <c r="C566" s="124"/>
      <c r="D566" s="124"/>
      <c r="E566" s="124"/>
      <c r="F566" s="124"/>
      <c r="G566" s="124"/>
      <c r="H566" s="124"/>
      <c r="I566" s="126"/>
      <c r="J566" s="124"/>
      <c r="K566" s="124"/>
      <c r="L566" s="124"/>
      <c r="M566" s="124"/>
      <c r="N566" s="124"/>
      <c r="O566" s="124"/>
      <c r="P566" s="124"/>
      <c r="Q566" s="124"/>
      <c r="R566" s="124"/>
      <c r="S566" s="124"/>
      <c r="T566" s="124"/>
      <c r="U566" s="124"/>
      <c r="V566" s="124"/>
      <c r="W566" s="124"/>
      <c r="X566" s="124"/>
      <c r="Y566" s="124"/>
      <c r="Z566" s="124"/>
    </row>
    <row r="567" ht="29.25" customHeight="1">
      <c r="A567" s="124"/>
      <c r="B567" s="124"/>
      <c r="C567" s="124"/>
      <c r="D567" s="124"/>
      <c r="E567" s="124"/>
      <c r="F567" s="124"/>
      <c r="G567" s="124"/>
      <c r="H567" s="124"/>
      <c r="I567" s="126"/>
      <c r="J567" s="124"/>
      <c r="K567" s="124"/>
      <c r="L567" s="124"/>
      <c r="M567" s="124"/>
      <c r="N567" s="124"/>
      <c r="O567" s="124"/>
      <c r="P567" s="124"/>
      <c r="Q567" s="124"/>
      <c r="R567" s="124"/>
      <c r="S567" s="124"/>
      <c r="T567" s="124"/>
      <c r="U567" s="124"/>
      <c r="V567" s="124"/>
      <c r="W567" s="124"/>
      <c r="X567" s="124"/>
      <c r="Y567" s="124"/>
      <c r="Z567" s="124"/>
    </row>
    <row r="568" ht="29.25" customHeight="1">
      <c r="A568" s="124"/>
      <c r="B568" s="124"/>
      <c r="C568" s="124"/>
      <c r="D568" s="124"/>
      <c r="E568" s="124"/>
      <c r="F568" s="124"/>
      <c r="G568" s="124"/>
      <c r="H568" s="124"/>
      <c r="I568" s="126"/>
      <c r="J568" s="124"/>
      <c r="K568" s="124"/>
      <c r="L568" s="124"/>
      <c r="M568" s="124"/>
      <c r="N568" s="124"/>
      <c r="O568" s="124"/>
      <c r="P568" s="124"/>
      <c r="Q568" s="124"/>
      <c r="R568" s="124"/>
      <c r="S568" s="124"/>
      <c r="T568" s="124"/>
      <c r="U568" s="124"/>
      <c r="V568" s="124"/>
      <c r="W568" s="124"/>
      <c r="X568" s="124"/>
      <c r="Y568" s="124"/>
      <c r="Z568" s="124"/>
    </row>
    <row r="569" ht="29.25" customHeight="1">
      <c r="A569" s="124"/>
      <c r="B569" s="124"/>
      <c r="C569" s="124"/>
      <c r="D569" s="124"/>
      <c r="E569" s="124"/>
      <c r="F569" s="124"/>
      <c r="G569" s="124"/>
      <c r="H569" s="124"/>
      <c r="I569" s="126"/>
      <c r="J569" s="124"/>
      <c r="K569" s="124"/>
      <c r="L569" s="124"/>
      <c r="M569" s="124"/>
      <c r="N569" s="124"/>
      <c r="O569" s="124"/>
      <c r="P569" s="124"/>
      <c r="Q569" s="124"/>
      <c r="R569" s="124"/>
      <c r="S569" s="124"/>
      <c r="T569" s="124"/>
      <c r="U569" s="124"/>
      <c r="V569" s="124"/>
      <c r="W569" s="124"/>
      <c r="X569" s="124"/>
      <c r="Y569" s="124"/>
      <c r="Z569" s="124"/>
    </row>
    <row r="570" ht="29.25" customHeight="1">
      <c r="A570" s="124"/>
      <c r="B570" s="124"/>
      <c r="C570" s="124"/>
      <c r="D570" s="124"/>
      <c r="E570" s="124"/>
      <c r="F570" s="124"/>
      <c r="G570" s="124"/>
      <c r="H570" s="124"/>
      <c r="I570" s="126"/>
      <c r="J570" s="124"/>
      <c r="K570" s="124"/>
      <c r="L570" s="124"/>
      <c r="M570" s="124"/>
      <c r="N570" s="124"/>
      <c r="O570" s="124"/>
      <c r="P570" s="124"/>
      <c r="Q570" s="124"/>
      <c r="R570" s="124"/>
      <c r="S570" s="124"/>
      <c r="T570" s="124"/>
      <c r="U570" s="124"/>
      <c r="V570" s="124"/>
      <c r="W570" s="124"/>
      <c r="X570" s="124"/>
      <c r="Y570" s="124"/>
      <c r="Z570" s="124"/>
    </row>
    <row r="571" ht="29.25" customHeight="1">
      <c r="A571" s="124"/>
      <c r="B571" s="124"/>
      <c r="C571" s="124"/>
      <c r="D571" s="124"/>
      <c r="E571" s="124"/>
      <c r="F571" s="124"/>
      <c r="G571" s="124"/>
      <c r="H571" s="124"/>
      <c r="I571" s="126"/>
      <c r="J571" s="124"/>
      <c r="K571" s="124"/>
      <c r="L571" s="124"/>
      <c r="M571" s="124"/>
      <c r="N571" s="124"/>
      <c r="O571" s="124"/>
      <c r="P571" s="124"/>
      <c r="Q571" s="124"/>
      <c r="R571" s="124"/>
      <c r="S571" s="124"/>
      <c r="T571" s="124"/>
      <c r="U571" s="124"/>
      <c r="V571" s="124"/>
      <c r="W571" s="124"/>
      <c r="X571" s="124"/>
      <c r="Y571" s="124"/>
      <c r="Z571" s="124"/>
    </row>
    <row r="572" ht="29.25" customHeight="1">
      <c r="A572" s="124"/>
      <c r="B572" s="124"/>
      <c r="C572" s="124"/>
      <c r="D572" s="124"/>
      <c r="E572" s="124"/>
      <c r="F572" s="124"/>
      <c r="G572" s="124"/>
      <c r="H572" s="124"/>
      <c r="I572" s="126"/>
      <c r="J572" s="124"/>
      <c r="K572" s="124"/>
      <c r="L572" s="124"/>
      <c r="M572" s="124"/>
      <c r="N572" s="124"/>
      <c r="O572" s="124"/>
      <c r="P572" s="124"/>
      <c r="Q572" s="124"/>
      <c r="R572" s="124"/>
      <c r="S572" s="124"/>
      <c r="T572" s="124"/>
      <c r="U572" s="124"/>
      <c r="V572" s="124"/>
      <c r="W572" s="124"/>
      <c r="X572" s="124"/>
      <c r="Y572" s="124"/>
      <c r="Z572" s="124"/>
    </row>
    <row r="573" ht="29.25" customHeight="1">
      <c r="A573" s="124"/>
      <c r="B573" s="124"/>
      <c r="C573" s="124"/>
      <c r="D573" s="124"/>
      <c r="E573" s="124"/>
      <c r="F573" s="124"/>
      <c r="G573" s="124"/>
      <c r="H573" s="124"/>
      <c r="I573" s="126"/>
      <c r="J573" s="124"/>
      <c r="K573" s="124"/>
      <c r="L573" s="124"/>
      <c r="M573" s="124"/>
      <c r="N573" s="124"/>
      <c r="O573" s="124"/>
      <c r="P573" s="124"/>
      <c r="Q573" s="124"/>
      <c r="R573" s="124"/>
      <c r="S573" s="124"/>
      <c r="T573" s="124"/>
      <c r="U573" s="124"/>
      <c r="V573" s="124"/>
      <c r="W573" s="124"/>
      <c r="X573" s="124"/>
      <c r="Y573" s="124"/>
      <c r="Z573" s="124"/>
    </row>
    <row r="574" ht="29.25" customHeight="1">
      <c r="A574" s="124"/>
      <c r="B574" s="124"/>
      <c r="C574" s="124"/>
      <c r="D574" s="124"/>
      <c r="E574" s="124"/>
      <c r="F574" s="124"/>
      <c r="G574" s="124"/>
      <c r="H574" s="124"/>
      <c r="I574" s="126"/>
      <c r="J574" s="124"/>
      <c r="K574" s="124"/>
      <c r="L574" s="124"/>
      <c r="M574" s="124"/>
      <c r="N574" s="124"/>
      <c r="O574" s="124"/>
      <c r="P574" s="124"/>
      <c r="Q574" s="124"/>
      <c r="R574" s="124"/>
      <c r="S574" s="124"/>
      <c r="T574" s="124"/>
      <c r="U574" s="124"/>
      <c r="V574" s="124"/>
      <c r="W574" s="124"/>
      <c r="X574" s="124"/>
      <c r="Y574" s="124"/>
      <c r="Z574" s="124"/>
    </row>
    <row r="575" ht="29.25" customHeight="1">
      <c r="A575" s="124"/>
      <c r="B575" s="124"/>
      <c r="C575" s="124"/>
      <c r="D575" s="124"/>
      <c r="E575" s="124"/>
      <c r="F575" s="124"/>
      <c r="G575" s="124"/>
      <c r="H575" s="124"/>
      <c r="I575" s="126"/>
      <c r="J575" s="124"/>
      <c r="K575" s="124"/>
      <c r="L575" s="124"/>
      <c r="M575" s="124"/>
      <c r="N575" s="124"/>
      <c r="O575" s="124"/>
      <c r="P575" s="124"/>
      <c r="Q575" s="124"/>
      <c r="R575" s="124"/>
      <c r="S575" s="124"/>
      <c r="T575" s="124"/>
      <c r="U575" s="124"/>
      <c r="V575" s="124"/>
      <c r="W575" s="124"/>
      <c r="X575" s="124"/>
      <c r="Y575" s="124"/>
      <c r="Z575" s="124"/>
    </row>
    <row r="576" ht="29.25" customHeight="1">
      <c r="A576" s="124"/>
      <c r="B576" s="124"/>
      <c r="C576" s="124"/>
      <c r="D576" s="124"/>
      <c r="E576" s="124"/>
      <c r="F576" s="124"/>
      <c r="G576" s="124"/>
      <c r="H576" s="124"/>
      <c r="I576" s="126"/>
      <c r="J576" s="124"/>
      <c r="K576" s="124"/>
      <c r="L576" s="124"/>
      <c r="M576" s="124"/>
      <c r="N576" s="124"/>
      <c r="O576" s="124"/>
      <c r="P576" s="124"/>
      <c r="Q576" s="124"/>
      <c r="R576" s="124"/>
      <c r="S576" s="124"/>
      <c r="T576" s="124"/>
      <c r="U576" s="124"/>
      <c r="V576" s="124"/>
      <c r="W576" s="124"/>
      <c r="X576" s="124"/>
      <c r="Y576" s="124"/>
      <c r="Z576" s="124"/>
    </row>
    <row r="577" ht="29.25" customHeight="1">
      <c r="A577" s="124"/>
      <c r="B577" s="124"/>
      <c r="C577" s="124"/>
      <c r="D577" s="124"/>
      <c r="E577" s="124"/>
      <c r="F577" s="124"/>
      <c r="G577" s="124"/>
      <c r="H577" s="124"/>
      <c r="I577" s="126"/>
      <c r="J577" s="124"/>
      <c r="K577" s="124"/>
      <c r="L577" s="124"/>
      <c r="M577" s="124"/>
      <c r="N577" s="124"/>
      <c r="O577" s="124"/>
      <c r="P577" s="124"/>
      <c r="Q577" s="124"/>
      <c r="R577" s="124"/>
      <c r="S577" s="124"/>
      <c r="T577" s="124"/>
      <c r="U577" s="124"/>
      <c r="V577" s="124"/>
      <c r="W577" s="124"/>
      <c r="X577" s="124"/>
      <c r="Y577" s="124"/>
      <c r="Z577" s="124"/>
    </row>
    <row r="578" ht="29.25" customHeight="1">
      <c r="A578" s="124"/>
      <c r="B578" s="124"/>
      <c r="C578" s="124"/>
      <c r="D578" s="124"/>
      <c r="E578" s="124"/>
      <c r="F578" s="124"/>
      <c r="G578" s="124"/>
      <c r="H578" s="124"/>
      <c r="I578" s="126"/>
      <c r="J578" s="124"/>
      <c r="K578" s="124"/>
      <c r="L578" s="124"/>
      <c r="M578" s="124"/>
      <c r="N578" s="124"/>
      <c r="O578" s="124"/>
      <c r="P578" s="124"/>
      <c r="Q578" s="124"/>
      <c r="R578" s="124"/>
      <c r="S578" s="124"/>
      <c r="T578" s="124"/>
      <c r="U578" s="124"/>
      <c r="V578" s="124"/>
      <c r="W578" s="124"/>
      <c r="X578" s="124"/>
      <c r="Y578" s="124"/>
      <c r="Z578" s="124"/>
    </row>
    <row r="579" ht="29.25" customHeight="1">
      <c r="A579" s="124"/>
      <c r="B579" s="124"/>
      <c r="C579" s="124"/>
      <c r="D579" s="124"/>
      <c r="E579" s="124"/>
      <c r="F579" s="124"/>
      <c r="G579" s="124"/>
      <c r="H579" s="124"/>
      <c r="I579" s="126"/>
      <c r="J579" s="124"/>
      <c r="K579" s="124"/>
      <c r="L579" s="124"/>
      <c r="M579" s="124"/>
      <c r="N579" s="124"/>
      <c r="O579" s="124"/>
      <c r="P579" s="124"/>
      <c r="Q579" s="124"/>
      <c r="R579" s="124"/>
      <c r="S579" s="124"/>
      <c r="T579" s="124"/>
      <c r="U579" s="124"/>
      <c r="V579" s="124"/>
      <c r="W579" s="124"/>
      <c r="X579" s="124"/>
      <c r="Y579" s="124"/>
      <c r="Z579" s="124"/>
    </row>
    <row r="580" ht="29.25" customHeight="1">
      <c r="A580" s="124"/>
      <c r="B580" s="124"/>
      <c r="C580" s="124"/>
      <c r="D580" s="124"/>
      <c r="E580" s="124"/>
      <c r="F580" s="124"/>
      <c r="G580" s="124"/>
      <c r="H580" s="124"/>
      <c r="I580" s="126"/>
      <c r="J580" s="124"/>
      <c r="K580" s="124"/>
      <c r="L580" s="124"/>
      <c r="M580" s="124"/>
      <c r="N580" s="124"/>
      <c r="O580" s="124"/>
      <c r="P580" s="124"/>
      <c r="Q580" s="124"/>
      <c r="R580" s="124"/>
      <c r="S580" s="124"/>
      <c r="T580" s="124"/>
      <c r="U580" s="124"/>
      <c r="V580" s="124"/>
      <c r="W580" s="124"/>
      <c r="X580" s="124"/>
      <c r="Y580" s="124"/>
      <c r="Z580" s="124"/>
    </row>
    <row r="581" ht="29.25" customHeight="1">
      <c r="A581" s="124"/>
      <c r="B581" s="124"/>
      <c r="C581" s="124"/>
      <c r="D581" s="124"/>
      <c r="E581" s="124"/>
      <c r="F581" s="124"/>
      <c r="G581" s="124"/>
      <c r="H581" s="124"/>
      <c r="I581" s="126"/>
      <c r="J581" s="124"/>
      <c r="K581" s="124"/>
      <c r="L581" s="124"/>
      <c r="M581" s="124"/>
      <c r="N581" s="124"/>
      <c r="O581" s="124"/>
      <c r="P581" s="124"/>
      <c r="Q581" s="124"/>
      <c r="R581" s="124"/>
      <c r="S581" s="124"/>
      <c r="T581" s="124"/>
      <c r="U581" s="124"/>
      <c r="V581" s="124"/>
      <c r="W581" s="124"/>
      <c r="X581" s="124"/>
      <c r="Y581" s="124"/>
      <c r="Z581" s="124"/>
    </row>
    <row r="582" ht="29.25" customHeight="1">
      <c r="A582" s="124"/>
      <c r="B582" s="124"/>
      <c r="C582" s="124"/>
      <c r="D582" s="124"/>
      <c r="E582" s="124"/>
      <c r="F582" s="124"/>
      <c r="G582" s="124"/>
      <c r="H582" s="124"/>
      <c r="I582" s="126"/>
      <c r="J582" s="124"/>
      <c r="K582" s="124"/>
      <c r="L582" s="124"/>
      <c r="M582" s="124"/>
      <c r="N582" s="124"/>
      <c r="O582" s="124"/>
      <c r="P582" s="124"/>
      <c r="Q582" s="124"/>
      <c r="R582" s="124"/>
      <c r="S582" s="124"/>
      <c r="T582" s="124"/>
      <c r="U582" s="124"/>
      <c r="V582" s="124"/>
      <c r="W582" s="124"/>
      <c r="X582" s="124"/>
      <c r="Y582" s="124"/>
      <c r="Z582" s="124"/>
    </row>
    <row r="583" ht="29.25" customHeight="1">
      <c r="A583" s="124"/>
      <c r="B583" s="124"/>
      <c r="C583" s="124"/>
      <c r="D583" s="124"/>
      <c r="E583" s="124"/>
      <c r="F583" s="124"/>
      <c r="G583" s="124"/>
      <c r="H583" s="124"/>
      <c r="I583" s="126"/>
      <c r="J583" s="124"/>
      <c r="K583" s="124"/>
      <c r="L583" s="124"/>
      <c r="M583" s="124"/>
      <c r="N583" s="124"/>
      <c r="O583" s="124"/>
      <c r="P583" s="124"/>
      <c r="Q583" s="124"/>
      <c r="R583" s="124"/>
      <c r="S583" s="124"/>
      <c r="T583" s="124"/>
      <c r="U583" s="124"/>
      <c r="V583" s="124"/>
      <c r="W583" s="124"/>
      <c r="X583" s="124"/>
      <c r="Y583" s="124"/>
      <c r="Z583" s="124"/>
    </row>
    <row r="584" ht="29.25" customHeight="1">
      <c r="A584" s="124"/>
      <c r="B584" s="124"/>
      <c r="C584" s="124"/>
      <c r="D584" s="124"/>
      <c r="E584" s="124"/>
      <c r="F584" s="124"/>
      <c r="G584" s="124"/>
      <c r="H584" s="124"/>
      <c r="I584" s="126"/>
      <c r="J584" s="124"/>
      <c r="K584" s="124"/>
      <c r="L584" s="124"/>
      <c r="M584" s="124"/>
      <c r="N584" s="124"/>
      <c r="O584" s="124"/>
      <c r="P584" s="124"/>
      <c r="Q584" s="124"/>
      <c r="R584" s="124"/>
      <c r="S584" s="124"/>
      <c r="T584" s="124"/>
      <c r="U584" s="124"/>
      <c r="V584" s="124"/>
      <c r="W584" s="124"/>
      <c r="X584" s="124"/>
      <c r="Y584" s="124"/>
      <c r="Z584" s="124"/>
    </row>
    <row r="585" ht="29.25" customHeight="1">
      <c r="A585" s="124"/>
      <c r="B585" s="124"/>
      <c r="C585" s="124"/>
      <c r="D585" s="124"/>
      <c r="E585" s="124"/>
      <c r="F585" s="124"/>
      <c r="G585" s="124"/>
      <c r="H585" s="124"/>
      <c r="I585" s="126"/>
      <c r="J585" s="124"/>
      <c r="K585" s="124"/>
      <c r="L585" s="124"/>
      <c r="M585" s="124"/>
      <c r="N585" s="124"/>
      <c r="O585" s="124"/>
      <c r="P585" s="124"/>
      <c r="Q585" s="124"/>
      <c r="R585" s="124"/>
      <c r="S585" s="124"/>
      <c r="T585" s="124"/>
      <c r="U585" s="124"/>
      <c r="V585" s="124"/>
      <c r="W585" s="124"/>
      <c r="X585" s="124"/>
      <c r="Y585" s="124"/>
      <c r="Z585" s="124"/>
    </row>
    <row r="586" ht="29.25" customHeight="1">
      <c r="A586" s="124"/>
      <c r="B586" s="124"/>
      <c r="C586" s="124"/>
      <c r="D586" s="124"/>
      <c r="E586" s="124"/>
      <c r="F586" s="124"/>
      <c r="G586" s="124"/>
      <c r="H586" s="124"/>
      <c r="I586" s="126"/>
      <c r="J586" s="124"/>
      <c r="K586" s="124"/>
      <c r="L586" s="124"/>
      <c r="M586" s="124"/>
      <c r="N586" s="124"/>
      <c r="O586" s="124"/>
      <c r="P586" s="124"/>
      <c r="Q586" s="124"/>
      <c r="R586" s="124"/>
      <c r="S586" s="124"/>
      <c r="T586" s="124"/>
      <c r="U586" s="124"/>
      <c r="V586" s="124"/>
      <c r="W586" s="124"/>
      <c r="X586" s="124"/>
      <c r="Y586" s="124"/>
      <c r="Z586" s="124"/>
    </row>
    <row r="587" ht="29.25" customHeight="1">
      <c r="A587" s="124"/>
      <c r="B587" s="124"/>
      <c r="C587" s="124"/>
      <c r="D587" s="124"/>
      <c r="E587" s="124"/>
      <c r="F587" s="124"/>
      <c r="G587" s="124"/>
      <c r="H587" s="124"/>
      <c r="I587" s="126"/>
      <c r="J587" s="124"/>
      <c r="K587" s="124"/>
      <c r="L587" s="124"/>
      <c r="M587" s="124"/>
      <c r="N587" s="124"/>
      <c r="O587" s="124"/>
      <c r="P587" s="124"/>
      <c r="Q587" s="124"/>
      <c r="R587" s="124"/>
      <c r="S587" s="124"/>
      <c r="T587" s="124"/>
      <c r="U587" s="124"/>
      <c r="V587" s="124"/>
      <c r="W587" s="124"/>
      <c r="X587" s="124"/>
      <c r="Y587" s="124"/>
      <c r="Z587" s="124"/>
    </row>
    <row r="588" ht="29.25" customHeight="1">
      <c r="A588" s="124"/>
      <c r="B588" s="124"/>
      <c r="C588" s="124"/>
      <c r="D588" s="124"/>
      <c r="E588" s="124"/>
      <c r="F588" s="124"/>
      <c r="G588" s="124"/>
      <c r="H588" s="124"/>
      <c r="I588" s="126"/>
      <c r="J588" s="124"/>
      <c r="K588" s="124"/>
      <c r="L588" s="124"/>
      <c r="M588" s="124"/>
      <c r="N588" s="124"/>
      <c r="O588" s="124"/>
      <c r="P588" s="124"/>
      <c r="Q588" s="124"/>
      <c r="R588" s="124"/>
      <c r="S588" s="124"/>
      <c r="T588" s="124"/>
      <c r="U588" s="124"/>
      <c r="V588" s="124"/>
      <c r="W588" s="124"/>
      <c r="X588" s="124"/>
      <c r="Y588" s="124"/>
      <c r="Z588" s="124"/>
    </row>
    <row r="589" ht="29.25" customHeight="1">
      <c r="A589" s="124"/>
      <c r="B589" s="124"/>
      <c r="C589" s="124"/>
      <c r="D589" s="124"/>
      <c r="E589" s="124"/>
      <c r="F589" s="124"/>
      <c r="G589" s="124"/>
      <c r="H589" s="124"/>
      <c r="I589" s="126"/>
      <c r="J589" s="124"/>
      <c r="K589" s="124"/>
      <c r="L589" s="124"/>
      <c r="M589" s="124"/>
      <c r="N589" s="124"/>
      <c r="O589" s="124"/>
      <c r="P589" s="124"/>
      <c r="Q589" s="124"/>
      <c r="R589" s="124"/>
      <c r="S589" s="124"/>
      <c r="T589" s="124"/>
      <c r="U589" s="124"/>
      <c r="V589" s="124"/>
      <c r="W589" s="124"/>
      <c r="X589" s="124"/>
      <c r="Y589" s="124"/>
      <c r="Z589" s="124"/>
    </row>
    <row r="590" ht="29.25" customHeight="1">
      <c r="A590" s="124"/>
      <c r="B590" s="124"/>
      <c r="C590" s="124"/>
      <c r="D590" s="124"/>
      <c r="E590" s="124"/>
      <c r="F590" s="124"/>
      <c r="G590" s="124"/>
      <c r="H590" s="124"/>
      <c r="I590" s="126"/>
      <c r="J590" s="124"/>
      <c r="K590" s="124"/>
      <c r="L590" s="124"/>
      <c r="M590" s="124"/>
      <c r="N590" s="124"/>
      <c r="O590" s="124"/>
      <c r="P590" s="124"/>
      <c r="Q590" s="124"/>
      <c r="R590" s="124"/>
      <c r="S590" s="124"/>
      <c r="T590" s="124"/>
      <c r="U590" s="124"/>
      <c r="V590" s="124"/>
      <c r="W590" s="124"/>
      <c r="X590" s="124"/>
      <c r="Y590" s="124"/>
      <c r="Z590" s="124"/>
    </row>
    <row r="591" ht="29.25" customHeight="1">
      <c r="A591" s="124"/>
      <c r="B591" s="124"/>
      <c r="C591" s="124"/>
      <c r="D591" s="124"/>
      <c r="E591" s="124"/>
      <c r="F591" s="124"/>
      <c r="G591" s="124"/>
      <c r="H591" s="124"/>
      <c r="I591" s="126"/>
      <c r="J591" s="124"/>
      <c r="K591" s="124"/>
      <c r="L591" s="124"/>
      <c r="M591" s="124"/>
      <c r="N591" s="124"/>
      <c r="O591" s="124"/>
      <c r="P591" s="124"/>
      <c r="Q591" s="124"/>
      <c r="R591" s="124"/>
      <c r="S591" s="124"/>
      <c r="T591" s="124"/>
      <c r="U591" s="124"/>
      <c r="V591" s="124"/>
      <c r="W591" s="124"/>
      <c r="X591" s="124"/>
      <c r="Y591" s="124"/>
      <c r="Z591" s="124"/>
    </row>
    <row r="592" ht="29.25" customHeight="1">
      <c r="A592" s="124"/>
      <c r="B592" s="124"/>
      <c r="C592" s="124"/>
      <c r="D592" s="124"/>
      <c r="E592" s="124"/>
      <c r="F592" s="124"/>
      <c r="G592" s="124"/>
      <c r="H592" s="124"/>
      <c r="I592" s="126"/>
      <c r="J592" s="124"/>
      <c r="K592" s="124"/>
      <c r="L592" s="124"/>
      <c r="M592" s="124"/>
      <c r="N592" s="124"/>
      <c r="O592" s="124"/>
      <c r="P592" s="124"/>
      <c r="Q592" s="124"/>
      <c r="R592" s="124"/>
      <c r="S592" s="124"/>
      <c r="T592" s="124"/>
      <c r="U592" s="124"/>
      <c r="V592" s="124"/>
      <c r="W592" s="124"/>
      <c r="X592" s="124"/>
      <c r="Y592" s="124"/>
      <c r="Z592" s="124"/>
    </row>
    <row r="593" ht="29.25" customHeight="1">
      <c r="A593" s="124"/>
      <c r="B593" s="124"/>
      <c r="C593" s="124"/>
      <c r="D593" s="124"/>
      <c r="E593" s="124"/>
      <c r="F593" s="124"/>
      <c r="G593" s="124"/>
      <c r="H593" s="124"/>
      <c r="I593" s="126"/>
      <c r="J593" s="124"/>
      <c r="K593" s="124"/>
      <c r="L593" s="124"/>
      <c r="M593" s="124"/>
      <c r="N593" s="124"/>
      <c r="O593" s="124"/>
      <c r="P593" s="124"/>
      <c r="Q593" s="124"/>
      <c r="R593" s="124"/>
      <c r="S593" s="124"/>
      <c r="T593" s="124"/>
      <c r="U593" s="124"/>
      <c r="V593" s="124"/>
      <c r="W593" s="124"/>
      <c r="X593" s="124"/>
      <c r="Y593" s="124"/>
      <c r="Z593" s="124"/>
    </row>
    <row r="594" ht="29.25" customHeight="1">
      <c r="A594" s="124"/>
      <c r="B594" s="124"/>
      <c r="C594" s="124"/>
      <c r="D594" s="124"/>
      <c r="E594" s="124"/>
      <c r="F594" s="124"/>
      <c r="G594" s="124"/>
      <c r="H594" s="124"/>
      <c r="I594" s="126"/>
      <c r="J594" s="124"/>
      <c r="K594" s="124"/>
      <c r="L594" s="124"/>
      <c r="M594" s="124"/>
      <c r="N594" s="124"/>
      <c r="O594" s="124"/>
      <c r="P594" s="124"/>
      <c r="Q594" s="124"/>
      <c r="R594" s="124"/>
      <c r="S594" s="124"/>
      <c r="T594" s="124"/>
      <c r="U594" s="124"/>
      <c r="V594" s="124"/>
      <c r="W594" s="124"/>
      <c r="X594" s="124"/>
      <c r="Y594" s="124"/>
      <c r="Z594" s="124"/>
    </row>
    <row r="595" ht="29.25" customHeight="1">
      <c r="A595" s="124"/>
      <c r="B595" s="124"/>
      <c r="C595" s="124"/>
      <c r="D595" s="124"/>
      <c r="E595" s="124"/>
      <c r="F595" s="124"/>
      <c r="G595" s="124"/>
      <c r="H595" s="124"/>
      <c r="I595" s="126"/>
      <c r="J595" s="124"/>
      <c r="K595" s="124"/>
      <c r="L595" s="124"/>
      <c r="M595" s="124"/>
      <c r="N595" s="124"/>
      <c r="O595" s="124"/>
      <c r="P595" s="124"/>
      <c r="Q595" s="124"/>
      <c r="R595" s="124"/>
      <c r="S595" s="124"/>
      <c r="T595" s="124"/>
      <c r="U595" s="124"/>
      <c r="V595" s="124"/>
      <c r="W595" s="124"/>
      <c r="X595" s="124"/>
      <c r="Y595" s="124"/>
      <c r="Z595" s="124"/>
    </row>
    <row r="596" ht="29.25" customHeight="1">
      <c r="A596" s="124"/>
      <c r="B596" s="124"/>
      <c r="C596" s="124"/>
      <c r="D596" s="124"/>
      <c r="E596" s="124"/>
      <c r="F596" s="124"/>
      <c r="G596" s="124"/>
      <c r="H596" s="124"/>
      <c r="I596" s="126"/>
      <c r="J596" s="124"/>
      <c r="K596" s="124"/>
      <c r="L596" s="124"/>
      <c r="M596" s="124"/>
      <c r="N596" s="124"/>
      <c r="O596" s="124"/>
      <c r="P596" s="124"/>
      <c r="Q596" s="124"/>
      <c r="R596" s="124"/>
      <c r="S596" s="124"/>
      <c r="T596" s="124"/>
      <c r="U596" s="124"/>
      <c r="V596" s="124"/>
      <c r="W596" s="124"/>
      <c r="X596" s="124"/>
      <c r="Y596" s="124"/>
      <c r="Z596" s="124"/>
    </row>
    <row r="597" ht="29.25" customHeight="1">
      <c r="A597" s="124"/>
      <c r="B597" s="124"/>
      <c r="C597" s="124"/>
      <c r="D597" s="124"/>
      <c r="E597" s="124"/>
      <c r="F597" s="124"/>
      <c r="G597" s="124"/>
      <c r="H597" s="124"/>
      <c r="I597" s="126"/>
      <c r="J597" s="124"/>
      <c r="K597" s="124"/>
      <c r="L597" s="124"/>
      <c r="M597" s="124"/>
      <c r="N597" s="124"/>
      <c r="O597" s="124"/>
      <c r="P597" s="124"/>
      <c r="Q597" s="124"/>
      <c r="R597" s="124"/>
      <c r="S597" s="124"/>
      <c r="T597" s="124"/>
      <c r="U597" s="124"/>
      <c r="V597" s="124"/>
      <c r="W597" s="124"/>
      <c r="X597" s="124"/>
      <c r="Y597" s="124"/>
      <c r="Z597" s="124"/>
    </row>
    <row r="598" ht="29.25" customHeight="1">
      <c r="A598" s="124"/>
      <c r="B598" s="124"/>
      <c r="C598" s="124"/>
      <c r="D598" s="124"/>
      <c r="E598" s="124"/>
      <c r="F598" s="124"/>
      <c r="G598" s="124"/>
      <c r="H598" s="124"/>
      <c r="I598" s="126"/>
      <c r="J598" s="124"/>
      <c r="K598" s="124"/>
      <c r="L598" s="124"/>
      <c r="M598" s="124"/>
      <c r="N598" s="124"/>
      <c r="O598" s="124"/>
      <c r="P598" s="124"/>
      <c r="Q598" s="124"/>
      <c r="R598" s="124"/>
      <c r="S598" s="124"/>
      <c r="T598" s="124"/>
      <c r="U598" s="124"/>
      <c r="V598" s="124"/>
      <c r="W598" s="124"/>
      <c r="X598" s="124"/>
      <c r="Y598" s="124"/>
      <c r="Z598" s="124"/>
    </row>
    <row r="599" ht="29.25" customHeight="1">
      <c r="A599" s="124"/>
      <c r="B599" s="124"/>
      <c r="C599" s="124"/>
      <c r="D599" s="124"/>
      <c r="E599" s="124"/>
      <c r="F599" s="124"/>
      <c r="G599" s="124"/>
      <c r="H599" s="124"/>
      <c r="I599" s="126"/>
      <c r="J599" s="124"/>
      <c r="K599" s="124"/>
      <c r="L599" s="124"/>
      <c r="M599" s="124"/>
      <c r="N599" s="124"/>
      <c r="O599" s="124"/>
      <c r="P599" s="124"/>
      <c r="Q599" s="124"/>
      <c r="R599" s="124"/>
      <c r="S599" s="124"/>
      <c r="T599" s="124"/>
      <c r="U599" s="124"/>
      <c r="V599" s="124"/>
      <c r="W599" s="124"/>
      <c r="X599" s="124"/>
      <c r="Y599" s="124"/>
      <c r="Z599" s="124"/>
    </row>
    <row r="600" ht="29.25" customHeight="1">
      <c r="A600" s="124"/>
      <c r="B600" s="124"/>
      <c r="C600" s="124"/>
      <c r="D600" s="124"/>
      <c r="E600" s="124"/>
      <c r="F600" s="124"/>
      <c r="G600" s="124"/>
      <c r="H600" s="124"/>
      <c r="I600" s="126"/>
      <c r="J600" s="124"/>
      <c r="K600" s="124"/>
      <c r="L600" s="124"/>
      <c r="M600" s="124"/>
      <c r="N600" s="124"/>
      <c r="O600" s="124"/>
      <c r="P600" s="124"/>
      <c r="Q600" s="124"/>
      <c r="R600" s="124"/>
      <c r="S600" s="124"/>
      <c r="T600" s="124"/>
      <c r="U600" s="124"/>
      <c r="V600" s="124"/>
      <c r="W600" s="124"/>
      <c r="X600" s="124"/>
      <c r="Y600" s="124"/>
      <c r="Z600" s="124"/>
    </row>
    <row r="601" ht="29.25" customHeight="1">
      <c r="A601" s="124"/>
      <c r="B601" s="124"/>
      <c r="C601" s="124"/>
      <c r="D601" s="124"/>
      <c r="E601" s="124"/>
      <c r="F601" s="124"/>
      <c r="G601" s="124"/>
      <c r="H601" s="124"/>
      <c r="I601" s="126"/>
      <c r="J601" s="124"/>
      <c r="K601" s="124"/>
      <c r="L601" s="124"/>
      <c r="M601" s="124"/>
      <c r="N601" s="124"/>
      <c r="O601" s="124"/>
      <c r="P601" s="124"/>
      <c r="Q601" s="124"/>
      <c r="R601" s="124"/>
      <c r="S601" s="124"/>
      <c r="T601" s="124"/>
      <c r="U601" s="124"/>
      <c r="V601" s="124"/>
      <c r="W601" s="124"/>
      <c r="X601" s="124"/>
      <c r="Y601" s="124"/>
      <c r="Z601" s="124"/>
    </row>
    <row r="602" ht="29.25" customHeight="1">
      <c r="A602" s="124"/>
      <c r="B602" s="124"/>
      <c r="C602" s="124"/>
      <c r="D602" s="124"/>
      <c r="E602" s="124"/>
      <c r="F602" s="124"/>
      <c r="G602" s="124"/>
      <c r="H602" s="124"/>
      <c r="I602" s="126"/>
      <c r="J602" s="124"/>
      <c r="K602" s="124"/>
      <c r="L602" s="124"/>
      <c r="M602" s="124"/>
      <c r="N602" s="124"/>
      <c r="O602" s="124"/>
      <c r="P602" s="124"/>
      <c r="Q602" s="124"/>
      <c r="R602" s="124"/>
      <c r="S602" s="124"/>
      <c r="T602" s="124"/>
      <c r="U602" s="124"/>
      <c r="V602" s="124"/>
      <c r="W602" s="124"/>
      <c r="X602" s="124"/>
      <c r="Y602" s="124"/>
      <c r="Z602" s="124"/>
    </row>
    <row r="603" ht="29.25" customHeight="1">
      <c r="A603" s="124"/>
      <c r="B603" s="124"/>
      <c r="C603" s="124"/>
      <c r="D603" s="124"/>
      <c r="E603" s="124"/>
      <c r="F603" s="124"/>
      <c r="G603" s="124"/>
      <c r="H603" s="124"/>
      <c r="I603" s="126"/>
      <c r="J603" s="124"/>
      <c r="K603" s="124"/>
      <c r="L603" s="124"/>
      <c r="M603" s="124"/>
      <c r="N603" s="124"/>
      <c r="O603" s="124"/>
      <c r="P603" s="124"/>
      <c r="Q603" s="124"/>
      <c r="R603" s="124"/>
      <c r="S603" s="124"/>
      <c r="T603" s="124"/>
      <c r="U603" s="124"/>
      <c r="V603" s="124"/>
      <c r="W603" s="124"/>
      <c r="X603" s="124"/>
      <c r="Y603" s="124"/>
      <c r="Z603" s="124"/>
    </row>
    <row r="604" ht="29.25" customHeight="1">
      <c r="A604" s="124"/>
      <c r="B604" s="124"/>
      <c r="C604" s="124"/>
      <c r="D604" s="124"/>
      <c r="E604" s="124"/>
      <c r="F604" s="124"/>
      <c r="G604" s="124"/>
      <c r="H604" s="124"/>
      <c r="I604" s="126"/>
      <c r="J604" s="124"/>
      <c r="K604" s="124"/>
      <c r="L604" s="124"/>
      <c r="M604" s="124"/>
      <c r="N604" s="124"/>
      <c r="O604" s="124"/>
      <c r="P604" s="124"/>
      <c r="Q604" s="124"/>
      <c r="R604" s="124"/>
      <c r="S604" s="124"/>
      <c r="T604" s="124"/>
      <c r="U604" s="124"/>
      <c r="V604" s="124"/>
      <c r="W604" s="124"/>
      <c r="X604" s="124"/>
      <c r="Y604" s="124"/>
      <c r="Z604" s="124"/>
    </row>
    <row r="605" ht="29.25" customHeight="1">
      <c r="A605" s="124"/>
      <c r="B605" s="124"/>
      <c r="C605" s="124"/>
      <c r="D605" s="124"/>
      <c r="E605" s="124"/>
      <c r="F605" s="124"/>
      <c r="G605" s="124"/>
      <c r="H605" s="124"/>
      <c r="I605" s="126"/>
      <c r="J605" s="124"/>
      <c r="K605" s="124"/>
      <c r="L605" s="124"/>
      <c r="M605" s="124"/>
      <c r="N605" s="124"/>
      <c r="O605" s="124"/>
      <c r="P605" s="124"/>
      <c r="Q605" s="124"/>
      <c r="R605" s="124"/>
      <c r="S605" s="124"/>
      <c r="T605" s="124"/>
      <c r="U605" s="124"/>
      <c r="V605" s="124"/>
      <c r="W605" s="124"/>
      <c r="X605" s="124"/>
      <c r="Y605" s="124"/>
      <c r="Z605" s="124"/>
    </row>
    <row r="606" ht="29.25" customHeight="1">
      <c r="A606" s="124"/>
      <c r="B606" s="124"/>
      <c r="C606" s="124"/>
      <c r="D606" s="124"/>
      <c r="E606" s="124"/>
      <c r="F606" s="124"/>
      <c r="G606" s="124"/>
      <c r="H606" s="124"/>
      <c r="I606" s="126"/>
      <c r="J606" s="124"/>
      <c r="K606" s="124"/>
      <c r="L606" s="124"/>
      <c r="M606" s="124"/>
      <c r="N606" s="124"/>
      <c r="O606" s="124"/>
      <c r="P606" s="124"/>
      <c r="Q606" s="124"/>
      <c r="R606" s="124"/>
      <c r="S606" s="124"/>
      <c r="T606" s="124"/>
      <c r="U606" s="124"/>
      <c r="V606" s="124"/>
      <c r="W606" s="124"/>
      <c r="X606" s="124"/>
      <c r="Y606" s="124"/>
      <c r="Z606" s="124"/>
    </row>
    <row r="607" ht="29.25" customHeight="1">
      <c r="A607" s="124"/>
      <c r="B607" s="124"/>
      <c r="C607" s="124"/>
      <c r="D607" s="124"/>
      <c r="E607" s="124"/>
      <c r="F607" s="124"/>
      <c r="G607" s="124"/>
      <c r="H607" s="124"/>
      <c r="I607" s="126"/>
      <c r="J607" s="124"/>
      <c r="K607" s="124"/>
      <c r="L607" s="124"/>
      <c r="M607" s="124"/>
      <c r="N607" s="124"/>
      <c r="O607" s="124"/>
      <c r="P607" s="124"/>
      <c r="Q607" s="124"/>
      <c r="R607" s="124"/>
      <c r="S607" s="124"/>
      <c r="T607" s="124"/>
      <c r="U607" s="124"/>
      <c r="V607" s="124"/>
      <c r="W607" s="124"/>
      <c r="X607" s="124"/>
      <c r="Y607" s="124"/>
      <c r="Z607" s="124"/>
    </row>
    <row r="608" ht="29.25" customHeight="1">
      <c r="A608" s="124"/>
      <c r="B608" s="124"/>
      <c r="C608" s="124"/>
      <c r="D608" s="124"/>
      <c r="E608" s="124"/>
      <c r="F608" s="124"/>
      <c r="G608" s="124"/>
      <c r="H608" s="124"/>
      <c r="I608" s="126"/>
      <c r="J608" s="124"/>
      <c r="K608" s="124"/>
      <c r="L608" s="124"/>
      <c r="M608" s="124"/>
      <c r="N608" s="124"/>
      <c r="O608" s="124"/>
      <c r="P608" s="124"/>
      <c r="Q608" s="124"/>
      <c r="R608" s="124"/>
      <c r="S608" s="124"/>
      <c r="T608" s="124"/>
      <c r="U608" s="124"/>
      <c r="V608" s="124"/>
      <c r="W608" s="124"/>
      <c r="X608" s="124"/>
      <c r="Y608" s="124"/>
      <c r="Z608" s="124"/>
    </row>
    <row r="609" ht="29.25" customHeight="1">
      <c r="A609" s="124"/>
      <c r="B609" s="124"/>
      <c r="C609" s="124"/>
      <c r="D609" s="124"/>
      <c r="E609" s="124"/>
      <c r="F609" s="124"/>
      <c r="G609" s="124"/>
      <c r="H609" s="124"/>
      <c r="I609" s="126"/>
      <c r="J609" s="124"/>
      <c r="K609" s="124"/>
      <c r="L609" s="124"/>
      <c r="M609" s="124"/>
      <c r="N609" s="124"/>
      <c r="O609" s="124"/>
      <c r="P609" s="124"/>
      <c r="Q609" s="124"/>
      <c r="R609" s="124"/>
      <c r="S609" s="124"/>
      <c r="T609" s="124"/>
      <c r="U609" s="124"/>
      <c r="V609" s="124"/>
      <c r="W609" s="124"/>
      <c r="X609" s="124"/>
      <c r="Y609" s="124"/>
      <c r="Z609" s="124"/>
    </row>
    <row r="610" ht="29.25" customHeight="1">
      <c r="A610" s="124"/>
      <c r="B610" s="124"/>
      <c r="C610" s="124"/>
      <c r="D610" s="124"/>
      <c r="E610" s="124"/>
      <c r="F610" s="124"/>
      <c r="G610" s="124"/>
      <c r="H610" s="124"/>
      <c r="I610" s="126"/>
      <c r="J610" s="124"/>
      <c r="K610" s="124"/>
      <c r="L610" s="124"/>
      <c r="M610" s="124"/>
      <c r="N610" s="124"/>
      <c r="O610" s="124"/>
      <c r="P610" s="124"/>
      <c r="Q610" s="124"/>
      <c r="R610" s="124"/>
      <c r="S610" s="124"/>
      <c r="T610" s="124"/>
      <c r="U610" s="124"/>
      <c r="V610" s="124"/>
      <c r="W610" s="124"/>
      <c r="X610" s="124"/>
      <c r="Y610" s="124"/>
      <c r="Z610" s="124"/>
    </row>
    <row r="611" ht="29.25" customHeight="1">
      <c r="A611" s="124"/>
      <c r="B611" s="124"/>
      <c r="C611" s="124"/>
      <c r="D611" s="124"/>
      <c r="E611" s="124"/>
      <c r="F611" s="124"/>
      <c r="G611" s="124"/>
      <c r="H611" s="124"/>
      <c r="I611" s="126"/>
      <c r="J611" s="124"/>
      <c r="K611" s="124"/>
      <c r="L611" s="124"/>
      <c r="M611" s="124"/>
      <c r="N611" s="124"/>
      <c r="O611" s="124"/>
      <c r="P611" s="124"/>
      <c r="Q611" s="124"/>
      <c r="R611" s="124"/>
      <c r="S611" s="124"/>
      <c r="T611" s="124"/>
      <c r="U611" s="124"/>
      <c r="V611" s="124"/>
      <c r="W611" s="124"/>
      <c r="X611" s="124"/>
      <c r="Y611" s="124"/>
      <c r="Z611" s="124"/>
    </row>
    <row r="612" ht="29.25" customHeight="1">
      <c r="A612" s="124"/>
      <c r="B612" s="124"/>
      <c r="C612" s="124"/>
      <c r="D612" s="124"/>
      <c r="E612" s="124"/>
      <c r="F612" s="124"/>
      <c r="G612" s="124"/>
      <c r="H612" s="124"/>
      <c r="I612" s="126"/>
      <c r="J612" s="124"/>
      <c r="K612" s="124"/>
      <c r="L612" s="124"/>
      <c r="M612" s="124"/>
      <c r="N612" s="124"/>
      <c r="O612" s="124"/>
      <c r="P612" s="124"/>
      <c r="Q612" s="124"/>
      <c r="R612" s="124"/>
      <c r="S612" s="124"/>
      <c r="T612" s="124"/>
      <c r="U612" s="124"/>
      <c r="V612" s="124"/>
      <c r="W612" s="124"/>
      <c r="X612" s="124"/>
      <c r="Y612" s="124"/>
      <c r="Z612" s="124"/>
    </row>
    <row r="613" ht="29.25" customHeight="1">
      <c r="A613" s="124"/>
      <c r="B613" s="124"/>
      <c r="C613" s="124"/>
      <c r="D613" s="124"/>
      <c r="E613" s="124"/>
      <c r="F613" s="124"/>
      <c r="G613" s="124"/>
      <c r="H613" s="124"/>
      <c r="I613" s="126"/>
      <c r="J613" s="124"/>
      <c r="K613" s="124"/>
      <c r="L613" s="124"/>
      <c r="M613" s="124"/>
      <c r="N613" s="124"/>
      <c r="O613" s="124"/>
      <c r="P613" s="124"/>
      <c r="Q613" s="124"/>
      <c r="R613" s="124"/>
      <c r="S613" s="124"/>
      <c r="T613" s="124"/>
      <c r="U613" s="124"/>
      <c r="V613" s="124"/>
      <c r="W613" s="124"/>
      <c r="X613" s="124"/>
      <c r="Y613" s="124"/>
      <c r="Z613" s="124"/>
    </row>
    <row r="614" ht="29.25" customHeight="1">
      <c r="A614" s="124"/>
      <c r="B614" s="124"/>
      <c r="C614" s="124"/>
      <c r="D614" s="124"/>
      <c r="E614" s="124"/>
      <c r="F614" s="124"/>
      <c r="G614" s="124"/>
      <c r="H614" s="124"/>
      <c r="I614" s="126"/>
      <c r="J614" s="124"/>
      <c r="K614" s="124"/>
      <c r="L614" s="124"/>
      <c r="M614" s="124"/>
      <c r="N614" s="124"/>
      <c r="O614" s="124"/>
      <c r="P614" s="124"/>
      <c r="Q614" s="124"/>
      <c r="R614" s="124"/>
      <c r="S614" s="124"/>
      <c r="T614" s="124"/>
      <c r="U614" s="124"/>
      <c r="V614" s="124"/>
      <c r="W614" s="124"/>
      <c r="X614" s="124"/>
      <c r="Y614" s="124"/>
      <c r="Z614" s="124"/>
    </row>
    <row r="615" ht="29.25" customHeight="1">
      <c r="A615" s="124"/>
      <c r="B615" s="124"/>
      <c r="C615" s="124"/>
      <c r="D615" s="124"/>
      <c r="E615" s="124"/>
      <c r="F615" s="124"/>
      <c r="G615" s="124"/>
      <c r="H615" s="124"/>
      <c r="I615" s="126"/>
      <c r="J615" s="124"/>
      <c r="K615" s="124"/>
      <c r="L615" s="124"/>
      <c r="M615" s="124"/>
      <c r="N615" s="124"/>
      <c r="O615" s="124"/>
      <c r="P615" s="124"/>
      <c r="Q615" s="124"/>
      <c r="R615" s="124"/>
      <c r="S615" s="124"/>
      <c r="T615" s="124"/>
      <c r="U615" s="124"/>
      <c r="V615" s="124"/>
      <c r="W615" s="124"/>
      <c r="X615" s="124"/>
      <c r="Y615" s="124"/>
      <c r="Z615" s="124"/>
    </row>
    <row r="616" ht="29.25" customHeight="1">
      <c r="A616" s="124"/>
      <c r="B616" s="124"/>
      <c r="C616" s="124"/>
      <c r="D616" s="124"/>
      <c r="E616" s="124"/>
      <c r="F616" s="124"/>
      <c r="G616" s="124"/>
      <c r="H616" s="124"/>
      <c r="I616" s="126"/>
      <c r="J616" s="124"/>
      <c r="K616" s="124"/>
      <c r="L616" s="124"/>
      <c r="M616" s="124"/>
      <c r="N616" s="124"/>
      <c r="O616" s="124"/>
      <c r="P616" s="124"/>
      <c r="Q616" s="124"/>
      <c r="R616" s="124"/>
      <c r="S616" s="124"/>
      <c r="T616" s="124"/>
      <c r="U616" s="124"/>
      <c r="V616" s="124"/>
      <c r="W616" s="124"/>
      <c r="X616" s="124"/>
      <c r="Y616" s="124"/>
      <c r="Z616" s="124"/>
    </row>
    <row r="617" ht="29.25" customHeight="1">
      <c r="A617" s="124"/>
      <c r="B617" s="124"/>
      <c r="C617" s="124"/>
      <c r="D617" s="124"/>
      <c r="E617" s="124"/>
      <c r="F617" s="124"/>
      <c r="G617" s="124"/>
      <c r="H617" s="124"/>
      <c r="I617" s="126"/>
      <c r="J617" s="124"/>
      <c r="K617" s="124"/>
      <c r="L617" s="124"/>
      <c r="M617" s="124"/>
      <c r="N617" s="124"/>
      <c r="O617" s="124"/>
      <c r="P617" s="124"/>
      <c r="Q617" s="124"/>
      <c r="R617" s="124"/>
      <c r="S617" s="124"/>
      <c r="T617" s="124"/>
      <c r="U617" s="124"/>
      <c r="V617" s="124"/>
      <c r="W617" s="124"/>
      <c r="X617" s="124"/>
      <c r="Y617" s="124"/>
      <c r="Z617" s="124"/>
    </row>
    <row r="618" ht="29.25" customHeight="1">
      <c r="A618" s="124"/>
      <c r="B618" s="124"/>
      <c r="C618" s="124"/>
      <c r="D618" s="124"/>
      <c r="E618" s="124"/>
      <c r="F618" s="124"/>
      <c r="G618" s="124"/>
      <c r="H618" s="124"/>
      <c r="I618" s="126"/>
      <c r="J618" s="124"/>
      <c r="K618" s="124"/>
      <c r="L618" s="124"/>
      <c r="M618" s="124"/>
      <c r="N618" s="124"/>
      <c r="O618" s="124"/>
      <c r="P618" s="124"/>
      <c r="Q618" s="124"/>
      <c r="R618" s="124"/>
      <c r="S618" s="124"/>
      <c r="T618" s="124"/>
      <c r="U618" s="124"/>
      <c r="V618" s="124"/>
      <c r="W618" s="124"/>
      <c r="X618" s="124"/>
      <c r="Y618" s="124"/>
      <c r="Z618" s="124"/>
    </row>
    <row r="619" ht="29.25" customHeight="1">
      <c r="A619" s="124"/>
      <c r="B619" s="124"/>
      <c r="C619" s="124"/>
      <c r="D619" s="124"/>
      <c r="E619" s="124"/>
      <c r="F619" s="124"/>
      <c r="G619" s="124"/>
      <c r="H619" s="124"/>
      <c r="I619" s="126"/>
      <c r="J619" s="124"/>
      <c r="K619" s="124"/>
      <c r="L619" s="124"/>
      <c r="M619" s="124"/>
      <c r="N619" s="124"/>
      <c r="O619" s="124"/>
      <c r="P619" s="124"/>
      <c r="Q619" s="124"/>
      <c r="R619" s="124"/>
      <c r="S619" s="124"/>
      <c r="T619" s="124"/>
      <c r="U619" s="124"/>
      <c r="V619" s="124"/>
      <c r="W619" s="124"/>
      <c r="X619" s="124"/>
      <c r="Y619" s="124"/>
      <c r="Z619" s="124"/>
    </row>
    <row r="620" ht="29.25" customHeight="1">
      <c r="A620" s="124"/>
      <c r="B620" s="124"/>
      <c r="C620" s="124"/>
      <c r="D620" s="124"/>
      <c r="E620" s="124"/>
      <c r="F620" s="124"/>
      <c r="G620" s="124"/>
      <c r="H620" s="124"/>
      <c r="I620" s="126"/>
      <c r="J620" s="124"/>
      <c r="K620" s="124"/>
      <c r="L620" s="124"/>
      <c r="M620" s="124"/>
      <c r="N620" s="124"/>
      <c r="O620" s="124"/>
      <c r="P620" s="124"/>
      <c r="Q620" s="124"/>
      <c r="R620" s="124"/>
      <c r="S620" s="124"/>
      <c r="T620" s="124"/>
      <c r="U620" s="124"/>
      <c r="V620" s="124"/>
      <c r="W620" s="124"/>
      <c r="X620" s="124"/>
      <c r="Y620" s="124"/>
      <c r="Z620" s="124"/>
    </row>
    <row r="621" ht="29.25" customHeight="1">
      <c r="A621" s="124"/>
      <c r="B621" s="124"/>
      <c r="C621" s="124"/>
      <c r="D621" s="124"/>
      <c r="E621" s="124"/>
      <c r="F621" s="124"/>
      <c r="G621" s="124"/>
      <c r="H621" s="124"/>
      <c r="I621" s="126"/>
      <c r="J621" s="124"/>
      <c r="K621" s="124"/>
      <c r="L621" s="124"/>
      <c r="M621" s="124"/>
      <c r="N621" s="124"/>
      <c r="O621" s="124"/>
      <c r="P621" s="124"/>
      <c r="Q621" s="124"/>
      <c r="R621" s="124"/>
      <c r="S621" s="124"/>
      <c r="T621" s="124"/>
      <c r="U621" s="124"/>
      <c r="V621" s="124"/>
      <c r="W621" s="124"/>
      <c r="X621" s="124"/>
      <c r="Y621" s="124"/>
      <c r="Z621" s="124"/>
    </row>
    <row r="622" ht="29.25" customHeight="1">
      <c r="A622" s="124"/>
      <c r="B622" s="124"/>
      <c r="C622" s="124"/>
      <c r="D622" s="124"/>
      <c r="E622" s="124"/>
      <c r="F622" s="124"/>
      <c r="G622" s="124"/>
      <c r="H622" s="124"/>
      <c r="I622" s="126"/>
      <c r="J622" s="124"/>
      <c r="K622" s="124"/>
      <c r="L622" s="124"/>
      <c r="M622" s="124"/>
      <c r="N622" s="124"/>
      <c r="O622" s="124"/>
      <c r="P622" s="124"/>
      <c r="Q622" s="124"/>
      <c r="R622" s="124"/>
      <c r="S622" s="124"/>
      <c r="T622" s="124"/>
      <c r="U622" s="124"/>
      <c r="V622" s="124"/>
      <c r="W622" s="124"/>
      <c r="X622" s="124"/>
      <c r="Y622" s="124"/>
      <c r="Z622" s="124"/>
    </row>
    <row r="623" ht="29.25" customHeight="1">
      <c r="A623" s="124"/>
      <c r="B623" s="124"/>
      <c r="C623" s="124"/>
      <c r="D623" s="124"/>
      <c r="E623" s="124"/>
      <c r="F623" s="124"/>
      <c r="G623" s="124"/>
      <c r="H623" s="124"/>
      <c r="I623" s="126"/>
      <c r="J623" s="124"/>
      <c r="K623" s="124"/>
      <c r="L623" s="124"/>
      <c r="M623" s="124"/>
      <c r="N623" s="124"/>
      <c r="O623" s="124"/>
      <c r="P623" s="124"/>
      <c r="Q623" s="124"/>
      <c r="R623" s="124"/>
      <c r="S623" s="124"/>
      <c r="T623" s="124"/>
      <c r="U623" s="124"/>
      <c r="V623" s="124"/>
      <c r="W623" s="124"/>
      <c r="X623" s="124"/>
      <c r="Y623" s="124"/>
      <c r="Z623" s="124"/>
    </row>
    <row r="624" ht="29.25" customHeight="1">
      <c r="A624" s="124"/>
      <c r="B624" s="124"/>
      <c r="C624" s="124"/>
      <c r="D624" s="124"/>
      <c r="E624" s="124"/>
      <c r="F624" s="124"/>
      <c r="G624" s="124"/>
      <c r="H624" s="124"/>
      <c r="I624" s="126"/>
      <c r="J624" s="124"/>
      <c r="K624" s="124"/>
      <c r="L624" s="124"/>
      <c r="M624" s="124"/>
      <c r="N624" s="124"/>
      <c r="O624" s="124"/>
      <c r="P624" s="124"/>
      <c r="Q624" s="124"/>
      <c r="R624" s="124"/>
      <c r="S624" s="124"/>
      <c r="T624" s="124"/>
      <c r="U624" s="124"/>
      <c r="V624" s="124"/>
      <c r="W624" s="124"/>
      <c r="X624" s="124"/>
      <c r="Y624" s="124"/>
      <c r="Z624" s="124"/>
    </row>
    <row r="625" ht="29.25" customHeight="1">
      <c r="A625" s="124"/>
      <c r="B625" s="124"/>
      <c r="C625" s="124"/>
      <c r="D625" s="124"/>
      <c r="E625" s="124"/>
      <c r="F625" s="124"/>
      <c r="G625" s="124"/>
      <c r="H625" s="124"/>
      <c r="I625" s="126"/>
      <c r="J625" s="124"/>
      <c r="K625" s="124"/>
      <c r="L625" s="124"/>
      <c r="M625" s="124"/>
      <c r="N625" s="124"/>
      <c r="O625" s="124"/>
      <c r="P625" s="124"/>
      <c r="Q625" s="124"/>
      <c r="R625" s="124"/>
      <c r="S625" s="124"/>
      <c r="T625" s="124"/>
      <c r="U625" s="124"/>
      <c r="V625" s="124"/>
      <c r="W625" s="124"/>
      <c r="X625" s="124"/>
      <c r="Y625" s="124"/>
      <c r="Z625" s="124"/>
    </row>
    <row r="626" ht="29.25" customHeight="1">
      <c r="A626" s="124"/>
      <c r="B626" s="124"/>
      <c r="C626" s="124"/>
      <c r="D626" s="124"/>
      <c r="E626" s="124"/>
      <c r="F626" s="124"/>
      <c r="G626" s="124"/>
      <c r="H626" s="124"/>
      <c r="I626" s="126"/>
      <c r="J626" s="124"/>
      <c r="K626" s="124"/>
      <c r="L626" s="124"/>
      <c r="M626" s="124"/>
      <c r="N626" s="124"/>
      <c r="O626" s="124"/>
      <c r="P626" s="124"/>
      <c r="Q626" s="124"/>
      <c r="R626" s="124"/>
      <c r="S626" s="124"/>
      <c r="T626" s="124"/>
      <c r="U626" s="124"/>
      <c r="V626" s="124"/>
      <c r="W626" s="124"/>
      <c r="X626" s="124"/>
      <c r="Y626" s="124"/>
      <c r="Z626" s="124"/>
    </row>
    <row r="627" ht="29.25" customHeight="1">
      <c r="A627" s="124"/>
      <c r="B627" s="124"/>
      <c r="C627" s="124"/>
      <c r="D627" s="124"/>
      <c r="E627" s="124"/>
      <c r="F627" s="124"/>
      <c r="G627" s="124"/>
      <c r="H627" s="124"/>
      <c r="I627" s="126"/>
      <c r="J627" s="124"/>
      <c r="K627" s="124"/>
      <c r="L627" s="124"/>
      <c r="M627" s="124"/>
      <c r="N627" s="124"/>
      <c r="O627" s="124"/>
      <c r="P627" s="124"/>
      <c r="Q627" s="124"/>
      <c r="R627" s="124"/>
      <c r="S627" s="124"/>
      <c r="T627" s="124"/>
      <c r="U627" s="124"/>
      <c r="V627" s="124"/>
      <c r="W627" s="124"/>
      <c r="X627" s="124"/>
      <c r="Y627" s="124"/>
      <c r="Z627" s="124"/>
    </row>
    <row r="628" ht="29.25" customHeight="1">
      <c r="A628" s="124"/>
      <c r="B628" s="124"/>
      <c r="C628" s="124"/>
      <c r="D628" s="124"/>
      <c r="E628" s="124"/>
      <c r="F628" s="124"/>
      <c r="G628" s="124"/>
      <c r="H628" s="124"/>
      <c r="I628" s="126"/>
      <c r="J628" s="124"/>
      <c r="K628" s="124"/>
      <c r="L628" s="124"/>
      <c r="M628" s="124"/>
      <c r="N628" s="124"/>
      <c r="O628" s="124"/>
      <c r="P628" s="124"/>
      <c r="Q628" s="124"/>
      <c r="R628" s="124"/>
      <c r="S628" s="124"/>
      <c r="T628" s="124"/>
      <c r="U628" s="124"/>
      <c r="V628" s="124"/>
      <c r="W628" s="124"/>
      <c r="X628" s="124"/>
      <c r="Y628" s="124"/>
      <c r="Z628" s="124"/>
    </row>
    <row r="629" ht="29.25" customHeight="1">
      <c r="A629" s="124"/>
      <c r="B629" s="124"/>
      <c r="C629" s="124"/>
      <c r="D629" s="124"/>
      <c r="E629" s="124"/>
      <c r="F629" s="124"/>
      <c r="G629" s="124"/>
      <c r="H629" s="124"/>
      <c r="I629" s="126"/>
      <c r="J629" s="124"/>
      <c r="K629" s="124"/>
      <c r="L629" s="124"/>
      <c r="M629" s="124"/>
      <c r="N629" s="124"/>
      <c r="O629" s="124"/>
      <c r="P629" s="124"/>
      <c r="Q629" s="124"/>
      <c r="R629" s="124"/>
      <c r="S629" s="124"/>
      <c r="T629" s="124"/>
      <c r="U629" s="124"/>
      <c r="V629" s="124"/>
      <c r="W629" s="124"/>
      <c r="X629" s="124"/>
      <c r="Y629" s="124"/>
      <c r="Z629" s="124"/>
    </row>
    <row r="630" ht="29.25" customHeight="1">
      <c r="A630" s="124"/>
      <c r="B630" s="124"/>
      <c r="C630" s="124"/>
      <c r="D630" s="124"/>
      <c r="E630" s="124"/>
      <c r="F630" s="124"/>
      <c r="G630" s="124"/>
      <c r="H630" s="124"/>
      <c r="I630" s="126"/>
      <c r="J630" s="124"/>
      <c r="K630" s="124"/>
      <c r="L630" s="124"/>
      <c r="M630" s="124"/>
      <c r="N630" s="124"/>
      <c r="O630" s="124"/>
      <c r="P630" s="124"/>
      <c r="Q630" s="124"/>
      <c r="R630" s="124"/>
      <c r="S630" s="124"/>
      <c r="T630" s="124"/>
      <c r="U630" s="124"/>
      <c r="V630" s="124"/>
      <c r="W630" s="124"/>
      <c r="X630" s="124"/>
      <c r="Y630" s="124"/>
      <c r="Z630" s="124"/>
    </row>
    <row r="631" ht="29.25" customHeight="1">
      <c r="A631" s="124"/>
      <c r="B631" s="124"/>
      <c r="C631" s="124"/>
      <c r="D631" s="124"/>
      <c r="E631" s="124"/>
      <c r="F631" s="124"/>
      <c r="G631" s="124"/>
      <c r="H631" s="124"/>
      <c r="I631" s="126"/>
      <c r="J631" s="124"/>
      <c r="K631" s="124"/>
      <c r="L631" s="124"/>
      <c r="M631" s="124"/>
      <c r="N631" s="124"/>
      <c r="O631" s="124"/>
      <c r="P631" s="124"/>
      <c r="Q631" s="124"/>
      <c r="R631" s="124"/>
      <c r="S631" s="124"/>
      <c r="T631" s="124"/>
      <c r="U631" s="124"/>
      <c r="V631" s="124"/>
      <c r="W631" s="124"/>
      <c r="X631" s="124"/>
      <c r="Y631" s="124"/>
      <c r="Z631" s="124"/>
    </row>
    <row r="632" ht="29.25" customHeight="1">
      <c r="A632" s="124"/>
      <c r="B632" s="124"/>
      <c r="C632" s="124"/>
      <c r="D632" s="124"/>
      <c r="E632" s="124"/>
      <c r="F632" s="124"/>
      <c r="G632" s="124"/>
      <c r="H632" s="124"/>
      <c r="I632" s="126"/>
      <c r="J632" s="124"/>
      <c r="K632" s="124"/>
      <c r="L632" s="124"/>
      <c r="M632" s="124"/>
      <c r="N632" s="124"/>
      <c r="O632" s="124"/>
      <c r="P632" s="124"/>
      <c r="Q632" s="124"/>
      <c r="R632" s="124"/>
      <c r="S632" s="124"/>
      <c r="T632" s="124"/>
      <c r="U632" s="124"/>
      <c r="V632" s="124"/>
      <c r="W632" s="124"/>
      <c r="X632" s="124"/>
      <c r="Y632" s="124"/>
      <c r="Z632" s="124"/>
    </row>
    <row r="633" ht="29.25" customHeight="1">
      <c r="A633" s="124"/>
      <c r="B633" s="124"/>
      <c r="C633" s="124"/>
      <c r="D633" s="124"/>
      <c r="E633" s="124"/>
      <c r="F633" s="124"/>
      <c r="G633" s="124"/>
      <c r="H633" s="124"/>
      <c r="I633" s="126"/>
      <c r="J633" s="124"/>
      <c r="K633" s="124"/>
      <c r="L633" s="124"/>
      <c r="M633" s="124"/>
      <c r="N633" s="124"/>
      <c r="O633" s="124"/>
      <c r="P633" s="124"/>
      <c r="Q633" s="124"/>
      <c r="R633" s="124"/>
      <c r="S633" s="124"/>
      <c r="T633" s="124"/>
      <c r="U633" s="124"/>
      <c r="V633" s="124"/>
      <c r="W633" s="124"/>
      <c r="X633" s="124"/>
      <c r="Y633" s="124"/>
      <c r="Z633" s="124"/>
    </row>
    <row r="634" ht="29.25" customHeight="1">
      <c r="A634" s="124"/>
      <c r="B634" s="124"/>
      <c r="C634" s="124"/>
      <c r="D634" s="124"/>
      <c r="E634" s="124"/>
      <c r="F634" s="124"/>
      <c r="G634" s="124"/>
      <c r="H634" s="124"/>
      <c r="I634" s="126"/>
      <c r="J634" s="124"/>
      <c r="K634" s="124"/>
      <c r="L634" s="124"/>
      <c r="M634" s="124"/>
      <c r="N634" s="124"/>
      <c r="O634" s="124"/>
      <c r="P634" s="124"/>
      <c r="Q634" s="124"/>
      <c r="R634" s="124"/>
      <c r="S634" s="124"/>
      <c r="T634" s="124"/>
      <c r="U634" s="124"/>
      <c r="V634" s="124"/>
      <c r="W634" s="124"/>
      <c r="X634" s="124"/>
      <c r="Y634" s="124"/>
      <c r="Z634" s="124"/>
    </row>
    <row r="635" ht="29.25" customHeight="1">
      <c r="A635" s="124"/>
      <c r="B635" s="124"/>
      <c r="C635" s="124"/>
      <c r="D635" s="124"/>
      <c r="E635" s="124"/>
      <c r="F635" s="124"/>
      <c r="G635" s="124"/>
      <c r="H635" s="124"/>
      <c r="I635" s="126"/>
      <c r="J635" s="124"/>
      <c r="K635" s="124"/>
      <c r="L635" s="124"/>
      <c r="M635" s="124"/>
      <c r="N635" s="124"/>
      <c r="O635" s="124"/>
      <c r="P635" s="124"/>
      <c r="Q635" s="124"/>
      <c r="R635" s="124"/>
      <c r="S635" s="124"/>
      <c r="T635" s="124"/>
      <c r="U635" s="124"/>
      <c r="V635" s="124"/>
      <c r="W635" s="124"/>
      <c r="X635" s="124"/>
      <c r="Y635" s="124"/>
      <c r="Z635" s="124"/>
    </row>
    <row r="636" ht="29.25" customHeight="1">
      <c r="A636" s="124"/>
      <c r="B636" s="124"/>
      <c r="C636" s="124"/>
      <c r="D636" s="124"/>
      <c r="E636" s="124"/>
      <c r="F636" s="124"/>
      <c r="G636" s="124"/>
      <c r="H636" s="124"/>
      <c r="I636" s="126"/>
      <c r="J636" s="124"/>
      <c r="K636" s="124"/>
      <c r="L636" s="124"/>
      <c r="M636" s="124"/>
      <c r="N636" s="124"/>
      <c r="O636" s="124"/>
      <c r="P636" s="124"/>
      <c r="Q636" s="124"/>
      <c r="R636" s="124"/>
      <c r="S636" s="124"/>
      <c r="T636" s="124"/>
      <c r="U636" s="124"/>
      <c r="V636" s="124"/>
      <c r="W636" s="124"/>
      <c r="X636" s="124"/>
      <c r="Y636" s="124"/>
      <c r="Z636" s="124"/>
    </row>
    <row r="637" ht="29.25" customHeight="1">
      <c r="A637" s="124"/>
      <c r="B637" s="124"/>
      <c r="C637" s="124"/>
      <c r="D637" s="124"/>
      <c r="E637" s="124"/>
      <c r="F637" s="124"/>
      <c r="G637" s="124"/>
      <c r="H637" s="124"/>
      <c r="I637" s="126"/>
      <c r="J637" s="124"/>
      <c r="K637" s="124"/>
      <c r="L637" s="124"/>
      <c r="M637" s="124"/>
      <c r="N637" s="124"/>
      <c r="O637" s="124"/>
      <c r="P637" s="124"/>
      <c r="Q637" s="124"/>
      <c r="R637" s="124"/>
      <c r="S637" s="124"/>
      <c r="T637" s="124"/>
      <c r="U637" s="124"/>
      <c r="V637" s="124"/>
      <c r="W637" s="124"/>
      <c r="X637" s="124"/>
      <c r="Y637" s="124"/>
      <c r="Z637" s="124"/>
    </row>
    <row r="638" ht="29.25" customHeight="1">
      <c r="A638" s="124"/>
      <c r="B638" s="124"/>
      <c r="C638" s="124"/>
      <c r="D638" s="124"/>
      <c r="E638" s="124"/>
      <c r="F638" s="124"/>
      <c r="G638" s="124"/>
      <c r="H638" s="124"/>
      <c r="I638" s="126"/>
      <c r="J638" s="124"/>
      <c r="K638" s="124"/>
      <c r="L638" s="124"/>
      <c r="M638" s="124"/>
      <c r="N638" s="124"/>
      <c r="O638" s="124"/>
      <c r="P638" s="124"/>
      <c r="Q638" s="124"/>
      <c r="R638" s="124"/>
      <c r="S638" s="124"/>
      <c r="T638" s="124"/>
      <c r="U638" s="124"/>
      <c r="V638" s="124"/>
      <c r="W638" s="124"/>
      <c r="X638" s="124"/>
      <c r="Y638" s="124"/>
      <c r="Z638" s="124"/>
    </row>
    <row r="639" ht="29.25" customHeight="1">
      <c r="A639" s="124"/>
      <c r="B639" s="124"/>
      <c r="C639" s="124"/>
      <c r="D639" s="124"/>
      <c r="E639" s="124"/>
      <c r="F639" s="124"/>
      <c r="G639" s="124"/>
      <c r="H639" s="124"/>
      <c r="I639" s="126"/>
      <c r="J639" s="124"/>
      <c r="K639" s="124"/>
      <c r="L639" s="124"/>
      <c r="M639" s="124"/>
      <c r="N639" s="124"/>
      <c r="O639" s="124"/>
      <c r="P639" s="124"/>
      <c r="Q639" s="124"/>
      <c r="R639" s="124"/>
      <c r="S639" s="124"/>
      <c r="T639" s="124"/>
      <c r="U639" s="124"/>
      <c r="V639" s="124"/>
      <c r="W639" s="124"/>
      <c r="X639" s="124"/>
      <c r="Y639" s="124"/>
      <c r="Z639" s="124"/>
    </row>
    <row r="640" ht="29.25" customHeight="1">
      <c r="A640" s="124"/>
      <c r="B640" s="124"/>
      <c r="C640" s="124"/>
      <c r="D640" s="124"/>
      <c r="E640" s="124"/>
      <c r="F640" s="124"/>
      <c r="G640" s="124"/>
      <c r="H640" s="124"/>
      <c r="I640" s="126"/>
      <c r="J640" s="124"/>
      <c r="K640" s="124"/>
      <c r="L640" s="124"/>
      <c r="M640" s="124"/>
      <c r="N640" s="124"/>
      <c r="O640" s="124"/>
      <c r="P640" s="124"/>
      <c r="Q640" s="124"/>
      <c r="R640" s="124"/>
      <c r="S640" s="124"/>
      <c r="T640" s="124"/>
      <c r="U640" s="124"/>
      <c r="V640" s="124"/>
      <c r="W640" s="124"/>
      <c r="X640" s="124"/>
      <c r="Y640" s="124"/>
      <c r="Z640" s="124"/>
    </row>
    <row r="641" ht="29.25" customHeight="1">
      <c r="A641" s="124"/>
      <c r="B641" s="124"/>
      <c r="C641" s="124"/>
      <c r="D641" s="124"/>
      <c r="E641" s="124"/>
      <c r="F641" s="124"/>
      <c r="G641" s="124"/>
      <c r="H641" s="124"/>
      <c r="I641" s="126"/>
      <c r="J641" s="124"/>
      <c r="K641" s="124"/>
      <c r="L641" s="124"/>
      <c r="M641" s="124"/>
      <c r="N641" s="124"/>
      <c r="O641" s="124"/>
      <c r="P641" s="124"/>
      <c r="Q641" s="124"/>
      <c r="R641" s="124"/>
      <c r="S641" s="124"/>
      <c r="T641" s="124"/>
      <c r="U641" s="124"/>
      <c r="V641" s="124"/>
      <c r="W641" s="124"/>
      <c r="X641" s="124"/>
      <c r="Y641" s="124"/>
      <c r="Z641" s="124"/>
    </row>
    <row r="642" ht="29.25" customHeight="1">
      <c r="A642" s="124"/>
      <c r="B642" s="124"/>
      <c r="C642" s="124"/>
      <c r="D642" s="124"/>
      <c r="E642" s="124"/>
      <c r="F642" s="124"/>
      <c r="G642" s="124"/>
      <c r="H642" s="124"/>
      <c r="I642" s="126"/>
      <c r="J642" s="124"/>
      <c r="K642" s="124"/>
      <c r="L642" s="124"/>
      <c r="M642" s="124"/>
      <c r="N642" s="124"/>
      <c r="O642" s="124"/>
      <c r="P642" s="124"/>
      <c r="Q642" s="124"/>
      <c r="R642" s="124"/>
      <c r="S642" s="124"/>
      <c r="T642" s="124"/>
      <c r="U642" s="124"/>
      <c r="V642" s="124"/>
      <c r="W642" s="124"/>
      <c r="X642" s="124"/>
      <c r="Y642" s="124"/>
      <c r="Z642" s="124"/>
    </row>
    <row r="643" ht="29.25" customHeight="1">
      <c r="A643" s="124"/>
      <c r="B643" s="124"/>
      <c r="C643" s="124"/>
      <c r="D643" s="124"/>
      <c r="E643" s="124"/>
      <c r="F643" s="124"/>
      <c r="G643" s="124"/>
      <c r="H643" s="124"/>
      <c r="I643" s="126"/>
      <c r="J643" s="124"/>
      <c r="K643" s="124"/>
      <c r="L643" s="124"/>
      <c r="M643" s="124"/>
      <c r="N643" s="124"/>
      <c r="O643" s="124"/>
      <c r="P643" s="124"/>
      <c r="Q643" s="124"/>
      <c r="R643" s="124"/>
      <c r="S643" s="124"/>
      <c r="T643" s="124"/>
      <c r="U643" s="124"/>
      <c r="V643" s="124"/>
      <c r="W643" s="124"/>
      <c r="X643" s="124"/>
      <c r="Y643" s="124"/>
      <c r="Z643" s="124"/>
    </row>
    <row r="644" ht="29.25" customHeight="1">
      <c r="A644" s="124"/>
      <c r="B644" s="124"/>
      <c r="C644" s="124"/>
      <c r="D644" s="124"/>
      <c r="E644" s="124"/>
      <c r="F644" s="124"/>
      <c r="G644" s="124"/>
      <c r="H644" s="124"/>
      <c r="I644" s="126"/>
      <c r="J644" s="124"/>
      <c r="K644" s="124"/>
      <c r="L644" s="124"/>
      <c r="M644" s="124"/>
      <c r="N644" s="124"/>
      <c r="O644" s="124"/>
      <c r="P644" s="124"/>
      <c r="Q644" s="124"/>
      <c r="R644" s="124"/>
      <c r="S644" s="124"/>
      <c r="T644" s="124"/>
      <c r="U644" s="124"/>
      <c r="V644" s="124"/>
      <c r="W644" s="124"/>
      <c r="X644" s="124"/>
      <c r="Y644" s="124"/>
      <c r="Z644" s="124"/>
    </row>
    <row r="645" ht="29.25" customHeight="1">
      <c r="A645" s="124"/>
      <c r="B645" s="124"/>
      <c r="C645" s="124"/>
      <c r="D645" s="124"/>
      <c r="E645" s="124"/>
      <c r="F645" s="124"/>
      <c r="G645" s="124"/>
      <c r="H645" s="124"/>
      <c r="I645" s="126"/>
      <c r="J645" s="124"/>
      <c r="K645" s="124"/>
      <c r="L645" s="124"/>
      <c r="M645" s="124"/>
      <c r="N645" s="124"/>
      <c r="O645" s="124"/>
      <c r="P645" s="124"/>
      <c r="Q645" s="124"/>
      <c r="R645" s="124"/>
      <c r="S645" s="124"/>
      <c r="T645" s="124"/>
      <c r="U645" s="124"/>
      <c r="V645" s="124"/>
      <c r="W645" s="124"/>
      <c r="X645" s="124"/>
      <c r="Y645" s="124"/>
      <c r="Z645" s="124"/>
    </row>
    <row r="646" ht="29.25" customHeight="1">
      <c r="A646" s="124"/>
      <c r="B646" s="124"/>
      <c r="C646" s="124"/>
      <c r="D646" s="124"/>
      <c r="E646" s="124"/>
      <c r="F646" s="124"/>
      <c r="G646" s="124"/>
      <c r="H646" s="124"/>
      <c r="I646" s="126"/>
      <c r="J646" s="124"/>
      <c r="K646" s="124"/>
      <c r="L646" s="124"/>
      <c r="M646" s="124"/>
      <c r="N646" s="124"/>
      <c r="O646" s="124"/>
      <c r="P646" s="124"/>
      <c r="Q646" s="124"/>
      <c r="R646" s="124"/>
      <c r="S646" s="124"/>
      <c r="T646" s="124"/>
      <c r="U646" s="124"/>
      <c r="V646" s="124"/>
      <c r="W646" s="124"/>
      <c r="X646" s="124"/>
      <c r="Y646" s="124"/>
      <c r="Z646" s="124"/>
    </row>
    <row r="647" ht="29.25" customHeight="1">
      <c r="A647" s="124"/>
      <c r="B647" s="124"/>
      <c r="C647" s="124"/>
      <c r="D647" s="124"/>
      <c r="E647" s="124"/>
      <c r="F647" s="124"/>
      <c r="G647" s="124"/>
      <c r="H647" s="124"/>
      <c r="I647" s="126"/>
      <c r="J647" s="124"/>
      <c r="K647" s="124"/>
      <c r="L647" s="124"/>
      <c r="M647" s="124"/>
      <c r="N647" s="124"/>
      <c r="O647" s="124"/>
      <c r="P647" s="124"/>
      <c r="Q647" s="124"/>
      <c r="R647" s="124"/>
      <c r="S647" s="124"/>
      <c r="T647" s="124"/>
      <c r="U647" s="124"/>
      <c r="V647" s="124"/>
      <c r="W647" s="124"/>
      <c r="X647" s="124"/>
      <c r="Y647" s="124"/>
      <c r="Z647" s="124"/>
    </row>
    <row r="648" ht="29.25" customHeight="1">
      <c r="A648" s="124"/>
      <c r="B648" s="124"/>
      <c r="C648" s="124"/>
      <c r="D648" s="124"/>
      <c r="E648" s="124"/>
      <c r="F648" s="124"/>
      <c r="G648" s="124"/>
      <c r="H648" s="124"/>
      <c r="I648" s="126"/>
      <c r="J648" s="124"/>
      <c r="K648" s="124"/>
      <c r="L648" s="124"/>
      <c r="M648" s="124"/>
      <c r="N648" s="124"/>
      <c r="O648" s="124"/>
      <c r="P648" s="124"/>
      <c r="Q648" s="124"/>
      <c r="R648" s="124"/>
      <c r="S648" s="124"/>
      <c r="T648" s="124"/>
      <c r="U648" s="124"/>
      <c r="V648" s="124"/>
      <c r="W648" s="124"/>
      <c r="X648" s="124"/>
      <c r="Y648" s="124"/>
      <c r="Z648" s="124"/>
    </row>
    <row r="649" ht="29.25" customHeight="1">
      <c r="A649" s="124"/>
      <c r="B649" s="124"/>
      <c r="C649" s="124"/>
      <c r="D649" s="124"/>
      <c r="E649" s="124"/>
      <c r="F649" s="124"/>
      <c r="G649" s="124"/>
      <c r="H649" s="124"/>
      <c r="I649" s="126"/>
      <c r="J649" s="124"/>
      <c r="K649" s="124"/>
      <c r="L649" s="124"/>
      <c r="M649" s="124"/>
      <c r="N649" s="124"/>
      <c r="O649" s="124"/>
      <c r="P649" s="124"/>
      <c r="Q649" s="124"/>
      <c r="R649" s="124"/>
      <c r="S649" s="124"/>
      <c r="T649" s="124"/>
      <c r="U649" s="124"/>
      <c r="V649" s="124"/>
      <c r="W649" s="124"/>
      <c r="X649" s="124"/>
      <c r="Y649" s="124"/>
      <c r="Z649" s="124"/>
    </row>
    <row r="650" ht="29.25" customHeight="1">
      <c r="A650" s="124"/>
      <c r="B650" s="124"/>
      <c r="C650" s="124"/>
      <c r="D650" s="124"/>
      <c r="E650" s="124"/>
      <c r="F650" s="124"/>
      <c r="G650" s="124"/>
      <c r="H650" s="124"/>
      <c r="I650" s="126"/>
      <c r="J650" s="124"/>
      <c r="K650" s="124"/>
      <c r="L650" s="124"/>
      <c r="M650" s="124"/>
      <c r="N650" s="124"/>
      <c r="O650" s="124"/>
      <c r="P650" s="124"/>
      <c r="Q650" s="124"/>
      <c r="R650" s="124"/>
      <c r="S650" s="124"/>
      <c r="T650" s="124"/>
      <c r="U650" s="124"/>
      <c r="V650" s="124"/>
      <c r="W650" s="124"/>
      <c r="X650" s="124"/>
      <c r="Y650" s="124"/>
      <c r="Z650" s="124"/>
    </row>
    <row r="651" ht="29.25" customHeight="1">
      <c r="A651" s="124"/>
      <c r="B651" s="124"/>
      <c r="C651" s="124"/>
      <c r="D651" s="124"/>
      <c r="E651" s="124"/>
      <c r="F651" s="124"/>
      <c r="G651" s="124"/>
      <c r="H651" s="124"/>
      <c r="I651" s="126"/>
      <c r="J651" s="124"/>
      <c r="K651" s="124"/>
      <c r="L651" s="124"/>
      <c r="M651" s="124"/>
      <c r="N651" s="124"/>
      <c r="O651" s="124"/>
      <c r="P651" s="124"/>
      <c r="Q651" s="124"/>
      <c r="R651" s="124"/>
      <c r="S651" s="124"/>
      <c r="T651" s="124"/>
      <c r="U651" s="124"/>
      <c r="V651" s="124"/>
      <c r="W651" s="124"/>
      <c r="X651" s="124"/>
      <c r="Y651" s="124"/>
      <c r="Z651" s="124"/>
    </row>
    <row r="652" ht="29.25" customHeight="1">
      <c r="A652" s="124"/>
      <c r="B652" s="124"/>
      <c r="C652" s="124"/>
      <c r="D652" s="124"/>
      <c r="E652" s="124"/>
      <c r="F652" s="124"/>
      <c r="G652" s="124"/>
      <c r="H652" s="124"/>
      <c r="I652" s="126"/>
      <c r="J652" s="124"/>
      <c r="K652" s="124"/>
      <c r="L652" s="124"/>
      <c r="M652" s="124"/>
      <c r="N652" s="124"/>
      <c r="O652" s="124"/>
      <c r="P652" s="124"/>
      <c r="Q652" s="124"/>
      <c r="R652" s="124"/>
      <c r="S652" s="124"/>
      <c r="T652" s="124"/>
      <c r="U652" s="124"/>
      <c r="V652" s="124"/>
      <c r="W652" s="124"/>
      <c r="X652" s="124"/>
      <c r="Y652" s="124"/>
      <c r="Z652" s="124"/>
    </row>
    <row r="653" ht="29.25" customHeight="1">
      <c r="A653" s="124"/>
      <c r="B653" s="124"/>
      <c r="C653" s="124"/>
      <c r="D653" s="124"/>
      <c r="E653" s="124"/>
      <c r="F653" s="124"/>
      <c r="G653" s="124"/>
      <c r="H653" s="124"/>
      <c r="I653" s="126"/>
      <c r="J653" s="124"/>
      <c r="K653" s="124"/>
      <c r="L653" s="124"/>
      <c r="M653" s="124"/>
      <c r="N653" s="124"/>
      <c r="O653" s="124"/>
      <c r="P653" s="124"/>
      <c r="Q653" s="124"/>
      <c r="R653" s="124"/>
      <c r="S653" s="124"/>
      <c r="T653" s="124"/>
      <c r="U653" s="124"/>
      <c r="V653" s="124"/>
      <c r="W653" s="124"/>
      <c r="X653" s="124"/>
      <c r="Y653" s="124"/>
      <c r="Z653" s="124"/>
    </row>
    <row r="654" ht="29.25" customHeight="1">
      <c r="A654" s="124"/>
      <c r="B654" s="124"/>
      <c r="C654" s="124"/>
      <c r="D654" s="124"/>
      <c r="E654" s="124"/>
      <c r="F654" s="124"/>
      <c r="G654" s="124"/>
      <c r="H654" s="124"/>
      <c r="I654" s="126"/>
      <c r="J654" s="124"/>
      <c r="K654" s="124"/>
      <c r="L654" s="124"/>
      <c r="M654" s="124"/>
      <c r="N654" s="124"/>
      <c r="O654" s="124"/>
      <c r="P654" s="124"/>
      <c r="Q654" s="124"/>
      <c r="R654" s="124"/>
      <c r="S654" s="124"/>
      <c r="T654" s="124"/>
      <c r="U654" s="124"/>
      <c r="V654" s="124"/>
      <c r="W654" s="124"/>
      <c r="X654" s="124"/>
      <c r="Y654" s="124"/>
      <c r="Z654" s="124"/>
    </row>
    <row r="655" ht="29.25" customHeight="1">
      <c r="A655" s="124"/>
      <c r="B655" s="124"/>
      <c r="C655" s="124"/>
      <c r="D655" s="124"/>
      <c r="E655" s="124"/>
      <c r="F655" s="124"/>
      <c r="G655" s="124"/>
      <c r="H655" s="124"/>
      <c r="I655" s="126"/>
      <c r="J655" s="124"/>
      <c r="K655" s="124"/>
      <c r="L655" s="124"/>
      <c r="M655" s="124"/>
      <c r="N655" s="124"/>
      <c r="O655" s="124"/>
      <c r="P655" s="124"/>
      <c r="Q655" s="124"/>
      <c r="R655" s="124"/>
      <c r="S655" s="124"/>
      <c r="T655" s="124"/>
      <c r="U655" s="124"/>
      <c r="V655" s="124"/>
      <c r="W655" s="124"/>
      <c r="X655" s="124"/>
      <c r="Y655" s="124"/>
      <c r="Z655" s="124"/>
    </row>
    <row r="656" ht="29.25" customHeight="1">
      <c r="A656" s="124"/>
      <c r="B656" s="124"/>
      <c r="C656" s="124"/>
      <c r="D656" s="124"/>
      <c r="E656" s="124"/>
      <c r="F656" s="124"/>
      <c r="G656" s="124"/>
      <c r="H656" s="124"/>
      <c r="I656" s="126"/>
      <c r="J656" s="124"/>
      <c r="K656" s="124"/>
      <c r="L656" s="124"/>
      <c r="M656" s="124"/>
      <c r="N656" s="124"/>
      <c r="O656" s="124"/>
      <c r="P656" s="124"/>
      <c r="Q656" s="124"/>
      <c r="R656" s="124"/>
      <c r="S656" s="124"/>
      <c r="T656" s="124"/>
      <c r="U656" s="124"/>
      <c r="V656" s="124"/>
      <c r="W656" s="124"/>
      <c r="X656" s="124"/>
      <c r="Y656" s="124"/>
      <c r="Z656" s="124"/>
    </row>
    <row r="657" ht="29.25" customHeight="1">
      <c r="A657" s="124"/>
      <c r="B657" s="124"/>
      <c r="C657" s="124"/>
      <c r="D657" s="124"/>
      <c r="E657" s="124"/>
      <c r="F657" s="124"/>
      <c r="G657" s="124"/>
      <c r="H657" s="124"/>
      <c r="I657" s="126"/>
      <c r="J657" s="124"/>
      <c r="K657" s="124"/>
      <c r="L657" s="124"/>
      <c r="M657" s="124"/>
      <c r="N657" s="124"/>
      <c r="O657" s="124"/>
      <c r="P657" s="124"/>
      <c r="Q657" s="124"/>
      <c r="R657" s="124"/>
      <c r="S657" s="124"/>
      <c r="T657" s="124"/>
      <c r="U657" s="124"/>
      <c r="V657" s="124"/>
      <c r="W657" s="124"/>
      <c r="X657" s="124"/>
      <c r="Y657" s="124"/>
      <c r="Z657" s="124"/>
    </row>
    <row r="658" ht="29.25" customHeight="1">
      <c r="A658" s="124"/>
      <c r="B658" s="124"/>
      <c r="C658" s="124"/>
      <c r="D658" s="124"/>
      <c r="E658" s="124"/>
      <c r="F658" s="124"/>
      <c r="G658" s="124"/>
      <c r="H658" s="124"/>
      <c r="I658" s="126"/>
      <c r="J658" s="124"/>
      <c r="K658" s="124"/>
      <c r="L658" s="124"/>
      <c r="M658" s="124"/>
      <c r="N658" s="124"/>
      <c r="O658" s="124"/>
      <c r="P658" s="124"/>
      <c r="Q658" s="124"/>
      <c r="R658" s="124"/>
      <c r="S658" s="124"/>
      <c r="T658" s="124"/>
      <c r="U658" s="124"/>
      <c r="V658" s="124"/>
      <c r="W658" s="124"/>
      <c r="X658" s="124"/>
      <c r="Y658" s="124"/>
      <c r="Z658" s="124"/>
    </row>
    <row r="659" ht="29.25" customHeight="1">
      <c r="A659" s="124"/>
      <c r="B659" s="124"/>
      <c r="C659" s="124"/>
      <c r="D659" s="124"/>
      <c r="E659" s="124"/>
      <c r="F659" s="124"/>
      <c r="G659" s="124"/>
      <c r="H659" s="124"/>
      <c r="I659" s="126"/>
      <c r="J659" s="124"/>
      <c r="K659" s="124"/>
      <c r="L659" s="124"/>
      <c r="M659" s="124"/>
      <c r="N659" s="124"/>
      <c r="O659" s="124"/>
      <c r="P659" s="124"/>
      <c r="Q659" s="124"/>
      <c r="R659" s="124"/>
      <c r="S659" s="124"/>
      <c r="T659" s="124"/>
      <c r="U659" s="124"/>
      <c r="V659" s="124"/>
      <c r="W659" s="124"/>
      <c r="X659" s="124"/>
      <c r="Y659" s="124"/>
      <c r="Z659" s="124"/>
    </row>
    <row r="660" ht="29.25" customHeight="1">
      <c r="A660" s="124"/>
      <c r="B660" s="124"/>
      <c r="C660" s="124"/>
      <c r="D660" s="124"/>
      <c r="E660" s="124"/>
      <c r="F660" s="124"/>
      <c r="G660" s="124"/>
      <c r="H660" s="124"/>
      <c r="I660" s="126"/>
      <c r="J660" s="124"/>
      <c r="K660" s="124"/>
      <c r="L660" s="124"/>
      <c r="M660" s="124"/>
      <c r="N660" s="124"/>
      <c r="O660" s="124"/>
      <c r="P660" s="124"/>
      <c r="Q660" s="124"/>
      <c r="R660" s="124"/>
      <c r="S660" s="124"/>
      <c r="T660" s="124"/>
      <c r="U660" s="124"/>
      <c r="V660" s="124"/>
      <c r="W660" s="124"/>
      <c r="X660" s="124"/>
      <c r="Y660" s="124"/>
      <c r="Z660" s="124"/>
    </row>
    <row r="661" ht="29.25" customHeight="1">
      <c r="A661" s="124"/>
      <c r="B661" s="124"/>
      <c r="C661" s="124"/>
      <c r="D661" s="124"/>
      <c r="E661" s="124"/>
      <c r="F661" s="124"/>
      <c r="G661" s="124"/>
      <c r="H661" s="124"/>
      <c r="I661" s="126"/>
      <c r="J661" s="124"/>
      <c r="K661" s="124"/>
      <c r="L661" s="124"/>
      <c r="M661" s="124"/>
      <c r="N661" s="124"/>
      <c r="O661" s="124"/>
      <c r="P661" s="124"/>
      <c r="Q661" s="124"/>
      <c r="R661" s="124"/>
      <c r="S661" s="124"/>
      <c r="T661" s="124"/>
      <c r="U661" s="124"/>
      <c r="V661" s="124"/>
      <c r="W661" s="124"/>
      <c r="X661" s="124"/>
      <c r="Y661" s="124"/>
      <c r="Z661" s="124"/>
    </row>
    <row r="662" ht="29.25" customHeight="1">
      <c r="A662" s="124"/>
      <c r="B662" s="124"/>
      <c r="C662" s="124"/>
      <c r="D662" s="124"/>
      <c r="E662" s="124"/>
      <c r="F662" s="124"/>
      <c r="G662" s="124"/>
      <c r="H662" s="124"/>
      <c r="I662" s="126"/>
      <c r="J662" s="124"/>
      <c r="K662" s="124"/>
      <c r="L662" s="124"/>
      <c r="M662" s="124"/>
      <c r="N662" s="124"/>
      <c r="O662" s="124"/>
      <c r="P662" s="124"/>
      <c r="Q662" s="124"/>
      <c r="R662" s="124"/>
      <c r="S662" s="124"/>
      <c r="T662" s="124"/>
      <c r="U662" s="124"/>
      <c r="V662" s="124"/>
      <c r="W662" s="124"/>
      <c r="X662" s="124"/>
      <c r="Y662" s="124"/>
      <c r="Z662" s="124"/>
    </row>
    <row r="663" ht="29.25" customHeight="1">
      <c r="A663" s="124"/>
      <c r="B663" s="124"/>
      <c r="C663" s="124"/>
      <c r="D663" s="124"/>
      <c r="E663" s="124"/>
      <c r="F663" s="124"/>
      <c r="G663" s="124"/>
      <c r="H663" s="124"/>
      <c r="I663" s="126"/>
      <c r="J663" s="124"/>
      <c r="K663" s="124"/>
      <c r="L663" s="124"/>
      <c r="M663" s="124"/>
      <c r="N663" s="124"/>
      <c r="O663" s="124"/>
      <c r="P663" s="124"/>
      <c r="Q663" s="124"/>
      <c r="R663" s="124"/>
      <c r="S663" s="124"/>
      <c r="T663" s="124"/>
      <c r="U663" s="124"/>
      <c r="V663" s="124"/>
      <c r="W663" s="124"/>
      <c r="X663" s="124"/>
      <c r="Y663" s="124"/>
      <c r="Z663" s="124"/>
    </row>
    <row r="664" ht="29.25" customHeight="1">
      <c r="A664" s="124"/>
      <c r="B664" s="124"/>
      <c r="C664" s="124"/>
      <c r="D664" s="124"/>
      <c r="E664" s="124"/>
      <c r="F664" s="124"/>
      <c r="G664" s="124"/>
      <c r="H664" s="124"/>
      <c r="I664" s="126"/>
      <c r="J664" s="124"/>
      <c r="K664" s="124"/>
      <c r="L664" s="124"/>
      <c r="M664" s="124"/>
      <c r="N664" s="124"/>
      <c r="O664" s="124"/>
      <c r="P664" s="124"/>
      <c r="Q664" s="124"/>
      <c r="R664" s="124"/>
      <c r="S664" s="124"/>
      <c r="T664" s="124"/>
      <c r="U664" s="124"/>
      <c r="V664" s="124"/>
      <c r="W664" s="124"/>
      <c r="X664" s="124"/>
      <c r="Y664" s="124"/>
      <c r="Z664" s="124"/>
    </row>
    <row r="665" ht="29.25" customHeight="1">
      <c r="A665" s="124"/>
      <c r="B665" s="124"/>
      <c r="C665" s="124"/>
      <c r="D665" s="124"/>
      <c r="E665" s="124"/>
      <c r="F665" s="124"/>
      <c r="G665" s="124"/>
      <c r="H665" s="124"/>
      <c r="I665" s="126"/>
      <c r="J665" s="124"/>
      <c r="K665" s="124"/>
      <c r="L665" s="124"/>
      <c r="M665" s="124"/>
      <c r="N665" s="124"/>
      <c r="O665" s="124"/>
      <c r="P665" s="124"/>
      <c r="Q665" s="124"/>
      <c r="R665" s="124"/>
      <c r="S665" s="124"/>
      <c r="T665" s="124"/>
      <c r="U665" s="124"/>
      <c r="V665" s="124"/>
      <c r="W665" s="124"/>
      <c r="X665" s="124"/>
      <c r="Y665" s="124"/>
      <c r="Z665" s="124"/>
    </row>
    <row r="666" ht="29.25" customHeight="1">
      <c r="A666" s="124"/>
      <c r="B666" s="124"/>
      <c r="C666" s="124"/>
      <c r="D666" s="124"/>
      <c r="E666" s="124"/>
      <c r="F666" s="124"/>
      <c r="G666" s="124"/>
      <c r="H666" s="124"/>
      <c r="I666" s="126"/>
      <c r="J666" s="124"/>
      <c r="K666" s="124"/>
      <c r="L666" s="124"/>
      <c r="M666" s="124"/>
      <c r="N666" s="124"/>
      <c r="O666" s="124"/>
      <c r="P666" s="124"/>
      <c r="Q666" s="124"/>
      <c r="R666" s="124"/>
      <c r="S666" s="124"/>
      <c r="T666" s="124"/>
      <c r="U666" s="124"/>
      <c r="V666" s="124"/>
      <c r="W666" s="124"/>
      <c r="X666" s="124"/>
      <c r="Y666" s="124"/>
      <c r="Z666" s="124"/>
    </row>
    <row r="667" ht="29.25" customHeight="1">
      <c r="A667" s="124"/>
      <c r="B667" s="124"/>
      <c r="C667" s="124"/>
      <c r="D667" s="124"/>
      <c r="E667" s="124"/>
      <c r="F667" s="124"/>
      <c r="G667" s="124"/>
      <c r="H667" s="124"/>
      <c r="I667" s="126"/>
      <c r="J667" s="124"/>
      <c r="K667" s="124"/>
      <c r="L667" s="124"/>
      <c r="M667" s="124"/>
      <c r="N667" s="124"/>
      <c r="O667" s="124"/>
      <c r="P667" s="124"/>
      <c r="Q667" s="124"/>
      <c r="R667" s="124"/>
      <c r="S667" s="124"/>
      <c r="T667" s="124"/>
      <c r="U667" s="124"/>
      <c r="V667" s="124"/>
      <c r="W667" s="124"/>
      <c r="X667" s="124"/>
      <c r="Y667" s="124"/>
      <c r="Z667" s="124"/>
    </row>
    <row r="668" ht="29.25" customHeight="1">
      <c r="A668" s="124"/>
      <c r="B668" s="124"/>
      <c r="C668" s="124"/>
      <c r="D668" s="124"/>
      <c r="E668" s="124"/>
      <c r="F668" s="124"/>
      <c r="G668" s="124"/>
      <c r="H668" s="124"/>
      <c r="I668" s="126"/>
      <c r="J668" s="124"/>
      <c r="K668" s="124"/>
      <c r="L668" s="124"/>
      <c r="M668" s="124"/>
      <c r="N668" s="124"/>
      <c r="O668" s="124"/>
      <c r="P668" s="124"/>
      <c r="Q668" s="124"/>
      <c r="R668" s="124"/>
      <c r="S668" s="124"/>
      <c r="T668" s="124"/>
      <c r="U668" s="124"/>
      <c r="V668" s="124"/>
      <c r="W668" s="124"/>
      <c r="X668" s="124"/>
      <c r="Y668" s="124"/>
      <c r="Z668" s="124"/>
    </row>
    <row r="669" ht="29.25" customHeight="1">
      <c r="A669" s="124"/>
      <c r="B669" s="124"/>
      <c r="C669" s="124"/>
      <c r="D669" s="124"/>
      <c r="E669" s="124"/>
      <c r="F669" s="124"/>
      <c r="G669" s="124"/>
      <c r="H669" s="124"/>
      <c r="I669" s="126"/>
      <c r="J669" s="124"/>
      <c r="K669" s="124"/>
      <c r="L669" s="124"/>
      <c r="M669" s="124"/>
      <c r="N669" s="124"/>
      <c r="O669" s="124"/>
      <c r="P669" s="124"/>
      <c r="Q669" s="124"/>
      <c r="R669" s="124"/>
      <c r="S669" s="124"/>
      <c r="T669" s="124"/>
      <c r="U669" s="124"/>
      <c r="V669" s="124"/>
      <c r="W669" s="124"/>
      <c r="X669" s="124"/>
      <c r="Y669" s="124"/>
      <c r="Z669" s="124"/>
    </row>
    <row r="670" ht="29.25" customHeight="1">
      <c r="A670" s="124"/>
      <c r="B670" s="124"/>
      <c r="C670" s="124"/>
      <c r="D670" s="124"/>
      <c r="E670" s="124"/>
      <c r="F670" s="124"/>
      <c r="G670" s="124"/>
      <c r="H670" s="124"/>
      <c r="I670" s="126"/>
      <c r="J670" s="124"/>
      <c r="K670" s="124"/>
      <c r="L670" s="124"/>
      <c r="M670" s="124"/>
      <c r="N670" s="124"/>
      <c r="O670" s="124"/>
      <c r="P670" s="124"/>
      <c r="Q670" s="124"/>
      <c r="R670" s="124"/>
      <c r="S670" s="124"/>
      <c r="T670" s="124"/>
      <c r="U670" s="124"/>
      <c r="V670" s="124"/>
      <c r="W670" s="124"/>
      <c r="X670" s="124"/>
      <c r="Y670" s="124"/>
      <c r="Z670" s="124"/>
    </row>
    <row r="671" ht="29.25" customHeight="1">
      <c r="A671" s="124"/>
      <c r="B671" s="124"/>
      <c r="C671" s="124"/>
      <c r="D671" s="124"/>
      <c r="E671" s="124"/>
      <c r="F671" s="124"/>
      <c r="G671" s="124"/>
      <c r="H671" s="124"/>
      <c r="I671" s="126"/>
      <c r="J671" s="124"/>
      <c r="K671" s="124"/>
      <c r="L671" s="124"/>
      <c r="M671" s="124"/>
      <c r="N671" s="124"/>
      <c r="O671" s="124"/>
      <c r="P671" s="124"/>
      <c r="Q671" s="124"/>
      <c r="R671" s="124"/>
      <c r="S671" s="124"/>
      <c r="T671" s="124"/>
      <c r="U671" s="124"/>
      <c r="V671" s="124"/>
      <c r="W671" s="124"/>
      <c r="X671" s="124"/>
      <c r="Y671" s="124"/>
      <c r="Z671" s="124"/>
    </row>
    <row r="672" ht="29.25" customHeight="1">
      <c r="A672" s="124"/>
      <c r="B672" s="124"/>
      <c r="C672" s="124"/>
      <c r="D672" s="124"/>
      <c r="E672" s="124"/>
      <c r="F672" s="124"/>
      <c r="G672" s="124"/>
      <c r="H672" s="124"/>
      <c r="I672" s="126"/>
      <c r="J672" s="124"/>
      <c r="K672" s="124"/>
      <c r="L672" s="124"/>
      <c r="M672" s="124"/>
      <c r="N672" s="124"/>
      <c r="O672" s="124"/>
      <c r="P672" s="124"/>
      <c r="Q672" s="124"/>
      <c r="R672" s="124"/>
      <c r="S672" s="124"/>
      <c r="T672" s="124"/>
      <c r="U672" s="124"/>
      <c r="V672" s="124"/>
      <c r="W672" s="124"/>
      <c r="X672" s="124"/>
      <c r="Y672" s="124"/>
      <c r="Z672" s="124"/>
    </row>
    <row r="673" ht="29.25" customHeight="1">
      <c r="A673" s="124"/>
      <c r="B673" s="124"/>
      <c r="C673" s="124"/>
      <c r="D673" s="124"/>
      <c r="E673" s="124"/>
      <c r="F673" s="124"/>
      <c r="G673" s="124"/>
      <c r="H673" s="124"/>
      <c r="I673" s="126"/>
      <c r="J673" s="124"/>
      <c r="K673" s="124"/>
      <c r="L673" s="124"/>
      <c r="M673" s="124"/>
      <c r="N673" s="124"/>
      <c r="O673" s="124"/>
      <c r="P673" s="124"/>
      <c r="Q673" s="124"/>
      <c r="R673" s="124"/>
      <c r="S673" s="124"/>
      <c r="T673" s="124"/>
      <c r="U673" s="124"/>
      <c r="V673" s="124"/>
      <c r="W673" s="124"/>
      <c r="X673" s="124"/>
      <c r="Y673" s="124"/>
      <c r="Z673" s="124"/>
    </row>
    <row r="674" ht="29.25" customHeight="1">
      <c r="A674" s="124"/>
      <c r="B674" s="124"/>
      <c r="C674" s="124"/>
      <c r="D674" s="124"/>
      <c r="E674" s="124"/>
      <c r="F674" s="124"/>
      <c r="G674" s="124"/>
      <c r="H674" s="124"/>
      <c r="I674" s="126"/>
      <c r="J674" s="124"/>
      <c r="K674" s="124"/>
      <c r="L674" s="124"/>
      <c r="M674" s="124"/>
      <c r="N674" s="124"/>
      <c r="O674" s="124"/>
      <c r="P674" s="124"/>
      <c r="Q674" s="124"/>
      <c r="R674" s="124"/>
      <c r="S674" s="124"/>
      <c r="T674" s="124"/>
      <c r="U674" s="124"/>
      <c r="V674" s="124"/>
      <c r="W674" s="124"/>
      <c r="X674" s="124"/>
      <c r="Y674" s="124"/>
      <c r="Z674" s="124"/>
    </row>
    <row r="675" ht="29.25" customHeight="1">
      <c r="A675" s="124"/>
      <c r="B675" s="124"/>
      <c r="C675" s="124"/>
      <c r="D675" s="124"/>
      <c r="E675" s="124"/>
      <c r="F675" s="124"/>
      <c r="G675" s="124"/>
      <c r="H675" s="124"/>
      <c r="I675" s="126"/>
      <c r="J675" s="124"/>
      <c r="K675" s="124"/>
      <c r="L675" s="124"/>
      <c r="M675" s="124"/>
      <c r="N675" s="124"/>
      <c r="O675" s="124"/>
      <c r="P675" s="124"/>
      <c r="Q675" s="124"/>
      <c r="R675" s="124"/>
      <c r="S675" s="124"/>
      <c r="T675" s="124"/>
      <c r="U675" s="124"/>
      <c r="V675" s="124"/>
      <c r="W675" s="124"/>
      <c r="X675" s="124"/>
      <c r="Y675" s="124"/>
      <c r="Z675" s="124"/>
    </row>
    <row r="676" ht="29.25" customHeight="1">
      <c r="A676" s="124"/>
      <c r="B676" s="124"/>
      <c r="C676" s="124"/>
      <c r="D676" s="124"/>
      <c r="E676" s="124"/>
      <c r="F676" s="124"/>
      <c r="G676" s="124"/>
      <c r="H676" s="124"/>
      <c r="I676" s="126"/>
      <c r="J676" s="124"/>
      <c r="K676" s="124"/>
      <c r="L676" s="124"/>
      <c r="M676" s="124"/>
      <c r="N676" s="124"/>
      <c r="O676" s="124"/>
      <c r="P676" s="124"/>
      <c r="Q676" s="124"/>
      <c r="R676" s="124"/>
      <c r="S676" s="124"/>
      <c r="T676" s="124"/>
      <c r="U676" s="124"/>
      <c r="V676" s="124"/>
      <c r="W676" s="124"/>
      <c r="X676" s="124"/>
      <c r="Y676" s="124"/>
      <c r="Z676" s="124"/>
    </row>
    <row r="677" ht="29.25" customHeight="1">
      <c r="A677" s="124"/>
      <c r="B677" s="124"/>
      <c r="C677" s="124"/>
      <c r="D677" s="124"/>
      <c r="E677" s="124"/>
      <c r="F677" s="124"/>
      <c r="G677" s="124"/>
      <c r="H677" s="124"/>
      <c r="I677" s="126"/>
      <c r="J677" s="124"/>
      <c r="K677" s="124"/>
      <c r="L677" s="124"/>
      <c r="M677" s="124"/>
      <c r="N677" s="124"/>
      <c r="O677" s="124"/>
      <c r="P677" s="124"/>
      <c r="Q677" s="124"/>
      <c r="R677" s="124"/>
      <c r="S677" s="124"/>
      <c r="T677" s="124"/>
      <c r="U677" s="124"/>
      <c r="V677" s="124"/>
      <c r="W677" s="124"/>
      <c r="X677" s="124"/>
      <c r="Y677" s="124"/>
      <c r="Z677" s="124"/>
    </row>
    <row r="678" ht="29.25" customHeight="1">
      <c r="A678" s="124"/>
      <c r="B678" s="124"/>
      <c r="C678" s="124"/>
      <c r="D678" s="124"/>
      <c r="E678" s="124"/>
      <c r="F678" s="124"/>
      <c r="G678" s="124"/>
      <c r="H678" s="124"/>
      <c r="I678" s="126"/>
      <c r="J678" s="124"/>
      <c r="K678" s="124"/>
      <c r="L678" s="124"/>
      <c r="M678" s="124"/>
      <c r="N678" s="124"/>
      <c r="O678" s="124"/>
      <c r="P678" s="124"/>
      <c r="Q678" s="124"/>
      <c r="R678" s="124"/>
      <c r="S678" s="124"/>
      <c r="T678" s="124"/>
      <c r="U678" s="124"/>
      <c r="V678" s="124"/>
      <c r="W678" s="124"/>
      <c r="X678" s="124"/>
      <c r="Y678" s="124"/>
      <c r="Z678" s="124"/>
    </row>
    <row r="679" ht="29.25" customHeight="1">
      <c r="A679" s="124"/>
      <c r="B679" s="124"/>
      <c r="C679" s="124"/>
      <c r="D679" s="124"/>
      <c r="E679" s="124"/>
      <c r="F679" s="124"/>
      <c r="G679" s="124"/>
      <c r="H679" s="124"/>
      <c r="I679" s="126"/>
      <c r="J679" s="124"/>
      <c r="K679" s="124"/>
      <c r="L679" s="124"/>
      <c r="M679" s="124"/>
      <c r="N679" s="124"/>
      <c r="O679" s="124"/>
      <c r="P679" s="124"/>
      <c r="Q679" s="124"/>
      <c r="R679" s="124"/>
      <c r="S679" s="124"/>
      <c r="T679" s="124"/>
      <c r="U679" s="124"/>
      <c r="V679" s="124"/>
      <c r="W679" s="124"/>
      <c r="X679" s="124"/>
      <c r="Y679" s="124"/>
      <c r="Z679" s="124"/>
    </row>
    <row r="680" ht="29.25" customHeight="1">
      <c r="A680" s="124"/>
      <c r="B680" s="124"/>
      <c r="C680" s="124"/>
      <c r="D680" s="124"/>
      <c r="E680" s="124"/>
      <c r="F680" s="124"/>
      <c r="G680" s="124"/>
      <c r="H680" s="124"/>
      <c r="I680" s="126"/>
      <c r="J680" s="124"/>
      <c r="K680" s="124"/>
      <c r="L680" s="124"/>
      <c r="M680" s="124"/>
      <c r="N680" s="124"/>
      <c r="O680" s="124"/>
      <c r="P680" s="124"/>
      <c r="Q680" s="124"/>
      <c r="R680" s="124"/>
      <c r="S680" s="124"/>
      <c r="T680" s="124"/>
      <c r="U680" s="124"/>
      <c r="V680" s="124"/>
      <c r="W680" s="124"/>
      <c r="X680" s="124"/>
      <c r="Y680" s="124"/>
      <c r="Z680" s="124"/>
    </row>
    <row r="681" ht="29.25" customHeight="1">
      <c r="A681" s="124"/>
      <c r="B681" s="124"/>
      <c r="C681" s="124"/>
      <c r="D681" s="124"/>
      <c r="E681" s="124"/>
      <c r="F681" s="124"/>
      <c r="G681" s="124"/>
      <c r="H681" s="124"/>
      <c r="I681" s="126"/>
      <c r="J681" s="124"/>
      <c r="K681" s="124"/>
      <c r="L681" s="124"/>
      <c r="M681" s="124"/>
      <c r="N681" s="124"/>
      <c r="O681" s="124"/>
      <c r="P681" s="124"/>
      <c r="Q681" s="124"/>
      <c r="R681" s="124"/>
      <c r="S681" s="124"/>
      <c r="T681" s="124"/>
      <c r="U681" s="124"/>
      <c r="V681" s="124"/>
      <c r="W681" s="124"/>
      <c r="X681" s="124"/>
      <c r="Y681" s="124"/>
      <c r="Z681" s="124"/>
    </row>
    <row r="682" ht="29.25" customHeight="1">
      <c r="A682" s="124"/>
      <c r="B682" s="124"/>
      <c r="C682" s="124"/>
      <c r="D682" s="124"/>
      <c r="E682" s="124"/>
      <c r="F682" s="124"/>
      <c r="G682" s="124"/>
      <c r="H682" s="124"/>
      <c r="I682" s="126"/>
      <c r="J682" s="124"/>
      <c r="K682" s="124"/>
      <c r="L682" s="124"/>
      <c r="M682" s="124"/>
      <c r="N682" s="124"/>
      <c r="O682" s="124"/>
      <c r="P682" s="124"/>
      <c r="Q682" s="124"/>
      <c r="R682" s="124"/>
      <c r="S682" s="124"/>
      <c r="T682" s="124"/>
      <c r="U682" s="124"/>
      <c r="V682" s="124"/>
      <c r="W682" s="124"/>
      <c r="X682" s="124"/>
      <c r="Y682" s="124"/>
      <c r="Z682" s="124"/>
    </row>
    <row r="683" ht="29.25" customHeight="1">
      <c r="A683" s="124"/>
      <c r="B683" s="124"/>
      <c r="C683" s="124"/>
      <c r="D683" s="124"/>
      <c r="E683" s="124"/>
      <c r="F683" s="124"/>
      <c r="G683" s="124"/>
      <c r="H683" s="124"/>
      <c r="I683" s="126"/>
      <c r="J683" s="124"/>
      <c r="K683" s="124"/>
      <c r="L683" s="124"/>
      <c r="M683" s="124"/>
      <c r="N683" s="124"/>
      <c r="O683" s="124"/>
      <c r="P683" s="124"/>
      <c r="Q683" s="124"/>
      <c r="R683" s="124"/>
      <c r="S683" s="124"/>
      <c r="T683" s="124"/>
      <c r="U683" s="124"/>
      <c r="V683" s="124"/>
      <c r="W683" s="124"/>
      <c r="X683" s="124"/>
      <c r="Y683" s="124"/>
      <c r="Z683" s="124"/>
    </row>
    <row r="684" ht="29.25" customHeight="1">
      <c r="A684" s="124"/>
      <c r="B684" s="124"/>
      <c r="C684" s="124"/>
      <c r="D684" s="124"/>
      <c r="E684" s="124"/>
      <c r="F684" s="124"/>
      <c r="G684" s="124"/>
      <c r="H684" s="124"/>
      <c r="I684" s="126"/>
      <c r="J684" s="124"/>
      <c r="K684" s="124"/>
      <c r="L684" s="124"/>
      <c r="M684" s="124"/>
      <c r="N684" s="124"/>
      <c r="O684" s="124"/>
      <c r="P684" s="124"/>
      <c r="Q684" s="124"/>
      <c r="R684" s="124"/>
      <c r="S684" s="124"/>
      <c r="T684" s="124"/>
      <c r="U684" s="124"/>
      <c r="V684" s="124"/>
      <c r="W684" s="124"/>
      <c r="X684" s="124"/>
      <c r="Y684" s="124"/>
      <c r="Z684" s="124"/>
    </row>
    <row r="685" ht="29.25" customHeight="1">
      <c r="A685" s="124"/>
      <c r="B685" s="124"/>
      <c r="C685" s="124"/>
      <c r="D685" s="124"/>
      <c r="E685" s="124"/>
      <c r="F685" s="124"/>
      <c r="G685" s="124"/>
      <c r="H685" s="124"/>
      <c r="I685" s="126"/>
      <c r="J685" s="124"/>
      <c r="K685" s="124"/>
      <c r="L685" s="124"/>
      <c r="M685" s="124"/>
      <c r="N685" s="124"/>
      <c r="O685" s="124"/>
      <c r="P685" s="124"/>
      <c r="Q685" s="124"/>
      <c r="R685" s="124"/>
      <c r="S685" s="124"/>
      <c r="T685" s="124"/>
      <c r="U685" s="124"/>
      <c r="V685" s="124"/>
      <c r="W685" s="124"/>
      <c r="X685" s="124"/>
      <c r="Y685" s="124"/>
      <c r="Z685" s="124"/>
    </row>
    <row r="686" ht="29.25" customHeight="1">
      <c r="A686" s="124"/>
      <c r="B686" s="124"/>
      <c r="C686" s="124"/>
      <c r="D686" s="124"/>
      <c r="E686" s="124"/>
      <c r="F686" s="124"/>
      <c r="G686" s="124"/>
      <c r="H686" s="124"/>
      <c r="I686" s="126"/>
      <c r="J686" s="124"/>
      <c r="K686" s="124"/>
      <c r="L686" s="124"/>
      <c r="M686" s="124"/>
      <c r="N686" s="124"/>
      <c r="O686" s="124"/>
      <c r="P686" s="124"/>
      <c r="Q686" s="124"/>
      <c r="R686" s="124"/>
      <c r="S686" s="124"/>
      <c r="T686" s="124"/>
      <c r="U686" s="124"/>
      <c r="V686" s="124"/>
      <c r="W686" s="124"/>
      <c r="X686" s="124"/>
      <c r="Y686" s="124"/>
      <c r="Z686" s="124"/>
    </row>
    <row r="687" ht="29.25" customHeight="1">
      <c r="A687" s="124"/>
      <c r="B687" s="124"/>
      <c r="C687" s="124"/>
      <c r="D687" s="124"/>
      <c r="E687" s="124"/>
      <c r="F687" s="124"/>
      <c r="G687" s="124"/>
      <c r="H687" s="124"/>
      <c r="I687" s="126"/>
      <c r="J687" s="124"/>
      <c r="K687" s="124"/>
      <c r="L687" s="124"/>
      <c r="M687" s="124"/>
      <c r="N687" s="124"/>
      <c r="O687" s="124"/>
      <c r="P687" s="124"/>
      <c r="Q687" s="124"/>
      <c r="R687" s="124"/>
      <c r="S687" s="124"/>
      <c r="T687" s="124"/>
      <c r="U687" s="124"/>
      <c r="V687" s="124"/>
      <c r="W687" s="124"/>
      <c r="X687" s="124"/>
      <c r="Y687" s="124"/>
      <c r="Z687" s="124"/>
    </row>
    <row r="688" ht="29.25" customHeight="1">
      <c r="A688" s="124"/>
      <c r="B688" s="124"/>
      <c r="C688" s="124"/>
      <c r="D688" s="124"/>
      <c r="E688" s="124"/>
      <c r="F688" s="124"/>
      <c r="G688" s="124"/>
      <c r="H688" s="124"/>
      <c r="I688" s="126"/>
      <c r="J688" s="124"/>
      <c r="K688" s="124"/>
      <c r="L688" s="124"/>
      <c r="M688" s="124"/>
      <c r="N688" s="124"/>
      <c r="O688" s="124"/>
      <c r="P688" s="124"/>
      <c r="Q688" s="124"/>
      <c r="R688" s="124"/>
      <c r="S688" s="124"/>
      <c r="T688" s="124"/>
      <c r="U688" s="124"/>
      <c r="V688" s="124"/>
      <c r="W688" s="124"/>
      <c r="X688" s="124"/>
      <c r="Y688" s="124"/>
      <c r="Z688" s="124"/>
    </row>
    <row r="689" ht="29.25" customHeight="1">
      <c r="A689" s="124"/>
      <c r="B689" s="124"/>
      <c r="C689" s="124"/>
      <c r="D689" s="124"/>
      <c r="E689" s="124"/>
      <c r="F689" s="124"/>
      <c r="G689" s="124"/>
      <c r="H689" s="124"/>
      <c r="I689" s="126"/>
      <c r="J689" s="124"/>
      <c r="K689" s="124"/>
      <c r="L689" s="124"/>
      <c r="M689" s="124"/>
      <c r="N689" s="124"/>
      <c r="O689" s="124"/>
      <c r="P689" s="124"/>
      <c r="Q689" s="124"/>
      <c r="R689" s="124"/>
      <c r="S689" s="124"/>
      <c r="T689" s="124"/>
      <c r="U689" s="124"/>
      <c r="V689" s="124"/>
      <c r="W689" s="124"/>
      <c r="X689" s="124"/>
      <c r="Y689" s="124"/>
      <c r="Z689" s="124"/>
    </row>
    <row r="690" ht="29.25" customHeight="1">
      <c r="A690" s="124"/>
      <c r="B690" s="124"/>
      <c r="C690" s="124"/>
      <c r="D690" s="124"/>
      <c r="E690" s="124"/>
      <c r="F690" s="124"/>
      <c r="G690" s="124"/>
      <c r="H690" s="124"/>
      <c r="I690" s="126"/>
      <c r="J690" s="124"/>
      <c r="K690" s="124"/>
      <c r="L690" s="124"/>
      <c r="M690" s="124"/>
      <c r="N690" s="124"/>
      <c r="O690" s="124"/>
      <c r="P690" s="124"/>
      <c r="Q690" s="124"/>
      <c r="R690" s="124"/>
      <c r="S690" s="124"/>
      <c r="T690" s="124"/>
      <c r="U690" s="124"/>
      <c r="V690" s="124"/>
      <c r="W690" s="124"/>
      <c r="X690" s="124"/>
      <c r="Y690" s="124"/>
      <c r="Z690" s="124"/>
    </row>
    <row r="691" ht="29.25" customHeight="1">
      <c r="A691" s="124"/>
      <c r="B691" s="124"/>
      <c r="C691" s="124"/>
      <c r="D691" s="124"/>
      <c r="E691" s="124"/>
      <c r="F691" s="124"/>
      <c r="G691" s="124"/>
      <c r="H691" s="124"/>
      <c r="I691" s="126"/>
      <c r="J691" s="124"/>
      <c r="K691" s="124"/>
      <c r="L691" s="124"/>
      <c r="M691" s="124"/>
      <c r="N691" s="124"/>
      <c r="O691" s="124"/>
      <c r="P691" s="124"/>
      <c r="Q691" s="124"/>
      <c r="R691" s="124"/>
      <c r="S691" s="124"/>
      <c r="T691" s="124"/>
      <c r="U691" s="124"/>
      <c r="V691" s="124"/>
      <c r="W691" s="124"/>
      <c r="X691" s="124"/>
      <c r="Y691" s="124"/>
      <c r="Z691" s="124"/>
    </row>
    <row r="692" ht="29.25" customHeight="1">
      <c r="A692" s="124"/>
      <c r="B692" s="124"/>
      <c r="C692" s="124"/>
      <c r="D692" s="124"/>
      <c r="E692" s="124"/>
      <c r="F692" s="124"/>
      <c r="G692" s="124"/>
      <c r="H692" s="124"/>
      <c r="I692" s="126"/>
      <c r="J692" s="124"/>
      <c r="K692" s="124"/>
      <c r="L692" s="124"/>
      <c r="M692" s="124"/>
      <c r="N692" s="124"/>
      <c r="O692" s="124"/>
      <c r="P692" s="124"/>
      <c r="Q692" s="124"/>
      <c r="R692" s="124"/>
      <c r="S692" s="124"/>
      <c r="T692" s="124"/>
      <c r="U692" s="124"/>
      <c r="V692" s="124"/>
      <c r="W692" s="124"/>
      <c r="X692" s="124"/>
      <c r="Y692" s="124"/>
      <c r="Z692" s="124"/>
    </row>
    <row r="693" ht="29.25" customHeight="1">
      <c r="A693" s="124"/>
      <c r="B693" s="124"/>
      <c r="C693" s="124"/>
      <c r="D693" s="124"/>
      <c r="E693" s="124"/>
      <c r="F693" s="124"/>
      <c r="G693" s="124"/>
      <c r="H693" s="124"/>
      <c r="I693" s="126"/>
      <c r="J693" s="124"/>
      <c r="K693" s="124"/>
      <c r="L693" s="124"/>
      <c r="M693" s="124"/>
      <c r="N693" s="124"/>
      <c r="O693" s="124"/>
      <c r="P693" s="124"/>
      <c r="Q693" s="124"/>
      <c r="R693" s="124"/>
      <c r="S693" s="124"/>
      <c r="T693" s="124"/>
      <c r="U693" s="124"/>
      <c r="V693" s="124"/>
      <c r="W693" s="124"/>
      <c r="X693" s="124"/>
      <c r="Y693" s="124"/>
      <c r="Z693" s="124"/>
    </row>
    <row r="694" ht="29.25" customHeight="1">
      <c r="A694" s="124"/>
      <c r="B694" s="124"/>
      <c r="C694" s="124"/>
      <c r="D694" s="124"/>
      <c r="E694" s="124"/>
      <c r="F694" s="124"/>
      <c r="G694" s="124"/>
      <c r="H694" s="124"/>
      <c r="I694" s="126"/>
      <c r="J694" s="124"/>
      <c r="K694" s="124"/>
      <c r="L694" s="124"/>
      <c r="M694" s="124"/>
      <c r="N694" s="124"/>
      <c r="O694" s="124"/>
      <c r="P694" s="124"/>
      <c r="Q694" s="124"/>
      <c r="R694" s="124"/>
      <c r="S694" s="124"/>
      <c r="T694" s="124"/>
      <c r="U694" s="124"/>
      <c r="V694" s="124"/>
      <c r="W694" s="124"/>
      <c r="X694" s="124"/>
      <c r="Y694" s="124"/>
      <c r="Z694" s="124"/>
    </row>
    <row r="695" ht="29.25" customHeight="1">
      <c r="A695" s="124"/>
      <c r="B695" s="124"/>
      <c r="C695" s="124"/>
      <c r="D695" s="124"/>
      <c r="E695" s="124"/>
      <c r="F695" s="124"/>
      <c r="G695" s="124"/>
      <c r="H695" s="124"/>
      <c r="I695" s="126"/>
      <c r="J695" s="124"/>
      <c r="K695" s="124"/>
      <c r="L695" s="124"/>
      <c r="M695" s="124"/>
      <c r="N695" s="124"/>
      <c r="O695" s="124"/>
      <c r="P695" s="124"/>
      <c r="Q695" s="124"/>
      <c r="R695" s="124"/>
      <c r="S695" s="124"/>
      <c r="T695" s="124"/>
      <c r="U695" s="124"/>
      <c r="V695" s="124"/>
      <c r="W695" s="124"/>
      <c r="X695" s="124"/>
      <c r="Y695" s="124"/>
      <c r="Z695" s="124"/>
    </row>
    <row r="696" ht="29.25" customHeight="1">
      <c r="A696" s="124"/>
      <c r="B696" s="124"/>
      <c r="C696" s="124"/>
      <c r="D696" s="124"/>
      <c r="E696" s="124"/>
      <c r="F696" s="124"/>
      <c r="G696" s="124"/>
      <c r="H696" s="124"/>
      <c r="I696" s="126"/>
      <c r="J696" s="124"/>
      <c r="K696" s="124"/>
      <c r="L696" s="124"/>
      <c r="M696" s="124"/>
      <c r="N696" s="124"/>
      <c r="O696" s="124"/>
      <c r="P696" s="124"/>
      <c r="Q696" s="124"/>
      <c r="R696" s="124"/>
      <c r="S696" s="124"/>
      <c r="T696" s="124"/>
      <c r="U696" s="124"/>
      <c r="V696" s="124"/>
      <c r="W696" s="124"/>
      <c r="X696" s="124"/>
      <c r="Y696" s="124"/>
      <c r="Z696" s="124"/>
    </row>
    <row r="697" ht="29.25" customHeight="1">
      <c r="A697" s="124"/>
      <c r="B697" s="124"/>
      <c r="C697" s="124"/>
      <c r="D697" s="124"/>
      <c r="E697" s="124"/>
      <c r="F697" s="124"/>
      <c r="G697" s="124"/>
      <c r="H697" s="124"/>
      <c r="I697" s="126"/>
      <c r="J697" s="124"/>
      <c r="K697" s="124"/>
      <c r="L697" s="124"/>
      <c r="M697" s="124"/>
      <c r="N697" s="124"/>
      <c r="O697" s="124"/>
      <c r="P697" s="124"/>
      <c r="Q697" s="124"/>
      <c r="R697" s="124"/>
      <c r="S697" s="124"/>
      <c r="T697" s="124"/>
      <c r="U697" s="124"/>
      <c r="V697" s="124"/>
      <c r="W697" s="124"/>
      <c r="X697" s="124"/>
      <c r="Y697" s="124"/>
      <c r="Z697" s="124"/>
    </row>
    <row r="698" ht="29.25" customHeight="1">
      <c r="A698" s="124"/>
      <c r="B698" s="124"/>
      <c r="C698" s="124"/>
      <c r="D698" s="124"/>
      <c r="E698" s="124"/>
      <c r="F698" s="124"/>
      <c r="G698" s="124"/>
      <c r="H698" s="124"/>
      <c r="I698" s="126"/>
      <c r="J698" s="124"/>
      <c r="K698" s="124"/>
      <c r="L698" s="124"/>
      <c r="M698" s="124"/>
      <c r="N698" s="124"/>
      <c r="O698" s="124"/>
      <c r="P698" s="124"/>
      <c r="Q698" s="124"/>
      <c r="R698" s="124"/>
      <c r="S698" s="124"/>
      <c r="T698" s="124"/>
      <c r="U698" s="124"/>
      <c r="V698" s="124"/>
      <c r="W698" s="124"/>
      <c r="X698" s="124"/>
      <c r="Y698" s="124"/>
      <c r="Z698" s="124"/>
    </row>
    <row r="699" ht="29.25" customHeight="1">
      <c r="A699" s="124"/>
      <c r="B699" s="124"/>
      <c r="C699" s="124"/>
      <c r="D699" s="124"/>
      <c r="E699" s="124"/>
      <c r="F699" s="124"/>
      <c r="G699" s="124"/>
      <c r="H699" s="124"/>
      <c r="I699" s="126"/>
      <c r="J699" s="124"/>
      <c r="K699" s="124"/>
      <c r="L699" s="124"/>
      <c r="M699" s="124"/>
      <c r="N699" s="124"/>
      <c r="O699" s="124"/>
      <c r="P699" s="124"/>
      <c r="Q699" s="124"/>
      <c r="R699" s="124"/>
      <c r="S699" s="124"/>
      <c r="T699" s="124"/>
      <c r="U699" s="124"/>
      <c r="V699" s="124"/>
      <c r="W699" s="124"/>
      <c r="X699" s="124"/>
      <c r="Y699" s="124"/>
      <c r="Z699" s="124"/>
    </row>
    <row r="700" ht="29.25" customHeight="1">
      <c r="A700" s="124"/>
      <c r="B700" s="124"/>
      <c r="C700" s="124"/>
      <c r="D700" s="124"/>
      <c r="E700" s="124"/>
      <c r="F700" s="124"/>
      <c r="G700" s="124"/>
      <c r="H700" s="124"/>
      <c r="I700" s="126"/>
      <c r="J700" s="124"/>
      <c r="K700" s="124"/>
      <c r="L700" s="124"/>
      <c r="M700" s="124"/>
      <c r="N700" s="124"/>
      <c r="O700" s="124"/>
      <c r="P700" s="124"/>
      <c r="Q700" s="124"/>
      <c r="R700" s="124"/>
      <c r="S700" s="124"/>
      <c r="T700" s="124"/>
      <c r="U700" s="124"/>
      <c r="V700" s="124"/>
      <c r="W700" s="124"/>
      <c r="X700" s="124"/>
      <c r="Y700" s="124"/>
      <c r="Z700" s="124"/>
    </row>
    <row r="701" ht="29.25" customHeight="1">
      <c r="A701" s="124"/>
      <c r="B701" s="124"/>
      <c r="C701" s="124"/>
      <c r="D701" s="124"/>
      <c r="E701" s="124"/>
      <c r="F701" s="124"/>
      <c r="G701" s="124"/>
      <c r="H701" s="124"/>
      <c r="I701" s="126"/>
      <c r="J701" s="124"/>
      <c r="K701" s="124"/>
      <c r="L701" s="124"/>
      <c r="M701" s="124"/>
      <c r="N701" s="124"/>
      <c r="O701" s="124"/>
      <c r="P701" s="124"/>
      <c r="Q701" s="124"/>
      <c r="R701" s="124"/>
      <c r="S701" s="124"/>
      <c r="T701" s="124"/>
      <c r="U701" s="124"/>
      <c r="V701" s="124"/>
      <c r="W701" s="124"/>
      <c r="X701" s="124"/>
      <c r="Y701" s="124"/>
      <c r="Z701" s="124"/>
    </row>
    <row r="702" ht="29.25" customHeight="1">
      <c r="A702" s="124"/>
      <c r="B702" s="124"/>
      <c r="C702" s="124"/>
      <c r="D702" s="124"/>
      <c r="E702" s="124"/>
      <c r="F702" s="124"/>
      <c r="G702" s="124"/>
      <c r="H702" s="124"/>
      <c r="I702" s="126"/>
      <c r="J702" s="124"/>
      <c r="K702" s="124"/>
      <c r="L702" s="124"/>
      <c r="M702" s="124"/>
      <c r="N702" s="124"/>
      <c r="O702" s="124"/>
      <c r="P702" s="124"/>
      <c r="Q702" s="124"/>
      <c r="R702" s="124"/>
      <c r="S702" s="124"/>
      <c r="T702" s="124"/>
      <c r="U702" s="124"/>
      <c r="V702" s="124"/>
      <c r="W702" s="124"/>
      <c r="X702" s="124"/>
      <c r="Y702" s="124"/>
      <c r="Z702" s="124"/>
    </row>
    <row r="703" ht="29.25" customHeight="1">
      <c r="A703" s="124"/>
      <c r="B703" s="124"/>
      <c r="C703" s="124"/>
      <c r="D703" s="124"/>
      <c r="E703" s="124"/>
      <c r="F703" s="124"/>
      <c r="G703" s="124"/>
      <c r="H703" s="124"/>
      <c r="I703" s="126"/>
      <c r="J703" s="124"/>
      <c r="K703" s="124"/>
      <c r="L703" s="124"/>
      <c r="M703" s="124"/>
      <c r="N703" s="124"/>
      <c r="O703" s="124"/>
      <c r="P703" s="124"/>
      <c r="Q703" s="124"/>
      <c r="R703" s="124"/>
      <c r="S703" s="124"/>
      <c r="T703" s="124"/>
      <c r="U703" s="124"/>
      <c r="V703" s="124"/>
      <c r="W703" s="124"/>
      <c r="X703" s="124"/>
      <c r="Y703" s="124"/>
      <c r="Z703" s="124"/>
    </row>
    <row r="704" ht="29.25" customHeight="1">
      <c r="A704" s="124"/>
      <c r="B704" s="124"/>
      <c r="C704" s="124"/>
      <c r="D704" s="124"/>
      <c r="E704" s="124"/>
      <c r="F704" s="124"/>
      <c r="G704" s="124"/>
      <c r="H704" s="124"/>
      <c r="I704" s="126"/>
      <c r="J704" s="124"/>
      <c r="K704" s="124"/>
      <c r="L704" s="124"/>
      <c r="M704" s="124"/>
      <c r="N704" s="124"/>
      <c r="O704" s="124"/>
      <c r="P704" s="124"/>
      <c r="Q704" s="124"/>
      <c r="R704" s="124"/>
      <c r="S704" s="124"/>
      <c r="T704" s="124"/>
      <c r="U704" s="124"/>
      <c r="V704" s="124"/>
      <c r="W704" s="124"/>
      <c r="X704" s="124"/>
      <c r="Y704" s="124"/>
      <c r="Z704" s="124"/>
    </row>
    <row r="705" ht="29.25" customHeight="1">
      <c r="A705" s="124"/>
      <c r="B705" s="124"/>
      <c r="C705" s="124"/>
      <c r="D705" s="124"/>
      <c r="E705" s="124"/>
      <c r="F705" s="124"/>
      <c r="G705" s="124"/>
      <c r="H705" s="124"/>
      <c r="I705" s="126"/>
      <c r="J705" s="124"/>
      <c r="K705" s="124"/>
      <c r="L705" s="124"/>
      <c r="M705" s="124"/>
      <c r="N705" s="124"/>
      <c r="O705" s="124"/>
      <c r="P705" s="124"/>
      <c r="Q705" s="124"/>
      <c r="R705" s="124"/>
      <c r="S705" s="124"/>
      <c r="T705" s="124"/>
      <c r="U705" s="124"/>
      <c r="V705" s="124"/>
      <c r="W705" s="124"/>
      <c r="X705" s="124"/>
      <c r="Y705" s="124"/>
      <c r="Z705" s="124"/>
    </row>
    <row r="706" ht="29.25" customHeight="1">
      <c r="A706" s="124"/>
      <c r="B706" s="124"/>
      <c r="C706" s="124"/>
      <c r="D706" s="124"/>
      <c r="E706" s="124"/>
      <c r="F706" s="124"/>
      <c r="G706" s="124"/>
      <c r="H706" s="124"/>
      <c r="I706" s="126"/>
      <c r="J706" s="124"/>
      <c r="K706" s="124"/>
      <c r="L706" s="124"/>
      <c r="M706" s="124"/>
      <c r="N706" s="124"/>
      <c r="O706" s="124"/>
      <c r="P706" s="124"/>
      <c r="Q706" s="124"/>
      <c r="R706" s="124"/>
      <c r="S706" s="124"/>
      <c r="T706" s="124"/>
      <c r="U706" s="124"/>
      <c r="V706" s="124"/>
      <c r="W706" s="124"/>
      <c r="X706" s="124"/>
      <c r="Y706" s="124"/>
      <c r="Z706" s="124"/>
    </row>
    <row r="707" ht="29.25" customHeight="1">
      <c r="A707" s="124"/>
      <c r="B707" s="124"/>
      <c r="C707" s="124"/>
      <c r="D707" s="124"/>
      <c r="E707" s="124"/>
      <c r="F707" s="124"/>
      <c r="G707" s="124"/>
      <c r="H707" s="124"/>
      <c r="I707" s="126"/>
      <c r="J707" s="124"/>
      <c r="K707" s="124"/>
      <c r="L707" s="124"/>
      <c r="M707" s="124"/>
      <c r="N707" s="124"/>
      <c r="O707" s="124"/>
      <c r="P707" s="124"/>
      <c r="Q707" s="124"/>
      <c r="R707" s="124"/>
      <c r="S707" s="124"/>
      <c r="T707" s="124"/>
      <c r="U707" s="124"/>
      <c r="V707" s="124"/>
      <c r="W707" s="124"/>
      <c r="X707" s="124"/>
      <c r="Y707" s="124"/>
      <c r="Z707" s="124"/>
    </row>
    <row r="708" ht="29.25" customHeight="1">
      <c r="A708" s="124"/>
      <c r="B708" s="124"/>
      <c r="C708" s="124"/>
      <c r="D708" s="124"/>
      <c r="E708" s="124"/>
      <c r="F708" s="124"/>
      <c r="G708" s="124"/>
      <c r="H708" s="124"/>
      <c r="I708" s="126"/>
      <c r="J708" s="124"/>
      <c r="K708" s="124"/>
      <c r="L708" s="124"/>
      <c r="M708" s="124"/>
      <c r="N708" s="124"/>
      <c r="O708" s="124"/>
      <c r="P708" s="124"/>
      <c r="Q708" s="124"/>
      <c r="R708" s="124"/>
      <c r="S708" s="124"/>
      <c r="T708" s="124"/>
      <c r="U708" s="124"/>
      <c r="V708" s="124"/>
      <c r="W708" s="124"/>
      <c r="X708" s="124"/>
      <c r="Y708" s="124"/>
      <c r="Z708" s="124"/>
    </row>
    <row r="709" ht="29.25" customHeight="1">
      <c r="A709" s="124"/>
      <c r="B709" s="124"/>
      <c r="C709" s="124"/>
      <c r="D709" s="124"/>
      <c r="E709" s="124"/>
      <c r="F709" s="124"/>
      <c r="G709" s="124"/>
      <c r="H709" s="124"/>
      <c r="I709" s="126"/>
      <c r="J709" s="124"/>
      <c r="K709" s="124"/>
      <c r="L709" s="124"/>
      <c r="M709" s="124"/>
      <c r="N709" s="124"/>
      <c r="O709" s="124"/>
      <c r="P709" s="124"/>
      <c r="Q709" s="124"/>
      <c r="R709" s="124"/>
      <c r="S709" s="124"/>
      <c r="T709" s="124"/>
      <c r="U709" s="124"/>
      <c r="V709" s="124"/>
      <c r="W709" s="124"/>
      <c r="X709" s="124"/>
      <c r="Y709" s="124"/>
      <c r="Z709" s="124"/>
    </row>
    <row r="710" ht="29.25" customHeight="1">
      <c r="A710" s="124"/>
      <c r="B710" s="124"/>
      <c r="C710" s="124"/>
      <c r="D710" s="124"/>
      <c r="E710" s="124"/>
      <c r="F710" s="124"/>
      <c r="G710" s="124"/>
      <c r="H710" s="124"/>
      <c r="I710" s="126"/>
      <c r="J710" s="124"/>
      <c r="K710" s="124"/>
      <c r="L710" s="124"/>
      <c r="M710" s="124"/>
      <c r="N710" s="124"/>
      <c r="O710" s="124"/>
      <c r="P710" s="124"/>
      <c r="Q710" s="124"/>
      <c r="R710" s="124"/>
      <c r="S710" s="124"/>
      <c r="T710" s="124"/>
      <c r="U710" s="124"/>
      <c r="V710" s="124"/>
      <c r="W710" s="124"/>
      <c r="X710" s="124"/>
      <c r="Y710" s="124"/>
      <c r="Z710" s="124"/>
    </row>
    <row r="711" ht="29.25" customHeight="1">
      <c r="A711" s="124"/>
      <c r="B711" s="124"/>
      <c r="C711" s="124"/>
      <c r="D711" s="124"/>
      <c r="E711" s="124"/>
      <c r="F711" s="124"/>
      <c r="G711" s="124"/>
      <c r="H711" s="124"/>
      <c r="I711" s="126"/>
      <c r="J711" s="124"/>
      <c r="K711" s="124"/>
      <c r="L711" s="124"/>
      <c r="M711" s="124"/>
      <c r="N711" s="124"/>
      <c r="O711" s="124"/>
      <c r="P711" s="124"/>
      <c r="Q711" s="124"/>
      <c r="R711" s="124"/>
      <c r="S711" s="124"/>
      <c r="T711" s="124"/>
      <c r="U711" s="124"/>
      <c r="V711" s="124"/>
      <c r="W711" s="124"/>
      <c r="X711" s="124"/>
      <c r="Y711" s="124"/>
      <c r="Z711" s="124"/>
    </row>
    <row r="712" ht="29.25" customHeight="1">
      <c r="A712" s="124"/>
      <c r="B712" s="124"/>
      <c r="C712" s="124"/>
      <c r="D712" s="124"/>
      <c r="E712" s="124"/>
      <c r="F712" s="124"/>
      <c r="G712" s="124"/>
      <c r="H712" s="124"/>
      <c r="I712" s="126"/>
      <c r="J712" s="124"/>
      <c r="K712" s="124"/>
      <c r="L712" s="124"/>
      <c r="M712" s="124"/>
      <c r="N712" s="124"/>
      <c r="O712" s="124"/>
      <c r="P712" s="124"/>
      <c r="Q712" s="124"/>
      <c r="R712" s="124"/>
      <c r="S712" s="124"/>
      <c r="T712" s="124"/>
      <c r="U712" s="124"/>
      <c r="V712" s="124"/>
      <c r="W712" s="124"/>
      <c r="X712" s="124"/>
      <c r="Y712" s="124"/>
      <c r="Z712" s="124"/>
    </row>
    <row r="713" ht="29.25" customHeight="1">
      <c r="A713" s="124"/>
      <c r="B713" s="124"/>
      <c r="C713" s="124"/>
      <c r="D713" s="124"/>
      <c r="E713" s="124"/>
      <c r="F713" s="124"/>
      <c r="G713" s="124"/>
      <c r="H713" s="124"/>
      <c r="I713" s="126"/>
      <c r="J713" s="124"/>
      <c r="K713" s="124"/>
      <c r="L713" s="124"/>
      <c r="M713" s="124"/>
      <c r="N713" s="124"/>
      <c r="O713" s="124"/>
      <c r="P713" s="124"/>
      <c r="Q713" s="124"/>
      <c r="R713" s="124"/>
      <c r="S713" s="124"/>
      <c r="T713" s="124"/>
      <c r="U713" s="124"/>
      <c r="V713" s="124"/>
      <c r="W713" s="124"/>
      <c r="X713" s="124"/>
      <c r="Y713" s="124"/>
      <c r="Z713" s="124"/>
    </row>
    <row r="714" ht="29.25" customHeight="1">
      <c r="A714" s="124"/>
      <c r="B714" s="124"/>
      <c r="C714" s="124"/>
      <c r="D714" s="124"/>
      <c r="E714" s="124"/>
      <c r="F714" s="124"/>
      <c r="G714" s="124"/>
      <c r="H714" s="124"/>
      <c r="I714" s="126"/>
      <c r="J714" s="124"/>
      <c r="K714" s="124"/>
      <c r="L714" s="124"/>
      <c r="M714" s="124"/>
      <c r="N714" s="124"/>
      <c r="O714" s="124"/>
      <c r="P714" s="124"/>
      <c r="Q714" s="124"/>
      <c r="R714" s="124"/>
      <c r="S714" s="124"/>
      <c r="T714" s="124"/>
      <c r="U714" s="124"/>
      <c r="V714" s="124"/>
      <c r="W714" s="124"/>
      <c r="X714" s="124"/>
      <c r="Y714" s="124"/>
      <c r="Z714" s="124"/>
    </row>
    <row r="715" ht="29.25" customHeight="1">
      <c r="A715" s="124"/>
      <c r="B715" s="124"/>
      <c r="C715" s="124"/>
      <c r="D715" s="124"/>
      <c r="E715" s="124"/>
      <c r="F715" s="124"/>
      <c r="G715" s="124"/>
      <c r="H715" s="124"/>
      <c r="I715" s="126"/>
      <c r="J715" s="124"/>
      <c r="K715" s="124"/>
      <c r="L715" s="124"/>
      <c r="M715" s="124"/>
      <c r="N715" s="124"/>
      <c r="O715" s="124"/>
      <c r="P715" s="124"/>
      <c r="Q715" s="124"/>
      <c r="R715" s="124"/>
      <c r="S715" s="124"/>
      <c r="T715" s="124"/>
      <c r="U715" s="124"/>
      <c r="V715" s="124"/>
      <c r="W715" s="124"/>
      <c r="X715" s="124"/>
      <c r="Y715" s="124"/>
      <c r="Z715" s="124"/>
    </row>
    <row r="716" ht="29.25" customHeight="1">
      <c r="A716" s="124"/>
      <c r="B716" s="124"/>
      <c r="C716" s="124"/>
      <c r="D716" s="124"/>
      <c r="E716" s="124"/>
      <c r="F716" s="124"/>
      <c r="G716" s="124"/>
      <c r="H716" s="124"/>
      <c r="I716" s="126"/>
      <c r="J716" s="124"/>
      <c r="K716" s="124"/>
      <c r="L716" s="124"/>
      <c r="M716" s="124"/>
      <c r="N716" s="124"/>
      <c r="O716" s="124"/>
      <c r="P716" s="124"/>
      <c r="Q716" s="124"/>
      <c r="R716" s="124"/>
      <c r="S716" s="124"/>
      <c r="T716" s="124"/>
      <c r="U716" s="124"/>
      <c r="V716" s="124"/>
      <c r="W716" s="124"/>
      <c r="X716" s="124"/>
      <c r="Y716" s="124"/>
      <c r="Z716" s="124"/>
    </row>
    <row r="717" ht="29.25" customHeight="1">
      <c r="A717" s="124"/>
      <c r="B717" s="124"/>
      <c r="C717" s="124"/>
      <c r="D717" s="124"/>
      <c r="E717" s="124"/>
      <c r="F717" s="124"/>
      <c r="G717" s="124"/>
      <c r="H717" s="124"/>
      <c r="I717" s="126"/>
      <c r="J717" s="124"/>
      <c r="K717" s="124"/>
      <c r="L717" s="124"/>
      <c r="M717" s="124"/>
      <c r="N717" s="124"/>
      <c r="O717" s="124"/>
      <c r="P717" s="124"/>
      <c r="Q717" s="124"/>
      <c r="R717" s="124"/>
      <c r="S717" s="124"/>
      <c r="T717" s="124"/>
      <c r="U717" s="124"/>
      <c r="V717" s="124"/>
      <c r="W717" s="124"/>
      <c r="X717" s="124"/>
      <c r="Y717" s="124"/>
      <c r="Z717" s="124"/>
    </row>
    <row r="718" ht="29.25" customHeight="1">
      <c r="A718" s="124"/>
      <c r="B718" s="124"/>
      <c r="C718" s="124"/>
      <c r="D718" s="124"/>
      <c r="E718" s="124"/>
      <c r="F718" s="124"/>
      <c r="G718" s="124"/>
      <c r="H718" s="124"/>
      <c r="I718" s="126"/>
      <c r="J718" s="124"/>
      <c r="K718" s="124"/>
      <c r="L718" s="124"/>
      <c r="M718" s="124"/>
      <c r="N718" s="124"/>
      <c r="O718" s="124"/>
      <c r="P718" s="124"/>
      <c r="Q718" s="124"/>
      <c r="R718" s="124"/>
      <c r="S718" s="124"/>
      <c r="T718" s="124"/>
      <c r="U718" s="124"/>
      <c r="V718" s="124"/>
      <c r="W718" s="124"/>
      <c r="X718" s="124"/>
      <c r="Y718" s="124"/>
      <c r="Z718" s="124"/>
    </row>
    <row r="719" ht="29.25" customHeight="1">
      <c r="A719" s="124"/>
      <c r="B719" s="124"/>
      <c r="C719" s="124"/>
      <c r="D719" s="124"/>
      <c r="E719" s="124"/>
      <c r="F719" s="124"/>
      <c r="G719" s="124"/>
      <c r="H719" s="124"/>
      <c r="I719" s="126"/>
      <c r="J719" s="124"/>
      <c r="K719" s="124"/>
      <c r="L719" s="124"/>
      <c r="M719" s="124"/>
      <c r="N719" s="124"/>
      <c r="O719" s="124"/>
      <c r="P719" s="124"/>
      <c r="Q719" s="124"/>
      <c r="R719" s="124"/>
      <c r="S719" s="124"/>
      <c r="T719" s="124"/>
      <c r="U719" s="124"/>
      <c r="V719" s="124"/>
      <c r="W719" s="124"/>
      <c r="X719" s="124"/>
      <c r="Y719" s="124"/>
      <c r="Z719" s="124"/>
    </row>
    <row r="720" ht="29.25" customHeight="1">
      <c r="A720" s="124"/>
      <c r="B720" s="124"/>
      <c r="C720" s="124"/>
      <c r="D720" s="124"/>
      <c r="E720" s="124"/>
      <c r="F720" s="124"/>
      <c r="G720" s="124"/>
      <c r="H720" s="124"/>
      <c r="I720" s="126"/>
      <c r="J720" s="124"/>
      <c r="K720" s="124"/>
      <c r="L720" s="124"/>
      <c r="M720" s="124"/>
      <c r="N720" s="124"/>
      <c r="O720" s="124"/>
      <c r="P720" s="124"/>
      <c r="Q720" s="124"/>
      <c r="R720" s="124"/>
      <c r="S720" s="124"/>
      <c r="T720" s="124"/>
      <c r="U720" s="124"/>
      <c r="V720" s="124"/>
      <c r="W720" s="124"/>
      <c r="X720" s="124"/>
      <c r="Y720" s="124"/>
      <c r="Z720" s="124"/>
    </row>
    <row r="721" ht="29.25" customHeight="1">
      <c r="A721" s="124"/>
      <c r="B721" s="124"/>
      <c r="C721" s="124"/>
      <c r="D721" s="124"/>
      <c r="E721" s="124"/>
      <c r="F721" s="124"/>
      <c r="G721" s="124"/>
      <c r="H721" s="124"/>
      <c r="I721" s="126"/>
      <c r="J721" s="124"/>
      <c r="K721" s="124"/>
      <c r="L721" s="124"/>
      <c r="M721" s="124"/>
      <c r="N721" s="124"/>
      <c r="O721" s="124"/>
      <c r="P721" s="124"/>
      <c r="Q721" s="124"/>
      <c r="R721" s="124"/>
      <c r="S721" s="124"/>
      <c r="T721" s="124"/>
      <c r="U721" s="124"/>
      <c r="V721" s="124"/>
      <c r="W721" s="124"/>
      <c r="X721" s="124"/>
      <c r="Y721" s="124"/>
      <c r="Z721" s="124"/>
    </row>
    <row r="722" ht="29.25" customHeight="1">
      <c r="A722" s="124"/>
      <c r="B722" s="124"/>
      <c r="C722" s="124"/>
      <c r="D722" s="124"/>
      <c r="E722" s="124"/>
      <c r="F722" s="124"/>
      <c r="G722" s="124"/>
      <c r="H722" s="124"/>
      <c r="I722" s="126"/>
      <c r="J722" s="124"/>
      <c r="K722" s="124"/>
      <c r="L722" s="124"/>
      <c r="M722" s="124"/>
      <c r="N722" s="124"/>
      <c r="O722" s="124"/>
      <c r="P722" s="124"/>
      <c r="Q722" s="124"/>
      <c r="R722" s="124"/>
      <c r="S722" s="124"/>
      <c r="T722" s="124"/>
      <c r="U722" s="124"/>
      <c r="V722" s="124"/>
      <c r="W722" s="124"/>
      <c r="X722" s="124"/>
      <c r="Y722" s="124"/>
      <c r="Z722" s="124"/>
    </row>
    <row r="723" ht="29.25" customHeight="1">
      <c r="A723" s="124"/>
      <c r="B723" s="124"/>
      <c r="C723" s="124"/>
      <c r="D723" s="124"/>
      <c r="E723" s="124"/>
      <c r="F723" s="124"/>
      <c r="G723" s="124"/>
      <c r="H723" s="124"/>
      <c r="I723" s="126"/>
      <c r="J723" s="124"/>
      <c r="K723" s="124"/>
      <c r="L723" s="124"/>
      <c r="M723" s="124"/>
      <c r="N723" s="124"/>
      <c r="O723" s="124"/>
      <c r="P723" s="124"/>
      <c r="Q723" s="124"/>
      <c r="R723" s="124"/>
      <c r="S723" s="124"/>
      <c r="T723" s="124"/>
      <c r="U723" s="124"/>
      <c r="V723" s="124"/>
      <c r="W723" s="124"/>
      <c r="X723" s="124"/>
      <c r="Y723" s="124"/>
      <c r="Z723" s="124"/>
    </row>
    <row r="724" ht="29.25" customHeight="1">
      <c r="A724" s="124"/>
      <c r="B724" s="124"/>
      <c r="C724" s="124"/>
      <c r="D724" s="124"/>
      <c r="E724" s="124"/>
      <c r="F724" s="124"/>
      <c r="G724" s="124"/>
      <c r="H724" s="124"/>
      <c r="I724" s="126"/>
      <c r="J724" s="124"/>
      <c r="K724" s="124"/>
      <c r="L724" s="124"/>
      <c r="M724" s="124"/>
      <c r="N724" s="124"/>
      <c r="O724" s="124"/>
      <c r="P724" s="124"/>
      <c r="Q724" s="124"/>
      <c r="R724" s="124"/>
      <c r="S724" s="124"/>
      <c r="T724" s="124"/>
      <c r="U724" s="124"/>
      <c r="V724" s="124"/>
      <c r="W724" s="124"/>
      <c r="X724" s="124"/>
      <c r="Y724" s="124"/>
      <c r="Z724" s="124"/>
    </row>
    <row r="725" ht="29.25" customHeight="1">
      <c r="A725" s="124"/>
      <c r="B725" s="124"/>
      <c r="C725" s="124"/>
      <c r="D725" s="124"/>
      <c r="E725" s="124"/>
      <c r="F725" s="124"/>
      <c r="G725" s="124"/>
      <c r="H725" s="124"/>
      <c r="I725" s="126"/>
      <c r="J725" s="124"/>
      <c r="K725" s="124"/>
      <c r="L725" s="124"/>
      <c r="M725" s="124"/>
      <c r="N725" s="124"/>
      <c r="O725" s="124"/>
      <c r="P725" s="124"/>
      <c r="Q725" s="124"/>
      <c r="R725" s="124"/>
      <c r="S725" s="124"/>
      <c r="T725" s="124"/>
      <c r="U725" s="124"/>
      <c r="V725" s="124"/>
      <c r="W725" s="124"/>
      <c r="X725" s="124"/>
      <c r="Y725" s="124"/>
      <c r="Z725" s="124"/>
    </row>
    <row r="726" ht="29.25" customHeight="1">
      <c r="A726" s="124"/>
      <c r="B726" s="124"/>
      <c r="C726" s="124"/>
      <c r="D726" s="124"/>
      <c r="E726" s="124"/>
      <c r="F726" s="124"/>
      <c r="G726" s="124"/>
      <c r="H726" s="124"/>
      <c r="I726" s="126"/>
      <c r="J726" s="124"/>
      <c r="K726" s="124"/>
      <c r="L726" s="124"/>
      <c r="M726" s="124"/>
      <c r="N726" s="124"/>
      <c r="O726" s="124"/>
      <c r="P726" s="124"/>
      <c r="Q726" s="124"/>
      <c r="R726" s="124"/>
      <c r="S726" s="124"/>
      <c r="T726" s="124"/>
      <c r="U726" s="124"/>
      <c r="V726" s="124"/>
      <c r="W726" s="124"/>
      <c r="X726" s="124"/>
      <c r="Y726" s="124"/>
      <c r="Z726" s="124"/>
    </row>
    <row r="727" ht="29.25" customHeight="1">
      <c r="A727" s="124"/>
      <c r="B727" s="124"/>
      <c r="C727" s="124"/>
      <c r="D727" s="124"/>
      <c r="E727" s="124"/>
      <c r="F727" s="124"/>
      <c r="G727" s="124"/>
      <c r="H727" s="124"/>
      <c r="I727" s="126"/>
      <c r="J727" s="124"/>
      <c r="K727" s="124"/>
      <c r="L727" s="124"/>
      <c r="M727" s="124"/>
      <c r="N727" s="124"/>
      <c r="O727" s="124"/>
      <c r="P727" s="124"/>
      <c r="Q727" s="124"/>
      <c r="R727" s="124"/>
      <c r="S727" s="124"/>
      <c r="T727" s="124"/>
      <c r="U727" s="124"/>
      <c r="V727" s="124"/>
      <c r="W727" s="124"/>
      <c r="X727" s="124"/>
      <c r="Y727" s="124"/>
      <c r="Z727" s="124"/>
    </row>
    <row r="728" ht="29.25" customHeight="1">
      <c r="A728" s="124"/>
      <c r="B728" s="124"/>
      <c r="C728" s="124"/>
      <c r="D728" s="124"/>
      <c r="E728" s="124"/>
      <c r="F728" s="124"/>
      <c r="G728" s="124"/>
      <c r="H728" s="124"/>
      <c r="I728" s="126"/>
      <c r="J728" s="124"/>
      <c r="K728" s="124"/>
      <c r="L728" s="124"/>
      <c r="M728" s="124"/>
      <c r="N728" s="124"/>
      <c r="O728" s="124"/>
      <c r="P728" s="124"/>
      <c r="Q728" s="124"/>
      <c r="R728" s="124"/>
      <c r="S728" s="124"/>
      <c r="T728" s="124"/>
      <c r="U728" s="124"/>
      <c r="V728" s="124"/>
      <c r="W728" s="124"/>
      <c r="X728" s="124"/>
      <c r="Y728" s="124"/>
      <c r="Z728" s="124"/>
    </row>
    <row r="729" ht="29.25" customHeight="1">
      <c r="A729" s="124"/>
      <c r="B729" s="124"/>
      <c r="C729" s="124"/>
      <c r="D729" s="124"/>
      <c r="E729" s="124"/>
      <c r="F729" s="124"/>
      <c r="G729" s="124"/>
      <c r="H729" s="124"/>
      <c r="I729" s="126"/>
      <c r="J729" s="124"/>
      <c r="K729" s="124"/>
      <c r="L729" s="124"/>
      <c r="M729" s="124"/>
      <c r="N729" s="124"/>
      <c r="O729" s="124"/>
      <c r="P729" s="124"/>
      <c r="Q729" s="124"/>
      <c r="R729" s="124"/>
      <c r="S729" s="124"/>
      <c r="T729" s="124"/>
      <c r="U729" s="124"/>
      <c r="V729" s="124"/>
      <c r="W729" s="124"/>
      <c r="X729" s="124"/>
      <c r="Y729" s="124"/>
      <c r="Z729" s="124"/>
    </row>
    <row r="730" ht="29.25" customHeight="1">
      <c r="A730" s="124"/>
      <c r="B730" s="124"/>
      <c r="C730" s="124"/>
      <c r="D730" s="124"/>
      <c r="E730" s="124"/>
      <c r="F730" s="124"/>
      <c r="G730" s="124"/>
      <c r="H730" s="124"/>
      <c r="I730" s="126"/>
      <c r="J730" s="124"/>
      <c r="K730" s="124"/>
      <c r="L730" s="124"/>
      <c r="M730" s="124"/>
      <c r="N730" s="124"/>
      <c r="O730" s="124"/>
      <c r="P730" s="124"/>
      <c r="Q730" s="124"/>
      <c r="R730" s="124"/>
      <c r="S730" s="124"/>
      <c r="T730" s="124"/>
      <c r="U730" s="124"/>
      <c r="V730" s="124"/>
      <c r="W730" s="124"/>
      <c r="X730" s="124"/>
      <c r="Y730" s="124"/>
      <c r="Z730" s="124"/>
    </row>
    <row r="731" ht="29.25" customHeight="1">
      <c r="A731" s="124"/>
      <c r="B731" s="124"/>
      <c r="C731" s="124"/>
      <c r="D731" s="124"/>
      <c r="E731" s="124"/>
      <c r="F731" s="124"/>
      <c r="G731" s="124"/>
      <c r="H731" s="124"/>
      <c r="I731" s="126"/>
      <c r="J731" s="124"/>
      <c r="K731" s="124"/>
      <c r="L731" s="124"/>
      <c r="M731" s="124"/>
      <c r="N731" s="124"/>
      <c r="O731" s="124"/>
      <c r="P731" s="124"/>
      <c r="Q731" s="124"/>
      <c r="R731" s="124"/>
      <c r="S731" s="124"/>
      <c r="T731" s="124"/>
      <c r="U731" s="124"/>
      <c r="V731" s="124"/>
      <c r="W731" s="124"/>
      <c r="X731" s="124"/>
      <c r="Y731" s="124"/>
      <c r="Z731" s="124"/>
    </row>
    <row r="732" ht="29.25" customHeight="1">
      <c r="A732" s="124"/>
      <c r="B732" s="124"/>
      <c r="C732" s="124"/>
      <c r="D732" s="124"/>
      <c r="E732" s="124"/>
      <c r="F732" s="124"/>
      <c r="G732" s="124"/>
      <c r="H732" s="124"/>
      <c r="I732" s="126"/>
      <c r="J732" s="124"/>
      <c r="K732" s="124"/>
      <c r="L732" s="124"/>
      <c r="M732" s="124"/>
      <c r="N732" s="124"/>
      <c r="O732" s="124"/>
      <c r="P732" s="124"/>
      <c r="Q732" s="124"/>
      <c r="R732" s="124"/>
      <c r="S732" s="124"/>
      <c r="T732" s="124"/>
      <c r="U732" s="124"/>
      <c r="V732" s="124"/>
      <c r="W732" s="124"/>
      <c r="X732" s="124"/>
      <c r="Y732" s="124"/>
      <c r="Z732" s="124"/>
    </row>
    <row r="733" ht="29.25" customHeight="1">
      <c r="A733" s="124"/>
      <c r="B733" s="124"/>
      <c r="C733" s="124"/>
      <c r="D733" s="124"/>
      <c r="E733" s="124"/>
      <c r="F733" s="124"/>
      <c r="G733" s="124"/>
      <c r="H733" s="124"/>
      <c r="I733" s="126"/>
      <c r="J733" s="124"/>
      <c r="K733" s="124"/>
      <c r="L733" s="124"/>
      <c r="M733" s="124"/>
      <c r="N733" s="124"/>
      <c r="O733" s="124"/>
      <c r="P733" s="124"/>
      <c r="Q733" s="124"/>
      <c r="R733" s="124"/>
      <c r="S733" s="124"/>
      <c r="T733" s="124"/>
      <c r="U733" s="124"/>
      <c r="V733" s="124"/>
      <c r="W733" s="124"/>
      <c r="X733" s="124"/>
      <c r="Y733" s="124"/>
      <c r="Z733" s="124"/>
    </row>
    <row r="734" ht="29.25" customHeight="1">
      <c r="A734" s="124"/>
      <c r="B734" s="124"/>
      <c r="C734" s="124"/>
      <c r="D734" s="124"/>
      <c r="E734" s="124"/>
      <c r="F734" s="124"/>
      <c r="G734" s="124"/>
      <c r="H734" s="124"/>
      <c r="I734" s="126"/>
      <c r="J734" s="124"/>
      <c r="K734" s="124"/>
      <c r="L734" s="124"/>
      <c r="M734" s="124"/>
      <c r="N734" s="124"/>
      <c r="O734" s="124"/>
      <c r="P734" s="124"/>
      <c r="Q734" s="124"/>
      <c r="R734" s="124"/>
      <c r="S734" s="124"/>
      <c r="T734" s="124"/>
      <c r="U734" s="124"/>
      <c r="V734" s="124"/>
      <c r="W734" s="124"/>
      <c r="X734" s="124"/>
      <c r="Y734" s="124"/>
      <c r="Z734" s="124"/>
    </row>
    <row r="735" ht="29.25" customHeight="1">
      <c r="A735" s="124"/>
      <c r="B735" s="124"/>
      <c r="C735" s="124"/>
      <c r="D735" s="124"/>
      <c r="E735" s="124"/>
      <c r="F735" s="124"/>
      <c r="G735" s="124"/>
      <c r="H735" s="124"/>
      <c r="I735" s="126"/>
      <c r="J735" s="124"/>
      <c r="K735" s="124"/>
      <c r="L735" s="124"/>
      <c r="M735" s="124"/>
      <c r="N735" s="124"/>
      <c r="O735" s="124"/>
      <c r="P735" s="124"/>
      <c r="Q735" s="124"/>
      <c r="R735" s="124"/>
      <c r="S735" s="124"/>
      <c r="T735" s="124"/>
      <c r="U735" s="124"/>
      <c r="V735" s="124"/>
      <c r="W735" s="124"/>
      <c r="X735" s="124"/>
      <c r="Y735" s="124"/>
      <c r="Z735" s="124"/>
    </row>
    <row r="736" ht="29.25" customHeight="1">
      <c r="A736" s="124"/>
      <c r="B736" s="124"/>
      <c r="C736" s="124"/>
      <c r="D736" s="124"/>
      <c r="E736" s="124"/>
      <c r="F736" s="124"/>
      <c r="G736" s="124"/>
      <c r="H736" s="124"/>
      <c r="I736" s="126"/>
      <c r="J736" s="124"/>
      <c r="K736" s="124"/>
      <c r="L736" s="124"/>
      <c r="M736" s="124"/>
      <c r="N736" s="124"/>
      <c r="O736" s="124"/>
      <c r="P736" s="124"/>
      <c r="Q736" s="124"/>
      <c r="R736" s="124"/>
      <c r="S736" s="124"/>
      <c r="T736" s="124"/>
      <c r="U736" s="124"/>
      <c r="V736" s="124"/>
      <c r="W736" s="124"/>
      <c r="X736" s="124"/>
      <c r="Y736" s="124"/>
      <c r="Z736" s="124"/>
    </row>
    <row r="737" ht="29.25" customHeight="1">
      <c r="A737" s="124"/>
      <c r="B737" s="124"/>
      <c r="C737" s="124"/>
      <c r="D737" s="124"/>
      <c r="E737" s="124"/>
      <c r="F737" s="124"/>
      <c r="G737" s="124"/>
      <c r="H737" s="124"/>
      <c r="I737" s="126"/>
      <c r="J737" s="124"/>
      <c r="K737" s="124"/>
      <c r="L737" s="124"/>
      <c r="M737" s="124"/>
      <c r="N737" s="124"/>
      <c r="O737" s="124"/>
      <c r="P737" s="124"/>
      <c r="Q737" s="124"/>
      <c r="R737" s="124"/>
      <c r="S737" s="124"/>
      <c r="T737" s="124"/>
      <c r="U737" s="124"/>
      <c r="V737" s="124"/>
      <c r="W737" s="124"/>
      <c r="X737" s="124"/>
      <c r="Y737" s="124"/>
      <c r="Z737" s="124"/>
    </row>
    <row r="738" ht="29.25" customHeight="1">
      <c r="A738" s="124"/>
      <c r="B738" s="124"/>
      <c r="C738" s="124"/>
      <c r="D738" s="124"/>
      <c r="E738" s="124"/>
      <c r="F738" s="124"/>
      <c r="G738" s="124"/>
      <c r="H738" s="124"/>
      <c r="I738" s="126"/>
      <c r="J738" s="124"/>
      <c r="K738" s="124"/>
      <c r="L738" s="124"/>
      <c r="M738" s="124"/>
      <c r="N738" s="124"/>
      <c r="O738" s="124"/>
      <c r="P738" s="124"/>
      <c r="Q738" s="124"/>
      <c r="R738" s="124"/>
      <c r="S738" s="124"/>
      <c r="T738" s="124"/>
      <c r="U738" s="124"/>
      <c r="V738" s="124"/>
      <c r="W738" s="124"/>
      <c r="X738" s="124"/>
      <c r="Y738" s="124"/>
      <c r="Z738" s="124"/>
    </row>
    <row r="739" ht="29.25" customHeight="1">
      <c r="A739" s="124"/>
      <c r="B739" s="124"/>
      <c r="C739" s="124"/>
      <c r="D739" s="124"/>
      <c r="E739" s="124"/>
      <c r="F739" s="124"/>
      <c r="G739" s="124"/>
      <c r="H739" s="124"/>
      <c r="I739" s="126"/>
      <c r="J739" s="124"/>
      <c r="K739" s="124"/>
      <c r="L739" s="124"/>
      <c r="M739" s="124"/>
      <c r="N739" s="124"/>
      <c r="O739" s="124"/>
      <c r="P739" s="124"/>
      <c r="Q739" s="124"/>
      <c r="R739" s="124"/>
      <c r="S739" s="124"/>
      <c r="T739" s="124"/>
      <c r="U739" s="124"/>
      <c r="V739" s="124"/>
      <c r="W739" s="124"/>
      <c r="X739" s="124"/>
      <c r="Y739" s="124"/>
      <c r="Z739" s="124"/>
    </row>
    <row r="740" ht="29.25" customHeight="1">
      <c r="A740" s="124"/>
      <c r="B740" s="124"/>
      <c r="C740" s="124"/>
      <c r="D740" s="124"/>
      <c r="E740" s="124"/>
      <c r="F740" s="124"/>
      <c r="G740" s="124"/>
      <c r="H740" s="124"/>
      <c r="I740" s="126"/>
      <c r="J740" s="124"/>
      <c r="K740" s="124"/>
      <c r="L740" s="124"/>
      <c r="M740" s="124"/>
      <c r="N740" s="124"/>
      <c r="O740" s="124"/>
      <c r="P740" s="124"/>
      <c r="Q740" s="124"/>
      <c r="R740" s="124"/>
      <c r="S740" s="124"/>
      <c r="T740" s="124"/>
      <c r="U740" s="124"/>
      <c r="V740" s="124"/>
      <c r="W740" s="124"/>
      <c r="X740" s="124"/>
      <c r="Y740" s="124"/>
      <c r="Z740" s="124"/>
    </row>
    <row r="741" ht="29.25" customHeight="1">
      <c r="A741" s="124"/>
      <c r="B741" s="124"/>
      <c r="C741" s="124"/>
      <c r="D741" s="124"/>
      <c r="E741" s="124"/>
      <c r="F741" s="124"/>
      <c r="G741" s="124"/>
      <c r="H741" s="124"/>
      <c r="I741" s="126"/>
      <c r="J741" s="124"/>
      <c r="K741" s="124"/>
      <c r="L741" s="124"/>
      <c r="M741" s="124"/>
      <c r="N741" s="124"/>
      <c r="O741" s="124"/>
      <c r="P741" s="124"/>
      <c r="Q741" s="124"/>
      <c r="R741" s="124"/>
      <c r="S741" s="124"/>
      <c r="T741" s="124"/>
      <c r="U741" s="124"/>
      <c r="V741" s="124"/>
      <c r="W741" s="124"/>
      <c r="X741" s="124"/>
      <c r="Y741" s="124"/>
      <c r="Z741" s="124"/>
    </row>
    <row r="742" ht="29.25" customHeight="1">
      <c r="A742" s="124"/>
      <c r="B742" s="124"/>
      <c r="C742" s="124"/>
      <c r="D742" s="124"/>
      <c r="E742" s="124"/>
      <c r="F742" s="124"/>
      <c r="G742" s="124"/>
      <c r="H742" s="124"/>
      <c r="I742" s="126"/>
      <c r="J742" s="124"/>
      <c r="K742" s="124"/>
      <c r="L742" s="124"/>
      <c r="M742" s="124"/>
      <c r="N742" s="124"/>
      <c r="O742" s="124"/>
      <c r="P742" s="124"/>
      <c r="Q742" s="124"/>
      <c r="R742" s="124"/>
      <c r="S742" s="124"/>
      <c r="T742" s="124"/>
      <c r="U742" s="124"/>
      <c r="V742" s="124"/>
      <c r="W742" s="124"/>
      <c r="X742" s="124"/>
      <c r="Y742" s="124"/>
      <c r="Z742" s="124"/>
    </row>
    <row r="743" ht="29.25" customHeight="1">
      <c r="A743" s="124"/>
      <c r="B743" s="124"/>
      <c r="C743" s="124"/>
      <c r="D743" s="124"/>
      <c r="E743" s="124"/>
      <c r="F743" s="124"/>
      <c r="G743" s="124"/>
      <c r="H743" s="124"/>
      <c r="I743" s="126"/>
      <c r="J743" s="124"/>
      <c r="K743" s="124"/>
      <c r="L743" s="124"/>
      <c r="M743" s="124"/>
      <c r="N743" s="124"/>
      <c r="O743" s="124"/>
      <c r="P743" s="124"/>
      <c r="Q743" s="124"/>
      <c r="R743" s="124"/>
      <c r="S743" s="124"/>
      <c r="T743" s="124"/>
      <c r="U743" s="124"/>
      <c r="V743" s="124"/>
      <c r="W743" s="124"/>
      <c r="X743" s="124"/>
      <c r="Y743" s="124"/>
      <c r="Z743" s="124"/>
    </row>
    <row r="744" ht="29.25" customHeight="1">
      <c r="A744" s="124"/>
      <c r="B744" s="124"/>
      <c r="C744" s="124"/>
      <c r="D744" s="124"/>
      <c r="E744" s="124"/>
      <c r="F744" s="124"/>
      <c r="G744" s="124"/>
      <c r="H744" s="124"/>
      <c r="I744" s="126"/>
      <c r="J744" s="124"/>
      <c r="K744" s="124"/>
      <c r="L744" s="124"/>
      <c r="M744" s="124"/>
      <c r="N744" s="124"/>
      <c r="O744" s="124"/>
      <c r="P744" s="124"/>
      <c r="Q744" s="124"/>
      <c r="R744" s="124"/>
      <c r="S744" s="124"/>
      <c r="T744" s="124"/>
      <c r="U744" s="124"/>
      <c r="V744" s="124"/>
      <c r="W744" s="124"/>
      <c r="X744" s="124"/>
      <c r="Y744" s="124"/>
      <c r="Z744" s="124"/>
    </row>
    <row r="745" ht="29.25" customHeight="1">
      <c r="A745" s="124"/>
      <c r="B745" s="124"/>
      <c r="C745" s="124"/>
      <c r="D745" s="124"/>
      <c r="E745" s="124"/>
      <c r="F745" s="124"/>
      <c r="G745" s="124"/>
      <c r="H745" s="124"/>
      <c r="I745" s="126"/>
      <c r="J745" s="124"/>
      <c r="K745" s="124"/>
      <c r="L745" s="124"/>
      <c r="M745" s="124"/>
      <c r="N745" s="124"/>
      <c r="O745" s="124"/>
      <c r="P745" s="124"/>
      <c r="Q745" s="124"/>
      <c r="R745" s="124"/>
      <c r="S745" s="124"/>
      <c r="T745" s="124"/>
      <c r="U745" s="124"/>
      <c r="V745" s="124"/>
      <c r="W745" s="124"/>
      <c r="X745" s="124"/>
      <c r="Y745" s="124"/>
      <c r="Z745" s="124"/>
    </row>
    <row r="746" ht="29.25" customHeight="1">
      <c r="A746" s="124"/>
      <c r="B746" s="124"/>
      <c r="C746" s="124"/>
      <c r="D746" s="124"/>
      <c r="E746" s="124"/>
      <c r="F746" s="124"/>
      <c r="G746" s="124"/>
      <c r="H746" s="124"/>
      <c r="I746" s="126"/>
      <c r="J746" s="124"/>
      <c r="K746" s="124"/>
      <c r="L746" s="124"/>
      <c r="M746" s="124"/>
      <c r="N746" s="124"/>
      <c r="O746" s="124"/>
      <c r="P746" s="124"/>
      <c r="Q746" s="124"/>
      <c r="R746" s="124"/>
      <c r="S746" s="124"/>
      <c r="T746" s="124"/>
      <c r="U746" s="124"/>
      <c r="V746" s="124"/>
      <c r="W746" s="124"/>
      <c r="X746" s="124"/>
      <c r="Y746" s="124"/>
      <c r="Z746" s="124"/>
    </row>
    <row r="747" ht="29.25" customHeight="1">
      <c r="A747" s="124"/>
      <c r="B747" s="124"/>
      <c r="C747" s="124"/>
      <c r="D747" s="124"/>
      <c r="E747" s="124"/>
      <c r="F747" s="124"/>
      <c r="G747" s="124"/>
      <c r="H747" s="124"/>
      <c r="I747" s="126"/>
      <c r="J747" s="124"/>
      <c r="K747" s="124"/>
      <c r="L747" s="124"/>
      <c r="M747" s="124"/>
      <c r="N747" s="124"/>
      <c r="O747" s="124"/>
      <c r="P747" s="124"/>
      <c r="Q747" s="124"/>
      <c r="R747" s="124"/>
      <c r="S747" s="124"/>
      <c r="T747" s="124"/>
      <c r="U747" s="124"/>
      <c r="V747" s="124"/>
      <c r="W747" s="124"/>
      <c r="X747" s="124"/>
      <c r="Y747" s="124"/>
      <c r="Z747" s="124"/>
    </row>
    <row r="748" ht="29.25" customHeight="1">
      <c r="A748" s="124"/>
      <c r="B748" s="124"/>
      <c r="C748" s="124"/>
      <c r="D748" s="124"/>
      <c r="E748" s="124"/>
      <c r="F748" s="124"/>
      <c r="G748" s="124"/>
      <c r="H748" s="124"/>
      <c r="I748" s="126"/>
      <c r="J748" s="124"/>
      <c r="K748" s="124"/>
      <c r="L748" s="124"/>
      <c r="M748" s="124"/>
      <c r="N748" s="124"/>
      <c r="O748" s="124"/>
      <c r="P748" s="124"/>
      <c r="Q748" s="124"/>
      <c r="R748" s="124"/>
      <c r="S748" s="124"/>
      <c r="T748" s="124"/>
      <c r="U748" s="124"/>
      <c r="V748" s="124"/>
      <c r="W748" s="124"/>
      <c r="X748" s="124"/>
      <c r="Y748" s="124"/>
      <c r="Z748" s="124"/>
    </row>
    <row r="749" ht="29.25" customHeight="1">
      <c r="A749" s="124"/>
      <c r="B749" s="124"/>
      <c r="C749" s="124"/>
      <c r="D749" s="124"/>
      <c r="E749" s="124"/>
      <c r="F749" s="124"/>
      <c r="G749" s="124"/>
      <c r="H749" s="124"/>
      <c r="I749" s="126"/>
      <c r="J749" s="124"/>
      <c r="K749" s="124"/>
      <c r="L749" s="124"/>
      <c r="M749" s="124"/>
      <c r="N749" s="124"/>
      <c r="O749" s="124"/>
      <c r="P749" s="124"/>
      <c r="Q749" s="124"/>
      <c r="R749" s="124"/>
      <c r="S749" s="124"/>
      <c r="T749" s="124"/>
      <c r="U749" s="124"/>
      <c r="V749" s="124"/>
      <c r="W749" s="124"/>
      <c r="X749" s="124"/>
      <c r="Y749" s="124"/>
      <c r="Z749" s="124"/>
    </row>
    <row r="750" ht="29.25" customHeight="1">
      <c r="A750" s="124"/>
      <c r="B750" s="124"/>
      <c r="C750" s="124"/>
      <c r="D750" s="124"/>
      <c r="E750" s="124"/>
      <c r="F750" s="124"/>
      <c r="G750" s="124"/>
      <c r="H750" s="124"/>
      <c r="I750" s="126"/>
      <c r="J750" s="124"/>
      <c r="K750" s="124"/>
      <c r="L750" s="124"/>
      <c r="M750" s="124"/>
      <c r="N750" s="124"/>
      <c r="O750" s="124"/>
      <c r="P750" s="124"/>
      <c r="Q750" s="124"/>
      <c r="R750" s="124"/>
      <c r="S750" s="124"/>
      <c r="T750" s="124"/>
      <c r="U750" s="124"/>
      <c r="V750" s="124"/>
      <c r="W750" s="124"/>
      <c r="X750" s="124"/>
      <c r="Y750" s="124"/>
      <c r="Z750" s="124"/>
    </row>
    <row r="751" ht="29.25" customHeight="1">
      <c r="A751" s="124"/>
      <c r="B751" s="124"/>
      <c r="C751" s="124"/>
      <c r="D751" s="124"/>
      <c r="E751" s="124"/>
      <c r="F751" s="124"/>
      <c r="G751" s="124"/>
      <c r="H751" s="124"/>
      <c r="I751" s="126"/>
      <c r="J751" s="124"/>
      <c r="K751" s="124"/>
      <c r="L751" s="124"/>
      <c r="M751" s="124"/>
      <c r="N751" s="124"/>
      <c r="O751" s="124"/>
      <c r="P751" s="124"/>
      <c r="Q751" s="124"/>
      <c r="R751" s="124"/>
      <c r="S751" s="124"/>
      <c r="T751" s="124"/>
      <c r="U751" s="124"/>
      <c r="V751" s="124"/>
      <c r="W751" s="124"/>
      <c r="X751" s="124"/>
      <c r="Y751" s="124"/>
      <c r="Z751" s="124"/>
    </row>
    <row r="752" ht="29.25" customHeight="1">
      <c r="A752" s="124"/>
      <c r="B752" s="124"/>
      <c r="C752" s="124"/>
      <c r="D752" s="124"/>
      <c r="E752" s="124"/>
      <c r="F752" s="124"/>
      <c r="G752" s="124"/>
      <c r="H752" s="124"/>
      <c r="I752" s="126"/>
      <c r="J752" s="124"/>
      <c r="K752" s="124"/>
      <c r="L752" s="124"/>
      <c r="M752" s="124"/>
      <c r="N752" s="124"/>
      <c r="O752" s="124"/>
      <c r="P752" s="124"/>
      <c r="Q752" s="124"/>
      <c r="R752" s="124"/>
      <c r="S752" s="124"/>
      <c r="T752" s="124"/>
      <c r="U752" s="124"/>
      <c r="V752" s="124"/>
      <c r="W752" s="124"/>
      <c r="X752" s="124"/>
      <c r="Y752" s="124"/>
      <c r="Z752" s="124"/>
    </row>
    <row r="753" ht="29.25" customHeight="1">
      <c r="A753" s="124"/>
      <c r="B753" s="124"/>
      <c r="C753" s="124"/>
      <c r="D753" s="124"/>
      <c r="E753" s="124"/>
      <c r="F753" s="124"/>
      <c r="G753" s="124"/>
      <c r="H753" s="124"/>
      <c r="I753" s="126"/>
      <c r="J753" s="124"/>
      <c r="K753" s="124"/>
      <c r="L753" s="124"/>
      <c r="M753" s="124"/>
      <c r="N753" s="124"/>
      <c r="O753" s="124"/>
      <c r="P753" s="124"/>
      <c r="Q753" s="124"/>
      <c r="R753" s="124"/>
      <c r="S753" s="124"/>
      <c r="T753" s="124"/>
      <c r="U753" s="124"/>
      <c r="V753" s="124"/>
      <c r="W753" s="124"/>
      <c r="X753" s="124"/>
      <c r="Y753" s="124"/>
      <c r="Z753" s="124"/>
    </row>
    <row r="754" ht="29.25" customHeight="1">
      <c r="A754" s="124"/>
      <c r="B754" s="124"/>
      <c r="C754" s="124"/>
      <c r="D754" s="124"/>
      <c r="E754" s="124"/>
      <c r="F754" s="124"/>
      <c r="G754" s="124"/>
      <c r="H754" s="124"/>
      <c r="I754" s="126"/>
      <c r="J754" s="124"/>
      <c r="K754" s="124"/>
      <c r="L754" s="124"/>
      <c r="M754" s="124"/>
      <c r="N754" s="124"/>
      <c r="O754" s="124"/>
      <c r="P754" s="124"/>
      <c r="Q754" s="124"/>
      <c r="R754" s="124"/>
      <c r="S754" s="124"/>
      <c r="T754" s="124"/>
      <c r="U754" s="124"/>
      <c r="V754" s="124"/>
      <c r="W754" s="124"/>
      <c r="X754" s="124"/>
      <c r="Y754" s="124"/>
      <c r="Z754" s="124"/>
    </row>
    <row r="755" ht="29.25" customHeight="1">
      <c r="A755" s="124"/>
      <c r="B755" s="124"/>
      <c r="C755" s="124"/>
      <c r="D755" s="124"/>
      <c r="E755" s="124"/>
      <c r="F755" s="124"/>
      <c r="G755" s="124"/>
      <c r="H755" s="124"/>
      <c r="I755" s="126"/>
      <c r="J755" s="124"/>
      <c r="K755" s="124"/>
      <c r="L755" s="124"/>
      <c r="M755" s="124"/>
      <c r="N755" s="124"/>
      <c r="O755" s="124"/>
      <c r="P755" s="124"/>
      <c r="Q755" s="124"/>
      <c r="R755" s="124"/>
      <c r="S755" s="124"/>
      <c r="T755" s="124"/>
      <c r="U755" s="124"/>
      <c r="V755" s="124"/>
      <c r="W755" s="124"/>
      <c r="X755" s="124"/>
      <c r="Y755" s="124"/>
      <c r="Z755" s="124"/>
    </row>
    <row r="756" ht="29.25" customHeight="1">
      <c r="A756" s="124"/>
      <c r="B756" s="124"/>
      <c r="C756" s="124"/>
      <c r="D756" s="124"/>
      <c r="E756" s="124"/>
      <c r="F756" s="124"/>
      <c r="G756" s="124"/>
      <c r="H756" s="124"/>
      <c r="I756" s="126"/>
      <c r="J756" s="124"/>
      <c r="K756" s="124"/>
      <c r="L756" s="124"/>
      <c r="M756" s="124"/>
      <c r="N756" s="124"/>
      <c r="O756" s="124"/>
      <c r="P756" s="124"/>
      <c r="Q756" s="124"/>
      <c r="R756" s="124"/>
      <c r="S756" s="124"/>
      <c r="T756" s="124"/>
      <c r="U756" s="124"/>
      <c r="V756" s="124"/>
      <c r="W756" s="124"/>
      <c r="X756" s="124"/>
      <c r="Y756" s="124"/>
      <c r="Z756" s="124"/>
    </row>
    <row r="757" ht="29.25" customHeight="1">
      <c r="A757" s="124"/>
      <c r="B757" s="124"/>
      <c r="C757" s="124"/>
      <c r="D757" s="124"/>
      <c r="E757" s="124"/>
      <c r="F757" s="124"/>
      <c r="G757" s="124"/>
      <c r="H757" s="124"/>
      <c r="I757" s="126"/>
      <c r="J757" s="124"/>
      <c r="K757" s="124"/>
      <c r="L757" s="124"/>
      <c r="M757" s="124"/>
      <c r="N757" s="124"/>
      <c r="O757" s="124"/>
      <c r="P757" s="124"/>
      <c r="Q757" s="124"/>
      <c r="R757" s="124"/>
      <c r="S757" s="124"/>
      <c r="T757" s="124"/>
      <c r="U757" s="124"/>
      <c r="V757" s="124"/>
      <c r="W757" s="124"/>
      <c r="X757" s="124"/>
      <c r="Y757" s="124"/>
      <c r="Z757" s="124"/>
    </row>
    <row r="758" ht="29.25" customHeight="1">
      <c r="A758" s="124"/>
      <c r="B758" s="124"/>
      <c r="C758" s="124"/>
      <c r="D758" s="124"/>
      <c r="E758" s="124"/>
      <c r="F758" s="124"/>
      <c r="G758" s="124"/>
      <c r="H758" s="124"/>
      <c r="I758" s="126"/>
      <c r="J758" s="124"/>
      <c r="K758" s="124"/>
      <c r="L758" s="124"/>
      <c r="M758" s="124"/>
      <c r="N758" s="124"/>
      <c r="O758" s="124"/>
      <c r="P758" s="124"/>
      <c r="Q758" s="124"/>
      <c r="R758" s="124"/>
      <c r="S758" s="124"/>
      <c r="T758" s="124"/>
      <c r="U758" s="124"/>
      <c r="V758" s="124"/>
      <c r="W758" s="124"/>
      <c r="X758" s="124"/>
      <c r="Y758" s="124"/>
      <c r="Z758" s="124"/>
    </row>
    <row r="759" ht="29.25" customHeight="1">
      <c r="A759" s="124"/>
      <c r="B759" s="124"/>
      <c r="C759" s="124"/>
      <c r="D759" s="124"/>
      <c r="E759" s="124"/>
      <c r="F759" s="124"/>
      <c r="G759" s="124"/>
      <c r="H759" s="124"/>
      <c r="I759" s="126"/>
      <c r="J759" s="124"/>
      <c r="K759" s="124"/>
      <c r="L759" s="124"/>
      <c r="M759" s="124"/>
      <c r="N759" s="124"/>
      <c r="O759" s="124"/>
      <c r="P759" s="124"/>
      <c r="Q759" s="124"/>
      <c r="R759" s="124"/>
      <c r="S759" s="124"/>
      <c r="T759" s="124"/>
      <c r="U759" s="124"/>
      <c r="V759" s="124"/>
      <c r="W759" s="124"/>
      <c r="X759" s="124"/>
      <c r="Y759" s="124"/>
      <c r="Z759" s="124"/>
    </row>
    <row r="760" ht="29.25" customHeight="1">
      <c r="A760" s="124"/>
      <c r="B760" s="124"/>
      <c r="C760" s="124"/>
      <c r="D760" s="124"/>
      <c r="E760" s="124"/>
      <c r="F760" s="124"/>
      <c r="G760" s="124"/>
      <c r="H760" s="124"/>
      <c r="I760" s="126"/>
      <c r="J760" s="124"/>
      <c r="K760" s="124"/>
      <c r="L760" s="124"/>
      <c r="M760" s="124"/>
      <c r="N760" s="124"/>
      <c r="O760" s="124"/>
      <c r="P760" s="124"/>
      <c r="Q760" s="124"/>
      <c r="R760" s="124"/>
      <c r="S760" s="124"/>
      <c r="T760" s="124"/>
      <c r="U760" s="124"/>
      <c r="V760" s="124"/>
      <c r="W760" s="124"/>
      <c r="X760" s="124"/>
      <c r="Y760" s="124"/>
      <c r="Z760" s="124"/>
    </row>
    <row r="761" ht="29.25" customHeight="1">
      <c r="A761" s="124"/>
      <c r="B761" s="124"/>
      <c r="C761" s="124"/>
      <c r="D761" s="124"/>
      <c r="E761" s="124"/>
      <c r="F761" s="124"/>
      <c r="G761" s="124"/>
      <c r="H761" s="124"/>
      <c r="I761" s="126"/>
      <c r="J761" s="124"/>
      <c r="K761" s="124"/>
      <c r="L761" s="124"/>
      <c r="M761" s="124"/>
      <c r="N761" s="124"/>
      <c r="O761" s="124"/>
      <c r="P761" s="124"/>
      <c r="Q761" s="124"/>
      <c r="R761" s="124"/>
      <c r="S761" s="124"/>
      <c r="T761" s="124"/>
      <c r="U761" s="124"/>
      <c r="V761" s="124"/>
      <c r="W761" s="124"/>
      <c r="X761" s="124"/>
      <c r="Y761" s="124"/>
      <c r="Z761" s="124"/>
    </row>
    <row r="762" ht="29.25" customHeight="1">
      <c r="A762" s="124"/>
      <c r="B762" s="124"/>
      <c r="C762" s="124"/>
      <c r="D762" s="124"/>
      <c r="E762" s="124"/>
      <c r="F762" s="124"/>
      <c r="G762" s="124"/>
      <c r="H762" s="124"/>
      <c r="I762" s="126"/>
      <c r="J762" s="124"/>
      <c r="K762" s="124"/>
      <c r="L762" s="124"/>
      <c r="M762" s="124"/>
      <c r="N762" s="124"/>
      <c r="O762" s="124"/>
      <c r="P762" s="124"/>
      <c r="Q762" s="124"/>
      <c r="R762" s="124"/>
      <c r="S762" s="124"/>
      <c r="T762" s="124"/>
      <c r="U762" s="124"/>
      <c r="V762" s="124"/>
      <c r="W762" s="124"/>
      <c r="X762" s="124"/>
      <c r="Y762" s="124"/>
      <c r="Z762" s="124"/>
    </row>
    <row r="763" ht="29.25" customHeight="1">
      <c r="A763" s="124"/>
      <c r="B763" s="124"/>
      <c r="C763" s="124"/>
      <c r="D763" s="124"/>
      <c r="E763" s="124"/>
      <c r="F763" s="124"/>
      <c r="G763" s="124"/>
      <c r="H763" s="124"/>
      <c r="I763" s="126"/>
      <c r="J763" s="124"/>
      <c r="K763" s="124"/>
      <c r="L763" s="124"/>
      <c r="M763" s="124"/>
      <c r="N763" s="124"/>
      <c r="O763" s="124"/>
      <c r="P763" s="124"/>
      <c r="Q763" s="124"/>
      <c r="R763" s="124"/>
      <c r="S763" s="124"/>
      <c r="T763" s="124"/>
      <c r="U763" s="124"/>
      <c r="V763" s="124"/>
      <c r="W763" s="124"/>
      <c r="X763" s="124"/>
      <c r="Y763" s="124"/>
      <c r="Z763" s="124"/>
    </row>
    <row r="764" ht="29.25" customHeight="1">
      <c r="A764" s="124"/>
      <c r="B764" s="124"/>
      <c r="C764" s="124"/>
      <c r="D764" s="124"/>
      <c r="E764" s="124"/>
      <c r="F764" s="124"/>
      <c r="G764" s="124"/>
      <c r="H764" s="124"/>
      <c r="I764" s="126"/>
      <c r="J764" s="124"/>
      <c r="K764" s="124"/>
      <c r="L764" s="124"/>
      <c r="M764" s="124"/>
      <c r="N764" s="124"/>
      <c r="O764" s="124"/>
      <c r="P764" s="124"/>
      <c r="Q764" s="124"/>
      <c r="R764" s="124"/>
      <c r="S764" s="124"/>
      <c r="T764" s="124"/>
      <c r="U764" s="124"/>
      <c r="V764" s="124"/>
      <c r="W764" s="124"/>
      <c r="X764" s="124"/>
      <c r="Y764" s="124"/>
      <c r="Z764" s="124"/>
    </row>
    <row r="765" ht="29.25" customHeight="1">
      <c r="A765" s="124"/>
      <c r="B765" s="124"/>
      <c r="C765" s="124"/>
      <c r="D765" s="124"/>
      <c r="E765" s="124"/>
      <c r="F765" s="124"/>
      <c r="G765" s="124"/>
      <c r="H765" s="124"/>
      <c r="I765" s="126"/>
      <c r="J765" s="124"/>
      <c r="K765" s="124"/>
      <c r="L765" s="124"/>
      <c r="M765" s="124"/>
      <c r="N765" s="124"/>
      <c r="O765" s="124"/>
      <c r="P765" s="124"/>
      <c r="Q765" s="124"/>
      <c r="R765" s="124"/>
      <c r="S765" s="124"/>
      <c r="T765" s="124"/>
      <c r="U765" s="124"/>
      <c r="V765" s="124"/>
      <c r="W765" s="124"/>
      <c r="X765" s="124"/>
      <c r="Y765" s="124"/>
      <c r="Z765" s="124"/>
    </row>
    <row r="766" ht="29.25" customHeight="1">
      <c r="A766" s="124"/>
      <c r="B766" s="124"/>
      <c r="C766" s="124"/>
      <c r="D766" s="124"/>
      <c r="E766" s="124"/>
      <c r="F766" s="124"/>
      <c r="G766" s="124"/>
      <c r="H766" s="124"/>
      <c r="I766" s="126"/>
      <c r="J766" s="124"/>
      <c r="K766" s="124"/>
      <c r="L766" s="124"/>
      <c r="M766" s="124"/>
      <c r="N766" s="124"/>
      <c r="O766" s="124"/>
      <c r="P766" s="124"/>
      <c r="Q766" s="124"/>
      <c r="R766" s="124"/>
      <c r="S766" s="124"/>
      <c r="T766" s="124"/>
      <c r="U766" s="124"/>
      <c r="V766" s="124"/>
      <c r="W766" s="124"/>
      <c r="X766" s="124"/>
      <c r="Y766" s="124"/>
      <c r="Z766" s="124"/>
    </row>
    <row r="767" ht="29.25" customHeight="1">
      <c r="A767" s="124"/>
      <c r="B767" s="124"/>
      <c r="C767" s="124"/>
      <c r="D767" s="124"/>
      <c r="E767" s="124"/>
      <c r="F767" s="124"/>
      <c r="G767" s="124"/>
      <c r="H767" s="124"/>
      <c r="I767" s="126"/>
      <c r="J767" s="124"/>
      <c r="K767" s="124"/>
      <c r="L767" s="124"/>
      <c r="M767" s="124"/>
      <c r="N767" s="124"/>
      <c r="O767" s="124"/>
      <c r="P767" s="124"/>
      <c r="Q767" s="124"/>
      <c r="R767" s="124"/>
      <c r="S767" s="124"/>
      <c r="T767" s="124"/>
      <c r="U767" s="124"/>
      <c r="V767" s="124"/>
      <c r="W767" s="124"/>
      <c r="X767" s="124"/>
      <c r="Y767" s="124"/>
      <c r="Z767" s="124"/>
    </row>
    <row r="768" ht="29.25" customHeight="1">
      <c r="A768" s="124"/>
      <c r="B768" s="124"/>
      <c r="C768" s="124"/>
      <c r="D768" s="124"/>
      <c r="E768" s="124"/>
      <c r="F768" s="124"/>
      <c r="G768" s="124"/>
      <c r="H768" s="124"/>
      <c r="I768" s="126"/>
      <c r="J768" s="124"/>
      <c r="K768" s="124"/>
      <c r="L768" s="124"/>
      <c r="M768" s="124"/>
      <c r="N768" s="124"/>
      <c r="O768" s="124"/>
      <c r="P768" s="124"/>
      <c r="Q768" s="124"/>
      <c r="R768" s="124"/>
      <c r="S768" s="124"/>
      <c r="T768" s="124"/>
      <c r="U768" s="124"/>
      <c r="V768" s="124"/>
      <c r="W768" s="124"/>
      <c r="X768" s="124"/>
      <c r="Y768" s="124"/>
      <c r="Z768" s="124"/>
    </row>
    <row r="769" ht="29.25" customHeight="1">
      <c r="A769" s="124"/>
      <c r="B769" s="124"/>
      <c r="C769" s="124"/>
      <c r="D769" s="124"/>
      <c r="E769" s="124"/>
      <c r="F769" s="124"/>
      <c r="G769" s="124"/>
      <c r="H769" s="124"/>
      <c r="I769" s="126"/>
      <c r="J769" s="124"/>
      <c r="K769" s="124"/>
      <c r="L769" s="124"/>
      <c r="M769" s="124"/>
      <c r="N769" s="124"/>
      <c r="O769" s="124"/>
      <c r="P769" s="124"/>
      <c r="Q769" s="124"/>
      <c r="R769" s="124"/>
      <c r="S769" s="124"/>
      <c r="T769" s="124"/>
      <c r="U769" s="124"/>
      <c r="V769" s="124"/>
      <c r="W769" s="124"/>
      <c r="X769" s="124"/>
      <c r="Y769" s="124"/>
      <c r="Z769" s="124"/>
    </row>
    <row r="770" ht="29.25" customHeight="1">
      <c r="A770" s="124"/>
      <c r="B770" s="124"/>
      <c r="C770" s="124"/>
      <c r="D770" s="124"/>
      <c r="E770" s="124"/>
      <c r="F770" s="124"/>
      <c r="G770" s="124"/>
      <c r="H770" s="124"/>
      <c r="I770" s="126"/>
      <c r="J770" s="124"/>
      <c r="K770" s="124"/>
      <c r="L770" s="124"/>
      <c r="M770" s="124"/>
      <c r="N770" s="124"/>
      <c r="O770" s="124"/>
      <c r="P770" s="124"/>
      <c r="Q770" s="124"/>
      <c r="R770" s="124"/>
      <c r="S770" s="124"/>
      <c r="T770" s="124"/>
      <c r="U770" s="124"/>
      <c r="V770" s="124"/>
      <c r="W770" s="124"/>
      <c r="X770" s="124"/>
      <c r="Y770" s="124"/>
      <c r="Z770" s="124"/>
    </row>
    <row r="771" ht="29.25" customHeight="1">
      <c r="A771" s="124"/>
      <c r="B771" s="124"/>
      <c r="C771" s="124"/>
      <c r="D771" s="124"/>
      <c r="E771" s="124"/>
      <c r="F771" s="124"/>
      <c r="G771" s="124"/>
      <c r="H771" s="124"/>
      <c r="I771" s="126"/>
      <c r="J771" s="124"/>
      <c r="K771" s="124"/>
      <c r="L771" s="124"/>
      <c r="M771" s="124"/>
      <c r="N771" s="124"/>
      <c r="O771" s="124"/>
      <c r="P771" s="124"/>
      <c r="Q771" s="124"/>
      <c r="R771" s="124"/>
      <c r="S771" s="124"/>
      <c r="T771" s="124"/>
      <c r="U771" s="124"/>
      <c r="V771" s="124"/>
      <c r="W771" s="124"/>
      <c r="X771" s="124"/>
      <c r="Y771" s="124"/>
      <c r="Z771" s="124"/>
    </row>
    <row r="772" ht="29.25" customHeight="1">
      <c r="A772" s="124"/>
      <c r="B772" s="124"/>
      <c r="C772" s="124"/>
      <c r="D772" s="124"/>
      <c r="E772" s="124"/>
      <c r="F772" s="124"/>
      <c r="G772" s="124"/>
      <c r="H772" s="124"/>
      <c r="I772" s="126"/>
      <c r="J772" s="124"/>
      <c r="K772" s="124"/>
      <c r="L772" s="124"/>
      <c r="M772" s="124"/>
      <c r="N772" s="124"/>
      <c r="O772" s="124"/>
      <c r="P772" s="124"/>
      <c r="Q772" s="124"/>
      <c r="R772" s="124"/>
      <c r="S772" s="124"/>
      <c r="T772" s="124"/>
      <c r="U772" s="124"/>
      <c r="V772" s="124"/>
      <c r="W772" s="124"/>
      <c r="X772" s="124"/>
      <c r="Y772" s="124"/>
      <c r="Z772" s="124"/>
    </row>
    <row r="773" ht="29.25" customHeight="1">
      <c r="A773" s="124"/>
      <c r="B773" s="124"/>
      <c r="C773" s="124"/>
      <c r="D773" s="124"/>
      <c r="E773" s="124"/>
      <c r="F773" s="124"/>
      <c r="G773" s="124"/>
      <c r="H773" s="124"/>
      <c r="I773" s="126"/>
      <c r="J773" s="124"/>
      <c r="K773" s="124"/>
      <c r="L773" s="124"/>
      <c r="M773" s="124"/>
      <c r="N773" s="124"/>
      <c r="O773" s="124"/>
      <c r="P773" s="124"/>
      <c r="Q773" s="124"/>
      <c r="R773" s="124"/>
      <c r="S773" s="124"/>
      <c r="T773" s="124"/>
      <c r="U773" s="124"/>
      <c r="V773" s="124"/>
      <c r="W773" s="124"/>
      <c r="X773" s="124"/>
      <c r="Y773" s="124"/>
      <c r="Z773" s="124"/>
    </row>
    <row r="774" ht="29.25" customHeight="1">
      <c r="A774" s="124"/>
      <c r="B774" s="124"/>
      <c r="C774" s="124"/>
      <c r="D774" s="124"/>
      <c r="E774" s="124"/>
      <c r="F774" s="124"/>
      <c r="G774" s="124"/>
      <c r="H774" s="124"/>
      <c r="I774" s="126"/>
      <c r="J774" s="124"/>
      <c r="K774" s="124"/>
      <c r="L774" s="124"/>
      <c r="M774" s="124"/>
      <c r="N774" s="124"/>
      <c r="O774" s="124"/>
      <c r="P774" s="124"/>
      <c r="Q774" s="124"/>
      <c r="R774" s="124"/>
      <c r="S774" s="124"/>
      <c r="T774" s="124"/>
      <c r="U774" s="124"/>
      <c r="V774" s="124"/>
      <c r="W774" s="124"/>
      <c r="X774" s="124"/>
      <c r="Y774" s="124"/>
      <c r="Z774" s="124"/>
    </row>
    <row r="775" ht="29.25" customHeight="1">
      <c r="A775" s="124"/>
      <c r="B775" s="124"/>
      <c r="C775" s="124"/>
      <c r="D775" s="124"/>
      <c r="E775" s="124"/>
      <c r="F775" s="124"/>
      <c r="G775" s="124"/>
      <c r="H775" s="124"/>
      <c r="I775" s="126"/>
      <c r="J775" s="124"/>
      <c r="K775" s="124"/>
      <c r="L775" s="124"/>
      <c r="M775" s="124"/>
      <c r="N775" s="124"/>
      <c r="O775" s="124"/>
      <c r="P775" s="124"/>
      <c r="Q775" s="124"/>
      <c r="R775" s="124"/>
      <c r="S775" s="124"/>
      <c r="T775" s="124"/>
      <c r="U775" s="124"/>
      <c r="V775" s="124"/>
      <c r="W775" s="124"/>
      <c r="X775" s="124"/>
      <c r="Y775" s="124"/>
      <c r="Z775" s="124"/>
    </row>
    <row r="776" ht="29.25" customHeight="1">
      <c r="A776" s="124"/>
      <c r="B776" s="124"/>
      <c r="C776" s="124"/>
      <c r="D776" s="124"/>
      <c r="E776" s="124"/>
      <c r="F776" s="124"/>
      <c r="G776" s="124"/>
      <c r="H776" s="124"/>
      <c r="I776" s="126"/>
      <c r="J776" s="124"/>
      <c r="K776" s="124"/>
      <c r="L776" s="124"/>
      <c r="M776" s="124"/>
      <c r="N776" s="124"/>
      <c r="O776" s="124"/>
      <c r="P776" s="124"/>
      <c r="Q776" s="124"/>
      <c r="R776" s="124"/>
      <c r="S776" s="124"/>
      <c r="T776" s="124"/>
      <c r="U776" s="124"/>
      <c r="V776" s="124"/>
      <c r="W776" s="124"/>
      <c r="X776" s="124"/>
      <c r="Y776" s="124"/>
      <c r="Z776" s="124"/>
    </row>
    <row r="777" ht="29.25" customHeight="1">
      <c r="A777" s="124"/>
      <c r="B777" s="124"/>
      <c r="C777" s="124"/>
      <c r="D777" s="124"/>
      <c r="E777" s="124"/>
      <c r="F777" s="124"/>
      <c r="G777" s="124"/>
      <c r="H777" s="124"/>
      <c r="I777" s="126"/>
      <c r="J777" s="124"/>
      <c r="K777" s="124"/>
      <c r="L777" s="124"/>
      <c r="M777" s="124"/>
      <c r="N777" s="124"/>
      <c r="O777" s="124"/>
      <c r="P777" s="124"/>
      <c r="Q777" s="124"/>
      <c r="R777" s="124"/>
      <c r="S777" s="124"/>
      <c r="T777" s="124"/>
      <c r="U777" s="124"/>
      <c r="V777" s="124"/>
      <c r="W777" s="124"/>
      <c r="X777" s="124"/>
      <c r="Y777" s="124"/>
      <c r="Z777" s="124"/>
    </row>
    <row r="778" ht="29.25" customHeight="1">
      <c r="A778" s="124"/>
      <c r="B778" s="124"/>
      <c r="C778" s="124"/>
      <c r="D778" s="124"/>
      <c r="E778" s="124"/>
      <c r="F778" s="124"/>
      <c r="G778" s="124"/>
      <c r="H778" s="124"/>
      <c r="I778" s="126"/>
      <c r="J778" s="124"/>
      <c r="K778" s="124"/>
      <c r="L778" s="124"/>
      <c r="M778" s="124"/>
      <c r="N778" s="124"/>
      <c r="O778" s="124"/>
      <c r="P778" s="124"/>
      <c r="Q778" s="124"/>
      <c r="R778" s="124"/>
      <c r="S778" s="124"/>
      <c r="T778" s="124"/>
      <c r="U778" s="124"/>
      <c r="V778" s="124"/>
      <c r="W778" s="124"/>
      <c r="X778" s="124"/>
      <c r="Y778" s="124"/>
      <c r="Z778" s="124"/>
    </row>
    <row r="779" ht="29.25" customHeight="1">
      <c r="A779" s="124"/>
      <c r="B779" s="124"/>
      <c r="C779" s="124"/>
      <c r="D779" s="124"/>
      <c r="E779" s="124"/>
      <c r="F779" s="124"/>
      <c r="G779" s="124"/>
      <c r="H779" s="124"/>
      <c r="I779" s="126"/>
      <c r="J779" s="124"/>
      <c r="K779" s="124"/>
      <c r="L779" s="124"/>
      <c r="M779" s="124"/>
      <c r="N779" s="124"/>
      <c r="O779" s="124"/>
      <c r="P779" s="124"/>
      <c r="Q779" s="124"/>
      <c r="R779" s="124"/>
      <c r="S779" s="124"/>
      <c r="T779" s="124"/>
      <c r="U779" s="124"/>
      <c r="V779" s="124"/>
      <c r="W779" s="124"/>
      <c r="X779" s="124"/>
      <c r="Y779" s="124"/>
      <c r="Z779" s="124"/>
    </row>
    <row r="780" ht="29.25" customHeight="1">
      <c r="A780" s="124"/>
      <c r="B780" s="124"/>
      <c r="C780" s="124"/>
      <c r="D780" s="124"/>
      <c r="E780" s="124"/>
      <c r="F780" s="124"/>
      <c r="G780" s="124"/>
      <c r="H780" s="124"/>
      <c r="I780" s="126"/>
      <c r="J780" s="124"/>
      <c r="K780" s="124"/>
      <c r="L780" s="124"/>
      <c r="M780" s="124"/>
      <c r="N780" s="124"/>
      <c r="O780" s="124"/>
      <c r="P780" s="124"/>
      <c r="Q780" s="124"/>
      <c r="R780" s="124"/>
      <c r="S780" s="124"/>
      <c r="T780" s="124"/>
      <c r="U780" s="124"/>
      <c r="V780" s="124"/>
      <c r="W780" s="124"/>
      <c r="X780" s="124"/>
      <c r="Y780" s="124"/>
      <c r="Z780" s="124"/>
    </row>
    <row r="781" ht="29.25" customHeight="1">
      <c r="A781" s="124"/>
      <c r="B781" s="124"/>
      <c r="C781" s="124"/>
      <c r="D781" s="124"/>
      <c r="E781" s="124"/>
      <c r="F781" s="124"/>
      <c r="G781" s="124"/>
      <c r="H781" s="124"/>
      <c r="I781" s="126"/>
      <c r="J781" s="124"/>
      <c r="K781" s="124"/>
      <c r="L781" s="124"/>
      <c r="M781" s="124"/>
      <c r="N781" s="124"/>
      <c r="O781" s="124"/>
      <c r="P781" s="124"/>
      <c r="Q781" s="124"/>
      <c r="R781" s="124"/>
      <c r="S781" s="124"/>
      <c r="T781" s="124"/>
      <c r="U781" s="124"/>
      <c r="V781" s="124"/>
      <c r="W781" s="124"/>
      <c r="X781" s="124"/>
      <c r="Y781" s="124"/>
      <c r="Z781" s="124"/>
    </row>
    <row r="782" ht="29.25" customHeight="1">
      <c r="A782" s="124"/>
      <c r="B782" s="124"/>
      <c r="C782" s="124"/>
      <c r="D782" s="124"/>
      <c r="E782" s="124"/>
      <c r="F782" s="124"/>
      <c r="G782" s="124"/>
      <c r="H782" s="124"/>
      <c r="I782" s="126"/>
      <c r="J782" s="124"/>
      <c r="K782" s="124"/>
      <c r="L782" s="124"/>
      <c r="M782" s="124"/>
      <c r="N782" s="124"/>
      <c r="O782" s="124"/>
      <c r="P782" s="124"/>
      <c r="Q782" s="124"/>
      <c r="R782" s="124"/>
      <c r="S782" s="124"/>
      <c r="T782" s="124"/>
      <c r="U782" s="124"/>
      <c r="V782" s="124"/>
      <c r="W782" s="124"/>
      <c r="X782" s="124"/>
      <c r="Y782" s="124"/>
      <c r="Z782" s="124"/>
    </row>
    <row r="783" ht="29.25" customHeight="1">
      <c r="A783" s="124"/>
      <c r="B783" s="124"/>
      <c r="C783" s="124"/>
      <c r="D783" s="124"/>
      <c r="E783" s="124"/>
      <c r="F783" s="124"/>
      <c r="G783" s="124"/>
      <c r="H783" s="124"/>
      <c r="I783" s="126"/>
      <c r="J783" s="124"/>
      <c r="K783" s="124"/>
      <c r="L783" s="124"/>
      <c r="M783" s="124"/>
      <c r="N783" s="124"/>
      <c r="O783" s="124"/>
      <c r="P783" s="124"/>
      <c r="Q783" s="124"/>
      <c r="R783" s="124"/>
      <c r="S783" s="124"/>
      <c r="T783" s="124"/>
      <c r="U783" s="124"/>
      <c r="V783" s="124"/>
      <c r="W783" s="124"/>
      <c r="X783" s="124"/>
      <c r="Y783" s="124"/>
      <c r="Z783" s="124"/>
    </row>
    <row r="784" ht="29.25" customHeight="1">
      <c r="A784" s="124"/>
      <c r="B784" s="124"/>
      <c r="C784" s="124"/>
      <c r="D784" s="124"/>
      <c r="E784" s="124"/>
      <c r="F784" s="124"/>
      <c r="G784" s="124"/>
      <c r="H784" s="124"/>
      <c r="I784" s="126"/>
      <c r="J784" s="124"/>
      <c r="K784" s="124"/>
      <c r="L784" s="124"/>
      <c r="M784" s="124"/>
      <c r="N784" s="124"/>
      <c r="O784" s="124"/>
      <c r="P784" s="124"/>
      <c r="Q784" s="124"/>
      <c r="R784" s="124"/>
      <c r="S784" s="124"/>
      <c r="T784" s="124"/>
      <c r="U784" s="124"/>
      <c r="V784" s="124"/>
      <c r="W784" s="124"/>
      <c r="X784" s="124"/>
      <c r="Y784" s="124"/>
      <c r="Z784" s="124"/>
    </row>
    <row r="785" ht="29.25" customHeight="1">
      <c r="A785" s="124"/>
      <c r="B785" s="124"/>
      <c r="C785" s="124"/>
      <c r="D785" s="124"/>
      <c r="E785" s="124"/>
      <c r="F785" s="124"/>
      <c r="G785" s="124"/>
      <c r="H785" s="124"/>
      <c r="I785" s="126"/>
      <c r="J785" s="124"/>
      <c r="K785" s="124"/>
      <c r="L785" s="124"/>
      <c r="M785" s="124"/>
      <c r="N785" s="124"/>
      <c r="O785" s="124"/>
      <c r="P785" s="124"/>
      <c r="Q785" s="124"/>
      <c r="R785" s="124"/>
      <c r="S785" s="124"/>
      <c r="T785" s="124"/>
      <c r="U785" s="124"/>
      <c r="V785" s="124"/>
      <c r="W785" s="124"/>
      <c r="X785" s="124"/>
      <c r="Y785" s="124"/>
      <c r="Z785" s="124"/>
    </row>
    <row r="786" ht="29.25" customHeight="1">
      <c r="A786" s="124"/>
      <c r="B786" s="124"/>
      <c r="C786" s="124"/>
      <c r="D786" s="124"/>
      <c r="E786" s="124"/>
      <c r="F786" s="124"/>
      <c r="G786" s="124"/>
      <c r="H786" s="124"/>
      <c r="I786" s="126"/>
      <c r="J786" s="124"/>
      <c r="K786" s="124"/>
      <c r="L786" s="124"/>
      <c r="M786" s="124"/>
      <c r="N786" s="124"/>
      <c r="O786" s="124"/>
      <c r="P786" s="124"/>
      <c r="Q786" s="124"/>
      <c r="R786" s="124"/>
      <c r="S786" s="124"/>
      <c r="T786" s="124"/>
      <c r="U786" s="124"/>
      <c r="V786" s="124"/>
      <c r="W786" s="124"/>
      <c r="X786" s="124"/>
      <c r="Y786" s="124"/>
      <c r="Z786" s="124"/>
    </row>
    <row r="787" ht="29.25" customHeight="1">
      <c r="A787" s="124"/>
      <c r="B787" s="124"/>
      <c r="C787" s="124"/>
      <c r="D787" s="124"/>
      <c r="E787" s="124"/>
      <c r="F787" s="124"/>
      <c r="G787" s="124"/>
      <c r="H787" s="124"/>
      <c r="I787" s="126"/>
      <c r="J787" s="124"/>
      <c r="K787" s="124"/>
      <c r="L787" s="124"/>
      <c r="M787" s="124"/>
      <c r="N787" s="124"/>
      <c r="O787" s="124"/>
      <c r="P787" s="124"/>
      <c r="Q787" s="124"/>
      <c r="R787" s="124"/>
      <c r="S787" s="124"/>
      <c r="T787" s="124"/>
      <c r="U787" s="124"/>
      <c r="V787" s="124"/>
      <c r="W787" s="124"/>
      <c r="X787" s="124"/>
      <c r="Y787" s="124"/>
      <c r="Z787" s="124"/>
    </row>
    <row r="788" ht="29.25" customHeight="1">
      <c r="A788" s="124"/>
      <c r="B788" s="124"/>
      <c r="C788" s="124"/>
      <c r="D788" s="124"/>
      <c r="E788" s="124"/>
      <c r="F788" s="124"/>
      <c r="G788" s="124"/>
      <c r="H788" s="124"/>
      <c r="I788" s="126"/>
      <c r="J788" s="124"/>
      <c r="K788" s="124"/>
      <c r="L788" s="124"/>
      <c r="M788" s="124"/>
      <c r="N788" s="124"/>
      <c r="O788" s="124"/>
      <c r="P788" s="124"/>
      <c r="Q788" s="124"/>
      <c r="R788" s="124"/>
      <c r="S788" s="124"/>
      <c r="T788" s="124"/>
      <c r="U788" s="124"/>
      <c r="V788" s="124"/>
      <c r="W788" s="124"/>
      <c r="X788" s="124"/>
      <c r="Y788" s="124"/>
      <c r="Z788" s="124"/>
    </row>
    <row r="789" ht="29.25" customHeight="1">
      <c r="A789" s="124"/>
      <c r="B789" s="124"/>
      <c r="C789" s="124"/>
      <c r="D789" s="124"/>
      <c r="E789" s="124"/>
      <c r="F789" s="124"/>
      <c r="G789" s="124"/>
      <c r="H789" s="124"/>
      <c r="I789" s="126"/>
      <c r="J789" s="124"/>
      <c r="K789" s="124"/>
      <c r="L789" s="124"/>
      <c r="M789" s="124"/>
      <c r="N789" s="124"/>
      <c r="O789" s="124"/>
      <c r="P789" s="124"/>
      <c r="Q789" s="124"/>
      <c r="R789" s="124"/>
      <c r="S789" s="124"/>
      <c r="T789" s="124"/>
      <c r="U789" s="124"/>
      <c r="V789" s="124"/>
      <c r="W789" s="124"/>
      <c r="X789" s="124"/>
      <c r="Y789" s="124"/>
      <c r="Z789" s="124"/>
    </row>
    <row r="790" ht="29.25" customHeight="1">
      <c r="A790" s="124"/>
      <c r="B790" s="124"/>
      <c r="C790" s="124"/>
      <c r="D790" s="124"/>
      <c r="E790" s="124"/>
      <c r="F790" s="124"/>
      <c r="G790" s="124"/>
      <c r="H790" s="124"/>
      <c r="I790" s="126"/>
      <c r="J790" s="124"/>
      <c r="K790" s="124"/>
      <c r="L790" s="124"/>
      <c r="M790" s="124"/>
      <c r="N790" s="124"/>
      <c r="O790" s="124"/>
      <c r="P790" s="124"/>
      <c r="Q790" s="124"/>
      <c r="R790" s="124"/>
      <c r="S790" s="124"/>
      <c r="T790" s="124"/>
      <c r="U790" s="124"/>
      <c r="V790" s="124"/>
      <c r="W790" s="124"/>
      <c r="X790" s="124"/>
      <c r="Y790" s="124"/>
      <c r="Z790" s="124"/>
    </row>
    <row r="791" ht="29.25" customHeight="1">
      <c r="A791" s="124"/>
      <c r="B791" s="124"/>
      <c r="C791" s="124"/>
      <c r="D791" s="124"/>
      <c r="E791" s="124"/>
      <c r="F791" s="124"/>
      <c r="G791" s="124"/>
      <c r="H791" s="124"/>
      <c r="I791" s="126"/>
      <c r="J791" s="124"/>
      <c r="K791" s="124"/>
      <c r="L791" s="124"/>
      <c r="M791" s="124"/>
      <c r="N791" s="124"/>
      <c r="O791" s="124"/>
      <c r="P791" s="124"/>
      <c r="Q791" s="124"/>
      <c r="R791" s="124"/>
      <c r="S791" s="124"/>
      <c r="T791" s="124"/>
      <c r="U791" s="124"/>
      <c r="V791" s="124"/>
      <c r="W791" s="124"/>
      <c r="X791" s="124"/>
      <c r="Y791" s="124"/>
      <c r="Z791" s="124"/>
    </row>
    <row r="792" ht="29.25" customHeight="1">
      <c r="A792" s="124"/>
      <c r="B792" s="124"/>
      <c r="C792" s="124"/>
      <c r="D792" s="124"/>
      <c r="E792" s="124"/>
      <c r="F792" s="124"/>
      <c r="G792" s="124"/>
      <c r="H792" s="124"/>
      <c r="I792" s="126"/>
      <c r="J792" s="124"/>
      <c r="K792" s="124"/>
      <c r="L792" s="124"/>
      <c r="M792" s="124"/>
      <c r="N792" s="124"/>
      <c r="O792" s="124"/>
      <c r="P792" s="124"/>
      <c r="Q792" s="124"/>
      <c r="R792" s="124"/>
      <c r="S792" s="124"/>
      <c r="T792" s="124"/>
      <c r="U792" s="124"/>
      <c r="V792" s="124"/>
      <c r="W792" s="124"/>
      <c r="X792" s="124"/>
      <c r="Y792" s="124"/>
      <c r="Z792" s="124"/>
    </row>
    <row r="793" ht="29.25" customHeight="1">
      <c r="A793" s="124"/>
      <c r="B793" s="124"/>
      <c r="C793" s="124"/>
      <c r="D793" s="124"/>
      <c r="E793" s="124"/>
      <c r="F793" s="124"/>
      <c r="G793" s="124"/>
      <c r="H793" s="124"/>
      <c r="I793" s="126"/>
      <c r="J793" s="124"/>
      <c r="K793" s="124"/>
      <c r="L793" s="124"/>
      <c r="M793" s="124"/>
      <c r="N793" s="124"/>
      <c r="O793" s="124"/>
      <c r="P793" s="124"/>
      <c r="Q793" s="124"/>
      <c r="R793" s="124"/>
      <c r="S793" s="124"/>
      <c r="T793" s="124"/>
      <c r="U793" s="124"/>
      <c r="V793" s="124"/>
      <c r="W793" s="124"/>
      <c r="X793" s="124"/>
      <c r="Y793" s="124"/>
      <c r="Z793" s="124"/>
    </row>
    <row r="794" ht="29.25" customHeight="1">
      <c r="A794" s="124"/>
      <c r="B794" s="124"/>
      <c r="C794" s="124"/>
      <c r="D794" s="124"/>
      <c r="E794" s="124"/>
      <c r="F794" s="124"/>
      <c r="G794" s="124"/>
      <c r="H794" s="124"/>
      <c r="I794" s="126"/>
      <c r="J794" s="124"/>
      <c r="K794" s="124"/>
      <c r="L794" s="124"/>
      <c r="M794" s="124"/>
      <c r="N794" s="124"/>
      <c r="O794" s="124"/>
      <c r="P794" s="124"/>
      <c r="Q794" s="124"/>
      <c r="R794" s="124"/>
      <c r="S794" s="124"/>
      <c r="T794" s="124"/>
      <c r="U794" s="124"/>
      <c r="V794" s="124"/>
      <c r="W794" s="124"/>
      <c r="X794" s="124"/>
      <c r="Y794" s="124"/>
      <c r="Z794" s="124"/>
    </row>
    <row r="795" ht="29.25" customHeight="1">
      <c r="A795" s="124"/>
      <c r="B795" s="124"/>
      <c r="C795" s="124"/>
      <c r="D795" s="124"/>
      <c r="E795" s="124"/>
      <c r="F795" s="124"/>
      <c r="G795" s="124"/>
      <c r="H795" s="124"/>
      <c r="I795" s="126"/>
      <c r="J795" s="124"/>
      <c r="K795" s="124"/>
      <c r="L795" s="124"/>
      <c r="M795" s="124"/>
      <c r="N795" s="124"/>
      <c r="O795" s="124"/>
      <c r="P795" s="124"/>
      <c r="Q795" s="124"/>
      <c r="R795" s="124"/>
      <c r="S795" s="124"/>
      <c r="T795" s="124"/>
      <c r="U795" s="124"/>
      <c r="V795" s="124"/>
      <c r="W795" s="124"/>
      <c r="X795" s="124"/>
      <c r="Y795" s="124"/>
      <c r="Z795" s="124"/>
    </row>
    <row r="796" ht="29.25" customHeight="1">
      <c r="A796" s="124"/>
      <c r="B796" s="124"/>
      <c r="C796" s="124"/>
      <c r="D796" s="124"/>
      <c r="E796" s="124"/>
      <c r="F796" s="124"/>
      <c r="G796" s="124"/>
      <c r="H796" s="124"/>
      <c r="I796" s="126"/>
      <c r="J796" s="124"/>
      <c r="K796" s="124"/>
      <c r="L796" s="124"/>
      <c r="M796" s="124"/>
      <c r="N796" s="124"/>
      <c r="O796" s="124"/>
      <c r="P796" s="124"/>
      <c r="Q796" s="124"/>
      <c r="R796" s="124"/>
      <c r="S796" s="124"/>
      <c r="T796" s="124"/>
      <c r="U796" s="124"/>
      <c r="V796" s="124"/>
      <c r="W796" s="124"/>
      <c r="X796" s="124"/>
      <c r="Y796" s="124"/>
      <c r="Z796" s="124"/>
    </row>
    <row r="797" ht="29.25" customHeight="1">
      <c r="A797" s="124"/>
      <c r="B797" s="124"/>
      <c r="C797" s="124"/>
      <c r="D797" s="124"/>
      <c r="E797" s="124"/>
      <c r="F797" s="124"/>
      <c r="G797" s="124"/>
      <c r="H797" s="124"/>
      <c r="I797" s="126"/>
      <c r="J797" s="124"/>
      <c r="K797" s="124"/>
      <c r="L797" s="124"/>
      <c r="M797" s="124"/>
      <c r="N797" s="124"/>
      <c r="O797" s="124"/>
      <c r="P797" s="124"/>
      <c r="Q797" s="124"/>
      <c r="R797" s="124"/>
      <c r="S797" s="124"/>
      <c r="T797" s="124"/>
      <c r="U797" s="124"/>
      <c r="V797" s="124"/>
      <c r="W797" s="124"/>
      <c r="X797" s="124"/>
      <c r="Y797" s="124"/>
      <c r="Z797" s="124"/>
    </row>
    <row r="798" ht="29.25" customHeight="1">
      <c r="A798" s="124"/>
      <c r="B798" s="124"/>
      <c r="C798" s="124"/>
      <c r="D798" s="124"/>
      <c r="E798" s="124"/>
      <c r="F798" s="124"/>
      <c r="G798" s="124"/>
      <c r="H798" s="124"/>
      <c r="I798" s="126"/>
      <c r="J798" s="124"/>
      <c r="K798" s="124"/>
      <c r="L798" s="124"/>
      <c r="M798" s="124"/>
      <c r="N798" s="124"/>
      <c r="O798" s="124"/>
      <c r="P798" s="124"/>
      <c r="Q798" s="124"/>
      <c r="R798" s="124"/>
      <c r="S798" s="124"/>
      <c r="T798" s="124"/>
      <c r="U798" s="124"/>
      <c r="V798" s="124"/>
      <c r="W798" s="124"/>
      <c r="X798" s="124"/>
      <c r="Y798" s="124"/>
      <c r="Z798" s="124"/>
    </row>
    <row r="799" ht="29.25" customHeight="1">
      <c r="A799" s="124"/>
      <c r="B799" s="124"/>
      <c r="C799" s="124"/>
      <c r="D799" s="124"/>
      <c r="E799" s="124"/>
      <c r="F799" s="124"/>
      <c r="G799" s="124"/>
      <c r="H799" s="124"/>
      <c r="I799" s="126"/>
      <c r="J799" s="124"/>
      <c r="K799" s="124"/>
      <c r="L799" s="124"/>
      <c r="M799" s="124"/>
      <c r="N799" s="124"/>
      <c r="O799" s="124"/>
      <c r="P799" s="124"/>
      <c r="Q799" s="124"/>
      <c r="R799" s="124"/>
      <c r="S799" s="124"/>
      <c r="T799" s="124"/>
      <c r="U799" s="124"/>
      <c r="V799" s="124"/>
      <c r="W799" s="124"/>
      <c r="X799" s="124"/>
      <c r="Y799" s="124"/>
      <c r="Z799" s="124"/>
    </row>
    <row r="800" ht="29.25" customHeight="1">
      <c r="A800" s="124"/>
      <c r="B800" s="124"/>
      <c r="C800" s="124"/>
      <c r="D800" s="124"/>
      <c r="E800" s="124"/>
      <c r="F800" s="124"/>
      <c r="G800" s="124"/>
      <c r="H800" s="124"/>
      <c r="I800" s="126"/>
      <c r="J800" s="124"/>
      <c r="K800" s="124"/>
      <c r="L800" s="124"/>
      <c r="M800" s="124"/>
      <c r="N800" s="124"/>
      <c r="O800" s="124"/>
      <c r="P800" s="124"/>
      <c r="Q800" s="124"/>
      <c r="R800" s="124"/>
      <c r="S800" s="124"/>
      <c r="T800" s="124"/>
      <c r="U800" s="124"/>
      <c r="V800" s="124"/>
      <c r="W800" s="124"/>
      <c r="X800" s="124"/>
      <c r="Y800" s="124"/>
      <c r="Z800" s="124"/>
    </row>
    <row r="801" ht="29.25" customHeight="1">
      <c r="A801" s="124"/>
      <c r="B801" s="124"/>
      <c r="C801" s="124"/>
      <c r="D801" s="124"/>
      <c r="E801" s="124"/>
      <c r="F801" s="124"/>
      <c r="G801" s="124"/>
      <c r="H801" s="124"/>
      <c r="I801" s="126"/>
      <c r="J801" s="124"/>
      <c r="K801" s="124"/>
      <c r="L801" s="124"/>
      <c r="M801" s="124"/>
      <c r="N801" s="124"/>
      <c r="O801" s="124"/>
      <c r="P801" s="124"/>
      <c r="Q801" s="124"/>
      <c r="R801" s="124"/>
      <c r="S801" s="124"/>
      <c r="T801" s="124"/>
      <c r="U801" s="124"/>
      <c r="V801" s="124"/>
      <c r="W801" s="124"/>
      <c r="X801" s="124"/>
      <c r="Y801" s="124"/>
      <c r="Z801" s="124"/>
    </row>
    <row r="802" ht="29.25" customHeight="1">
      <c r="A802" s="124"/>
      <c r="B802" s="124"/>
      <c r="C802" s="124"/>
      <c r="D802" s="124"/>
      <c r="E802" s="124"/>
      <c r="F802" s="124"/>
      <c r="G802" s="124"/>
      <c r="H802" s="124"/>
      <c r="I802" s="126"/>
      <c r="J802" s="124"/>
      <c r="K802" s="124"/>
      <c r="L802" s="124"/>
      <c r="M802" s="124"/>
      <c r="N802" s="124"/>
      <c r="O802" s="124"/>
      <c r="P802" s="124"/>
      <c r="Q802" s="124"/>
      <c r="R802" s="124"/>
      <c r="S802" s="124"/>
      <c r="T802" s="124"/>
      <c r="U802" s="124"/>
      <c r="V802" s="124"/>
      <c r="W802" s="124"/>
      <c r="X802" s="124"/>
      <c r="Y802" s="124"/>
      <c r="Z802" s="124"/>
    </row>
    <row r="803" ht="29.25" customHeight="1">
      <c r="A803" s="124"/>
      <c r="B803" s="124"/>
      <c r="C803" s="124"/>
      <c r="D803" s="124"/>
      <c r="E803" s="124"/>
      <c r="F803" s="124"/>
      <c r="G803" s="124"/>
      <c r="H803" s="124"/>
      <c r="I803" s="126"/>
      <c r="J803" s="124"/>
      <c r="K803" s="124"/>
      <c r="L803" s="124"/>
      <c r="M803" s="124"/>
      <c r="N803" s="124"/>
      <c r="O803" s="124"/>
      <c r="P803" s="124"/>
      <c r="Q803" s="124"/>
      <c r="R803" s="124"/>
      <c r="S803" s="124"/>
      <c r="T803" s="124"/>
      <c r="U803" s="124"/>
      <c r="V803" s="124"/>
      <c r="W803" s="124"/>
      <c r="X803" s="124"/>
      <c r="Y803" s="124"/>
      <c r="Z803" s="124"/>
    </row>
    <row r="804" ht="29.25" customHeight="1">
      <c r="A804" s="124"/>
      <c r="B804" s="124"/>
      <c r="C804" s="124"/>
      <c r="D804" s="124"/>
      <c r="E804" s="124"/>
      <c r="F804" s="124"/>
      <c r="G804" s="124"/>
      <c r="H804" s="124"/>
      <c r="I804" s="126"/>
      <c r="J804" s="124"/>
      <c r="K804" s="124"/>
      <c r="L804" s="124"/>
      <c r="M804" s="124"/>
      <c r="N804" s="124"/>
      <c r="O804" s="124"/>
      <c r="P804" s="124"/>
      <c r="Q804" s="124"/>
      <c r="R804" s="124"/>
      <c r="S804" s="124"/>
      <c r="T804" s="124"/>
      <c r="U804" s="124"/>
      <c r="V804" s="124"/>
      <c r="W804" s="124"/>
      <c r="X804" s="124"/>
      <c r="Y804" s="124"/>
      <c r="Z804" s="124"/>
    </row>
    <row r="805" ht="29.25" customHeight="1">
      <c r="A805" s="124"/>
      <c r="B805" s="124"/>
      <c r="C805" s="124"/>
      <c r="D805" s="124"/>
      <c r="E805" s="124"/>
      <c r="F805" s="124"/>
      <c r="G805" s="124"/>
      <c r="H805" s="124"/>
      <c r="I805" s="126"/>
      <c r="J805" s="124"/>
      <c r="K805" s="124"/>
      <c r="L805" s="124"/>
      <c r="M805" s="124"/>
      <c r="N805" s="124"/>
      <c r="O805" s="124"/>
      <c r="P805" s="124"/>
      <c r="Q805" s="124"/>
      <c r="R805" s="124"/>
      <c r="S805" s="124"/>
      <c r="T805" s="124"/>
      <c r="U805" s="124"/>
      <c r="V805" s="124"/>
      <c r="W805" s="124"/>
      <c r="X805" s="124"/>
      <c r="Y805" s="124"/>
      <c r="Z805" s="124"/>
    </row>
    <row r="806" ht="29.25" customHeight="1">
      <c r="A806" s="124"/>
      <c r="B806" s="124"/>
      <c r="C806" s="124"/>
      <c r="D806" s="124"/>
      <c r="E806" s="124"/>
      <c r="F806" s="124"/>
      <c r="G806" s="124"/>
      <c r="H806" s="124"/>
      <c r="I806" s="126"/>
      <c r="J806" s="124"/>
      <c r="K806" s="124"/>
      <c r="L806" s="124"/>
      <c r="M806" s="124"/>
      <c r="N806" s="124"/>
      <c r="O806" s="124"/>
      <c r="P806" s="124"/>
      <c r="Q806" s="124"/>
      <c r="R806" s="124"/>
      <c r="S806" s="124"/>
      <c r="T806" s="124"/>
      <c r="U806" s="124"/>
      <c r="V806" s="124"/>
      <c r="W806" s="124"/>
      <c r="X806" s="124"/>
      <c r="Y806" s="124"/>
      <c r="Z806" s="124"/>
    </row>
    <row r="807" ht="29.25" customHeight="1">
      <c r="A807" s="124"/>
      <c r="B807" s="124"/>
      <c r="C807" s="124"/>
      <c r="D807" s="124"/>
      <c r="E807" s="124"/>
      <c r="F807" s="124"/>
      <c r="G807" s="124"/>
      <c r="H807" s="124"/>
      <c r="I807" s="126"/>
      <c r="J807" s="124"/>
      <c r="K807" s="124"/>
      <c r="L807" s="124"/>
      <c r="M807" s="124"/>
      <c r="N807" s="124"/>
      <c r="O807" s="124"/>
      <c r="P807" s="124"/>
      <c r="Q807" s="124"/>
      <c r="R807" s="124"/>
      <c r="S807" s="124"/>
      <c r="T807" s="124"/>
      <c r="U807" s="124"/>
      <c r="V807" s="124"/>
      <c r="W807" s="124"/>
      <c r="X807" s="124"/>
      <c r="Y807" s="124"/>
      <c r="Z807" s="124"/>
    </row>
    <row r="808" ht="29.25" customHeight="1">
      <c r="A808" s="124"/>
      <c r="B808" s="124"/>
      <c r="C808" s="124"/>
      <c r="D808" s="124"/>
      <c r="E808" s="124"/>
      <c r="F808" s="124"/>
      <c r="G808" s="124"/>
      <c r="H808" s="124"/>
      <c r="I808" s="126"/>
      <c r="J808" s="124"/>
      <c r="K808" s="124"/>
      <c r="L808" s="124"/>
      <c r="M808" s="124"/>
      <c r="N808" s="124"/>
      <c r="O808" s="124"/>
      <c r="P808" s="124"/>
      <c r="Q808" s="124"/>
      <c r="R808" s="124"/>
      <c r="S808" s="124"/>
      <c r="T808" s="124"/>
      <c r="U808" s="124"/>
      <c r="V808" s="124"/>
      <c r="W808" s="124"/>
      <c r="X808" s="124"/>
      <c r="Y808" s="124"/>
      <c r="Z808" s="124"/>
    </row>
    <row r="809" ht="29.25" customHeight="1">
      <c r="A809" s="124"/>
      <c r="B809" s="124"/>
      <c r="C809" s="124"/>
      <c r="D809" s="124"/>
      <c r="E809" s="124"/>
      <c r="F809" s="124"/>
      <c r="G809" s="124"/>
      <c r="H809" s="124"/>
      <c r="I809" s="126"/>
      <c r="J809" s="124"/>
      <c r="K809" s="124"/>
      <c r="L809" s="124"/>
      <c r="M809" s="124"/>
      <c r="N809" s="124"/>
      <c r="O809" s="124"/>
      <c r="P809" s="124"/>
      <c r="Q809" s="124"/>
      <c r="R809" s="124"/>
      <c r="S809" s="124"/>
      <c r="T809" s="124"/>
      <c r="U809" s="124"/>
      <c r="V809" s="124"/>
      <c r="W809" s="124"/>
      <c r="X809" s="124"/>
      <c r="Y809" s="124"/>
      <c r="Z809" s="124"/>
    </row>
    <row r="810" ht="29.25" customHeight="1">
      <c r="A810" s="124"/>
      <c r="B810" s="124"/>
      <c r="C810" s="124"/>
      <c r="D810" s="124"/>
      <c r="E810" s="124"/>
      <c r="F810" s="124"/>
      <c r="G810" s="124"/>
      <c r="H810" s="124"/>
      <c r="I810" s="126"/>
      <c r="J810" s="124"/>
      <c r="K810" s="124"/>
      <c r="L810" s="124"/>
      <c r="M810" s="124"/>
      <c r="N810" s="124"/>
      <c r="O810" s="124"/>
      <c r="P810" s="124"/>
      <c r="Q810" s="124"/>
      <c r="R810" s="124"/>
      <c r="S810" s="124"/>
      <c r="T810" s="124"/>
      <c r="U810" s="124"/>
      <c r="V810" s="124"/>
      <c r="W810" s="124"/>
      <c r="X810" s="124"/>
      <c r="Y810" s="124"/>
      <c r="Z810" s="124"/>
    </row>
    <row r="811" ht="29.25" customHeight="1">
      <c r="A811" s="124"/>
      <c r="B811" s="124"/>
      <c r="C811" s="124"/>
      <c r="D811" s="124"/>
      <c r="E811" s="124"/>
      <c r="F811" s="124"/>
      <c r="G811" s="124"/>
      <c r="H811" s="124"/>
      <c r="I811" s="126"/>
      <c r="J811" s="124"/>
      <c r="K811" s="124"/>
      <c r="L811" s="124"/>
      <c r="M811" s="124"/>
      <c r="N811" s="124"/>
      <c r="O811" s="124"/>
      <c r="P811" s="124"/>
      <c r="Q811" s="124"/>
      <c r="R811" s="124"/>
      <c r="S811" s="124"/>
      <c r="T811" s="124"/>
      <c r="U811" s="124"/>
      <c r="V811" s="124"/>
      <c r="W811" s="124"/>
      <c r="X811" s="124"/>
      <c r="Y811" s="124"/>
      <c r="Z811" s="124"/>
    </row>
    <row r="812" ht="29.25" customHeight="1">
      <c r="A812" s="124"/>
      <c r="B812" s="124"/>
      <c r="C812" s="124"/>
      <c r="D812" s="124"/>
      <c r="E812" s="124"/>
      <c r="F812" s="124"/>
      <c r="G812" s="124"/>
      <c r="H812" s="124"/>
      <c r="I812" s="126"/>
      <c r="J812" s="124"/>
      <c r="K812" s="124"/>
      <c r="L812" s="124"/>
      <c r="M812" s="124"/>
      <c r="N812" s="124"/>
      <c r="O812" s="124"/>
      <c r="P812" s="124"/>
      <c r="Q812" s="124"/>
      <c r="R812" s="124"/>
      <c r="S812" s="124"/>
      <c r="T812" s="124"/>
      <c r="U812" s="124"/>
      <c r="V812" s="124"/>
      <c r="W812" s="124"/>
      <c r="X812" s="124"/>
      <c r="Y812" s="124"/>
      <c r="Z812" s="124"/>
    </row>
    <row r="813" ht="29.25" customHeight="1">
      <c r="A813" s="124"/>
      <c r="B813" s="124"/>
      <c r="C813" s="124"/>
      <c r="D813" s="124"/>
      <c r="E813" s="124"/>
      <c r="F813" s="124"/>
      <c r="G813" s="124"/>
      <c r="H813" s="124"/>
      <c r="I813" s="126"/>
      <c r="J813" s="124"/>
      <c r="K813" s="124"/>
      <c r="L813" s="124"/>
      <c r="M813" s="124"/>
      <c r="N813" s="124"/>
      <c r="O813" s="124"/>
      <c r="P813" s="124"/>
      <c r="Q813" s="124"/>
      <c r="R813" s="124"/>
      <c r="S813" s="124"/>
      <c r="T813" s="124"/>
      <c r="U813" s="124"/>
      <c r="V813" s="124"/>
      <c r="W813" s="124"/>
      <c r="X813" s="124"/>
      <c r="Y813" s="124"/>
      <c r="Z813" s="124"/>
    </row>
    <row r="814" ht="29.25" customHeight="1">
      <c r="A814" s="124"/>
      <c r="B814" s="124"/>
      <c r="C814" s="124"/>
      <c r="D814" s="124"/>
      <c r="E814" s="124"/>
      <c r="F814" s="124"/>
      <c r="G814" s="124"/>
      <c r="H814" s="124"/>
      <c r="I814" s="126"/>
      <c r="J814" s="124"/>
      <c r="K814" s="124"/>
      <c r="L814" s="124"/>
      <c r="M814" s="124"/>
      <c r="N814" s="124"/>
      <c r="O814" s="124"/>
      <c r="P814" s="124"/>
      <c r="Q814" s="124"/>
      <c r="R814" s="124"/>
      <c r="S814" s="124"/>
      <c r="T814" s="124"/>
      <c r="U814" s="124"/>
      <c r="V814" s="124"/>
      <c r="W814" s="124"/>
      <c r="X814" s="124"/>
      <c r="Y814" s="124"/>
      <c r="Z814" s="124"/>
    </row>
    <row r="815" ht="29.25" customHeight="1">
      <c r="A815" s="124"/>
      <c r="B815" s="124"/>
      <c r="C815" s="124"/>
      <c r="D815" s="124"/>
      <c r="E815" s="124"/>
      <c r="F815" s="124"/>
      <c r="G815" s="124"/>
      <c r="H815" s="124"/>
      <c r="I815" s="126"/>
      <c r="J815" s="124"/>
      <c r="K815" s="124"/>
      <c r="L815" s="124"/>
      <c r="M815" s="124"/>
      <c r="N815" s="124"/>
      <c r="O815" s="124"/>
      <c r="P815" s="124"/>
      <c r="Q815" s="124"/>
      <c r="R815" s="124"/>
      <c r="S815" s="124"/>
      <c r="T815" s="124"/>
      <c r="U815" s="124"/>
      <c r="V815" s="124"/>
      <c r="W815" s="124"/>
      <c r="X815" s="124"/>
      <c r="Y815" s="124"/>
      <c r="Z815" s="124"/>
    </row>
    <row r="816" ht="29.25" customHeight="1">
      <c r="A816" s="124"/>
      <c r="B816" s="124"/>
      <c r="C816" s="124"/>
      <c r="D816" s="124"/>
      <c r="E816" s="124"/>
      <c r="F816" s="124"/>
      <c r="G816" s="124"/>
      <c r="H816" s="124"/>
      <c r="I816" s="126"/>
      <c r="J816" s="124"/>
      <c r="K816" s="124"/>
      <c r="L816" s="124"/>
      <c r="M816" s="124"/>
      <c r="N816" s="124"/>
      <c r="O816" s="124"/>
      <c r="P816" s="124"/>
      <c r="Q816" s="124"/>
      <c r="R816" s="124"/>
      <c r="S816" s="124"/>
      <c r="T816" s="124"/>
      <c r="U816" s="124"/>
      <c r="V816" s="124"/>
      <c r="W816" s="124"/>
      <c r="X816" s="124"/>
      <c r="Y816" s="124"/>
      <c r="Z816" s="124"/>
    </row>
    <row r="817" ht="29.25" customHeight="1">
      <c r="A817" s="124"/>
      <c r="B817" s="124"/>
      <c r="C817" s="124"/>
      <c r="D817" s="124"/>
      <c r="E817" s="124"/>
      <c r="F817" s="124"/>
      <c r="G817" s="124"/>
      <c r="H817" s="124"/>
      <c r="I817" s="126"/>
      <c r="J817" s="124"/>
      <c r="K817" s="124"/>
      <c r="L817" s="124"/>
      <c r="M817" s="124"/>
      <c r="N817" s="124"/>
      <c r="O817" s="124"/>
      <c r="P817" s="124"/>
      <c r="Q817" s="124"/>
      <c r="R817" s="124"/>
      <c r="S817" s="124"/>
      <c r="T817" s="124"/>
      <c r="U817" s="124"/>
      <c r="V817" s="124"/>
      <c r="W817" s="124"/>
      <c r="X817" s="124"/>
      <c r="Y817" s="124"/>
      <c r="Z817" s="124"/>
    </row>
    <row r="818" ht="29.25" customHeight="1">
      <c r="A818" s="124"/>
      <c r="B818" s="124"/>
      <c r="C818" s="124"/>
      <c r="D818" s="124"/>
      <c r="E818" s="124"/>
      <c r="F818" s="124"/>
      <c r="G818" s="124"/>
      <c r="H818" s="124"/>
      <c r="I818" s="126"/>
      <c r="J818" s="124"/>
      <c r="K818" s="124"/>
      <c r="L818" s="124"/>
      <c r="M818" s="124"/>
      <c r="N818" s="124"/>
      <c r="O818" s="124"/>
      <c r="P818" s="124"/>
      <c r="Q818" s="124"/>
      <c r="R818" s="124"/>
      <c r="S818" s="124"/>
      <c r="T818" s="124"/>
      <c r="U818" s="124"/>
      <c r="V818" s="124"/>
      <c r="W818" s="124"/>
      <c r="X818" s="124"/>
      <c r="Y818" s="124"/>
      <c r="Z818" s="124"/>
    </row>
    <row r="819" ht="29.25" customHeight="1">
      <c r="A819" s="124"/>
      <c r="B819" s="124"/>
      <c r="C819" s="124"/>
      <c r="D819" s="124"/>
      <c r="E819" s="124"/>
      <c r="F819" s="124"/>
      <c r="G819" s="124"/>
      <c r="H819" s="124"/>
      <c r="I819" s="126"/>
      <c r="J819" s="124"/>
      <c r="K819" s="124"/>
      <c r="L819" s="124"/>
      <c r="M819" s="124"/>
      <c r="N819" s="124"/>
      <c r="O819" s="124"/>
      <c r="P819" s="124"/>
      <c r="Q819" s="124"/>
      <c r="R819" s="124"/>
      <c r="S819" s="124"/>
      <c r="T819" s="124"/>
      <c r="U819" s="124"/>
      <c r="V819" s="124"/>
      <c r="W819" s="124"/>
      <c r="X819" s="124"/>
      <c r="Y819" s="124"/>
      <c r="Z819" s="124"/>
    </row>
    <row r="820" ht="29.25" customHeight="1">
      <c r="A820" s="124"/>
      <c r="B820" s="124"/>
      <c r="C820" s="124"/>
      <c r="D820" s="124"/>
      <c r="E820" s="124"/>
      <c r="F820" s="124"/>
      <c r="G820" s="124"/>
      <c r="H820" s="124"/>
      <c r="I820" s="126"/>
      <c r="J820" s="124"/>
      <c r="K820" s="124"/>
      <c r="L820" s="124"/>
      <c r="M820" s="124"/>
      <c r="N820" s="124"/>
      <c r="O820" s="124"/>
      <c r="P820" s="124"/>
      <c r="Q820" s="124"/>
      <c r="R820" s="124"/>
      <c r="S820" s="124"/>
      <c r="T820" s="124"/>
      <c r="U820" s="124"/>
      <c r="V820" s="124"/>
      <c r="W820" s="124"/>
      <c r="X820" s="124"/>
      <c r="Y820" s="124"/>
      <c r="Z820" s="124"/>
    </row>
    <row r="821" ht="29.25" customHeight="1">
      <c r="A821" s="124"/>
      <c r="B821" s="124"/>
      <c r="C821" s="124"/>
      <c r="D821" s="124"/>
      <c r="E821" s="124"/>
      <c r="F821" s="124"/>
      <c r="G821" s="124"/>
      <c r="H821" s="124"/>
      <c r="I821" s="126"/>
      <c r="J821" s="124"/>
      <c r="K821" s="124"/>
      <c r="L821" s="124"/>
      <c r="M821" s="124"/>
      <c r="N821" s="124"/>
      <c r="O821" s="124"/>
      <c r="P821" s="124"/>
      <c r="Q821" s="124"/>
      <c r="R821" s="124"/>
      <c r="S821" s="124"/>
      <c r="T821" s="124"/>
      <c r="U821" s="124"/>
      <c r="V821" s="124"/>
      <c r="W821" s="124"/>
      <c r="X821" s="124"/>
      <c r="Y821" s="124"/>
      <c r="Z821" s="124"/>
    </row>
    <row r="822" ht="29.25" customHeight="1">
      <c r="A822" s="124"/>
      <c r="B822" s="124"/>
      <c r="C822" s="124"/>
      <c r="D822" s="124"/>
      <c r="E822" s="124"/>
      <c r="F822" s="124"/>
      <c r="G822" s="124"/>
      <c r="H822" s="124"/>
      <c r="I822" s="126"/>
      <c r="J822" s="124"/>
      <c r="K822" s="124"/>
      <c r="L822" s="124"/>
      <c r="M822" s="124"/>
      <c r="N822" s="124"/>
      <c r="O822" s="124"/>
      <c r="P822" s="124"/>
      <c r="Q822" s="124"/>
      <c r="R822" s="124"/>
      <c r="S822" s="124"/>
      <c r="T822" s="124"/>
      <c r="U822" s="124"/>
      <c r="V822" s="124"/>
      <c r="W822" s="124"/>
      <c r="X822" s="124"/>
      <c r="Y822" s="124"/>
      <c r="Z822" s="124"/>
    </row>
    <row r="823" ht="29.25" customHeight="1">
      <c r="A823" s="124"/>
      <c r="B823" s="124"/>
      <c r="C823" s="124"/>
      <c r="D823" s="124"/>
      <c r="E823" s="124"/>
      <c r="F823" s="124"/>
      <c r="G823" s="124"/>
      <c r="H823" s="124"/>
      <c r="I823" s="126"/>
      <c r="J823" s="124"/>
      <c r="K823" s="124"/>
      <c r="L823" s="124"/>
      <c r="M823" s="124"/>
      <c r="N823" s="124"/>
      <c r="O823" s="124"/>
      <c r="P823" s="124"/>
      <c r="Q823" s="124"/>
      <c r="R823" s="124"/>
      <c r="S823" s="124"/>
      <c r="T823" s="124"/>
      <c r="U823" s="124"/>
      <c r="V823" s="124"/>
      <c r="W823" s="124"/>
      <c r="X823" s="124"/>
      <c r="Y823" s="124"/>
      <c r="Z823" s="124"/>
    </row>
    <row r="824" ht="29.25" customHeight="1">
      <c r="A824" s="124"/>
      <c r="B824" s="124"/>
      <c r="C824" s="124"/>
      <c r="D824" s="124"/>
      <c r="E824" s="124"/>
      <c r="F824" s="124"/>
      <c r="G824" s="124"/>
      <c r="H824" s="124"/>
      <c r="I824" s="126"/>
      <c r="J824" s="124"/>
      <c r="K824" s="124"/>
      <c r="L824" s="124"/>
      <c r="M824" s="124"/>
      <c r="N824" s="124"/>
      <c r="O824" s="124"/>
      <c r="P824" s="124"/>
      <c r="Q824" s="124"/>
      <c r="R824" s="124"/>
      <c r="S824" s="124"/>
      <c r="T824" s="124"/>
      <c r="U824" s="124"/>
      <c r="V824" s="124"/>
      <c r="W824" s="124"/>
      <c r="X824" s="124"/>
      <c r="Y824" s="124"/>
      <c r="Z824" s="124"/>
    </row>
    <row r="825" ht="29.25" customHeight="1">
      <c r="A825" s="124"/>
      <c r="B825" s="124"/>
      <c r="C825" s="124"/>
      <c r="D825" s="124"/>
      <c r="E825" s="124"/>
      <c r="F825" s="124"/>
      <c r="G825" s="124"/>
      <c r="H825" s="124"/>
      <c r="I825" s="126"/>
      <c r="J825" s="124"/>
      <c r="K825" s="124"/>
      <c r="L825" s="124"/>
      <c r="M825" s="124"/>
      <c r="N825" s="124"/>
      <c r="O825" s="124"/>
      <c r="P825" s="124"/>
      <c r="Q825" s="124"/>
      <c r="R825" s="124"/>
      <c r="S825" s="124"/>
      <c r="T825" s="124"/>
      <c r="U825" s="124"/>
      <c r="V825" s="124"/>
      <c r="W825" s="124"/>
      <c r="X825" s="124"/>
      <c r="Y825" s="124"/>
      <c r="Z825" s="124"/>
    </row>
    <row r="826" ht="29.25" customHeight="1">
      <c r="A826" s="124"/>
      <c r="B826" s="124"/>
      <c r="C826" s="124"/>
      <c r="D826" s="124"/>
      <c r="E826" s="124"/>
      <c r="F826" s="124"/>
      <c r="G826" s="124"/>
      <c r="H826" s="124"/>
      <c r="I826" s="126"/>
      <c r="J826" s="124"/>
      <c r="K826" s="124"/>
      <c r="L826" s="124"/>
      <c r="M826" s="124"/>
      <c r="N826" s="124"/>
      <c r="O826" s="124"/>
      <c r="P826" s="124"/>
      <c r="Q826" s="124"/>
      <c r="R826" s="124"/>
      <c r="S826" s="124"/>
      <c r="T826" s="124"/>
      <c r="U826" s="124"/>
      <c r="V826" s="124"/>
      <c r="W826" s="124"/>
      <c r="X826" s="124"/>
      <c r="Y826" s="124"/>
      <c r="Z826" s="124"/>
    </row>
    <row r="827" ht="29.25" customHeight="1">
      <c r="A827" s="124"/>
      <c r="B827" s="124"/>
      <c r="C827" s="124"/>
      <c r="D827" s="124"/>
      <c r="E827" s="124"/>
      <c r="F827" s="124"/>
      <c r="G827" s="124"/>
      <c r="H827" s="124"/>
      <c r="I827" s="126"/>
      <c r="J827" s="124"/>
      <c r="K827" s="124"/>
      <c r="L827" s="124"/>
      <c r="M827" s="124"/>
      <c r="N827" s="124"/>
      <c r="O827" s="124"/>
      <c r="P827" s="124"/>
      <c r="Q827" s="124"/>
      <c r="R827" s="124"/>
      <c r="S827" s="124"/>
      <c r="T827" s="124"/>
      <c r="U827" s="124"/>
      <c r="V827" s="124"/>
      <c r="W827" s="124"/>
      <c r="X827" s="124"/>
      <c r="Y827" s="124"/>
      <c r="Z827" s="124"/>
    </row>
    <row r="828" ht="29.25" customHeight="1">
      <c r="A828" s="124"/>
      <c r="B828" s="124"/>
      <c r="C828" s="124"/>
      <c r="D828" s="124"/>
      <c r="E828" s="124"/>
      <c r="F828" s="124"/>
      <c r="G828" s="124"/>
      <c r="H828" s="124"/>
      <c r="I828" s="126"/>
      <c r="J828" s="124"/>
      <c r="K828" s="124"/>
      <c r="L828" s="124"/>
      <c r="M828" s="124"/>
      <c r="N828" s="124"/>
      <c r="O828" s="124"/>
      <c r="P828" s="124"/>
      <c r="Q828" s="124"/>
      <c r="R828" s="124"/>
      <c r="S828" s="124"/>
      <c r="T828" s="124"/>
      <c r="U828" s="124"/>
      <c r="V828" s="124"/>
      <c r="W828" s="124"/>
      <c r="X828" s="124"/>
      <c r="Y828" s="124"/>
      <c r="Z828" s="124"/>
    </row>
    <row r="829" ht="29.25" customHeight="1">
      <c r="A829" s="124"/>
      <c r="B829" s="124"/>
      <c r="C829" s="124"/>
      <c r="D829" s="124"/>
      <c r="E829" s="124"/>
      <c r="F829" s="124"/>
      <c r="G829" s="124"/>
      <c r="H829" s="124"/>
      <c r="I829" s="126"/>
      <c r="J829" s="124"/>
      <c r="K829" s="124"/>
      <c r="L829" s="124"/>
      <c r="M829" s="124"/>
      <c r="N829" s="124"/>
      <c r="O829" s="124"/>
      <c r="P829" s="124"/>
      <c r="Q829" s="124"/>
      <c r="R829" s="124"/>
      <c r="S829" s="124"/>
      <c r="T829" s="124"/>
      <c r="U829" s="124"/>
      <c r="V829" s="124"/>
      <c r="W829" s="124"/>
      <c r="X829" s="124"/>
      <c r="Y829" s="124"/>
      <c r="Z829" s="124"/>
    </row>
    <row r="830" ht="29.25" customHeight="1">
      <c r="A830" s="124"/>
      <c r="B830" s="124"/>
      <c r="C830" s="124"/>
      <c r="D830" s="124"/>
      <c r="E830" s="124"/>
      <c r="F830" s="124"/>
      <c r="G830" s="124"/>
      <c r="H830" s="124"/>
      <c r="I830" s="126"/>
      <c r="J830" s="124"/>
      <c r="K830" s="124"/>
      <c r="L830" s="124"/>
      <c r="M830" s="124"/>
      <c r="N830" s="124"/>
      <c r="O830" s="124"/>
      <c r="P830" s="124"/>
      <c r="Q830" s="124"/>
      <c r="R830" s="124"/>
      <c r="S830" s="124"/>
      <c r="T830" s="124"/>
      <c r="U830" s="124"/>
      <c r="V830" s="124"/>
      <c r="W830" s="124"/>
      <c r="X830" s="124"/>
      <c r="Y830" s="124"/>
      <c r="Z830" s="124"/>
    </row>
    <row r="831" ht="29.25" customHeight="1">
      <c r="A831" s="124"/>
      <c r="B831" s="124"/>
      <c r="C831" s="124"/>
      <c r="D831" s="124"/>
      <c r="E831" s="124"/>
      <c r="F831" s="124"/>
      <c r="G831" s="124"/>
      <c r="H831" s="124"/>
      <c r="I831" s="126"/>
      <c r="J831" s="124"/>
      <c r="K831" s="124"/>
      <c r="L831" s="124"/>
      <c r="M831" s="124"/>
      <c r="N831" s="124"/>
      <c r="O831" s="124"/>
      <c r="P831" s="124"/>
      <c r="Q831" s="124"/>
      <c r="R831" s="124"/>
      <c r="S831" s="124"/>
      <c r="T831" s="124"/>
      <c r="U831" s="124"/>
      <c r="V831" s="124"/>
      <c r="W831" s="124"/>
      <c r="X831" s="124"/>
      <c r="Y831" s="124"/>
      <c r="Z831" s="124"/>
    </row>
    <row r="832" ht="29.25" customHeight="1">
      <c r="A832" s="124"/>
      <c r="B832" s="124"/>
      <c r="C832" s="124"/>
      <c r="D832" s="124"/>
      <c r="E832" s="124"/>
      <c r="F832" s="124"/>
      <c r="G832" s="124"/>
      <c r="H832" s="124"/>
      <c r="I832" s="126"/>
      <c r="J832" s="124"/>
      <c r="K832" s="124"/>
      <c r="L832" s="124"/>
      <c r="M832" s="124"/>
      <c r="N832" s="124"/>
      <c r="O832" s="124"/>
      <c r="P832" s="124"/>
      <c r="Q832" s="124"/>
      <c r="R832" s="124"/>
      <c r="S832" s="124"/>
      <c r="T832" s="124"/>
      <c r="U832" s="124"/>
      <c r="V832" s="124"/>
      <c r="W832" s="124"/>
      <c r="X832" s="124"/>
      <c r="Y832" s="124"/>
      <c r="Z832" s="124"/>
    </row>
    <row r="833" ht="29.25" customHeight="1">
      <c r="A833" s="124"/>
      <c r="B833" s="124"/>
      <c r="C833" s="124"/>
      <c r="D833" s="124"/>
      <c r="E833" s="124"/>
      <c r="F833" s="124"/>
      <c r="G833" s="124"/>
      <c r="H833" s="124"/>
      <c r="I833" s="126"/>
      <c r="J833" s="124"/>
      <c r="K833" s="124"/>
      <c r="L833" s="124"/>
      <c r="M833" s="124"/>
      <c r="N833" s="124"/>
      <c r="O833" s="124"/>
      <c r="P833" s="124"/>
      <c r="Q833" s="124"/>
      <c r="R833" s="124"/>
      <c r="S833" s="124"/>
      <c r="T833" s="124"/>
      <c r="U833" s="124"/>
      <c r="V833" s="124"/>
      <c r="W833" s="124"/>
      <c r="X833" s="124"/>
      <c r="Y833" s="124"/>
      <c r="Z833" s="124"/>
    </row>
    <row r="834" ht="29.25" customHeight="1">
      <c r="A834" s="124"/>
      <c r="B834" s="124"/>
      <c r="C834" s="124"/>
      <c r="D834" s="124"/>
      <c r="E834" s="124"/>
      <c r="F834" s="124"/>
      <c r="G834" s="124"/>
      <c r="H834" s="124"/>
      <c r="I834" s="126"/>
      <c r="J834" s="124"/>
      <c r="K834" s="124"/>
      <c r="L834" s="124"/>
      <c r="M834" s="124"/>
      <c r="N834" s="124"/>
      <c r="O834" s="124"/>
      <c r="P834" s="124"/>
      <c r="Q834" s="124"/>
      <c r="R834" s="124"/>
      <c r="S834" s="124"/>
      <c r="T834" s="124"/>
      <c r="U834" s="124"/>
      <c r="V834" s="124"/>
      <c r="W834" s="124"/>
      <c r="X834" s="124"/>
      <c r="Y834" s="124"/>
      <c r="Z834" s="124"/>
    </row>
    <row r="835" ht="29.25" customHeight="1">
      <c r="A835" s="124"/>
      <c r="B835" s="124"/>
      <c r="C835" s="124"/>
      <c r="D835" s="124"/>
      <c r="E835" s="124"/>
      <c r="F835" s="124"/>
      <c r="G835" s="124"/>
      <c r="H835" s="124"/>
      <c r="I835" s="126"/>
      <c r="J835" s="124"/>
      <c r="K835" s="124"/>
      <c r="L835" s="124"/>
      <c r="M835" s="124"/>
      <c r="N835" s="124"/>
      <c r="O835" s="124"/>
      <c r="P835" s="124"/>
      <c r="Q835" s="124"/>
      <c r="R835" s="124"/>
      <c r="S835" s="124"/>
      <c r="T835" s="124"/>
      <c r="U835" s="124"/>
      <c r="V835" s="124"/>
      <c r="W835" s="124"/>
      <c r="X835" s="124"/>
      <c r="Y835" s="124"/>
      <c r="Z835" s="124"/>
    </row>
    <row r="836" ht="29.25" customHeight="1">
      <c r="A836" s="124"/>
      <c r="B836" s="124"/>
      <c r="C836" s="124"/>
      <c r="D836" s="124"/>
      <c r="E836" s="124"/>
      <c r="F836" s="124"/>
      <c r="G836" s="124"/>
      <c r="H836" s="124"/>
      <c r="I836" s="126"/>
      <c r="J836" s="124"/>
      <c r="K836" s="124"/>
      <c r="L836" s="124"/>
      <c r="M836" s="124"/>
      <c r="N836" s="124"/>
      <c r="O836" s="124"/>
      <c r="P836" s="124"/>
      <c r="Q836" s="124"/>
      <c r="R836" s="124"/>
      <c r="S836" s="124"/>
      <c r="T836" s="124"/>
      <c r="U836" s="124"/>
      <c r="V836" s="124"/>
      <c r="W836" s="124"/>
      <c r="X836" s="124"/>
      <c r="Y836" s="124"/>
      <c r="Z836" s="124"/>
    </row>
    <row r="837" ht="29.25" customHeight="1">
      <c r="A837" s="124"/>
      <c r="B837" s="124"/>
      <c r="C837" s="124"/>
      <c r="D837" s="124"/>
      <c r="E837" s="124"/>
      <c r="F837" s="124"/>
      <c r="G837" s="124"/>
      <c r="H837" s="124"/>
      <c r="I837" s="126"/>
      <c r="J837" s="124"/>
      <c r="K837" s="124"/>
      <c r="L837" s="124"/>
      <c r="M837" s="124"/>
      <c r="N837" s="124"/>
      <c r="O837" s="124"/>
      <c r="P837" s="124"/>
      <c r="Q837" s="124"/>
      <c r="R837" s="124"/>
      <c r="S837" s="124"/>
      <c r="T837" s="124"/>
      <c r="U837" s="124"/>
      <c r="V837" s="124"/>
      <c r="W837" s="124"/>
      <c r="X837" s="124"/>
      <c r="Y837" s="124"/>
      <c r="Z837" s="124"/>
    </row>
    <row r="838" ht="29.25" customHeight="1">
      <c r="A838" s="124"/>
      <c r="B838" s="124"/>
      <c r="C838" s="124"/>
      <c r="D838" s="124"/>
      <c r="E838" s="124"/>
      <c r="F838" s="124"/>
      <c r="G838" s="124"/>
      <c r="H838" s="124"/>
      <c r="I838" s="126"/>
      <c r="J838" s="124"/>
      <c r="K838" s="124"/>
      <c r="L838" s="124"/>
      <c r="M838" s="124"/>
      <c r="N838" s="124"/>
      <c r="O838" s="124"/>
      <c r="P838" s="124"/>
      <c r="Q838" s="124"/>
      <c r="R838" s="124"/>
      <c r="S838" s="124"/>
      <c r="T838" s="124"/>
      <c r="U838" s="124"/>
      <c r="V838" s="124"/>
      <c r="W838" s="124"/>
      <c r="X838" s="124"/>
      <c r="Y838" s="124"/>
      <c r="Z838" s="124"/>
    </row>
    <row r="839" ht="29.25" customHeight="1">
      <c r="A839" s="124"/>
      <c r="B839" s="124"/>
      <c r="C839" s="124"/>
      <c r="D839" s="124"/>
      <c r="E839" s="124"/>
      <c r="F839" s="124"/>
      <c r="G839" s="124"/>
      <c r="H839" s="124"/>
      <c r="I839" s="126"/>
      <c r="J839" s="124"/>
      <c r="K839" s="124"/>
      <c r="L839" s="124"/>
      <c r="M839" s="124"/>
      <c r="N839" s="124"/>
      <c r="O839" s="124"/>
      <c r="P839" s="124"/>
      <c r="Q839" s="124"/>
      <c r="R839" s="124"/>
      <c r="S839" s="124"/>
      <c r="T839" s="124"/>
      <c r="U839" s="124"/>
      <c r="V839" s="124"/>
      <c r="W839" s="124"/>
      <c r="X839" s="124"/>
      <c r="Y839" s="124"/>
      <c r="Z839" s="124"/>
    </row>
    <row r="840" ht="29.25" customHeight="1">
      <c r="A840" s="124"/>
      <c r="B840" s="124"/>
      <c r="C840" s="124"/>
      <c r="D840" s="124"/>
      <c r="E840" s="124"/>
      <c r="F840" s="124"/>
      <c r="G840" s="124"/>
      <c r="H840" s="124"/>
      <c r="I840" s="126"/>
      <c r="J840" s="124"/>
      <c r="K840" s="124"/>
      <c r="L840" s="124"/>
      <c r="M840" s="124"/>
      <c r="N840" s="124"/>
      <c r="O840" s="124"/>
      <c r="P840" s="124"/>
      <c r="Q840" s="124"/>
      <c r="R840" s="124"/>
      <c r="S840" s="124"/>
      <c r="T840" s="124"/>
      <c r="U840" s="124"/>
      <c r="V840" s="124"/>
      <c r="W840" s="124"/>
      <c r="X840" s="124"/>
      <c r="Y840" s="124"/>
      <c r="Z840" s="124"/>
    </row>
    <row r="841" ht="29.25" customHeight="1">
      <c r="A841" s="124"/>
      <c r="B841" s="124"/>
      <c r="C841" s="124"/>
      <c r="D841" s="124"/>
      <c r="E841" s="124"/>
      <c r="F841" s="124"/>
      <c r="G841" s="124"/>
      <c r="H841" s="124"/>
      <c r="I841" s="126"/>
      <c r="J841" s="124"/>
      <c r="K841" s="124"/>
      <c r="L841" s="124"/>
      <c r="M841" s="124"/>
      <c r="N841" s="124"/>
      <c r="O841" s="124"/>
      <c r="P841" s="124"/>
      <c r="Q841" s="124"/>
      <c r="R841" s="124"/>
      <c r="S841" s="124"/>
      <c r="T841" s="124"/>
      <c r="U841" s="124"/>
      <c r="V841" s="124"/>
      <c r="W841" s="124"/>
      <c r="X841" s="124"/>
      <c r="Y841" s="124"/>
      <c r="Z841" s="124"/>
    </row>
    <row r="842" ht="29.25" customHeight="1">
      <c r="A842" s="124"/>
      <c r="B842" s="124"/>
      <c r="C842" s="124"/>
      <c r="D842" s="124"/>
      <c r="E842" s="124"/>
      <c r="F842" s="124"/>
      <c r="G842" s="124"/>
      <c r="H842" s="124"/>
      <c r="I842" s="126"/>
      <c r="J842" s="124"/>
      <c r="K842" s="124"/>
      <c r="L842" s="124"/>
      <c r="M842" s="124"/>
      <c r="N842" s="124"/>
      <c r="O842" s="124"/>
      <c r="P842" s="124"/>
      <c r="Q842" s="124"/>
      <c r="R842" s="124"/>
      <c r="S842" s="124"/>
      <c r="T842" s="124"/>
      <c r="U842" s="124"/>
      <c r="V842" s="124"/>
      <c r="W842" s="124"/>
      <c r="X842" s="124"/>
      <c r="Y842" s="124"/>
      <c r="Z842" s="124"/>
    </row>
    <row r="843" ht="29.25" customHeight="1">
      <c r="A843" s="124"/>
      <c r="B843" s="124"/>
      <c r="C843" s="124"/>
      <c r="D843" s="124"/>
      <c r="E843" s="124"/>
      <c r="F843" s="124"/>
      <c r="G843" s="124"/>
      <c r="H843" s="124"/>
      <c r="I843" s="126"/>
      <c r="J843" s="124"/>
      <c r="K843" s="124"/>
      <c r="L843" s="124"/>
      <c r="M843" s="124"/>
      <c r="N843" s="124"/>
      <c r="O843" s="124"/>
      <c r="P843" s="124"/>
      <c r="Q843" s="124"/>
      <c r="R843" s="124"/>
      <c r="S843" s="124"/>
      <c r="T843" s="124"/>
      <c r="U843" s="124"/>
      <c r="V843" s="124"/>
      <c r="W843" s="124"/>
      <c r="X843" s="124"/>
      <c r="Y843" s="124"/>
      <c r="Z843" s="124"/>
    </row>
    <row r="844" ht="29.25" customHeight="1">
      <c r="A844" s="124"/>
      <c r="B844" s="124"/>
      <c r="C844" s="124"/>
      <c r="D844" s="124"/>
      <c r="E844" s="124"/>
      <c r="F844" s="124"/>
      <c r="G844" s="124"/>
      <c r="H844" s="124"/>
      <c r="I844" s="126"/>
      <c r="J844" s="124"/>
      <c r="K844" s="124"/>
      <c r="L844" s="124"/>
      <c r="M844" s="124"/>
      <c r="N844" s="124"/>
      <c r="O844" s="124"/>
      <c r="P844" s="124"/>
      <c r="Q844" s="124"/>
      <c r="R844" s="124"/>
      <c r="S844" s="124"/>
      <c r="T844" s="124"/>
      <c r="U844" s="124"/>
      <c r="V844" s="124"/>
      <c r="W844" s="124"/>
      <c r="X844" s="124"/>
      <c r="Y844" s="124"/>
      <c r="Z844" s="124"/>
    </row>
    <row r="845" ht="29.25" customHeight="1">
      <c r="A845" s="124"/>
      <c r="B845" s="124"/>
      <c r="C845" s="124"/>
      <c r="D845" s="124"/>
      <c r="E845" s="124"/>
      <c r="F845" s="124"/>
      <c r="G845" s="124"/>
      <c r="H845" s="124"/>
      <c r="I845" s="126"/>
      <c r="J845" s="124"/>
      <c r="K845" s="124"/>
      <c r="L845" s="124"/>
      <c r="M845" s="124"/>
      <c r="N845" s="124"/>
      <c r="O845" s="124"/>
      <c r="P845" s="124"/>
      <c r="Q845" s="124"/>
      <c r="R845" s="124"/>
      <c r="S845" s="124"/>
      <c r="T845" s="124"/>
      <c r="U845" s="124"/>
      <c r="V845" s="124"/>
      <c r="W845" s="124"/>
      <c r="X845" s="124"/>
      <c r="Y845" s="124"/>
      <c r="Z845" s="124"/>
    </row>
    <row r="846" ht="29.25" customHeight="1">
      <c r="A846" s="124"/>
      <c r="B846" s="124"/>
      <c r="C846" s="124"/>
      <c r="D846" s="124"/>
      <c r="E846" s="124"/>
      <c r="F846" s="124"/>
      <c r="G846" s="124"/>
      <c r="H846" s="124"/>
      <c r="I846" s="126"/>
      <c r="J846" s="124"/>
      <c r="K846" s="124"/>
      <c r="L846" s="124"/>
      <c r="M846" s="124"/>
      <c r="N846" s="124"/>
      <c r="O846" s="124"/>
      <c r="P846" s="124"/>
      <c r="Q846" s="124"/>
      <c r="R846" s="124"/>
      <c r="S846" s="124"/>
      <c r="T846" s="124"/>
      <c r="U846" s="124"/>
      <c r="V846" s="124"/>
      <c r="W846" s="124"/>
      <c r="X846" s="124"/>
      <c r="Y846" s="124"/>
      <c r="Z846" s="124"/>
    </row>
    <row r="847" ht="29.25" customHeight="1">
      <c r="A847" s="124"/>
      <c r="B847" s="124"/>
      <c r="C847" s="124"/>
      <c r="D847" s="124"/>
      <c r="E847" s="124"/>
      <c r="F847" s="124"/>
      <c r="G847" s="124"/>
      <c r="H847" s="124"/>
      <c r="I847" s="126"/>
      <c r="J847" s="124"/>
      <c r="K847" s="124"/>
      <c r="L847" s="124"/>
      <c r="M847" s="124"/>
      <c r="N847" s="124"/>
      <c r="O847" s="124"/>
      <c r="P847" s="124"/>
      <c r="Q847" s="124"/>
      <c r="R847" s="124"/>
      <c r="S847" s="124"/>
      <c r="T847" s="124"/>
      <c r="U847" s="124"/>
      <c r="V847" s="124"/>
      <c r="W847" s="124"/>
      <c r="X847" s="124"/>
      <c r="Y847" s="124"/>
      <c r="Z847" s="124"/>
    </row>
    <row r="848" ht="29.25" customHeight="1">
      <c r="A848" s="124"/>
      <c r="B848" s="124"/>
      <c r="C848" s="124"/>
      <c r="D848" s="124"/>
      <c r="E848" s="124"/>
      <c r="F848" s="124"/>
      <c r="G848" s="124"/>
      <c r="H848" s="124"/>
      <c r="I848" s="126"/>
      <c r="J848" s="124"/>
      <c r="K848" s="124"/>
      <c r="L848" s="124"/>
      <c r="M848" s="124"/>
      <c r="N848" s="124"/>
      <c r="O848" s="124"/>
      <c r="P848" s="124"/>
      <c r="Q848" s="124"/>
      <c r="R848" s="124"/>
      <c r="S848" s="124"/>
      <c r="T848" s="124"/>
      <c r="U848" s="124"/>
      <c r="V848" s="124"/>
      <c r="W848" s="124"/>
      <c r="X848" s="124"/>
      <c r="Y848" s="124"/>
      <c r="Z848" s="124"/>
    </row>
    <row r="849" ht="29.25" customHeight="1">
      <c r="A849" s="124"/>
      <c r="B849" s="124"/>
      <c r="C849" s="124"/>
      <c r="D849" s="124"/>
      <c r="E849" s="124"/>
      <c r="F849" s="124"/>
      <c r="G849" s="124"/>
      <c r="H849" s="124"/>
      <c r="I849" s="126"/>
      <c r="J849" s="124"/>
      <c r="K849" s="124"/>
      <c r="L849" s="124"/>
      <c r="M849" s="124"/>
      <c r="N849" s="124"/>
      <c r="O849" s="124"/>
      <c r="P849" s="124"/>
      <c r="Q849" s="124"/>
      <c r="R849" s="124"/>
      <c r="S849" s="124"/>
      <c r="T849" s="124"/>
      <c r="U849" s="124"/>
      <c r="V849" s="124"/>
      <c r="W849" s="124"/>
      <c r="X849" s="124"/>
      <c r="Y849" s="124"/>
      <c r="Z849" s="124"/>
    </row>
    <row r="850" ht="29.25" customHeight="1">
      <c r="A850" s="124"/>
      <c r="B850" s="124"/>
      <c r="C850" s="124"/>
      <c r="D850" s="124"/>
      <c r="E850" s="124"/>
      <c r="F850" s="124"/>
      <c r="G850" s="124"/>
      <c r="H850" s="124"/>
      <c r="I850" s="126"/>
      <c r="J850" s="124"/>
      <c r="K850" s="124"/>
      <c r="L850" s="124"/>
      <c r="M850" s="124"/>
      <c r="N850" s="124"/>
      <c r="O850" s="124"/>
      <c r="P850" s="124"/>
      <c r="Q850" s="124"/>
      <c r="R850" s="124"/>
      <c r="S850" s="124"/>
      <c r="T850" s="124"/>
      <c r="U850" s="124"/>
      <c r="V850" s="124"/>
      <c r="W850" s="124"/>
      <c r="X850" s="124"/>
      <c r="Y850" s="124"/>
      <c r="Z850" s="124"/>
    </row>
    <row r="851" ht="29.25" customHeight="1">
      <c r="A851" s="124"/>
      <c r="B851" s="124"/>
      <c r="C851" s="124"/>
      <c r="D851" s="124"/>
      <c r="E851" s="124"/>
      <c r="F851" s="124"/>
      <c r="G851" s="124"/>
      <c r="H851" s="124"/>
      <c r="I851" s="126"/>
      <c r="J851" s="124"/>
      <c r="K851" s="124"/>
      <c r="L851" s="124"/>
      <c r="M851" s="124"/>
      <c r="N851" s="124"/>
      <c r="O851" s="124"/>
      <c r="P851" s="124"/>
      <c r="Q851" s="124"/>
      <c r="R851" s="124"/>
      <c r="S851" s="124"/>
      <c r="T851" s="124"/>
      <c r="U851" s="124"/>
      <c r="V851" s="124"/>
      <c r="W851" s="124"/>
      <c r="X851" s="124"/>
      <c r="Y851" s="124"/>
      <c r="Z851" s="124"/>
    </row>
    <row r="852" ht="29.25" customHeight="1">
      <c r="A852" s="124"/>
      <c r="B852" s="124"/>
      <c r="C852" s="124"/>
      <c r="D852" s="124"/>
      <c r="E852" s="124"/>
      <c r="F852" s="124"/>
      <c r="G852" s="124"/>
      <c r="H852" s="124"/>
      <c r="I852" s="126"/>
      <c r="J852" s="124"/>
      <c r="K852" s="124"/>
      <c r="L852" s="124"/>
      <c r="M852" s="124"/>
      <c r="N852" s="124"/>
      <c r="O852" s="124"/>
      <c r="P852" s="124"/>
      <c r="Q852" s="124"/>
      <c r="R852" s="124"/>
      <c r="S852" s="124"/>
      <c r="T852" s="124"/>
      <c r="U852" s="124"/>
      <c r="V852" s="124"/>
      <c r="W852" s="124"/>
      <c r="X852" s="124"/>
      <c r="Y852" s="124"/>
      <c r="Z852" s="124"/>
    </row>
    <row r="853" ht="29.25" customHeight="1">
      <c r="A853" s="124"/>
      <c r="B853" s="124"/>
      <c r="C853" s="124"/>
      <c r="D853" s="124"/>
      <c r="E853" s="124"/>
      <c r="F853" s="124"/>
      <c r="G853" s="124"/>
      <c r="H853" s="124"/>
      <c r="I853" s="126"/>
      <c r="J853" s="124"/>
      <c r="K853" s="124"/>
      <c r="L853" s="124"/>
      <c r="M853" s="124"/>
      <c r="N853" s="124"/>
      <c r="O853" s="124"/>
      <c r="P853" s="124"/>
      <c r="Q853" s="124"/>
      <c r="R853" s="124"/>
      <c r="S853" s="124"/>
      <c r="T853" s="124"/>
      <c r="U853" s="124"/>
      <c r="V853" s="124"/>
      <c r="W853" s="124"/>
      <c r="X853" s="124"/>
      <c r="Y853" s="124"/>
      <c r="Z853" s="124"/>
    </row>
    <row r="854" ht="29.25" customHeight="1">
      <c r="A854" s="124"/>
      <c r="B854" s="124"/>
      <c r="C854" s="124"/>
      <c r="D854" s="124"/>
      <c r="E854" s="124"/>
      <c r="F854" s="124"/>
      <c r="G854" s="124"/>
      <c r="H854" s="124"/>
      <c r="I854" s="126"/>
      <c r="J854" s="124"/>
      <c r="K854" s="124"/>
      <c r="L854" s="124"/>
      <c r="M854" s="124"/>
      <c r="N854" s="124"/>
      <c r="O854" s="124"/>
      <c r="P854" s="124"/>
      <c r="Q854" s="124"/>
      <c r="R854" s="124"/>
      <c r="S854" s="124"/>
      <c r="T854" s="124"/>
      <c r="U854" s="124"/>
      <c r="V854" s="124"/>
      <c r="W854" s="124"/>
      <c r="X854" s="124"/>
      <c r="Y854" s="124"/>
      <c r="Z854" s="124"/>
    </row>
    <row r="855" ht="29.25" customHeight="1">
      <c r="A855" s="124"/>
      <c r="B855" s="124"/>
      <c r="C855" s="124"/>
      <c r="D855" s="124"/>
      <c r="E855" s="124"/>
      <c r="F855" s="124"/>
      <c r="G855" s="124"/>
      <c r="H855" s="124"/>
      <c r="I855" s="126"/>
      <c r="J855" s="124"/>
      <c r="K855" s="124"/>
      <c r="L855" s="124"/>
      <c r="M855" s="124"/>
      <c r="N855" s="124"/>
      <c r="O855" s="124"/>
      <c r="P855" s="124"/>
      <c r="Q855" s="124"/>
      <c r="R855" s="124"/>
      <c r="S855" s="124"/>
      <c r="T855" s="124"/>
      <c r="U855" s="124"/>
      <c r="V855" s="124"/>
      <c r="W855" s="124"/>
      <c r="X855" s="124"/>
      <c r="Y855" s="124"/>
      <c r="Z855" s="124"/>
    </row>
    <row r="856" ht="29.25" customHeight="1">
      <c r="A856" s="124"/>
      <c r="B856" s="124"/>
      <c r="C856" s="124"/>
      <c r="D856" s="124"/>
      <c r="E856" s="124"/>
      <c r="F856" s="124"/>
      <c r="G856" s="124"/>
      <c r="H856" s="124"/>
      <c r="I856" s="126"/>
      <c r="J856" s="124"/>
      <c r="K856" s="124"/>
      <c r="L856" s="124"/>
      <c r="M856" s="124"/>
      <c r="N856" s="124"/>
      <c r="O856" s="124"/>
      <c r="P856" s="124"/>
      <c r="Q856" s="124"/>
      <c r="R856" s="124"/>
      <c r="S856" s="124"/>
      <c r="T856" s="124"/>
      <c r="U856" s="124"/>
      <c r="V856" s="124"/>
      <c r="W856" s="124"/>
      <c r="X856" s="124"/>
      <c r="Y856" s="124"/>
      <c r="Z856" s="124"/>
    </row>
    <row r="857" ht="29.25" customHeight="1">
      <c r="A857" s="124"/>
      <c r="B857" s="124"/>
      <c r="C857" s="124"/>
      <c r="D857" s="124"/>
      <c r="E857" s="124"/>
      <c r="F857" s="124"/>
      <c r="G857" s="124"/>
      <c r="H857" s="124"/>
      <c r="I857" s="126"/>
      <c r="J857" s="124"/>
      <c r="K857" s="124"/>
      <c r="L857" s="124"/>
      <c r="M857" s="124"/>
      <c r="N857" s="124"/>
      <c r="O857" s="124"/>
      <c r="P857" s="124"/>
      <c r="Q857" s="124"/>
      <c r="R857" s="124"/>
      <c r="S857" s="124"/>
      <c r="T857" s="124"/>
      <c r="U857" s="124"/>
      <c r="V857" s="124"/>
      <c r="W857" s="124"/>
      <c r="X857" s="124"/>
      <c r="Y857" s="124"/>
      <c r="Z857" s="124"/>
    </row>
    <row r="858" ht="29.25" customHeight="1">
      <c r="A858" s="124"/>
      <c r="B858" s="124"/>
      <c r="C858" s="124"/>
      <c r="D858" s="124"/>
      <c r="E858" s="124"/>
      <c r="F858" s="124"/>
      <c r="G858" s="124"/>
      <c r="H858" s="124"/>
      <c r="I858" s="126"/>
      <c r="J858" s="124"/>
      <c r="K858" s="124"/>
      <c r="L858" s="124"/>
      <c r="M858" s="124"/>
      <c r="N858" s="124"/>
      <c r="O858" s="124"/>
      <c r="P858" s="124"/>
      <c r="Q858" s="124"/>
      <c r="R858" s="124"/>
      <c r="S858" s="124"/>
      <c r="T858" s="124"/>
      <c r="U858" s="124"/>
      <c r="V858" s="124"/>
      <c r="W858" s="124"/>
      <c r="X858" s="124"/>
      <c r="Y858" s="124"/>
      <c r="Z858" s="124"/>
    </row>
    <row r="859" ht="29.25" customHeight="1">
      <c r="A859" s="124"/>
      <c r="B859" s="124"/>
      <c r="C859" s="124"/>
      <c r="D859" s="124"/>
      <c r="E859" s="124"/>
      <c r="F859" s="124"/>
      <c r="G859" s="124"/>
      <c r="H859" s="124"/>
      <c r="I859" s="126"/>
      <c r="J859" s="124"/>
      <c r="K859" s="124"/>
      <c r="L859" s="124"/>
      <c r="M859" s="124"/>
      <c r="N859" s="124"/>
      <c r="O859" s="124"/>
      <c r="P859" s="124"/>
      <c r="Q859" s="124"/>
      <c r="R859" s="124"/>
      <c r="S859" s="124"/>
      <c r="T859" s="124"/>
      <c r="U859" s="124"/>
      <c r="V859" s="124"/>
      <c r="W859" s="124"/>
      <c r="X859" s="124"/>
      <c r="Y859" s="124"/>
      <c r="Z859" s="124"/>
    </row>
    <row r="860" ht="29.25" customHeight="1">
      <c r="A860" s="124"/>
      <c r="B860" s="124"/>
      <c r="C860" s="124"/>
      <c r="D860" s="124"/>
      <c r="E860" s="124"/>
      <c r="F860" s="124"/>
      <c r="G860" s="124"/>
      <c r="H860" s="124"/>
      <c r="I860" s="126"/>
      <c r="J860" s="124"/>
      <c r="K860" s="124"/>
      <c r="L860" s="124"/>
      <c r="M860" s="124"/>
      <c r="N860" s="124"/>
      <c r="O860" s="124"/>
      <c r="P860" s="124"/>
      <c r="Q860" s="124"/>
      <c r="R860" s="124"/>
      <c r="S860" s="124"/>
      <c r="T860" s="124"/>
      <c r="U860" s="124"/>
      <c r="V860" s="124"/>
      <c r="W860" s="124"/>
      <c r="X860" s="124"/>
      <c r="Y860" s="124"/>
      <c r="Z860" s="124"/>
    </row>
    <row r="861" ht="29.25" customHeight="1">
      <c r="A861" s="124"/>
      <c r="B861" s="124"/>
      <c r="C861" s="124"/>
      <c r="D861" s="124"/>
      <c r="E861" s="124"/>
      <c r="F861" s="124"/>
      <c r="G861" s="124"/>
      <c r="H861" s="124"/>
      <c r="I861" s="126"/>
      <c r="J861" s="124"/>
      <c r="K861" s="124"/>
      <c r="L861" s="124"/>
      <c r="M861" s="124"/>
      <c r="N861" s="124"/>
      <c r="O861" s="124"/>
      <c r="P861" s="124"/>
      <c r="Q861" s="124"/>
      <c r="R861" s="124"/>
      <c r="S861" s="124"/>
      <c r="T861" s="124"/>
      <c r="U861" s="124"/>
      <c r="V861" s="124"/>
      <c r="W861" s="124"/>
      <c r="X861" s="124"/>
      <c r="Y861" s="124"/>
      <c r="Z861" s="124"/>
    </row>
    <row r="862" ht="29.25" customHeight="1">
      <c r="A862" s="124"/>
      <c r="B862" s="124"/>
      <c r="C862" s="124"/>
      <c r="D862" s="124"/>
      <c r="E862" s="124"/>
      <c r="F862" s="124"/>
      <c r="G862" s="124"/>
      <c r="H862" s="124"/>
      <c r="I862" s="126"/>
      <c r="J862" s="124"/>
      <c r="K862" s="124"/>
      <c r="L862" s="124"/>
      <c r="M862" s="124"/>
      <c r="N862" s="124"/>
      <c r="O862" s="124"/>
      <c r="P862" s="124"/>
      <c r="Q862" s="124"/>
      <c r="R862" s="124"/>
      <c r="S862" s="124"/>
      <c r="T862" s="124"/>
      <c r="U862" s="124"/>
      <c r="V862" s="124"/>
      <c r="W862" s="124"/>
      <c r="X862" s="124"/>
      <c r="Y862" s="124"/>
      <c r="Z862" s="124"/>
    </row>
    <row r="863" ht="29.25" customHeight="1">
      <c r="A863" s="124"/>
      <c r="B863" s="124"/>
      <c r="C863" s="124"/>
      <c r="D863" s="124"/>
      <c r="E863" s="124"/>
      <c r="F863" s="124"/>
      <c r="G863" s="124"/>
      <c r="H863" s="124"/>
      <c r="I863" s="126"/>
      <c r="J863" s="124"/>
      <c r="K863" s="124"/>
      <c r="L863" s="124"/>
      <c r="M863" s="124"/>
      <c r="N863" s="124"/>
      <c r="O863" s="124"/>
      <c r="P863" s="124"/>
      <c r="Q863" s="124"/>
      <c r="R863" s="124"/>
      <c r="S863" s="124"/>
      <c r="T863" s="124"/>
      <c r="U863" s="124"/>
      <c r="V863" s="124"/>
      <c r="W863" s="124"/>
      <c r="X863" s="124"/>
      <c r="Y863" s="124"/>
      <c r="Z863" s="124"/>
    </row>
    <row r="864" ht="29.25" customHeight="1">
      <c r="A864" s="124"/>
      <c r="B864" s="124"/>
      <c r="C864" s="124"/>
      <c r="D864" s="124"/>
      <c r="E864" s="124"/>
      <c r="F864" s="124"/>
      <c r="G864" s="124"/>
      <c r="H864" s="124"/>
      <c r="I864" s="126"/>
      <c r="J864" s="124"/>
      <c r="K864" s="124"/>
      <c r="L864" s="124"/>
      <c r="M864" s="124"/>
      <c r="N864" s="124"/>
      <c r="O864" s="124"/>
      <c r="P864" s="124"/>
      <c r="Q864" s="124"/>
      <c r="R864" s="124"/>
      <c r="S864" s="124"/>
      <c r="T864" s="124"/>
      <c r="U864" s="124"/>
      <c r="V864" s="124"/>
      <c r="W864" s="124"/>
      <c r="X864" s="124"/>
      <c r="Y864" s="124"/>
      <c r="Z864" s="124"/>
    </row>
    <row r="865" ht="29.25" customHeight="1">
      <c r="A865" s="124"/>
      <c r="B865" s="124"/>
      <c r="C865" s="124"/>
      <c r="D865" s="124"/>
      <c r="E865" s="124"/>
      <c r="F865" s="124"/>
      <c r="G865" s="124"/>
      <c r="H865" s="124"/>
      <c r="I865" s="126"/>
      <c r="J865" s="124"/>
      <c r="K865" s="124"/>
      <c r="L865" s="124"/>
      <c r="M865" s="124"/>
      <c r="N865" s="124"/>
      <c r="O865" s="124"/>
      <c r="P865" s="124"/>
      <c r="Q865" s="124"/>
      <c r="R865" s="124"/>
      <c r="S865" s="124"/>
      <c r="T865" s="124"/>
      <c r="U865" s="124"/>
      <c r="V865" s="124"/>
      <c r="W865" s="124"/>
      <c r="X865" s="124"/>
      <c r="Y865" s="124"/>
      <c r="Z865" s="124"/>
    </row>
    <row r="866" ht="29.25" customHeight="1">
      <c r="A866" s="124"/>
      <c r="B866" s="124"/>
      <c r="C866" s="124"/>
      <c r="D866" s="124"/>
      <c r="E866" s="124"/>
      <c r="F866" s="124"/>
      <c r="G866" s="124"/>
      <c r="H866" s="124"/>
      <c r="I866" s="126"/>
      <c r="J866" s="124"/>
      <c r="K866" s="124"/>
      <c r="L866" s="124"/>
      <c r="M866" s="124"/>
      <c r="N866" s="124"/>
      <c r="O866" s="124"/>
      <c r="P866" s="124"/>
      <c r="Q866" s="124"/>
      <c r="R866" s="124"/>
      <c r="S866" s="124"/>
      <c r="T866" s="124"/>
      <c r="U866" s="124"/>
      <c r="V866" s="124"/>
      <c r="W866" s="124"/>
      <c r="X866" s="124"/>
      <c r="Y866" s="124"/>
      <c r="Z866" s="124"/>
    </row>
    <row r="867" ht="29.25" customHeight="1">
      <c r="A867" s="124"/>
      <c r="B867" s="124"/>
      <c r="C867" s="124"/>
      <c r="D867" s="124"/>
      <c r="E867" s="124"/>
      <c r="F867" s="124"/>
      <c r="G867" s="124"/>
      <c r="H867" s="124"/>
      <c r="I867" s="126"/>
      <c r="J867" s="124"/>
      <c r="K867" s="124"/>
      <c r="L867" s="124"/>
      <c r="M867" s="124"/>
      <c r="N867" s="124"/>
      <c r="O867" s="124"/>
      <c r="P867" s="124"/>
      <c r="Q867" s="124"/>
      <c r="R867" s="124"/>
      <c r="S867" s="124"/>
      <c r="T867" s="124"/>
      <c r="U867" s="124"/>
      <c r="V867" s="124"/>
      <c r="W867" s="124"/>
      <c r="X867" s="124"/>
      <c r="Y867" s="124"/>
      <c r="Z867" s="124"/>
    </row>
    <row r="868" ht="29.25" customHeight="1">
      <c r="A868" s="124"/>
      <c r="B868" s="124"/>
      <c r="C868" s="124"/>
      <c r="D868" s="124"/>
      <c r="E868" s="124"/>
      <c r="F868" s="124"/>
      <c r="G868" s="124"/>
      <c r="H868" s="124"/>
      <c r="I868" s="126"/>
      <c r="J868" s="124"/>
      <c r="K868" s="124"/>
      <c r="L868" s="124"/>
      <c r="M868" s="124"/>
      <c r="N868" s="124"/>
      <c r="O868" s="124"/>
      <c r="P868" s="124"/>
      <c r="Q868" s="124"/>
      <c r="R868" s="124"/>
      <c r="S868" s="124"/>
      <c r="T868" s="124"/>
      <c r="U868" s="124"/>
      <c r="V868" s="124"/>
      <c r="W868" s="124"/>
      <c r="X868" s="124"/>
      <c r="Y868" s="124"/>
      <c r="Z868" s="124"/>
    </row>
    <row r="869" ht="29.25" customHeight="1">
      <c r="A869" s="124"/>
      <c r="B869" s="124"/>
      <c r="C869" s="124"/>
      <c r="D869" s="124"/>
      <c r="E869" s="124"/>
      <c r="F869" s="124"/>
      <c r="G869" s="124"/>
      <c r="H869" s="124"/>
      <c r="I869" s="126"/>
      <c r="J869" s="124"/>
      <c r="K869" s="124"/>
      <c r="L869" s="124"/>
      <c r="M869" s="124"/>
      <c r="N869" s="124"/>
      <c r="O869" s="124"/>
      <c r="P869" s="124"/>
      <c r="Q869" s="124"/>
      <c r="R869" s="124"/>
      <c r="S869" s="124"/>
      <c r="T869" s="124"/>
      <c r="U869" s="124"/>
      <c r="V869" s="124"/>
      <c r="W869" s="124"/>
      <c r="X869" s="124"/>
      <c r="Y869" s="124"/>
      <c r="Z869" s="124"/>
    </row>
    <row r="870" ht="29.25" customHeight="1">
      <c r="A870" s="124"/>
      <c r="B870" s="124"/>
      <c r="C870" s="124"/>
      <c r="D870" s="124"/>
      <c r="E870" s="124"/>
      <c r="F870" s="124"/>
      <c r="G870" s="124"/>
      <c r="H870" s="124"/>
      <c r="I870" s="126"/>
      <c r="J870" s="124"/>
      <c r="K870" s="124"/>
      <c r="L870" s="124"/>
      <c r="M870" s="124"/>
      <c r="N870" s="124"/>
      <c r="O870" s="124"/>
      <c r="P870" s="124"/>
      <c r="Q870" s="124"/>
      <c r="R870" s="124"/>
      <c r="S870" s="124"/>
      <c r="T870" s="124"/>
      <c r="U870" s="124"/>
      <c r="V870" s="124"/>
      <c r="W870" s="124"/>
      <c r="X870" s="124"/>
      <c r="Y870" s="124"/>
      <c r="Z870" s="124"/>
    </row>
    <row r="871" ht="29.25" customHeight="1">
      <c r="A871" s="124"/>
      <c r="B871" s="124"/>
      <c r="C871" s="124"/>
      <c r="D871" s="124"/>
      <c r="E871" s="124"/>
      <c r="F871" s="124"/>
      <c r="G871" s="124"/>
      <c r="H871" s="124"/>
      <c r="I871" s="126"/>
      <c r="J871" s="124"/>
      <c r="K871" s="124"/>
      <c r="L871" s="124"/>
      <c r="M871" s="124"/>
      <c r="N871" s="124"/>
      <c r="O871" s="124"/>
      <c r="P871" s="124"/>
      <c r="Q871" s="124"/>
      <c r="R871" s="124"/>
      <c r="S871" s="124"/>
      <c r="T871" s="124"/>
      <c r="U871" s="124"/>
      <c r="V871" s="124"/>
      <c r="W871" s="124"/>
      <c r="X871" s="124"/>
      <c r="Y871" s="124"/>
      <c r="Z871" s="124"/>
    </row>
    <row r="872" ht="29.25" customHeight="1">
      <c r="A872" s="124"/>
      <c r="B872" s="124"/>
      <c r="C872" s="124"/>
      <c r="D872" s="124"/>
      <c r="E872" s="124"/>
      <c r="F872" s="124"/>
      <c r="G872" s="124"/>
      <c r="H872" s="124"/>
      <c r="I872" s="126"/>
      <c r="J872" s="124"/>
      <c r="K872" s="124"/>
      <c r="L872" s="124"/>
      <c r="M872" s="124"/>
      <c r="N872" s="124"/>
      <c r="O872" s="124"/>
      <c r="P872" s="124"/>
      <c r="Q872" s="124"/>
      <c r="R872" s="124"/>
      <c r="S872" s="124"/>
      <c r="T872" s="124"/>
      <c r="U872" s="124"/>
      <c r="V872" s="124"/>
      <c r="W872" s="124"/>
      <c r="X872" s="124"/>
      <c r="Y872" s="124"/>
      <c r="Z872" s="124"/>
    </row>
    <row r="873" ht="29.25" customHeight="1">
      <c r="A873" s="124"/>
      <c r="B873" s="124"/>
      <c r="C873" s="124"/>
      <c r="D873" s="124"/>
      <c r="E873" s="124"/>
      <c r="F873" s="124"/>
      <c r="G873" s="124"/>
      <c r="H873" s="124"/>
      <c r="I873" s="126"/>
      <c r="J873" s="124"/>
      <c r="K873" s="124"/>
      <c r="L873" s="124"/>
      <c r="M873" s="124"/>
      <c r="N873" s="124"/>
      <c r="O873" s="124"/>
      <c r="P873" s="124"/>
      <c r="Q873" s="124"/>
      <c r="R873" s="124"/>
      <c r="S873" s="124"/>
      <c r="T873" s="124"/>
      <c r="U873" s="124"/>
      <c r="V873" s="124"/>
      <c r="W873" s="124"/>
      <c r="X873" s="124"/>
      <c r="Y873" s="124"/>
      <c r="Z873" s="124"/>
    </row>
    <row r="874" ht="29.25" customHeight="1">
      <c r="A874" s="124"/>
      <c r="B874" s="124"/>
      <c r="C874" s="124"/>
      <c r="D874" s="124"/>
      <c r="E874" s="124"/>
      <c r="F874" s="124"/>
      <c r="G874" s="124"/>
      <c r="H874" s="124"/>
      <c r="I874" s="126"/>
      <c r="J874" s="124"/>
      <c r="K874" s="124"/>
      <c r="L874" s="124"/>
      <c r="M874" s="124"/>
      <c r="N874" s="124"/>
      <c r="O874" s="124"/>
      <c r="P874" s="124"/>
      <c r="Q874" s="124"/>
      <c r="R874" s="124"/>
      <c r="S874" s="124"/>
      <c r="T874" s="124"/>
      <c r="U874" s="124"/>
      <c r="V874" s="124"/>
      <c r="W874" s="124"/>
      <c r="X874" s="124"/>
      <c r="Y874" s="124"/>
      <c r="Z874" s="124"/>
    </row>
    <row r="875" ht="29.25" customHeight="1">
      <c r="A875" s="124"/>
      <c r="B875" s="124"/>
      <c r="C875" s="124"/>
      <c r="D875" s="124"/>
      <c r="E875" s="124"/>
      <c r="F875" s="124"/>
      <c r="G875" s="124"/>
      <c r="H875" s="124"/>
      <c r="I875" s="126"/>
      <c r="J875" s="124"/>
      <c r="K875" s="124"/>
      <c r="L875" s="124"/>
      <c r="M875" s="124"/>
      <c r="N875" s="124"/>
      <c r="O875" s="124"/>
      <c r="P875" s="124"/>
      <c r="Q875" s="124"/>
      <c r="R875" s="124"/>
      <c r="S875" s="124"/>
      <c r="T875" s="124"/>
      <c r="U875" s="124"/>
      <c r="V875" s="124"/>
      <c r="W875" s="124"/>
      <c r="X875" s="124"/>
      <c r="Y875" s="124"/>
      <c r="Z875" s="124"/>
    </row>
    <row r="876" ht="29.25" customHeight="1">
      <c r="A876" s="124"/>
      <c r="B876" s="124"/>
      <c r="C876" s="124"/>
      <c r="D876" s="124"/>
      <c r="E876" s="124"/>
      <c r="F876" s="124"/>
      <c r="G876" s="124"/>
      <c r="H876" s="124"/>
      <c r="I876" s="126"/>
      <c r="J876" s="124"/>
      <c r="K876" s="124"/>
      <c r="L876" s="124"/>
      <c r="M876" s="124"/>
      <c r="N876" s="124"/>
      <c r="O876" s="124"/>
      <c r="P876" s="124"/>
      <c r="Q876" s="124"/>
      <c r="R876" s="124"/>
      <c r="S876" s="124"/>
      <c r="T876" s="124"/>
      <c r="U876" s="124"/>
      <c r="V876" s="124"/>
      <c r="W876" s="124"/>
      <c r="X876" s="124"/>
      <c r="Y876" s="124"/>
      <c r="Z876" s="124"/>
    </row>
    <row r="877" ht="29.25" customHeight="1">
      <c r="A877" s="124"/>
      <c r="B877" s="124"/>
      <c r="C877" s="124"/>
      <c r="D877" s="124"/>
      <c r="E877" s="124"/>
      <c r="F877" s="124"/>
      <c r="G877" s="124"/>
      <c r="H877" s="124"/>
      <c r="I877" s="126"/>
      <c r="J877" s="124"/>
      <c r="K877" s="124"/>
      <c r="L877" s="124"/>
      <c r="M877" s="124"/>
      <c r="N877" s="124"/>
      <c r="O877" s="124"/>
      <c r="P877" s="124"/>
      <c r="Q877" s="124"/>
      <c r="R877" s="124"/>
      <c r="S877" s="124"/>
      <c r="T877" s="124"/>
      <c r="U877" s="124"/>
      <c r="V877" s="124"/>
      <c r="W877" s="124"/>
      <c r="X877" s="124"/>
      <c r="Y877" s="124"/>
      <c r="Z877" s="124"/>
    </row>
    <row r="878" ht="29.25" customHeight="1">
      <c r="A878" s="124"/>
      <c r="B878" s="124"/>
      <c r="C878" s="124"/>
      <c r="D878" s="124"/>
      <c r="E878" s="124"/>
      <c r="F878" s="124"/>
      <c r="G878" s="124"/>
      <c r="H878" s="124"/>
      <c r="I878" s="126"/>
      <c r="J878" s="124"/>
      <c r="K878" s="124"/>
      <c r="L878" s="124"/>
      <c r="M878" s="124"/>
      <c r="N878" s="124"/>
      <c r="O878" s="124"/>
      <c r="P878" s="124"/>
      <c r="Q878" s="124"/>
      <c r="R878" s="124"/>
      <c r="S878" s="124"/>
      <c r="T878" s="124"/>
      <c r="U878" s="124"/>
      <c r="V878" s="124"/>
      <c r="W878" s="124"/>
      <c r="X878" s="124"/>
      <c r="Y878" s="124"/>
      <c r="Z878" s="124"/>
    </row>
    <row r="879" ht="29.25" customHeight="1">
      <c r="A879" s="124"/>
      <c r="B879" s="124"/>
      <c r="C879" s="124"/>
      <c r="D879" s="124"/>
      <c r="E879" s="124"/>
      <c r="F879" s="124"/>
      <c r="G879" s="124"/>
      <c r="H879" s="124"/>
      <c r="I879" s="126"/>
      <c r="J879" s="124"/>
      <c r="K879" s="124"/>
      <c r="L879" s="124"/>
      <c r="M879" s="124"/>
      <c r="N879" s="124"/>
      <c r="O879" s="124"/>
      <c r="P879" s="124"/>
      <c r="Q879" s="124"/>
      <c r="R879" s="124"/>
      <c r="S879" s="124"/>
      <c r="T879" s="124"/>
      <c r="U879" s="124"/>
      <c r="V879" s="124"/>
      <c r="W879" s="124"/>
      <c r="X879" s="124"/>
      <c r="Y879" s="124"/>
      <c r="Z879" s="124"/>
    </row>
    <row r="880" ht="29.25" customHeight="1">
      <c r="A880" s="124"/>
      <c r="B880" s="124"/>
      <c r="C880" s="124"/>
      <c r="D880" s="124"/>
      <c r="E880" s="124"/>
      <c r="F880" s="124"/>
      <c r="G880" s="124"/>
      <c r="H880" s="124"/>
      <c r="I880" s="126"/>
      <c r="J880" s="124"/>
      <c r="K880" s="124"/>
      <c r="L880" s="124"/>
      <c r="M880" s="124"/>
      <c r="N880" s="124"/>
      <c r="O880" s="124"/>
      <c r="P880" s="124"/>
      <c r="Q880" s="124"/>
      <c r="R880" s="124"/>
      <c r="S880" s="124"/>
      <c r="T880" s="124"/>
      <c r="U880" s="124"/>
      <c r="V880" s="124"/>
      <c r="W880" s="124"/>
      <c r="X880" s="124"/>
      <c r="Y880" s="124"/>
      <c r="Z880" s="124"/>
    </row>
    <row r="881" ht="29.25" customHeight="1">
      <c r="A881" s="124"/>
      <c r="B881" s="124"/>
      <c r="C881" s="124"/>
      <c r="D881" s="124"/>
      <c r="E881" s="124"/>
      <c r="F881" s="124"/>
      <c r="G881" s="124"/>
      <c r="H881" s="124"/>
      <c r="I881" s="126"/>
      <c r="J881" s="124"/>
      <c r="K881" s="124"/>
      <c r="L881" s="124"/>
      <c r="M881" s="124"/>
      <c r="N881" s="124"/>
      <c r="O881" s="124"/>
      <c r="P881" s="124"/>
      <c r="Q881" s="124"/>
      <c r="R881" s="124"/>
      <c r="S881" s="124"/>
      <c r="T881" s="124"/>
      <c r="U881" s="124"/>
      <c r="V881" s="124"/>
      <c r="W881" s="124"/>
      <c r="X881" s="124"/>
      <c r="Y881" s="124"/>
      <c r="Z881" s="124"/>
    </row>
    <row r="882" ht="29.25" customHeight="1">
      <c r="A882" s="124"/>
      <c r="B882" s="124"/>
      <c r="C882" s="124"/>
      <c r="D882" s="124"/>
      <c r="E882" s="124"/>
      <c r="F882" s="124"/>
      <c r="G882" s="124"/>
      <c r="H882" s="124"/>
      <c r="I882" s="126"/>
      <c r="J882" s="124"/>
      <c r="K882" s="124"/>
      <c r="L882" s="124"/>
      <c r="M882" s="124"/>
      <c r="N882" s="124"/>
      <c r="O882" s="124"/>
      <c r="P882" s="124"/>
      <c r="Q882" s="124"/>
      <c r="R882" s="124"/>
      <c r="S882" s="124"/>
      <c r="T882" s="124"/>
      <c r="U882" s="124"/>
      <c r="V882" s="124"/>
      <c r="W882" s="124"/>
      <c r="X882" s="124"/>
      <c r="Y882" s="124"/>
      <c r="Z882" s="124"/>
    </row>
    <row r="883" ht="29.25" customHeight="1">
      <c r="A883" s="124"/>
      <c r="B883" s="124"/>
      <c r="C883" s="124"/>
      <c r="D883" s="124"/>
      <c r="E883" s="124"/>
      <c r="F883" s="124"/>
      <c r="G883" s="124"/>
      <c r="H883" s="124"/>
      <c r="I883" s="126"/>
      <c r="J883" s="124"/>
      <c r="K883" s="124"/>
      <c r="L883" s="124"/>
      <c r="M883" s="124"/>
      <c r="N883" s="124"/>
      <c r="O883" s="124"/>
      <c r="P883" s="124"/>
      <c r="Q883" s="124"/>
      <c r="R883" s="124"/>
      <c r="S883" s="124"/>
      <c r="T883" s="124"/>
      <c r="U883" s="124"/>
      <c r="V883" s="124"/>
      <c r="W883" s="124"/>
      <c r="X883" s="124"/>
      <c r="Y883" s="124"/>
      <c r="Z883" s="124"/>
    </row>
    <row r="884" ht="29.25" customHeight="1">
      <c r="A884" s="124"/>
      <c r="B884" s="124"/>
      <c r="C884" s="124"/>
      <c r="D884" s="124"/>
      <c r="E884" s="124"/>
      <c r="F884" s="124"/>
      <c r="G884" s="124"/>
      <c r="H884" s="124"/>
      <c r="I884" s="126"/>
      <c r="J884" s="124"/>
      <c r="K884" s="124"/>
      <c r="L884" s="124"/>
      <c r="M884" s="124"/>
      <c r="N884" s="124"/>
      <c r="O884" s="124"/>
      <c r="P884" s="124"/>
      <c r="Q884" s="124"/>
      <c r="R884" s="124"/>
      <c r="S884" s="124"/>
      <c r="T884" s="124"/>
      <c r="U884" s="124"/>
      <c r="V884" s="124"/>
      <c r="W884" s="124"/>
      <c r="X884" s="124"/>
      <c r="Y884" s="124"/>
      <c r="Z884" s="124"/>
    </row>
    <row r="885" ht="29.25" customHeight="1">
      <c r="A885" s="124"/>
      <c r="B885" s="124"/>
      <c r="C885" s="124"/>
      <c r="D885" s="124"/>
      <c r="E885" s="124"/>
      <c r="F885" s="124"/>
      <c r="G885" s="124"/>
      <c r="H885" s="124"/>
      <c r="I885" s="126"/>
      <c r="J885" s="124"/>
      <c r="K885" s="124"/>
      <c r="L885" s="124"/>
      <c r="M885" s="124"/>
      <c r="N885" s="124"/>
      <c r="O885" s="124"/>
      <c r="P885" s="124"/>
      <c r="Q885" s="124"/>
      <c r="R885" s="124"/>
      <c r="S885" s="124"/>
      <c r="T885" s="124"/>
      <c r="U885" s="124"/>
      <c r="V885" s="124"/>
      <c r="W885" s="124"/>
      <c r="X885" s="124"/>
      <c r="Y885" s="124"/>
      <c r="Z885" s="124"/>
    </row>
    <row r="886" ht="29.25" customHeight="1">
      <c r="A886" s="124"/>
      <c r="B886" s="124"/>
      <c r="C886" s="124"/>
      <c r="D886" s="124"/>
      <c r="E886" s="124"/>
      <c r="F886" s="124"/>
      <c r="G886" s="124"/>
      <c r="H886" s="124"/>
      <c r="I886" s="126"/>
      <c r="J886" s="124"/>
      <c r="K886" s="124"/>
      <c r="L886" s="124"/>
      <c r="M886" s="124"/>
      <c r="N886" s="124"/>
      <c r="O886" s="124"/>
      <c r="P886" s="124"/>
      <c r="Q886" s="124"/>
      <c r="R886" s="124"/>
      <c r="S886" s="124"/>
      <c r="T886" s="124"/>
      <c r="U886" s="124"/>
      <c r="V886" s="124"/>
      <c r="W886" s="124"/>
      <c r="X886" s="124"/>
      <c r="Y886" s="124"/>
      <c r="Z886" s="124"/>
    </row>
    <row r="887" ht="29.25" customHeight="1">
      <c r="A887" s="124"/>
      <c r="B887" s="124"/>
      <c r="C887" s="124"/>
      <c r="D887" s="124"/>
      <c r="E887" s="124"/>
      <c r="F887" s="124"/>
      <c r="G887" s="124"/>
      <c r="H887" s="124"/>
      <c r="I887" s="126"/>
      <c r="J887" s="124"/>
      <c r="K887" s="124"/>
      <c r="L887" s="124"/>
      <c r="M887" s="124"/>
      <c r="N887" s="124"/>
      <c r="O887" s="124"/>
      <c r="P887" s="124"/>
      <c r="Q887" s="124"/>
      <c r="R887" s="124"/>
      <c r="S887" s="124"/>
      <c r="T887" s="124"/>
      <c r="U887" s="124"/>
      <c r="V887" s="124"/>
      <c r="W887" s="124"/>
      <c r="X887" s="124"/>
      <c r="Y887" s="124"/>
      <c r="Z887" s="124"/>
    </row>
    <row r="888" ht="29.25" customHeight="1">
      <c r="A888" s="124"/>
      <c r="B888" s="124"/>
      <c r="C888" s="124"/>
      <c r="D888" s="124"/>
      <c r="E888" s="124"/>
      <c r="F888" s="124"/>
      <c r="G888" s="124"/>
      <c r="H888" s="124"/>
      <c r="I888" s="126"/>
      <c r="J888" s="124"/>
      <c r="K888" s="124"/>
      <c r="L888" s="124"/>
      <c r="M888" s="124"/>
      <c r="N888" s="124"/>
      <c r="O888" s="124"/>
      <c r="P888" s="124"/>
      <c r="Q888" s="124"/>
      <c r="R888" s="124"/>
      <c r="S888" s="124"/>
      <c r="T888" s="124"/>
      <c r="U888" s="124"/>
      <c r="V888" s="124"/>
      <c r="W888" s="124"/>
      <c r="X888" s="124"/>
      <c r="Y888" s="124"/>
      <c r="Z888" s="124"/>
    </row>
    <row r="889" ht="29.25" customHeight="1">
      <c r="A889" s="124"/>
      <c r="B889" s="124"/>
      <c r="C889" s="124"/>
      <c r="D889" s="124"/>
      <c r="E889" s="124"/>
      <c r="F889" s="124"/>
      <c r="G889" s="124"/>
      <c r="H889" s="124"/>
      <c r="I889" s="126"/>
      <c r="J889" s="124"/>
      <c r="K889" s="124"/>
      <c r="L889" s="124"/>
      <c r="M889" s="124"/>
      <c r="N889" s="124"/>
      <c r="O889" s="124"/>
      <c r="P889" s="124"/>
      <c r="Q889" s="124"/>
      <c r="R889" s="124"/>
      <c r="S889" s="124"/>
      <c r="T889" s="124"/>
      <c r="U889" s="124"/>
      <c r="V889" s="124"/>
      <c r="W889" s="124"/>
      <c r="X889" s="124"/>
      <c r="Y889" s="124"/>
      <c r="Z889" s="124"/>
    </row>
    <row r="890" ht="29.25" customHeight="1">
      <c r="A890" s="124"/>
      <c r="B890" s="124"/>
      <c r="C890" s="124"/>
      <c r="D890" s="124"/>
      <c r="E890" s="124"/>
      <c r="F890" s="124"/>
      <c r="G890" s="124"/>
      <c r="H890" s="124"/>
      <c r="I890" s="126"/>
      <c r="J890" s="124"/>
      <c r="K890" s="124"/>
      <c r="L890" s="124"/>
      <c r="M890" s="124"/>
      <c r="N890" s="124"/>
      <c r="O890" s="124"/>
      <c r="P890" s="124"/>
      <c r="Q890" s="124"/>
      <c r="R890" s="124"/>
      <c r="S890" s="124"/>
      <c r="T890" s="124"/>
      <c r="U890" s="124"/>
      <c r="V890" s="124"/>
      <c r="W890" s="124"/>
      <c r="X890" s="124"/>
      <c r="Y890" s="124"/>
      <c r="Z890" s="124"/>
    </row>
    <row r="891" ht="29.25" customHeight="1">
      <c r="A891" s="124"/>
      <c r="B891" s="124"/>
      <c r="C891" s="124"/>
      <c r="D891" s="124"/>
      <c r="E891" s="124"/>
      <c r="F891" s="124"/>
      <c r="G891" s="124"/>
      <c r="H891" s="124"/>
      <c r="I891" s="126"/>
      <c r="J891" s="124"/>
      <c r="K891" s="124"/>
      <c r="L891" s="124"/>
      <c r="M891" s="124"/>
      <c r="N891" s="124"/>
      <c r="O891" s="124"/>
      <c r="P891" s="124"/>
      <c r="Q891" s="124"/>
      <c r="R891" s="124"/>
      <c r="S891" s="124"/>
      <c r="T891" s="124"/>
      <c r="U891" s="124"/>
      <c r="V891" s="124"/>
      <c r="W891" s="124"/>
      <c r="X891" s="124"/>
      <c r="Y891" s="124"/>
      <c r="Z891" s="124"/>
    </row>
    <row r="892" ht="29.25" customHeight="1">
      <c r="A892" s="124"/>
      <c r="B892" s="124"/>
      <c r="C892" s="124"/>
      <c r="D892" s="124"/>
      <c r="E892" s="124"/>
      <c r="F892" s="124"/>
      <c r="G892" s="124"/>
      <c r="H892" s="124"/>
      <c r="I892" s="126"/>
      <c r="J892" s="124"/>
      <c r="K892" s="124"/>
      <c r="L892" s="124"/>
      <c r="M892" s="124"/>
      <c r="N892" s="124"/>
      <c r="O892" s="124"/>
      <c r="P892" s="124"/>
      <c r="Q892" s="124"/>
      <c r="R892" s="124"/>
      <c r="S892" s="124"/>
      <c r="T892" s="124"/>
      <c r="U892" s="124"/>
      <c r="V892" s="124"/>
      <c r="W892" s="124"/>
      <c r="X892" s="124"/>
      <c r="Y892" s="124"/>
      <c r="Z892" s="124"/>
    </row>
    <row r="893" ht="29.25" customHeight="1">
      <c r="A893" s="124"/>
      <c r="B893" s="124"/>
      <c r="C893" s="124"/>
      <c r="D893" s="124"/>
      <c r="E893" s="124"/>
      <c r="F893" s="124"/>
      <c r="G893" s="124"/>
      <c r="H893" s="124"/>
      <c r="I893" s="126"/>
      <c r="J893" s="124"/>
      <c r="K893" s="124"/>
      <c r="L893" s="124"/>
      <c r="M893" s="124"/>
      <c r="N893" s="124"/>
      <c r="O893" s="124"/>
      <c r="P893" s="124"/>
      <c r="Q893" s="124"/>
      <c r="R893" s="124"/>
      <c r="S893" s="124"/>
      <c r="T893" s="124"/>
      <c r="U893" s="124"/>
      <c r="V893" s="124"/>
      <c r="W893" s="124"/>
      <c r="X893" s="124"/>
      <c r="Y893" s="124"/>
      <c r="Z893" s="124"/>
    </row>
    <row r="894" ht="29.25" customHeight="1">
      <c r="A894" s="124"/>
      <c r="B894" s="124"/>
      <c r="C894" s="124"/>
      <c r="D894" s="124"/>
      <c r="E894" s="124"/>
      <c r="F894" s="124"/>
      <c r="G894" s="124"/>
      <c r="H894" s="124"/>
      <c r="I894" s="126"/>
      <c r="J894" s="124"/>
      <c r="K894" s="124"/>
      <c r="L894" s="124"/>
      <c r="M894" s="124"/>
      <c r="N894" s="124"/>
      <c r="O894" s="124"/>
      <c r="P894" s="124"/>
      <c r="Q894" s="124"/>
      <c r="R894" s="124"/>
      <c r="S894" s="124"/>
      <c r="T894" s="124"/>
      <c r="U894" s="124"/>
      <c r="V894" s="124"/>
      <c r="W894" s="124"/>
      <c r="X894" s="124"/>
      <c r="Y894" s="124"/>
      <c r="Z894" s="124"/>
    </row>
    <row r="895" ht="29.25" customHeight="1">
      <c r="A895" s="124"/>
      <c r="B895" s="124"/>
      <c r="C895" s="124"/>
      <c r="D895" s="124"/>
      <c r="E895" s="124"/>
      <c r="F895" s="124"/>
      <c r="G895" s="124"/>
      <c r="H895" s="124"/>
      <c r="I895" s="126"/>
      <c r="J895" s="124"/>
      <c r="K895" s="124"/>
      <c r="L895" s="124"/>
      <c r="M895" s="124"/>
      <c r="N895" s="124"/>
      <c r="O895" s="124"/>
      <c r="P895" s="124"/>
      <c r="Q895" s="124"/>
      <c r="R895" s="124"/>
      <c r="S895" s="124"/>
      <c r="T895" s="124"/>
      <c r="U895" s="124"/>
      <c r="V895" s="124"/>
      <c r="W895" s="124"/>
      <c r="X895" s="124"/>
      <c r="Y895" s="124"/>
      <c r="Z895" s="124"/>
    </row>
    <row r="896" ht="29.25" customHeight="1">
      <c r="A896" s="124"/>
      <c r="B896" s="124"/>
      <c r="C896" s="124"/>
      <c r="D896" s="124"/>
      <c r="E896" s="124"/>
      <c r="F896" s="124"/>
      <c r="G896" s="124"/>
      <c r="H896" s="124"/>
      <c r="I896" s="126"/>
      <c r="J896" s="124"/>
      <c r="K896" s="124"/>
      <c r="L896" s="124"/>
      <c r="M896" s="124"/>
      <c r="N896" s="124"/>
      <c r="O896" s="124"/>
      <c r="P896" s="124"/>
      <c r="Q896" s="124"/>
      <c r="R896" s="124"/>
      <c r="S896" s="124"/>
      <c r="T896" s="124"/>
      <c r="U896" s="124"/>
      <c r="V896" s="124"/>
      <c r="W896" s="124"/>
      <c r="X896" s="124"/>
      <c r="Y896" s="124"/>
      <c r="Z896" s="124"/>
    </row>
    <row r="897" ht="29.25" customHeight="1">
      <c r="A897" s="124"/>
      <c r="B897" s="124"/>
      <c r="C897" s="124"/>
      <c r="D897" s="124"/>
      <c r="E897" s="124"/>
      <c r="F897" s="124"/>
      <c r="G897" s="124"/>
      <c r="H897" s="124"/>
      <c r="I897" s="126"/>
      <c r="J897" s="124"/>
      <c r="K897" s="124"/>
      <c r="L897" s="124"/>
      <c r="M897" s="124"/>
      <c r="N897" s="124"/>
      <c r="O897" s="124"/>
      <c r="P897" s="124"/>
      <c r="Q897" s="124"/>
      <c r="R897" s="124"/>
      <c r="S897" s="124"/>
      <c r="T897" s="124"/>
      <c r="U897" s="124"/>
      <c r="V897" s="124"/>
      <c r="W897" s="124"/>
      <c r="X897" s="124"/>
      <c r="Y897" s="124"/>
      <c r="Z897" s="124"/>
    </row>
    <row r="898" ht="29.25" customHeight="1">
      <c r="A898" s="124"/>
      <c r="B898" s="124"/>
      <c r="C898" s="124"/>
      <c r="D898" s="124"/>
      <c r="E898" s="124"/>
      <c r="F898" s="124"/>
      <c r="G898" s="124"/>
      <c r="H898" s="124"/>
      <c r="I898" s="126"/>
      <c r="J898" s="124"/>
      <c r="K898" s="124"/>
      <c r="L898" s="124"/>
      <c r="M898" s="124"/>
      <c r="N898" s="124"/>
      <c r="O898" s="124"/>
      <c r="P898" s="124"/>
      <c r="Q898" s="124"/>
      <c r="R898" s="124"/>
      <c r="S898" s="124"/>
      <c r="T898" s="124"/>
      <c r="U898" s="124"/>
      <c r="V898" s="124"/>
      <c r="W898" s="124"/>
      <c r="X898" s="124"/>
      <c r="Y898" s="124"/>
      <c r="Z898" s="124"/>
    </row>
    <row r="899" ht="29.25" customHeight="1">
      <c r="A899" s="124"/>
      <c r="B899" s="124"/>
      <c r="C899" s="124"/>
      <c r="D899" s="124"/>
      <c r="E899" s="124"/>
      <c r="F899" s="124"/>
      <c r="G899" s="124"/>
      <c r="H899" s="124"/>
      <c r="I899" s="126"/>
      <c r="J899" s="124"/>
      <c r="K899" s="124"/>
      <c r="L899" s="124"/>
      <c r="M899" s="124"/>
      <c r="N899" s="124"/>
      <c r="O899" s="124"/>
      <c r="P899" s="124"/>
      <c r="Q899" s="124"/>
      <c r="R899" s="124"/>
      <c r="S899" s="124"/>
      <c r="T899" s="124"/>
      <c r="U899" s="124"/>
      <c r="V899" s="124"/>
      <c r="W899" s="124"/>
      <c r="X899" s="124"/>
      <c r="Y899" s="124"/>
      <c r="Z899" s="124"/>
    </row>
    <row r="900" ht="29.25" customHeight="1">
      <c r="A900" s="124"/>
      <c r="B900" s="124"/>
      <c r="C900" s="124"/>
      <c r="D900" s="124"/>
      <c r="E900" s="124"/>
      <c r="F900" s="124"/>
      <c r="G900" s="124"/>
      <c r="H900" s="124"/>
      <c r="I900" s="126"/>
      <c r="J900" s="124"/>
      <c r="K900" s="124"/>
      <c r="L900" s="124"/>
      <c r="M900" s="124"/>
      <c r="N900" s="124"/>
      <c r="O900" s="124"/>
      <c r="P900" s="124"/>
      <c r="Q900" s="124"/>
      <c r="R900" s="124"/>
      <c r="S900" s="124"/>
      <c r="T900" s="124"/>
      <c r="U900" s="124"/>
      <c r="V900" s="124"/>
      <c r="W900" s="124"/>
      <c r="X900" s="124"/>
      <c r="Y900" s="124"/>
      <c r="Z900" s="124"/>
    </row>
    <row r="901" ht="29.25" customHeight="1">
      <c r="A901" s="124"/>
      <c r="B901" s="124"/>
      <c r="C901" s="124"/>
      <c r="D901" s="124"/>
      <c r="E901" s="124"/>
      <c r="F901" s="124"/>
      <c r="G901" s="124"/>
      <c r="H901" s="124"/>
      <c r="I901" s="126"/>
      <c r="J901" s="124"/>
      <c r="K901" s="124"/>
      <c r="L901" s="124"/>
      <c r="M901" s="124"/>
      <c r="N901" s="124"/>
      <c r="O901" s="124"/>
      <c r="P901" s="124"/>
      <c r="Q901" s="124"/>
      <c r="R901" s="124"/>
      <c r="S901" s="124"/>
      <c r="T901" s="124"/>
      <c r="U901" s="124"/>
      <c r="V901" s="124"/>
      <c r="W901" s="124"/>
      <c r="X901" s="124"/>
      <c r="Y901" s="124"/>
      <c r="Z901" s="124"/>
    </row>
    <row r="902" ht="29.25" customHeight="1">
      <c r="A902" s="124"/>
      <c r="B902" s="124"/>
      <c r="C902" s="124"/>
      <c r="D902" s="124"/>
      <c r="E902" s="124"/>
      <c r="F902" s="124"/>
      <c r="G902" s="124"/>
      <c r="H902" s="124"/>
      <c r="I902" s="126"/>
      <c r="J902" s="124"/>
      <c r="K902" s="124"/>
      <c r="L902" s="124"/>
      <c r="M902" s="124"/>
      <c r="N902" s="124"/>
      <c r="O902" s="124"/>
      <c r="P902" s="124"/>
      <c r="Q902" s="124"/>
      <c r="R902" s="124"/>
      <c r="S902" s="124"/>
      <c r="T902" s="124"/>
      <c r="U902" s="124"/>
      <c r="V902" s="124"/>
      <c r="W902" s="124"/>
      <c r="X902" s="124"/>
      <c r="Y902" s="124"/>
      <c r="Z902" s="124"/>
    </row>
    <row r="903" ht="29.25" customHeight="1">
      <c r="A903" s="124"/>
      <c r="B903" s="124"/>
      <c r="C903" s="124"/>
      <c r="D903" s="124"/>
      <c r="E903" s="124"/>
      <c r="F903" s="124"/>
      <c r="G903" s="124"/>
      <c r="H903" s="124"/>
      <c r="I903" s="126"/>
      <c r="J903" s="124"/>
      <c r="K903" s="124"/>
      <c r="L903" s="124"/>
      <c r="M903" s="124"/>
      <c r="N903" s="124"/>
      <c r="O903" s="124"/>
      <c r="P903" s="124"/>
      <c r="Q903" s="124"/>
      <c r="R903" s="124"/>
      <c r="S903" s="124"/>
      <c r="T903" s="124"/>
      <c r="U903" s="124"/>
      <c r="V903" s="124"/>
      <c r="W903" s="124"/>
      <c r="X903" s="124"/>
      <c r="Y903" s="124"/>
      <c r="Z903" s="124"/>
    </row>
    <row r="904" ht="29.25" customHeight="1">
      <c r="A904" s="124"/>
      <c r="B904" s="124"/>
      <c r="C904" s="124"/>
      <c r="D904" s="124"/>
      <c r="E904" s="124"/>
      <c r="F904" s="124"/>
      <c r="G904" s="124"/>
      <c r="H904" s="124"/>
      <c r="I904" s="126"/>
      <c r="J904" s="124"/>
      <c r="K904" s="124"/>
      <c r="L904" s="124"/>
      <c r="M904" s="124"/>
      <c r="N904" s="124"/>
      <c r="O904" s="124"/>
      <c r="P904" s="124"/>
      <c r="Q904" s="124"/>
      <c r="R904" s="124"/>
      <c r="S904" s="124"/>
      <c r="T904" s="124"/>
      <c r="U904" s="124"/>
      <c r="V904" s="124"/>
      <c r="W904" s="124"/>
      <c r="X904" s="124"/>
      <c r="Y904" s="124"/>
      <c r="Z904" s="124"/>
    </row>
    <row r="905" ht="29.25" customHeight="1">
      <c r="A905" s="124"/>
      <c r="B905" s="124"/>
      <c r="C905" s="124"/>
      <c r="D905" s="124"/>
      <c r="E905" s="124"/>
      <c r="F905" s="124"/>
      <c r="G905" s="124"/>
      <c r="H905" s="124"/>
      <c r="I905" s="126"/>
      <c r="J905" s="124"/>
      <c r="K905" s="124"/>
      <c r="L905" s="124"/>
      <c r="M905" s="124"/>
      <c r="N905" s="124"/>
      <c r="O905" s="124"/>
      <c r="P905" s="124"/>
      <c r="Q905" s="124"/>
      <c r="R905" s="124"/>
      <c r="S905" s="124"/>
      <c r="T905" s="124"/>
      <c r="U905" s="124"/>
      <c r="V905" s="124"/>
      <c r="W905" s="124"/>
      <c r="X905" s="124"/>
      <c r="Y905" s="124"/>
      <c r="Z905" s="124"/>
    </row>
    <row r="906" ht="29.25" customHeight="1">
      <c r="A906" s="124"/>
      <c r="B906" s="124"/>
      <c r="C906" s="124"/>
      <c r="D906" s="124"/>
      <c r="E906" s="124"/>
      <c r="F906" s="124"/>
      <c r="G906" s="124"/>
      <c r="H906" s="124"/>
      <c r="I906" s="126"/>
      <c r="J906" s="124"/>
      <c r="K906" s="124"/>
      <c r="L906" s="124"/>
      <c r="M906" s="124"/>
      <c r="N906" s="124"/>
      <c r="O906" s="124"/>
      <c r="P906" s="124"/>
      <c r="Q906" s="124"/>
      <c r="R906" s="124"/>
      <c r="S906" s="124"/>
      <c r="T906" s="124"/>
      <c r="U906" s="124"/>
      <c r="V906" s="124"/>
      <c r="W906" s="124"/>
      <c r="X906" s="124"/>
      <c r="Y906" s="124"/>
      <c r="Z906" s="124"/>
    </row>
    <row r="907" ht="29.25" customHeight="1">
      <c r="A907" s="124"/>
      <c r="B907" s="124"/>
      <c r="C907" s="124"/>
      <c r="D907" s="124"/>
      <c r="E907" s="124"/>
      <c r="F907" s="124"/>
      <c r="G907" s="124"/>
      <c r="H907" s="124"/>
      <c r="I907" s="126"/>
      <c r="J907" s="124"/>
      <c r="K907" s="124"/>
      <c r="L907" s="124"/>
      <c r="M907" s="124"/>
      <c r="N907" s="124"/>
      <c r="O907" s="124"/>
      <c r="P907" s="124"/>
      <c r="Q907" s="124"/>
      <c r="R907" s="124"/>
      <c r="S907" s="124"/>
      <c r="T907" s="124"/>
      <c r="U907" s="124"/>
      <c r="V907" s="124"/>
      <c r="W907" s="124"/>
      <c r="X907" s="124"/>
      <c r="Y907" s="124"/>
      <c r="Z907" s="124"/>
    </row>
    <row r="908" ht="29.25" customHeight="1">
      <c r="A908" s="124"/>
      <c r="B908" s="124"/>
      <c r="C908" s="124"/>
      <c r="D908" s="124"/>
      <c r="E908" s="124"/>
      <c r="F908" s="124"/>
      <c r="G908" s="124"/>
      <c r="H908" s="124"/>
      <c r="I908" s="126"/>
      <c r="J908" s="124"/>
      <c r="K908" s="124"/>
      <c r="L908" s="124"/>
      <c r="M908" s="124"/>
      <c r="N908" s="124"/>
      <c r="O908" s="124"/>
      <c r="P908" s="124"/>
      <c r="Q908" s="124"/>
      <c r="R908" s="124"/>
      <c r="S908" s="124"/>
      <c r="T908" s="124"/>
      <c r="U908" s="124"/>
      <c r="V908" s="124"/>
      <c r="W908" s="124"/>
      <c r="X908" s="124"/>
      <c r="Y908" s="124"/>
      <c r="Z908" s="124"/>
    </row>
    <row r="909" ht="29.25" customHeight="1">
      <c r="A909" s="124"/>
      <c r="B909" s="124"/>
      <c r="C909" s="124"/>
      <c r="D909" s="124"/>
      <c r="E909" s="124"/>
      <c r="F909" s="124"/>
      <c r="G909" s="124"/>
      <c r="H909" s="124"/>
      <c r="I909" s="126"/>
      <c r="J909" s="124"/>
      <c r="K909" s="124"/>
      <c r="L909" s="124"/>
      <c r="M909" s="124"/>
      <c r="N909" s="124"/>
      <c r="O909" s="124"/>
      <c r="P909" s="124"/>
      <c r="Q909" s="124"/>
      <c r="R909" s="124"/>
      <c r="S909" s="124"/>
      <c r="T909" s="124"/>
      <c r="U909" s="124"/>
      <c r="V909" s="124"/>
      <c r="W909" s="124"/>
      <c r="X909" s="124"/>
      <c r="Y909" s="124"/>
      <c r="Z909" s="124"/>
    </row>
    <row r="910" ht="29.25" customHeight="1">
      <c r="A910" s="124"/>
      <c r="B910" s="124"/>
      <c r="C910" s="124"/>
      <c r="D910" s="124"/>
      <c r="E910" s="124"/>
      <c r="F910" s="124"/>
      <c r="G910" s="124"/>
      <c r="H910" s="124"/>
      <c r="I910" s="126"/>
      <c r="J910" s="124"/>
      <c r="K910" s="124"/>
      <c r="L910" s="124"/>
      <c r="M910" s="124"/>
      <c r="N910" s="124"/>
      <c r="O910" s="124"/>
      <c r="P910" s="124"/>
      <c r="Q910" s="124"/>
      <c r="R910" s="124"/>
      <c r="S910" s="124"/>
      <c r="T910" s="124"/>
      <c r="U910" s="124"/>
      <c r="V910" s="124"/>
      <c r="W910" s="124"/>
      <c r="X910" s="124"/>
      <c r="Y910" s="124"/>
      <c r="Z910" s="124"/>
    </row>
    <row r="911" ht="29.25" customHeight="1">
      <c r="A911" s="124"/>
      <c r="B911" s="124"/>
      <c r="C911" s="124"/>
      <c r="D911" s="124"/>
      <c r="E911" s="124"/>
      <c r="F911" s="124"/>
      <c r="G911" s="124"/>
      <c r="H911" s="124"/>
      <c r="I911" s="126"/>
      <c r="J911" s="124"/>
      <c r="K911" s="124"/>
      <c r="L911" s="124"/>
      <c r="M911" s="124"/>
      <c r="N911" s="124"/>
      <c r="O911" s="124"/>
      <c r="P911" s="124"/>
      <c r="Q911" s="124"/>
      <c r="R911" s="124"/>
      <c r="S911" s="124"/>
      <c r="T911" s="124"/>
      <c r="U911" s="124"/>
      <c r="V911" s="124"/>
      <c r="W911" s="124"/>
      <c r="X911" s="124"/>
      <c r="Y911" s="124"/>
      <c r="Z911" s="124"/>
    </row>
    <row r="912" ht="29.25" customHeight="1">
      <c r="A912" s="124"/>
      <c r="B912" s="124"/>
      <c r="C912" s="124"/>
      <c r="D912" s="124"/>
      <c r="E912" s="124"/>
      <c r="F912" s="124"/>
      <c r="G912" s="124"/>
      <c r="H912" s="124"/>
      <c r="I912" s="126"/>
      <c r="J912" s="124"/>
      <c r="K912" s="124"/>
      <c r="L912" s="124"/>
      <c r="M912" s="124"/>
      <c r="N912" s="124"/>
      <c r="O912" s="124"/>
      <c r="P912" s="124"/>
      <c r="Q912" s="124"/>
      <c r="R912" s="124"/>
      <c r="S912" s="124"/>
      <c r="T912" s="124"/>
      <c r="U912" s="124"/>
      <c r="V912" s="124"/>
      <c r="W912" s="124"/>
      <c r="X912" s="124"/>
      <c r="Y912" s="124"/>
      <c r="Z912" s="124"/>
    </row>
    <row r="913" ht="29.25" customHeight="1">
      <c r="A913" s="124"/>
      <c r="B913" s="124"/>
      <c r="C913" s="124"/>
      <c r="D913" s="124"/>
      <c r="E913" s="124"/>
      <c r="F913" s="124"/>
      <c r="G913" s="124"/>
      <c r="H913" s="124"/>
      <c r="I913" s="126"/>
      <c r="J913" s="124"/>
      <c r="K913" s="124"/>
      <c r="L913" s="124"/>
      <c r="M913" s="124"/>
      <c r="N913" s="124"/>
      <c r="O913" s="124"/>
      <c r="P913" s="124"/>
      <c r="Q913" s="124"/>
      <c r="R913" s="124"/>
      <c r="S913" s="124"/>
      <c r="T913" s="124"/>
      <c r="U913" s="124"/>
      <c r="V913" s="124"/>
      <c r="W913" s="124"/>
      <c r="X913" s="124"/>
      <c r="Y913" s="124"/>
      <c r="Z913" s="124"/>
    </row>
    <row r="914" ht="29.25" customHeight="1">
      <c r="A914" s="124"/>
      <c r="B914" s="124"/>
      <c r="C914" s="124"/>
      <c r="D914" s="124"/>
      <c r="E914" s="124"/>
      <c r="F914" s="124"/>
      <c r="G914" s="124"/>
      <c r="H914" s="124"/>
      <c r="I914" s="126"/>
      <c r="J914" s="124"/>
      <c r="K914" s="124"/>
      <c r="L914" s="124"/>
      <c r="M914" s="124"/>
      <c r="N914" s="124"/>
      <c r="O914" s="124"/>
      <c r="P914" s="124"/>
      <c r="Q914" s="124"/>
      <c r="R914" s="124"/>
      <c r="S914" s="124"/>
      <c r="T914" s="124"/>
      <c r="U914" s="124"/>
      <c r="V914" s="124"/>
      <c r="W914" s="124"/>
      <c r="X914" s="124"/>
      <c r="Y914" s="124"/>
      <c r="Z914" s="124"/>
    </row>
    <row r="915" ht="29.25" customHeight="1">
      <c r="A915" s="124"/>
      <c r="B915" s="124"/>
      <c r="C915" s="124"/>
      <c r="D915" s="124"/>
      <c r="E915" s="124"/>
      <c r="F915" s="124"/>
      <c r="G915" s="124"/>
      <c r="H915" s="124"/>
      <c r="I915" s="126"/>
      <c r="J915" s="124"/>
      <c r="K915" s="124"/>
      <c r="L915" s="124"/>
      <c r="M915" s="124"/>
      <c r="N915" s="124"/>
      <c r="O915" s="124"/>
      <c r="P915" s="124"/>
      <c r="Q915" s="124"/>
      <c r="R915" s="124"/>
      <c r="S915" s="124"/>
      <c r="T915" s="124"/>
      <c r="U915" s="124"/>
      <c r="V915" s="124"/>
      <c r="W915" s="124"/>
      <c r="X915" s="124"/>
      <c r="Y915" s="124"/>
      <c r="Z915" s="124"/>
    </row>
    <row r="916" ht="29.25" customHeight="1">
      <c r="A916" s="124"/>
      <c r="B916" s="124"/>
      <c r="C916" s="124"/>
      <c r="D916" s="124"/>
      <c r="E916" s="124"/>
      <c r="F916" s="124"/>
      <c r="G916" s="124"/>
      <c r="H916" s="124"/>
      <c r="I916" s="126"/>
      <c r="J916" s="124"/>
      <c r="K916" s="124"/>
      <c r="L916" s="124"/>
      <c r="M916" s="124"/>
      <c r="N916" s="124"/>
      <c r="O916" s="124"/>
      <c r="P916" s="124"/>
      <c r="Q916" s="124"/>
      <c r="R916" s="124"/>
      <c r="S916" s="124"/>
      <c r="T916" s="124"/>
      <c r="U916" s="124"/>
      <c r="V916" s="124"/>
      <c r="W916" s="124"/>
      <c r="X916" s="124"/>
      <c r="Y916" s="124"/>
      <c r="Z916" s="124"/>
    </row>
    <row r="917" ht="29.25" customHeight="1">
      <c r="A917" s="124"/>
      <c r="B917" s="124"/>
      <c r="C917" s="124"/>
      <c r="D917" s="124"/>
      <c r="E917" s="124"/>
      <c r="F917" s="124"/>
      <c r="G917" s="124"/>
      <c r="H917" s="124"/>
      <c r="I917" s="126"/>
      <c r="J917" s="124"/>
      <c r="K917" s="124"/>
      <c r="L917" s="124"/>
      <c r="M917" s="124"/>
      <c r="N917" s="124"/>
      <c r="O917" s="124"/>
      <c r="P917" s="124"/>
      <c r="Q917" s="124"/>
      <c r="R917" s="124"/>
      <c r="S917" s="124"/>
      <c r="T917" s="124"/>
      <c r="U917" s="124"/>
      <c r="V917" s="124"/>
      <c r="W917" s="124"/>
      <c r="X917" s="124"/>
      <c r="Y917" s="124"/>
      <c r="Z917" s="124"/>
    </row>
    <row r="918" ht="29.25" customHeight="1">
      <c r="A918" s="124"/>
      <c r="B918" s="124"/>
      <c r="C918" s="124"/>
      <c r="D918" s="124"/>
      <c r="E918" s="124"/>
      <c r="F918" s="124"/>
      <c r="G918" s="124"/>
      <c r="H918" s="124"/>
      <c r="I918" s="126"/>
      <c r="J918" s="124"/>
      <c r="K918" s="124"/>
      <c r="L918" s="124"/>
      <c r="M918" s="124"/>
      <c r="N918" s="124"/>
      <c r="O918" s="124"/>
      <c r="P918" s="124"/>
      <c r="Q918" s="124"/>
      <c r="R918" s="124"/>
      <c r="S918" s="124"/>
      <c r="T918" s="124"/>
      <c r="U918" s="124"/>
      <c r="V918" s="124"/>
      <c r="W918" s="124"/>
      <c r="X918" s="124"/>
      <c r="Y918" s="124"/>
      <c r="Z918" s="124"/>
    </row>
    <row r="919" ht="29.25" customHeight="1">
      <c r="A919" s="124"/>
      <c r="B919" s="124"/>
      <c r="C919" s="124"/>
      <c r="D919" s="124"/>
      <c r="E919" s="124"/>
      <c r="F919" s="124"/>
      <c r="G919" s="124"/>
      <c r="H919" s="124"/>
      <c r="I919" s="126"/>
      <c r="J919" s="124"/>
      <c r="K919" s="124"/>
      <c r="L919" s="124"/>
      <c r="M919" s="124"/>
      <c r="N919" s="124"/>
      <c r="O919" s="124"/>
      <c r="P919" s="124"/>
      <c r="Q919" s="124"/>
      <c r="R919" s="124"/>
      <c r="S919" s="124"/>
      <c r="T919" s="124"/>
      <c r="U919" s="124"/>
      <c r="V919" s="124"/>
      <c r="W919" s="124"/>
      <c r="X919" s="124"/>
      <c r="Y919" s="124"/>
      <c r="Z919" s="124"/>
    </row>
    <row r="920" ht="29.25" customHeight="1">
      <c r="A920" s="124"/>
      <c r="B920" s="124"/>
      <c r="C920" s="124"/>
      <c r="D920" s="124"/>
      <c r="E920" s="124"/>
      <c r="F920" s="124"/>
      <c r="G920" s="124"/>
      <c r="H920" s="124"/>
      <c r="I920" s="126"/>
      <c r="J920" s="124"/>
      <c r="K920" s="124"/>
      <c r="L920" s="124"/>
      <c r="M920" s="124"/>
      <c r="N920" s="124"/>
      <c r="O920" s="124"/>
      <c r="P920" s="124"/>
      <c r="Q920" s="124"/>
      <c r="R920" s="124"/>
      <c r="S920" s="124"/>
      <c r="T920" s="124"/>
      <c r="U920" s="124"/>
      <c r="V920" s="124"/>
      <c r="W920" s="124"/>
      <c r="X920" s="124"/>
      <c r="Y920" s="124"/>
      <c r="Z920" s="124"/>
    </row>
    <row r="921" ht="29.25" customHeight="1">
      <c r="A921" s="124"/>
      <c r="B921" s="124"/>
      <c r="C921" s="124"/>
      <c r="D921" s="124"/>
      <c r="E921" s="124"/>
      <c r="F921" s="124"/>
      <c r="G921" s="124"/>
      <c r="H921" s="124"/>
      <c r="I921" s="126"/>
      <c r="J921" s="124"/>
      <c r="K921" s="124"/>
      <c r="L921" s="124"/>
      <c r="M921" s="124"/>
      <c r="N921" s="124"/>
      <c r="O921" s="124"/>
      <c r="P921" s="124"/>
      <c r="Q921" s="124"/>
      <c r="R921" s="124"/>
      <c r="S921" s="124"/>
      <c r="T921" s="124"/>
      <c r="U921" s="124"/>
      <c r="V921" s="124"/>
      <c r="W921" s="124"/>
      <c r="X921" s="124"/>
      <c r="Y921" s="124"/>
      <c r="Z921" s="124"/>
    </row>
    <row r="922" ht="29.25" customHeight="1">
      <c r="A922" s="124"/>
      <c r="B922" s="124"/>
      <c r="C922" s="124"/>
      <c r="D922" s="124"/>
      <c r="E922" s="124"/>
      <c r="F922" s="124"/>
      <c r="G922" s="124"/>
      <c r="H922" s="124"/>
      <c r="I922" s="126"/>
      <c r="J922" s="124"/>
      <c r="K922" s="124"/>
      <c r="L922" s="124"/>
      <c r="M922" s="124"/>
      <c r="N922" s="124"/>
      <c r="O922" s="124"/>
      <c r="P922" s="124"/>
      <c r="Q922" s="124"/>
      <c r="R922" s="124"/>
      <c r="S922" s="124"/>
      <c r="T922" s="124"/>
      <c r="U922" s="124"/>
      <c r="V922" s="124"/>
      <c r="W922" s="124"/>
      <c r="X922" s="124"/>
      <c r="Y922" s="124"/>
      <c r="Z922" s="124"/>
    </row>
    <row r="923" ht="29.25" customHeight="1">
      <c r="A923" s="124"/>
      <c r="B923" s="124"/>
      <c r="C923" s="124"/>
      <c r="D923" s="124"/>
      <c r="E923" s="124"/>
      <c r="F923" s="124"/>
      <c r="G923" s="124"/>
      <c r="H923" s="124"/>
      <c r="I923" s="126"/>
      <c r="J923" s="124"/>
      <c r="K923" s="124"/>
      <c r="L923" s="124"/>
      <c r="M923" s="124"/>
      <c r="N923" s="124"/>
      <c r="O923" s="124"/>
      <c r="P923" s="124"/>
      <c r="Q923" s="124"/>
      <c r="R923" s="124"/>
      <c r="S923" s="124"/>
      <c r="T923" s="124"/>
      <c r="U923" s="124"/>
      <c r="V923" s="124"/>
      <c r="W923" s="124"/>
      <c r="X923" s="124"/>
      <c r="Y923" s="124"/>
      <c r="Z923" s="124"/>
    </row>
    <row r="924" ht="29.25" customHeight="1">
      <c r="A924" s="124"/>
      <c r="B924" s="124"/>
      <c r="C924" s="124"/>
      <c r="D924" s="124"/>
      <c r="E924" s="124"/>
      <c r="F924" s="124"/>
      <c r="G924" s="124"/>
      <c r="H924" s="124"/>
      <c r="I924" s="126"/>
      <c r="J924" s="124"/>
      <c r="K924" s="124"/>
      <c r="L924" s="124"/>
      <c r="M924" s="124"/>
      <c r="N924" s="124"/>
      <c r="O924" s="124"/>
      <c r="P924" s="124"/>
      <c r="Q924" s="124"/>
      <c r="R924" s="124"/>
      <c r="S924" s="124"/>
      <c r="T924" s="124"/>
      <c r="U924" s="124"/>
      <c r="V924" s="124"/>
      <c r="W924" s="124"/>
      <c r="X924" s="124"/>
      <c r="Y924" s="124"/>
      <c r="Z924" s="124"/>
    </row>
    <row r="925" ht="29.25" customHeight="1">
      <c r="A925" s="124"/>
      <c r="B925" s="124"/>
      <c r="C925" s="124"/>
      <c r="D925" s="124"/>
      <c r="E925" s="124"/>
      <c r="F925" s="124"/>
      <c r="G925" s="124"/>
      <c r="H925" s="124"/>
      <c r="I925" s="126"/>
      <c r="J925" s="124"/>
      <c r="K925" s="124"/>
      <c r="L925" s="124"/>
      <c r="M925" s="124"/>
      <c r="N925" s="124"/>
      <c r="O925" s="124"/>
      <c r="P925" s="124"/>
      <c r="Q925" s="124"/>
      <c r="R925" s="124"/>
      <c r="S925" s="124"/>
      <c r="T925" s="124"/>
      <c r="U925" s="124"/>
      <c r="V925" s="124"/>
      <c r="W925" s="124"/>
      <c r="X925" s="124"/>
      <c r="Y925" s="124"/>
      <c r="Z925" s="124"/>
    </row>
    <row r="926" ht="29.25" customHeight="1">
      <c r="A926" s="124"/>
      <c r="B926" s="124"/>
      <c r="C926" s="124"/>
      <c r="D926" s="124"/>
      <c r="E926" s="124"/>
      <c r="F926" s="124"/>
      <c r="G926" s="124"/>
      <c r="H926" s="124"/>
      <c r="I926" s="126"/>
      <c r="J926" s="124"/>
      <c r="K926" s="124"/>
      <c r="L926" s="124"/>
      <c r="M926" s="124"/>
      <c r="N926" s="124"/>
      <c r="O926" s="124"/>
      <c r="P926" s="124"/>
      <c r="Q926" s="124"/>
      <c r="R926" s="124"/>
      <c r="S926" s="124"/>
      <c r="T926" s="124"/>
      <c r="U926" s="124"/>
      <c r="V926" s="124"/>
      <c r="W926" s="124"/>
      <c r="X926" s="124"/>
      <c r="Y926" s="124"/>
      <c r="Z926" s="124"/>
    </row>
    <row r="927" ht="29.25" customHeight="1">
      <c r="A927" s="124"/>
      <c r="B927" s="124"/>
      <c r="C927" s="124"/>
      <c r="D927" s="124"/>
      <c r="E927" s="124"/>
      <c r="F927" s="124"/>
      <c r="G927" s="124"/>
      <c r="H927" s="124"/>
      <c r="I927" s="126"/>
      <c r="J927" s="124"/>
      <c r="K927" s="124"/>
      <c r="L927" s="124"/>
      <c r="M927" s="124"/>
      <c r="N927" s="124"/>
      <c r="O927" s="124"/>
      <c r="P927" s="124"/>
      <c r="Q927" s="124"/>
      <c r="R927" s="124"/>
      <c r="S927" s="124"/>
      <c r="T927" s="124"/>
      <c r="U927" s="124"/>
      <c r="V927" s="124"/>
      <c r="W927" s="124"/>
      <c r="X927" s="124"/>
      <c r="Y927" s="124"/>
      <c r="Z927" s="124"/>
    </row>
    <row r="928" ht="29.25" customHeight="1">
      <c r="A928" s="124"/>
      <c r="B928" s="124"/>
      <c r="C928" s="124"/>
      <c r="D928" s="124"/>
      <c r="E928" s="124"/>
      <c r="F928" s="124"/>
      <c r="G928" s="124"/>
      <c r="H928" s="124"/>
      <c r="I928" s="126"/>
      <c r="J928" s="124"/>
      <c r="K928" s="124"/>
      <c r="L928" s="124"/>
      <c r="M928" s="124"/>
      <c r="N928" s="124"/>
      <c r="O928" s="124"/>
      <c r="P928" s="124"/>
      <c r="Q928" s="124"/>
      <c r="R928" s="124"/>
      <c r="S928" s="124"/>
      <c r="T928" s="124"/>
      <c r="U928" s="124"/>
      <c r="V928" s="124"/>
      <c r="W928" s="124"/>
      <c r="X928" s="124"/>
      <c r="Y928" s="124"/>
      <c r="Z928" s="124"/>
    </row>
    <row r="929" ht="29.25" customHeight="1">
      <c r="A929" s="124"/>
      <c r="B929" s="124"/>
      <c r="C929" s="124"/>
      <c r="D929" s="124"/>
      <c r="E929" s="124"/>
      <c r="F929" s="124"/>
      <c r="G929" s="124"/>
      <c r="H929" s="124"/>
      <c r="I929" s="126"/>
      <c r="J929" s="124"/>
      <c r="K929" s="124"/>
      <c r="L929" s="124"/>
      <c r="M929" s="124"/>
      <c r="N929" s="124"/>
      <c r="O929" s="124"/>
      <c r="P929" s="124"/>
      <c r="Q929" s="124"/>
      <c r="R929" s="124"/>
      <c r="S929" s="124"/>
      <c r="T929" s="124"/>
      <c r="U929" s="124"/>
      <c r="V929" s="124"/>
      <c r="W929" s="124"/>
      <c r="X929" s="124"/>
      <c r="Y929" s="124"/>
      <c r="Z929" s="124"/>
    </row>
    <row r="930" ht="29.25" customHeight="1">
      <c r="A930" s="124"/>
      <c r="B930" s="124"/>
      <c r="C930" s="124"/>
      <c r="D930" s="124"/>
      <c r="E930" s="124"/>
      <c r="F930" s="124"/>
      <c r="G930" s="124"/>
      <c r="H930" s="124"/>
      <c r="I930" s="126"/>
      <c r="J930" s="124"/>
      <c r="K930" s="124"/>
      <c r="L930" s="124"/>
      <c r="M930" s="124"/>
      <c r="N930" s="124"/>
      <c r="O930" s="124"/>
      <c r="P930" s="124"/>
      <c r="Q930" s="124"/>
      <c r="R930" s="124"/>
      <c r="S930" s="124"/>
      <c r="T930" s="124"/>
      <c r="U930" s="124"/>
      <c r="V930" s="124"/>
      <c r="W930" s="124"/>
      <c r="X930" s="124"/>
      <c r="Y930" s="124"/>
      <c r="Z930" s="124"/>
    </row>
    <row r="931" ht="29.25" customHeight="1">
      <c r="A931" s="124"/>
      <c r="B931" s="124"/>
      <c r="C931" s="124"/>
      <c r="D931" s="124"/>
      <c r="E931" s="124"/>
      <c r="F931" s="124"/>
      <c r="G931" s="124"/>
      <c r="H931" s="124"/>
      <c r="I931" s="126"/>
      <c r="J931" s="124"/>
      <c r="K931" s="124"/>
      <c r="L931" s="124"/>
      <c r="M931" s="124"/>
      <c r="N931" s="124"/>
      <c r="O931" s="124"/>
      <c r="P931" s="124"/>
      <c r="Q931" s="124"/>
      <c r="R931" s="124"/>
      <c r="S931" s="124"/>
      <c r="T931" s="124"/>
      <c r="U931" s="124"/>
      <c r="V931" s="124"/>
      <c r="W931" s="124"/>
      <c r="X931" s="124"/>
      <c r="Y931" s="124"/>
      <c r="Z931" s="124"/>
    </row>
    <row r="932" ht="29.25" customHeight="1">
      <c r="A932" s="124"/>
      <c r="B932" s="124"/>
      <c r="C932" s="124"/>
      <c r="D932" s="124"/>
      <c r="E932" s="124"/>
      <c r="F932" s="124"/>
      <c r="G932" s="124"/>
      <c r="H932" s="124"/>
      <c r="I932" s="126"/>
      <c r="J932" s="124"/>
      <c r="K932" s="124"/>
      <c r="L932" s="124"/>
      <c r="M932" s="124"/>
      <c r="N932" s="124"/>
      <c r="O932" s="124"/>
      <c r="P932" s="124"/>
      <c r="Q932" s="124"/>
      <c r="R932" s="124"/>
      <c r="S932" s="124"/>
      <c r="T932" s="124"/>
      <c r="U932" s="124"/>
      <c r="V932" s="124"/>
      <c r="W932" s="124"/>
      <c r="X932" s="124"/>
      <c r="Y932" s="124"/>
      <c r="Z932" s="124"/>
    </row>
    <row r="933" ht="29.25" customHeight="1">
      <c r="A933" s="124"/>
      <c r="B933" s="124"/>
      <c r="C933" s="124"/>
      <c r="D933" s="124"/>
      <c r="E933" s="124"/>
      <c r="F933" s="124"/>
      <c r="G933" s="124"/>
      <c r="H933" s="124"/>
      <c r="I933" s="126"/>
      <c r="J933" s="124"/>
      <c r="K933" s="124"/>
      <c r="L933" s="124"/>
      <c r="M933" s="124"/>
      <c r="N933" s="124"/>
      <c r="O933" s="124"/>
      <c r="P933" s="124"/>
      <c r="Q933" s="124"/>
      <c r="R933" s="124"/>
      <c r="S933" s="124"/>
      <c r="T933" s="124"/>
      <c r="U933" s="124"/>
      <c r="V933" s="124"/>
      <c r="W933" s="124"/>
      <c r="X933" s="124"/>
      <c r="Y933" s="124"/>
      <c r="Z933" s="124"/>
    </row>
    <row r="934" ht="29.25" customHeight="1">
      <c r="A934" s="124"/>
      <c r="B934" s="124"/>
      <c r="C934" s="124"/>
      <c r="D934" s="124"/>
      <c r="E934" s="124"/>
      <c r="F934" s="124"/>
      <c r="G934" s="124"/>
      <c r="H934" s="124"/>
      <c r="I934" s="126"/>
      <c r="J934" s="124"/>
      <c r="K934" s="124"/>
      <c r="L934" s="124"/>
      <c r="M934" s="124"/>
      <c r="N934" s="124"/>
      <c r="O934" s="124"/>
      <c r="P934" s="124"/>
      <c r="Q934" s="124"/>
      <c r="R934" s="124"/>
      <c r="S934" s="124"/>
      <c r="T934" s="124"/>
      <c r="U934" s="124"/>
      <c r="V934" s="124"/>
      <c r="W934" s="124"/>
      <c r="X934" s="124"/>
      <c r="Y934" s="124"/>
      <c r="Z934" s="124"/>
    </row>
    <row r="935" ht="29.25" customHeight="1">
      <c r="A935" s="124"/>
      <c r="B935" s="124"/>
      <c r="C935" s="124"/>
      <c r="D935" s="124"/>
      <c r="E935" s="124"/>
      <c r="F935" s="124"/>
      <c r="G935" s="124"/>
      <c r="H935" s="124"/>
      <c r="I935" s="126"/>
      <c r="J935" s="124"/>
      <c r="K935" s="124"/>
      <c r="L935" s="124"/>
      <c r="M935" s="124"/>
      <c r="N935" s="124"/>
      <c r="O935" s="124"/>
      <c r="P935" s="124"/>
      <c r="Q935" s="124"/>
      <c r="R935" s="124"/>
      <c r="S935" s="124"/>
      <c r="T935" s="124"/>
      <c r="U935" s="124"/>
      <c r="V935" s="124"/>
      <c r="W935" s="124"/>
      <c r="X935" s="124"/>
      <c r="Y935" s="124"/>
      <c r="Z935" s="124"/>
    </row>
    <row r="936" ht="29.25" customHeight="1">
      <c r="A936" s="124"/>
      <c r="B936" s="124"/>
      <c r="C936" s="124"/>
      <c r="D936" s="124"/>
      <c r="E936" s="124"/>
      <c r="F936" s="124"/>
      <c r="G936" s="124"/>
      <c r="H936" s="124"/>
      <c r="I936" s="126"/>
      <c r="J936" s="124"/>
      <c r="K936" s="124"/>
      <c r="L936" s="124"/>
      <c r="M936" s="124"/>
      <c r="N936" s="124"/>
      <c r="O936" s="124"/>
      <c r="P936" s="124"/>
      <c r="Q936" s="124"/>
      <c r="R936" s="124"/>
      <c r="S936" s="124"/>
      <c r="T936" s="124"/>
      <c r="U936" s="124"/>
      <c r="V936" s="124"/>
      <c r="W936" s="124"/>
      <c r="X936" s="124"/>
      <c r="Y936" s="124"/>
      <c r="Z936" s="124"/>
    </row>
    <row r="937" ht="29.25" customHeight="1">
      <c r="A937" s="124"/>
      <c r="B937" s="124"/>
      <c r="C937" s="124"/>
      <c r="D937" s="124"/>
      <c r="E937" s="124"/>
      <c r="F937" s="124"/>
      <c r="G937" s="124"/>
      <c r="H937" s="124"/>
      <c r="I937" s="126"/>
      <c r="J937" s="124"/>
      <c r="K937" s="124"/>
      <c r="L937" s="124"/>
      <c r="M937" s="124"/>
      <c r="N937" s="124"/>
      <c r="O937" s="124"/>
      <c r="P937" s="124"/>
      <c r="Q937" s="124"/>
      <c r="R937" s="124"/>
      <c r="S937" s="124"/>
      <c r="T937" s="124"/>
      <c r="U937" s="124"/>
      <c r="V937" s="124"/>
      <c r="W937" s="124"/>
      <c r="X937" s="124"/>
      <c r="Y937" s="124"/>
      <c r="Z937" s="124"/>
    </row>
    <row r="938" ht="29.25" customHeight="1">
      <c r="A938" s="124"/>
      <c r="B938" s="124"/>
      <c r="C938" s="124"/>
      <c r="D938" s="124"/>
      <c r="E938" s="124"/>
      <c r="F938" s="124"/>
      <c r="G938" s="124"/>
      <c r="H938" s="124"/>
      <c r="I938" s="126"/>
      <c r="J938" s="124"/>
      <c r="K938" s="124"/>
      <c r="L938" s="124"/>
      <c r="M938" s="124"/>
      <c r="N938" s="124"/>
      <c r="O938" s="124"/>
      <c r="P938" s="124"/>
      <c r="Q938" s="124"/>
      <c r="R938" s="124"/>
      <c r="S938" s="124"/>
      <c r="T938" s="124"/>
      <c r="U938" s="124"/>
      <c r="V938" s="124"/>
      <c r="W938" s="124"/>
      <c r="X938" s="124"/>
      <c r="Y938" s="124"/>
      <c r="Z938" s="124"/>
    </row>
    <row r="939" ht="29.25" customHeight="1">
      <c r="A939" s="124"/>
      <c r="B939" s="124"/>
      <c r="C939" s="124"/>
      <c r="D939" s="124"/>
      <c r="E939" s="124"/>
      <c r="F939" s="124"/>
      <c r="G939" s="124"/>
      <c r="H939" s="124"/>
      <c r="I939" s="126"/>
      <c r="J939" s="124"/>
      <c r="K939" s="124"/>
      <c r="L939" s="124"/>
      <c r="M939" s="124"/>
      <c r="N939" s="124"/>
      <c r="O939" s="124"/>
      <c r="P939" s="124"/>
      <c r="Q939" s="124"/>
      <c r="R939" s="124"/>
      <c r="S939" s="124"/>
      <c r="T939" s="124"/>
      <c r="U939" s="124"/>
      <c r="V939" s="124"/>
      <c r="W939" s="124"/>
      <c r="X939" s="124"/>
      <c r="Y939" s="124"/>
      <c r="Z939" s="124"/>
    </row>
    <row r="940" ht="29.25" customHeight="1">
      <c r="A940" s="124"/>
      <c r="B940" s="124"/>
      <c r="C940" s="124"/>
      <c r="D940" s="124"/>
      <c r="E940" s="124"/>
      <c r="F940" s="124"/>
      <c r="G940" s="124"/>
      <c r="H940" s="124"/>
      <c r="I940" s="126"/>
      <c r="J940" s="124"/>
      <c r="K940" s="124"/>
      <c r="L940" s="124"/>
      <c r="M940" s="124"/>
      <c r="N940" s="124"/>
      <c r="O940" s="124"/>
      <c r="P940" s="124"/>
      <c r="Q940" s="124"/>
      <c r="R940" s="124"/>
      <c r="S940" s="124"/>
      <c r="T940" s="124"/>
      <c r="U940" s="124"/>
      <c r="V940" s="124"/>
      <c r="W940" s="124"/>
      <c r="X940" s="124"/>
      <c r="Y940" s="124"/>
      <c r="Z940" s="124"/>
    </row>
    <row r="941" ht="29.25" customHeight="1">
      <c r="A941" s="124"/>
      <c r="B941" s="124"/>
      <c r="C941" s="124"/>
      <c r="D941" s="124"/>
      <c r="E941" s="124"/>
      <c r="F941" s="124"/>
      <c r="G941" s="124"/>
      <c r="H941" s="124"/>
      <c r="I941" s="126"/>
      <c r="J941" s="124"/>
      <c r="K941" s="124"/>
      <c r="L941" s="124"/>
      <c r="M941" s="124"/>
      <c r="N941" s="124"/>
      <c r="O941" s="124"/>
      <c r="P941" s="124"/>
      <c r="Q941" s="124"/>
      <c r="R941" s="124"/>
      <c r="S941" s="124"/>
      <c r="T941" s="124"/>
      <c r="U941" s="124"/>
      <c r="V941" s="124"/>
      <c r="W941" s="124"/>
      <c r="X941" s="124"/>
      <c r="Y941" s="124"/>
      <c r="Z941" s="124"/>
    </row>
    <row r="942" ht="29.25" customHeight="1">
      <c r="A942" s="124"/>
      <c r="B942" s="124"/>
      <c r="C942" s="124"/>
      <c r="D942" s="124"/>
      <c r="E942" s="124"/>
      <c r="F942" s="124"/>
      <c r="G942" s="124"/>
      <c r="H942" s="124"/>
      <c r="I942" s="126"/>
      <c r="J942" s="124"/>
      <c r="K942" s="124"/>
      <c r="L942" s="124"/>
      <c r="M942" s="124"/>
      <c r="N942" s="124"/>
      <c r="O942" s="124"/>
      <c r="P942" s="124"/>
      <c r="Q942" s="124"/>
      <c r="R942" s="124"/>
      <c r="S942" s="124"/>
      <c r="T942" s="124"/>
      <c r="U942" s="124"/>
      <c r="V942" s="124"/>
      <c r="W942" s="124"/>
      <c r="X942" s="124"/>
      <c r="Y942" s="124"/>
      <c r="Z942" s="124"/>
    </row>
    <row r="943" ht="29.25" customHeight="1">
      <c r="A943" s="124"/>
      <c r="B943" s="124"/>
      <c r="C943" s="124"/>
      <c r="D943" s="124"/>
      <c r="E943" s="124"/>
      <c r="F943" s="124"/>
      <c r="G943" s="124"/>
      <c r="H943" s="124"/>
      <c r="I943" s="126"/>
      <c r="J943" s="124"/>
      <c r="K943" s="124"/>
      <c r="L943" s="124"/>
      <c r="M943" s="124"/>
      <c r="N943" s="124"/>
      <c r="O943" s="124"/>
      <c r="P943" s="124"/>
      <c r="Q943" s="124"/>
      <c r="R943" s="124"/>
      <c r="S943" s="124"/>
      <c r="T943" s="124"/>
      <c r="U943" s="124"/>
      <c r="V943" s="124"/>
      <c r="W943" s="124"/>
      <c r="X943" s="124"/>
      <c r="Y943" s="124"/>
      <c r="Z943" s="124"/>
    </row>
    <row r="944" ht="29.25" customHeight="1">
      <c r="A944" s="124"/>
      <c r="B944" s="124"/>
      <c r="C944" s="124"/>
      <c r="D944" s="124"/>
      <c r="E944" s="124"/>
      <c r="F944" s="124"/>
      <c r="G944" s="124"/>
      <c r="H944" s="124"/>
      <c r="I944" s="126"/>
      <c r="J944" s="124"/>
      <c r="K944" s="124"/>
      <c r="L944" s="124"/>
      <c r="M944" s="124"/>
      <c r="N944" s="124"/>
      <c r="O944" s="124"/>
      <c r="P944" s="124"/>
      <c r="Q944" s="124"/>
      <c r="R944" s="124"/>
      <c r="S944" s="124"/>
      <c r="T944" s="124"/>
      <c r="U944" s="124"/>
      <c r="V944" s="124"/>
      <c r="W944" s="124"/>
      <c r="X944" s="124"/>
      <c r="Y944" s="124"/>
      <c r="Z944" s="124"/>
    </row>
    <row r="945" ht="29.25" customHeight="1">
      <c r="A945" s="124"/>
      <c r="B945" s="124"/>
      <c r="C945" s="124"/>
      <c r="D945" s="124"/>
      <c r="E945" s="124"/>
      <c r="F945" s="124"/>
      <c r="G945" s="124"/>
      <c r="H945" s="124"/>
      <c r="I945" s="126"/>
      <c r="J945" s="124"/>
      <c r="K945" s="124"/>
      <c r="L945" s="124"/>
      <c r="M945" s="124"/>
      <c r="N945" s="124"/>
      <c r="O945" s="124"/>
      <c r="P945" s="124"/>
      <c r="Q945" s="124"/>
      <c r="R945" s="124"/>
      <c r="S945" s="124"/>
      <c r="T945" s="124"/>
      <c r="U945" s="124"/>
      <c r="V945" s="124"/>
      <c r="W945" s="124"/>
      <c r="X945" s="124"/>
      <c r="Y945" s="124"/>
      <c r="Z945" s="124"/>
    </row>
    <row r="946" ht="29.25" customHeight="1">
      <c r="A946" s="124"/>
      <c r="B946" s="124"/>
      <c r="C946" s="124"/>
      <c r="D946" s="124"/>
      <c r="E946" s="124"/>
      <c r="F946" s="124"/>
      <c r="G946" s="124"/>
      <c r="H946" s="124"/>
      <c r="I946" s="126"/>
      <c r="J946" s="124"/>
      <c r="K946" s="124"/>
      <c r="L946" s="124"/>
      <c r="M946" s="124"/>
      <c r="N946" s="124"/>
      <c r="O946" s="124"/>
      <c r="P946" s="124"/>
      <c r="Q946" s="124"/>
      <c r="R946" s="124"/>
      <c r="S946" s="124"/>
      <c r="T946" s="124"/>
      <c r="U946" s="124"/>
      <c r="V946" s="124"/>
      <c r="W946" s="124"/>
      <c r="X946" s="124"/>
      <c r="Y946" s="124"/>
      <c r="Z946" s="124"/>
    </row>
    <row r="947" ht="29.25" customHeight="1">
      <c r="A947" s="124"/>
      <c r="B947" s="124"/>
      <c r="C947" s="124"/>
      <c r="D947" s="124"/>
      <c r="E947" s="124"/>
      <c r="F947" s="124"/>
      <c r="G947" s="124"/>
      <c r="H947" s="124"/>
      <c r="I947" s="126"/>
      <c r="J947" s="124"/>
      <c r="K947" s="124"/>
      <c r="L947" s="124"/>
      <c r="M947" s="124"/>
      <c r="N947" s="124"/>
      <c r="O947" s="124"/>
      <c r="P947" s="124"/>
      <c r="Q947" s="124"/>
      <c r="R947" s="124"/>
      <c r="S947" s="124"/>
      <c r="T947" s="124"/>
      <c r="U947" s="124"/>
      <c r="V947" s="124"/>
      <c r="W947" s="124"/>
      <c r="X947" s="124"/>
      <c r="Y947" s="124"/>
      <c r="Z947" s="124"/>
    </row>
    <row r="948" ht="29.25" customHeight="1">
      <c r="A948" s="124"/>
      <c r="B948" s="124"/>
      <c r="C948" s="124"/>
      <c r="D948" s="124"/>
      <c r="E948" s="124"/>
      <c r="F948" s="124"/>
      <c r="G948" s="124"/>
      <c r="H948" s="124"/>
      <c r="I948" s="126"/>
      <c r="J948" s="124"/>
      <c r="K948" s="124"/>
      <c r="L948" s="124"/>
      <c r="M948" s="124"/>
      <c r="N948" s="124"/>
      <c r="O948" s="124"/>
      <c r="P948" s="124"/>
      <c r="Q948" s="124"/>
      <c r="R948" s="124"/>
      <c r="S948" s="124"/>
      <c r="T948" s="124"/>
      <c r="U948" s="124"/>
      <c r="V948" s="124"/>
      <c r="W948" s="124"/>
      <c r="X948" s="124"/>
      <c r="Y948" s="124"/>
      <c r="Z948" s="124"/>
    </row>
    <row r="949" ht="29.25" customHeight="1">
      <c r="A949" s="124"/>
      <c r="B949" s="124"/>
      <c r="C949" s="124"/>
      <c r="D949" s="124"/>
      <c r="E949" s="124"/>
      <c r="F949" s="124"/>
      <c r="G949" s="124"/>
      <c r="H949" s="124"/>
      <c r="I949" s="126"/>
      <c r="J949" s="124"/>
      <c r="K949" s="124"/>
      <c r="L949" s="124"/>
      <c r="M949" s="124"/>
      <c r="N949" s="124"/>
      <c r="O949" s="124"/>
      <c r="P949" s="124"/>
      <c r="Q949" s="124"/>
      <c r="R949" s="124"/>
      <c r="S949" s="124"/>
      <c r="T949" s="124"/>
      <c r="U949" s="124"/>
      <c r="V949" s="124"/>
      <c r="W949" s="124"/>
      <c r="X949" s="124"/>
      <c r="Y949" s="124"/>
      <c r="Z949" s="124"/>
    </row>
    <row r="950" ht="29.25" customHeight="1">
      <c r="A950" s="124"/>
      <c r="B950" s="124"/>
      <c r="C950" s="124"/>
      <c r="D950" s="124"/>
      <c r="E950" s="124"/>
      <c r="F950" s="124"/>
      <c r="G950" s="124"/>
      <c r="H950" s="124"/>
      <c r="I950" s="126"/>
      <c r="J950" s="124"/>
      <c r="K950" s="124"/>
      <c r="L950" s="124"/>
      <c r="M950" s="124"/>
      <c r="N950" s="124"/>
      <c r="O950" s="124"/>
      <c r="P950" s="124"/>
      <c r="Q950" s="124"/>
      <c r="R950" s="124"/>
      <c r="S950" s="124"/>
      <c r="T950" s="124"/>
      <c r="U950" s="124"/>
      <c r="V950" s="124"/>
      <c r="W950" s="124"/>
      <c r="X950" s="124"/>
      <c r="Y950" s="124"/>
      <c r="Z950" s="124"/>
    </row>
    <row r="951" ht="29.25" customHeight="1">
      <c r="A951" s="124"/>
      <c r="B951" s="124"/>
      <c r="C951" s="124"/>
      <c r="D951" s="124"/>
      <c r="E951" s="124"/>
      <c r="F951" s="124"/>
      <c r="G951" s="124"/>
      <c r="H951" s="124"/>
      <c r="I951" s="126"/>
      <c r="J951" s="124"/>
      <c r="K951" s="124"/>
      <c r="L951" s="124"/>
      <c r="M951" s="124"/>
      <c r="N951" s="124"/>
      <c r="O951" s="124"/>
      <c r="P951" s="124"/>
      <c r="Q951" s="124"/>
      <c r="R951" s="124"/>
      <c r="S951" s="124"/>
      <c r="T951" s="124"/>
      <c r="U951" s="124"/>
      <c r="V951" s="124"/>
      <c r="W951" s="124"/>
      <c r="X951" s="124"/>
      <c r="Y951" s="124"/>
      <c r="Z951" s="124"/>
    </row>
    <row r="952" ht="29.25" customHeight="1">
      <c r="A952" s="124"/>
      <c r="B952" s="124"/>
      <c r="C952" s="124"/>
      <c r="D952" s="124"/>
      <c r="E952" s="124"/>
      <c r="F952" s="124"/>
      <c r="G952" s="124"/>
      <c r="H952" s="124"/>
      <c r="I952" s="126"/>
      <c r="J952" s="124"/>
      <c r="K952" s="124"/>
      <c r="L952" s="124"/>
      <c r="M952" s="124"/>
      <c r="N952" s="124"/>
      <c r="O952" s="124"/>
      <c r="P952" s="124"/>
      <c r="Q952" s="124"/>
      <c r="R952" s="124"/>
      <c r="S952" s="124"/>
      <c r="T952" s="124"/>
      <c r="U952" s="124"/>
      <c r="V952" s="124"/>
      <c r="W952" s="124"/>
      <c r="X952" s="124"/>
      <c r="Y952" s="124"/>
      <c r="Z952" s="124"/>
    </row>
    <row r="953" ht="29.25" customHeight="1">
      <c r="A953" s="124"/>
      <c r="B953" s="124"/>
      <c r="C953" s="124"/>
      <c r="D953" s="124"/>
      <c r="E953" s="124"/>
      <c r="F953" s="124"/>
      <c r="G953" s="124"/>
      <c r="H953" s="124"/>
      <c r="I953" s="126"/>
      <c r="J953" s="124"/>
      <c r="K953" s="124"/>
      <c r="L953" s="124"/>
      <c r="M953" s="124"/>
      <c r="N953" s="124"/>
      <c r="O953" s="124"/>
      <c r="P953" s="124"/>
      <c r="Q953" s="124"/>
      <c r="R953" s="124"/>
      <c r="S953" s="124"/>
      <c r="T953" s="124"/>
      <c r="U953" s="124"/>
      <c r="V953" s="124"/>
      <c r="W953" s="124"/>
      <c r="X953" s="124"/>
      <c r="Y953" s="124"/>
      <c r="Z953" s="124"/>
    </row>
    <row r="954" ht="29.25" customHeight="1">
      <c r="A954" s="124"/>
      <c r="B954" s="124"/>
      <c r="C954" s="124"/>
      <c r="D954" s="124"/>
      <c r="E954" s="124"/>
      <c r="F954" s="124"/>
      <c r="G954" s="124"/>
      <c r="H954" s="124"/>
      <c r="I954" s="126"/>
      <c r="J954" s="124"/>
      <c r="K954" s="124"/>
      <c r="L954" s="124"/>
      <c r="M954" s="124"/>
      <c r="N954" s="124"/>
      <c r="O954" s="124"/>
      <c r="P954" s="124"/>
      <c r="Q954" s="124"/>
      <c r="R954" s="124"/>
      <c r="S954" s="124"/>
      <c r="T954" s="124"/>
      <c r="U954" s="124"/>
      <c r="V954" s="124"/>
      <c r="W954" s="124"/>
      <c r="X954" s="124"/>
      <c r="Y954" s="124"/>
      <c r="Z954" s="124"/>
    </row>
    <row r="955" ht="29.25" customHeight="1">
      <c r="A955" s="124"/>
      <c r="B955" s="124"/>
      <c r="C955" s="124"/>
      <c r="D955" s="124"/>
      <c r="E955" s="124"/>
      <c r="F955" s="124"/>
      <c r="G955" s="124"/>
      <c r="H955" s="124"/>
      <c r="I955" s="126"/>
      <c r="J955" s="124"/>
      <c r="K955" s="124"/>
      <c r="L955" s="124"/>
      <c r="M955" s="124"/>
      <c r="N955" s="124"/>
      <c r="O955" s="124"/>
      <c r="P955" s="124"/>
      <c r="Q955" s="124"/>
      <c r="R955" s="124"/>
      <c r="S955" s="124"/>
      <c r="T955" s="124"/>
      <c r="U955" s="124"/>
      <c r="V955" s="124"/>
      <c r="W955" s="124"/>
      <c r="X955" s="124"/>
      <c r="Y955" s="124"/>
      <c r="Z955" s="124"/>
    </row>
    <row r="956" ht="29.25" customHeight="1">
      <c r="A956" s="124"/>
      <c r="B956" s="124"/>
      <c r="C956" s="124"/>
      <c r="D956" s="124"/>
      <c r="E956" s="124"/>
      <c r="F956" s="124"/>
      <c r="G956" s="124"/>
      <c r="H956" s="124"/>
      <c r="I956" s="126"/>
      <c r="J956" s="124"/>
      <c r="K956" s="124"/>
      <c r="L956" s="124"/>
      <c r="M956" s="124"/>
      <c r="N956" s="124"/>
      <c r="O956" s="124"/>
      <c r="P956" s="124"/>
      <c r="Q956" s="124"/>
      <c r="R956" s="124"/>
      <c r="S956" s="124"/>
      <c r="T956" s="124"/>
      <c r="U956" s="124"/>
      <c r="V956" s="124"/>
      <c r="W956" s="124"/>
      <c r="X956" s="124"/>
      <c r="Y956" s="124"/>
      <c r="Z956" s="124"/>
    </row>
    <row r="957" ht="29.25" customHeight="1">
      <c r="A957" s="124"/>
      <c r="B957" s="124"/>
      <c r="C957" s="124"/>
      <c r="D957" s="124"/>
      <c r="E957" s="124"/>
      <c r="F957" s="124"/>
      <c r="G957" s="124"/>
      <c r="H957" s="124"/>
      <c r="I957" s="126"/>
      <c r="J957" s="124"/>
      <c r="K957" s="124"/>
      <c r="L957" s="124"/>
      <c r="M957" s="124"/>
      <c r="N957" s="124"/>
      <c r="O957" s="124"/>
      <c r="P957" s="124"/>
      <c r="Q957" s="124"/>
      <c r="R957" s="124"/>
      <c r="S957" s="124"/>
      <c r="T957" s="124"/>
      <c r="U957" s="124"/>
      <c r="V957" s="124"/>
      <c r="W957" s="124"/>
      <c r="X957" s="124"/>
      <c r="Y957" s="124"/>
      <c r="Z957" s="124"/>
    </row>
    <row r="958" ht="29.25" customHeight="1">
      <c r="A958" s="124"/>
      <c r="B958" s="124"/>
      <c r="C958" s="124"/>
      <c r="D958" s="124"/>
      <c r="E958" s="124"/>
      <c r="F958" s="124"/>
      <c r="G958" s="124"/>
      <c r="H958" s="124"/>
      <c r="I958" s="126"/>
      <c r="J958" s="124"/>
      <c r="K958" s="124"/>
      <c r="L958" s="124"/>
      <c r="M958" s="124"/>
      <c r="N958" s="124"/>
      <c r="O958" s="124"/>
      <c r="P958" s="124"/>
      <c r="Q958" s="124"/>
      <c r="R958" s="124"/>
      <c r="S958" s="124"/>
      <c r="T958" s="124"/>
      <c r="U958" s="124"/>
      <c r="V958" s="124"/>
      <c r="W958" s="124"/>
      <c r="X958" s="124"/>
      <c r="Y958" s="124"/>
      <c r="Z958" s="124"/>
    </row>
    <row r="959" ht="29.25" customHeight="1">
      <c r="A959" s="124"/>
      <c r="B959" s="124"/>
      <c r="C959" s="124"/>
      <c r="D959" s="124"/>
      <c r="E959" s="124"/>
      <c r="F959" s="124"/>
      <c r="G959" s="124"/>
      <c r="H959" s="124"/>
      <c r="I959" s="126"/>
      <c r="J959" s="124"/>
      <c r="K959" s="124"/>
      <c r="L959" s="124"/>
      <c r="M959" s="124"/>
      <c r="N959" s="124"/>
      <c r="O959" s="124"/>
      <c r="P959" s="124"/>
      <c r="Q959" s="124"/>
      <c r="R959" s="124"/>
      <c r="S959" s="124"/>
      <c r="T959" s="124"/>
      <c r="U959" s="124"/>
      <c r="V959" s="124"/>
      <c r="W959" s="124"/>
      <c r="X959" s="124"/>
      <c r="Y959" s="124"/>
      <c r="Z959" s="124"/>
    </row>
    <row r="960" ht="29.25" customHeight="1">
      <c r="A960" s="124"/>
      <c r="B960" s="124"/>
      <c r="C960" s="124"/>
      <c r="D960" s="124"/>
      <c r="E960" s="124"/>
      <c r="F960" s="124"/>
      <c r="G960" s="124"/>
      <c r="H960" s="124"/>
      <c r="I960" s="126"/>
      <c r="J960" s="124"/>
      <c r="K960" s="124"/>
      <c r="L960" s="124"/>
      <c r="M960" s="124"/>
      <c r="N960" s="124"/>
      <c r="O960" s="124"/>
      <c r="P960" s="124"/>
      <c r="Q960" s="124"/>
      <c r="R960" s="124"/>
      <c r="S960" s="124"/>
      <c r="T960" s="124"/>
      <c r="U960" s="124"/>
      <c r="V960" s="124"/>
      <c r="W960" s="124"/>
      <c r="X960" s="124"/>
      <c r="Y960" s="124"/>
      <c r="Z960" s="124"/>
    </row>
    <row r="961" ht="29.25" customHeight="1">
      <c r="A961" s="124"/>
      <c r="B961" s="124"/>
      <c r="C961" s="124"/>
      <c r="D961" s="124"/>
      <c r="E961" s="124"/>
      <c r="F961" s="124"/>
      <c r="G961" s="124"/>
      <c r="H961" s="124"/>
      <c r="I961" s="126"/>
      <c r="J961" s="124"/>
      <c r="K961" s="124"/>
      <c r="L961" s="124"/>
      <c r="M961" s="124"/>
      <c r="N961" s="124"/>
      <c r="O961" s="124"/>
      <c r="P961" s="124"/>
      <c r="Q961" s="124"/>
      <c r="R961" s="124"/>
      <c r="S961" s="124"/>
      <c r="T961" s="124"/>
      <c r="U961" s="124"/>
      <c r="V961" s="124"/>
      <c r="W961" s="124"/>
      <c r="X961" s="124"/>
      <c r="Y961" s="124"/>
      <c r="Z961" s="124"/>
    </row>
    <row r="962" ht="29.25" customHeight="1">
      <c r="A962" s="124"/>
      <c r="B962" s="124"/>
      <c r="C962" s="124"/>
      <c r="D962" s="124"/>
      <c r="E962" s="124"/>
      <c r="F962" s="124"/>
      <c r="G962" s="124"/>
      <c r="H962" s="124"/>
      <c r="I962" s="126"/>
      <c r="J962" s="124"/>
      <c r="K962" s="124"/>
      <c r="L962" s="124"/>
      <c r="M962" s="124"/>
      <c r="N962" s="124"/>
      <c r="O962" s="124"/>
      <c r="P962" s="124"/>
      <c r="Q962" s="124"/>
      <c r="R962" s="124"/>
      <c r="S962" s="124"/>
      <c r="T962" s="124"/>
      <c r="U962" s="124"/>
      <c r="V962" s="124"/>
      <c r="W962" s="124"/>
      <c r="X962" s="124"/>
      <c r="Y962" s="124"/>
      <c r="Z962" s="124"/>
    </row>
    <row r="963" ht="29.25" customHeight="1">
      <c r="A963" s="124"/>
      <c r="B963" s="124"/>
      <c r="C963" s="124"/>
      <c r="D963" s="124"/>
      <c r="E963" s="124"/>
      <c r="F963" s="124"/>
      <c r="G963" s="124"/>
      <c r="H963" s="124"/>
      <c r="I963" s="126"/>
      <c r="J963" s="124"/>
      <c r="K963" s="124"/>
      <c r="L963" s="124"/>
      <c r="M963" s="124"/>
      <c r="N963" s="124"/>
      <c r="O963" s="124"/>
      <c r="P963" s="124"/>
      <c r="Q963" s="124"/>
      <c r="R963" s="124"/>
      <c r="S963" s="124"/>
      <c r="T963" s="124"/>
      <c r="U963" s="124"/>
      <c r="V963" s="124"/>
      <c r="W963" s="124"/>
      <c r="X963" s="124"/>
      <c r="Y963" s="124"/>
      <c r="Z963" s="124"/>
    </row>
    <row r="964" ht="29.25" customHeight="1">
      <c r="A964" s="124"/>
      <c r="B964" s="124"/>
      <c r="C964" s="124"/>
      <c r="D964" s="124"/>
      <c r="E964" s="124"/>
      <c r="F964" s="124"/>
      <c r="G964" s="124"/>
      <c r="H964" s="124"/>
      <c r="I964" s="126"/>
      <c r="J964" s="124"/>
      <c r="K964" s="124"/>
      <c r="L964" s="124"/>
      <c r="M964" s="124"/>
      <c r="N964" s="124"/>
      <c r="O964" s="124"/>
      <c r="P964" s="124"/>
      <c r="Q964" s="124"/>
      <c r="R964" s="124"/>
      <c r="S964" s="124"/>
      <c r="T964" s="124"/>
      <c r="U964" s="124"/>
      <c r="V964" s="124"/>
      <c r="W964" s="124"/>
      <c r="X964" s="124"/>
      <c r="Y964" s="124"/>
      <c r="Z964" s="124"/>
    </row>
    <row r="965" ht="29.25" customHeight="1">
      <c r="A965" s="124"/>
      <c r="B965" s="124"/>
      <c r="C965" s="124"/>
      <c r="D965" s="124"/>
      <c r="E965" s="124"/>
      <c r="F965" s="124"/>
      <c r="G965" s="124"/>
      <c r="H965" s="124"/>
      <c r="I965" s="126"/>
      <c r="J965" s="124"/>
      <c r="K965" s="124"/>
      <c r="L965" s="124"/>
      <c r="M965" s="124"/>
      <c r="N965" s="124"/>
      <c r="O965" s="124"/>
      <c r="P965" s="124"/>
      <c r="Q965" s="124"/>
      <c r="R965" s="124"/>
      <c r="S965" s="124"/>
      <c r="T965" s="124"/>
      <c r="U965" s="124"/>
      <c r="V965" s="124"/>
      <c r="W965" s="124"/>
      <c r="X965" s="124"/>
      <c r="Y965" s="124"/>
      <c r="Z965" s="124"/>
    </row>
    <row r="966" ht="29.25" customHeight="1">
      <c r="A966" s="124"/>
      <c r="B966" s="124"/>
      <c r="C966" s="124"/>
      <c r="D966" s="124"/>
      <c r="E966" s="124"/>
      <c r="F966" s="124"/>
      <c r="G966" s="124"/>
      <c r="H966" s="124"/>
      <c r="I966" s="126"/>
      <c r="J966" s="124"/>
      <c r="K966" s="124"/>
      <c r="L966" s="124"/>
      <c r="M966" s="124"/>
      <c r="N966" s="124"/>
      <c r="O966" s="124"/>
      <c r="P966" s="124"/>
      <c r="Q966" s="124"/>
      <c r="R966" s="124"/>
      <c r="S966" s="124"/>
      <c r="T966" s="124"/>
      <c r="U966" s="124"/>
      <c r="V966" s="124"/>
      <c r="W966" s="124"/>
      <c r="X966" s="124"/>
      <c r="Y966" s="124"/>
      <c r="Z966" s="124"/>
    </row>
    <row r="967" ht="29.25" customHeight="1">
      <c r="A967" s="124"/>
      <c r="B967" s="124"/>
      <c r="C967" s="124"/>
      <c r="D967" s="124"/>
      <c r="E967" s="124"/>
      <c r="F967" s="124"/>
      <c r="G967" s="124"/>
      <c r="H967" s="124"/>
      <c r="I967" s="126"/>
      <c r="J967" s="124"/>
      <c r="K967" s="124"/>
      <c r="L967" s="124"/>
      <c r="M967" s="124"/>
      <c r="N967" s="124"/>
      <c r="O967" s="124"/>
      <c r="P967" s="124"/>
      <c r="Q967" s="124"/>
      <c r="R967" s="124"/>
      <c r="S967" s="124"/>
      <c r="T967" s="124"/>
      <c r="U967" s="124"/>
      <c r="V967" s="124"/>
      <c r="W967" s="124"/>
      <c r="X967" s="124"/>
      <c r="Y967" s="124"/>
      <c r="Z967" s="124"/>
    </row>
    <row r="968" ht="29.25" customHeight="1">
      <c r="A968" s="124"/>
      <c r="B968" s="124"/>
      <c r="C968" s="124"/>
      <c r="D968" s="124"/>
      <c r="E968" s="124"/>
      <c r="F968" s="124"/>
      <c r="G968" s="124"/>
      <c r="H968" s="124"/>
      <c r="I968" s="126"/>
      <c r="J968" s="124"/>
      <c r="K968" s="124"/>
      <c r="L968" s="124"/>
      <c r="M968" s="124"/>
      <c r="N968" s="124"/>
      <c r="O968" s="124"/>
      <c r="P968" s="124"/>
      <c r="Q968" s="124"/>
      <c r="R968" s="124"/>
      <c r="S968" s="124"/>
      <c r="T968" s="124"/>
      <c r="U968" s="124"/>
      <c r="V968" s="124"/>
      <c r="W968" s="124"/>
      <c r="X968" s="124"/>
      <c r="Y968" s="124"/>
      <c r="Z968" s="124"/>
    </row>
    <row r="969" ht="29.25" customHeight="1">
      <c r="A969" s="124"/>
      <c r="B969" s="124"/>
      <c r="C969" s="124"/>
      <c r="D969" s="124"/>
      <c r="E969" s="124"/>
      <c r="F969" s="124"/>
      <c r="G969" s="124"/>
      <c r="H969" s="124"/>
      <c r="I969" s="126"/>
      <c r="J969" s="124"/>
      <c r="K969" s="124"/>
      <c r="L969" s="124"/>
      <c r="M969" s="124"/>
      <c r="N969" s="124"/>
      <c r="O969" s="124"/>
      <c r="P969" s="124"/>
      <c r="Q969" s="124"/>
      <c r="R969" s="124"/>
      <c r="S969" s="124"/>
      <c r="T969" s="124"/>
      <c r="U969" s="124"/>
      <c r="V969" s="124"/>
      <c r="W969" s="124"/>
      <c r="X969" s="124"/>
      <c r="Y969" s="124"/>
      <c r="Z969" s="124"/>
    </row>
    <row r="970" ht="29.25" customHeight="1">
      <c r="A970" s="124"/>
      <c r="B970" s="124"/>
      <c r="C970" s="124"/>
      <c r="D970" s="124"/>
      <c r="E970" s="124"/>
      <c r="F970" s="124"/>
      <c r="G970" s="124"/>
      <c r="H970" s="124"/>
      <c r="I970" s="126"/>
      <c r="J970" s="124"/>
      <c r="K970" s="124"/>
      <c r="L970" s="124"/>
      <c r="M970" s="124"/>
      <c r="N970" s="124"/>
      <c r="O970" s="124"/>
      <c r="P970" s="124"/>
      <c r="Q970" s="124"/>
      <c r="R970" s="124"/>
      <c r="S970" s="124"/>
      <c r="T970" s="124"/>
      <c r="U970" s="124"/>
      <c r="V970" s="124"/>
      <c r="W970" s="124"/>
      <c r="X970" s="124"/>
      <c r="Y970" s="124"/>
      <c r="Z970" s="124"/>
    </row>
    <row r="971" ht="29.25" customHeight="1">
      <c r="A971" s="124"/>
      <c r="B971" s="124"/>
      <c r="C971" s="124"/>
      <c r="D971" s="124"/>
      <c r="E971" s="124"/>
      <c r="F971" s="124"/>
      <c r="G971" s="124"/>
      <c r="H971" s="124"/>
      <c r="I971" s="126"/>
      <c r="J971" s="124"/>
      <c r="K971" s="124"/>
      <c r="L971" s="124"/>
      <c r="M971" s="124"/>
      <c r="N971" s="124"/>
      <c r="O971" s="124"/>
      <c r="P971" s="124"/>
      <c r="Q971" s="124"/>
      <c r="R971" s="124"/>
      <c r="S971" s="124"/>
      <c r="T971" s="124"/>
      <c r="U971" s="124"/>
      <c r="V971" s="124"/>
      <c r="W971" s="124"/>
      <c r="X971" s="124"/>
      <c r="Y971" s="124"/>
      <c r="Z971" s="124"/>
    </row>
    <row r="972" ht="29.25" customHeight="1">
      <c r="A972" s="124"/>
      <c r="B972" s="124"/>
      <c r="C972" s="124"/>
      <c r="D972" s="124"/>
      <c r="E972" s="124"/>
      <c r="F972" s="124"/>
      <c r="G972" s="124"/>
      <c r="H972" s="124"/>
      <c r="I972" s="126"/>
      <c r="J972" s="124"/>
      <c r="K972" s="124"/>
      <c r="L972" s="124"/>
      <c r="M972" s="124"/>
      <c r="N972" s="124"/>
      <c r="O972" s="124"/>
      <c r="P972" s="124"/>
      <c r="Q972" s="124"/>
      <c r="R972" s="124"/>
      <c r="S972" s="124"/>
      <c r="T972" s="124"/>
      <c r="U972" s="124"/>
      <c r="V972" s="124"/>
      <c r="W972" s="124"/>
      <c r="X972" s="124"/>
      <c r="Y972" s="124"/>
      <c r="Z972" s="124"/>
    </row>
    <row r="973" ht="29.25" customHeight="1">
      <c r="A973" s="124"/>
      <c r="B973" s="124"/>
      <c r="C973" s="124"/>
      <c r="D973" s="124"/>
      <c r="E973" s="124"/>
      <c r="F973" s="124"/>
      <c r="G973" s="124"/>
      <c r="H973" s="124"/>
      <c r="I973" s="126"/>
      <c r="J973" s="124"/>
      <c r="K973" s="124"/>
      <c r="L973" s="124"/>
      <c r="M973" s="124"/>
      <c r="N973" s="124"/>
      <c r="O973" s="124"/>
      <c r="P973" s="124"/>
      <c r="Q973" s="124"/>
      <c r="R973" s="124"/>
      <c r="S973" s="124"/>
      <c r="T973" s="124"/>
      <c r="U973" s="124"/>
      <c r="V973" s="124"/>
      <c r="W973" s="124"/>
      <c r="X973" s="124"/>
      <c r="Y973" s="124"/>
      <c r="Z973" s="124"/>
    </row>
    <row r="974" ht="29.25" customHeight="1">
      <c r="A974" s="124"/>
      <c r="B974" s="124"/>
      <c r="C974" s="124"/>
      <c r="D974" s="124"/>
      <c r="E974" s="124"/>
      <c r="F974" s="124"/>
      <c r="G974" s="124"/>
      <c r="H974" s="124"/>
      <c r="I974" s="126"/>
      <c r="J974" s="124"/>
      <c r="K974" s="124"/>
      <c r="L974" s="124"/>
      <c r="M974" s="124"/>
      <c r="N974" s="124"/>
      <c r="O974" s="124"/>
      <c r="P974" s="124"/>
      <c r="Q974" s="124"/>
      <c r="R974" s="124"/>
      <c r="S974" s="124"/>
      <c r="T974" s="124"/>
      <c r="U974" s="124"/>
      <c r="V974" s="124"/>
      <c r="W974" s="124"/>
      <c r="X974" s="124"/>
      <c r="Y974" s="124"/>
      <c r="Z974" s="124"/>
    </row>
    <row r="975" ht="29.25" customHeight="1">
      <c r="A975" s="124"/>
      <c r="B975" s="124"/>
      <c r="C975" s="124"/>
      <c r="D975" s="124"/>
      <c r="E975" s="124"/>
      <c r="F975" s="124"/>
      <c r="G975" s="124"/>
      <c r="H975" s="124"/>
      <c r="I975" s="126"/>
      <c r="J975" s="124"/>
      <c r="K975" s="124"/>
      <c r="L975" s="124"/>
      <c r="M975" s="124"/>
      <c r="N975" s="124"/>
      <c r="O975" s="124"/>
      <c r="P975" s="124"/>
      <c r="Q975" s="124"/>
      <c r="R975" s="124"/>
      <c r="S975" s="124"/>
      <c r="T975" s="124"/>
      <c r="U975" s="124"/>
      <c r="V975" s="124"/>
      <c r="W975" s="124"/>
      <c r="X975" s="124"/>
      <c r="Y975" s="124"/>
      <c r="Z975" s="124"/>
    </row>
    <row r="976" ht="29.25" customHeight="1">
      <c r="A976" s="124"/>
      <c r="B976" s="124"/>
      <c r="C976" s="124"/>
      <c r="D976" s="124"/>
      <c r="E976" s="124"/>
      <c r="F976" s="124"/>
      <c r="G976" s="124"/>
      <c r="H976" s="124"/>
      <c r="I976" s="126"/>
      <c r="J976" s="124"/>
      <c r="K976" s="124"/>
      <c r="L976" s="124"/>
      <c r="M976" s="124"/>
      <c r="N976" s="124"/>
      <c r="O976" s="124"/>
      <c r="P976" s="124"/>
      <c r="Q976" s="124"/>
      <c r="R976" s="124"/>
      <c r="S976" s="124"/>
      <c r="T976" s="124"/>
      <c r="U976" s="124"/>
      <c r="V976" s="124"/>
      <c r="W976" s="124"/>
      <c r="X976" s="124"/>
      <c r="Y976" s="124"/>
      <c r="Z976" s="124"/>
    </row>
    <row r="977" ht="29.25" customHeight="1">
      <c r="A977" s="124"/>
      <c r="B977" s="124"/>
      <c r="C977" s="124"/>
      <c r="D977" s="124"/>
      <c r="E977" s="124"/>
      <c r="F977" s="124"/>
      <c r="G977" s="124"/>
      <c r="H977" s="124"/>
      <c r="I977" s="126"/>
      <c r="J977" s="124"/>
      <c r="K977" s="124"/>
      <c r="L977" s="124"/>
      <c r="M977" s="124"/>
      <c r="N977" s="124"/>
      <c r="O977" s="124"/>
      <c r="P977" s="124"/>
      <c r="Q977" s="124"/>
      <c r="R977" s="124"/>
      <c r="S977" s="124"/>
      <c r="T977" s="124"/>
      <c r="U977" s="124"/>
      <c r="V977" s="124"/>
      <c r="W977" s="124"/>
      <c r="X977" s="124"/>
      <c r="Y977" s="124"/>
      <c r="Z977" s="124"/>
    </row>
    <row r="978" ht="29.25" customHeight="1">
      <c r="A978" s="124"/>
      <c r="B978" s="124"/>
      <c r="C978" s="124"/>
      <c r="D978" s="124"/>
      <c r="E978" s="124"/>
      <c r="F978" s="124"/>
      <c r="G978" s="124"/>
      <c r="H978" s="124"/>
      <c r="I978" s="126"/>
      <c r="J978" s="124"/>
      <c r="K978" s="124"/>
      <c r="L978" s="124"/>
      <c r="M978" s="124"/>
      <c r="N978" s="124"/>
      <c r="O978" s="124"/>
      <c r="P978" s="124"/>
      <c r="Q978" s="124"/>
      <c r="R978" s="124"/>
      <c r="S978" s="124"/>
      <c r="T978" s="124"/>
      <c r="U978" s="124"/>
      <c r="V978" s="124"/>
      <c r="W978" s="124"/>
      <c r="X978" s="124"/>
      <c r="Y978" s="124"/>
      <c r="Z978" s="124"/>
    </row>
    <row r="979" ht="29.25" customHeight="1">
      <c r="A979" s="124"/>
      <c r="B979" s="124"/>
      <c r="C979" s="124"/>
      <c r="D979" s="124"/>
      <c r="E979" s="124"/>
      <c r="F979" s="124"/>
      <c r="G979" s="124"/>
      <c r="H979" s="124"/>
      <c r="I979" s="126"/>
      <c r="J979" s="124"/>
      <c r="K979" s="124"/>
      <c r="L979" s="124"/>
      <c r="M979" s="124"/>
      <c r="N979" s="124"/>
      <c r="O979" s="124"/>
      <c r="P979" s="124"/>
      <c r="Q979" s="124"/>
      <c r="R979" s="124"/>
      <c r="S979" s="124"/>
      <c r="T979" s="124"/>
      <c r="U979" s="124"/>
      <c r="V979" s="124"/>
      <c r="W979" s="124"/>
      <c r="X979" s="124"/>
      <c r="Y979" s="124"/>
      <c r="Z979" s="124"/>
    </row>
    <row r="980" ht="29.25" customHeight="1">
      <c r="A980" s="124"/>
      <c r="B980" s="124"/>
      <c r="C980" s="124"/>
      <c r="D980" s="124"/>
      <c r="E980" s="124"/>
      <c r="F980" s="124"/>
      <c r="G980" s="124"/>
      <c r="H980" s="124"/>
      <c r="I980" s="126"/>
      <c r="J980" s="124"/>
      <c r="K980" s="124"/>
      <c r="L980" s="124"/>
      <c r="M980" s="124"/>
      <c r="N980" s="124"/>
      <c r="O980" s="124"/>
      <c r="P980" s="124"/>
      <c r="Q980" s="124"/>
      <c r="R980" s="124"/>
      <c r="S980" s="124"/>
      <c r="T980" s="124"/>
      <c r="U980" s="124"/>
      <c r="V980" s="124"/>
      <c r="W980" s="124"/>
      <c r="X980" s="124"/>
      <c r="Y980" s="124"/>
      <c r="Z980" s="124"/>
    </row>
    <row r="981" ht="29.25" customHeight="1">
      <c r="A981" s="124"/>
      <c r="B981" s="124"/>
      <c r="C981" s="124"/>
      <c r="D981" s="124"/>
      <c r="E981" s="124"/>
      <c r="F981" s="124"/>
      <c r="G981" s="124"/>
      <c r="H981" s="124"/>
      <c r="I981" s="126"/>
      <c r="J981" s="124"/>
      <c r="K981" s="124"/>
      <c r="L981" s="124"/>
      <c r="M981" s="124"/>
      <c r="N981" s="124"/>
      <c r="O981" s="124"/>
      <c r="P981" s="124"/>
      <c r="Q981" s="124"/>
      <c r="R981" s="124"/>
      <c r="S981" s="124"/>
      <c r="T981" s="124"/>
      <c r="U981" s="124"/>
      <c r="V981" s="124"/>
      <c r="W981" s="124"/>
      <c r="X981" s="124"/>
      <c r="Y981" s="124"/>
      <c r="Z981" s="124"/>
    </row>
    <row r="982" ht="29.25" customHeight="1">
      <c r="A982" s="124"/>
      <c r="B982" s="124"/>
      <c r="C982" s="124"/>
      <c r="D982" s="124"/>
      <c r="E982" s="124"/>
      <c r="F982" s="124"/>
      <c r="G982" s="124"/>
      <c r="H982" s="124"/>
      <c r="I982" s="126"/>
      <c r="J982" s="124"/>
      <c r="K982" s="124"/>
      <c r="L982" s="124"/>
      <c r="M982" s="124"/>
      <c r="N982" s="124"/>
      <c r="O982" s="124"/>
      <c r="P982" s="124"/>
      <c r="Q982" s="124"/>
      <c r="R982" s="124"/>
      <c r="S982" s="124"/>
      <c r="T982" s="124"/>
      <c r="U982" s="124"/>
      <c r="V982" s="124"/>
      <c r="W982" s="124"/>
      <c r="X982" s="124"/>
      <c r="Y982" s="124"/>
      <c r="Z982" s="124"/>
    </row>
    <row r="983" ht="29.25" customHeight="1">
      <c r="A983" s="124"/>
      <c r="B983" s="124"/>
      <c r="C983" s="124"/>
      <c r="D983" s="124"/>
      <c r="E983" s="124"/>
      <c r="F983" s="124"/>
      <c r="G983" s="124"/>
      <c r="H983" s="124"/>
      <c r="I983" s="126"/>
      <c r="J983" s="124"/>
      <c r="K983" s="124"/>
      <c r="L983" s="124"/>
      <c r="M983" s="124"/>
      <c r="N983" s="124"/>
      <c r="O983" s="124"/>
      <c r="P983" s="124"/>
      <c r="Q983" s="124"/>
      <c r="R983" s="124"/>
      <c r="S983" s="124"/>
      <c r="T983" s="124"/>
      <c r="U983" s="124"/>
      <c r="V983" s="124"/>
      <c r="W983" s="124"/>
      <c r="X983" s="124"/>
      <c r="Y983" s="124"/>
      <c r="Z983" s="124"/>
    </row>
    <row r="984" ht="29.25" customHeight="1">
      <c r="A984" s="124"/>
      <c r="B984" s="124"/>
      <c r="C984" s="124"/>
      <c r="D984" s="124"/>
      <c r="E984" s="124"/>
      <c r="F984" s="124"/>
      <c r="G984" s="124"/>
      <c r="H984" s="124"/>
      <c r="I984" s="126"/>
      <c r="J984" s="124"/>
      <c r="K984" s="124"/>
      <c r="L984" s="124"/>
      <c r="M984" s="124"/>
      <c r="N984" s="124"/>
      <c r="O984" s="124"/>
      <c r="P984" s="124"/>
      <c r="Q984" s="124"/>
      <c r="R984" s="124"/>
      <c r="S984" s="124"/>
      <c r="T984" s="124"/>
      <c r="U984" s="124"/>
      <c r="V984" s="124"/>
      <c r="W984" s="124"/>
      <c r="X984" s="124"/>
      <c r="Y984" s="124"/>
      <c r="Z984" s="124"/>
    </row>
    <row r="985" ht="29.25" customHeight="1">
      <c r="A985" s="124"/>
      <c r="B985" s="124"/>
      <c r="C985" s="124"/>
      <c r="D985" s="124"/>
      <c r="E985" s="124"/>
      <c r="F985" s="124"/>
      <c r="G985" s="124"/>
      <c r="H985" s="124"/>
      <c r="I985" s="126"/>
      <c r="J985" s="124"/>
      <c r="K985" s="124"/>
      <c r="L985" s="124"/>
      <c r="M985" s="124"/>
      <c r="N985" s="124"/>
      <c r="O985" s="124"/>
      <c r="P985" s="124"/>
      <c r="Q985" s="124"/>
      <c r="R985" s="124"/>
      <c r="S985" s="124"/>
      <c r="T985" s="124"/>
      <c r="U985" s="124"/>
      <c r="V985" s="124"/>
      <c r="W985" s="124"/>
      <c r="X985" s="124"/>
      <c r="Y985" s="124"/>
      <c r="Z985" s="124"/>
    </row>
    <row r="986" ht="29.25" customHeight="1">
      <c r="A986" s="124"/>
      <c r="B986" s="124"/>
      <c r="C986" s="124"/>
      <c r="D986" s="124"/>
      <c r="E986" s="124"/>
      <c r="F986" s="124"/>
      <c r="G986" s="124"/>
      <c r="H986" s="124"/>
      <c r="I986" s="126"/>
      <c r="J986" s="124"/>
      <c r="K986" s="124"/>
      <c r="L986" s="124"/>
      <c r="M986" s="124"/>
      <c r="N986" s="124"/>
      <c r="O986" s="124"/>
      <c r="P986" s="124"/>
      <c r="Q986" s="124"/>
      <c r="R986" s="124"/>
      <c r="S986" s="124"/>
      <c r="T986" s="124"/>
      <c r="U986" s="124"/>
      <c r="V986" s="124"/>
      <c r="W986" s="124"/>
      <c r="X986" s="124"/>
      <c r="Y986" s="124"/>
      <c r="Z986" s="124"/>
    </row>
    <row r="987" ht="29.25" customHeight="1">
      <c r="A987" s="124"/>
      <c r="B987" s="124"/>
      <c r="C987" s="124"/>
      <c r="D987" s="124"/>
      <c r="E987" s="124"/>
      <c r="F987" s="124"/>
      <c r="G987" s="124"/>
      <c r="H987" s="124"/>
      <c r="I987" s="126"/>
      <c r="J987" s="124"/>
      <c r="K987" s="124"/>
      <c r="L987" s="124"/>
      <c r="M987" s="124"/>
      <c r="N987" s="124"/>
      <c r="O987" s="124"/>
      <c r="P987" s="124"/>
      <c r="Q987" s="124"/>
      <c r="R987" s="124"/>
      <c r="S987" s="124"/>
      <c r="T987" s="124"/>
      <c r="U987" s="124"/>
      <c r="V987" s="124"/>
      <c r="W987" s="124"/>
      <c r="X987" s="124"/>
      <c r="Y987" s="124"/>
      <c r="Z987" s="124"/>
    </row>
    <row r="988" ht="29.25" customHeight="1">
      <c r="A988" s="124"/>
      <c r="B988" s="124"/>
      <c r="C988" s="124"/>
      <c r="D988" s="124"/>
      <c r="E988" s="124"/>
      <c r="F988" s="124"/>
      <c r="G988" s="124"/>
      <c r="H988" s="124"/>
      <c r="I988" s="126"/>
      <c r="J988" s="124"/>
      <c r="K988" s="124"/>
      <c r="L988" s="124"/>
      <c r="M988" s="124"/>
      <c r="N988" s="124"/>
      <c r="O988" s="124"/>
      <c r="P988" s="124"/>
      <c r="Q988" s="124"/>
      <c r="R988" s="124"/>
      <c r="S988" s="124"/>
      <c r="T988" s="124"/>
      <c r="U988" s="124"/>
      <c r="V988" s="124"/>
      <c r="W988" s="124"/>
      <c r="X988" s="124"/>
      <c r="Y988" s="124"/>
      <c r="Z988" s="124"/>
    </row>
    <row r="989" ht="29.25" customHeight="1">
      <c r="A989" s="124"/>
      <c r="B989" s="124"/>
      <c r="C989" s="124"/>
      <c r="D989" s="124"/>
      <c r="E989" s="124"/>
      <c r="F989" s="124"/>
      <c r="G989" s="124"/>
      <c r="H989" s="124"/>
      <c r="I989" s="126"/>
      <c r="J989" s="124"/>
      <c r="K989" s="124"/>
      <c r="L989" s="124"/>
      <c r="M989" s="124"/>
      <c r="N989" s="124"/>
      <c r="O989" s="124"/>
      <c r="P989" s="124"/>
      <c r="Q989" s="124"/>
      <c r="R989" s="124"/>
      <c r="S989" s="124"/>
      <c r="T989" s="124"/>
      <c r="U989" s="124"/>
      <c r="V989" s="124"/>
      <c r="W989" s="124"/>
      <c r="X989" s="124"/>
      <c r="Y989" s="124"/>
      <c r="Z989" s="124"/>
    </row>
    <row r="990" ht="29.25" customHeight="1">
      <c r="A990" s="124"/>
      <c r="B990" s="124"/>
      <c r="C990" s="124"/>
      <c r="D990" s="124"/>
      <c r="E990" s="124"/>
      <c r="F990" s="124"/>
      <c r="G990" s="124"/>
      <c r="H990" s="124"/>
      <c r="I990" s="126"/>
      <c r="J990" s="124"/>
      <c r="K990" s="124"/>
      <c r="L990" s="124"/>
      <c r="M990" s="124"/>
      <c r="N990" s="124"/>
      <c r="O990" s="124"/>
      <c r="P990" s="124"/>
      <c r="Q990" s="124"/>
      <c r="R990" s="124"/>
      <c r="S990" s="124"/>
      <c r="T990" s="124"/>
      <c r="U990" s="124"/>
      <c r="V990" s="124"/>
      <c r="W990" s="124"/>
      <c r="X990" s="124"/>
      <c r="Y990" s="124"/>
      <c r="Z990" s="124"/>
    </row>
    <row r="991" ht="29.25" customHeight="1">
      <c r="A991" s="124"/>
      <c r="B991" s="124"/>
      <c r="C991" s="124"/>
      <c r="D991" s="124"/>
      <c r="E991" s="124"/>
      <c r="F991" s="124"/>
      <c r="G991" s="124"/>
      <c r="H991" s="124"/>
      <c r="I991" s="126"/>
      <c r="J991" s="124"/>
      <c r="K991" s="124"/>
      <c r="L991" s="124"/>
      <c r="M991" s="124"/>
      <c r="N991" s="124"/>
      <c r="O991" s="124"/>
      <c r="P991" s="124"/>
      <c r="Q991" s="124"/>
      <c r="R991" s="124"/>
      <c r="S991" s="124"/>
      <c r="T991" s="124"/>
      <c r="U991" s="124"/>
      <c r="V991" s="124"/>
      <c r="W991" s="124"/>
      <c r="X991" s="124"/>
      <c r="Y991" s="124"/>
      <c r="Z991" s="124"/>
    </row>
    <row r="992" ht="29.25" customHeight="1">
      <c r="A992" s="124"/>
      <c r="B992" s="124"/>
      <c r="C992" s="124"/>
      <c r="D992" s="124"/>
      <c r="E992" s="124"/>
      <c r="F992" s="124"/>
      <c r="G992" s="124"/>
      <c r="H992" s="124"/>
      <c r="I992" s="126"/>
      <c r="J992" s="124"/>
      <c r="K992" s="124"/>
      <c r="L992" s="124"/>
      <c r="M992" s="124"/>
      <c r="N992" s="124"/>
      <c r="O992" s="124"/>
      <c r="P992" s="124"/>
      <c r="Q992" s="124"/>
      <c r="R992" s="124"/>
      <c r="S992" s="124"/>
      <c r="T992" s="124"/>
      <c r="U992" s="124"/>
      <c r="V992" s="124"/>
      <c r="W992" s="124"/>
      <c r="X992" s="124"/>
      <c r="Y992" s="124"/>
      <c r="Z992" s="124"/>
    </row>
    <row r="993" ht="29.25" customHeight="1">
      <c r="A993" s="124"/>
      <c r="B993" s="124"/>
      <c r="C993" s="124"/>
      <c r="D993" s="124"/>
      <c r="E993" s="124"/>
      <c r="F993" s="124"/>
      <c r="G993" s="124"/>
      <c r="H993" s="124"/>
      <c r="I993" s="126"/>
      <c r="J993" s="124"/>
      <c r="K993" s="124"/>
      <c r="L993" s="124"/>
      <c r="M993" s="124"/>
      <c r="N993" s="124"/>
      <c r="O993" s="124"/>
      <c r="P993" s="124"/>
      <c r="Q993" s="124"/>
      <c r="R993" s="124"/>
      <c r="S993" s="124"/>
      <c r="T993" s="124"/>
      <c r="U993" s="124"/>
      <c r="V993" s="124"/>
      <c r="W993" s="124"/>
      <c r="X993" s="124"/>
      <c r="Y993" s="124"/>
      <c r="Z993" s="124"/>
    </row>
    <row r="994" ht="29.25" customHeight="1">
      <c r="A994" s="124"/>
      <c r="B994" s="124"/>
      <c r="C994" s="124"/>
      <c r="D994" s="124"/>
      <c r="E994" s="124"/>
      <c r="F994" s="124"/>
      <c r="G994" s="124"/>
      <c r="H994" s="124"/>
      <c r="I994" s="126"/>
      <c r="J994" s="124"/>
      <c r="K994" s="124"/>
      <c r="L994" s="124"/>
      <c r="M994" s="124"/>
      <c r="N994" s="124"/>
      <c r="O994" s="124"/>
      <c r="P994" s="124"/>
      <c r="Q994" s="124"/>
      <c r="R994" s="124"/>
      <c r="S994" s="124"/>
      <c r="T994" s="124"/>
      <c r="U994" s="124"/>
      <c r="V994" s="124"/>
      <c r="W994" s="124"/>
      <c r="X994" s="124"/>
      <c r="Y994" s="124"/>
      <c r="Z994" s="124"/>
    </row>
    <row r="995" ht="29.25" customHeight="1">
      <c r="A995" s="124"/>
      <c r="B995" s="124"/>
      <c r="C995" s="124"/>
      <c r="D995" s="124"/>
      <c r="E995" s="124"/>
      <c r="F995" s="124"/>
      <c r="G995" s="124"/>
      <c r="H995" s="124"/>
      <c r="I995" s="126"/>
      <c r="J995" s="124"/>
      <c r="K995" s="124"/>
      <c r="L995" s="124"/>
      <c r="M995" s="124"/>
      <c r="N995" s="124"/>
      <c r="O995" s="124"/>
      <c r="P995" s="124"/>
      <c r="Q995" s="124"/>
      <c r="R995" s="124"/>
      <c r="S995" s="124"/>
      <c r="T995" s="124"/>
      <c r="U995" s="124"/>
      <c r="V995" s="124"/>
      <c r="W995" s="124"/>
      <c r="X995" s="124"/>
      <c r="Y995" s="124"/>
      <c r="Z995" s="124"/>
    </row>
    <row r="996" ht="29.25" customHeight="1">
      <c r="A996" s="124"/>
      <c r="B996" s="124"/>
      <c r="C996" s="124"/>
      <c r="D996" s="124"/>
      <c r="E996" s="124"/>
      <c r="F996" s="124"/>
      <c r="G996" s="124"/>
      <c r="H996" s="124"/>
      <c r="I996" s="126"/>
      <c r="J996" s="124"/>
      <c r="K996" s="124"/>
      <c r="L996" s="124"/>
      <c r="M996" s="124"/>
      <c r="N996" s="124"/>
      <c r="O996" s="124"/>
      <c r="P996" s="124"/>
      <c r="Q996" s="124"/>
      <c r="R996" s="124"/>
      <c r="S996" s="124"/>
      <c r="T996" s="124"/>
      <c r="U996" s="124"/>
      <c r="V996" s="124"/>
      <c r="W996" s="124"/>
      <c r="X996" s="124"/>
      <c r="Y996" s="124"/>
      <c r="Z996" s="124"/>
    </row>
    <row r="997" ht="29.25" customHeight="1">
      <c r="A997" s="124"/>
      <c r="B997" s="124"/>
      <c r="C997" s="124"/>
      <c r="D997" s="124"/>
      <c r="E997" s="124"/>
      <c r="F997" s="124"/>
      <c r="G997" s="124"/>
      <c r="H997" s="124"/>
      <c r="I997" s="126"/>
      <c r="J997" s="124"/>
      <c r="K997" s="124"/>
      <c r="L997" s="124"/>
      <c r="M997" s="124"/>
      <c r="N997" s="124"/>
      <c r="O997" s="124"/>
      <c r="P997" s="124"/>
      <c r="Q997" s="124"/>
      <c r="R997" s="124"/>
      <c r="S997" s="124"/>
      <c r="T997" s="124"/>
      <c r="U997" s="124"/>
      <c r="V997" s="124"/>
      <c r="W997" s="124"/>
      <c r="X997" s="124"/>
      <c r="Y997" s="124"/>
      <c r="Z997" s="124"/>
    </row>
    <row r="998" ht="29.25" customHeight="1">
      <c r="A998" s="124"/>
      <c r="B998" s="124"/>
      <c r="C998" s="124"/>
      <c r="D998" s="124"/>
      <c r="E998" s="124"/>
      <c r="F998" s="124"/>
      <c r="G998" s="124"/>
      <c r="H998" s="124"/>
      <c r="I998" s="126"/>
      <c r="J998" s="124"/>
      <c r="K998" s="124"/>
      <c r="L998" s="124"/>
      <c r="M998" s="124"/>
      <c r="N998" s="124"/>
      <c r="O998" s="124"/>
      <c r="P998" s="124"/>
      <c r="Q998" s="124"/>
      <c r="R998" s="124"/>
      <c r="S998" s="124"/>
      <c r="T998" s="124"/>
      <c r="U998" s="124"/>
      <c r="V998" s="124"/>
      <c r="W998" s="124"/>
      <c r="X998" s="124"/>
      <c r="Y998" s="124"/>
      <c r="Z998" s="124"/>
    </row>
    <row r="999" ht="29.25" customHeight="1">
      <c r="A999" s="124"/>
      <c r="B999" s="124"/>
      <c r="C999" s="124"/>
      <c r="D999" s="124"/>
      <c r="E999" s="124"/>
      <c r="F999" s="124"/>
      <c r="G999" s="124"/>
      <c r="H999" s="124"/>
      <c r="I999" s="126"/>
      <c r="J999" s="124"/>
      <c r="K999" s="124"/>
      <c r="L999" s="124"/>
      <c r="M999" s="124"/>
      <c r="N999" s="124"/>
      <c r="O999" s="124"/>
      <c r="P999" s="124"/>
      <c r="Q999" s="124"/>
      <c r="R999" s="124"/>
      <c r="S999" s="124"/>
      <c r="T999" s="124"/>
      <c r="U999" s="124"/>
      <c r="V999" s="124"/>
      <c r="W999" s="124"/>
      <c r="X999" s="124"/>
      <c r="Y999" s="124"/>
      <c r="Z999" s="124"/>
    </row>
    <row r="1000" ht="29.25" customHeight="1">
      <c r="A1000" s="124"/>
      <c r="B1000" s="124"/>
      <c r="C1000" s="124"/>
      <c r="D1000" s="124"/>
      <c r="E1000" s="124"/>
      <c r="F1000" s="124"/>
      <c r="G1000" s="124"/>
      <c r="H1000" s="124"/>
      <c r="I1000" s="126"/>
      <c r="J1000" s="124"/>
      <c r="K1000" s="124"/>
      <c r="L1000" s="124"/>
      <c r="M1000" s="124"/>
      <c r="N1000" s="124"/>
      <c r="O1000" s="124"/>
      <c r="P1000" s="124"/>
      <c r="Q1000" s="124"/>
      <c r="R1000" s="124"/>
      <c r="S1000" s="124"/>
      <c r="T1000" s="124"/>
      <c r="U1000" s="124"/>
      <c r="V1000" s="124"/>
      <c r="W1000" s="124"/>
      <c r="X1000" s="124"/>
      <c r="Y1000" s="124"/>
      <c r="Z1000" s="124"/>
    </row>
  </sheetData>
  <hyperlinks>
    <hyperlink r:id="rId1" ref="K5"/>
  </hyperlinks>
  <drawing r:id="rId2"/>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3.44" defaultRowHeight="15.0"/>
  <cols>
    <col customWidth="1" min="1" max="1" width="45.78"/>
    <col customWidth="1" min="2" max="6" width="17.44"/>
    <col customWidth="1" min="7" max="7" width="11.0"/>
    <col customWidth="1" min="8" max="9" width="17.44"/>
    <col customWidth="1" min="10" max="10" width="52.44"/>
    <col customWidth="1" min="11" max="26" width="17.44"/>
  </cols>
  <sheetData>
    <row r="1" ht="168.75" customHeight="1">
      <c r="A1" s="288" t="s">
        <v>7166</v>
      </c>
      <c r="B1" s="289" t="s">
        <v>8844</v>
      </c>
      <c r="C1" s="289" t="s">
        <v>6441</v>
      </c>
      <c r="D1" s="289" t="s">
        <v>24</v>
      </c>
      <c r="E1" s="289"/>
      <c r="F1" s="289"/>
      <c r="G1" s="289"/>
      <c r="H1" s="289"/>
      <c r="I1" s="289"/>
      <c r="J1" s="289"/>
      <c r="K1" s="289"/>
      <c r="L1" s="290"/>
      <c r="M1" s="291"/>
      <c r="N1" s="292"/>
      <c r="O1" s="288"/>
      <c r="P1" s="288"/>
      <c r="Q1" s="288"/>
      <c r="R1" s="288"/>
      <c r="S1" s="288"/>
      <c r="T1" s="288"/>
      <c r="U1" s="288"/>
      <c r="V1" s="288"/>
      <c r="W1" s="288"/>
      <c r="X1" s="288"/>
      <c r="Y1" s="288"/>
      <c r="Z1" s="288"/>
    </row>
    <row r="2" ht="29.25" customHeight="1">
      <c r="A2" s="109" t="s">
        <v>3436</v>
      </c>
      <c r="B2" s="109" t="s">
        <v>8845</v>
      </c>
      <c r="C2" s="112" t="s">
        <v>3438</v>
      </c>
      <c r="D2" s="109" t="s">
        <v>8846</v>
      </c>
      <c r="E2" s="109"/>
      <c r="F2" s="131"/>
      <c r="G2" s="109"/>
      <c r="H2" s="109"/>
      <c r="I2" s="109"/>
      <c r="J2" s="109"/>
      <c r="K2" s="109"/>
      <c r="L2" s="109"/>
      <c r="M2" s="109"/>
      <c r="N2" s="109"/>
      <c r="O2" s="109"/>
      <c r="P2" s="109"/>
      <c r="Q2" s="109"/>
      <c r="R2" s="109"/>
      <c r="S2" s="109"/>
      <c r="T2" s="109"/>
      <c r="U2" s="109"/>
      <c r="V2" s="109"/>
      <c r="W2" s="109"/>
      <c r="X2" s="109"/>
      <c r="Y2" s="109"/>
      <c r="Z2" s="109"/>
    </row>
    <row r="3" ht="29.25" customHeight="1">
      <c r="A3" s="109"/>
      <c r="B3" s="109"/>
      <c r="C3" s="109"/>
      <c r="D3" s="109"/>
      <c r="E3" s="109"/>
      <c r="F3" s="109"/>
      <c r="G3" s="317"/>
      <c r="H3" s="109"/>
      <c r="I3" s="109"/>
      <c r="J3" s="109"/>
      <c r="K3" s="109"/>
      <c r="L3" s="109"/>
      <c r="M3" s="109"/>
      <c r="N3" s="109"/>
      <c r="O3" s="109"/>
      <c r="P3" s="109"/>
      <c r="Q3" s="109"/>
      <c r="R3" s="109"/>
      <c r="S3" s="109"/>
      <c r="T3" s="109"/>
      <c r="U3" s="109"/>
      <c r="V3" s="109"/>
      <c r="W3" s="109"/>
      <c r="X3" s="109"/>
      <c r="Y3" s="109"/>
      <c r="Z3" s="109"/>
    </row>
    <row r="4" ht="29.25" customHeight="1">
      <c r="A4" s="109"/>
      <c r="B4" s="109"/>
      <c r="C4" s="109"/>
      <c r="D4" s="109"/>
      <c r="E4" s="109"/>
      <c r="F4" s="109"/>
      <c r="G4" s="317"/>
      <c r="H4" s="109"/>
      <c r="I4" s="109"/>
      <c r="J4" s="109"/>
      <c r="K4" s="109"/>
      <c r="L4" s="109"/>
      <c r="M4" s="109"/>
      <c r="N4" s="109"/>
      <c r="O4" s="109"/>
      <c r="P4" s="109"/>
      <c r="Q4" s="109"/>
      <c r="R4" s="109"/>
      <c r="S4" s="109"/>
      <c r="T4" s="109"/>
      <c r="U4" s="109"/>
      <c r="V4" s="109"/>
      <c r="W4" s="109"/>
      <c r="X4" s="109"/>
      <c r="Y4" s="109"/>
      <c r="Z4" s="109"/>
    </row>
    <row r="5" ht="29.25" customHeight="1">
      <c r="A5" s="109"/>
      <c r="B5" s="109"/>
      <c r="C5" s="109"/>
      <c r="D5" s="109"/>
      <c r="E5" s="109"/>
      <c r="F5" s="109"/>
      <c r="G5" s="317"/>
      <c r="H5" s="109"/>
      <c r="I5" s="109"/>
      <c r="J5" s="109"/>
      <c r="K5" s="109"/>
      <c r="L5" s="109"/>
      <c r="M5" s="109"/>
      <c r="N5" s="109"/>
      <c r="O5" s="109"/>
      <c r="P5" s="109"/>
      <c r="Q5" s="109"/>
      <c r="R5" s="109"/>
      <c r="S5" s="109"/>
      <c r="T5" s="109"/>
      <c r="U5" s="109"/>
      <c r="V5" s="109"/>
      <c r="W5" s="109"/>
      <c r="X5" s="109"/>
      <c r="Y5" s="109"/>
      <c r="Z5" s="109"/>
    </row>
    <row r="6" ht="29.25" customHeight="1">
      <c r="A6" s="109"/>
      <c r="B6" s="109"/>
      <c r="C6" s="109"/>
      <c r="D6" s="109"/>
      <c r="E6" s="109"/>
      <c r="F6" s="109"/>
      <c r="G6" s="317"/>
      <c r="H6" s="109"/>
      <c r="I6" s="109"/>
      <c r="J6" s="109"/>
      <c r="K6" s="109"/>
      <c r="L6" s="109"/>
      <c r="M6" s="109"/>
      <c r="N6" s="109"/>
      <c r="O6" s="109"/>
      <c r="P6" s="109"/>
      <c r="Q6" s="109"/>
      <c r="R6" s="109"/>
      <c r="S6" s="109"/>
      <c r="T6" s="109"/>
      <c r="U6" s="109"/>
      <c r="V6" s="109"/>
      <c r="W6" s="109"/>
      <c r="X6" s="109"/>
      <c r="Y6" s="109"/>
      <c r="Z6" s="109"/>
    </row>
    <row r="7" ht="29.25" customHeight="1">
      <c r="A7" s="109"/>
      <c r="B7" s="109"/>
      <c r="C7" s="109"/>
      <c r="D7" s="109"/>
      <c r="E7" s="109"/>
      <c r="F7" s="109"/>
      <c r="G7" s="317"/>
      <c r="H7" s="109"/>
      <c r="I7" s="109"/>
      <c r="J7" s="109"/>
      <c r="K7" s="109"/>
      <c r="L7" s="109"/>
      <c r="M7" s="109"/>
      <c r="N7" s="109"/>
      <c r="O7" s="109"/>
      <c r="P7" s="109"/>
      <c r="Q7" s="109"/>
      <c r="R7" s="109"/>
      <c r="S7" s="109"/>
      <c r="T7" s="109"/>
      <c r="U7" s="109"/>
      <c r="V7" s="109"/>
      <c r="W7" s="109"/>
      <c r="X7" s="109"/>
      <c r="Y7" s="109"/>
      <c r="Z7" s="109"/>
    </row>
    <row r="8" ht="29.25" customHeight="1">
      <c r="A8" s="109"/>
      <c r="B8" s="109"/>
      <c r="C8" s="109"/>
      <c r="D8" s="109"/>
      <c r="E8" s="109"/>
      <c r="F8" s="109"/>
      <c r="G8" s="317"/>
      <c r="H8" s="109"/>
      <c r="I8" s="109"/>
      <c r="J8" s="109"/>
      <c r="K8" s="109"/>
      <c r="L8" s="109"/>
      <c r="M8" s="109"/>
      <c r="N8" s="109"/>
      <c r="O8" s="109"/>
      <c r="P8" s="109"/>
      <c r="Q8" s="109"/>
      <c r="R8" s="109"/>
      <c r="S8" s="109"/>
      <c r="T8" s="109"/>
      <c r="U8" s="109"/>
      <c r="V8" s="109"/>
      <c r="W8" s="109"/>
      <c r="X8" s="109"/>
      <c r="Y8" s="109"/>
      <c r="Z8" s="109"/>
    </row>
    <row r="9" ht="29.25" customHeight="1">
      <c r="A9" s="109"/>
      <c r="B9" s="109"/>
      <c r="C9" s="109"/>
      <c r="D9" s="109"/>
      <c r="E9" s="109"/>
      <c r="F9" s="109"/>
      <c r="G9" s="317"/>
      <c r="H9" s="109"/>
      <c r="I9" s="109"/>
      <c r="J9" s="109"/>
      <c r="K9" s="109"/>
      <c r="L9" s="109"/>
      <c r="M9" s="109"/>
      <c r="N9" s="109"/>
      <c r="O9" s="109"/>
      <c r="P9" s="109"/>
      <c r="Q9" s="109"/>
      <c r="R9" s="109"/>
      <c r="S9" s="109"/>
      <c r="T9" s="109"/>
      <c r="U9" s="109"/>
      <c r="V9" s="109"/>
      <c r="W9" s="109"/>
      <c r="X9" s="109"/>
      <c r="Y9" s="109"/>
      <c r="Z9" s="109"/>
    </row>
    <row r="10" ht="29.25" customHeight="1">
      <c r="A10" s="109"/>
      <c r="B10" s="109"/>
      <c r="C10" s="109"/>
      <c r="D10" s="109"/>
      <c r="E10" s="109"/>
      <c r="F10" s="109"/>
      <c r="G10" s="317"/>
      <c r="H10" s="109"/>
      <c r="I10" s="109"/>
      <c r="J10" s="109"/>
      <c r="K10" s="109"/>
      <c r="L10" s="109"/>
      <c r="M10" s="109"/>
      <c r="N10" s="109"/>
      <c r="O10" s="109"/>
      <c r="P10" s="109"/>
      <c r="Q10" s="109"/>
      <c r="R10" s="109"/>
      <c r="S10" s="109"/>
      <c r="T10" s="109"/>
      <c r="U10" s="109"/>
      <c r="V10" s="109"/>
      <c r="W10" s="109"/>
      <c r="X10" s="109"/>
      <c r="Y10" s="109"/>
      <c r="Z10" s="109"/>
    </row>
    <row r="11" ht="29.25" customHeight="1">
      <c r="A11" s="109"/>
      <c r="B11" s="109"/>
      <c r="C11" s="109"/>
      <c r="D11" s="109"/>
      <c r="E11" s="109"/>
      <c r="F11" s="109"/>
      <c r="G11" s="317"/>
      <c r="H11" s="109"/>
      <c r="I11" s="109"/>
      <c r="J11" s="109"/>
      <c r="K11" s="109"/>
      <c r="L11" s="109"/>
      <c r="M11" s="109"/>
      <c r="N11" s="109"/>
      <c r="O11" s="109"/>
      <c r="P11" s="109"/>
      <c r="Q11" s="109"/>
      <c r="R11" s="109"/>
      <c r="S11" s="109"/>
      <c r="T11" s="109"/>
      <c r="U11" s="109"/>
      <c r="V11" s="109"/>
      <c r="W11" s="109"/>
      <c r="X11" s="109"/>
      <c r="Y11" s="109"/>
      <c r="Z11" s="109"/>
    </row>
    <row r="12" ht="29.25" customHeight="1">
      <c r="A12" s="109"/>
      <c r="B12" s="109"/>
      <c r="C12" s="109"/>
      <c r="D12" s="109"/>
      <c r="E12" s="109"/>
      <c r="F12" s="109"/>
      <c r="G12" s="317"/>
      <c r="H12" s="109"/>
      <c r="I12" s="109"/>
      <c r="J12" s="109"/>
      <c r="K12" s="109"/>
      <c r="L12" s="109"/>
      <c r="M12" s="109"/>
      <c r="N12" s="109"/>
      <c r="O12" s="109"/>
      <c r="P12" s="109"/>
      <c r="Q12" s="109"/>
      <c r="R12" s="109"/>
      <c r="S12" s="109"/>
      <c r="T12" s="109"/>
      <c r="U12" s="109"/>
      <c r="V12" s="109"/>
      <c r="W12" s="109"/>
      <c r="X12" s="109"/>
      <c r="Y12" s="109"/>
      <c r="Z12" s="109"/>
    </row>
    <row r="13" ht="29.25" customHeight="1">
      <c r="A13" s="109"/>
      <c r="B13" s="109"/>
      <c r="C13" s="109"/>
      <c r="D13" s="109"/>
      <c r="E13" s="109"/>
      <c r="F13" s="109"/>
      <c r="G13" s="317"/>
      <c r="H13" s="109"/>
      <c r="I13" s="109"/>
      <c r="J13" s="109"/>
      <c r="K13" s="109"/>
      <c r="L13" s="109"/>
      <c r="M13" s="109"/>
      <c r="N13" s="109"/>
      <c r="O13" s="109"/>
      <c r="P13" s="109"/>
      <c r="Q13" s="109"/>
      <c r="R13" s="109"/>
      <c r="S13" s="109"/>
      <c r="T13" s="109"/>
      <c r="U13" s="109"/>
      <c r="V13" s="109"/>
      <c r="W13" s="109"/>
      <c r="X13" s="109"/>
      <c r="Y13" s="109"/>
      <c r="Z13" s="109"/>
    </row>
    <row r="14" ht="29.25" customHeight="1">
      <c r="A14" s="109"/>
      <c r="B14" s="109"/>
      <c r="C14" s="109"/>
      <c r="D14" s="109"/>
      <c r="E14" s="109"/>
      <c r="F14" s="109"/>
      <c r="G14" s="317"/>
      <c r="H14" s="109"/>
      <c r="I14" s="109"/>
      <c r="J14" s="109"/>
      <c r="K14" s="109"/>
      <c r="L14" s="109"/>
      <c r="M14" s="109"/>
      <c r="N14" s="109"/>
      <c r="O14" s="109"/>
      <c r="P14" s="109"/>
      <c r="Q14" s="109"/>
      <c r="R14" s="109"/>
      <c r="S14" s="109"/>
      <c r="T14" s="109"/>
      <c r="U14" s="109"/>
      <c r="V14" s="109"/>
      <c r="W14" s="109"/>
      <c r="X14" s="109"/>
      <c r="Y14" s="109"/>
      <c r="Z14" s="109"/>
    </row>
    <row r="15" ht="29.25" customHeight="1">
      <c r="A15" s="109"/>
      <c r="B15" s="109"/>
      <c r="C15" s="109"/>
      <c r="D15" s="109"/>
      <c r="E15" s="109"/>
      <c r="F15" s="109"/>
      <c r="G15" s="317"/>
      <c r="H15" s="109"/>
      <c r="I15" s="109"/>
      <c r="J15" s="109"/>
      <c r="K15" s="109"/>
      <c r="L15" s="109"/>
      <c r="M15" s="109"/>
      <c r="N15" s="109"/>
      <c r="O15" s="109"/>
      <c r="P15" s="109"/>
      <c r="Q15" s="109"/>
      <c r="R15" s="109"/>
      <c r="S15" s="109"/>
      <c r="T15" s="109"/>
      <c r="U15" s="109"/>
      <c r="V15" s="109"/>
      <c r="W15" s="109"/>
      <c r="X15" s="109"/>
      <c r="Y15" s="109"/>
      <c r="Z15" s="109"/>
    </row>
    <row r="16" ht="29.25" customHeight="1">
      <c r="A16" s="109"/>
      <c r="B16" s="109"/>
      <c r="C16" s="109"/>
      <c r="D16" s="109"/>
      <c r="E16" s="109"/>
      <c r="F16" s="109"/>
      <c r="G16" s="317"/>
      <c r="H16" s="109"/>
      <c r="I16" s="109"/>
      <c r="J16" s="109"/>
      <c r="K16" s="109"/>
      <c r="L16" s="109"/>
      <c r="M16" s="109"/>
      <c r="N16" s="109"/>
      <c r="O16" s="109"/>
      <c r="P16" s="109"/>
      <c r="Q16" s="109"/>
      <c r="R16" s="109"/>
      <c r="S16" s="109"/>
      <c r="T16" s="109"/>
      <c r="U16" s="109"/>
      <c r="V16" s="109"/>
      <c r="W16" s="109"/>
      <c r="X16" s="109"/>
      <c r="Y16" s="109"/>
      <c r="Z16" s="109"/>
    </row>
    <row r="17" ht="29.25" customHeight="1">
      <c r="A17" s="109"/>
      <c r="B17" s="109"/>
      <c r="C17" s="109"/>
      <c r="D17" s="109"/>
      <c r="E17" s="109"/>
      <c r="F17" s="109"/>
      <c r="G17" s="317"/>
      <c r="H17" s="109"/>
      <c r="I17" s="109"/>
      <c r="J17" s="109"/>
      <c r="K17" s="109"/>
      <c r="L17" s="109"/>
      <c r="M17" s="109"/>
      <c r="N17" s="109"/>
      <c r="O17" s="109"/>
      <c r="P17" s="109"/>
      <c r="Q17" s="109"/>
      <c r="R17" s="109"/>
      <c r="S17" s="109"/>
      <c r="T17" s="109"/>
      <c r="U17" s="109"/>
      <c r="V17" s="109"/>
      <c r="W17" s="109"/>
      <c r="X17" s="109"/>
      <c r="Y17" s="109"/>
      <c r="Z17" s="109"/>
    </row>
    <row r="18" ht="12.75" customHeight="1">
      <c r="A18" s="109"/>
      <c r="B18" s="109"/>
      <c r="C18" s="109"/>
      <c r="D18" s="109"/>
      <c r="E18" s="109"/>
      <c r="F18" s="109"/>
      <c r="G18" s="109"/>
      <c r="H18" s="109"/>
      <c r="I18" s="109"/>
      <c r="J18" s="109"/>
      <c r="K18" s="109"/>
      <c r="L18" s="109"/>
      <c r="M18" s="109"/>
      <c r="N18" s="109"/>
      <c r="O18" s="109"/>
      <c r="P18" s="109"/>
      <c r="Q18" s="109"/>
      <c r="R18" s="109"/>
      <c r="S18" s="109"/>
      <c r="T18" s="109"/>
      <c r="U18" s="109"/>
      <c r="V18" s="109"/>
      <c r="W18" s="109"/>
      <c r="X18" s="109"/>
      <c r="Y18" s="109"/>
      <c r="Z18" s="109"/>
    </row>
    <row r="19" ht="12.75" customHeight="1">
      <c r="A19" s="109"/>
      <c r="B19" s="109"/>
      <c r="C19" s="109"/>
      <c r="D19" s="109"/>
      <c r="E19" s="109"/>
      <c r="F19" s="109"/>
      <c r="G19" s="109"/>
      <c r="H19" s="109"/>
      <c r="I19" s="109"/>
      <c r="J19" s="109"/>
      <c r="K19" s="109"/>
      <c r="L19" s="109"/>
      <c r="M19" s="109"/>
      <c r="N19" s="109"/>
      <c r="O19" s="109"/>
      <c r="P19" s="109"/>
      <c r="Q19" s="109"/>
      <c r="R19" s="109"/>
      <c r="S19" s="109"/>
      <c r="T19" s="109"/>
      <c r="U19" s="109"/>
      <c r="V19" s="109"/>
      <c r="W19" s="109"/>
      <c r="X19" s="109"/>
      <c r="Y19" s="109"/>
      <c r="Z19" s="109"/>
    </row>
    <row r="20" ht="12.75" customHeight="1">
      <c r="A20" s="109"/>
      <c r="B20" s="109"/>
      <c r="C20" s="109"/>
      <c r="D20" s="109"/>
      <c r="E20" s="109"/>
      <c r="F20" s="109"/>
      <c r="G20" s="109"/>
      <c r="H20" s="109"/>
      <c r="I20" s="109"/>
      <c r="J20" s="109"/>
      <c r="K20" s="109"/>
      <c r="L20" s="109"/>
      <c r="M20" s="109"/>
      <c r="N20" s="109"/>
      <c r="O20" s="109"/>
      <c r="P20" s="109"/>
      <c r="Q20" s="109"/>
      <c r="R20" s="109"/>
      <c r="S20" s="109"/>
      <c r="T20" s="109"/>
      <c r="U20" s="109"/>
      <c r="V20" s="109"/>
      <c r="W20" s="109"/>
      <c r="X20" s="109"/>
      <c r="Y20" s="109"/>
      <c r="Z20" s="109"/>
    </row>
    <row r="21" ht="12.75" customHeight="1">
      <c r="A21" s="109"/>
      <c r="B21" s="109"/>
      <c r="C21" s="109"/>
      <c r="D21" s="109"/>
      <c r="E21" s="109"/>
      <c r="F21" s="109"/>
      <c r="G21" s="109"/>
      <c r="H21" s="109"/>
      <c r="I21" s="109"/>
      <c r="J21" s="109"/>
      <c r="K21" s="109"/>
      <c r="L21" s="109"/>
      <c r="M21" s="109"/>
      <c r="N21" s="109"/>
      <c r="O21" s="109"/>
      <c r="P21" s="109"/>
      <c r="Q21" s="109"/>
      <c r="R21" s="109"/>
      <c r="S21" s="109"/>
      <c r="T21" s="109"/>
      <c r="U21" s="109"/>
      <c r="V21" s="109"/>
      <c r="W21" s="109"/>
      <c r="X21" s="109"/>
      <c r="Y21" s="109"/>
      <c r="Z21" s="109"/>
    </row>
    <row r="22" ht="12.75" customHeight="1">
      <c r="A22" s="109"/>
      <c r="B22" s="109"/>
      <c r="C22" s="109"/>
      <c r="D22" s="109"/>
      <c r="E22" s="109"/>
      <c r="F22" s="109"/>
      <c r="G22" s="109"/>
      <c r="H22" s="109"/>
      <c r="I22" s="109"/>
      <c r="J22" s="109"/>
      <c r="K22" s="109"/>
      <c r="L22" s="109"/>
      <c r="M22" s="109"/>
      <c r="N22" s="109"/>
      <c r="O22" s="109"/>
      <c r="P22" s="109"/>
      <c r="Q22" s="109"/>
      <c r="R22" s="109"/>
      <c r="S22" s="109"/>
      <c r="T22" s="109"/>
      <c r="U22" s="109"/>
      <c r="V22" s="109"/>
      <c r="W22" s="109"/>
      <c r="X22" s="109"/>
      <c r="Y22" s="109"/>
      <c r="Z22" s="109"/>
    </row>
    <row r="23" ht="12.75" customHeight="1">
      <c r="A23" s="109"/>
      <c r="B23" s="109"/>
      <c r="C23" s="109"/>
      <c r="D23" s="109"/>
      <c r="E23" s="109"/>
      <c r="F23" s="109"/>
      <c r="G23" s="109"/>
      <c r="H23" s="109"/>
      <c r="I23" s="109"/>
      <c r="J23" s="109"/>
      <c r="K23" s="109"/>
      <c r="L23" s="109"/>
      <c r="M23" s="109"/>
      <c r="N23" s="109"/>
      <c r="O23" s="109"/>
      <c r="P23" s="109"/>
      <c r="Q23" s="109"/>
      <c r="R23" s="109"/>
      <c r="S23" s="109"/>
      <c r="T23" s="109"/>
      <c r="U23" s="109"/>
      <c r="V23" s="109"/>
      <c r="W23" s="109"/>
      <c r="X23" s="109"/>
      <c r="Y23" s="109"/>
      <c r="Z23" s="109"/>
    </row>
    <row r="24" ht="12.75" customHeight="1">
      <c r="A24" s="109"/>
      <c r="B24" s="109"/>
      <c r="C24" s="109"/>
      <c r="D24" s="109"/>
      <c r="E24" s="109"/>
      <c r="F24" s="109"/>
      <c r="G24" s="109"/>
      <c r="H24" s="109"/>
      <c r="I24" s="109"/>
      <c r="J24" s="109"/>
      <c r="K24" s="109"/>
      <c r="L24" s="109"/>
      <c r="M24" s="109"/>
      <c r="N24" s="109"/>
      <c r="O24" s="109"/>
      <c r="P24" s="109"/>
      <c r="Q24" s="109"/>
      <c r="R24" s="109"/>
      <c r="S24" s="109"/>
      <c r="T24" s="109"/>
      <c r="U24" s="109"/>
      <c r="V24" s="109"/>
      <c r="W24" s="109"/>
      <c r="X24" s="109"/>
      <c r="Y24" s="109"/>
      <c r="Z24" s="109"/>
    </row>
    <row r="25" ht="12.75" customHeight="1">
      <c r="A25" s="109"/>
      <c r="B25" s="109"/>
      <c r="C25" s="109"/>
      <c r="D25" s="109"/>
      <c r="E25" s="109"/>
      <c r="F25" s="109"/>
      <c r="G25" s="109"/>
      <c r="H25" s="109"/>
      <c r="I25" s="109"/>
      <c r="J25" s="109"/>
      <c r="K25" s="109"/>
      <c r="L25" s="109"/>
      <c r="M25" s="109"/>
      <c r="N25" s="109"/>
      <c r="O25" s="109"/>
      <c r="P25" s="109"/>
      <c r="Q25" s="109"/>
      <c r="R25" s="109"/>
      <c r="S25" s="109"/>
      <c r="T25" s="109"/>
      <c r="U25" s="109"/>
      <c r="V25" s="109"/>
      <c r="W25" s="109"/>
      <c r="X25" s="109"/>
      <c r="Y25" s="109"/>
      <c r="Z25" s="109"/>
    </row>
    <row r="26" ht="12.75" customHeight="1">
      <c r="A26" s="109"/>
      <c r="B26" s="109"/>
      <c r="C26" s="109"/>
      <c r="D26" s="109"/>
      <c r="E26" s="109"/>
      <c r="F26" s="109"/>
      <c r="G26" s="109"/>
      <c r="H26" s="109"/>
      <c r="I26" s="109"/>
      <c r="J26" s="109"/>
      <c r="K26" s="109"/>
      <c r="L26" s="109"/>
      <c r="M26" s="109"/>
      <c r="N26" s="109"/>
      <c r="O26" s="109"/>
      <c r="P26" s="109"/>
      <c r="Q26" s="109"/>
      <c r="R26" s="109"/>
      <c r="S26" s="109"/>
      <c r="T26" s="109"/>
      <c r="U26" s="109"/>
      <c r="V26" s="109"/>
      <c r="W26" s="109"/>
      <c r="X26" s="109"/>
      <c r="Y26" s="109"/>
      <c r="Z26" s="109"/>
    </row>
    <row r="27" ht="12.75" customHeight="1">
      <c r="A27" s="109"/>
      <c r="B27" s="109"/>
      <c r="C27" s="109"/>
      <c r="D27" s="109"/>
      <c r="E27" s="109"/>
      <c r="F27" s="109"/>
      <c r="G27" s="109"/>
      <c r="H27" s="109"/>
      <c r="I27" s="109"/>
      <c r="J27" s="109"/>
      <c r="K27" s="109"/>
      <c r="L27" s="109"/>
      <c r="M27" s="109"/>
      <c r="N27" s="109"/>
      <c r="O27" s="109"/>
      <c r="P27" s="109"/>
      <c r="Q27" s="109"/>
      <c r="R27" s="109"/>
      <c r="S27" s="109"/>
      <c r="T27" s="109"/>
      <c r="U27" s="109"/>
      <c r="V27" s="109"/>
      <c r="W27" s="109"/>
      <c r="X27" s="109"/>
      <c r="Y27" s="109"/>
      <c r="Z27" s="109"/>
    </row>
    <row r="28" ht="12.75" customHeight="1">
      <c r="A28" s="109"/>
      <c r="B28" s="109"/>
      <c r="C28" s="109"/>
      <c r="D28" s="109"/>
      <c r="E28" s="109"/>
      <c r="F28" s="109"/>
      <c r="G28" s="109"/>
      <c r="H28" s="109"/>
      <c r="I28" s="109"/>
      <c r="J28" s="109"/>
      <c r="K28" s="109"/>
      <c r="L28" s="109"/>
      <c r="M28" s="109"/>
      <c r="N28" s="109"/>
      <c r="O28" s="109"/>
      <c r="P28" s="109"/>
      <c r="Q28" s="109"/>
      <c r="R28" s="109"/>
      <c r="S28" s="109"/>
      <c r="T28" s="109"/>
      <c r="U28" s="109"/>
      <c r="V28" s="109"/>
      <c r="W28" s="109"/>
      <c r="X28" s="109"/>
      <c r="Y28" s="109"/>
      <c r="Z28" s="109"/>
    </row>
    <row r="29" ht="12.75" customHeight="1">
      <c r="A29" s="109"/>
      <c r="B29" s="109"/>
      <c r="C29" s="109"/>
      <c r="D29" s="109"/>
      <c r="E29" s="109"/>
      <c r="F29" s="109"/>
      <c r="G29" s="109"/>
      <c r="H29" s="109"/>
      <c r="I29" s="109"/>
      <c r="J29" s="109"/>
      <c r="K29" s="109"/>
      <c r="L29" s="109"/>
      <c r="M29" s="109"/>
      <c r="N29" s="109"/>
      <c r="O29" s="109"/>
      <c r="P29" s="109"/>
      <c r="Q29" s="109"/>
      <c r="R29" s="109"/>
      <c r="S29" s="109"/>
      <c r="T29" s="109"/>
      <c r="U29" s="109"/>
      <c r="V29" s="109"/>
      <c r="W29" s="109"/>
      <c r="X29" s="109"/>
      <c r="Y29" s="109"/>
      <c r="Z29" s="109"/>
    </row>
    <row r="30" ht="12.75" customHeight="1">
      <c r="A30" s="109"/>
      <c r="B30" s="109"/>
      <c r="C30" s="109"/>
      <c r="D30" s="109"/>
      <c r="E30" s="109"/>
      <c r="F30" s="109"/>
      <c r="G30" s="109"/>
      <c r="H30" s="109"/>
      <c r="I30" s="109"/>
      <c r="J30" s="109"/>
      <c r="K30" s="109"/>
      <c r="L30" s="109"/>
      <c r="M30" s="109"/>
      <c r="N30" s="109"/>
      <c r="O30" s="109"/>
      <c r="P30" s="109"/>
      <c r="Q30" s="109"/>
      <c r="R30" s="109"/>
      <c r="S30" s="109"/>
      <c r="T30" s="109"/>
      <c r="U30" s="109"/>
      <c r="V30" s="109"/>
      <c r="W30" s="109"/>
      <c r="X30" s="109"/>
      <c r="Y30" s="109"/>
      <c r="Z30" s="109"/>
    </row>
    <row r="31" ht="12.75" customHeight="1">
      <c r="A31" s="109"/>
      <c r="B31" s="109"/>
      <c r="C31" s="109"/>
      <c r="D31" s="109"/>
      <c r="E31" s="109"/>
      <c r="F31" s="109"/>
      <c r="G31" s="109"/>
      <c r="H31" s="109"/>
      <c r="I31" s="109"/>
      <c r="J31" s="109"/>
      <c r="K31" s="109"/>
      <c r="L31" s="109"/>
      <c r="M31" s="109"/>
      <c r="N31" s="109"/>
      <c r="O31" s="109"/>
      <c r="P31" s="109"/>
      <c r="Q31" s="109"/>
      <c r="R31" s="109"/>
      <c r="S31" s="109"/>
      <c r="T31" s="109"/>
      <c r="U31" s="109"/>
      <c r="V31" s="109"/>
      <c r="W31" s="109"/>
      <c r="X31" s="109"/>
      <c r="Y31" s="109"/>
      <c r="Z31" s="109"/>
    </row>
    <row r="32" ht="12.75" customHeight="1">
      <c r="A32" s="109"/>
      <c r="B32" s="109"/>
      <c r="C32" s="109"/>
      <c r="D32" s="109"/>
      <c r="E32" s="109"/>
      <c r="F32" s="109"/>
      <c r="G32" s="109"/>
      <c r="H32" s="109"/>
      <c r="I32" s="109"/>
      <c r="J32" s="109"/>
      <c r="K32" s="109"/>
      <c r="L32" s="109"/>
      <c r="M32" s="109"/>
      <c r="N32" s="109"/>
      <c r="O32" s="109"/>
      <c r="P32" s="109"/>
      <c r="Q32" s="109"/>
      <c r="R32" s="109"/>
      <c r="S32" s="109"/>
      <c r="T32" s="109"/>
      <c r="U32" s="109"/>
      <c r="V32" s="109"/>
      <c r="W32" s="109"/>
      <c r="X32" s="109"/>
      <c r="Y32" s="109"/>
      <c r="Z32" s="109"/>
    </row>
    <row r="33" ht="29.25" customHeight="1">
      <c r="A33" s="109"/>
      <c r="B33" s="109"/>
      <c r="C33" s="109"/>
      <c r="D33" s="109"/>
      <c r="E33" s="109"/>
      <c r="F33" s="109"/>
      <c r="G33" s="317"/>
      <c r="H33" s="109"/>
      <c r="I33" s="109"/>
      <c r="J33" s="109"/>
      <c r="K33" s="109"/>
      <c r="L33" s="109"/>
      <c r="M33" s="109"/>
      <c r="N33" s="109"/>
      <c r="O33" s="109"/>
      <c r="P33" s="109"/>
      <c r="Q33" s="109"/>
      <c r="R33" s="109"/>
      <c r="S33" s="109"/>
      <c r="T33" s="109"/>
      <c r="U33" s="109"/>
      <c r="V33" s="109"/>
      <c r="W33" s="109"/>
      <c r="X33" s="109"/>
      <c r="Y33" s="109"/>
      <c r="Z33" s="109"/>
    </row>
    <row r="34" ht="29.25" customHeight="1">
      <c r="A34" s="109"/>
      <c r="B34" s="109"/>
      <c r="C34" s="109"/>
      <c r="D34" s="109"/>
      <c r="E34" s="109"/>
      <c r="F34" s="109"/>
      <c r="G34" s="317"/>
      <c r="H34" s="109"/>
      <c r="I34" s="109"/>
      <c r="J34" s="109"/>
      <c r="K34" s="109"/>
      <c r="L34" s="109"/>
      <c r="M34" s="109"/>
      <c r="N34" s="109"/>
      <c r="O34" s="109"/>
      <c r="P34" s="109"/>
      <c r="Q34" s="109"/>
      <c r="R34" s="109"/>
      <c r="S34" s="109"/>
      <c r="T34" s="109"/>
      <c r="U34" s="109"/>
      <c r="V34" s="109"/>
      <c r="W34" s="109"/>
      <c r="X34" s="109"/>
      <c r="Y34" s="109"/>
      <c r="Z34" s="109"/>
    </row>
    <row r="35" ht="29.25" customHeight="1">
      <c r="A35" s="109"/>
      <c r="B35" s="109"/>
      <c r="C35" s="109"/>
      <c r="D35" s="109"/>
      <c r="E35" s="109"/>
      <c r="F35" s="109"/>
      <c r="G35" s="317"/>
      <c r="H35" s="109"/>
      <c r="I35" s="109"/>
      <c r="J35" s="109"/>
      <c r="K35" s="109"/>
      <c r="L35" s="109"/>
      <c r="M35" s="109"/>
      <c r="N35" s="109"/>
      <c r="O35" s="109"/>
      <c r="P35" s="109"/>
      <c r="Q35" s="109"/>
      <c r="R35" s="109"/>
      <c r="S35" s="109"/>
      <c r="T35" s="109"/>
      <c r="U35" s="109"/>
      <c r="V35" s="109"/>
      <c r="W35" s="109"/>
      <c r="X35" s="109"/>
      <c r="Y35" s="109"/>
      <c r="Z35" s="109"/>
    </row>
    <row r="36" ht="29.25" customHeight="1">
      <c r="A36" s="109"/>
      <c r="B36" s="109"/>
      <c r="C36" s="109"/>
      <c r="D36" s="109"/>
      <c r="E36" s="109"/>
      <c r="F36" s="109"/>
      <c r="G36" s="317"/>
      <c r="H36" s="109"/>
      <c r="I36" s="109"/>
      <c r="J36" s="109"/>
      <c r="K36" s="109"/>
      <c r="L36" s="109"/>
      <c r="M36" s="109"/>
      <c r="N36" s="109"/>
      <c r="O36" s="109"/>
      <c r="P36" s="109"/>
      <c r="Q36" s="109"/>
      <c r="R36" s="109"/>
      <c r="S36" s="109"/>
      <c r="T36" s="109"/>
      <c r="U36" s="109"/>
      <c r="V36" s="109"/>
      <c r="W36" s="109"/>
      <c r="X36" s="109"/>
      <c r="Y36" s="109"/>
      <c r="Z36" s="109"/>
    </row>
    <row r="37" ht="29.25" customHeight="1">
      <c r="A37" s="109"/>
      <c r="B37" s="109"/>
      <c r="C37" s="109"/>
      <c r="D37" s="109"/>
      <c r="E37" s="109"/>
      <c r="F37" s="109"/>
      <c r="G37" s="317"/>
      <c r="H37" s="109"/>
      <c r="I37" s="109"/>
      <c r="J37" s="109"/>
      <c r="K37" s="109"/>
      <c r="L37" s="109"/>
      <c r="M37" s="109"/>
      <c r="N37" s="109"/>
      <c r="O37" s="109"/>
      <c r="P37" s="109"/>
      <c r="Q37" s="109"/>
      <c r="R37" s="109"/>
      <c r="S37" s="109"/>
      <c r="T37" s="109"/>
      <c r="U37" s="109"/>
      <c r="V37" s="109"/>
      <c r="W37" s="109"/>
      <c r="X37" s="109"/>
      <c r="Y37" s="109"/>
      <c r="Z37" s="109"/>
    </row>
    <row r="38" ht="29.25" customHeight="1">
      <c r="A38" s="109"/>
      <c r="B38" s="109"/>
      <c r="C38" s="109"/>
      <c r="D38" s="109"/>
      <c r="E38" s="109"/>
      <c r="F38" s="109"/>
      <c r="G38" s="317"/>
      <c r="H38" s="109"/>
      <c r="I38" s="109"/>
      <c r="J38" s="109"/>
      <c r="K38" s="109"/>
      <c r="L38" s="109"/>
      <c r="M38" s="109"/>
      <c r="N38" s="109"/>
      <c r="O38" s="109"/>
      <c r="P38" s="109"/>
      <c r="Q38" s="109"/>
      <c r="R38" s="109"/>
      <c r="S38" s="109"/>
      <c r="T38" s="109"/>
      <c r="U38" s="109"/>
      <c r="V38" s="109"/>
      <c r="W38" s="109"/>
      <c r="X38" s="109"/>
      <c r="Y38" s="109"/>
      <c r="Z38" s="109"/>
    </row>
    <row r="39" ht="29.25" customHeight="1">
      <c r="A39" s="109"/>
      <c r="B39" s="109"/>
      <c r="C39" s="109"/>
      <c r="D39" s="109"/>
      <c r="E39" s="109"/>
      <c r="F39" s="109"/>
      <c r="G39" s="317"/>
      <c r="H39" s="109"/>
      <c r="I39" s="109"/>
      <c r="J39" s="109"/>
      <c r="K39" s="109"/>
      <c r="L39" s="109"/>
      <c r="M39" s="109"/>
      <c r="N39" s="109"/>
      <c r="O39" s="109"/>
      <c r="P39" s="109"/>
      <c r="Q39" s="109"/>
      <c r="R39" s="109"/>
      <c r="S39" s="109"/>
      <c r="T39" s="109"/>
      <c r="U39" s="109"/>
      <c r="V39" s="109"/>
      <c r="W39" s="109"/>
      <c r="X39" s="109"/>
      <c r="Y39" s="109"/>
      <c r="Z39" s="109"/>
    </row>
    <row r="40" ht="29.25" customHeight="1">
      <c r="A40" s="109"/>
      <c r="B40" s="109"/>
      <c r="C40" s="109"/>
      <c r="D40" s="109"/>
      <c r="E40" s="109"/>
      <c r="F40" s="109"/>
      <c r="G40" s="317"/>
      <c r="H40" s="109"/>
      <c r="I40" s="109"/>
      <c r="J40" s="109"/>
      <c r="K40" s="109"/>
      <c r="L40" s="109"/>
      <c r="M40" s="109"/>
      <c r="N40" s="109"/>
      <c r="O40" s="109"/>
      <c r="P40" s="109"/>
      <c r="Q40" s="109"/>
      <c r="R40" s="109"/>
      <c r="S40" s="109"/>
      <c r="T40" s="109"/>
      <c r="U40" s="109"/>
      <c r="V40" s="109"/>
      <c r="W40" s="109"/>
      <c r="X40" s="109"/>
      <c r="Y40" s="109"/>
      <c r="Z40" s="109"/>
    </row>
    <row r="41" ht="29.25" customHeight="1">
      <c r="A41" s="109"/>
      <c r="B41" s="109"/>
      <c r="C41" s="109"/>
      <c r="D41" s="109"/>
      <c r="E41" s="109"/>
      <c r="F41" s="109"/>
      <c r="G41" s="317"/>
      <c r="H41" s="109"/>
      <c r="I41" s="109"/>
      <c r="J41" s="109"/>
      <c r="K41" s="109"/>
      <c r="L41" s="109"/>
      <c r="M41" s="109"/>
      <c r="N41" s="109"/>
      <c r="O41" s="109"/>
      <c r="P41" s="109"/>
      <c r="Q41" s="109"/>
      <c r="R41" s="109"/>
      <c r="S41" s="109"/>
      <c r="T41" s="109"/>
      <c r="U41" s="109"/>
      <c r="V41" s="109"/>
      <c r="W41" s="109"/>
      <c r="X41" s="109"/>
      <c r="Y41" s="109"/>
      <c r="Z41" s="109"/>
    </row>
    <row r="42" ht="29.25" customHeight="1">
      <c r="A42" s="109"/>
      <c r="B42" s="109"/>
      <c r="C42" s="109"/>
      <c r="D42" s="109"/>
      <c r="E42" s="109"/>
      <c r="F42" s="109"/>
      <c r="G42" s="317"/>
      <c r="H42" s="109"/>
      <c r="I42" s="109"/>
      <c r="J42" s="109"/>
      <c r="K42" s="109"/>
      <c r="L42" s="109"/>
      <c r="M42" s="109"/>
      <c r="N42" s="109"/>
      <c r="O42" s="109"/>
      <c r="P42" s="109"/>
      <c r="Q42" s="109"/>
      <c r="R42" s="109"/>
      <c r="S42" s="109"/>
      <c r="T42" s="109"/>
      <c r="U42" s="109"/>
      <c r="V42" s="109"/>
      <c r="W42" s="109"/>
      <c r="X42" s="109"/>
      <c r="Y42" s="109"/>
      <c r="Z42" s="109"/>
    </row>
    <row r="43" ht="29.25" customHeight="1">
      <c r="A43" s="109"/>
      <c r="B43" s="109"/>
      <c r="C43" s="109"/>
      <c r="D43" s="109"/>
      <c r="E43" s="109"/>
      <c r="F43" s="109"/>
      <c r="G43" s="317"/>
      <c r="H43" s="109"/>
      <c r="I43" s="109"/>
      <c r="J43" s="109"/>
      <c r="K43" s="109"/>
      <c r="L43" s="109"/>
      <c r="M43" s="109"/>
      <c r="N43" s="109"/>
      <c r="O43" s="109"/>
      <c r="P43" s="109"/>
      <c r="Q43" s="109"/>
      <c r="R43" s="109"/>
      <c r="S43" s="109"/>
      <c r="T43" s="109"/>
      <c r="U43" s="109"/>
      <c r="V43" s="109"/>
      <c r="W43" s="109"/>
      <c r="X43" s="109"/>
      <c r="Y43" s="109"/>
      <c r="Z43" s="109"/>
    </row>
    <row r="44" ht="29.25" customHeight="1">
      <c r="A44" s="109"/>
      <c r="B44" s="109"/>
      <c r="C44" s="109"/>
      <c r="D44" s="109"/>
      <c r="E44" s="109"/>
      <c r="F44" s="109"/>
      <c r="G44" s="317"/>
      <c r="H44" s="109"/>
      <c r="I44" s="109"/>
      <c r="J44" s="109"/>
      <c r="K44" s="109"/>
      <c r="L44" s="109"/>
      <c r="M44" s="109"/>
      <c r="N44" s="109"/>
      <c r="O44" s="109"/>
      <c r="P44" s="109"/>
      <c r="Q44" s="109"/>
      <c r="R44" s="109"/>
      <c r="S44" s="109"/>
      <c r="T44" s="109"/>
      <c r="U44" s="109"/>
      <c r="V44" s="109"/>
      <c r="W44" s="109"/>
      <c r="X44" s="109"/>
      <c r="Y44" s="109"/>
      <c r="Z44" s="109"/>
    </row>
    <row r="45" ht="29.25" customHeight="1">
      <c r="A45" s="109"/>
      <c r="B45" s="109"/>
      <c r="C45" s="109"/>
      <c r="D45" s="109"/>
      <c r="E45" s="109"/>
      <c r="F45" s="109"/>
      <c r="G45" s="317"/>
      <c r="H45" s="109"/>
      <c r="I45" s="109"/>
      <c r="J45" s="109"/>
      <c r="K45" s="109"/>
      <c r="L45" s="109"/>
      <c r="M45" s="109"/>
      <c r="N45" s="109"/>
      <c r="O45" s="109"/>
      <c r="P45" s="109"/>
      <c r="Q45" s="109"/>
      <c r="R45" s="109"/>
      <c r="S45" s="109"/>
      <c r="T45" s="109"/>
      <c r="U45" s="109"/>
      <c r="V45" s="109"/>
      <c r="W45" s="109"/>
      <c r="X45" s="109"/>
      <c r="Y45" s="109"/>
      <c r="Z45" s="109"/>
    </row>
    <row r="46" ht="29.25" customHeight="1">
      <c r="A46" s="109"/>
      <c r="B46" s="109"/>
      <c r="C46" s="109"/>
      <c r="D46" s="109"/>
      <c r="E46" s="109"/>
      <c r="F46" s="109"/>
      <c r="G46" s="317"/>
      <c r="H46" s="109"/>
      <c r="I46" s="109"/>
      <c r="J46" s="109"/>
      <c r="K46" s="109"/>
      <c r="L46" s="109"/>
      <c r="M46" s="109"/>
      <c r="N46" s="109"/>
      <c r="O46" s="109"/>
      <c r="P46" s="109"/>
      <c r="Q46" s="109"/>
      <c r="R46" s="109"/>
      <c r="S46" s="109"/>
      <c r="T46" s="109"/>
      <c r="U46" s="109"/>
      <c r="V46" s="109"/>
      <c r="W46" s="109"/>
      <c r="X46" s="109"/>
      <c r="Y46" s="109"/>
      <c r="Z46" s="109"/>
    </row>
    <row r="47" ht="29.25" customHeight="1">
      <c r="A47" s="109"/>
      <c r="B47" s="109"/>
      <c r="C47" s="109"/>
      <c r="D47" s="109"/>
      <c r="E47" s="109"/>
      <c r="F47" s="109"/>
      <c r="G47" s="317"/>
      <c r="H47" s="109"/>
      <c r="I47" s="109"/>
      <c r="J47" s="109"/>
      <c r="K47" s="109"/>
      <c r="L47" s="109"/>
      <c r="M47" s="109"/>
      <c r="N47" s="109"/>
      <c r="O47" s="109"/>
      <c r="P47" s="109"/>
      <c r="Q47" s="109"/>
      <c r="R47" s="109"/>
      <c r="S47" s="109"/>
      <c r="T47" s="109"/>
      <c r="U47" s="109"/>
      <c r="V47" s="109"/>
      <c r="W47" s="109"/>
      <c r="X47" s="109"/>
      <c r="Y47" s="109"/>
      <c r="Z47" s="109"/>
    </row>
    <row r="48" ht="29.25" customHeight="1">
      <c r="A48" s="109"/>
      <c r="B48" s="109"/>
      <c r="C48" s="109"/>
      <c r="D48" s="109"/>
      <c r="E48" s="109"/>
      <c r="F48" s="109"/>
      <c r="G48" s="317"/>
      <c r="H48" s="109"/>
      <c r="I48" s="109"/>
      <c r="J48" s="109"/>
      <c r="K48" s="109"/>
      <c r="L48" s="109"/>
      <c r="M48" s="109"/>
      <c r="N48" s="109"/>
      <c r="O48" s="109"/>
      <c r="P48" s="109"/>
      <c r="Q48" s="109"/>
      <c r="R48" s="109"/>
      <c r="S48" s="109"/>
      <c r="T48" s="109"/>
      <c r="U48" s="109"/>
      <c r="V48" s="109"/>
      <c r="W48" s="109"/>
      <c r="X48" s="109"/>
      <c r="Y48" s="109"/>
      <c r="Z48" s="109"/>
    </row>
    <row r="49" ht="29.25" customHeight="1">
      <c r="A49" s="109"/>
      <c r="B49" s="109"/>
      <c r="C49" s="109"/>
      <c r="D49" s="109"/>
      <c r="E49" s="109"/>
      <c r="F49" s="109"/>
      <c r="G49" s="317"/>
      <c r="H49" s="109"/>
      <c r="I49" s="109"/>
      <c r="J49" s="109"/>
      <c r="K49" s="109"/>
      <c r="L49" s="109"/>
      <c r="M49" s="109"/>
      <c r="N49" s="109"/>
      <c r="O49" s="109"/>
      <c r="P49" s="109"/>
      <c r="Q49" s="109"/>
      <c r="R49" s="109"/>
      <c r="S49" s="109"/>
      <c r="T49" s="109"/>
      <c r="U49" s="109"/>
      <c r="V49" s="109"/>
      <c r="W49" s="109"/>
      <c r="X49" s="109"/>
      <c r="Y49" s="109"/>
      <c r="Z49" s="109"/>
    </row>
    <row r="50" ht="29.25" customHeight="1">
      <c r="A50" s="109"/>
      <c r="B50" s="109"/>
      <c r="C50" s="109"/>
      <c r="D50" s="109"/>
      <c r="E50" s="109"/>
      <c r="F50" s="109"/>
      <c r="G50" s="317"/>
      <c r="H50" s="109"/>
      <c r="I50" s="109"/>
      <c r="J50" s="109"/>
      <c r="K50" s="109"/>
      <c r="L50" s="109"/>
      <c r="M50" s="109"/>
      <c r="N50" s="109"/>
      <c r="O50" s="109"/>
      <c r="P50" s="109"/>
      <c r="Q50" s="109"/>
      <c r="R50" s="109"/>
      <c r="S50" s="109"/>
      <c r="T50" s="109"/>
      <c r="U50" s="109"/>
      <c r="V50" s="109"/>
      <c r="W50" s="109"/>
      <c r="X50" s="109"/>
      <c r="Y50" s="109"/>
      <c r="Z50" s="109"/>
    </row>
    <row r="51" ht="29.25" customHeight="1">
      <c r="A51" s="109"/>
      <c r="B51" s="109"/>
      <c r="C51" s="109"/>
      <c r="D51" s="109"/>
      <c r="E51" s="109"/>
      <c r="F51" s="109"/>
      <c r="G51" s="317"/>
      <c r="H51" s="109"/>
      <c r="I51" s="109"/>
      <c r="J51" s="109"/>
      <c r="K51" s="109"/>
      <c r="L51" s="109"/>
      <c r="M51" s="109"/>
      <c r="N51" s="109"/>
      <c r="O51" s="109"/>
      <c r="P51" s="109"/>
      <c r="Q51" s="109"/>
      <c r="R51" s="109"/>
      <c r="S51" s="109"/>
      <c r="T51" s="109"/>
      <c r="U51" s="109"/>
      <c r="V51" s="109"/>
      <c r="W51" s="109"/>
      <c r="X51" s="109"/>
      <c r="Y51" s="109"/>
      <c r="Z51" s="109"/>
    </row>
    <row r="52" ht="29.25" customHeight="1">
      <c r="A52" s="109"/>
      <c r="B52" s="109"/>
      <c r="C52" s="109"/>
      <c r="D52" s="109"/>
      <c r="E52" s="109"/>
      <c r="F52" s="109"/>
      <c r="G52" s="317"/>
      <c r="H52" s="109"/>
      <c r="I52" s="109"/>
      <c r="J52" s="109"/>
      <c r="K52" s="109"/>
      <c r="L52" s="109"/>
      <c r="M52" s="109"/>
      <c r="N52" s="109"/>
      <c r="O52" s="109"/>
      <c r="P52" s="109"/>
      <c r="Q52" s="109"/>
      <c r="R52" s="109"/>
      <c r="S52" s="109"/>
      <c r="T52" s="109"/>
      <c r="U52" s="109"/>
      <c r="V52" s="109"/>
      <c r="W52" s="109"/>
      <c r="X52" s="109"/>
      <c r="Y52" s="109"/>
      <c r="Z52" s="109"/>
    </row>
    <row r="53" ht="29.25" customHeight="1">
      <c r="A53" s="109"/>
      <c r="B53" s="109"/>
      <c r="C53" s="109"/>
      <c r="D53" s="109"/>
      <c r="E53" s="109"/>
      <c r="F53" s="109"/>
      <c r="G53" s="317"/>
      <c r="H53" s="109"/>
      <c r="I53" s="109"/>
      <c r="J53" s="109"/>
      <c r="K53" s="109"/>
      <c r="L53" s="109"/>
      <c r="M53" s="109"/>
      <c r="N53" s="109"/>
      <c r="O53" s="109"/>
      <c r="P53" s="109"/>
      <c r="Q53" s="109"/>
      <c r="R53" s="109"/>
      <c r="S53" s="109"/>
      <c r="T53" s="109"/>
      <c r="U53" s="109"/>
      <c r="V53" s="109"/>
      <c r="W53" s="109"/>
      <c r="X53" s="109"/>
      <c r="Y53" s="109"/>
      <c r="Z53" s="109"/>
    </row>
    <row r="54" ht="29.25" customHeight="1">
      <c r="A54" s="109"/>
      <c r="B54" s="109"/>
      <c r="C54" s="109"/>
      <c r="D54" s="109"/>
      <c r="E54" s="109"/>
      <c r="F54" s="109"/>
      <c r="G54" s="317"/>
      <c r="H54" s="109"/>
      <c r="I54" s="109"/>
      <c r="J54" s="109"/>
      <c r="K54" s="109"/>
      <c r="L54" s="109"/>
      <c r="M54" s="109"/>
      <c r="N54" s="109"/>
      <c r="O54" s="109"/>
      <c r="P54" s="109"/>
      <c r="Q54" s="109"/>
      <c r="R54" s="109"/>
      <c r="S54" s="109"/>
      <c r="T54" s="109"/>
      <c r="U54" s="109"/>
      <c r="V54" s="109"/>
      <c r="W54" s="109"/>
      <c r="X54" s="109"/>
      <c r="Y54" s="109"/>
      <c r="Z54" s="109"/>
    </row>
    <row r="55" ht="29.25" customHeight="1">
      <c r="A55" s="109"/>
      <c r="B55" s="109"/>
      <c r="C55" s="109"/>
      <c r="D55" s="109"/>
      <c r="E55" s="109"/>
      <c r="F55" s="109"/>
      <c r="G55" s="317"/>
      <c r="H55" s="109"/>
      <c r="I55" s="109"/>
      <c r="J55" s="109"/>
      <c r="K55" s="109"/>
      <c r="L55" s="109"/>
      <c r="M55" s="109"/>
      <c r="N55" s="109"/>
      <c r="O55" s="109"/>
      <c r="P55" s="109"/>
      <c r="Q55" s="109"/>
      <c r="R55" s="109"/>
      <c r="S55" s="109"/>
      <c r="T55" s="109"/>
      <c r="U55" s="109"/>
      <c r="V55" s="109"/>
      <c r="W55" s="109"/>
      <c r="X55" s="109"/>
      <c r="Y55" s="109"/>
      <c r="Z55" s="109"/>
    </row>
    <row r="56" ht="29.25" customHeight="1">
      <c r="A56" s="109"/>
      <c r="B56" s="109"/>
      <c r="C56" s="109"/>
      <c r="D56" s="109"/>
      <c r="E56" s="109"/>
      <c r="F56" s="109"/>
      <c r="G56" s="317"/>
      <c r="H56" s="109"/>
      <c r="I56" s="109"/>
      <c r="J56" s="109"/>
      <c r="K56" s="109"/>
      <c r="L56" s="109"/>
      <c r="M56" s="109"/>
      <c r="N56" s="109"/>
      <c r="O56" s="109"/>
      <c r="P56" s="109"/>
      <c r="Q56" s="109"/>
      <c r="R56" s="109"/>
      <c r="S56" s="109"/>
      <c r="T56" s="109"/>
      <c r="U56" s="109"/>
      <c r="V56" s="109"/>
      <c r="W56" s="109"/>
      <c r="X56" s="109"/>
      <c r="Y56" s="109"/>
      <c r="Z56" s="109"/>
    </row>
    <row r="57" ht="29.25" customHeight="1">
      <c r="A57" s="109"/>
      <c r="B57" s="109"/>
      <c r="C57" s="109"/>
      <c r="D57" s="109"/>
      <c r="E57" s="109"/>
      <c r="F57" s="109"/>
      <c r="G57" s="317"/>
      <c r="H57" s="109"/>
      <c r="I57" s="109"/>
      <c r="J57" s="109"/>
      <c r="K57" s="109"/>
      <c r="L57" s="109"/>
      <c r="M57" s="109"/>
      <c r="N57" s="109"/>
      <c r="O57" s="109"/>
      <c r="P57" s="109"/>
      <c r="Q57" s="109"/>
      <c r="R57" s="109"/>
      <c r="S57" s="109"/>
      <c r="T57" s="109"/>
      <c r="U57" s="109"/>
      <c r="V57" s="109"/>
      <c r="W57" s="109"/>
      <c r="X57" s="109"/>
      <c r="Y57" s="109"/>
      <c r="Z57" s="109"/>
    </row>
    <row r="58" ht="29.25" customHeight="1">
      <c r="A58" s="109"/>
      <c r="B58" s="109"/>
      <c r="C58" s="109"/>
      <c r="D58" s="109"/>
      <c r="E58" s="109"/>
      <c r="F58" s="109"/>
      <c r="G58" s="317"/>
      <c r="H58" s="109"/>
      <c r="I58" s="109"/>
      <c r="J58" s="109"/>
      <c r="K58" s="109"/>
      <c r="L58" s="109"/>
      <c r="M58" s="109"/>
      <c r="N58" s="109"/>
      <c r="O58" s="109"/>
      <c r="P58" s="109"/>
      <c r="Q58" s="109"/>
      <c r="R58" s="109"/>
      <c r="S58" s="109"/>
      <c r="T58" s="109"/>
      <c r="U58" s="109"/>
      <c r="V58" s="109"/>
      <c r="W58" s="109"/>
      <c r="X58" s="109"/>
      <c r="Y58" s="109"/>
      <c r="Z58" s="109"/>
    </row>
    <row r="59" ht="29.25" customHeight="1">
      <c r="A59" s="109"/>
      <c r="B59" s="109"/>
      <c r="C59" s="109"/>
      <c r="D59" s="109"/>
      <c r="E59" s="109"/>
      <c r="F59" s="109"/>
      <c r="G59" s="317"/>
      <c r="H59" s="109"/>
      <c r="I59" s="109"/>
      <c r="J59" s="109"/>
      <c r="K59" s="109"/>
      <c r="L59" s="109"/>
      <c r="M59" s="109"/>
      <c r="N59" s="109"/>
      <c r="O59" s="109"/>
      <c r="P59" s="109"/>
      <c r="Q59" s="109"/>
      <c r="R59" s="109"/>
      <c r="S59" s="109"/>
      <c r="T59" s="109"/>
      <c r="U59" s="109"/>
      <c r="V59" s="109"/>
      <c r="W59" s="109"/>
      <c r="X59" s="109"/>
      <c r="Y59" s="109"/>
      <c r="Z59" s="109"/>
    </row>
    <row r="60" ht="29.25" customHeight="1">
      <c r="A60" s="109"/>
      <c r="B60" s="109"/>
      <c r="C60" s="109"/>
      <c r="D60" s="109"/>
      <c r="E60" s="109"/>
      <c r="F60" s="109"/>
      <c r="G60" s="317"/>
      <c r="H60" s="109"/>
      <c r="I60" s="109"/>
      <c r="J60" s="109"/>
      <c r="K60" s="109"/>
      <c r="L60" s="109"/>
      <c r="M60" s="109"/>
      <c r="N60" s="109"/>
      <c r="O60" s="109"/>
      <c r="P60" s="109"/>
      <c r="Q60" s="109"/>
      <c r="R60" s="109"/>
      <c r="S60" s="109"/>
      <c r="T60" s="109"/>
      <c r="U60" s="109"/>
      <c r="V60" s="109"/>
      <c r="W60" s="109"/>
      <c r="X60" s="109"/>
      <c r="Y60" s="109"/>
      <c r="Z60" s="109"/>
    </row>
    <row r="61" ht="29.25" customHeight="1">
      <c r="A61" s="109"/>
      <c r="B61" s="109"/>
      <c r="C61" s="109"/>
      <c r="D61" s="109"/>
      <c r="E61" s="109"/>
      <c r="F61" s="109"/>
      <c r="G61" s="317"/>
      <c r="H61" s="109"/>
      <c r="I61" s="109"/>
      <c r="J61" s="109"/>
      <c r="K61" s="109"/>
      <c r="L61" s="109"/>
      <c r="M61" s="109"/>
      <c r="N61" s="109"/>
      <c r="O61" s="109"/>
      <c r="P61" s="109"/>
      <c r="Q61" s="109"/>
      <c r="R61" s="109"/>
      <c r="S61" s="109"/>
      <c r="T61" s="109"/>
      <c r="U61" s="109"/>
      <c r="V61" s="109"/>
      <c r="W61" s="109"/>
      <c r="X61" s="109"/>
      <c r="Y61" s="109"/>
      <c r="Z61" s="109"/>
    </row>
    <row r="62" ht="29.25" customHeight="1">
      <c r="A62" s="109"/>
      <c r="B62" s="109"/>
      <c r="C62" s="109"/>
      <c r="D62" s="109"/>
      <c r="E62" s="109"/>
      <c r="F62" s="109"/>
      <c r="G62" s="317"/>
      <c r="H62" s="109"/>
      <c r="I62" s="109"/>
      <c r="J62" s="109"/>
      <c r="K62" s="109"/>
      <c r="L62" s="109"/>
      <c r="M62" s="109"/>
      <c r="N62" s="109"/>
      <c r="O62" s="109"/>
      <c r="P62" s="109"/>
      <c r="Q62" s="109"/>
      <c r="R62" s="109"/>
      <c r="S62" s="109"/>
      <c r="T62" s="109"/>
      <c r="U62" s="109"/>
      <c r="V62" s="109"/>
      <c r="W62" s="109"/>
      <c r="X62" s="109"/>
      <c r="Y62" s="109"/>
      <c r="Z62" s="109"/>
    </row>
    <row r="63" ht="29.25" customHeight="1">
      <c r="A63" s="109"/>
      <c r="B63" s="109"/>
      <c r="C63" s="109"/>
      <c r="D63" s="109"/>
      <c r="E63" s="109"/>
      <c r="F63" s="109"/>
      <c r="G63" s="317"/>
      <c r="H63" s="109"/>
      <c r="I63" s="109"/>
      <c r="J63" s="109"/>
      <c r="K63" s="109"/>
      <c r="L63" s="109"/>
      <c r="M63" s="109"/>
      <c r="N63" s="109"/>
      <c r="O63" s="109"/>
      <c r="P63" s="109"/>
      <c r="Q63" s="109"/>
      <c r="R63" s="109"/>
      <c r="S63" s="109"/>
      <c r="T63" s="109"/>
      <c r="U63" s="109"/>
      <c r="V63" s="109"/>
      <c r="W63" s="109"/>
      <c r="X63" s="109"/>
      <c r="Y63" s="109"/>
      <c r="Z63" s="109"/>
    </row>
    <row r="64" ht="29.25" customHeight="1">
      <c r="A64" s="109"/>
      <c r="B64" s="109"/>
      <c r="C64" s="109"/>
      <c r="D64" s="109"/>
      <c r="E64" s="109"/>
      <c r="F64" s="109"/>
      <c r="G64" s="317"/>
      <c r="H64" s="109"/>
      <c r="I64" s="109"/>
      <c r="J64" s="109"/>
      <c r="K64" s="109"/>
      <c r="L64" s="109"/>
      <c r="M64" s="109"/>
      <c r="N64" s="109"/>
      <c r="O64" s="109"/>
      <c r="P64" s="109"/>
      <c r="Q64" s="109"/>
      <c r="R64" s="109"/>
      <c r="S64" s="109"/>
      <c r="T64" s="109"/>
      <c r="U64" s="109"/>
      <c r="V64" s="109"/>
      <c r="W64" s="109"/>
      <c r="X64" s="109"/>
      <c r="Y64" s="109"/>
      <c r="Z64" s="109"/>
    </row>
    <row r="65" ht="29.25" customHeight="1">
      <c r="A65" s="109"/>
      <c r="B65" s="109"/>
      <c r="C65" s="109"/>
      <c r="D65" s="109"/>
      <c r="E65" s="109"/>
      <c r="F65" s="109"/>
      <c r="G65" s="317"/>
      <c r="H65" s="109"/>
      <c r="I65" s="109"/>
      <c r="J65" s="109"/>
      <c r="K65" s="109"/>
      <c r="L65" s="109"/>
      <c r="M65" s="109"/>
      <c r="N65" s="109"/>
      <c r="O65" s="109"/>
      <c r="P65" s="109"/>
      <c r="Q65" s="109"/>
      <c r="R65" s="109"/>
      <c r="S65" s="109"/>
      <c r="T65" s="109"/>
      <c r="U65" s="109"/>
      <c r="V65" s="109"/>
      <c r="W65" s="109"/>
      <c r="X65" s="109"/>
      <c r="Y65" s="109"/>
      <c r="Z65" s="109"/>
    </row>
    <row r="66" ht="29.25" customHeight="1">
      <c r="A66" s="109"/>
      <c r="B66" s="109"/>
      <c r="C66" s="109"/>
      <c r="D66" s="109"/>
      <c r="E66" s="109"/>
      <c r="F66" s="109"/>
      <c r="G66" s="317"/>
      <c r="H66" s="109"/>
      <c r="I66" s="109"/>
      <c r="J66" s="109"/>
      <c r="K66" s="109"/>
      <c r="L66" s="109"/>
      <c r="M66" s="109"/>
      <c r="N66" s="109"/>
      <c r="O66" s="109"/>
      <c r="P66" s="109"/>
      <c r="Q66" s="109"/>
      <c r="R66" s="109"/>
      <c r="S66" s="109"/>
      <c r="T66" s="109"/>
      <c r="U66" s="109"/>
      <c r="V66" s="109"/>
      <c r="W66" s="109"/>
      <c r="X66" s="109"/>
      <c r="Y66" s="109"/>
      <c r="Z66" s="109"/>
    </row>
    <row r="67" ht="29.25" customHeight="1">
      <c r="A67" s="109"/>
      <c r="B67" s="109"/>
      <c r="C67" s="109"/>
      <c r="D67" s="109"/>
      <c r="E67" s="109"/>
      <c r="F67" s="109"/>
      <c r="G67" s="317"/>
      <c r="H67" s="109"/>
      <c r="I67" s="109"/>
      <c r="J67" s="109"/>
      <c r="K67" s="109"/>
      <c r="L67" s="109"/>
      <c r="M67" s="109"/>
      <c r="N67" s="109"/>
      <c r="O67" s="109"/>
      <c r="P67" s="109"/>
      <c r="Q67" s="109"/>
      <c r="R67" s="109"/>
      <c r="S67" s="109"/>
      <c r="T67" s="109"/>
      <c r="U67" s="109"/>
      <c r="V67" s="109"/>
      <c r="W67" s="109"/>
      <c r="X67" s="109"/>
      <c r="Y67" s="109"/>
      <c r="Z67" s="109"/>
    </row>
    <row r="68" ht="29.25" customHeight="1">
      <c r="A68" s="109"/>
      <c r="B68" s="109"/>
      <c r="C68" s="109"/>
      <c r="D68" s="109"/>
      <c r="E68" s="109"/>
      <c r="F68" s="109"/>
      <c r="G68" s="317"/>
      <c r="H68" s="109"/>
      <c r="I68" s="109"/>
      <c r="J68" s="109"/>
      <c r="K68" s="109"/>
      <c r="L68" s="109"/>
      <c r="M68" s="109"/>
      <c r="N68" s="109"/>
      <c r="O68" s="109"/>
      <c r="P68" s="109"/>
      <c r="Q68" s="109"/>
      <c r="R68" s="109"/>
      <c r="S68" s="109"/>
      <c r="T68" s="109"/>
      <c r="U68" s="109"/>
      <c r="V68" s="109"/>
      <c r="W68" s="109"/>
      <c r="X68" s="109"/>
      <c r="Y68" s="109"/>
      <c r="Z68" s="109"/>
    </row>
    <row r="69" ht="29.25" customHeight="1">
      <c r="A69" s="109"/>
      <c r="B69" s="109"/>
      <c r="C69" s="109"/>
      <c r="D69" s="109"/>
      <c r="E69" s="109"/>
      <c r="F69" s="109"/>
      <c r="G69" s="317"/>
      <c r="H69" s="109"/>
      <c r="I69" s="109"/>
      <c r="J69" s="109"/>
      <c r="K69" s="109"/>
      <c r="L69" s="109"/>
      <c r="M69" s="109"/>
      <c r="N69" s="109"/>
      <c r="O69" s="109"/>
      <c r="P69" s="109"/>
      <c r="Q69" s="109"/>
      <c r="R69" s="109"/>
      <c r="S69" s="109"/>
      <c r="T69" s="109"/>
      <c r="U69" s="109"/>
      <c r="V69" s="109"/>
      <c r="W69" s="109"/>
      <c r="X69" s="109"/>
      <c r="Y69" s="109"/>
      <c r="Z69" s="109"/>
    </row>
    <row r="70" ht="29.25" customHeight="1">
      <c r="A70" s="109"/>
      <c r="B70" s="109"/>
      <c r="C70" s="109"/>
      <c r="D70" s="109"/>
      <c r="E70" s="109"/>
      <c r="F70" s="109"/>
      <c r="G70" s="317"/>
      <c r="H70" s="109"/>
      <c r="I70" s="109"/>
      <c r="J70" s="109"/>
      <c r="K70" s="109"/>
      <c r="L70" s="109"/>
      <c r="M70" s="109"/>
      <c r="N70" s="109"/>
      <c r="O70" s="109"/>
      <c r="P70" s="109"/>
      <c r="Q70" s="109"/>
      <c r="R70" s="109"/>
      <c r="S70" s="109"/>
      <c r="T70" s="109"/>
      <c r="U70" s="109"/>
      <c r="V70" s="109"/>
      <c r="W70" s="109"/>
      <c r="X70" s="109"/>
      <c r="Y70" s="109"/>
      <c r="Z70" s="109"/>
    </row>
    <row r="71" ht="29.25" customHeight="1">
      <c r="A71" s="109"/>
      <c r="B71" s="109"/>
      <c r="C71" s="109"/>
      <c r="D71" s="109"/>
      <c r="E71" s="109"/>
      <c r="F71" s="109"/>
      <c r="G71" s="317"/>
      <c r="H71" s="109"/>
      <c r="I71" s="109"/>
      <c r="J71" s="109"/>
      <c r="K71" s="109"/>
      <c r="L71" s="109"/>
      <c r="M71" s="109"/>
      <c r="N71" s="109"/>
      <c r="O71" s="109"/>
      <c r="P71" s="109"/>
      <c r="Q71" s="109"/>
      <c r="R71" s="109"/>
      <c r="S71" s="109"/>
      <c r="T71" s="109"/>
      <c r="U71" s="109"/>
      <c r="V71" s="109"/>
      <c r="W71" s="109"/>
      <c r="X71" s="109"/>
      <c r="Y71" s="109"/>
      <c r="Z71" s="109"/>
    </row>
    <row r="72" ht="29.25" customHeight="1">
      <c r="A72" s="109"/>
      <c r="B72" s="109"/>
      <c r="C72" s="109"/>
      <c r="D72" s="109"/>
      <c r="E72" s="109"/>
      <c r="F72" s="109"/>
      <c r="G72" s="317"/>
      <c r="H72" s="109"/>
      <c r="I72" s="109"/>
      <c r="J72" s="109"/>
      <c r="K72" s="109"/>
      <c r="L72" s="109"/>
      <c r="M72" s="109"/>
      <c r="N72" s="109"/>
      <c r="O72" s="109"/>
      <c r="P72" s="109"/>
      <c r="Q72" s="109"/>
      <c r="R72" s="109"/>
      <c r="S72" s="109"/>
      <c r="T72" s="109"/>
      <c r="U72" s="109"/>
      <c r="V72" s="109"/>
      <c r="W72" s="109"/>
      <c r="X72" s="109"/>
      <c r="Y72" s="109"/>
      <c r="Z72" s="109"/>
    </row>
    <row r="73" ht="29.25" customHeight="1">
      <c r="A73" s="109"/>
      <c r="B73" s="109"/>
      <c r="C73" s="109"/>
      <c r="D73" s="109"/>
      <c r="E73" s="109"/>
      <c r="F73" s="109"/>
      <c r="G73" s="317"/>
      <c r="H73" s="109"/>
      <c r="I73" s="109"/>
      <c r="J73" s="109"/>
      <c r="K73" s="109"/>
      <c r="L73" s="109"/>
      <c r="M73" s="109"/>
      <c r="N73" s="109"/>
      <c r="O73" s="109"/>
      <c r="P73" s="109"/>
      <c r="Q73" s="109"/>
      <c r="R73" s="109"/>
      <c r="S73" s="109"/>
      <c r="T73" s="109"/>
      <c r="U73" s="109"/>
      <c r="V73" s="109"/>
      <c r="W73" s="109"/>
      <c r="X73" s="109"/>
      <c r="Y73" s="109"/>
      <c r="Z73" s="109"/>
    </row>
    <row r="74" ht="29.25" customHeight="1">
      <c r="A74" s="109"/>
      <c r="B74" s="109"/>
      <c r="C74" s="109"/>
      <c r="D74" s="109"/>
      <c r="E74" s="109"/>
      <c r="F74" s="109"/>
      <c r="G74" s="317"/>
      <c r="H74" s="109"/>
      <c r="I74" s="109"/>
      <c r="J74" s="109"/>
      <c r="K74" s="109"/>
      <c r="L74" s="109"/>
      <c r="M74" s="109"/>
      <c r="N74" s="109"/>
      <c r="O74" s="109"/>
      <c r="P74" s="109"/>
      <c r="Q74" s="109"/>
      <c r="R74" s="109"/>
      <c r="S74" s="109"/>
      <c r="T74" s="109"/>
      <c r="U74" s="109"/>
      <c r="V74" s="109"/>
      <c r="W74" s="109"/>
      <c r="X74" s="109"/>
      <c r="Y74" s="109"/>
      <c r="Z74" s="109"/>
    </row>
    <row r="75" ht="29.25" customHeight="1">
      <c r="A75" s="109"/>
      <c r="B75" s="109"/>
      <c r="C75" s="109"/>
      <c r="D75" s="109"/>
      <c r="E75" s="109"/>
      <c r="F75" s="109"/>
      <c r="G75" s="317"/>
      <c r="H75" s="109"/>
      <c r="I75" s="109"/>
      <c r="J75" s="109"/>
      <c r="K75" s="109"/>
      <c r="L75" s="109"/>
      <c r="M75" s="109"/>
      <c r="N75" s="109"/>
      <c r="O75" s="109"/>
      <c r="P75" s="109"/>
      <c r="Q75" s="109"/>
      <c r="R75" s="109"/>
      <c r="S75" s="109"/>
      <c r="T75" s="109"/>
      <c r="U75" s="109"/>
      <c r="V75" s="109"/>
      <c r="W75" s="109"/>
      <c r="X75" s="109"/>
      <c r="Y75" s="109"/>
      <c r="Z75" s="109"/>
    </row>
    <row r="76" ht="29.25" customHeight="1">
      <c r="A76" s="109"/>
      <c r="B76" s="109"/>
      <c r="C76" s="109"/>
      <c r="D76" s="109"/>
      <c r="E76" s="109"/>
      <c r="F76" s="109"/>
      <c r="G76" s="317"/>
      <c r="H76" s="109"/>
      <c r="I76" s="109"/>
      <c r="J76" s="109"/>
      <c r="K76" s="109"/>
      <c r="L76" s="109"/>
      <c r="M76" s="109"/>
      <c r="N76" s="109"/>
      <c r="O76" s="109"/>
      <c r="P76" s="109"/>
      <c r="Q76" s="109"/>
      <c r="R76" s="109"/>
      <c r="S76" s="109"/>
      <c r="T76" s="109"/>
      <c r="U76" s="109"/>
      <c r="V76" s="109"/>
      <c r="W76" s="109"/>
      <c r="X76" s="109"/>
      <c r="Y76" s="109"/>
      <c r="Z76" s="109"/>
    </row>
    <row r="77" ht="29.25" customHeight="1">
      <c r="A77" s="109"/>
      <c r="B77" s="109"/>
      <c r="C77" s="109"/>
      <c r="D77" s="109"/>
      <c r="E77" s="109"/>
      <c r="F77" s="109"/>
      <c r="G77" s="317"/>
      <c r="H77" s="109"/>
      <c r="I77" s="109"/>
      <c r="J77" s="109"/>
      <c r="K77" s="109"/>
      <c r="L77" s="109"/>
      <c r="M77" s="109"/>
      <c r="N77" s="109"/>
      <c r="O77" s="109"/>
      <c r="P77" s="109"/>
      <c r="Q77" s="109"/>
      <c r="R77" s="109"/>
      <c r="S77" s="109"/>
      <c r="T77" s="109"/>
      <c r="U77" s="109"/>
      <c r="V77" s="109"/>
      <c r="W77" s="109"/>
      <c r="X77" s="109"/>
      <c r="Y77" s="109"/>
      <c r="Z77" s="109"/>
    </row>
    <row r="78" ht="29.25" customHeight="1">
      <c r="A78" s="109"/>
      <c r="B78" s="109"/>
      <c r="C78" s="109"/>
      <c r="D78" s="109"/>
      <c r="E78" s="109"/>
      <c r="F78" s="109"/>
      <c r="G78" s="317"/>
      <c r="H78" s="109"/>
      <c r="I78" s="109"/>
      <c r="J78" s="109"/>
      <c r="K78" s="109"/>
      <c r="L78" s="109"/>
      <c r="M78" s="109"/>
      <c r="N78" s="109"/>
      <c r="O78" s="109"/>
      <c r="P78" s="109"/>
      <c r="Q78" s="109"/>
      <c r="R78" s="109"/>
      <c r="S78" s="109"/>
      <c r="T78" s="109"/>
      <c r="U78" s="109"/>
      <c r="V78" s="109"/>
      <c r="W78" s="109"/>
      <c r="X78" s="109"/>
      <c r="Y78" s="109"/>
      <c r="Z78" s="109"/>
    </row>
    <row r="79" ht="29.25" customHeight="1">
      <c r="A79" s="109"/>
      <c r="B79" s="109"/>
      <c r="C79" s="109"/>
      <c r="D79" s="109"/>
      <c r="E79" s="109"/>
      <c r="F79" s="109"/>
      <c r="G79" s="317"/>
      <c r="H79" s="109"/>
      <c r="I79" s="109"/>
      <c r="J79" s="109"/>
      <c r="K79" s="109"/>
      <c r="L79" s="109"/>
      <c r="M79" s="109"/>
      <c r="N79" s="109"/>
      <c r="O79" s="109"/>
      <c r="P79" s="109"/>
      <c r="Q79" s="109"/>
      <c r="R79" s="109"/>
      <c r="S79" s="109"/>
      <c r="T79" s="109"/>
      <c r="U79" s="109"/>
      <c r="V79" s="109"/>
      <c r="W79" s="109"/>
      <c r="X79" s="109"/>
      <c r="Y79" s="109"/>
      <c r="Z79" s="109"/>
    </row>
    <row r="80" ht="29.25" customHeight="1">
      <c r="A80" s="109"/>
      <c r="B80" s="109"/>
      <c r="C80" s="109"/>
      <c r="D80" s="109"/>
      <c r="E80" s="109"/>
      <c r="F80" s="109"/>
      <c r="G80" s="317"/>
      <c r="H80" s="109"/>
      <c r="I80" s="109"/>
      <c r="J80" s="109"/>
      <c r="K80" s="109"/>
      <c r="L80" s="109"/>
      <c r="M80" s="109"/>
      <c r="N80" s="109"/>
      <c r="O80" s="109"/>
      <c r="P80" s="109"/>
      <c r="Q80" s="109"/>
      <c r="R80" s="109"/>
      <c r="S80" s="109"/>
      <c r="T80" s="109"/>
      <c r="U80" s="109"/>
      <c r="V80" s="109"/>
      <c r="W80" s="109"/>
      <c r="X80" s="109"/>
      <c r="Y80" s="109"/>
      <c r="Z80" s="109"/>
    </row>
    <row r="81" ht="29.25" customHeight="1">
      <c r="A81" s="109"/>
      <c r="B81" s="109"/>
      <c r="C81" s="109"/>
      <c r="D81" s="109"/>
      <c r="E81" s="109"/>
      <c r="F81" s="109"/>
      <c r="G81" s="317"/>
      <c r="H81" s="109"/>
      <c r="I81" s="109"/>
      <c r="J81" s="109"/>
      <c r="K81" s="109"/>
      <c r="L81" s="109"/>
      <c r="M81" s="109"/>
      <c r="N81" s="109"/>
      <c r="O81" s="109"/>
      <c r="P81" s="109"/>
      <c r="Q81" s="109"/>
      <c r="R81" s="109"/>
      <c r="S81" s="109"/>
      <c r="T81" s="109"/>
      <c r="U81" s="109"/>
      <c r="V81" s="109"/>
      <c r="W81" s="109"/>
      <c r="X81" s="109"/>
      <c r="Y81" s="109"/>
      <c r="Z81" s="109"/>
    </row>
    <row r="82" ht="29.25" customHeight="1">
      <c r="A82" s="109"/>
      <c r="B82" s="109"/>
      <c r="C82" s="109"/>
      <c r="D82" s="109"/>
      <c r="E82" s="109"/>
      <c r="F82" s="109"/>
      <c r="G82" s="317"/>
      <c r="H82" s="109"/>
      <c r="I82" s="109"/>
      <c r="J82" s="109"/>
      <c r="K82" s="109"/>
      <c r="L82" s="109"/>
      <c r="M82" s="109"/>
      <c r="N82" s="109"/>
      <c r="O82" s="109"/>
      <c r="P82" s="109"/>
      <c r="Q82" s="109"/>
      <c r="R82" s="109"/>
      <c r="S82" s="109"/>
      <c r="T82" s="109"/>
      <c r="U82" s="109"/>
      <c r="V82" s="109"/>
      <c r="W82" s="109"/>
      <c r="X82" s="109"/>
      <c r="Y82" s="109"/>
      <c r="Z82" s="109"/>
    </row>
    <row r="83" ht="29.25" customHeight="1">
      <c r="A83" s="109"/>
      <c r="B83" s="109"/>
      <c r="C83" s="109"/>
      <c r="D83" s="109"/>
      <c r="E83" s="109"/>
      <c r="F83" s="109"/>
      <c r="G83" s="317"/>
      <c r="H83" s="109"/>
      <c r="I83" s="109"/>
      <c r="J83" s="109"/>
      <c r="K83" s="109"/>
      <c r="L83" s="109"/>
      <c r="M83" s="109"/>
      <c r="N83" s="109"/>
      <c r="O83" s="109"/>
      <c r="P83" s="109"/>
      <c r="Q83" s="109"/>
      <c r="R83" s="109"/>
      <c r="S83" s="109"/>
      <c r="T83" s="109"/>
      <c r="U83" s="109"/>
      <c r="V83" s="109"/>
      <c r="W83" s="109"/>
      <c r="X83" s="109"/>
      <c r="Y83" s="109"/>
      <c r="Z83" s="109"/>
    </row>
    <row r="84" ht="29.25" customHeight="1">
      <c r="A84" s="109"/>
      <c r="B84" s="109"/>
      <c r="C84" s="109"/>
      <c r="D84" s="109"/>
      <c r="E84" s="109"/>
      <c r="F84" s="109"/>
      <c r="G84" s="317"/>
      <c r="H84" s="109"/>
      <c r="I84" s="109"/>
      <c r="J84" s="109"/>
      <c r="K84" s="109"/>
      <c r="L84" s="109"/>
      <c r="M84" s="109"/>
      <c r="N84" s="109"/>
      <c r="O84" s="109"/>
      <c r="P84" s="109"/>
      <c r="Q84" s="109"/>
      <c r="R84" s="109"/>
      <c r="S84" s="109"/>
      <c r="T84" s="109"/>
      <c r="U84" s="109"/>
      <c r="V84" s="109"/>
      <c r="W84" s="109"/>
      <c r="X84" s="109"/>
      <c r="Y84" s="109"/>
      <c r="Z84" s="109"/>
    </row>
    <row r="85" ht="29.25" customHeight="1">
      <c r="A85" s="109"/>
      <c r="B85" s="109"/>
      <c r="C85" s="109"/>
      <c r="D85" s="109"/>
      <c r="E85" s="109"/>
      <c r="F85" s="109"/>
      <c r="G85" s="317"/>
      <c r="H85" s="109"/>
      <c r="I85" s="109"/>
      <c r="J85" s="109"/>
      <c r="K85" s="109"/>
      <c r="L85" s="109"/>
      <c r="M85" s="109"/>
      <c r="N85" s="109"/>
      <c r="O85" s="109"/>
      <c r="P85" s="109"/>
      <c r="Q85" s="109"/>
      <c r="R85" s="109"/>
      <c r="S85" s="109"/>
      <c r="T85" s="109"/>
      <c r="U85" s="109"/>
      <c r="V85" s="109"/>
      <c r="W85" s="109"/>
      <c r="X85" s="109"/>
      <c r="Y85" s="109"/>
      <c r="Z85" s="109"/>
    </row>
    <row r="86" ht="29.25" customHeight="1">
      <c r="A86" s="109"/>
      <c r="B86" s="109"/>
      <c r="C86" s="109"/>
      <c r="D86" s="109"/>
      <c r="E86" s="109"/>
      <c r="F86" s="109"/>
      <c r="G86" s="317"/>
      <c r="H86" s="109"/>
      <c r="I86" s="109"/>
      <c r="J86" s="109"/>
      <c r="K86" s="109"/>
      <c r="L86" s="109"/>
      <c r="M86" s="109"/>
      <c r="N86" s="109"/>
      <c r="O86" s="109"/>
      <c r="P86" s="109"/>
      <c r="Q86" s="109"/>
      <c r="R86" s="109"/>
      <c r="S86" s="109"/>
      <c r="T86" s="109"/>
      <c r="U86" s="109"/>
      <c r="V86" s="109"/>
      <c r="W86" s="109"/>
      <c r="X86" s="109"/>
      <c r="Y86" s="109"/>
      <c r="Z86" s="109"/>
    </row>
    <row r="87" ht="29.25" customHeight="1">
      <c r="A87" s="109"/>
      <c r="B87" s="109"/>
      <c r="C87" s="109"/>
      <c r="D87" s="109"/>
      <c r="E87" s="109"/>
      <c r="F87" s="109"/>
      <c r="G87" s="317"/>
      <c r="H87" s="109"/>
      <c r="I87" s="109"/>
      <c r="J87" s="109"/>
      <c r="K87" s="109"/>
      <c r="L87" s="109"/>
      <c r="M87" s="109"/>
      <c r="N87" s="109"/>
      <c r="O87" s="109"/>
      <c r="P87" s="109"/>
      <c r="Q87" s="109"/>
      <c r="R87" s="109"/>
      <c r="S87" s="109"/>
      <c r="T87" s="109"/>
      <c r="U87" s="109"/>
      <c r="V87" s="109"/>
      <c r="W87" s="109"/>
      <c r="X87" s="109"/>
      <c r="Y87" s="109"/>
      <c r="Z87" s="109"/>
    </row>
    <row r="88" ht="29.25" customHeight="1">
      <c r="A88" s="109"/>
      <c r="B88" s="109"/>
      <c r="C88" s="109"/>
      <c r="D88" s="109"/>
      <c r="E88" s="109"/>
      <c r="F88" s="109"/>
      <c r="G88" s="317"/>
      <c r="H88" s="109"/>
      <c r="I88" s="109"/>
      <c r="J88" s="109"/>
      <c r="K88" s="109"/>
      <c r="L88" s="109"/>
      <c r="M88" s="109"/>
      <c r="N88" s="109"/>
      <c r="O88" s="109"/>
      <c r="P88" s="109"/>
      <c r="Q88" s="109"/>
      <c r="R88" s="109"/>
      <c r="S88" s="109"/>
      <c r="T88" s="109"/>
      <c r="U88" s="109"/>
      <c r="V88" s="109"/>
      <c r="W88" s="109"/>
      <c r="X88" s="109"/>
      <c r="Y88" s="109"/>
      <c r="Z88" s="109"/>
    </row>
    <row r="89" ht="29.25" customHeight="1">
      <c r="A89" s="109"/>
      <c r="B89" s="109"/>
      <c r="C89" s="109"/>
      <c r="D89" s="109"/>
      <c r="E89" s="109"/>
      <c r="F89" s="109"/>
      <c r="G89" s="317"/>
      <c r="H89" s="109"/>
      <c r="I89" s="109"/>
      <c r="J89" s="109"/>
      <c r="K89" s="109"/>
      <c r="L89" s="109"/>
      <c r="M89" s="109"/>
      <c r="N89" s="109"/>
      <c r="O89" s="109"/>
      <c r="P89" s="109"/>
      <c r="Q89" s="109"/>
      <c r="R89" s="109"/>
      <c r="S89" s="109"/>
      <c r="T89" s="109"/>
      <c r="U89" s="109"/>
      <c r="V89" s="109"/>
      <c r="W89" s="109"/>
      <c r="X89" s="109"/>
      <c r="Y89" s="109"/>
      <c r="Z89" s="109"/>
    </row>
    <row r="90" ht="29.25" customHeight="1">
      <c r="A90" s="109"/>
      <c r="B90" s="109"/>
      <c r="C90" s="109"/>
      <c r="D90" s="109"/>
      <c r="E90" s="109"/>
      <c r="F90" s="109"/>
      <c r="G90" s="317"/>
      <c r="H90" s="109"/>
      <c r="I90" s="109"/>
      <c r="J90" s="109"/>
      <c r="K90" s="109"/>
      <c r="L90" s="109"/>
      <c r="M90" s="109"/>
      <c r="N90" s="109"/>
      <c r="O90" s="109"/>
      <c r="P90" s="109"/>
      <c r="Q90" s="109"/>
      <c r="R90" s="109"/>
      <c r="S90" s="109"/>
      <c r="T90" s="109"/>
      <c r="U90" s="109"/>
      <c r="V90" s="109"/>
      <c r="W90" s="109"/>
      <c r="X90" s="109"/>
      <c r="Y90" s="109"/>
      <c r="Z90" s="109"/>
    </row>
    <row r="91" ht="29.25" customHeight="1">
      <c r="A91" s="109"/>
      <c r="B91" s="109"/>
      <c r="C91" s="109"/>
      <c r="D91" s="109"/>
      <c r="E91" s="109"/>
      <c r="F91" s="109"/>
      <c r="G91" s="317"/>
      <c r="H91" s="109"/>
      <c r="I91" s="109"/>
      <c r="J91" s="109"/>
      <c r="K91" s="109"/>
      <c r="L91" s="109"/>
      <c r="M91" s="109"/>
      <c r="N91" s="109"/>
      <c r="O91" s="109"/>
      <c r="P91" s="109"/>
      <c r="Q91" s="109"/>
      <c r="R91" s="109"/>
      <c r="S91" s="109"/>
      <c r="T91" s="109"/>
      <c r="U91" s="109"/>
      <c r="V91" s="109"/>
      <c r="W91" s="109"/>
      <c r="X91" s="109"/>
      <c r="Y91" s="109"/>
      <c r="Z91" s="109"/>
    </row>
    <row r="92" ht="29.25" customHeight="1">
      <c r="A92" s="109"/>
      <c r="B92" s="109"/>
      <c r="C92" s="109"/>
      <c r="D92" s="109"/>
      <c r="E92" s="109"/>
      <c r="F92" s="109"/>
      <c r="G92" s="317"/>
      <c r="H92" s="109"/>
      <c r="I92" s="109"/>
      <c r="J92" s="109"/>
      <c r="K92" s="109"/>
      <c r="L92" s="109"/>
      <c r="M92" s="109"/>
      <c r="N92" s="109"/>
      <c r="O92" s="109"/>
      <c r="P92" s="109"/>
      <c r="Q92" s="109"/>
      <c r="R92" s="109"/>
      <c r="S92" s="109"/>
      <c r="T92" s="109"/>
      <c r="U92" s="109"/>
      <c r="V92" s="109"/>
      <c r="W92" s="109"/>
      <c r="X92" s="109"/>
      <c r="Y92" s="109"/>
      <c r="Z92" s="109"/>
    </row>
    <row r="93" ht="29.25" customHeight="1">
      <c r="A93" s="109"/>
      <c r="B93" s="109"/>
      <c r="C93" s="109"/>
      <c r="D93" s="109"/>
      <c r="E93" s="109"/>
      <c r="F93" s="109"/>
      <c r="G93" s="317"/>
      <c r="H93" s="109"/>
      <c r="I93" s="109"/>
      <c r="J93" s="109"/>
      <c r="K93" s="109"/>
      <c r="L93" s="109"/>
      <c r="M93" s="109"/>
      <c r="N93" s="109"/>
      <c r="O93" s="109"/>
      <c r="P93" s="109"/>
      <c r="Q93" s="109"/>
      <c r="R93" s="109"/>
      <c r="S93" s="109"/>
      <c r="T93" s="109"/>
      <c r="U93" s="109"/>
      <c r="V93" s="109"/>
      <c r="W93" s="109"/>
      <c r="X93" s="109"/>
      <c r="Y93" s="109"/>
      <c r="Z93" s="109"/>
    </row>
    <row r="94" ht="29.25" customHeight="1">
      <c r="A94" s="109"/>
      <c r="B94" s="109"/>
      <c r="C94" s="109"/>
      <c r="D94" s="109"/>
      <c r="E94" s="109"/>
      <c r="F94" s="109"/>
      <c r="G94" s="317"/>
      <c r="H94" s="109"/>
      <c r="I94" s="109"/>
      <c r="J94" s="109"/>
      <c r="K94" s="109"/>
      <c r="L94" s="109"/>
      <c r="M94" s="109"/>
      <c r="N94" s="109"/>
      <c r="O94" s="109"/>
      <c r="P94" s="109"/>
      <c r="Q94" s="109"/>
      <c r="R94" s="109"/>
      <c r="S94" s="109"/>
      <c r="T94" s="109"/>
      <c r="U94" s="109"/>
      <c r="V94" s="109"/>
      <c r="W94" s="109"/>
      <c r="X94" s="109"/>
      <c r="Y94" s="109"/>
      <c r="Z94" s="109"/>
    </row>
    <row r="95" ht="29.25" customHeight="1">
      <c r="A95" s="109"/>
      <c r="B95" s="109"/>
      <c r="C95" s="109"/>
      <c r="D95" s="109"/>
      <c r="E95" s="109"/>
      <c r="F95" s="109"/>
      <c r="G95" s="317"/>
      <c r="H95" s="109"/>
      <c r="I95" s="109"/>
      <c r="J95" s="109"/>
      <c r="K95" s="109"/>
      <c r="L95" s="109"/>
      <c r="M95" s="109"/>
      <c r="N95" s="109"/>
      <c r="O95" s="109"/>
      <c r="P95" s="109"/>
      <c r="Q95" s="109"/>
      <c r="R95" s="109"/>
      <c r="S95" s="109"/>
      <c r="T95" s="109"/>
      <c r="U95" s="109"/>
      <c r="V95" s="109"/>
      <c r="W95" s="109"/>
      <c r="X95" s="109"/>
      <c r="Y95" s="109"/>
      <c r="Z95" s="109"/>
    </row>
    <row r="96" ht="29.25" customHeight="1">
      <c r="A96" s="109"/>
      <c r="B96" s="109"/>
      <c r="C96" s="109"/>
      <c r="D96" s="109"/>
      <c r="E96" s="109"/>
      <c r="F96" s="109"/>
      <c r="G96" s="317"/>
      <c r="H96" s="109"/>
      <c r="I96" s="109"/>
      <c r="J96" s="109"/>
      <c r="K96" s="109"/>
      <c r="L96" s="109"/>
      <c r="M96" s="109"/>
      <c r="N96" s="109"/>
      <c r="O96" s="109"/>
      <c r="P96" s="109"/>
      <c r="Q96" s="109"/>
      <c r="R96" s="109"/>
      <c r="S96" s="109"/>
      <c r="T96" s="109"/>
      <c r="U96" s="109"/>
      <c r="V96" s="109"/>
      <c r="W96" s="109"/>
      <c r="X96" s="109"/>
      <c r="Y96" s="109"/>
      <c r="Z96" s="109"/>
    </row>
    <row r="97" ht="29.25" customHeight="1">
      <c r="A97" s="109"/>
      <c r="B97" s="109"/>
      <c r="C97" s="109"/>
      <c r="D97" s="109"/>
      <c r="E97" s="109"/>
      <c r="F97" s="109"/>
      <c r="G97" s="317"/>
      <c r="H97" s="109"/>
      <c r="I97" s="109"/>
      <c r="J97" s="109"/>
      <c r="K97" s="109"/>
      <c r="L97" s="109"/>
      <c r="M97" s="109"/>
      <c r="N97" s="109"/>
      <c r="O97" s="109"/>
      <c r="P97" s="109"/>
      <c r="Q97" s="109"/>
      <c r="R97" s="109"/>
      <c r="S97" s="109"/>
      <c r="T97" s="109"/>
      <c r="U97" s="109"/>
      <c r="V97" s="109"/>
      <c r="W97" s="109"/>
      <c r="X97" s="109"/>
      <c r="Y97" s="109"/>
      <c r="Z97" s="109"/>
    </row>
    <row r="98" ht="29.25" customHeight="1">
      <c r="A98" s="109"/>
      <c r="B98" s="109"/>
      <c r="C98" s="109"/>
      <c r="D98" s="109"/>
      <c r="E98" s="109"/>
      <c r="F98" s="109"/>
      <c r="G98" s="317"/>
      <c r="H98" s="109"/>
      <c r="I98" s="109"/>
      <c r="J98" s="109"/>
      <c r="K98" s="109"/>
      <c r="L98" s="109"/>
      <c r="M98" s="109"/>
      <c r="N98" s="109"/>
      <c r="O98" s="109"/>
      <c r="P98" s="109"/>
      <c r="Q98" s="109"/>
      <c r="R98" s="109"/>
      <c r="S98" s="109"/>
      <c r="T98" s="109"/>
      <c r="U98" s="109"/>
      <c r="V98" s="109"/>
      <c r="W98" s="109"/>
      <c r="X98" s="109"/>
      <c r="Y98" s="109"/>
      <c r="Z98" s="109"/>
    </row>
    <row r="99" ht="29.25" customHeight="1">
      <c r="A99" s="109"/>
      <c r="B99" s="109"/>
      <c r="C99" s="109"/>
      <c r="D99" s="109"/>
      <c r="E99" s="109"/>
      <c r="F99" s="109"/>
      <c r="G99" s="317"/>
      <c r="H99" s="109"/>
      <c r="I99" s="109"/>
      <c r="J99" s="109"/>
      <c r="K99" s="109"/>
      <c r="L99" s="109"/>
      <c r="M99" s="109"/>
      <c r="N99" s="109"/>
      <c r="O99" s="109"/>
      <c r="P99" s="109"/>
      <c r="Q99" s="109"/>
      <c r="R99" s="109"/>
      <c r="S99" s="109"/>
      <c r="T99" s="109"/>
      <c r="U99" s="109"/>
      <c r="V99" s="109"/>
      <c r="W99" s="109"/>
      <c r="X99" s="109"/>
      <c r="Y99" s="109"/>
      <c r="Z99" s="109"/>
    </row>
    <row r="100" ht="29.25" customHeight="1">
      <c r="A100" s="109"/>
      <c r="B100" s="109"/>
      <c r="C100" s="109"/>
      <c r="D100" s="109"/>
      <c r="E100" s="109"/>
      <c r="F100" s="109"/>
      <c r="G100" s="317"/>
      <c r="H100" s="109"/>
      <c r="I100" s="109"/>
      <c r="J100" s="109"/>
      <c r="K100" s="109"/>
      <c r="L100" s="109"/>
      <c r="M100" s="109"/>
      <c r="N100" s="109"/>
      <c r="O100" s="109"/>
      <c r="P100" s="109"/>
      <c r="Q100" s="109"/>
      <c r="R100" s="109"/>
      <c r="S100" s="109"/>
      <c r="T100" s="109"/>
      <c r="U100" s="109"/>
      <c r="V100" s="109"/>
      <c r="W100" s="109"/>
      <c r="X100" s="109"/>
      <c r="Y100" s="109"/>
      <c r="Z100" s="109"/>
    </row>
    <row r="101" ht="29.25" customHeight="1">
      <c r="A101" s="109"/>
      <c r="B101" s="109"/>
      <c r="C101" s="109"/>
      <c r="D101" s="109"/>
      <c r="E101" s="109"/>
      <c r="F101" s="109"/>
      <c r="G101" s="317"/>
      <c r="H101" s="109"/>
      <c r="I101" s="109"/>
      <c r="J101" s="109"/>
      <c r="K101" s="109"/>
      <c r="L101" s="109"/>
      <c r="M101" s="109"/>
      <c r="N101" s="109"/>
      <c r="O101" s="109"/>
      <c r="P101" s="109"/>
      <c r="Q101" s="109"/>
      <c r="R101" s="109"/>
      <c r="S101" s="109"/>
      <c r="T101" s="109"/>
      <c r="U101" s="109"/>
      <c r="V101" s="109"/>
      <c r="W101" s="109"/>
      <c r="X101" s="109"/>
      <c r="Y101" s="109"/>
      <c r="Z101" s="109"/>
    </row>
    <row r="102" ht="29.25" customHeight="1">
      <c r="A102" s="109"/>
      <c r="B102" s="109"/>
      <c r="C102" s="109"/>
      <c r="D102" s="109"/>
      <c r="E102" s="109"/>
      <c r="F102" s="109"/>
      <c r="G102" s="317"/>
      <c r="H102" s="109"/>
      <c r="I102" s="109"/>
      <c r="J102" s="109"/>
      <c r="K102" s="109"/>
      <c r="L102" s="109"/>
      <c r="M102" s="109"/>
      <c r="N102" s="109"/>
      <c r="O102" s="109"/>
      <c r="P102" s="109"/>
      <c r="Q102" s="109"/>
      <c r="R102" s="109"/>
      <c r="S102" s="109"/>
      <c r="T102" s="109"/>
      <c r="U102" s="109"/>
      <c r="V102" s="109"/>
      <c r="W102" s="109"/>
      <c r="X102" s="109"/>
      <c r="Y102" s="109"/>
      <c r="Z102" s="109"/>
    </row>
    <row r="103" ht="29.25" customHeight="1">
      <c r="A103" s="109"/>
      <c r="B103" s="109"/>
      <c r="C103" s="109"/>
      <c r="D103" s="109"/>
      <c r="E103" s="109"/>
      <c r="F103" s="109"/>
      <c r="G103" s="317"/>
      <c r="H103" s="109"/>
      <c r="I103" s="109"/>
      <c r="J103" s="109"/>
      <c r="K103" s="109"/>
      <c r="L103" s="109"/>
      <c r="M103" s="109"/>
      <c r="N103" s="109"/>
      <c r="O103" s="109"/>
      <c r="P103" s="109"/>
      <c r="Q103" s="109"/>
      <c r="R103" s="109"/>
      <c r="S103" s="109"/>
      <c r="T103" s="109"/>
      <c r="U103" s="109"/>
      <c r="V103" s="109"/>
      <c r="W103" s="109"/>
      <c r="X103" s="109"/>
      <c r="Y103" s="109"/>
      <c r="Z103" s="109"/>
    </row>
    <row r="104" ht="29.25" customHeight="1">
      <c r="A104" s="109"/>
      <c r="B104" s="109"/>
      <c r="C104" s="109"/>
      <c r="D104" s="109"/>
      <c r="E104" s="109"/>
      <c r="F104" s="109"/>
      <c r="G104" s="317"/>
      <c r="H104" s="109"/>
      <c r="I104" s="109"/>
      <c r="J104" s="109"/>
      <c r="K104" s="109"/>
      <c r="L104" s="109"/>
      <c r="M104" s="109"/>
      <c r="N104" s="109"/>
      <c r="O104" s="109"/>
      <c r="P104" s="109"/>
      <c r="Q104" s="109"/>
      <c r="R104" s="109"/>
      <c r="S104" s="109"/>
      <c r="T104" s="109"/>
      <c r="U104" s="109"/>
      <c r="V104" s="109"/>
      <c r="W104" s="109"/>
      <c r="X104" s="109"/>
      <c r="Y104" s="109"/>
      <c r="Z104" s="109"/>
    </row>
    <row r="105" ht="29.25" customHeight="1">
      <c r="A105" s="109"/>
      <c r="B105" s="109"/>
      <c r="C105" s="109"/>
      <c r="D105" s="109"/>
      <c r="E105" s="109"/>
      <c r="F105" s="109"/>
      <c r="G105" s="317"/>
      <c r="H105" s="109"/>
      <c r="I105" s="109"/>
      <c r="J105" s="109"/>
      <c r="K105" s="109"/>
      <c r="L105" s="109"/>
      <c r="M105" s="109"/>
      <c r="N105" s="109"/>
      <c r="O105" s="109"/>
      <c r="P105" s="109"/>
      <c r="Q105" s="109"/>
      <c r="R105" s="109"/>
      <c r="S105" s="109"/>
      <c r="T105" s="109"/>
      <c r="U105" s="109"/>
      <c r="V105" s="109"/>
      <c r="W105" s="109"/>
      <c r="X105" s="109"/>
      <c r="Y105" s="109"/>
      <c r="Z105" s="109"/>
    </row>
    <row r="106" ht="29.25" customHeight="1">
      <c r="A106" s="109"/>
      <c r="B106" s="109"/>
      <c r="C106" s="109"/>
      <c r="D106" s="109"/>
      <c r="E106" s="109"/>
      <c r="F106" s="109"/>
      <c r="G106" s="317"/>
      <c r="H106" s="109"/>
      <c r="I106" s="109"/>
      <c r="J106" s="109"/>
      <c r="K106" s="109"/>
      <c r="L106" s="109"/>
      <c r="M106" s="109"/>
      <c r="N106" s="109"/>
      <c r="O106" s="109"/>
      <c r="P106" s="109"/>
      <c r="Q106" s="109"/>
      <c r="R106" s="109"/>
      <c r="S106" s="109"/>
      <c r="T106" s="109"/>
      <c r="U106" s="109"/>
      <c r="V106" s="109"/>
      <c r="W106" s="109"/>
      <c r="X106" s="109"/>
      <c r="Y106" s="109"/>
      <c r="Z106" s="109"/>
    </row>
    <row r="107" ht="29.25" customHeight="1">
      <c r="A107" s="109"/>
      <c r="B107" s="109"/>
      <c r="C107" s="109"/>
      <c r="D107" s="109"/>
      <c r="E107" s="109"/>
      <c r="F107" s="109"/>
      <c r="G107" s="317"/>
      <c r="H107" s="109"/>
      <c r="I107" s="109"/>
      <c r="J107" s="109"/>
      <c r="K107" s="109"/>
      <c r="L107" s="109"/>
      <c r="M107" s="109"/>
      <c r="N107" s="109"/>
      <c r="O107" s="109"/>
      <c r="P107" s="109"/>
      <c r="Q107" s="109"/>
      <c r="R107" s="109"/>
      <c r="S107" s="109"/>
      <c r="T107" s="109"/>
      <c r="U107" s="109"/>
      <c r="V107" s="109"/>
      <c r="W107" s="109"/>
      <c r="X107" s="109"/>
      <c r="Y107" s="109"/>
      <c r="Z107" s="109"/>
    </row>
    <row r="108" ht="29.25" customHeight="1">
      <c r="A108" s="109"/>
      <c r="B108" s="109"/>
      <c r="C108" s="109"/>
      <c r="D108" s="109"/>
      <c r="E108" s="109"/>
      <c r="F108" s="109"/>
      <c r="G108" s="317"/>
      <c r="H108" s="109"/>
      <c r="I108" s="109"/>
      <c r="J108" s="109"/>
      <c r="K108" s="109"/>
      <c r="L108" s="109"/>
      <c r="M108" s="109"/>
      <c r="N108" s="109"/>
      <c r="O108" s="109"/>
      <c r="P108" s="109"/>
      <c r="Q108" s="109"/>
      <c r="R108" s="109"/>
      <c r="S108" s="109"/>
      <c r="T108" s="109"/>
      <c r="U108" s="109"/>
      <c r="V108" s="109"/>
      <c r="W108" s="109"/>
      <c r="X108" s="109"/>
      <c r="Y108" s="109"/>
      <c r="Z108" s="109"/>
    </row>
    <row r="109" ht="29.25" customHeight="1">
      <c r="A109" s="109"/>
      <c r="B109" s="109"/>
      <c r="C109" s="109"/>
      <c r="D109" s="109"/>
      <c r="E109" s="109"/>
      <c r="F109" s="109"/>
      <c r="G109" s="317"/>
      <c r="H109" s="109"/>
      <c r="I109" s="109"/>
      <c r="J109" s="109"/>
      <c r="K109" s="109"/>
      <c r="L109" s="109"/>
      <c r="M109" s="109"/>
      <c r="N109" s="109"/>
      <c r="O109" s="109"/>
      <c r="P109" s="109"/>
      <c r="Q109" s="109"/>
      <c r="R109" s="109"/>
      <c r="S109" s="109"/>
      <c r="T109" s="109"/>
      <c r="U109" s="109"/>
      <c r="V109" s="109"/>
      <c r="W109" s="109"/>
      <c r="X109" s="109"/>
      <c r="Y109" s="109"/>
      <c r="Z109" s="109"/>
    </row>
    <row r="110" ht="29.25" customHeight="1">
      <c r="A110" s="109"/>
      <c r="B110" s="109"/>
      <c r="C110" s="109"/>
      <c r="D110" s="109"/>
      <c r="E110" s="109"/>
      <c r="F110" s="109"/>
      <c r="G110" s="317"/>
      <c r="H110" s="109"/>
      <c r="I110" s="109"/>
      <c r="J110" s="109"/>
      <c r="K110" s="109"/>
      <c r="L110" s="109"/>
      <c r="M110" s="109"/>
      <c r="N110" s="109"/>
      <c r="O110" s="109"/>
      <c r="P110" s="109"/>
      <c r="Q110" s="109"/>
      <c r="R110" s="109"/>
      <c r="S110" s="109"/>
      <c r="T110" s="109"/>
      <c r="U110" s="109"/>
      <c r="V110" s="109"/>
      <c r="W110" s="109"/>
      <c r="X110" s="109"/>
      <c r="Y110" s="109"/>
      <c r="Z110" s="109"/>
    </row>
    <row r="111" ht="29.25" customHeight="1">
      <c r="A111" s="109"/>
      <c r="B111" s="109"/>
      <c r="C111" s="109"/>
      <c r="D111" s="109"/>
      <c r="E111" s="109"/>
      <c r="F111" s="109"/>
      <c r="G111" s="317"/>
      <c r="H111" s="109"/>
      <c r="I111" s="109"/>
      <c r="J111" s="109"/>
      <c r="K111" s="109"/>
      <c r="L111" s="109"/>
      <c r="M111" s="109"/>
      <c r="N111" s="109"/>
      <c r="O111" s="109"/>
      <c r="P111" s="109"/>
      <c r="Q111" s="109"/>
      <c r="R111" s="109"/>
      <c r="S111" s="109"/>
      <c r="T111" s="109"/>
      <c r="U111" s="109"/>
      <c r="V111" s="109"/>
      <c r="W111" s="109"/>
      <c r="X111" s="109"/>
      <c r="Y111" s="109"/>
      <c r="Z111" s="109"/>
    </row>
    <row r="112" ht="29.25" customHeight="1">
      <c r="A112" s="109"/>
      <c r="B112" s="109"/>
      <c r="C112" s="109"/>
      <c r="D112" s="109"/>
      <c r="E112" s="109"/>
      <c r="F112" s="109"/>
      <c r="G112" s="317"/>
      <c r="H112" s="109"/>
      <c r="I112" s="109"/>
      <c r="J112" s="109"/>
      <c r="K112" s="109"/>
      <c r="L112" s="109"/>
      <c r="M112" s="109"/>
      <c r="N112" s="109"/>
      <c r="O112" s="109"/>
      <c r="P112" s="109"/>
      <c r="Q112" s="109"/>
      <c r="R112" s="109"/>
      <c r="S112" s="109"/>
      <c r="T112" s="109"/>
      <c r="U112" s="109"/>
      <c r="V112" s="109"/>
      <c r="W112" s="109"/>
      <c r="X112" s="109"/>
      <c r="Y112" s="109"/>
      <c r="Z112" s="109"/>
    </row>
    <row r="113" ht="29.25" customHeight="1">
      <c r="A113" s="109"/>
      <c r="B113" s="109"/>
      <c r="C113" s="109"/>
      <c r="D113" s="109"/>
      <c r="E113" s="109"/>
      <c r="F113" s="109"/>
      <c r="G113" s="317"/>
      <c r="H113" s="109"/>
      <c r="I113" s="109"/>
      <c r="J113" s="109"/>
      <c r="K113" s="109"/>
      <c r="L113" s="109"/>
      <c r="M113" s="109"/>
      <c r="N113" s="109"/>
      <c r="O113" s="109"/>
      <c r="P113" s="109"/>
      <c r="Q113" s="109"/>
      <c r="R113" s="109"/>
      <c r="S113" s="109"/>
      <c r="T113" s="109"/>
      <c r="U113" s="109"/>
      <c r="V113" s="109"/>
      <c r="W113" s="109"/>
      <c r="X113" s="109"/>
      <c r="Y113" s="109"/>
      <c r="Z113" s="109"/>
    </row>
    <row r="114" ht="29.25" customHeight="1">
      <c r="A114" s="109"/>
      <c r="B114" s="109"/>
      <c r="C114" s="109"/>
      <c r="D114" s="109"/>
      <c r="E114" s="109"/>
      <c r="F114" s="109"/>
      <c r="G114" s="317"/>
      <c r="H114" s="109"/>
      <c r="I114" s="109"/>
      <c r="J114" s="109"/>
      <c r="K114" s="109"/>
      <c r="L114" s="109"/>
      <c r="M114" s="109"/>
      <c r="N114" s="109"/>
      <c r="O114" s="109"/>
      <c r="P114" s="109"/>
      <c r="Q114" s="109"/>
      <c r="R114" s="109"/>
      <c r="S114" s="109"/>
      <c r="T114" s="109"/>
      <c r="U114" s="109"/>
      <c r="V114" s="109"/>
      <c r="W114" s="109"/>
      <c r="X114" s="109"/>
      <c r="Y114" s="109"/>
      <c r="Z114" s="109"/>
    </row>
    <row r="115" ht="29.25" customHeight="1">
      <c r="A115" s="109"/>
      <c r="B115" s="109"/>
      <c r="C115" s="109"/>
      <c r="D115" s="109"/>
      <c r="E115" s="109"/>
      <c r="F115" s="109"/>
      <c r="G115" s="317"/>
      <c r="H115" s="109"/>
      <c r="I115" s="109"/>
      <c r="J115" s="109"/>
      <c r="K115" s="109"/>
      <c r="L115" s="109"/>
      <c r="M115" s="109"/>
      <c r="N115" s="109"/>
      <c r="O115" s="109"/>
      <c r="P115" s="109"/>
      <c r="Q115" s="109"/>
      <c r="R115" s="109"/>
      <c r="S115" s="109"/>
      <c r="T115" s="109"/>
      <c r="U115" s="109"/>
      <c r="V115" s="109"/>
      <c r="W115" s="109"/>
      <c r="X115" s="109"/>
      <c r="Y115" s="109"/>
      <c r="Z115" s="109"/>
    </row>
    <row r="116" ht="29.25" customHeight="1">
      <c r="A116" s="109"/>
      <c r="B116" s="109"/>
      <c r="C116" s="109"/>
      <c r="D116" s="109"/>
      <c r="E116" s="109"/>
      <c r="F116" s="109"/>
      <c r="G116" s="317"/>
      <c r="H116" s="109"/>
      <c r="I116" s="109"/>
      <c r="J116" s="109"/>
      <c r="K116" s="109"/>
      <c r="L116" s="109"/>
      <c r="M116" s="109"/>
      <c r="N116" s="109"/>
      <c r="O116" s="109"/>
      <c r="P116" s="109"/>
      <c r="Q116" s="109"/>
      <c r="R116" s="109"/>
      <c r="S116" s="109"/>
      <c r="T116" s="109"/>
      <c r="U116" s="109"/>
      <c r="V116" s="109"/>
      <c r="W116" s="109"/>
      <c r="X116" s="109"/>
      <c r="Y116" s="109"/>
      <c r="Z116" s="109"/>
    </row>
    <row r="117" ht="29.25" customHeight="1">
      <c r="A117" s="109"/>
      <c r="B117" s="109"/>
      <c r="C117" s="109"/>
      <c r="D117" s="109"/>
      <c r="E117" s="109"/>
      <c r="F117" s="109"/>
      <c r="G117" s="317"/>
      <c r="H117" s="109"/>
      <c r="I117" s="109"/>
      <c r="J117" s="109"/>
      <c r="K117" s="109"/>
      <c r="L117" s="109"/>
      <c r="M117" s="109"/>
      <c r="N117" s="109"/>
      <c r="O117" s="109"/>
      <c r="P117" s="109"/>
      <c r="Q117" s="109"/>
      <c r="R117" s="109"/>
      <c r="S117" s="109"/>
      <c r="T117" s="109"/>
      <c r="U117" s="109"/>
      <c r="V117" s="109"/>
      <c r="W117" s="109"/>
      <c r="X117" s="109"/>
      <c r="Y117" s="109"/>
      <c r="Z117" s="109"/>
    </row>
    <row r="118" ht="29.25" customHeight="1">
      <c r="A118" s="109"/>
      <c r="B118" s="109"/>
      <c r="C118" s="109"/>
      <c r="D118" s="109"/>
      <c r="E118" s="109"/>
      <c r="F118" s="109"/>
      <c r="G118" s="317"/>
      <c r="H118" s="109"/>
      <c r="I118" s="109"/>
      <c r="J118" s="109"/>
      <c r="K118" s="109"/>
      <c r="L118" s="109"/>
      <c r="M118" s="109"/>
      <c r="N118" s="109"/>
      <c r="O118" s="109"/>
      <c r="P118" s="109"/>
      <c r="Q118" s="109"/>
      <c r="R118" s="109"/>
      <c r="S118" s="109"/>
      <c r="T118" s="109"/>
      <c r="U118" s="109"/>
      <c r="V118" s="109"/>
      <c r="W118" s="109"/>
      <c r="X118" s="109"/>
      <c r="Y118" s="109"/>
      <c r="Z118" s="109"/>
    </row>
    <row r="119" ht="29.25" customHeight="1">
      <c r="A119" s="109"/>
      <c r="B119" s="109"/>
      <c r="C119" s="109"/>
      <c r="D119" s="109"/>
      <c r="E119" s="109"/>
      <c r="F119" s="109"/>
      <c r="G119" s="317"/>
      <c r="H119" s="109"/>
      <c r="I119" s="109"/>
      <c r="J119" s="109"/>
      <c r="K119" s="109"/>
      <c r="L119" s="109"/>
      <c r="M119" s="109"/>
      <c r="N119" s="109"/>
      <c r="O119" s="109"/>
      <c r="P119" s="109"/>
      <c r="Q119" s="109"/>
      <c r="R119" s="109"/>
      <c r="S119" s="109"/>
      <c r="T119" s="109"/>
      <c r="U119" s="109"/>
      <c r="V119" s="109"/>
      <c r="W119" s="109"/>
      <c r="X119" s="109"/>
      <c r="Y119" s="109"/>
      <c r="Z119" s="109"/>
    </row>
    <row r="120" ht="29.25" customHeight="1">
      <c r="A120" s="109"/>
      <c r="B120" s="109"/>
      <c r="C120" s="109"/>
      <c r="D120" s="109"/>
      <c r="E120" s="109"/>
      <c r="F120" s="109"/>
      <c r="G120" s="317"/>
      <c r="H120" s="109"/>
      <c r="I120" s="109"/>
      <c r="J120" s="109"/>
      <c r="K120" s="109"/>
      <c r="L120" s="109"/>
      <c r="M120" s="109"/>
      <c r="N120" s="109"/>
      <c r="O120" s="109"/>
      <c r="P120" s="109"/>
      <c r="Q120" s="109"/>
      <c r="R120" s="109"/>
      <c r="S120" s="109"/>
      <c r="T120" s="109"/>
      <c r="U120" s="109"/>
      <c r="V120" s="109"/>
      <c r="W120" s="109"/>
      <c r="X120" s="109"/>
      <c r="Y120" s="109"/>
      <c r="Z120" s="109"/>
    </row>
    <row r="121" ht="29.25" customHeight="1">
      <c r="A121" s="109"/>
      <c r="B121" s="109"/>
      <c r="C121" s="109"/>
      <c r="D121" s="109"/>
      <c r="E121" s="109"/>
      <c r="F121" s="109"/>
      <c r="G121" s="317"/>
      <c r="H121" s="109"/>
      <c r="I121" s="109"/>
      <c r="J121" s="109"/>
      <c r="K121" s="109"/>
      <c r="L121" s="109"/>
      <c r="M121" s="109"/>
      <c r="N121" s="109"/>
      <c r="O121" s="109"/>
      <c r="P121" s="109"/>
      <c r="Q121" s="109"/>
      <c r="R121" s="109"/>
      <c r="S121" s="109"/>
      <c r="T121" s="109"/>
      <c r="U121" s="109"/>
      <c r="V121" s="109"/>
      <c r="W121" s="109"/>
      <c r="X121" s="109"/>
      <c r="Y121" s="109"/>
      <c r="Z121" s="109"/>
    </row>
    <row r="122" ht="29.25" customHeight="1">
      <c r="A122" s="109"/>
      <c r="B122" s="109"/>
      <c r="C122" s="109"/>
      <c r="D122" s="109"/>
      <c r="E122" s="109"/>
      <c r="F122" s="109"/>
      <c r="G122" s="317"/>
      <c r="H122" s="109"/>
      <c r="I122" s="109"/>
      <c r="J122" s="109"/>
      <c r="K122" s="109"/>
      <c r="L122" s="109"/>
      <c r="M122" s="109"/>
      <c r="N122" s="109"/>
      <c r="O122" s="109"/>
      <c r="P122" s="109"/>
      <c r="Q122" s="109"/>
      <c r="R122" s="109"/>
      <c r="S122" s="109"/>
      <c r="T122" s="109"/>
      <c r="U122" s="109"/>
      <c r="V122" s="109"/>
      <c r="W122" s="109"/>
      <c r="X122" s="109"/>
      <c r="Y122" s="109"/>
      <c r="Z122" s="109"/>
    </row>
    <row r="123" ht="29.25" customHeight="1">
      <c r="A123" s="109"/>
      <c r="B123" s="109"/>
      <c r="C123" s="109"/>
      <c r="D123" s="109"/>
      <c r="E123" s="109"/>
      <c r="F123" s="109"/>
      <c r="G123" s="317"/>
      <c r="H123" s="109"/>
      <c r="I123" s="109"/>
      <c r="J123" s="109"/>
      <c r="K123" s="109"/>
      <c r="L123" s="109"/>
      <c r="M123" s="109"/>
      <c r="N123" s="109"/>
      <c r="O123" s="109"/>
      <c r="P123" s="109"/>
      <c r="Q123" s="109"/>
      <c r="R123" s="109"/>
      <c r="S123" s="109"/>
      <c r="T123" s="109"/>
      <c r="U123" s="109"/>
      <c r="V123" s="109"/>
      <c r="W123" s="109"/>
      <c r="X123" s="109"/>
      <c r="Y123" s="109"/>
      <c r="Z123" s="109"/>
    </row>
    <row r="124" ht="29.25" customHeight="1">
      <c r="A124" s="109"/>
      <c r="B124" s="109"/>
      <c r="C124" s="109"/>
      <c r="D124" s="109"/>
      <c r="E124" s="109"/>
      <c r="F124" s="109"/>
      <c r="G124" s="317"/>
      <c r="H124" s="109"/>
      <c r="I124" s="109"/>
      <c r="J124" s="109"/>
      <c r="K124" s="109"/>
      <c r="L124" s="109"/>
      <c r="M124" s="109"/>
      <c r="N124" s="109"/>
      <c r="O124" s="109"/>
      <c r="P124" s="109"/>
      <c r="Q124" s="109"/>
      <c r="R124" s="109"/>
      <c r="S124" s="109"/>
      <c r="T124" s="109"/>
      <c r="U124" s="109"/>
      <c r="V124" s="109"/>
      <c r="W124" s="109"/>
      <c r="X124" s="109"/>
      <c r="Y124" s="109"/>
      <c r="Z124" s="109"/>
    </row>
    <row r="125" ht="29.25" customHeight="1">
      <c r="A125" s="109"/>
      <c r="B125" s="109"/>
      <c r="C125" s="109"/>
      <c r="D125" s="109"/>
      <c r="E125" s="109"/>
      <c r="F125" s="109"/>
      <c r="G125" s="317"/>
      <c r="H125" s="109"/>
      <c r="I125" s="109"/>
      <c r="J125" s="109"/>
      <c r="K125" s="109"/>
      <c r="L125" s="109"/>
      <c r="M125" s="109"/>
      <c r="N125" s="109"/>
      <c r="O125" s="109"/>
      <c r="P125" s="109"/>
      <c r="Q125" s="109"/>
      <c r="R125" s="109"/>
      <c r="S125" s="109"/>
      <c r="T125" s="109"/>
      <c r="U125" s="109"/>
      <c r="V125" s="109"/>
      <c r="W125" s="109"/>
      <c r="X125" s="109"/>
      <c r="Y125" s="109"/>
      <c r="Z125" s="109"/>
    </row>
    <row r="126" ht="29.25" customHeight="1">
      <c r="A126" s="109"/>
      <c r="B126" s="109"/>
      <c r="C126" s="109"/>
      <c r="D126" s="109"/>
      <c r="E126" s="109"/>
      <c r="F126" s="109"/>
      <c r="G126" s="317"/>
      <c r="H126" s="109"/>
      <c r="I126" s="109"/>
      <c r="J126" s="109"/>
      <c r="K126" s="109"/>
      <c r="L126" s="109"/>
      <c r="M126" s="109"/>
      <c r="N126" s="109"/>
      <c r="O126" s="109"/>
      <c r="P126" s="109"/>
      <c r="Q126" s="109"/>
      <c r="R126" s="109"/>
      <c r="S126" s="109"/>
      <c r="T126" s="109"/>
      <c r="U126" s="109"/>
      <c r="V126" s="109"/>
      <c r="W126" s="109"/>
      <c r="X126" s="109"/>
      <c r="Y126" s="109"/>
      <c r="Z126" s="109"/>
    </row>
    <row r="127" ht="29.25" customHeight="1">
      <c r="A127" s="109"/>
      <c r="B127" s="109"/>
      <c r="C127" s="109"/>
      <c r="D127" s="109"/>
      <c r="E127" s="109"/>
      <c r="F127" s="109"/>
      <c r="G127" s="317"/>
      <c r="H127" s="109"/>
      <c r="I127" s="109"/>
      <c r="J127" s="109"/>
      <c r="K127" s="109"/>
      <c r="L127" s="109"/>
      <c r="M127" s="109"/>
      <c r="N127" s="109"/>
      <c r="O127" s="109"/>
      <c r="P127" s="109"/>
      <c r="Q127" s="109"/>
      <c r="R127" s="109"/>
      <c r="S127" s="109"/>
      <c r="T127" s="109"/>
      <c r="U127" s="109"/>
      <c r="V127" s="109"/>
      <c r="W127" s="109"/>
      <c r="X127" s="109"/>
      <c r="Y127" s="109"/>
      <c r="Z127" s="109"/>
    </row>
    <row r="128" ht="29.25" customHeight="1">
      <c r="A128" s="109"/>
      <c r="B128" s="109"/>
      <c r="C128" s="109"/>
      <c r="D128" s="109"/>
      <c r="E128" s="109"/>
      <c r="F128" s="109"/>
      <c r="G128" s="317"/>
      <c r="H128" s="109"/>
      <c r="I128" s="109"/>
      <c r="J128" s="109"/>
      <c r="K128" s="109"/>
      <c r="L128" s="109"/>
      <c r="M128" s="109"/>
      <c r="N128" s="109"/>
      <c r="O128" s="109"/>
      <c r="P128" s="109"/>
      <c r="Q128" s="109"/>
      <c r="R128" s="109"/>
      <c r="S128" s="109"/>
      <c r="T128" s="109"/>
      <c r="U128" s="109"/>
      <c r="V128" s="109"/>
      <c r="W128" s="109"/>
      <c r="X128" s="109"/>
      <c r="Y128" s="109"/>
      <c r="Z128" s="109"/>
    </row>
    <row r="129" ht="29.25" customHeight="1">
      <c r="A129" s="109"/>
      <c r="B129" s="109"/>
      <c r="C129" s="109"/>
      <c r="D129" s="109"/>
      <c r="E129" s="109"/>
      <c r="F129" s="109"/>
      <c r="G129" s="317"/>
      <c r="H129" s="109"/>
      <c r="I129" s="109"/>
      <c r="J129" s="109"/>
      <c r="K129" s="109"/>
      <c r="L129" s="109"/>
      <c r="M129" s="109"/>
      <c r="N129" s="109"/>
      <c r="O129" s="109"/>
      <c r="P129" s="109"/>
      <c r="Q129" s="109"/>
      <c r="R129" s="109"/>
      <c r="S129" s="109"/>
      <c r="T129" s="109"/>
      <c r="U129" s="109"/>
      <c r="V129" s="109"/>
      <c r="W129" s="109"/>
      <c r="X129" s="109"/>
      <c r="Y129" s="109"/>
      <c r="Z129" s="109"/>
    </row>
    <row r="130" ht="29.25" customHeight="1">
      <c r="A130" s="109"/>
      <c r="B130" s="109"/>
      <c r="C130" s="109"/>
      <c r="D130" s="109"/>
      <c r="E130" s="109"/>
      <c r="F130" s="109"/>
      <c r="G130" s="317"/>
      <c r="H130" s="109"/>
      <c r="I130" s="109"/>
      <c r="J130" s="109"/>
      <c r="K130" s="109"/>
      <c r="L130" s="109"/>
      <c r="M130" s="109"/>
      <c r="N130" s="109"/>
      <c r="O130" s="109"/>
      <c r="P130" s="109"/>
      <c r="Q130" s="109"/>
      <c r="R130" s="109"/>
      <c r="S130" s="109"/>
      <c r="T130" s="109"/>
      <c r="U130" s="109"/>
      <c r="V130" s="109"/>
      <c r="W130" s="109"/>
      <c r="X130" s="109"/>
      <c r="Y130" s="109"/>
      <c r="Z130" s="109"/>
    </row>
    <row r="131" ht="29.25" customHeight="1">
      <c r="A131" s="109"/>
      <c r="B131" s="109"/>
      <c r="C131" s="109"/>
      <c r="D131" s="109"/>
      <c r="E131" s="109"/>
      <c r="F131" s="109"/>
      <c r="G131" s="317"/>
      <c r="H131" s="109"/>
      <c r="I131" s="109"/>
      <c r="J131" s="109"/>
      <c r="K131" s="109"/>
      <c r="L131" s="109"/>
      <c r="M131" s="109"/>
      <c r="N131" s="109"/>
      <c r="O131" s="109"/>
      <c r="P131" s="109"/>
      <c r="Q131" s="109"/>
      <c r="R131" s="109"/>
      <c r="S131" s="109"/>
      <c r="T131" s="109"/>
      <c r="U131" s="109"/>
      <c r="V131" s="109"/>
      <c r="W131" s="109"/>
      <c r="X131" s="109"/>
      <c r="Y131" s="109"/>
      <c r="Z131" s="109"/>
    </row>
    <row r="132" ht="29.25" customHeight="1">
      <c r="A132" s="109"/>
      <c r="B132" s="109"/>
      <c r="C132" s="109"/>
      <c r="D132" s="109"/>
      <c r="E132" s="109"/>
      <c r="F132" s="109"/>
      <c r="G132" s="317"/>
      <c r="H132" s="109"/>
      <c r="I132" s="109"/>
      <c r="J132" s="109"/>
      <c r="K132" s="109"/>
      <c r="L132" s="109"/>
      <c r="M132" s="109"/>
      <c r="N132" s="109"/>
      <c r="O132" s="109"/>
      <c r="P132" s="109"/>
      <c r="Q132" s="109"/>
      <c r="R132" s="109"/>
      <c r="S132" s="109"/>
      <c r="T132" s="109"/>
      <c r="U132" s="109"/>
      <c r="V132" s="109"/>
      <c r="W132" s="109"/>
      <c r="X132" s="109"/>
      <c r="Y132" s="109"/>
      <c r="Z132" s="109"/>
    </row>
    <row r="133" ht="29.25" customHeight="1">
      <c r="A133" s="109"/>
      <c r="B133" s="109"/>
      <c r="C133" s="109"/>
      <c r="D133" s="109"/>
      <c r="E133" s="109"/>
      <c r="F133" s="109"/>
      <c r="G133" s="317"/>
      <c r="H133" s="109"/>
      <c r="I133" s="109"/>
      <c r="J133" s="109"/>
      <c r="K133" s="109"/>
      <c r="L133" s="109"/>
      <c r="M133" s="109"/>
      <c r="N133" s="109"/>
      <c r="O133" s="109"/>
      <c r="P133" s="109"/>
      <c r="Q133" s="109"/>
      <c r="R133" s="109"/>
      <c r="S133" s="109"/>
      <c r="T133" s="109"/>
      <c r="U133" s="109"/>
      <c r="V133" s="109"/>
      <c r="W133" s="109"/>
      <c r="X133" s="109"/>
      <c r="Y133" s="109"/>
      <c r="Z133" s="109"/>
    </row>
    <row r="134" ht="29.25" customHeight="1">
      <c r="A134" s="109"/>
      <c r="B134" s="109"/>
      <c r="C134" s="109"/>
      <c r="D134" s="109"/>
      <c r="E134" s="109"/>
      <c r="F134" s="109"/>
      <c r="G134" s="317"/>
      <c r="H134" s="109"/>
      <c r="I134" s="109"/>
      <c r="J134" s="109"/>
      <c r="K134" s="109"/>
      <c r="L134" s="109"/>
      <c r="M134" s="109"/>
      <c r="N134" s="109"/>
      <c r="O134" s="109"/>
      <c r="P134" s="109"/>
      <c r="Q134" s="109"/>
      <c r="R134" s="109"/>
      <c r="S134" s="109"/>
      <c r="T134" s="109"/>
      <c r="U134" s="109"/>
      <c r="V134" s="109"/>
      <c r="W134" s="109"/>
      <c r="X134" s="109"/>
      <c r="Y134" s="109"/>
      <c r="Z134" s="109"/>
    </row>
    <row r="135" ht="29.25" customHeight="1">
      <c r="A135" s="109"/>
      <c r="B135" s="109"/>
      <c r="C135" s="109"/>
      <c r="D135" s="109"/>
      <c r="E135" s="109"/>
      <c r="F135" s="109"/>
      <c r="G135" s="317"/>
      <c r="H135" s="109"/>
      <c r="I135" s="109"/>
      <c r="J135" s="109"/>
      <c r="K135" s="109"/>
      <c r="L135" s="109"/>
      <c r="M135" s="109"/>
      <c r="N135" s="109"/>
      <c r="O135" s="109"/>
      <c r="P135" s="109"/>
      <c r="Q135" s="109"/>
      <c r="R135" s="109"/>
      <c r="S135" s="109"/>
      <c r="T135" s="109"/>
      <c r="U135" s="109"/>
      <c r="V135" s="109"/>
      <c r="W135" s="109"/>
      <c r="X135" s="109"/>
      <c r="Y135" s="109"/>
      <c r="Z135" s="109"/>
    </row>
    <row r="136" ht="29.25" customHeight="1">
      <c r="A136" s="109"/>
      <c r="B136" s="109"/>
      <c r="C136" s="109"/>
      <c r="D136" s="109"/>
      <c r="E136" s="109"/>
      <c r="F136" s="109"/>
      <c r="G136" s="317"/>
      <c r="H136" s="109"/>
      <c r="I136" s="109"/>
      <c r="J136" s="109"/>
      <c r="K136" s="109"/>
      <c r="L136" s="109"/>
      <c r="M136" s="109"/>
      <c r="N136" s="109"/>
      <c r="O136" s="109"/>
      <c r="P136" s="109"/>
      <c r="Q136" s="109"/>
      <c r="R136" s="109"/>
      <c r="S136" s="109"/>
      <c r="T136" s="109"/>
      <c r="U136" s="109"/>
      <c r="V136" s="109"/>
      <c r="W136" s="109"/>
      <c r="X136" s="109"/>
      <c r="Y136" s="109"/>
      <c r="Z136" s="109"/>
    </row>
    <row r="137" ht="29.25" customHeight="1">
      <c r="A137" s="109"/>
      <c r="B137" s="109"/>
      <c r="C137" s="109"/>
      <c r="D137" s="109"/>
      <c r="E137" s="109"/>
      <c r="F137" s="109"/>
      <c r="G137" s="317"/>
      <c r="H137" s="109"/>
      <c r="I137" s="109"/>
      <c r="J137" s="109"/>
      <c r="K137" s="109"/>
      <c r="L137" s="109"/>
      <c r="M137" s="109"/>
      <c r="N137" s="109"/>
      <c r="O137" s="109"/>
      <c r="P137" s="109"/>
      <c r="Q137" s="109"/>
      <c r="R137" s="109"/>
      <c r="S137" s="109"/>
      <c r="T137" s="109"/>
      <c r="U137" s="109"/>
      <c r="V137" s="109"/>
      <c r="W137" s="109"/>
      <c r="X137" s="109"/>
      <c r="Y137" s="109"/>
      <c r="Z137" s="109"/>
    </row>
    <row r="138" ht="29.25" customHeight="1">
      <c r="A138" s="109"/>
      <c r="B138" s="109"/>
      <c r="C138" s="109"/>
      <c r="D138" s="109"/>
      <c r="E138" s="109"/>
      <c r="F138" s="109"/>
      <c r="G138" s="317"/>
      <c r="H138" s="109"/>
      <c r="I138" s="109"/>
      <c r="J138" s="109"/>
      <c r="K138" s="109"/>
      <c r="L138" s="109"/>
      <c r="M138" s="109"/>
      <c r="N138" s="109"/>
      <c r="O138" s="109"/>
      <c r="P138" s="109"/>
      <c r="Q138" s="109"/>
      <c r="R138" s="109"/>
      <c r="S138" s="109"/>
      <c r="T138" s="109"/>
      <c r="U138" s="109"/>
      <c r="V138" s="109"/>
      <c r="W138" s="109"/>
      <c r="X138" s="109"/>
      <c r="Y138" s="109"/>
      <c r="Z138" s="109"/>
    </row>
    <row r="139" ht="29.25" customHeight="1">
      <c r="A139" s="109"/>
      <c r="B139" s="109"/>
      <c r="C139" s="109"/>
      <c r="D139" s="109"/>
      <c r="E139" s="109"/>
      <c r="F139" s="109"/>
      <c r="G139" s="317"/>
      <c r="H139" s="109"/>
      <c r="I139" s="109"/>
      <c r="J139" s="109"/>
      <c r="K139" s="109"/>
      <c r="L139" s="109"/>
      <c r="M139" s="109"/>
      <c r="N139" s="109"/>
      <c r="O139" s="109"/>
      <c r="P139" s="109"/>
      <c r="Q139" s="109"/>
      <c r="R139" s="109"/>
      <c r="S139" s="109"/>
      <c r="T139" s="109"/>
      <c r="U139" s="109"/>
      <c r="V139" s="109"/>
      <c r="W139" s="109"/>
      <c r="X139" s="109"/>
      <c r="Y139" s="109"/>
      <c r="Z139" s="109"/>
    </row>
    <row r="140" ht="29.25" customHeight="1">
      <c r="A140" s="109"/>
      <c r="B140" s="109"/>
      <c r="C140" s="109"/>
      <c r="D140" s="109"/>
      <c r="E140" s="109"/>
      <c r="F140" s="109"/>
      <c r="G140" s="317"/>
      <c r="H140" s="109"/>
      <c r="I140" s="109"/>
      <c r="J140" s="109"/>
      <c r="K140" s="109"/>
      <c r="L140" s="109"/>
      <c r="M140" s="109"/>
      <c r="N140" s="109"/>
      <c r="O140" s="109"/>
      <c r="P140" s="109"/>
      <c r="Q140" s="109"/>
      <c r="R140" s="109"/>
      <c r="S140" s="109"/>
      <c r="T140" s="109"/>
      <c r="U140" s="109"/>
      <c r="V140" s="109"/>
      <c r="W140" s="109"/>
      <c r="X140" s="109"/>
      <c r="Y140" s="109"/>
      <c r="Z140" s="109"/>
    </row>
    <row r="141" ht="29.25" customHeight="1">
      <c r="A141" s="109"/>
      <c r="B141" s="109"/>
      <c r="C141" s="109"/>
      <c r="D141" s="109"/>
      <c r="E141" s="109"/>
      <c r="F141" s="109"/>
      <c r="G141" s="317"/>
      <c r="H141" s="109"/>
      <c r="I141" s="109"/>
      <c r="J141" s="109"/>
      <c r="K141" s="109"/>
      <c r="L141" s="109"/>
      <c r="M141" s="109"/>
      <c r="N141" s="109"/>
      <c r="O141" s="109"/>
      <c r="P141" s="109"/>
      <c r="Q141" s="109"/>
      <c r="R141" s="109"/>
      <c r="S141" s="109"/>
      <c r="T141" s="109"/>
      <c r="U141" s="109"/>
      <c r="V141" s="109"/>
      <c r="W141" s="109"/>
      <c r="X141" s="109"/>
      <c r="Y141" s="109"/>
      <c r="Z141" s="109"/>
    </row>
    <row r="142" ht="29.25" customHeight="1">
      <c r="A142" s="109"/>
      <c r="B142" s="109"/>
      <c r="C142" s="109"/>
      <c r="D142" s="109"/>
      <c r="E142" s="109"/>
      <c r="F142" s="109"/>
      <c r="G142" s="317"/>
      <c r="H142" s="109"/>
      <c r="I142" s="109"/>
      <c r="J142" s="109"/>
      <c r="K142" s="109"/>
      <c r="L142" s="109"/>
      <c r="M142" s="109"/>
      <c r="N142" s="109"/>
      <c r="O142" s="109"/>
      <c r="P142" s="109"/>
      <c r="Q142" s="109"/>
      <c r="R142" s="109"/>
      <c r="S142" s="109"/>
      <c r="T142" s="109"/>
      <c r="U142" s="109"/>
      <c r="V142" s="109"/>
      <c r="W142" s="109"/>
      <c r="X142" s="109"/>
      <c r="Y142" s="109"/>
      <c r="Z142" s="109"/>
    </row>
    <row r="143" ht="29.25" customHeight="1">
      <c r="A143" s="109"/>
      <c r="B143" s="109"/>
      <c r="C143" s="109"/>
      <c r="D143" s="109"/>
      <c r="E143" s="109"/>
      <c r="F143" s="109"/>
      <c r="G143" s="317"/>
      <c r="H143" s="109"/>
      <c r="I143" s="109"/>
      <c r="J143" s="109"/>
      <c r="K143" s="109"/>
      <c r="L143" s="109"/>
      <c r="M143" s="109"/>
      <c r="N143" s="109"/>
      <c r="O143" s="109"/>
      <c r="P143" s="109"/>
      <c r="Q143" s="109"/>
      <c r="R143" s="109"/>
      <c r="S143" s="109"/>
      <c r="T143" s="109"/>
      <c r="U143" s="109"/>
      <c r="V143" s="109"/>
      <c r="W143" s="109"/>
      <c r="X143" s="109"/>
      <c r="Y143" s="109"/>
      <c r="Z143" s="109"/>
    </row>
    <row r="144" ht="29.25" customHeight="1">
      <c r="A144" s="109"/>
      <c r="B144" s="109"/>
      <c r="C144" s="109"/>
      <c r="D144" s="109"/>
      <c r="E144" s="109"/>
      <c r="F144" s="109"/>
      <c r="G144" s="317"/>
      <c r="H144" s="109"/>
      <c r="I144" s="109"/>
      <c r="J144" s="109"/>
      <c r="K144" s="109"/>
      <c r="L144" s="109"/>
      <c r="M144" s="109"/>
      <c r="N144" s="109"/>
      <c r="O144" s="109"/>
      <c r="P144" s="109"/>
      <c r="Q144" s="109"/>
      <c r="R144" s="109"/>
      <c r="S144" s="109"/>
      <c r="T144" s="109"/>
      <c r="U144" s="109"/>
      <c r="V144" s="109"/>
      <c r="W144" s="109"/>
      <c r="X144" s="109"/>
      <c r="Y144" s="109"/>
      <c r="Z144" s="109"/>
    </row>
    <row r="145" ht="29.25" customHeight="1">
      <c r="A145" s="109"/>
      <c r="B145" s="109"/>
      <c r="C145" s="109"/>
      <c r="D145" s="109"/>
      <c r="E145" s="109"/>
      <c r="F145" s="109"/>
      <c r="G145" s="317"/>
      <c r="H145" s="109"/>
      <c r="I145" s="109"/>
      <c r="J145" s="109"/>
      <c r="K145" s="109"/>
      <c r="L145" s="109"/>
      <c r="M145" s="109"/>
      <c r="N145" s="109"/>
      <c r="O145" s="109"/>
      <c r="P145" s="109"/>
      <c r="Q145" s="109"/>
      <c r="R145" s="109"/>
      <c r="S145" s="109"/>
      <c r="T145" s="109"/>
      <c r="U145" s="109"/>
      <c r="V145" s="109"/>
      <c r="W145" s="109"/>
      <c r="X145" s="109"/>
      <c r="Y145" s="109"/>
      <c r="Z145" s="109"/>
    </row>
    <row r="146" ht="29.25" customHeight="1">
      <c r="A146" s="109"/>
      <c r="B146" s="109"/>
      <c r="C146" s="109"/>
      <c r="D146" s="109"/>
      <c r="E146" s="109"/>
      <c r="F146" s="109"/>
      <c r="G146" s="317"/>
      <c r="H146" s="109"/>
      <c r="I146" s="109"/>
      <c r="J146" s="109"/>
      <c r="K146" s="109"/>
      <c r="L146" s="109"/>
      <c r="M146" s="109"/>
      <c r="N146" s="109"/>
      <c r="O146" s="109"/>
      <c r="P146" s="109"/>
      <c r="Q146" s="109"/>
      <c r="R146" s="109"/>
      <c r="S146" s="109"/>
      <c r="T146" s="109"/>
      <c r="U146" s="109"/>
      <c r="V146" s="109"/>
      <c r="W146" s="109"/>
      <c r="X146" s="109"/>
      <c r="Y146" s="109"/>
      <c r="Z146" s="109"/>
    </row>
    <row r="147" ht="29.25" customHeight="1">
      <c r="A147" s="109"/>
      <c r="B147" s="109"/>
      <c r="C147" s="109"/>
      <c r="D147" s="109"/>
      <c r="E147" s="109"/>
      <c r="F147" s="109"/>
      <c r="G147" s="317"/>
      <c r="H147" s="109"/>
      <c r="I147" s="109"/>
      <c r="J147" s="109"/>
      <c r="K147" s="109"/>
      <c r="L147" s="109"/>
      <c r="M147" s="109"/>
      <c r="N147" s="109"/>
      <c r="O147" s="109"/>
      <c r="P147" s="109"/>
      <c r="Q147" s="109"/>
      <c r="R147" s="109"/>
      <c r="S147" s="109"/>
      <c r="T147" s="109"/>
      <c r="U147" s="109"/>
      <c r="V147" s="109"/>
      <c r="W147" s="109"/>
      <c r="X147" s="109"/>
      <c r="Y147" s="109"/>
      <c r="Z147" s="109"/>
    </row>
    <row r="148" ht="29.25" customHeight="1">
      <c r="A148" s="109"/>
      <c r="B148" s="109"/>
      <c r="C148" s="109"/>
      <c r="D148" s="109"/>
      <c r="E148" s="109"/>
      <c r="F148" s="109"/>
      <c r="G148" s="317"/>
      <c r="H148" s="109"/>
      <c r="I148" s="109"/>
      <c r="J148" s="109"/>
      <c r="K148" s="109"/>
      <c r="L148" s="109"/>
      <c r="M148" s="109"/>
      <c r="N148" s="109"/>
      <c r="O148" s="109"/>
      <c r="P148" s="109"/>
      <c r="Q148" s="109"/>
      <c r="R148" s="109"/>
      <c r="S148" s="109"/>
      <c r="T148" s="109"/>
      <c r="U148" s="109"/>
      <c r="V148" s="109"/>
      <c r="W148" s="109"/>
      <c r="X148" s="109"/>
      <c r="Y148" s="109"/>
      <c r="Z148" s="109"/>
    </row>
    <row r="149" ht="29.25" customHeight="1">
      <c r="A149" s="109"/>
      <c r="B149" s="109"/>
      <c r="C149" s="109"/>
      <c r="D149" s="109"/>
      <c r="E149" s="109"/>
      <c r="F149" s="109"/>
      <c r="G149" s="317"/>
      <c r="H149" s="109"/>
      <c r="I149" s="109"/>
      <c r="J149" s="109"/>
      <c r="K149" s="109"/>
      <c r="L149" s="109"/>
      <c r="M149" s="109"/>
      <c r="N149" s="109"/>
      <c r="O149" s="109"/>
      <c r="P149" s="109"/>
      <c r="Q149" s="109"/>
      <c r="R149" s="109"/>
      <c r="S149" s="109"/>
      <c r="T149" s="109"/>
      <c r="U149" s="109"/>
      <c r="V149" s="109"/>
      <c r="W149" s="109"/>
      <c r="X149" s="109"/>
      <c r="Y149" s="109"/>
      <c r="Z149" s="109"/>
    </row>
    <row r="150" ht="29.25" customHeight="1">
      <c r="A150" s="109"/>
      <c r="B150" s="109"/>
      <c r="C150" s="109"/>
      <c r="D150" s="109"/>
      <c r="E150" s="109"/>
      <c r="F150" s="109"/>
      <c r="G150" s="317"/>
      <c r="H150" s="109"/>
      <c r="I150" s="109"/>
      <c r="J150" s="109"/>
      <c r="K150" s="109"/>
      <c r="L150" s="109"/>
      <c r="M150" s="109"/>
      <c r="N150" s="109"/>
      <c r="O150" s="109"/>
      <c r="P150" s="109"/>
      <c r="Q150" s="109"/>
      <c r="R150" s="109"/>
      <c r="S150" s="109"/>
      <c r="T150" s="109"/>
      <c r="U150" s="109"/>
      <c r="V150" s="109"/>
      <c r="W150" s="109"/>
      <c r="X150" s="109"/>
      <c r="Y150" s="109"/>
      <c r="Z150" s="109"/>
    </row>
    <row r="151" ht="29.25" customHeight="1">
      <c r="A151" s="109"/>
      <c r="B151" s="109"/>
      <c r="C151" s="109"/>
      <c r="D151" s="109"/>
      <c r="E151" s="109"/>
      <c r="F151" s="109"/>
      <c r="G151" s="317"/>
      <c r="H151" s="109"/>
      <c r="I151" s="109"/>
      <c r="J151" s="109"/>
      <c r="K151" s="109"/>
      <c r="L151" s="109"/>
      <c r="M151" s="109"/>
      <c r="N151" s="109"/>
      <c r="O151" s="109"/>
      <c r="P151" s="109"/>
      <c r="Q151" s="109"/>
      <c r="R151" s="109"/>
      <c r="S151" s="109"/>
      <c r="T151" s="109"/>
      <c r="U151" s="109"/>
      <c r="V151" s="109"/>
      <c r="W151" s="109"/>
      <c r="X151" s="109"/>
      <c r="Y151" s="109"/>
      <c r="Z151" s="109"/>
    </row>
    <row r="152" ht="29.25" customHeight="1">
      <c r="A152" s="109"/>
      <c r="B152" s="109"/>
      <c r="C152" s="109"/>
      <c r="D152" s="109"/>
      <c r="E152" s="109"/>
      <c r="F152" s="109"/>
      <c r="G152" s="317"/>
      <c r="H152" s="109"/>
      <c r="I152" s="109"/>
      <c r="J152" s="109"/>
      <c r="K152" s="109"/>
      <c r="L152" s="109"/>
      <c r="M152" s="109"/>
      <c r="N152" s="109"/>
      <c r="O152" s="109"/>
      <c r="P152" s="109"/>
      <c r="Q152" s="109"/>
      <c r="R152" s="109"/>
      <c r="S152" s="109"/>
      <c r="T152" s="109"/>
      <c r="U152" s="109"/>
      <c r="V152" s="109"/>
      <c r="W152" s="109"/>
      <c r="X152" s="109"/>
      <c r="Y152" s="109"/>
      <c r="Z152" s="109"/>
    </row>
    <row r="153" ht="29.25" customHeight="1">
      <c r="A153" s="109"/>
      <c r="B153" s="109"/>
      <c r="C153" s="109"/>
      <c r="D153" s="109"/>
      <c r="E153" s="109"/>
      <c r="F153" s="109"/>
      <c r="G153" s="317"/>
      <c r="H153" s="109"/>
      <c r="I153" s="109"/>
      <c r="J153" s="109"/>
      <c r="K153" s="109"/>
      <c r="L153" s="109"/>
      <c r="M153" s="109"/>
      <c r="N153" s="109"/>
      <c r="O153" s="109"/>
      <c r="P153" s="109"/>
      <c r="Q153" s="109"/>
      <c r="R153" s="109"/>
      <c r="S153" s="109"/>
      <c r="T153" s="109"/>
      <c r="U153" s="109"/>
      <c r="V153" s="109"/>
      <c r="W153" s="109"/>
      <c r="X153" s="109"/>
      <c r="Y153" s="109"/>
      <c r="Z153" s="109"/>
    </row>
    <row r="154" ht="29.25" customHeight="1">
      <c r="A154" s="109"/>
      <c r="B154" s="109"/>
      <c r="C154" s="109"/>
      <c r="D154" s="109"/>
      <c r="E154" s="109"/>
      <c r="F154" s="109"/>
      <c r="G154" s="317"/>
      <c r="H154" s="109"/>
      <c r="I154" s="109"/>
      <c r="J154" s="109"/>
      <c r="K154" s="109"/>
      <c r="L154" s="109"/>
      <c r="M154" s="109"/>
      <c r="N154" s="109"/>
      <c r="O154" s="109"/>
      <c r="P154" s="109"/>
      <c r="Q154" s="109"/>
      <c r="R154" s="109"/>
      <c r="S154" s="109"/>
      <c r="T154" s="109"/>
      <c r="U154" s="109"/>
      <c r="V154" s="109"/>
      <c r="W154" s="109"/>
      <c r="X154" s="109"/>
      <c r="Y154" s="109"/>
      <c r="Z154" s="109"/>
    </row>
    <row r="155" ht="29.25" customHeight="1">
      <c r="A155" s="109"/>
      <c r="B155" s="109"/>
      <c r="C155" s="109"/>
      <c r="D155" s="109"/>
      <c r="E155" s="109"/>
      <c r="F155" s="109"/>
      <c r="G155" s="317"/>
      <c r="H155" s="109"/>
      <c r="I155" s="109"/>
      <c r="J155" s="109"/>
      <c r="K155" s="109"/>
      <c r="L155" s="109"/>
      <c r="M155" s="109"/>
      <c r="N155" s="109"/>
      <c r="O155" s="109"/>
      <c r="P155" s="109"/>
      <c r="Q155" s="109"/>
      <c r="R155" s="109"/>
      <c r="S155" s="109"/>
      <c r="T155" s="109"/>
      <c r="U155" s="109"/>
      <c r="V155" s="109"/>
      <c r="W155" s="109"/>
      <c r="X155" s="109"/>
      <c r="Y155" s="109"/>
      <c r="Z155" s="109"/>
    </row>
    <row r="156" ht="29.25" customHeight="1">
      <c r="A156" s="109"/>
      <c r="B156" s="109"/>
      <c r="C156" s="109"/>
      <c r="D156" s="109"/>
      <c r="E156" s="109"/>
      <c r="F156" s="109"/>
      <c r="G156" s="317"/>
      <c r="H156" s="109"/>
      <c r="I156" s="109"/>
      <c r="J156" s="109"/>
      <c r="K156" s="109"/>
      <c r="L156" s="109"/>
      <c r="M156" s="109"/>
      <c r="N156" s="109"/>
      <c r="O156" s="109"/>
      <c r="P156" s="109"/>
      <c r="Q156" s="109"/>
      <c r="R156" s="109"/>
      <c r="S156" s="109"/>
      <c r="T156" s="109"/>
      <c r="U156" s="109"/>
      <c r="V156" s="109"/>
      <c r="W156" s="109"/>
      <c r="X156" s="109"/>
      <c r="Y156" s="109"/>
      <c r="Z156" s="109"/>
    </row>
    <row r="157" ht="29.25" customHeight="1">
      <c r="A157" s="109"/>
      <c r="B157" s="109"/>
      <c r="C157" s="109"/>
      <c r="D157" s="109"/>
      <c r="E157" s="109"/>
      <c r="F157" s="109"/>
      <c r="G157" s="317"/>
      <c r="H157" s="109"/>
      <c r="I157" s="109"/>
      <c r="J157" s="109"/>
      <c r="K157" s="109"/>
      <c r="L157" s="109"/>
      <c r="M157" s="109"/>
      <c r="N157" s="109"/>
      <c r="O157" s="109"/>
      <c r="P157" s="109"/>
      <c r="Q157" s="109"/>
      <c r="R157" s="109"/>
      <c r="S157" s="109"/>
      <c r="T157" s="109"/>
      <c r="U157" s="109"/>
      <c r="V157" s="109"/>
      <c r="W157" s="109"/>
      <c r="X157" s="109"/>
      <c r="Y157" s="109"/>
      <c r="Z157" s="109"/>
    </row>
    <row r="158" ht="29.25" customHeight="1">
      <c r="A158" s="109"/>
      <c r="B158" s="109"/>
      <c r="C158" s="109"/>
      <c r="D158" s="109"/>
      <c r="E158" s="109"/>
      <c r="F158" s="109"/>
      <c r="G158" s="317"/>
      <c r="H158" s="109"/>
      <c r="I158" s="109"/>
      <c r="J158" s="109"/>
      <c r="K158" s="109"/>
      <c r="L158" s="109"/>
      <c r="M158" s="109"/>
      <c r="N158" s="109"/>
      <c r="O158" s="109"/>
      <c r="P158" s="109"/>
      <c r="Q158" s="109"/>
      <c r="R158" s="109"/>
      <c r="S158" s="109"/>
      <c r="T158" s="109"/>
      <c r="U158" s="109"/>
      <c r="V158" s="109"/>
      <c r="W158" s="109"/>
      <c r="X158" s="109"/>
      <c r="Y158" s="109"/>
      <c r="Z158" s="109"/>
    </row>
    <row r="159" ht="29.25" customHeight="1">
      <c r="A159" s="109"/>
      <c r="B159" s="109"/>
      <c r="C159" s="109"/>
      <c r="D159" s="109"/>
      <c r="E159" s="109"/>
      <c r="F159" s="109"/>
      <c r="G159" s="317"/>
      <c r="H159" s="109"/>
      <c r="I159" s="109"/>
      <c r="J159" s="109"/>
      <c r="K159" s="109"/>
      <c r="L159" s="109"/>
      <c r="M159" s="109"/>
      <c r="N159" s="109"/>
      <c r="O159" s="109"/>
      <c r="P159" s="109"/>
      <c r="Q159" s="109"/>
      <c r="R159" s="109"/>
      <c r="S159" s="109"/>
      <c r="T159" s="109"/>
      <c r="U159" s="109"/>
      <c r="V159" s="109"/>
      <c r="W159" s="109"/>
      <c r="X159" s="109"/>
      <c r="Y159" s="109"/>
      <c r="Z159" s="109"/>
    </row>
    <row r="160" ht="29.25" customHeight="1">
      <c r="A160" s="109"/>
      <c r="B160" s="109"/>
      <c r="C160" s="109"/>
      <c r="D160" s="109"/>
      <c r="E160" s="109"/>
      <c r="F160" s="109"/>
      <c r="G160" s="317"/>
      <c r="H160" s="109"/>
      <c r="I160" s="109"/>
      <c r="J160" s="109"/>
      <c r="K160" s="109"/>
      <c r="L160" s="109"/>
      <c r="M160" s="109"/>
      <c r="N160" s="109"/>
      <c r="O160" s="109"/>
      <c r="P160" s="109"/>
      <c r="Q160" s="109"/>
      <c r="R160" s="109"/>
      <c r="S160" s="109"/>
      <c r="T160" s="109"/>
      <c r="U160" s="109"/>
      <c r="V160" s="109"/>
      <c r="W160" s="109"/>
      <c r="X160" s="109"/>
      <c r="Y160" s="109"/>
      <c r="Z160" s="109"/>
    </row>
    <row r="161" ht="29.25" customHeight="1">
      <c r="A161" s="109"/>
      <c r="B161" s="109"/>
      <c r="C161" s="109"/>
      <c r="D161" s="109"/>
      <c r="E161" s="109"/>
      <c r="F161" s="109"/>
      <c r="G161" s="317"/>
      <c r="H161" s="109"/>
      <c r="I161" s="109"/>
      <c r="J161" s="109"/>
      <c r="K161" s="109"/>
      <c r="L161" s="109"/>
      <c r="M161" s="109"/>
      <c r="N161" s="109"/>
      <c r="O161" s="109"/>
      <c r="P161" s="109"/>
      <c r="Q161" s="109"/>
      <c r="R161" s="109"/>
      <c r="S161" s="109"/>
      <c r="T161" s="109"/>
      <c r="U161" s="109"/>
      <c r="V161" s="109"/>
      <c r="W161" s="109"/>
      <c r="X161" s="109"/>
      <c r="Y161" s="109"/>
      <c r="Z161" s="109"/>
    </row>
    <row r="162" ht="29.25" customHeight="1">
      <c r="A162" s="109"/>
      <c r="B162" s="109"/>
      <c r="C162" s="109"/>
      <c r="D162" s="109"/>
      <c r="E162" s="109"/>
      <c r="F162" s="109"/>
      <c r="G162" s="317"/>
      <c r="H162" s="109"/>
      <c r="I162" s="109"/>
      <c r="J162" s="109"/>
      <c r="K162" s="109"/>
      <c r="L162" s="109"/>
      <c r="M162" s="109"/>
      <c r="N162" s="109"/>
      <c r="O162" s="109"/>
      <c r="P162" s="109"/>
      <c r="Q162" s="109"/>
      <c r="R162" s="109"/>
      <c r="S162" s="109"/>
      <c r="T162" s="109"/>
      <c r="U162" s="109"/>
      <c r="V162" s="109"/>
      <c r="W162" s="109"/>
      <c r="X162" s="109"/>
      <c r="Y162" s="109"/>
      <c r="Z162" s="109"/>
    </row>
    <row r="163" ht="29.25" customHeight="1">
      <c r="A163" s="109"/>
      <c r="B163" s="109"/>
      <c r="C163" s="109"/>
      <c r="D163" s="109"/>
      <c r="E163" s="109"/>
      <c r="F163" s="109"/>
      <c r="G163" s="317"/>
      <c r="H163" s="109"/>
      <c r="I163" s="109"/>
      <c r="J163" s="109"/>
      <c r="K163" s="109"/>
      <c r="L163" s="109"/>
      <c r="M163" s="109"/>
      <c r="N163" s="109"/>
      <c r="O163" s="109"/>
      <c r="P163" s="109"/>
      <c r="Q163" s="109"/>
      <c r="R163" s="109"/>
      <c r="S163" s="109"/>
      <c r="T163" s="109"/>
      <c r="U163" s="109"/>
      <c r="V163" s="109"/>
      <c r="W163" s="109"/>
      <c r="X163" s="109"/>
      <c r="Y163" s="109"/>
      <c r="Z163" s="109"/>
    </row>
    <row r="164" ht="29.25" customHeight="1">
      <c r="A164" s="109"/>
      <c r="B164" s="109"/>
      <c r="C164" s="109"/>
      <c r="D164" s="109"/>
      <c r="E164" s="109"/>
      <c r="F164" s="109"/>
      <c r="G164" s="317"/>
      <c r="H164" s="109"/>
      <c r="I164" s="109"/>
      <c r="J164" s="109"/>
      <c r="K164" s="109"/>
      <c r="L164" s="109"/>
      <c r="M164" s="109"/>
      <c r="N164" s="109"/>
      <c r="O164" s="109"/>
      <c r="P164" s="109"/>
      <c r="Q164" s="109"/>
      <c r="R164" s="109"/>
      <c r="S164" s="109"/>
      <c r="T164" s="109"/>
      <c r="U164" s="109"/>
      <c r="V164" s="109"/>
      <c r="W164" s="109"/>
      <c r="X164" s="109"/>
      <c r="Y164" s="109"/>
      <c r="Z164" s="109"/>
    </row>
    <row r="165" ht="29.25" customHeight="1">
      <c r="A165" s="109"/>
      <c r="B165" s="109"/>
      <c r="C165" s="109"/>
      <c r="D165" s="109"/>
      <c r="E165" s="109"/>
      <c r="F165" s="109"/>
      <c r="G165" s="317"/>
      <c r="H165" s="109"/>
      <c r="I165" s="109"/>
      <c r="J165" s="109"/>
      <c r="K165" s="109"/>
      <c r="L165" s="109"/>
      <c r="M165" s="109"/>
      <c r="N165" s="109"/>
      <c r="O165" s="109"/>
      <c r="P165" s="109"/>
      <c r="Q165" s="109"/>
      <c r="R165" s="109"/>
      <c r="S165" s="109"/>
      <c r="T165" s="109"/>
      <c r="U165" s="109"/>
      <c r="V165" s="109"/>
      <c r="W165" s="109"/>
      <c r="X165" s="109"/>
      <c r="Y165" s="109"/>
      <c r="Z165" s="109"/>
    </row>
    <row r="166" ht="29.25" customHeight="1">
      <c r="A166" s="109"/>
      <c r="B166" s="109"/>
      <c r="C166" s="109"/>
      <c r="D166" s="109"/>
      <c r="E166" s="109"/>
      <c r="F166" s="109"/>
      <c r="G166" s="317"/>
      <c r="H166" s="109"/>
      <c r="I166" s="109"/>
      <c r="J166" s="109"/>
      <c r="K166" s="109"/>
      <c r="L166" s="109"/>
      <c r="M166" s="109"/>
      <c r="N166" s="109"/>
      <c r="O166" s="109"/>
      <c r="P166" s="109"/>
      <c r="Q166" s="109"/>
      <c r="R166" s="109"/>
      <c r="S166" s="109"/>
      <c r="T166" s="109"/>
      <c r="U166" s="109"/>
      <c r="V166" s="109"/>
      <c r="W166" s="109"/>
      <c r="X166" s="109"/>
      <c r="Y166" s="109"/>
      <c r="Z166" s="109"/>
    </row>
    <row r="167" ht="29.25" customHeight="1">
      <c r="A167" s="109"/>
      <c r="B167" s="109"/>
      <c r="C167" s="109"/>
      <c r="D167" s="109"/>
      <c r="E167" s="109"/>
      <c r="F167" s="109"/>
      <c r="G167" s="317"/>
      <c r="H167" s="109"/>
      <c r="I167" s="109"/>
      <c r="J167" s="109"/>
      <c r="K167" s="109"/>
      <c r="L167" s="109"/>
      <c r="M167" s="109"/>
      <c r="N167" s="109"/>
      <c r="O167" s="109"/>
      <c r="P167" s="109"/>
      <c r="Q167" s="109"/>
      <c r="R167" s="109"/>
      <c r="S167" s="109"/>
      <c r="T167" s="109"/>
      <c r="U167" s="109"/>
      <c r="V167" s="109"/>
      <c r="W167" s="109"/>
      <c r="X167" s="109"/>
      <c r="Y167" s="109"/>
      <c r="Z167" s="109"/>
    </row>
    <row r="168" ht="29.25" customHeight="1">
      <c r="A168" s="109"/>
      <c r="B168" s="109"/>
      <c r="C168" s="109"/>
      <c r="D168" s="109"/>
      <c r="E168" s="109"/>
      <c r="F168" s="109"/>
      <c r="G168" s="317"/>
      <c r="H168" s="109"/>
      <c r="I168" s="109"/>
      <c r="J168" s="109"/>
      <c r="K168" s="109"/>
      <c r="L168" s="109"/>
      <c r="M168" s="109"/>
      <c r="N168" s="109"/>
      <c r="O168" s="109"/>
      <c r="P168" s="109"/>
      <c r="Q168" s="109"/>
      <c r="R168" s="109"/>
      <c r="S168" s="109"/>
      <c r="T168" s="109"/>
      <c r="U168" s="109"/>
      <c r="V168" s="109"/>
      <c r="W168" s="109"/>
      <c r="X168" s="109"/>
      <c r="Y168" s="109"/>
      <c r="Z168" s="109"/>
    </row>
    <row r="169" ht="29.25" customHeight="1">
      <c r="A169" s="109"/>
      <c r="B169" s="109"/>
      <c r="C169" s="109"/>
      <c r="D169" s="109"/>
      <c r="E169" s="109"/>
      <c r="F169" s="109"/>
      <c r="G169" s="317"/>
      <c r="H169" s="109"/>
      <c r="I169" s="109"/>
      <c r="J169" s="109"/>
      <c r="K169" s="109"/>
      <c r="L169" s="109"/>
      <c r="M169" s="109"/>
      <c r="N169" s="109"/>
      <c r="O169" s="109"/>
      <c r="P169" s="109"/>
      <c r="Q169" s="109"/>
      <c r="R169" s="109"/>
      <c r="S169" s="109"/>
      <c r="T169" s="109"/>
      <c r="U169" s="109"/>
      <c r="V169" s="109"/>
      <c r="W169" s="109"/>
      <c r="X169" s="109"/>
      <c r="Y169" s="109"/>
      <c r="Z169" s="109"/>
    </row>
    <row r="170" ht="29.25" customHeight="1">
      <c r="A170" s="109"/>
      <c r="B170" s="109"/>
      <c r="C170" s="109"/>
      <c r="D170" s="109"/>
      <c r="E170" s="109"/>
      <c r="F170" s="109"/>
      <c r="G170" s="317"/>
      <c r="H170" s="109"/>
      <c r="I170" s="109"/>
      <c r="J170" s="109"/>
      <c r="K170" s="109"/>
      <c r="L170" s="109"/>
      <c r="M170" s="109"/>
      <c r="N170" s="109"/>
      <c r="O170" s="109"/>
      <c r="P170" s="109"/>
      <c r="Q170" s="109"/>
      <c r="R170" s="109"/>
      <c r="S170" s="109"/>
      <c r="T170" s="109"/>
      <c r="U170" s="109"/>
      <c r="V170" s="109"/>
      <c r="W170" s="109"/>
      <c r="X170" s="109"/>
      <c r="Y170" s="109"/>
      <c r="Z170" s="109"/>
    </row>
    <row r="171" ht="29.25" customHeight="1">
      <c r="A171" s="109"/>
      <c r="B171" s="109"/>
      <c r="C171" s="109"/>
      <c r="D171" s="109"/>
      <c r="E171" s="109"/>
      <c r="F171" s="109"/>
      <c r="G171" s="317"/>
      <c r="H171" s="109"/>
      <c r="I171" s="109"/>
      <c r="J171" s="109"/>
      <c r="K171" s="109"/>
      <c r="L171" s="109"/>
      <c r="M171" s="109"/>
      <c r="N171" s="109"/>
      <c r="O171" s="109"/>
      <c r="P171" s="109"/>
      <c r="Q171" s="109"/>
      <c r="R171" s="109"/>
      <c r="S171" s="109"/>
      <c r="T171" s="109"/>
      <c r="U171" s="109"/>
      <c r="V171" s="109"/>
      <c r="W171" s="109"/>
      <c r="X171" s="109"/>
      <c r="Y171" s="109"/>
      <c r="Z171" s="109"/>
    </row>
    <row r="172" ht="29.25" customHeight="1">
      <c r="A172" s="109"/>
      <c r="B172" s="109"/>
      <c r="C172" s="109"/>
      <c r="D172" s="109"/>
      <c r="E172" s="109"/>
      <c r="F172" s="109"/>
      <c r="G172" s="317"/>
      <c r="H172" s="109"/>
      <c r="I172" s="109"/>
      <c r="J172" s="109"/>
      <c r="K172" s="109"/>
      <c r="L172" s="109"/>
      <c r="M172" s="109"/>
      <c r="N172" s="109"/>
      <c r="O172" s="109"/>
      <c r="P172" s="109"/>
      <c r="Q172" s="109"/>
      <c r="R172" s="109"/>
      <c r="S172" s="109"/>
      <c r="T172" s="109"/>
      <c r="U172" s="109"/>
      <c r="V172" s="109"/>
      <c r="W172" s="109"/>
      <c r="X172" s="109"/>
      <c r="Y172" s="109"/>
      <c r="Z172" s="109"/>
    </row>
    <row r="173" ht="29.25" customHeight="1">
      <c r="A173" s="109"/>
      <c r="B173" s="109"/>
      <c r="C173" s="109"/>
      <c r="D173" s="109"/>
      <c r="E173" s="109"/>
      <c r="F173" s="109"/>
      <c r="G173" s="317"/>
      <c r="H173" s="109"/>
      <c r="I173" s="109"/>
      <c r="J173" s="109"/>
      <c r="K173" s="109"/>
      <c r="L173" s="109"/>
      <c r="M173" s="109"/>
      <c r="N173" s="109"/>
      <c r="O173" s="109"/>
      <c r="P173" s="109"/>
      <c r="Q173" s="109"/>
      <c r="R173" s="109"/>
      <c r="S173" s="109"/>
      <c r="T173" s="109"/>
      <c r="U173" s="109"/>
      <c r="V173" s="109"/>
      <c r="W173" s="109"/>
      <c r="X173" s="109"/>
      <c r="Y173" s="109"/>
      <c r="Z173" s="109"/>
    </row>
    <row r="174" ht="29.25" customHeight="1">
      <c r="A174" s="109"/>
      <c r="B174" s="109"/>
      <c r="C174" s="109"/>
      <c r="D174" s="109"/>
      <c r="E174" s="109"/>
      <c r="F174" s="109"/>
      <c r="G174" s="317"/>
      <c r="H174" s="109"/>
      <c r="I174" s="109"/>
      <c r="J174" s="109"/>
      <c r="K174" s="109"/>
      <c r="L174" s="109"/>
      <c r="M174" s="109"/>
      <c r="N174" s="109"/>
      <c r="O174" s="109"/>
      <c r="P174" s="109"/>
      <c r="Q174" s="109"/>
      <c r="R174" s="109"/>
      <c r="S174" s="109"/>
      <c r="T174" s="109"/>
      <c r="U174" s="109"/>
      <c r="V174" s="109"/>
      <c r="W174" s="109"/>
      <c r="X174" s="109"/>
      <c r="Y174" s="109"/>
      <c r="Z174" s="109"/>
    </row>
    <row r="175" ht="29.25" customHeight="1">
      <c r="A175" s="109"/>
      <c r="B175" s="109"/>
      <c r="C175" s="109"/>
      <c r="D175" s="109"/>
      <c r="E175" s="109"/>
      <c r="F175" s="109"/>
      <c r="G175" s="317"/>
      <c r="H175" s="109"/>
      <c r="I175" s="109"/>
      <c r="J175" s="109"/>
      <c r="K175" s="109"/>
      <c r="L175" s="109"/>
      <c r="M175" s="109"/>
      <c r="N175" s="109"/>
      <c r="O175" s="109"/>
      <c r="P175" s="109"/>
      <c r="Q175" s="109"/>
      <c r="R175" s="109"/>
      <c r="S175" s="109"/>
      <c r="T175" s="109"/>
      <c r="U175" s="109"/>
      <c r="V175" s="109"/>
      <c r="W175" s="109"/>
      <c r="X175" s="109"/>
      <c r="Y175" s="109"/>
      <c r="Z175" s="109"/>
    </row>
    <row r="176" ht="29.25" customHeight="1">
      <c r="A176" s="109"/>
      <c r="B176" s="109"/>
      <c r="C176" s="109"/>
      <c r="D176" s="109"/>
      <c r="E176" s="109"/>
      <c r="F176" s="109"/>
      <c r="G176" s="317"/>
      <c r="H176" s="109"/>
      <c r="I176" s="109"/>
      <c r="J176" s="109"/>
      <c r="K176" s="109"/>
      <c r="L176" s="109"/>
      <c r="M176" s="109"/>
      <c r="N176" s="109"/>
      <c r="O176" s="109"/>
      <c r="P176" s="109"/>
      <c r="Q176" s="109"/>
      <c r="R176" s="109"/>
      <c r="S176" s="109"/>
      <c r="T176" s="109"/>
      <c r="U176" s="109"/>
      <c r="V176" s="109"/>
      <c r="W176" s="109"/>
      <c r="X176" s="109"/>
      <c r="Y176" s="109"/>
      <c r="Z176" s="109"/>
    </row>
    <row r="177" ht="29.25" customHeight="1">
      <c r="A177" s="109"/>
      <c r="B177" s="109"/>
      <c r="C177" s="109"/>
      <c r="D177" s="109"/>
      <c r="E177" s="109"/>
      <c r="F177" s="109"/>
      <c r="G177" s="317"/>
      <c r="H177" s="109"/>
      <c r="I177" s="109"/>
      <c r="J177" s="109"/>
      <c r="K177" s="109"/>
      <c r="L177" s="109"/>
      <c r="M177" s="109"/>
      <c r="N177" s="109"/>
      <c r="O177" s="109"/>
      <c r="P177" s="109"/>
      <c r="Q177" s="109"/>
      <c r="R177" s="109"/>
      <c r="S177" s="109"/>
      <c r="T177" s="109"/>
      <c r="U177" s="109"/>
      <c r="V177" s="109"/>
      <c r="W177" s="109"/>
      <c r="X177" s="109"/>
      <c r="Y177" s="109"/>
      <c r="Z177" s="109"/>
    </row>
    <row r="178" ht="29.25" customHeight="1">
      <c r="A178" s="109"/>
      <c r="B178" s="109"/>
      <c r="C178" s="109"/>
      <c r="D178" s="109"/>
      <c r="E178" s="109"/>
      <c r="F178" s="109"/>
      <c r="G178" s="317"/>
      <c r="H178" s="109"/>
      <c r="I178" s="109"/>
      <c r="J178" s="109"/>
      <c r="K178" s="109"/>
      <c r="L178" s="109"/>
      <c r="M178" s="109"/>
      <c r="N178" s="109"/>
      <c r="O178" s="109"/>
      <c r="P178" s="109"/>
      <c r="Q178" s="109"/>
      <c r="R178" s="109"/>
      <c r="S178" s="109"/>
      <c r="T178" s="109"/>
      <c r="U178" s="109"/>
      <c r="V178" s="109"/>
      <c r="W178" s="109"/>
      <c r="X178" s="109"/>
      <c r="Y178" s="109"/>
      <c r="Z178" s="109"/>
    </row>
    <row r="179" ht="29.25" customHeight="1">
      <c r="A179" s="109"/>
      <c r="B179" s="109"/>
      <c r="C179" s="109"/>
      <c r="D179" s="109"/>
      <c r="E179" s="109"/>
      <c r="F179" s="109"/>
      <c r="G179" s="317"/>
      <c r="H179" s="109"/>
      <c r="I179" s="109"/>
      <c r="J179" s="109"/>
      <c r="K179" s="109"/>
      <c r="L179" s="109"/>
      <c r="M179" s="109"/>
      <c r="N179" s="109"/>
      <c r="O179" s="109"/>
      <c r="P179" s="109"/>
      <c r="Q179" s="109"/>
      <c r="R179" s="109"/>
      <c r="S179" s="109"/>
      <c r="T179" s="109"/>
      <c r="U179" s="109"/>
      <c r="V179" s="109"/>
      <c r="W179" s="109"/>
      <c r="X179" s="109"/>
      <c r="Y179" s="109"/>
      <c r="Z179" s="109"/>
    </row>
    <row r="180" ht="29.25" customHeight="1">
      <c r="A180" s="109"/>
      <c r="B180" s="109"/>
      <c r="C180" s="109"/>
      <c r="D180" s="109"/>
      <c r="E180" s="109"/>
      <c r="F180" s="109"/>
      <c r="G180" s="317"/>
      <c r="H180" s="109"/>
      <c r="I180" s="109"/>
      <c r="J180" s="109"/>
      <c r="K180" s="109"/>
      <c r="L180" s="109"/>
      <c r="M180" s="109"/>
      <c r="N180" s="109"/>
      <c r="O180" s="109"/>
      <c r="P180" s="109"/>
      <c r="Q180" s="109"/>
      <c r="R180" s="109"/>
      <c r="S180" s="109"/>
      <c r="T180" s="109"/>
      <c r="U180" s="109"/>
      <c r="V180" s="109"/>
      <c r="W180" s="109"/>
      <c r="X180" s="109"/>
      <c r="Y180" s="109"/>
      <c r="Z180" s="109"/>
    </row>
    <row r="181" ht="29.25" customHeight="1">
      <c r="A181" s="109"/>
      <c r="B181" s="109"/>
      <c r="C181" s="109"/>
      <c r="D181" s="109"/>
      <c r="E181" s="109"/>
      <c r="F181" s="109"/>
      <c r="G181" s="317"/>
      <c r="H181" s="109"/>
      <c r="I181" s="109"/>
      <c r="J181" s="109"/>
      <c r="K181" s="109"/>
      <c r="L181" s="109"/>
      <c r="M181" s="109"/>
      <c r="N181" s="109"/>
      <c r="O181" s="109"/>
      <c r="P181" s="109"/>
      <c r="Q181" s="109"/>
      <c r="R181" s="109"/>
      <c r="S181" s="109"/>
      <c r="T181" s="109"/>
      <c r="U181" s="109"/>
      <c r="V181" s="109"/>
      <c r="W181" s="109"/>
      <c r="X181" s="109"/>
      <c r="Y181" s="109"/>
      <c r="Z181" s="109"/>
    </row>
    <row r="182" ht="29.25" customHeight="1">
      <c r="A182" s="109"/>
      <c r="B182" s="109"/>
      <c r="C182" s="109"/>
      <c r="D182" s="109"/>
      <c r="E182" s="109"/>
      <c r="F182" s="109"/>
      <c r="G182" s="317"/>
      <c r="H182" s="109"/>
      <c r="I182" s="109"/>
      <c r="J182" s="109"/>
      <c r="K182" s="109"/>
      <c r="L182" s="109"/>
      <c r="M182" s="109"/>
      <c r="N182" s="109"/>
      <c r="O182" s="109"/>
      <c r="P182" s="109"/>
      <c r="Q182" s="109"/>
      <c r="R182" s="109"/>
      <c r="S182" s="109"/>
      <c r="T182" s="109"/>
      <c r="U182" s="109"/>
      <c r="V182" s="109"/>
      <c r="W182" s="109"/>
      <c r="X182" s="109"/>
      <c r="Y182" s="109"/>
      <c r="Z182" s="109"/>
    </row>
    <row r="183" ht="29.25" customHeight="1">
      <c r="A183" s="109"/>
      <c r="B183" s="109"/>
      <c r="C183" s="109"/>
      <c r="D183" s="109"/>
      <c r="E183" s="109"/>
      <c r="F183" s="109"/>
      <c r="G183" s="317"/>
      <c r="H183" s="109"/>
      <c r="I183" s="109"/>
      <c r="J183" s="109"/>
      <c r="K183" s="109"/>
      <c r="L183" s="109"/>
      <c r="M183" s="109"/>
      <c r="N183" s="109"/>
      <c r="O183" s="109"/>
      <c r="P183" s="109"/>
      <c r="Q183" s="109"/>
      <c r="R183" s="109"/>
      <c r="S183" s="109"/>
      <c r="T183" s="109"/>
      <c r="U183" s="109"/>
      <c r="V183" s="109"/>
      <c r="W183" s="109"/>
      <c r="X183" s="109"/>
      <c r="Y183" s="109"/>
      <c r="Z183" s="109"/>
    </row>
    <row r="184" ht="29.25" customHeight="1">
      <c r="A184" s="109"/>
      <c r="B184" s="109"/>
      <c r="C184" s="109"/>
      <c r="D184" s="109"/>
      <c r="E184" s="109"/>
      <c r="F184" s="109"/>
      <c r="G184" s="317"/>
      <c r="H184" s="109"/>
      <c r="I184" s="109"/>
      <c r="J184" s="109"/>
      <c r="K184" s="109"/>
      <c r="L184" s="109"/>
      <c r="M184" s="109"/>
      <c r="N184" s="109"/>
      <c r="O184" s="109"/>
      <c r="P184" s="109"/>
      <c r="Q184" s="109"/>
      <c r="R184" s="109"/>
      <c r="S184" s="109"/>
      <c r="T184" s="109"/>
      <c r="U184" s="109"/>
      <c r="V184" s="109"/>
      <c r="W184" s="109"/>
      <c r="X184" s="109"/>
      <c r="Y184" s="109"/>
      <c r="Z184" s="109"/>
    </row>
    <row r="185" ht="29.25" customHeight="1">
      <c r="A185" s="109"/>
      <c r="B185" s="109"/>
      <c r="C185" s="109"/>
      <c r="D185" s="109"/>
      <c r="E185" s="109"/>
      <c r="F185" s="109"/>
      <c r="G185" s="317"/>
      <c r="H185" s="109"/>
      <c r="I185" s="109"/>
      <c r="J185" s="109"/>
      <c r="K185" s="109"/>
      <c r="L185" s="109"/>
      <c r="M185" s="109"/>
      <c r="N185" s="109"/>
      <c r="O185" s="109"/>
      <c r="P185" s="109"/>
      <c r="Q185" s="109"/>
      <c r="R185" s="109"/>
      <c r="S185" s="109"/>
      <c r="T185" s="109"/>
      <c r="U185" s="109"/>
      <c r="V185" s="109"/>
      <c r="W185" s="109"/>
      <c r="X185" s="109"/>
      <c r="Y185" s="109"/>
      <c r="Z185" s="109"/>
    </row>
    <row r="186" ht="29.25" customHeight="1">
      <c r="A186" s="109"/>
      <c r="B186" s="109"/>
      <c r="C186" s="109"/>
      <c r="D186" s="109"/>
      <c r="E186" s="109"/>
      <c r="F186" s="109"/>
      <c r="G186" s="317"/>
      <c r="H186" s="109"/>
      <c r="I186" s="109"/>
      <c r="J186" s="109"/>
      <c r="K186" s="109"/>
      <c r="L186" s="109"/>
      <c r="M186" s="109"/>
      <c r="N186" s="109"/>
      <c r="O186" s="109"/>
      <c r="P186" s="109"/>
      <c r="Q186" s="109"/>
      <c r="R186" s="109"/>
      <c r="S186" s="109"/>
      <c r="T186" s="109"/>
      <c r="U186" s="109"/>
      <c r="V186" s="109"/>
      <c r="W186" s="109"/>
      <c r="X186" s="109"/>
      <c r="Y186" s="109"/>
      <c r="Z186" s="109"/>
    </row>
    <row r="187" ht="29.25" customHeight="1">
      <c r="A187" s="109"/>
      <c r="B187" s="109"/>
      <c r="C187" s="109"/>
      <c r="D187" s="109"/>
      <c r="E187" s="109"/>
      <c r="F187" s="109"/>
      <c r="G187" s="317"/>
      <c r="H187" s="109"/>
      <c r="I187" s="109"/>
      <c r="J187" s="109"/>
      <c r="K187" s="109"/>
      <c r="L187" s="109"/>
      <c r="M187" s="109"/>
      <c r="N187" s="109"/>
      <c r="O187" s="109"/>
      <c r="P187" s="109"/>
      <c r="Q187" s="109"/>
      <c r="R187" s="109"/>
      <c r="S187" s="109"/>
      <c r="T187" s="109"/>
      <c r="U187" s="109"/>
      <c r="V187" s="109"/>
      <c r="W187" s="109"/>
      <c r="X187" s="109"/>
      <c r="Y187" s="109"/>
      <c r="Z187" s="109"/>
    </row>
    <row r="188" ht="29.25" customHeight="1">
      <c r="A188" s="109"/>
      <c r="B188" s="109"/>
      <c r="C188" s="109"/>
      <c r="D188" s="109"/>
      <c r="E188" s="109"/>
      <c r="F188" s="109"/>
      <c r="G188" s="317"/>
      <c r="H188" s="109"/>
      <c r="I188" s="109"/>
      <c r="J188" s="109"/>
      <c r="K188" s="109"/>
      <c r="L188" s="109"/>
      <c r="M188" s="109"/>
      <c r="N188" s="109"/>
      <c r="O188" s="109"/>
      <c r="P188" s="109"/>
      <c r="Q188" s="109"/>
      <c r="R188" s="109"/>
      <c r="S188" s="109"/>
      <c r="T188" s="109"/>
      <c r="U188" s="109"/>
      <c r="V188" s="109"/>
      <c r="W188" s="109"/>
      <c r="X188" s="109"/>
      <c r="Y188" s="109"/>
      <c r="Z188" s="109"/>
    </row>
    <row r="189" ht="29.25" customHeight="1">
      <c r="A189" s="109"/>
      <c r="B189" s="109"/>
      <c r="C189" s="109"/>
      <c r="D189" s="109"/>
      <c r="E189" s="109"/>
      <c r="F189" s="109"/>
      <c r="G189" s="317"/>
      <c r="H189" s="109"/>
      <c r="I189" s="109"/>
      <c r="J189" s="109"/>
      <c r="K189" s="109"/>
      <c r="L189" s="109"/>
      <c r="M189" s="109"/>
      <c r="N189" s="109"/>
      <c r="O189" s="109"/>
      <c r="P189" s="109"/>
      <c r="Q189" s="109"/>
      <c r="R189" s="109"/>
      <c r="S189" s="109"/>
      <c r="T189" s="109"/>
      <c r="U189" s="109"/>
      <c r="V189" s="109"/>
      <c r="W189" s="109"/>
      <c r="X189" s="109"/>
      <c r="Y189" s="109"/>
      <c r="Z189" s="109"/>
    </row>
    <row r="190" ht="29.25" customHeight="1">
      <c r="A190" s="109"/>
      <c r="B190" s="109"/>
      <c r="C190" s="109"/>
      <c r="D190" s="109"/>
      <c r="E190" s="109"/>
      <c r="F190" s="109"/>
      <c r="G190" s="317"/>
      <c r="H190" s="109"/>
      <c r="I190" s="109"/>
      <c r="J190" s="109"/>
      <c r="K190" s="109"/>
      <c r="L190" s="109"/>
      <c r="M190" s="109"/>
      <c r="N190" s="109"/>
      <c r="O190" s="109"/>
      <c r="P190" s="109"/>
      <c r="Q190" s="109"/>
      <c r="R190" s="109"/>
      <c r="S190" s="109"/>
      <c r="T190" s="109"/>
      <c r="U190" s="109"/>
      <c r="V190" s="109"/>
      <c r="W190" s="109"/>
      <c r="X190" s="109"/>
      <c r="Y190" s="109"/>
      <c r="Z190" s="109"/>
    </row>
    <row r="191" ht="29.25" customHeight="1">
      <c r="A191" s="109"/>
      <c r="B191" s="109"/>
      <c r="C191" s="109"/>
      <c r="D191" s="109"/>
      <c r="E191" s="109"/>
      <c r="F191" s="109"/>
      <c r="G191" s="317"/>
      <c r="H191" s="109"/>
      <c r="I191" s="109"/>
      <c r="J191" s="109"/>
      <c r="K191" s="109"/>
      <c r="L191" s="109"/>
      <c r="M191" s="109"/>
      <c r="N191" s="109"/>
      <c r="O191" s="109"/>
      <c r="P191" s="109"/>
      <c r="Q191" s="109"/>
      <c r="R191" s="109"/>
      <c r="S191" s="109"/>
      <c r="T191" s="109"/>
      <c r="U191" s="109"/>
      <c r="V191" s="109"/>
      <c r="W191" s="109"/>
      <c r="X191" s="109"/>
      <c r="Y191" s="109"/>
      <c r="Z191" s="109"/>
    </row>
    <row r="192" ht="29.25" customHeight="1">
      <c r="A192" s="109"/>
      <c r="B192" s="109"/>
      <c r="C192" s="109"/>
      <c r="D192" s="109"/>
      <c r="E192" s="109"/>
      <c r="F192" s="109"/>
      <c r="G192" s="317"/>
      <c r="H192" s="109"/>
      <c r="I192" s="109"/>
      <c r="J192" s="109"/>
      <c r="K192" s="109"/>
      <c r="L192" s="109"/>
      <c r="M192" s="109"/>
      <c r="N192" s="109"/>
      <c r="O192" s="109"/>
      <c r="P192" s="109"/>
      <c r="Q192" s="109"/>
      <c r="R192" s="109"/>
      <c r="S192" s="109"/>
      <c r="T192" s="109"/>
      <c r="U192" s="109"/>
      <c r="V192" s="109"/>
      <c r="W192" s="109"/>
      <c r="X192" s="109"/>
      <c r="Y192" s="109"/>
      <c r="Z192" s="109"/>
    </row>
    <row r="193" ht="29.25" customHeight="1">
      <c r="A193" s="109"/>
      <c r="B193" s="109"/>
      <c r="C193" s="109"/>
      <c r="D193" s="109"/>
      <c r="E193" s="109"/>
      <c r="F193" s="109"/>
      <c r="G193" s="317"/>
      <c r="H193" s="109"/>
      <c r="I193" s="109"/>
      <c r="J193" s="109"/>
      <c r="K193" s="109"/>
      <c r="L193" s="109"/>
      <c r="M193" s="109"/>
      <c r="N193" s="109"/>
      <c r="O193" s="109"/>
      <c r="P193" s="109"/>
      <c r="Q193" s="109"/>
      <c r="R193" s="109"/>
      <c r="S193" s="109"/>
      <c r="T193" s="109"/>
      <c r="U193" s="109"/>
      <c r="V193" s="109"/>
      <c r="W193" s="109"/>
      <c r="X193" s="109"/>
      <c r="Y193" s="109"/>
      <c r="Z193" s="109"/>
    </row>
    <row r="194" ht="29.25" customHeight="1">
      <c r="A194" s="109"/>
      <c r="B194" s="109"/>
      <c r="C194" s="109"/>
      <c r="D194" s="109"/>
      <c r="E194" s="109"/>
      <c r="F194" s="109"/>
      <c r="G194" s="317"/>
      <c r="H194" s="109"/>
      <c r="I194" s="109"/>
      <c r="J194" s="109"/>
      <c r="K194" s="109"/>
      <c r="L194" s="109"/>
      <c r="M194" s="109"/>
      <c r="N194" s="109"/>
      <c r="O194" s="109"/>
      <c r="P194" s="109"/>
      <c r="Q194" s="109"/>
      <c r="R194" s="109"/>
      <c r="S194" s="109"/>
      <c r="T194" s="109"/>
      <c r="U194" s="109"/>
      <c r="V194" s="109"/>
      <c r="W194" s="109"/>
      <c r="X194" s="109"/>
      <c r="Y194" s="109"/>
      <c r="Z194" s="109"/>
    </row>
    <row r="195" ht="29.25" customHeight="1">
      <c r="A195" s="109"/>
      <c r="B195" s="109"/>
      <c r="C195" s="109"/>
      <c r="D195" s="109"/>
      <c r="E195" s="109"/>
      <c r="F195" s="109"/>
      <c r="G195" s="317"/>
      <c r="H195" s="109"/>
      <c r="I195" s="109"/>
      <c r="J195" s="109"/>
      <c r="K195" s="109"/>
      <c r="L195" s="109"/>
      <c r="M195" s="109"/>
      <c r="N195" s="109"/>
      <c r="O195" s="109"/>
      <c r="P195" s="109"/>
      <c r="Q195" s="109"/>
      <c r="R195" s="109"/>
      <c r="S195" s="109"/>
      <c r="T195" s="109"/>
      <c r="U195" s="109"/>
      <c r="V195" s="109"/>
      <c r="W195" s="109"/>
      <c r="X195" s="109"/>
      <c r="Y195" s="109"/>
      <c r="Z195" s="109"/>
    </row>
    <row r="196" ht="29.25" customHeight="1">
      <c r="A196" s="109"/>
      <c r="B196" s="109"/>
      <c r="C196" s="109"/>
      <c r="D196" s="109"/>
      <c r="E196" s="109"/>
      <c r="F196" s="109"/>
      <c r="G196" s="317"/>
      <c r="H196" s="109"/>
      <c r="I196" s="109"/>
      <c r="J196" s="109"/>
      <c r="K196" s="109"/>
      <c r="L196" s="109"/>
      <c r="M196" s="109"/>
      <c r="N196" s="109"/>
      <c r="O196" s="109"/>
      <c r="P196" s="109"/>
      <c r="Q196" s="109"/>
      <c r="R196" s="109"/>
      <c r="S196" s="109"/>
      <c r="T196" s="109"/>
      <c r="U196" s="109"/>
      <c r="V196" s="109"/>
      <c r="W196" s="109"/>
      <c r="X196" s="109"/>
      <c r="Y196" s="109"/>
      <c r="Z196" s="109"/>
    </row>
    <row r="197" ht="29.25" customHeight="1">
      <c r="A197" s="109"/>
      <c r="B197" s="109"/>
      <c r="C197" s="109"/>
      <c r="D197" s="109"/>
      <c r="E197" s="109"/>
      <c r="F197" s="109"/>
      <c r="G197" s="317"/>
      <c r="H197" s="109"/>
      <c r="I197" s="109"/>
      <c r="J197" s="109"/>
      <c r="K197" s="109"/>
      <c r="L197" s="109"/>
      <c r="M197" s="109"/>
      <c r="N197" s="109"/>
      <c r="O197" s="109"/>
      <c r="P197" s="109"/>
      <c r="Q197" s="109"/>
      <c r="R197" s="109"/>
      <c r="S197" s="109"/>
      <c r="T197" s="109"/>
      <c r="U197" s="109"/>
      <c r="V197" s="109"/>
      <c r="W197" s="109"/>
      <c r="X197" s="109"/>
      <c r="Y197" s="109"/>
      <c r="Z197" s="109"/>
    </row>
    <row r="198" ht="29.25" customHeight="1">
      <c r="A198" s="109"/>
      <c r="B198" s="109"/>
      <c r="C198" s="109"/>
      <c r="D198" s="109"/>
      <c r="E198" s="109"/>
      <c r="F198" s="109"/>
      <c r="G198" s="317"/>
      <c r="H198" s="109"/>
      <c r="I198" s="109"/>
      <c r="J198" s="109"/>
      <c r="K198" s="109"/>
      <c r="L198" s="109"/>
      <c r="M198" s="109"/>
      <c r="N198" s="109"/>
      <c r="O198" s="109"/>
      <c r="P198" s="109"/>
      <c r="Q198" s="109"/>
      <c r="R198" s="109"/>
      <c r="S198" s="109"/>
      <c r="T198" s="109"/>
      <c r="U198" s="109"/>
      <c r="V198" s="109"/>
      <c r="W198" s="109"/>
      <c r="X198" s="109"/>
      <c r="Y198" s="109"/>
      <c r="Z198" s="109"/>
    </row>
    <row r="199" ht="29.25" customHeight="1">
      <c r="A199" s="109"/>
      <c r="B199" s="109"/>
      <c r="C199" s="109"/>
      <c r="D199" s="109"/>
      <c r="E199" s="109"/>
      <c r="F199" s="109"/>
      <c r="G199" s="317"/>
      <c r="H199" s="109"/>
      <c r="I199" s="109"/>
      <c r="J199" s="109"/>
      <c r="K199" s="109"/>
      <c r="L199" s="109"/>
      <c r="M199" s="109"/>
      <c r="N199" s="109"/>
      <c r="O199" s="109"/>
      <c r="P199" s="109"/>
      <c r="Q199" s="109"/>
      <c r="R199" s="109"/>
      <c r="S199" s="109"/>
      <c r="T199" s="109"/>
      <c r="U199" s="109"/>
      <c r="V199" s="109"/>
      <c r="W199" s="109"/>
      <c r="X199" s="109"/>
      <c r="Y199" s="109"/>
      <c r="Z199" s="109"/>
    </row>
    <row r="200" ht="29.25" customHeight="1">
      <c r="A200" s="109"/>
      <c r="B200" s="109"/>
      <c r="C200" s="109"/>
      <c r="D200" s="109"/>
      <c r="E200" s="109"/>
      <c r="F200" s="109"/>
      <c r="G200" s="317"/>
      <c r="H200" s="109"/>
      <c r="I200" s="109"/>
      <c r="J200" s="109"/>
      <c r="K200" s="109"/>
      <c r="L200" s="109"/>
      <c r="M200" s="109"/>
      <c r="N200" s="109"/>
      <c r="O200" s="109"/>
      <c r="P200" s="109"/>
      <c r="Q200" s="109"/>
      <c r="R200" s="109"/>
      <c r="S200" s="109"/>
      <c r="T200" s="109"/>
      <c r="U200" s="109"/>
      <c r="V200" s="109"/>
      <c r="W200" s="109"/>
      <c r="X200" s="109"/>
      <c r="Y200" s="109"/>
      <c r="Z200" s="109"/>
    </row>
    <row r="201" ht="29.25" customHeight="1">
      <c r="A201" s="109"/>
      <c r="B201" s="109"/>
      <c r="C201" s="109"/>
      <c r="D201" s="109"/>
      <c r="E201" s="109"/>
      <c r="F201" s="109"/>
      <c r="G201" s="317"/>
      <c r="H201" s="109"/>
      <c r="I201" s="109"/>
      <c r="J201" s="109"/>
      <c r="K201" s="109"/>
      <c r="L201" s="109"/>
      <c r="M201" s="109"/>
      <c r="N201" s="109"/>
      <c r="O201" s="109"/>
      <c r="P201" s="109"/>
      <c r="Q201" s="109"/>
      <c r="R201" s="109"/>
      <c r="S201" s="109"/>
      <c r="T201" s="109"/>
      <c r="U201" s="109"/>
      <c r="V201" s="109"/>
      <c r="W201" s="109"/>
      <c r="X201" s="109"/>
      <c r="Y201" s="109"/>
      <c r="Z201" s="109"/>
    </row>
    <row r="202" ht="29.25" customHeight="1">
      <c r="A202" s="109"/>
      <c r="B202" s="109"/>
      <c r="C202" s="109"/>
      <c r="D202" s="109"/>
      <c r="E202" s="109"/>
      <c r="F202" s="109"/>
      <c r="G202" s="317"/>
      <c r="H202" s="109"/>
      <c r="I202" s="109"/>
      <c r="J202" s="109"/>
      <c r="K202" s="109"/>
      <c r="L202" s="109"/>
      <c r="M202" s="109"/>
      <c r="N202" s="109"/>
      <c r="O202" s="109"/>
      <c r="P202" s="109"/>
      <c r="Q202" s="109"/>
      <c r="R202" s="109"/>
      <c r="S202" s="109"/>
      <c r="T202" s="109"/>
      <c r="U202" s="109"/>
      <c r="V202" s="109"/>
      <c r="W202" s="109"/>
      <c r="X202" s="109"/>
      <c r="Y202" s="109"/>
      <c r="Z202" s="109"/>
    </row>
    <row r="203" ht="29.25" customHeight="1">
      <c r="A203" s="109"/>
      <c r="B203" s="109"/>
      <c r="C203" s="109"/>
      <c r="D203" s="109"/>
      <c r="E203" s="109"/>
      <c r="F203" s="109"/>
      <c r="G203" s="317"/>
      <c r="H203" s="109"/>
      <c r="I203" s="109"/>
      <c r="J203" s="109"/>
      <c r="K203" s="109"/>
      <c r="L203" s="109"/>
      <c r="M203" s="109"/>
      <c r="N203" s="109"/>
      <c r="O203" s="109"/>
      <c r="P203" s="109"/>
      <c r="Q203" s="109"/>
      <c r="R203" s="109"/>
      <c r="S203" s="109"/>
      <c r="T203" s="109"/>
      <c r="U203" s="109"/>
      <c r="V203" s="109"/>
      <c r="W203" s="109"/>
      <c r="X203" s="109"/>
      <c r="Y203" s="109"/>
      <c r="Z203" s="109"/>
    </row>
    <row r="204" ht="29.25" customHeight="1">
      <c r="A204" s="109"/>
      <c r="B204" s="109"/>
      <c r="C204" s="109"/>
      <c r="D204" s="109"/>
      <c r="E204" s="109"/>
      <c r="F204" s="109"/>
      <c r="G204" s="317"/>
      <c r="H204" s="109"/>
      <c r="I204" s="109"/>
      <c r="J204" s="109"/>
      <c r="K204" s="109"/>
      <c r="L204" s="109"/>
      <c r="M204" s="109"/>
      <c r="N204" s="109"/>
      <c r="O204" s="109"/>
      <c r="P204" s="109"/>
      <c r="Q204" s="109"/>
      <c r="R204" s="109"/>
      <c r="S204" s="109"/>
      <c r="T204" s="109"/>
      <c r="U204" s="109"/>
      <c r="V204" s="109"/>
      <c r="W204" s="109"/>
      <c r="X204" s="109"/>
      <c r="Y204" s="109"/>
      <c r="Z204" s="109"/>
    </row>
    <row r="205" ht="29.25" customHeight="1">
      <c r="A205" s="109"/>
      <c r="B205" s="109"/>
      <c r="C205" s="109"/>
      <c r="D205" s="109"/>
      <c r="E205" s="109"/>
      <c r="F205" s="109"/>
      <c r="G205" s="317"/>
      <c r="H205" s="109"/>
      <c r="I205" s="109"/>
      <c r="J205" s="109"/>
      <c r="K205" s="109"/>
      <c r="L205" s="109"/>
      <c r="M205" s="109"/>
      <c r="N205" s="109"/>
      <c r="O205" s="109"/>
      <c r="P205" s="109"/>
      <c r="Q205" s="109"/>
      <c r="R205" s="109"/>
      <c r="S205" s="109"/>
      <c r="T205" s="109"/>
      <c r="U205" s="109"/>
      <c r="V205" s="109"/>
      <c r="W205" s="109"/>
      <c r="X205" s="109"/>
      <c r="Y205" s="109"/>
      <c r="Z205" s="109"/>
    </row>
    <row r="206" ht="29.25" customHeight="1">
      <c r="A206" s="109"/>
      <c r="B206" s="109"/>
      <c r="C206" s="109"/>
      <c r="D206" s="109"/>
      <c r="E206" s="109"/>
      <c r="F206" s="109"/>
      <c r="G206" s="317"/>
      <c r="H206" s="109"/>
      <c r="I206" s="109"/>
      <c r="J206" s="109"/>
      <c r="K206" s="109"/>
      <c r="L206" s="109"/>
      <c r="M206" s="109"/>
      <c r="N206" s="109"/>
      <c r="O206" s="109"/>
      <c r="P206" s="109"/>
      <c r="Q206" s="109"/>
      <c r="R206" s="109"/>
      <c r="S206" s="109"/>
      <c r="T206" s="109"/>
      <c r="U206" s="109"/>
      <c r="V206" s="109"/>
      <c r="W206" s="109"/>
      <c r="X206" s="109"/>
      <c r="Y206" s="109"/>
      <c r="Z206" s="109"/>
    </row>
    <row r="207" ht="29.25" customHeight="1">
      <c r="A207" s="109"/>
      <c r="B207" s="109"/>
      <c r="C207" s="109"/>
      <c r="D207" s="109"/>
      <c r="E207" s="109"/>
      <c r="F207" s="109"/>
      <c r="G207" s="317"/>
      <c r="H207" s="109"/>
      <c r="I207" s="109"/>
      <c r="J207" s="109"/>
      <c r="K207" s="109"/>
      <c r="L207" s="109"/>
      <c r="M207" s="109"/>
      <c r="N207" s="109"/>
      <c r="O207" s="109"/>
      <c r="P207" s="109"/>
      <c r="Q207" s="109"/>
      <c r="R207" s="109"/>
      <c r="S207" s="109"/>
      <c r="T207" s="109"/>
      <c r="U207" s="109"/>
      <c r="V207" s="109"/>
      <c r="W207" s="109"/>
      <c r="X207" s="109"/>
      <c r="Y207" s="109"/>
      <c r="Z207" s="109"/>
    </row>
    <row r="208" ht="29.25" customHeight="1">
      <c r="A208" s="109"/>
      <c r="B208" s="109"/>
      <c r="C208" s="109"/>
      <c r="D208" s="109"/>
      <c r="E208" s="109"/>
      <c r="F208" s="109"/>
      <c r="G208" s="317"/>
      <c r="H208" s="109"/>
      <c r="I208" s="109"/>
      <c r="J208" s="109"/>
      <c r="K208" s="109"/>
      <c r="L208" s="109"/>
      <c r="M208" s="109"/>
      <c r="N208" s="109"/>
      <c r="O208" s="109"/>
      <c r="P208" s="109"/>
      <c r="Q208" s="109"/>
      <c r="R208" s="109"/>
      <c r="S208" s="109"/>
      <c r="T208" s="109"/>
      <c r="U208" s="109"/>
      <c r="V208" s="109"/>
      <c r="W208" s="109"/>
      <c r="X208" s="109"/>
      <c r="Y208" s="109"/>
      <c r="Z208" s="109"/>
    </row>
    <row r="209" ht="29.25" customHeight="1">
      <c r="A209" s="109"/>
      <c r="B209" s="109"/>
      <c r="C209" s="109"/>
      <c r="D209" s="109"/>
      <c r="E209" s="109"/>
      <c r="F209" s="109"/>
      <c r="G209" s="317"/>
      <c r="H209" s="109"/>
      <c r="I209" s="109"/>
      <c r="J209" s="109"/>
      <c r="K209" s="109"/>
      <c r="L209" s="109"/>
      <c r="M209" s="109"/>
      <c r="N209" s="109"/>
      <c r="O209" s="109"/>
      <c r="P209" s="109"/>
      <c r="Q209" s="109"/>
      <c r="R209" s="109"/>
      <c r="S209" s="109"/>
      <c r="T209" s="109"/>
      <c r="U209" s="109"/>
      <c r="V209" s="109"/>
      <c r="W209" s="109"/>
      <c r="X209" s="109"/>
      <c r="Y209" s="109"/>
      <c r="Z209" s="109"/>
    </row>
    <row r="210" ht="29.25" customHeight="1">
      <c r="A210" s="109"/>
      <c r="B210" s="109"/>
      <c r="C210" s="109"/>
      <c r="D210" s="109"/>
      <c r="E210" s="109"/>
      <c r="F210" s="109"/>
      <c r="G210" s="317"/>
      <c r="H210" s="109"/>
      <c r="I210" s="109"/>
      <c r="J210" s="109"/>
      <c r="K210" s="109"/>
      <c r="L210" s="109"/>
      <c r="M210" s="109"/>
      <c r="N210" s="109"/>
      <c r="O210" s="109"/>
      <c r="P210" s="109"/>
      <c r="Q210" s="109"/>
      <c r="R210" s="109"/>
      <c r="S210" s="109"/>
      <c r="T210" s="109"/>
      <c r="U210" s="109"/>
      <c r="V210" s="109"/>
      <c r="W210" s="109"/>
      <c r="X210" s="109"/>
      <c r="Y210" s="109"/>
      <c r="Z210" s="109"/>
    </row>
    <row r="211" ht="29.25" customHeight="1">
      <c r="A211" s="109"/>
      <c r="B211" s="109"/>
      <c r="C211" s="109"/>
      <c r="D211" s="109"/>
      <c r="E211" s="109"/>
      <c r="F211" s="109"/>
      <c r="G211" s="317"/>
      <c r="H211" s="109"/>
      <c r="I211" s="109"/>
      <c r="J211" s="109"/>
      <c r="K211" s="109"/>
      <c r="L211" s="109"/>
      <c r="M211" s="109"/>
      <c r="N211" s="109"/>
      <c r="O211" s="109"/>
      <c r="P211" s="109"/>
      <c r="Q211" s="109"/>
      <c r="R211" s="109"/>
      <c r="S211" s="109"/>
      <c r="T211" s="109"/>
      <c r="U211" s="109"/>
      <c r="V211" s="109"/>
      <c r="W211" s="109"/>
      <c r="X211" s="109"/>
      <c r="Y211" s="109"/>
      <c r="Z211" s="109"/>
    </row>
    <row r="212" ht="29.25" customHeight="1">
      <c r="A212" s="109"/>
      <c r="B212" s="109"/>
      <c r="C212" s="109"/>
      <c r="D212" s="109"/>
      <c r="E212" s="109"/>
      <c r="F212" s="109"/>
      <c r="G212" s="317"/>
      <c r="H212" s="109"/>
      <c r="I212" s="109"/>
      <c r="J212" s="109"/>
      <c r="K212" s="109"/>
      <c r="L212" s="109"/>
      <c r="M212" s="109"/>
      <c r="N212" s="109"/>
      <c r="O212" s="109"/>
      <c r="P212" s="109"/>
      <c r="Q212" s="109"/>
      <c r="R212" s="109"/>
      <c r="S212" s="109"/>
      <c r="T212" s="109"/>
      <c r="U212" s="109"/>
      <c r="V212" s="109"/>
      <c r="W212" s="109"/>
      <c r="X212" s="109"/>
      <c r="Y212" s="109"/>
      <c r="Z212" s="109"/>
    </row>
    <row r="213" ht="29.25" customHeight="1">
      <c r="A213" s="109"/>
      <c r="B213" s="109"/>
      <c r="C213" s="109"/>
      <c r="D213" s="109"/>
      <c r="E213" s="109"/>
      <c r="F213" s="109"/>
      <c r="G213" s="317"/>
      <c r="H213" s="109"/>
      <c r="I213" s="109"/>
      <c r="J213" s="109"/>
      <c r="K213" s="109"/>
      <c r="L213" s="109"/>
      <c r="M213" s="109"/>
      <c r="N213" s="109"/>
      <c r="O213" s="109"/>
      <c r="P213" s="109"/>
      <c r="Q213" s="109"/>
      <c r="R213" s="109"/>
      <c r="S213" s="109"/>
      <c r="T213" s="109"/>
      <c r="U213" s="109"/>
      <c r="V213" s="109"/>
      <c r="W213" s="109"/>
      <c r="X213" s="109"/>
      <c r="Y213" s="109"/>
      <c r="Z213" s="109"/>
    </row>
    <row r="214" ht="29.25" customHeight="1">
      <c r="A214" s="109"/>
      <c r="B214" s="109"/>
      <c r="C214" s="109"/>
      <c r="D214" s="109"/>
      <c r="E214" s="109"/>
      <c r="F214" s="109"/>
      <c r="G214" s="317"/>
      <c r="H214" s="109"/>
      <c r="I214" s="109"/>
      <c r="J214" s="109"/>
      <c r="K214" s="109"/>
      <c r="L214" s="109"/>
      <c r="M214" s="109"/>
      <c r="N214" s="109"/>
      <c r="O214" s="109"/>
      <c r="P214" s="109"/>
      <c r="Q214" s="109"/>
      <c r="R214" s="109"/>
      <c r="S214" s="109"/>
      <c r="T214" s="109"/>
      <c r="U214" s="109"/>
      <c r="V214" s="109"/>
      <c r="W214" s="109"/>
      <c r="X214" s="109"/>
      <c r="Y214" s="109"/>
      <c r="Z214" s="109"/>
    </row>
    <row r="215" ht="29.25" customHeight="1">
      <c r="A215" s="109"/>
      <c r="B215" s="109"/>
      <c r="C215" s="109"/>
      <c r="D215" s="109"/>
      <c r="E215" s="109"/>
      <c r="F215" s="109"/>
      <c r="G215" s="317"/>
      <c r="H215" s="109"/>
      <c r="I215" s="109"/>
      <c r="J215" s="109"/>
      <c r="K215" s="109"/>
      <c r="L215" s="109"/>
      <c r="M215" s="109"/>
      <c r="N215" s="109"/>
      <c r="O215" s="109"/>
      <c r="P215" s="109"/>
      <c r="Q215" s="109"/>
      <c r="R215" s="109"/>
      <c r="S215" s="109"/>
      <c r="T215" s="109"/>
      <c r="U215" s="109"/>
      <c r="V215" s="109"/>
      <c r="W215" s="109"/>
      <c r="X215" s="109"/>
      <c r="Y215" s="109"/>
      <c r="Z215" s="109"/>
    </row>
    <row r="216" ht="29.25" customHeight="1">
      <c r="A216" s="109"/>
      <c r="B216" s="109"/>
      <c r="C216" s="109"/>
      <c r="D216" s="109"/>
      <c r="E216" s="109"/>
      <c r="F216" s="109"/>
      <c r="G216" s="317"/>
      <c r="H216" s="109"/>
      <c r="I216" s="109"/>
      <c r="J216" s="109"/>
      <c r="K216" s="109"/>
      <c r="L216" s="109"/>
      <c r="M216" s="109"/>
      <c r="N216" s="109"/>
      <c r="O216" s="109"/>
      <c r="P216" s="109"/>
      <c r="Q216" s="109"/>
      <c r="R216" s="109"/>
      <c r="S216" s="109"/>
      <c r="T216" s="109"/>
      <c r="U216" s="109"/>
      <c r="V216" s="109"/>
      <c r="W216" s="109"/>
      <c r="X216" s="109"/>
      <c r="Y216" s="109"/>
      <c r="Z216" s="109"/>
    </row>
    <row r="217" ht="29.25" customHeight="1">
      <c r="A217" s="109"/>
      <c r="B217" s="109"/>
      <c r="C217" s="109"/>
      <c r="D217" s="109"/>
      <c r="E217" s="109"/>
      <c r="F217" s="109"/>
      <c r="G217" s="317"/>
      <c r="H217" s="109"/>
      <c r="I217" s="109"/>
      <c r="J217" s="109"/>
      <c r="K217" s="109"/>
      <c r="L217" s="109"/>
      <c r="M217" s="109"/>
      <c r="N217" s="109"/>
      <c r="O217" s="109"/>
      <c r="P217" s="109"/>
      <c r="Q217" s="109"/>
      <c r="R217" s="109"/>
      <c r="S217" s="109"/>
      <c r="T217" s="109"/>
      <c r="U217" s="109"/>
      <c r="V217" s="109"/>
      <c r="W217" s="109"/>
      <c r="X217" s="109"/>
      <c r="Y217" s="109"/>
      <c r="Z217" s="109"/>
    </row>
    <row r="218" ht="29.25" customHeight="1">
      <c r="A218" s="109"/>
      <c r="B218" s="109"/>
      <c r="C218" s="109"/>
      <c r="D218" s="109"/>
      <c r="E218" s="109"/>
      <c r="F218" s="109"/>
      <c r="G218" s="317"/>
      <c r="H218" s="109"/>
      <c r="I218" s="109"/>
      <c r="J218" s="109"/>
      <c r="K218" s="109"/>
      <c r="L218" s="109"/>
      <c r="M218" s="109"/>
      <c r="N218" s="109"/>
      <c r="O218" s="109"/>
      <c r="P218" s="109"/>
      <c r="Q218" s="109"/>
      <c r="R218" s="109"/>
      <c r="S218" s="109"/>
      <c r="T218" s="109"/>
      <c r="U218" s="109"/>
      <c r="V218" s="109"/>
      <c r="W218" s="109"/>
      <c r="X218" s="109"/>
      <c r="Y218" s="109"/>
      <c r="Z218" s="109"/>
    </row>
    <row r="219" ht="29.25" customHeight="1">
      <c r="A219" s="109"/>
      <c r="B219" s="109"/>
      <c r="C219" s="109"/>
      <c r="D219" s="109"/>
      <c r="E219" s="109"/>
      <c r="F219" s="109"/>
      <c r="G219" s="317"/>
      <c r="H219" s="109"/>
      <c r="I219" s="109"/>
      <c r="J219" s="109"/>
      <c r="K219" s="109"/>
      <c r="L219" s="109"/>
      <c r="M219" s="109"/>
      <c r="N219" s="109"/>
      <c r="O219" s="109"/>
      <c r="P219" s="109"/>
      <c r="Q219" s="109"/>
      <c r="R219" s="109"/>
      <c r="S219" s="109"/>
      <c r="T219" s="109"/>
      <c r="U219" s="109"/>
      <c r="V219" s="109"/>
      <c r="W219" s="109"/>
      <c r="X219" s="109"/>
      <c r="Y219" s="109"/>
      <c r="Z219" s="109"/>
    </row>
    <row r="220" ht="29.25" customHeight="1">
      <c r="A220" s="109"/>
      <c r="B220" s="109"/>
      <c r="C220" s="109"/>
      <c r="D220" s="109"/>
      <c r="E220" s="109"/>
      <c r="F220" s="109"/>
      <c r="G220" s="317"/>
      <c r="H220" s="109"/>
      <c r="I220" s="109"/>
      <c r="J220" s="109"/>
      <c r="K220" s="109"/>
      <c r="L220" s="109"/>
      <c r="M220" s="109"/>
      <c r="N220" s="109"/>
      <c r="O220" s="109"/>
      <c r="P220" s="109"/>
      <c r="Q220" s="109"/>
      <c r="R220" s="109"/>
      <c r="S220" s="109"/>
      <c r="T220" s="109"/>
      <c r="U220" s="109"/>
      <c r="V220" s="109"/>
      <c r="W220" s="109"/>
      <c r="X220" s="109"/>
      <c r="Y220" s="109"/>
      <c r="Z220" s="109"/>
    </row>
    <row r="221" ht="29.25" customHeight="1">
      <c r="A221" s="109"/>
      <c r="B221" s="109"/>
      <c r="C221" s="109"/>
      <c r="D221" s="109"/>
      <c r="E221" s="109"/>
      <c r="F221" s="109"/>
      <c r="G221" s="317"/>
      <c r="H221" s="109"/>
      <c r="I221" s="109"/>
      <c r="J221" s="109"/>
      <c r="K221" s="109"/>
      <c r="L221" s="109"/>
      <c r="M221" s="109"/>
      <c r="N221" s="109"/>
      <c r="O221" s="109"/>
      <c r="P221" s="109"/>
      <c r="Q221" s="109"/>
      <c r="R221" s="109"/>
      <c r="S221" s="109"/>
      <c r="T221" s="109"/>
      <c r="U221" s="109"/>
      <c r="V221" s="109"/>
      <c r="W221" s="109"/>
      <c r="X221" s="109"/>
      <c r="Y221" s="109"/>
      <c r="Z221" s="109"/>
    </row>
    <row r="222" ht="29.25" customHeight="1">
      <c r="A222" s="109"/>
      <c r="B222" s="109"/>
      <c r="C222" s="109"/>
      <c r="D222" s="109"/>
      <c r="E222" s="109"/>
      <c r="F222" s="109"/>
      <c r="G222" s="317"/>
      <c r="H222" s="109"/>
      <c r="I222" s="109"/>
      <c r="J222" s="109"/>
      <c r="K222" s="109"/>
      <c r="L222" s="109"/>
      <c r="M222" s="109"/>
      <c r="N222" s="109"/>
      <c r="O222" s="109"/>
      <c r="P222" s="109"/>
      <c r="Q222" s="109"/>
      <c r="R222" s="109"/>
      <c r="S222" s="109"/>
      <c r="T222" s="109"/>
      <c r="U222" s="109"/>
      <c r="V222" s="109"/>
      <c r="W222" s="109"/>
      <c r="X222" s="109"/>
      <c r="Y222" s="109"/>
      <c r="Z222" s="109"/>
    </row>
    <row r="223" ht="29.25" customHeight="1">
      <c r="A223" s="109"/>
      <c r="B223" s="109"/>
      <c r="C223" s="109"/>
      <c r="D223" s="109"/>
      <c r="E223" s="109"/>
      <c r="F223" s="109"/>
      <c r="G223" s="317"/>
      <c r="H223" s="109"/>
      <c r="I223" s="109"/>
      <c r="J223" s="109"/>
      <c r="K223" s="109"/>
      <c r="L223" s="109"/>
      <c r="M223" s="109"/>
      <c r="N223" s="109"/>
      <c r="O223" s="109"/>
      <c r="P223" s="109"/>
      <c r="Q223" s="109"/>
      <c r="R223" s="109"/>
      <c r="S223" s="109"/>
      <c r="T223" s="109"/>
      <c r="U223" s="109"/>
      <c r="V223" s="109"/>
      <c r="W223" s="109"/>
      <c r="X223" s="109"/>
      <c r="Y223" s="109"/>
      <c r="Z223" s="109"/>
    </row>
    <row r="224" ht="29.25" customHeight="1">
      <c r="A224" s="109"/>
      <c r="B224" s="109"/>
      <c r="C224" s="109"/>
      <c r="D224" s="109"/>
      <c r="E224" s="109"/>
      <c r="F224" s="109"/>
      <c r="G224" s="317"/>
      <c r="H224" s="109"/>
      <c r="I224" s="109"/>
      <c r="J224" s="109"/>
      <c r="K224" s="109"/>
      <c r="L224" s="109"/>
      <c r="M224" s="109"/>
      <c r="N224" s="109"/>
      <c r="O224" s="109"/>
      <c r="P224" s="109"/>
      <c r="Q224" s="109"/>
      <c r="R224" s="109"/>
      <c r="S224" s="109"/>
      <c r="T224" s="109"/>
      <c r="U224" s="109"/>
      <c r="V224" s="109"/>
      <c r="W224" s="109"/>
      <c r="X224" s="109"/>
      <c r="Y224" s="109"/>
      <c r="Z224" s="109"/>
    </row>
    <row r="225" ht="29.25" customHeight="1">
      <c r="A225" s="109"/>
      <c r="B225" s="109"/>
      <c r="C225" s="109"/>
      <c r="D225" s="109"/>
      <c r="E225" s="109"/>
      <c r="F225" s="109"/>
      <c r="G225" s="317"/>
      <c r="H225" s="109"/>
      <c r="I225" s="109"/>
      <c r="J225" s="109"/>
      <c r="K225" s="109"/>
      <c r="L225" s="109"/>
      <c r="M225" s="109"/>
      <c r="N225" s="109"/>
      <c r="O225" s="109"/>
      <c r="P225" s="109"/>
      <c r="Q225" s="109"/>
      <c r="R225" s="109"/>
      <c r="S225" s="109"/>
      <c r="T225" s="109"/>
      <c r="U225" s="109"/>
      <c r="V225" s="109"/>
      <c r="W225" s="109"/>
      <c r="X225" s="109"/>
      <c r="Y225" s="109"/>
      <c r="Z225" s="109"/>
    </row>
    <row r="226" ht="29.25" customHeight="1">
      <c r="A226" s="109"/>
      <c r="B226" s="109"/>
      <c r="C226" s="109"/>
      <c r="D226" s="109"/>
      <c r="E226" s="109"/>
      <c r="F226" s="109"/>
      <c r="G226" s="317"/>
      <c r="H226" s="109"/>
      <c r="I226" s="109"/>
      <c r="J226" s="109"/>
      <c r="K226" s="109"/>
      <c r="L226" s="109"/>
      <c r="M226" s="109"/>
      <c r="N226" s="109"/>
      <c r="O226" s="109"/>
      <c r="P226" s="109"/>
      <c r="Q226" s="109"/>
      <c r="R226" s="109"/>
      <c r="S226" s="109"/>
      <c r="T226" s="109"/>
      <c r="U226" s="109"/>
      <c r="V226" s="109"/>
      <c r="W226" s="109"/>
      <c r="X226" s="109"/>
      <c r="Y226" s="109"/>
      <c r="Z226" s="109"/>
    </row>
    <row r="227" ht="29.25" customHeight="1">
      <c r="A227" s="109"/>
      <c r="B227" s="109"/>
      <c r="C227" s="109"/>
      <c r="D227" s="109"/>
      <c r="E227" s="109"/>
      <c r="F227" s="109"/>
      <c r="G227" s="317"/>
      <c r="H227" s="109"/>
      <c r="I227" s="109"/>
      <c r="J227" s="109"/>
      <c r="K227" s="109"/>
      <c r="L227" s="109"/>
      <c r="M227" s="109"/>
      <c r="N227" s="109"/>
      <c r="O227" s="109"/>
      <c r="P227" s="109"/>
      <c r="Q227" s="109"/>
      <c r="R227" s="109"/>
      <c r="S227" s="109"/>
      <c r="T227" s="109"/>
      <c r="U227" s="109"/>
      <c r="V227" s="109"/>
      <c r="W227" s="109"/>
      <c r="X227" s="109"/>
      <c r="Y227" s="109"/>
      <c r="Z227" s="109"/>
    </row>
    <row r="228" ht="29.25" customHeight="1">
      <c r="A228" s="109"/>
      <c r="B228" s="109"/>
      <c r="C228" s="109"/>
      <c r="D228" s="109"/>
      <c r="E228" s="109"/>
      <c r="F228" s="109"/>
      <c r="G228" s="317"/>
      <c r="H228" s="109"/>
      <c r="I228" s="109"/>
      <c r="J228" s="109"/>
      <c r="K228" s="109"/>
      <c r="L228" s="109"/>
      <c r="M228" s="109"/>
      <c r="N228" s="109"/>
      <c r="O228" s="109"/>
      <c r="P228" s="109"/>
      <c r="Q228" s="109"/>
      <c r="R228" s="109"/>
      <c r="S228" s="109"/>
      <c r="T228" s="109"/>
      <c r="U228" s="109"/>
      <c r="V228" s="109"/>
      <c r="W228" s="109"/>
      <c r="X228" s="109"/>
      <c r="Y228" s="109"/>
      <c r="Z228" s="109"/>
    </row>
    <row r="229" ht="29.25" customHeight="1">
      <c r="A229" s="109"/>
      <c r="B229" s="109"/>
      <c r="C229" s="109"/>
      <c r="D229" s="109"/>
      <c r="E229" s="109"/>
      <c r="F229" s="109"/>
      <c r="G229" s="317"/>
      <c r="H229" s="109"/>
      <c r="I229" s="109"/>
      <c r="J229" s="109"/>
      <c r="K229" s="109"/>
      <c r="L229" s="109"/>
      <c r="M229" s="109"/>
      <c r="N229" s="109"/>
      <c r="O229" s="109"/>
      <c r="P229" s="109"/>
      <c r="Q229" s="109"/>
      <c r="R229" s="109"/>
      <c r="S229" s="109"/>
      <c r="T229" s="109"/>
      <c r="U229" s="109"/>
      <c r="V229" s="109"/>
      <c r="W229" s="109"/>
      <c r="X229" s="109"/>
      <c r="Y229" s="109"/>
      <c r="Z229" s="109"/>
    </row>
    <row r="230" ht="29.25" customHeight="1">
      <c r="A230" s="109"/>
      <c r="B230" s="109"/>
      <c r="C230" s="109"/>
      <c r="D230" s="109"/>
      <c r="E230" s="109"/>
      <c r="F230" s="109"/>
      <c r="G230" s="317"/>
      <c r="H230" s="109"/>
      <c r="I230" s="109"/>
      <c r="J230" s="109"/>
      <c r="K230" s="109"/>
      <c r="L230" s="109"/>
      <c r="M230" s="109"/>
      <c r="N230" s="109"/>
      <c r="O230" s="109"/>
      <c r="P230" s="109"/>
      <c r="Q230" s="109"/>
      <c r="R230" s="109"/>
      <c r="S230" s="109"/>
      <c r="T230" s="109"/>
      <c r="U230" s="109"/>
      <c r="V230" s="109"/>
      <c r="W230" s="109"/>
      <c r="X230" s="109"/>
      <c r="Y230" s="109"/>
      <c r="Z230" s="109"/>
    </row>
    <row r="231" ht="29.25" customHeight="1">
      <c r="A231" s="109"/>
      <c r="B231" s="109"/>
      <c r="C231" s="109"/>
      <c r="D231" s="109"/>
      <c r="E231" s="109"/>
      <c r="F231" s="109"/>
      <c r="G231" s="317"/>
      <c r="H231" s="109"/>
      <c r="I231" s="109"/>
      <c r="J231" s="109"/>
      <c r="K231" s="109"/>
      <c r="L231" s="109"/>
      <c r="M231" s="109"/>
      <c r="N231" s="109"/>
      <c r="O231" s="109"/>
      <c r="P231" s="109"/>
      <c r="Q231" s="109"/>
      <c r="R231" s="109"/>
      <c r="S231" s="109"/>
      <c r="T231" s="109"/>
      <c r="U231" s="109"/>
      <c r="V231" s="109"/>
      <c r="W231" s="109"/>
      <c r="X231" s="109"/>
      <c r="Y231" s="109"/>
      <c r="Z231" s="109"/>
    </row>
    <row r="232" ht="29.25" customHeight="1">
      <c r="A232" s="109"/>
      <c r="B232" s="109"/>
      <c r="C232" s="109"/>
      <c r="D232" s="109"/>
      <c r="E232" s="109"/>
      <c r="F232" s="109"/>
      <c r="G232" s="317"/>
      <c r="H232" s="109"/>
      <c r="I232" s="109"/>
      <c r="J232" s="109"/>
      <c r="K232" s="109"/>
      <c r="L232" s="109"/>
      <c r="M232" s="109"/>
      <c r="N232" s="109"/>
      <c r="O232" s="109"/>
      <c r="P232" s="109"/>
      <c r="Q232" s="109"/>
      <c r="R232" s="109"/>
      <c r="S232" s="109"/>
      <c r="T232" s="109"/>
      <c r="U232" s="109"/>
      <c r="V232" s="109"/>
      <c r="W232" s="109"/>
      <c r="X232" s="109"/>
      <c r="Y232" s="109"/>
      <c r="Z232" s="109"/>
    </row>
    <row r="233" ht="29.25" customHeight="1">
      <c r="A233" s="109"/>
      <c r="B233" s="109"/>
      <c r="C233" s="109"/>
      <c r="D233" s="109"/>
      <c r="E233" s="109"/>
      <c r="F233" s="109"/>
      <c r="G233" s="317"/>
      <c r="H233" s="109"/>
      <c r="I233" s="109"/>
      <c r="J233" s="109"/>
      <c r="K233" s="109"/>
      <c r="L233" s="109"/>
      <c r="M233" s="109"/>
      <c r="N233" s="109"/>
      <c r="O233" s="109"/>
      <c r="P233" s="109"/>
      <c r="Q233" s="109"/>
      <c r="R233" s="109"/>
      <c r="S233" s="109"/>
      <c r="T233" s="109"/>
      <c r="U233" s="109"/>
      <c r="V233" s="109"/>
      <c r="W233" s="109"/>
      <c r="X233" s="109"/>
      <c r="Y233" s="109"/>
      <c r="Z233" s="109"/>
    </row>
    <row r="234" ht="29.25" customHeight="1">
      <c r="A234" s="109"/>
      <c r="B234" s="109"/>
      <c r="C234" s="109"/>
      <c r="D234" s="109"/>
      <c r="E234" s="109"/>
      <c r="F234" s="109"/>
      <c r="G234" s="317"/>
      <c r="H234" s="109"/>
      <c r="I234" s="109"/>
      <c r="J234" s="109"/>
      <c r="K234" s="109"/>
      <c r="L234" s="109"/>
      <c r="M234" s="109"/>
      <c r="N234" s="109"/>
      <c r="O234" s="109"/>
      <c r="P234" s="109"/>
      <c r="Q234" s="109"/>
      <c r="R234" s="109"/>
      <c r="S234" s="109"/>
      <c r="T234" s="109"/>
      <c r="U234" s="109"/>
      <c r="V234" s="109"/>
      <c r="W234" s="109"/>
      <c r="X234" s="109"/>
      <c r="Y234" s="109"/>
      <c r="Z234" s="109"/>
    </row>
    <row r="235" ht="29.25" customHeight="1">
      <c r="A235" s="109"/>
      <c r="B235" s="109"/>
      <c r="C235" s="109"/>
      <c r="D235" s="109"/>
      <c r="E235" s="109"/>
      <c r="F235" s="109"/>
      <c r="G235" s="317"/>
      <c r="H235" s="109"/>
      <c r="I235" s="109"/>
      <c r="J235" s="109"/>
      <c r="K235" s="109"/>
      <c r="L235" s="109"/>
      <c r="M235" s="109"/>
      <c r="N235" s="109"/>
      <c r="O235" s="109"/>
      <c r="P235" s="109"/>
      <c r="Q235" s="109"/>
      <c r="R235" s="109"/>
      <c r="S235" s="109"/>
      <c r="T235" s="109"/>
      <c r="U235" s="109"/>
      <c r="V235" s="109"/>
      <c r="W235" s="109"/>
      <c r="X235" s="109"/>
      <c r="Y235" s="109"/>
      <c r="Z235" s="109"/>
    </row>
    <row r="236" ht="29.25" customHeight="1">
      <c r="A236" s="109"/>
      <c r="B236" s="109"/>
      <c r="C236" s="109"/>
      <c r="D236" s="109"/>
      <c r="E236" s="109"/>
      <c r="F236" s="109"/>
      <c r="G236" s="317"/>
      <c r="H236" s="109"/>
      <c r="I236" s="109"/>
      <c r="J236" s="109"/>
      <c r="K236" s="109"/>
      <c r="L236" s="109"/>
      <c r="M236" s="109"/>
      <c r="N236" s="109"/>
      <c r="O236" s="109"/>
      <c r="P236" s="109"/>
      <c r="Q236" s="109"/>
      <c r="R236" s="109"/>
      <c r="S236" s="109"/>
      <c r="T236" s="109"/>
      <c r="U236" s="109"/>
      <c r="V236" s="109"/>
      <c r="W236" s="109"/>
      <c r="X236" s="109"/>
      <c r="Y236" s="109"/>
      <c r="Z236" s="109"/>
    </row>
    <row r="237" ht="29.25" customHeight="1">
      <c r="A237" s="109"/>
      <c r="B237" s="109"/>
      <c r="C237" s="109"/>
      <c r="D237" s="109"/>
      <c r="E237" s="109"/>
      <c r="F237" s="109"/>
      <c r="G237" s="317"/>
      <c r="H237" s="109"/>
      <c r="I237" s="109"/>
      <c r="J237" s="109"/>
      <c r="K237" s="109"/>
      <c r="L237" s="109"/>
      <c r="M237" s="109"/>
      <c r="N237" s="109"/>
      <c r="O237" s="109"/>
      <c r="P237" s="109"/>
      <c r="Q237" s="109"/>
      <c r="R237" s="109"/>
      <c r="S237" s="109"/>
      <c r="T237" s="109"/>
      <c r="U237" s="109"/>
      <c r="V237" s="109"/>
      <c r="W237" s="109"/>
      <c r="X237" s="109"/>
      <c r="Y237" s="109"/>
      <c r="Z237" s="109"/>
    </row>
    <row r="238" ht="29.25" customHeight="1">
      <c r="A238" s="109"/>
      <c r="B238" s="109"/>
      <c r="C238" s="109"/>
      <c r="D238" s="109"/>
      <c r="E238" s="109"/>
      <c r="F238" s="109"/>
      <c r="G238" s="317"/>
      <c r="H238" s="109"/>
      <c r="I238" s="109"/>
      <c r="J238" s="109"/>
      <c r="K238" s="109"/>
      <c r="L238" s="109"/>
      <c r="M238" s="109"/>
      <c r="N238" s="109"/>
      <c r="O238" s="109"/>
      <c r="P238" s="109"/>
      <c r="Q238" s="109"/>
      <c r="R238" s="109"/>
      <c r="S238" s="109"/>
      <c r="T238" s="109"/>
      <c r="U238" s="109"/>
      <c r="V238" s="109"/>
      <c r="W238" s="109"/>
      <c r="X238" s="109"/>
      <c r="Y238" s="109"/>
      <c r="Z238" s="109"/>
    </row>
    <row r="239" ht="29.25" customHeight="1">
      <c r="A239" s="109"/>
      <c r="B239" s="109"/>
      <c r="C239" s="109"/>
      <c r="D239" s="109"/>
      <c r="E239" s="109"/>
      <c r="F239" s="109"/>
      <c r="G239" s="317"/>
      <c r="H239" s="109"/>
      <c r="I239" s="109"/>
      <c r="J239" s="109"/>
      <c r="K239" s="109"/>
      <c r="L239" s="109"/>
      <c r="M239" s="109"/>
      <c r="N239" s="109"/>
      <c r="O239" s="109"/>
      <c r="P239" s="109"/>
      <c r="Q239" s="109"/>
      <c r="R239" s="109"/>
      <c r="S239" s="109"/>
      <c r="T239" s="109"/>
      <c r="U239" s="109"/>
      <c r="V239" s="109"/>
      <c r="W239" s="109"/>
      <c r="X239" s="109"/>
      <c r="Y239" s="109"/>
      <c r="Z239" s="109"/>
    </row>
    <row r="240" ht="29.25" customHeight="1">
      <c r="A240" s="109"/>
      <c r="B240" s="109"/>
      <c r="C240" s="109"/>
      <c r="D240" s="109"/>
      <c r="E240" s="109"/>
      <c r="F240" s="109"/>
      <c r="G240" s="317"/>
      <c r="H240" s="109"/>
      <c r="I240" s="109"/>
      <c r="J240" s="109"/>
      <c r="K240" s="109"/>
      <c r="L240" s="109"/>
      <c r="M240" s="109"/>
      <c r="N240" s="109"/>
      <c r="O240" s="109"/>
      <c r="P240" s="109"/>
      <c r="Q240" s="109"/>
      <c r="R240" s="109"/>
      <c r="S240" s="109"/>
      <c r="T240" s="109"/>
      <c r="U240" s="109"/>
      <c r="V240" s="109"/>
      <c r="W240" s="109"/>
      <c r="X240" s="109"/>
      <c r="Y240" s="109"/>
      <c r="Z240" s="109"/>
    </row>
    <row r="241" ht="29.25" customHeight="1">
      <c r="A241" s="109"/>
      <c r="B241" s="109"/>
      <c r="C241" s="109"/>
      <c r="D241" s="109"/>
      <c r="E241" s="109"/>
      <c r="F241" s="109"/>
      <c r="G241" s="317"/>
      <c r="H241" s="109"/>
      <c r="I241" s="109"/>
      <c r="J241" s="109"/>
      <c r="K241" s="109"/>
      <c r="L241" s="109"/>
      <c r="M241" s="109"/>
      <c r="N241" s="109"/>
      <c r="O241" s="109"/>
      <c r="P241" s="109"/>
      <c r="Q241" s="109"/>
      <c r="R241" s="109"/>
      <c r="S241" s="109"/>
      <c r="T241" s="109"/>
      <c r="U241" s="109"/>
      <c r="V241" s="109"/>
      <c r="W241" s="109"/>
      <c r="X241" s="109"/>
      <c r="Y241" s="109"/>
      <c r="Z241" s="109"/>
    </row>
    <row r="242" ht="29.25" customHeight="1">
      <c r="A242" s="109"/>
      <c r="B242" s="109"/>
      <c r="C242" s="109"/>
      <c r="D242" s="109"/>
      <c r="E242" s="109"/>
      <c r="F242" s="109"/>
      <c r="G242" s="317"/>
      <c r="H242" s="109"/>
      <c r="I242" s="109"/>
      <c r="J242" s="109"/>
      <c r="K242" s="109"/>
      <c r="L242" s="109"/>
      <c r="M242" s="109"/>
      <c r="N242" s="109"/>
      <c r="O242" s="109"/>
      <c r="P242" s="109"/>
      <c r="Q242" s="109"/>
      <c r="R242" s="109"/>
      <c r="S242" s="109"/>
      <c r="T242" s="109"/>
      <c r="U242" s="109"/>
      <c r="V242" s="109"/>
      <c r="W242" s="109"/>
      <c r="X242" s="109"/>
      <c r="Y242" s="109"/>
      <c r="Z242" s="109"/>
    </row>
    <row r="243" ht="29.25" customHeight="1">
      <c r="A243" s="109"/>
      <c r="B243" s="109"/>
      <c r="C243" s="109"/>
      <c r="D243" s="109"/>
      <c r="E243" s="109"/>
      <c r="F243" s="109"/>
      <c r="G243" s="317"/>
      <c r="H243" s="109"/>
      <c r="I243" s="109"/>
      <c r="J243" s="109"/>
      <c r="K243" s="109"/>
      <c r="L243" s="109"/>
      <c r="M243" s="109"/>
      <c r="N243" s="109"/>
      <c r="O243" s="109"/>
      <c r="P243" s="109"/>
      <c r="Q243" s="109"/>
      <c r="R243" s="109"/>
      <c r="S243" s="109"/>
      <c r="T243" s="109"/>
      <c r="U243" s="109"/>
      <c r="V243" s="109"/>
      <c r="W243" s="109"/>
      <c r="X243" s="109"/>
      <c r="Y243" s="109"/>
      <c r="Z243" s="109"/>
    </row>
    <row r="244" ht="29.25" customHeight="1">
      <c r="A244" s="109"/>
      <c r="B244" s="109"/>
      <c r="C244" s="109"/>
      <c r="D244" s="109"/>
      <c r="E244" s="109"/>
      <c r="F244" s="109"/>
      <c r="G244" s="317"/>
      <c r="H244" s="109"/>
      <c r="I244" s="109"/>
      <c r="J244" s="109"/>
      <c r="K244" s="109"/>
      <c r="L244" s="109"/>
      <c r="M244" s="109"/>
      <c r="N244" s="109"/>
      <c r="O244" s="109"/>
      <c r="P244" s="109"/>
      <c r="Q244" s="109"/>
      <c r="R244" s="109"/>
      <c r="S244" s="109"/>
      <c r="T244" s="109"/>
      <c r="U244" s="109"/>
      <c r="V244" s="109"/>
      <c r="W244" s="109"/>
      <c r="X244" s="109"/>
      <c r="Y244" s="109"/>
      <c r="Z244" s="109"/>
    </row>
    <row r="245" ht="29.25" customHeight="1">
      <c r="A245" s="109"/>
      <c r="B245" s="109"/>
      <c r="C245" s="109"/>
      <c r="D245" s="109"/>
      <c r="E245" s="109"/>
      <c r="F245" s="109"/>
      <c r="G245" s="317"/>
      <c r="H245" s="109"/>
      <c r="I245" s="109"/>
      <c r="J245" s="109"/>
      <c r="K245" s="109"/>
      <c r="L245" s="109"/>
      <c r="M245" s="109"/>
      <c r="N245" s="109"/>
      <c r="O245" s="109"/>
      <c r="P245" s="109"/>
      <c r="Q245" s="109"/>
      <c r="R245" s="109"/>
      <c r="S245" s="109"/>
      <c r="T245" s="109"/>
      <c r="U245" s="109"/>
      <c r="V245" s="109"/>
      <c r="W245" s="109"/>
      <c r="X245" s="109"/>
      <c r="Y245" s="109"/>
      <c r="Z245" s="109"/>
    </row>
    <row r="246" ht="29.25" customHeight="1">
      <c r="A246" s="109"/>
      <c r="B246" s="109"/>
      <c r="C246" s="109"/>
      <c r="D246" s="109"/>
      <c r="E246" s="109"/>
      <c r="F246" s="109"/>
      <c r="G246" s="317"/>
      <c r="H246" s="109"/>
      <c r="I246" s="109"/>
      <c r="J246" s="109"/>
      <c r="K246" s="109"/>
      <c r="L246" s="109"/>
      <c r="M246" s="109"/>
      <c r="N246" s="109"/>
      <c r="O246" s="109"/>
      <c r="P246" s="109"/>
      <c r="Q246" s="109"/>
      <c r="R246" s="109"/>
      <c r="S246" s="109"/>
      <c r="T246" s="109"/>
      <c r="U246" s="109"/>
      <c r="V246" s="109"/>
      <c r="W246" s="109"/>
      <c r="X246" s="109"/>
      <c r="Y246" s="109"/>
      <c r="Z246" s="109"/>
    </row>
    <row r="247" ht="29.25" customHeight="1">
      <c r="A247" s="109"/>
      <c r="B247" s="109"/>
      <c r="C247" s="109"/>
      <c r="D247" s="109"/>
      <c r="E247" s="109"/>
      <c r="F247" s="109"/>
      <c r="G247" s="317"/>
      <c r="H247" s="109"/>
      <c r="I247" s="109"/>
      <c r="J247" s="109"/>
      <c r="K247" s="109"/>
      <c r="L247" s="109"/>
      <c r="M247" s="109"/>
      <c r="N247" s="109"/>
      <c r="O247" s="109"/>
      <c r="P247" s="109"/>
      <c r="Q247" s="109"/>
      <c r="R247" s="109"/>
      <c r="S247" s="109"/>
      <c r="T247" s="109"/>
      <c r="U247" s="109"/>
      <c r="V247" s="109"/>
      <c r="W247" s="109"/>
      <c r="X247" s="109"/>
      <c r="Y247" s="109"/>
      <c r="Z247" s="109"/>
    </row>
    <row r="248" ht="29.25" customHeight="1">
      <c r="A248" s="109"/>
      <c r="B248" s="109"/>
      <c r="C248" s="109"/>
      <c r="D248" s="109"/>
      <c r="E248" s="109"/>
      <c r="F248" s="109"/>
      <c r="G248" s="317"/>
      <c r="H248" s="109"/>
      <c r="I248" s="109"/>
      <c r="J248" s="109"/>
      <c r="K248" s="109"/>
      <c r="L248" s="109"/>
      <c r="M248" s="109"/>
      <c r="N248" s="109"/>
      <c r="O248" s="109"/>
      <c r="P248" s="109"/>
      <c r="Q248" s="109"/>
      <c r="R248" s="109"/>
      <c r="S248" s="109"/>
      <c r="T248" s="109"/>
      <c r="U248" s="109"/>
      <c r="V248" s="109"/>
      <c r="W248" s="109"/>
      <c r="X248" s="109"/>
      <c r="Y248" s="109"/>
      <c r="Z248" s="109"/>
    </row>
    <row r="249" ht="29.25" customHeight="1">
      <c r="A249" s="109"/>
      <c r="B249" s="109"/>
      <c r="C249" s="109"/>
      <c r="D249" s="109"/>
      <c r="E249" s="109"/>
      <c r="F249" s="109"/>
      <c r="G249" s="317"/>
      <c r="H249" s="109"/>
      <c r="I249" s="109"/>
      <c r="J249" s="109"/>
      <c r="K249" s="109"/>
      <c r="L249" s="109"/>
      <c r="M249" s="109"/>
      <c r="N249" s="109"/>
      <c r="O249" s="109"/>
      <c r="P249" s="109"/>
      <c r="Q249" s="109"/>
      <c r="R249" s="109"/>
      <c r="S249" s="109"/>
      <c r="T249" s="109"/>
      <c r="U249" s="109"/>
      <c r="V249" s="109"/>
      <c r="W249" s="109"/>
      <c r="X249" s="109"/>
      <c r="Y249" s="109"/>
      <c r="Z249" s="109"/>
    </row>
    <row r="250" ht="29.25" customHeight="1">
      <c r="A250" s="109"/>
      <c r="B250" s="109"/>
      <c r="C250" s="109"/>
      <c r="D250" s="109"/>
      <c r="E250" s="109"/>
      <c r="F250" s="109"/>
      <c r="G250" s="317"/>
      <c r="H250" s="109"/>
      <c r="I250" s="109"/>
      <c r="J250" s="109"/>
      <c r="K250" s="109"/>
      <c r="L250" s="109"/>
      <c r="M250" s="109"/>
      <c r="N250" s="109"/>
      <c r="O250" s="109"/>
      <c r="P250" s="109"/>
      <c r="Q250" s="109"/>
      <c r="R250" s="109"/>
      <c r="S250" s="109"/>
      <c r="T250" s="109"/>
      <c r="U250" s="109"/>
      <c r="V250" s="109"/>
      <c r="W250" s="109"/>
      <c r="X250" s="109"/>
      <c r="Y250" s="109"/>
      <c r="Z250" s="109"/>
    </row>
    <row r="251" ht="29.25" customHeight="1">
      <c r="A251" s="109"/>
      <c r="B251" s="109"/>
      <c r="C251" s="109"/>
      <c r="D251" s="109"/>
      <c r="E251" s="109"/>
      <c r="F251" s="109"/>
      <c r="G251" s="317"/>
      <c r="H251" s="109"/>
      <c r="I251" s="109"/>
      <c r="J251" s="109"/>
      <c r="K251" s="109"/>
      <c r="L251" s="109"/>
      <c r="M251" s="109"/>
      <c r="N251" s="109"/>
      <c r="O251" s="109"/>
      <c r="P251" s="109"/>
      <c r="Q251" s="109"/>
      <c r="R251" s="109"/>
      <c r="S251" s="109"/>
      <c r="T251" s="109"/>
      <c r="U251" s="109"/>
      <c r="V251" s="109"/>
      <c r="W251" s="109"/>
      <c r="X251" s="109"/>
      <c r="Y251" s="109"/>
      <c r="Z251" s="109"/>
    </row>
    <row r="252" ht="29.25" customHeight="1">
      <c r="A252" s="109"/>
      <c r="B252" s="109"/>
      <c r="C252" s="109"/>
      <c r="D252" s="109"/>
      <c r="E252" s="109"/>
      <c r="F252" s="109"/>
      <c r="G252" s="317"/>
      <c r="H252" s="109"/>
      <c r="I252" s="109"/>
      <c r="J252" s="109"/>
      <c r="K252" s="109"/>
      <c r="L252" s="109"/>
      <c r="M252" s="109"/>
      <c r="N252" s="109"/>
      <c r="O252" s="109"/>
      <c r="P252" s="109"/>
      <c r="Q252" s="109"/>
      <c r="R252" s="109"/>
      <c r="S252" s="109"/>
      <c r="T252" s="109"/>
      <c r="U252" s="109"/>
      <c r="V252" s="109"/>
      <c r="W252" s="109"/>
      <c r="X252" s="109"/>
      <c r="Y252" s="109"/>
      <c r="Z252" s="109"/>
    </row>
    <row r="253" ht="29.25" customHeight="1">
      <c r="A253" s="109"/>
      <c r="B253" s="109"/>
      <c r="C253" s="109"/>
      <c r="D253" s="109"/>
      <c r="E253" s="109"/>
      <c r="F253" s="109"/>
      <c r="G253" s="317"/>
      <c r="H253" s="109"/>
      <c r="I253" s="109"/>
      <c r="J253" s="109"/>
      <c r="K253" s="109"/>
      <c r="L253" s="109"/>
      <c r="M253" s="109"/>
      <c r="N253" s="109"/>
      <c r="O253" s="109"/>
      <c r="P253" s="109"/>
      <c r="Q253" s="109"/>
      <c r="R253" s="109"/>
      <c r="S253" s="109"/>
      <c r="T253" s="109"/>
      <c r="U253" s="109"/>
      <c r="V253" s="109"/>
      <c r="W253" s="109"/>
      <c r="X253" s="109"/>
      <c r="Y253" s="109"/>
      <c r="Z253" s="109"/>
    </row>
    <row r="254" ht="29.25" customHeight="1">
      <c r="A254" s="109"/>
      <c r="B254" s="109"/>
      <c r="C254" s="109"/>
      <c r="D254" s="109"/>
      <c r="E254" s="109"/>
      <c r="F254" s="109"/>
      <c r="G254" s="317"/>
      <c r="H254" s="109"/>
      <c r="I254" s="109"/>
      <c r="J254" s="109"/>
      <c r="K254" s="109"/>
      <c r="L254" s="109"/>
      <c r="M254" s="109"/>
      <c r="N254" s="109"/>
      <c r="O254" s="109"/>
      <c r="P254" s="109"/>
      <c r="Q254" s="109"/>
      <c r="R254" s="109"/>
      <c r="S254" s="109"/>
      <c r="T254" s="109"/>
      <c r="U254" s="109"/>
      <c r="V254" s="109"/>
      <c r="W254" s="109"/>
      <c r="X254" s="109"/>
      <c r="Y254" s="109"/>
      <c r="Z254" s="109"/>
    </row>
    <row r="255" ht="29.25" customHeight="1">
      <c r="A255" s="109"/>
      <c r="B255" s="109"/>
      <c r="C255" s="109"/>
      <c r="D255" s="109"/>
      <c r="E255" s="109"/>
      <c r="F255" s="109"/>
      <c r="G255" s="317"/>
      <c r="H255" s="109"/>
      <c r="I255" s="109"/>
      <c r="J255" s="109"/>
      <c r="K255" s="109"/>
      <c r="L255" s="109"/>
      <c r="M255" s="109"/>
      <c r="N255" s="109"/>
      <c r="O255" s="109"/>
      <c r="P255" s="109"/>
      <c r="Q255" s="109"/>
      <c r="R255" s="109"/>
      <c r="S255" s="109"/>
      <c r="T255" s="109"/>
      <c r="U255" s="109"/>
      <c r="V255" s="109"/>
      <c r="W255" s="109"/>
      <c r="X255" s="109"/>
      <c r="Y255" s="109"/>
      <c r="Z255" s="109"/>
    </row>
    <row r="256" ht="29.25" customHeight="1">
      <c r="A256" s="109"/>
      <c r="B256" s="109"/>
      <c r="C256" s="109"/>
      <c r="D256" s="109"/>
      <c r="E256" s="109"/>
      <c r="F256" s="109"/>
      <c r="G256" s="317"/>
      <c r="H256" s="109"/>
      <c r="I256" s="109"/>
      <c r="J256" s="109"/>
      <c r="K256" s="109"/>
      <c r="L256" s="109"/>
      <c r="M256" s="109"/>
      <c r="N256" s="109"/>
      <c r="O256" s="109"/>
      <c r="P256" s="109"/>
      <c r="Q256" s="109"/>
      <c r="R256" s="109"/>
      <c r="S256" s="109"/>
      <c r="T256" s="109"/>
      <c r="U256" s="109"/>
      <c r="V256" s="109"/>
      <c r="W256" s="109"/>
      <c r="X256" s="109"/>
      <c r="Y256" s="109"/>
      <c r="Z256" s="109"/>
    </row>
    <row r="257" ht="29.25" customHeight="1">
      <c r="A257" s="109"/>
      <c r="B257" s="109"/>
      <c r="C257" s="109"/>
      <c r="D257" s="109"/>
      <c r="E257" s="109"/>
      <c r="F257" s="109"/>
      <c r="G257" s="317"/>
      <c r="H257" s="109"/>
      <c r="I257" s="109"/>
      <c r="J257" s="109"/>
      <c r="K257" s="109"/>
      <c r="L257" s="109"/>
      <c r="M257" s="109"/>
      <c r="N257" s="109"/>
      <c r="O257" s="109"/>
      <c r="P257" s="109"/>
      <c r="Q257" s="109"/>
      <c r="R257" s="109"/>
      <c r="S257" s="109"/>
      <c r="T257" s="109"/>
      <c r="U257" s="109"/>
      <c r="V257" s="109"/>
      <c r="W257" s="109"/>
      <c r="X257" s="109"/>
      <c r="Y257" s="109"/>
      <c r="Z257" s="109"/>
    </row>
    <row r="258" ht="29.25" customHeight="1">
      <c r="A258" s="109"/>
      <c r="B258" s="109"/>
      <c r="C258" s="109"/>
      <c r="D258" s="109"/>
      <c r="E258" s="109"/>
      <c r="F258" s="109"/>
      <c r="G258" s="317"/>
      <c r="H258" s="109"/>
      <c r="I258" s="109"/>
      <c r="J258" s="109"/>
      <c r="K258" s="109"/>
      <c r="L258" s="109"/>
      <c r="M258" s="109"/>
      <c r="N258" s="109"/>
      <c r="O258" s="109"/>
      <c r="P258" s="109"/>
      <c r="Q258" s="109"/>
      <c r="R258" s="109"/>
      <c r="S258" s="109"/>
      <c r="T258" s="109"/>
      <c r="U258" s="109"/>
      <c r="V258" s="109"/>
      <c r="W258" s="109"/>
      <c r="X258" s="109"/>
      <c r="Y258" s="109"/>
      <c r="Z258" s="109"/>
    </row>
    <row r="259" ht="29.25" customHeight="1">
      <c r="A259" s="109"/>
      <c r="B259" s="109"/>
      <c r="C259" s="109"/>
      <c r="D259" s="109"/>
      <c r="E259" s="109"/>
      <c r="F259" s="109"/>
      <c r="G259" s="317"/>
      <c r="H259" s="109"/>
      <c r="I259" s="109"/>
      <c r="J259" s="109"/>
      <c r="K259" s="109"/>
      <c r="L259" s="109"/>
      <c r="M259" s="109"/>
      <c r="N259" s="109"/>
      <c r="O259" s="109"/>
      <c r="P259" s="109"/>
      <c r="Q259" s="109"/>
      <c r="R259" s="109"/>
      <c r="S259" s="109"/>
      <c r="T259" s="109"/>
      <c r="U259" s="109"/>
      <c r="V259" s="109"/>
      <c r="W259" s="109"/>
      <c r="X259" s="109"/>
      <c r="Y259" s="109"/>
      <c r="Z259" s="109"/>
    </row>
    <row r="260" ht="29.25" customHeight="1">
      <c r="A260" s="109"/>
      <c r="B260" s="109"/>
      <c r="C260" s="109"/>
      <c r="D260" s="109"/>
      <c r="E260" s="109"/>
      <c r="F260" s="109"/>
      <c r="G260" s="317"/>
      <c r="H260" s="109"/>
      <c r="I260" s="109"/>
      <c r="J260" s="109"/>
      <c r="K260" s="109"/>
      <c r="L260" s="109"/>
      <c r="M260" s="109"/>
      <c r="N260" s="109"/>
      <c r="O260" s="109"/>
      <c r="P260" s="109"/>
      <c r="Q260" s="109"/>
      <c r="R260" s="109"/>
      <c r="S260" s="109"/>
      <c r="T260" s="109"/>
      <c r="U260" s="109"/>
      <c r="V260" s="109"/>
      <c r="W260" s="109"/>
      <c r="X260" s="109"/>
      <c r="Y260" s="109"/>
      <c r="Z260" s="109"/>
    </row>
    <row r="261" ht="29.25" customHeight="1">
      <c r="A261" s="109"/>
      <c r="B261" s="109"/>
      <c r="C261" s="109"/>
      <c r="D261" s="109"/>
      <c r="E261" s="109"/>
      <c r="F261" s="109"/>
      <c r="G261" s="317"/>
      <c r="H261" s="109"/>
      <c r="I261" s="109"/>
      <c r="J261" s="109"/>
      <c r="K261" s="109"/>
      <c r="L261" s="109"/>
      <c r="M261" s="109"/>
      <c r="N261" s="109"/>
      <c r="O261" s="109"/>
      <c r="P261" s="109"/>
      <c r="Q261" s="109"/>
      <c r="R261" s="109"/>
      <c r="S261" s="109"/>
      <c r="T261" s="109"/>
      <c r="U261" s="109"/>
      <c r="V261" s="109"/>
      <c r="W261" s="109"/>
      <c r="X261" s="109"/>
      <c r="Y261" s="109"/>
      <c r="Z261" s="109"/>
    </row>
    <row r="262" ht="29.25" customHeight="1">
      <c r="A262" s="109"/>
      <c r="B262" s="109"/>
      <c r="C262" s="109"/>
      <c r="D262" s="109"/>
      <c r="E262" s="109"/>
      <c r="F262" s="109"/>
      <c r="G262" s="317"/>
      <c r="H262" s="109"/>
      <c r="I262" s="109"/>
      <c r="J262" s="109"/>
      <c r="K262" s="109"/>
      <c r="L262" s="109"/>
      <c r="M262" s="109"/>
      <c r="N262" s="109"/>
      <c r="O262" s="109"/>
      <c r="P262" s="109"/>
      <c r="Q262" s="109"/>
      <c r="R262" s="109"/>
      <c r="S262" s="109"/>
      <c r="T262" s="109"/>
      <c r="U262" s="109"/>
      <c r="V262" s="109"/>
      <c r="W262" s="109"/>
      <c r="X262" s="109"/>
      <c r="Y262" s="109"/>
      <c r="Z262" s="109"/>
    </row>
    <row r="263" ht="29.25" customHeight="1">
      <c r="A263" s="109"/>
      <c r="B263" s="109"/>
      <c r="C263" s="109"/>
      <c r="D263" s="109"/>
      <c r="E263" s="109"/>
      <c r="F263" s="109"/>
      <c r="G263" s="317"/>
      <c r="H263" s="109"/>
      <c r="I263" s="109"/>
      <c r="J263" s="109"/>
      <c r="K263" s="109"/>
      <c r="L263" s="109"/>
      <c r="M263" s="109"/>
      <c r="N263" s="109"/>
      <c r="O263" s="109"/>
      <c r="P263" s="109"/>
      <c r="Q263" s="109"/>
      <c r="R263" s="109"/>
      <c r="S263" s="109"/>
      <c r="T263" s="109"/>
      <c r="U263" s="109"/>
      <c r="V263" s="109"/>
      <c r="W263" s="109"/>
      <c r="X263" s="109"/>
      <c r="Y263" s="109"/>
      <c r="Z263" s="109"/>
    </row>
    <row r="264" ht="29.25" customHeight="1">
      <c r="A264" s="109"/>
      <c r="B264" s="109"/>
      <c r="C264" s="109"/>
      <c r="D264" s="109"/>
      <c r="E264" s="109"/>
      <c r="F264" s="109"/>
      <c r="G264" s="317"/>
      <c r="H264" s="109"/>
      <c r="I264" s="109"/>
      <c r="J264" s="109"/>
      <c r="K264" s="109"/>
      <c r="L264" s="109"/>
      <c r="M264" s="109"/>
      <c r="N264" s="109"/>
      <c r="O264" s="109"/>
      <c r="P264" s="109"/>
      <c r="Q264" s="109"/>
      <c r="R264" s="109"/>
      <c r="S264" s="109"/>
      <c r="T264" s="109"/>
      <c r="U264" s="109"/>
      <c r="V264" s="109"/>
      <c r="W264" s="109"/>
      <c r="X264" s="109"/>
      <c r="Y264" s="109"/>
      <c r="Z264" s="109"/>
    </row>
    <row r="265" ht="29.25" customHeight="1">
      <c r="A265" s="109"/>
      <c r="B265" s="109"/>
      <c r="C265" s="109"/>
      <c r="D265" s="109"/>
      <c r="E265" s="109"/>
      <c r="F265" s="109"/>
      <c r="G265" s="317"/>
      <c r="H265" s="109"/>
      <c r="I265" s="109"/>
      <c r="J265" s="109"/>
      <c r="K265" s="109"/>
      <c r="L265" s="109"/>
      <c r="M265" s="109"/>
      <c r="N265" s="109"/>
      <c r="O265" s="109"/>
      <c r="P265" s="109"/>
      <c r="Q265" s="109"/>
      <c r="R265" s="109"/>
      <c r="S265" s="109"/>
      <c r="T265" s="109"/>
      <c r="U265" s="109"/>
      <c r="V265" s="109"/>
      <c r="W265" s="109"/>
      <c r="X265" s="109"/>
      <c r="Y265" s="109"/>
      <c r="Z265" s="109"/>
    </row>
    <row r="266" ht="29.25" customHeight="1">
      <c r="A266" s="109"/>
      <c r="B266" s="109"/>
      <c r="C266" s="109"/>
      <c r="D266" s="109"/>
      <c r="E266" s="109"/>
      <c r="F266" s="109"/>
      <c r="G266" s="317"/>
      <c r="H266" s="109"/>
      <c r="I266" s="109"/>
      <c r="J266" s="109"/>
      <c r="K266" s="109"/>
      <c r="L266" s="109"/>
      <c r="M266" s="109"/>
      <c r="N266" s="109"/>
      <c r="O266" s="109"/>
      <c r="P266" s="109"/>
      <c r="Q266" s="109"/>
      <c r="R266" s="109"/>
      <c r="S266" s="109"/>
      <c r="T266" s="109"/>
      <c r="U266" s="109"/>
      <c r="V266" s="109"/>
      <c r="W266" s="109"/>
      <c r="X266" s="109"/>
      <c r="Y266" s="109"/>
      <c r="Z266" s="109"/>
    </row>
    <row r="267" ht="29.25" customHeight="1">
      <c r="A267" s="109"/>
      <c r="B267" s="109"/>
      <c r="C267" s="109"/>
      <c r="D267" s="109"/>
      <c r="E267" s="109"/>
      <c r="F267" s="109"/>
      <c r="G267" s="317"/>
      <c r="H267" s="109"/>
      <c r="I267" s="109"/>
      <c r="J267" s="109"/>
      <c r="K267" s="109"/>
      <c r="L267" s="109"/>
      <c r="M267" s="109"/>
      <c r="N267" s="109"/>
      <c r="O267" s="109"/>
      <c r="P267" s="109"/>
      <c r="Q267" s="109"/>
      <c r="R267" s="109"/>
      <c r="S267" s="109"/>
      <c r="T267" s="109"/>
      <c r="U267" s="109"/>
      <c r="V267" s="109"/>
      <c r="W267" s="109"/>
      <c r="X267" s="109"/>
      <c r="Y267" s="109"/>
      <c r="Z267" s="109"/>
    </row>
    <row r="268" ht="29.25" customHeight="1">
      <c r="A268" s="109"/>
      <c r="B268" s="109"/>
      <c r="C268" s="109"/>
      <c r="D268" s="109"/>
      <c r="E268" s="109"/>
      <c r="F268" s="109"/>
      <c r="G268" s="317"/>
      <c r="H268" s="109"/>
      <c r="I268" s="109"/>
      <c r="J268" s="109"/>
      <c r="K268" s="109"/>
      <c r="L268" s="109"/>
      <c r="M268" s="109"/>
      <c r="N268" s="109"/>
      <c r="O268" s="109"/>
      <c r="P268" s="109"/>
      <c r="Q268" s="109"/>
      <c r="R268" s="109"/>
      <c r="S268" s="109"/>
      <c r="T268" s="109"/>
      <c r="U268" s="109"/>
      <c r="V268" s="109"/>
      <c r="W268" s="109"/>
      <c r="X268" s="109"/>
      <c r="Y268" s="109"/>
      <c r="Z268" s="109"/>
    </row>
    <row r="269" ht="29.25" customHeight="1">
      <c r="A269" s="109"/>
      <c r="B269" s="109"/>
      <c r="C269" s="109"/>
      <c r="D269" s="109"/>
      <c r="E269" s="109"/>
      <c r="F269" s="109"/>
      <c r="G269" s="317"/>
      <c r="H269" s="109"/>
      <c r="I269" s="109"/>
      <c r="J269" s="109"/>
      <c r="K269" s="109"/>
      <c r="L269" s="109"/>
      <c r="M269" s="109"/>
      <c r="N269" s="109"/>
      <c r="O269" s="109"/>
      <c r="P269" s="109"/>
      <c r="Q269" s="109"/>
      <c r="R269" s="109"/>
      <c r="S269" s="109"/>
      <c r="T269" s="109"/>
      <c r="U269" s="109"/>
      <c r="V269" s="109"/>
      <c r="W269" s="109"/>
      <c r="X269" s="109"/>
      <c r="Y269" s="109"/>
      <c r="Z269" s="109"/>
    </row>
    <row r="270" ht="29.25" customHeight="1">
      <c r="A270" s="109"/>
      <c r="B270" s="109"/>
      <c r="C270" s="109"/>
      <c r="D270" s="109"/>
      <c r="E270" s="109"/>
      <c r="F270" s="109"/>
      <c r="G270" s="317"/>
      <c r="H270" s="109"/>
      <c r="I270" s="109"/>
      <c r="J270" s="109"/>
      <c r="K270" s="109"/>
      <c r="L270" s="109"/>
      <c r="M270" s="109"/>
      <c r="N270" s="109"/>
      <c r="O270" s="109"/>
      <c r="P270" s="109"/>
      <c r="Q270" s="109"/>
      <c r="R270" s="109"/>
      <c r="S270" s="109"/>
      <c r="T270" s="109"/>
      <c r="U270" s="109"/>
      <c r="V270" s="109"/>
      <c r="W270" s="109"/>
      <c r="X270" s="109"/>
      <c r="Y270" s="109"/>
      <c r="Z270" s="109"/>
    </row>
    <row r="271" ht="29.25" customHeight="1">
      <c r="A271" s="109"/>
      <c r="B271" s="109"/>
      <c r="C271" s="109"/>
      <c r="D271" s="109"/>
      <c r="E271" s="109"/>
      <c r="F271" s="109"/>
      <c r="G271" s="317"/>
      <c r="H271" s="109"/>
      <c r="I271" s="109"/>
      <c r="J271" s="109"/>
      <c r="K271" s="109"/>
      <c r="L271" s="109"/>
      <c r="M271" s="109"/>
      <c r="N271" s="109"/>
      <c r="O271" s="109"/>
      <c r="P271" s="109"/>
      <c r="Q271" s="109"/>
      <c r="R271" s="109"/>
      <c r="S271" s="109"/>
      <c r="T271" s="109"/>
      <c r="U271" s="109"/>
      <c r="V271" s="109"/>
      <c r="W271" s="109"/>
      <c r="X271" s="109"/>
      <c r="Y271" s="109"/>
      <c r="Z271" s="109"/>
    </row>
    <row r="272" ht="29.25" customHeight="1">
      <c r="A272" s="109"/>
      <c r="B272" s="109"/>
      <c r="C272" s="109"/>
      <c r="D272" s="109"/>
      <c r="E272" s="109"/>
      <c r="F272" s="109"/>
      <c r="G272" s="317"/>
      <c r="H272" s="109"/>
      <c r="I272" s="109"/>
      <c r="J272" s="109"/>
      <c r="K272" s="109"/>
      <c r="L272" s="109"/>
      <c r="M272" s="109"/>
      <c r="N272" s="109"/>
      <c r="O272" s="109"/>
      <c r="P272" s="109"/>
      <c r="Q272" s="109"/>
      <c r="R272" s="109"/>
      <c r="S272" s="109"/>
      <c r="T272" s="109"/>
      <c r="U272" s="109"/>
      <c r="V272" s="109"/>
      <c r="W272" s="109"/>
      <c r="X272" s="109"/>
      <c r="Y272" s="109"/>
      <c r="Z272" s="109"/>
    </row>
    <row r="273" ht="29.25" customHeight="1">
      <c r="A273" s="109"/>
      <c r="B273" s="109"/>
      <c r="C273" s="109"/>
      <c r="D273" s="109"/>
      <c r="E273" s="109"/>
      <c r="F273" s="109"/>
      <c r="G273" s="317"/>
      <c r="H273" s="109"/>
      <c r="I273" s="109"/>
      <c r="J273" s="109"/>
      <c r="K273" s="109"/>
      <c r="L273" s="109"/>
      <c r="M273" s="109"/>
      <c r="N273" s="109"/>
      <c r="O273" s="109"/>
      <c r="P273" s="109"/>
      <c r="Q273" s="109"/>
      <c r="R273" s="109"/>
      <c r="S273" s="109"/>
      <c r="T273" s="109"/>
      <c r="U273" s="109"/>
      <c r="V273" s="109"/>
      <c r="W273" s="109"/>
      <c r="X273" s="109"/>
      <c r="Y273" s="109"/>
      <c r="Z273" s="109"/>
    </row>
    <row r="274" ht="29.25" customHeight="1">
      <c r="A274" s="109"/>
      <c r="B274" s="109"/>
      <c r="C274" s="109"/>
      <c r="D274" s="109"/>
      <c r="E274" s="109"/>
      <c r="F274" s="109"/>
      <c r="G274" s="317"/>
      <c r="H274" s="109"/>
      <c r="I274" s="109"/>
      <c r="J274" s="109"/>
      <c r="K274" s="109"/>
      <c r="L274" s="109"/>
      <c r="M274" s="109"/>
      <c r="N274" s="109"/>
      <c r="O274" s="109"/>
      <c r="P274" s="109"/>
      <c r="Q274" s="109"/>
      <c r="R274" s="109"/>
      <c r="S274" s="109"/>
      <c r="T274" s="109"/>
      <c r="U274" s="109"/>
      <c r="V274" s="109"/>
      <c r="W274" s="109"/>
      <c r="X274" s="109"/>
      <c r="Y274" s="109"/>
      <c r="Z274" s="109"/>
    </row>
    <row r="275" ht="29.25" customHeight="1">
      <c r="A275" s="109"/>
      <c r="B275" s="109"/>
      <c r="C275" s="109"/>
      <c r="D275" s="109"/>
      <c r="E275" s="109"/>
      <c r="F275" s="109"/>
      <c r="G275" s="317"/>
      <c r="H275" s="109"/>
      <c r="I275" s="109"/>
      <c r="J275" s="109"/>
      <c r="K275" s="109"/>
      <c r="L275" s="109"/>
      <c r="M275" s="109"/>
      <c r="N275" s="109"/>
      <c r="O275" s="109"/>
      <c r="P275" s="109"/>
      <c r="Q275" s="109"/>
      <c r="R275" s="109"/>
      <c r="S275" s="109"/>
      <c r="T275" s="109"/>
      <c r="U275" s="109"/>
      <c r="V275" s="109"/>
      <c r="W275" s="109"/>
      <c r="X275" s="109"/>
      <c r="Y275" s="109"/>
      <c r="Z275" s="109"/>
    </row>
    <row r="276" ht="29.25" customHeight="1">
      <c r="A276" s="109"/>
      <c r="B276" s="109"/>
      <c r="C276" s="109"/>
      <c r="D276" s="109"/>
      <c r="E276" s="109"/>
      <c r="F276" s="109"/>
      <c r="G276" s="317"/>
      <c r="H276" s="109"/>
      <c r="I276" s="109"/>
      <c r="J276" s="109"/>
      <c r="K276" s="109"/>
      <c r="L276" s="109"/>
      <c r="M276" s="109"/>
      <c r="N276" s="109"/>
      <c r="O276" s="109"/>
      <c r="P276" s="109"/>
      <c r="Q276" s="109"/>
      <c r="R276" s="109"/>
      <c r="S276" s="109"/>
      <c r="T276" s="109"/>
      <c r="U276" s="109"/>
      <c r="V276" s="109"/>
      <c r="W276" s="109"/>
      <c r="X276" s="109"/>
      <c r="Y276" s="109"/>
      <c r="Z276" s="109"/>
    </row>
    <row r="277" ht="29.25" customHeight="1">
      <c r="A277" s="109"/>
      <c r="B277" s="109"/>
      <c r="C277" s="109"/>
      <c r="D277" s="109"/>
      <c r="E277" s="109"/>
      <c r="F277" s="109"/>
      <c r="G277" s="317"/>
      <c r="H277" s="109"/>
      <c r="I277" s="109"/>
      <c r="J277" s="109"/>
      <c r="K277" s="109"/>
      <c r="L277" s="109"/>
      <c r="M277" s="109"/>
      <c r="N277" s="109"/>
      <c r="O277" s="109"/>
      <c r="P277" s="109"/>
      <c r="Q277" s="109"/>
      <c r="R277" s="109"/>
      <c r="S277" s="109"/>
      <c r="T277" s="109"/>
      <c r="U277" s="109"/>
      <c r="V277" s="109"/>
      <c r="W277" s="109"/>
      <c r="X277" s="109"/>
      <c r="Y277" s="109"/>
      <c r="Z277" s="109"/>
    </row>
    <row r="278" ht="29.25" customHeight="1">
      <c r="A278" s="109"/>
      <c r="B278" s="109"/>
      <c r="C278" s="109"/>
      <c r="D278" s="109"/>
      <c r="E278" s="109"/>
      <c r="F278" s="109"/>
      <c r="G278" s="317"/>
      <c r="H278" s="109"/>
      <c r="I278" s="109"/>
      <c r="J278" s="109"/>
      <c r="K278" s="109"/>
      <c r="L278" s="109"/>
      <c r="M278" s="109"/>
      <c r="N278" s="109"/>
      <c r="O278" s="109"/>
      <c r="P278" s="109"/>
      <c r="Q278" s="109"/>
      <c r="R278" s="109"/>
      <c r="S278" s="109"/>
      <c r="T278" s="109"/>
      <c r="U278" s="109"/>
      <c r="V278" s="109"/>
      <c r="W278" s="109"/>
      <c r="X278" s="109"/>
      <c r="Y278" s="109"/>
      <c r="Z278" s="109"/>
    </row>
    <row r="279" ht="29.25" customHeight="1">
      <c r="A279" s="109"/>
      <c r="B279" s="109"/>
      <c r="C279" s="109"/>
      <c r="D279" s="109"/>
      <c r="E279" s="109"/>
      <c r="F279" s="109"/>
      <c r="G279" s="317"/>
      <c r="H279" s="109"/>
      <c r="I279" s="109"/>
      <c r="J279" s="109"/>
      <c r="K279" s="109"/>
      <c r="L279" s="109"/>
      <c r="M279" s="109"/>
      <c r="N279" s="109"/>
      <c r="O279" s="109"/>
      <c r="P279" s="109"/>
      <c r="Q279" s="109"/>
      <c r="R279" s="109"/>
      <c r="S279" s="109"/>
      <c r="T279" s="109"/>
      <c r="U279" s="109"/>
      <c r="V279" s="109"/>
      <c r="W279" s="109"/>
      <c r="X279" s="109"/>
      <c r="Y279" s="109"/>
      <c r="Z279" s="109"/>
    </row>
    <row r="280" ht="29.25" customHeight="1">
      <c r="A280" s="109"/>
      <c r="B280" s="109"/>
      <c r="C280" s="109"/>
      <c r="D280" s="109"/>
      <c r="E280" s="109"/>
      <c r="F280" s="109"/>
      <c r="G280" s="317"/>
      <c r="H280" s="109"/>
      <c r="I280" s="109"/>
      <c r="J280" s="109"/>
      <c r="K280" s="109"/>
      <c r="L280" s="109"/>
      <c r="M280" s="109"/>
      <c r="N280" s="109"/>
      <c r="O280" s="109"/>
      <c r="P280" s="109"/>
      <c r="Q280" s="109"/>
      <c r="R280" s="109"/>
      <c r="S280" s="109"/>
      <c r="T280" s="109"/>
      <c r="U280" s="109"/>
      <c r="V280" s="109"/>
      <c r="W280" s="109"/>
      <c r="X280" s="109"/>
      <c r="Y280" s="109"/>
      <c r="Z280" s="109"/>
    </row>
    <row r="281" ht="29.25" customHeight="1">
      <c r="A281" s="109"/>
      <c r="B281" s="109"/>
      <c r="C281" s="109"/>
      <c r="D281" s="109"/>
      <c r="E281" s="109"/>
      <c r="F281" s="109"/>
      <c r="G281" s="317"/>
      <c r="H281" s="109"/>
      <c r="I281" s="109"/>
      <c r="J281" s="109"/>
      <c r="K281" s="109"/>
      <c r="L281" s="109"/>
      <c r="M281" s="109"/>
      <c r="N281" s="109"/>
      <c r="O281" s="109"/>
      <c r="P281" s="109"/>
      <c r="Q281" s="109"/>
      <c r="R281" s="109"/>
      <c r="S281" s="109"/>
      <c r="T281" s="109"/>
      <c r="U281" s="109"/>
      <c r="V281" s="109"/>
      <c r="W281" s="109"/>
      <c r="X281" s="109"/>
      <c r="Y281" s="109"/>
      <c r="Z281" s="109"/>
    </row>
    <row r="282" ht="29.25" customHeight="1">
      <c r="A282" s="109"/>
      <c r="B282" s="109"/>
      <c r="C282" s="109"/>
      <c r="D282" s="109"/>
      <c r="E282" s="109"/>
      <c r="F282" s="109"/>
      <c r="G282" s="317"/>
      <c r="H282" s="109"/>
      <c r="I282" s="109"/>
      <c r="J282" s="109"/>
      <c r="K282" s="109"/>
      <c r="L282" s="109"/>
      <c r="M282" s="109"/>
      <c r="N282" s="109"/>
      <c r="O282" s="109"/>
      <c r="P282" s="109"/>
      <c r="Q282" s="109"/>
      <c r="R282" s="109"/>
      <c r="S282" s="109"/>
      <c r="T282" s="109"/>
      <c r="U282" s="109"/>
      <c r="V282" s="109"/>
      <c r="W282" s="109"/>
      <c r="X282" s="109"/>
      <c r="Y282" s="109"/>
      <c r="Z282" s="109"/>
    </row>
    <row r="283" ht="29.25" customHeight="1">
      <c r="A283" s="109"/>
      <c r="B283" s="109"/>
      <c r="C283" s="109"/>
      <c r="D283" s="109"/>
      <c r="E283" s="109"/>
      <c r="F283" s="109"/>
      <c r="G283" s="317"/>
      <c r="H283" s="109"/>
      <c r="I283" s="109"/>
      <c r="J283" s="109"/>
      <c r="K283" s="109"/>
      <c r="L283" s="109"/>
      <c r="M283" s="109"/>
      <c r="N283" s="109"/>
      <c r="O283" s="109"/>
      <c r="P283" s="109"/>
      <c r="Q283" s="109"/>
      <c r="R283" s="109"/>
      <c r="S283" s="109"/>
      <c r="T283" s="109"/>
      <c r="U283" s="109"/>
      <c r="V283" s="109"/>
      <c r="W283" s="109"/>
      <c r="X283" s="109"/>
      <c r="Y283" s="109"/>
      <c r="Z283" s="109"/>
    </row>
    <row r="284" ht="29.25" customHeight="1">
      <c r="A284" s="109"/>
      <c r="B284" s="109"/>
      <c r="C284" s="109"/>
      <c r="D284" s="109"/>
      <c r="E284" s="109"/>
      <c r="F284" s="109"/>
      <c r="G284" s="317"/>
      <c r="H284" s="109"/>
      <c r="I284" s="109"/>
      <c r="J284" s="109"/>
      <c r="K284" s="109"/>
      <c r="L284" s="109"/>
      <c r="M284" s="109"/>
      <c r="N284" s="109"/>
      <c r="O284" s="109"/>
      <c r="P284" s="109"/>
      <c r="Q284" s="109"/>
      <c r="R284" s="109"/>
      <c r="S284" s="109"/>
      <c r="T284" s="109"/>
      <c r="U284" s="109"/>
      <c r="V284" s="109"/>
      <c r="W284" s="109"/>
      <c r="X284" s="109"/>
      <c r="Y284" s="109"/>
      <c r="Z284" s="109"/>
    </row>
    <row r="285" ht="29.25" customHeight="1">
      <c r="A285" s="109"/>
      <c r="B285" s="109"/>
      <c r="C285" s="109"/>
      <c r="D285" s="109"/>
      <c r="E285" s="109"/>
      <c r="F285" s="109"/>
      <c r="G285" s="317"/>
      <c r="H285" s="109"/>
      <c r="I285" s="109"/>
      <c r="J285" s="109"/>
      <c r="K285" s="109"/>
      <c r="L285" s="109"/>
      <c r="M285" s="109"/>
      <c r="N285" s="109"/>
      <c r="O285" s="109"/>
      <c r="P285" s="109"/>
      <c r="Q285" s="109"/>
      <c r="R285" s="109"/>
      <c r="S285" s="109"/>
      <c r="T285" s="109"/>
      <c r="U285" s="109"/>
      <c r="V285" s="109"/>
      <c r="W285" s="109"/>
      <c r="X285" s="109"/>
      <c r="Y285" s="109"/>
      <c r="Z285" s="109"/>
    </row>
    <row r="286" ht="29.25" customHeight="1">
      <c r="A286" s="109"/>
      <c r="B286" s="109"/>
      <c r="C286" s="109"/>
      <c r="D286" s="109"/>
      <c r="E286" s="109"/>
      <c r="F286" s="109"/>
      <c r="G286" s="317"/>
      <c r="H286" s="109"/>
      <c r="I286" s="109"/>
      <c r="J286" s="109"/>
      <c r="K286" s="109"/>
      <c r="L286" s="109"/>
      <c r="M286" s="109"/>
      <c r="N286" s="109"/>
      <c r="O286" s="109"/>
      <c r="P286" s="109"/>
      <c r="Q286" s="109"/>
      <c r="R286" s="109"/>
      <c r="S286" s="109"/>
      <c r="T286" s="109"/>
      <c r="U286" s="109"/>
      <c r="V286" s="109"/>
      <c r="W286" s="109"/>
      <c r="X286" s="109"/>
      <c r="Y286" s="109"/>
      <c r="Z286" s="109"/>
    </row>
    <row r="287" ht="29.25" customHeight="1">
      <c r="A287" s="109"/>
      <c r="B287" s="109"/>
      <c r="C287" s="109"/>
      <c r="D287" s="109"/>
      <c r="E287" s="109"/>
      <c r="F287" s="109"/>
      <c r="G287" s="317"/>
      <c r="H287" s="109"/>
      <c r="I287" s="109"/>
      <c r="J287" s="109"/>
      <c r="K287" s="109"/>
      <c r="L287" s="109"/>
      <c r="M287" s="109"/>
      <c r="N287" s="109"/>
      <c r="O287" s="109"/>
      <c r="P287" s="109"/>
      <c r="Q287" s="109"/>
      <c r="R287" s="109"/>
      <c r="S287" s="109"/>
      <c r="T287" s="109"/>
      <c r="U287" s="109"/>
      <c r="V287" s="109"/>
      <c r="W287" s="109"/>
      <c r="X287" s="109"/>
      <c r="Y287" s="109"/>
      <c r="Z287" s="109"/>
    </row>
    <row r="288" ht="29.25" customHeight="1">
      <c r="A288" s="109"/>
      <c r="B288" s="109"/>
      <c r="C288" s="109"/>
      <c r="D288" s="109"/>
      <c r="E288" s="109"/>
      <c r="F288" s="109"/>
      <c r="G288" s="317"/>
      <c r="H288" s="109"/>
      <c r="I288" s="109"/>
      <c r="J288" s="109"/>
      <c r="K288" s="109"/>
      <c r="L288" s="109"/>
      <c r="M288" s="109"/>
      <c r="N288" s="109"/>
      <c r="O288" s="109"/>
      <c r="P288" s="109"/>
      <c r="Q288" s="109"/>
      <c r="R288" s="109"/>
      <c r="S288" s="109"/>
      <c r="T288" s="109"/>
      <c r="U288" s="109"/>
      <c r="V288" s="109"/>
      <c r="W288" s="109"/>
      <c r="X288" s="109"/>
      <c r="Y288" s="109"/>
      <c r="Z288" s="109"/>
    </row>
    <row r="289" ht="29.25" customHeight="1">
      <c r="A289" s="109"/>
      <c r="B289" s="109"/>
      <c r="C289" s="109"/>
      <c r="D289" s="109"/>
      <c r="E289" s="109"/>
      <c r="F289" s="109"/>
      <c r="G289" s="317"/>
      <c r="H289" s="109"/>
      <c r="I289" s="109"/>
      <c r="J289" s="109"/>
      <c r="K289" s="109"/>
      <c r="L289" s="109"/>
      <c r="M289" s="109"/>
      <c r="N289" s="109"/>
      <c r="O289" s="109"/>
      <c r="P289" s="109"/>
      <c r="Q289" s="109"/>
      <c r="R289" s="109"/>
      <c r="S289" s="109"/>
      <c r="T289" s="109"/>
      <c r="U289" s="109"/>
      <c r="V289" s="109"/>
      <c r="W289" s="109"/>
      <c r="X289" s="109"/>
      <c r="Y289" s="109"/>
      <c r="Z289" s="109"/>
    </row>
    <row r="290" ht="29.25" customHeight="1">
      <c r="A290" s="109"/>
      <c r="B290" s="109"/>
      <c r="C290" s="109"/>
      <c r="D290" s="109"/>
      <c r="E290" s="109"/>
      <c r="F290" s="109"/>
      <c r="G290" s="317"/>
      <c r="H290" s="109"/>
      <c r="I290" s="109"/>
      <c r="J290" s="109"/>
      <c r="K290" s="109"/>
      <c r="L290" s="109"/>
      <c r="M290" s="109"/>
      <c r="N290" s="109"/>
      <c r="O290" s="109"/>
      <c r="P290" s="109"/>
      <c r="Q290" s="109"/>
      <c r="R290" s="109"/>
      <c r="S290" s="109"/>
      <c r="T290" s="109"/>
      <c r="U290" s="109"/>
      <c r="V290" s="109"/>
      <c r="W290" s="109"/>
      <c r="X290" s="109"/>
      <c r="Y290" s="109"/>
      <c r="Z290" s="109"/>
    </row>
    <row r="291" ht="29.25" customHeight="1">
      <c r="A291" s="109"/>
      <c r="B291" s="109"/>
      <c r="C291" s="109"/>
      <c r="D291" s="109"/>
      <c r="E291" s="109"/>
      <c r="F291" s="109"/>
      <c r="G291" s="317"/>
      <c r="H291" s="109"/>
      <c r="I291" s="109"/>
      <c r="J291" s="109"/>
      <c r="K291" s="109"/>
      <c r="L291" s="109"/>
      <c r="M291" s="109"/>
      <c r="N291" s="109"/>
      <c r="O291" s="109"/>
      <c r="P291" s="109"/>
      <c r="Q291" s="109"/>
      <c r="R291" s="109"/>
      <c r="S291" s="109"/>
      <c r="T291" s="109"/>
      <c r="U291" s="109"/>
      <c r="V291" s="109"/>
      <c r="W291" s="109"/>
      <c r="X291" s="109"/>
      <c r="Y291" s="109"/>
      <c r="Z291" s="109"/>
    </row>
    <row r="292" ht="29.25" customHeight="1">
      <c r="A292" s="109"/>
      <c r="B292" s="109"/>
      <c r="C292" s="109"/>
      <c r="D292" s="109"/>
      <c r="E292" s="109"/>
      <c r="F292" s="109"/>
      <c r="G292" s="317"/>
      <c r="H292" s="109"/>
      <c r="I292" s="109"/>
      <c r="J292" s="109"/>
      <c r="K292" s="109"/>
      <c r="L292" s="109"/>
      <c r="M292" s="109"/>
      <c r="N292" s="109"/>
      <c r="O292" s="109"/>
      <c r="P292" s="109"/>
      <c r="Q292" s="109"/>
      <c r="R292" s="109"/>
      <c r="S292" s="109"/>
      <c r="T292" s="109"/>
      <c r="U292" s="109"/>
      <c r="V292" s="109"/>
      <c r="W292" s="109"/>
      <c r="X292" s="109"/>
      <c r="Y292" s="109"/>
      <c r="Z292" s="109"/>
    </row>
    <row r="293" ht="29.25" customHeight="1">
      <c r="A293" s="109"/>
      <c r="B293" s="109"/>
      <c r="C293" s="109"/>
      <c r="D293" s="109"/>
      <c r="E293" s="109"/>
      <c r="F293" s="109"/>
      <c r="G293" s="317"/>
      <c r="H293" s="109"/>
      <c r="I293" s="109"/>
      <c r="J293" s="109"/>
      <c r="K293" s="109"/>
      <c r="L293" s="109"/>
      <c r="M293" s="109"/>
      <c r="N293" s="109"/>
      <c r="O293" s="109"/>
      <c r="P293" s="109"/>
      <c r="Q293" s="109"/>
      <c r="R293" s="109"/>
      <c r="S293" s="109"/>
      <c r="T293" s="109"/>
      <c r="U293" s="109"/>
      <c r="V293" s="109"/>
      <c r="W293" s="109"/>
      <c r="X293" s="109"/>
      <c r="Y293" s="109"/>
      <c r="Z293" s="109"/>
    </row>
    <row r="294" ht="29.25" customHeight="1">
      <c r="A294" s="109"/>
      <c r="B294" s="109"/>
      <c r="C294" s="109"/>
      <c r="D294" s="109"/>
      <c r="E294" s="109"/>
      <c r="F294" s="109"/>
      <c r="G294" s="317"/>
      <c r="H294" s="109"/>
      <c r="I294" s="109"/>
      <c r="J294" s="109"/>
      <c r="K294" s="109"/>
      <c r="L294" s="109"/>
      <c r="M294" s="109"/>
      <c r="N294" s="109"/>
      <c r="O294" s="109"/>
      <c r="P294" s="109"/>
      <c r="Q294" s="109"/>
      <c r="R294" s="109"/>
      <c r="S294" s="109"/>
      <c r="T294" s="109"/>
      <c r="U294" s="109"/>
      <c r="V294" s="109"/>
      <c r="W294" s="109"/>
      <c r="X294" s="109"/>
      <c r="Y294" s="109"/>
      <c r="Z294" s="109"/>
    </row>
    <row r="295" ht="29.25" customHeight="1">
      <c r="A295" s="109"/>
      <c r="B295" s="109"/>
      <c r="C295" s="109"/>
      <c r="D295" s="109"/>
      <c r="E295" s="109"/>
      <c r="F295" s="109"/>
      <c r="G295" s="317"/>
      <c r="H295" s="109"/>
      <c r="I295" s="109"/>
      <c r="J295" s="109"/>
      <c r="K295" s="109"/>
      <c r="L295" s="109"/>
      <c r="M295" s="109"/>
      <c r="N295" s="109"/>
      <c r="O295" s="109"/>
      <c r="P295" s="109"/>
      <c r="Q295" s="109"/>
      <c r="R295" s="109"/>
      <c r="S295" s="109"/>
      <c r="T295" s="109"/>
      <c r="U295" s="109"/>
      <c r="V295" s="109"/>
      <c r="W295" s="109"/>
      <c r="X295" s="109"/>
      <c r="Y295" s="109"/>
      <c r="Z295" s="109"/>
    </row>
    <row r="296" ht="29.25" customHeight="1">
      <c r="A296" s="109"/>
      <c r="B296" s="109"/>
      <c r="C296" s="109"/>
      <c r="D296" s="109"/>
      <c r="E296" s="109"/>
      <c r="F296" s="109"/>
      <c r="G296" s="317"/>
      <c r="H296" s="109"/>
      <c r="I296" s="109"/>
      <c r="J296" s="109"/>
      <c r="K296" s="109"/>
      <c r="L296" s="109"/>
      <c r="M296" s="109"/>
      <c r="N296" s="109"/>
      <c r="O296" s="109"/>
      <c r="P296" s="109"/>
      <c r="Q296" s="109"/>
      <c r="R296" s="109"/>
      <c r="S296" s="109"/>
      <c r="T296" s="109"/>
      <c r="U296" s="109"/>
      <c r="V296" s="109"/>
      <c r="W296" s="109"/>
      <c r="X296" s="109"/>
      <c r="Y296" s="109"/>
      <c r="Z296" s="109"/>
    </row>
    <row r="297" ht="29.25" customHeight="1">
      <c r="A297" s="109"/>
      <c r="B297" s="109"/>
      <c r="C297" s="109"/>
      <c r="D297" s="109"/>
      <c r="E297" s="109"/>
      <c r="F297" s="109"/>
      <c r="G297" s="317"/>
      <c r="H297" s="109"/>
      <c r="I297" s="109"/>
      <c r="J297" s="109"/>
      <c r="K297" s="109"/>
      <c r="L297" s="109"/>
      <c r="M297" s="109"/>
      <c r="N297" s="109"/>
      <c r="O297" s="109"/>
      <c r="P297" s="109"/>
      <c r="Q297" s="109"/>
      <c r="R297" s="109"/>
      <c r="S297" s="109"/>
      <c r="T297" s="109"/>
      <c r="U297" s="109"/>
      <c r="V297" s="109"/>
      <c r="W297" s="109"/>
      <c r="X297" s="109"/>
      <c r="Y297" s="109"/>
      <c r="Z297" s="109"/>
    </row>
    <row r="298" ht="29.25" customHeight="1">
      <c r="A298" s="109"/>
      <c r="B298" s="109"/>
      <c r="C298" s="109"/>
      <c r="D298" s="109"/>
      <c r="E298" s="109"/>
      <c r="F298" s="109"/>
      <c r="G298" s="317"/>
      <c r="H298" s="109"/>
      <c r="I298" s="109"/>
      <c r="J298" s="109"/>
      <c r="K298" s="109"/>
      <c r="L298" s="109"/>
      <c r="M298" s="109"/>
      <c r="N298" s="109"/>
      <c r="O298" s="109"/>
      <c r="P298" s="109"/>
      <c r="Q298" s="109"/>
      <c r="R298" s="109"/>
      <c r="S298" s="109"/>
      <c r="T298" s="109"/>
      <c r="U298" s="109"/>
      <c r="V298" s="109"/>
      <c r="W298" s="109"/>
      <c r="X298" s="109"/>
      <c r="Y298" s="109"/>
      <c r="Z298" s="109"/>
    </row>
    <row r="299" ht="29.25" customHeight="1">
      <c r="A299" s="109"/>
      <c r="B299" s="109"/>
      <c r="C299" s="109"/>
      <c r="D299" s="109"/>
      <c r="E299" s="109"/>
      <c r="F299" s="109"/>
      <c r="G299" s="317"/>
      <c r="H299" s="109"/>
      <c r="I299" s="109"/>
      <c r="J299" s="109"/>
      <c r="K299" s="109"/>
      <c r="L299" s="109"/>
      <c r="M299" s="109"/>
      <c r="N299" s="109"/>
      <c r="O299" s="109"/>
      <c r="P299" s="109"/>
      <c r="Q299" s="109"/>
      <c r="R299" s="109"/>
      <c r="S299" s="109"/>
      <c r="T299" s="109"/>
      <c r="U299" s="109"/>
      <c r="V299" s="109"/>
      <c r="W299" s="109"/>
      <c r="X299" s="109"/>
      <c r="Y299" s="109"/>
      <c r="Z299" s="109"/>
    </row>
    <row r="300" ht="29.25" customHeight="1">
      <c r="A300" s="109"/>
      <c r="B300" s="109"/>
      <c r="C300" s="109"/>
      <c r="D300" s="109"/>
      <c r="E300" s="109"/>
      <c r="F300" s="109"/>
      <c r="G300" s="317"/>
      <c r="H300" s="109"/>
      <c r="I300" s="109"/>
      <c r="J300" s="109"/>
      <c r="K300" s="109"/>
      <c r="L300" s="109"/>
      <c r="M300" s="109"/>
      <c r="N300" s="109"/>
      <c r="O300" s="109"/>
      <c r="P300" s="109"/>
      <c r="Q300" s="109"/>
      <c r="R300" s="109"/>
      <c r="S300" s="109"/>
      <c r="T300" s="109"/>
      <c r="U300" s="109"/>
      <c r="V300" s="109"/>
      <c r="W300" s="109"/>
      <c r="X300" s="109"/>
      <c r="Y300" s="109"/>
      <c r="Z300" s="109"/>
    </row>
    <row r="301" ht="29.25" customHeight="1">
      <c r="A301" s="109"/>
      <c r="B301" s="109"/>
      <c r="C301" s="109"/>
      <c r="D301" s="109"/>
      <c r="E301" s="109"/>
      <c r="F301" s="109"/>
      <c r="G301" s="317"/>
      <c r="H301" s="109"/>
      <c r="I301" s="109"/>
      <c r="J301" s="109"/>
      <c r="K301" s="109"/>
      <c r="L301" s="109"/>
      <c r="M301" s="109"/>
      <c r="N301" s="109"/>
      <c r="O301" s="109"/>
      <c r="P301" s="109"/>
      <c r="Q301" s="109"/>
      <c r="R301" s="109"/>
      <c r="S301" s="109"/>
      <c r="T301" s="109"/>
      <c r="U301" s="109"/>
      <c r="V301" s="109"/>
      <c r="W301" s="109"/>
      <c r="X301" s="109"/>
      <c r="Y301" s="109"/>
      <c r="Z301" s="109"/>
    </row>
    <row r="302" ht="29.25" customHeight="1">
      <c r="A302" s="109"/>
      <c r="B302" s="109"/>
      <c r="C302" s="109"/>
      <c r="D302" s="109"/>
      <c r="E302" s="109"/>
      <c r="F302" s="109"/>
      <c r="G302" s="317"/>
      <c r="H302" s="109"/>
      <c r="I302" s="109"/>
      <c r="J302" s="109"/>
      <c r="K302" s="109"/>
      <c r="L302" s="109"/>
      <c r="M302" s="109"/>
      <c r="N302" s="109"/>
      <c r="O302" s="109"/>
      <c r="P302" s="109"/>
      <c r="Q302" s="109"/>
      <c r="R302" s="109"/>
      <c r="S302" s="109"/>
      <c r="T302" s="109"/>
      <c r="U302" s="109"/>
      <c r="V302" s="109"/>
      <c r="W302" s="109"/>
      <c r="X302" s="109"/>
      <c r="Y302" s="109"/>
      <c r="Z302" s="109"/>
    </row>
    <row r="303" ht="29.25" customHeight="1">
      <c r="A303" s="109"/>
      <c r="B303" s="109"/>
      <c r="C303" s="109"/>
      <c r="D303" s="109"/>
      <c r="E303" s="109"/>
      <c r="F303" s="109"/>
      <c r="G303" s="317"/>
      <c r="H303" s="109"/>
      <c r="I303" s="109"/>
      <c r="J303" s="109"/>
      <c r="K303" s="109"/>
      <c r="L303" s="109"/>
      <c r="M303" s="109"/>
      <c r="N303" s="109"/>
      <c r="O303" s="109"/>
      <c r="P303" s="109"/>
      <c r="Q303" s="109"/>
      <c r="R303" s="109"/>
      <c r="S303" s="109"/>
      <c r="T303" s="109"/>
      <c r="U303" s="109"/>
      <c r="V303" s="109"/>
      <c r="W303" s="109"/>
      <c r="X303" s="109"/>
      <c r="Y303" s="109"/>
      <c r="Z303" s="109"/>
    </row>
    <row r="304" ht="29.25" customHeight="1">
      <c r="A304" s="109"/>
      <c r="B304" s="109"/>
      <c r="C304" s="109"/>
      <c r="D304" s="109"/>
      <c r="E304" s="109"/>
      <c r="F304" s="109"/>
      <c r="G304" s="317"/>
      <c r="H304" s="109"/>
      <c r="I304" s="109"/>
      <c r="J304" s="109"/>
      <c r="K304" s="109"/>
      <c r="L304" s="109"/>
      <c r="M304" s="109"/>
      <c r="N304" s="109"/>
      <c r="O304" s="109"/>
      <c r="P304" s="109"/>
      <c r="Q304" s="109"/>
      <c r="R304" s="109"/>
      <c r="S304" s="109"/>
      <c r="T304" s="109"/>
      <c r="U304" s="109"/>
      <c r="V304" s="109"/>
      <c r="W304" s="109"/>
      <c r="X304" s="109"/>
      <c r="Y304" s="109"/>
      <c r="Z304" s="109"/>
    </row>
    <row r="305" ht="29.25" customHeight="1">
      <c r="A305" s="109"/>
      <c r="B305" s="109"/>
      <c r="C305" s="109"/>
      <c r="D305" s="109"/>
      <c r="E305" s="109"/>
      <c r="F305" s="109"/>
      <c r="G305" s="317"/>
      <c r="H305" s="109"/>
      <c r="I305" s="109"/>
      <c r="J305" s="109"/>
      <c r="K305" s="109"/>
      <c r="L305" s="109"/>
      <c r="M305" s="109"/>
      <c r="N305" s="109"/>
      <c r="O305" s="109"/>
      <c r="P305" s="109"/>
      <c r="Q305" s="109"/>
      <c r="R305" s="109"/>
      <c r="S305" s="109"/>
      <c r="T305" s="109"/>
      <c r="U305" s="109"/>
      <c r="V305" s="109"/>
      <c r="W305" s="109"/>
      <c r="X305" s="109"/>
      <c r="Y305" s="109"/>
      <c r="Z305" s="109"/>
    </row>
    <row r="306" ht="29.25" customHeight="1">
      <c r="A306" s="109"/>
      <c r="B306" s="109"/>
      <c r="C306" s="109"/>
      <c r="D306" s="109"/>
      <c r="E306" s="109"/>
      <c r="F306" s="109"/>
      <c r="G306" s="317"/>
      <c r="H306" s="109"/>
      <c r="I306" s="109"/>
      <c r="J306" s="109"/>
      <c r="K306" s="109"/>
      <c r="L306" s="109"/>
      <c r="M306" s="109"/>
      <c r="N306" s="109"/>
      <c r="O306" s="109"/>
      <c r="P306" s="109"/>
      <c r="Q306" s="109"/>
      <c r="R306" s="109"/>
      <c r="S306" s="109"/>
      <c r="T306" s="109"/>
      <c r="U306" s="109"/>
      <c r="V306" s="109"/>
      <c r="W306" s="109"/>
      <c r="X306" s="109"/>
      <c r="Y306" s="109"/>
      <c r="Z306" s="109"/>
    </row>
    <row r="307" ht="29.25" customHeight="1">
      <c r="A307" s="109"/>
      <c r="B307" s="109"/>
      <c r="C307" s="109"/>
      <c r="D307" s="109"/>
      <c r="E307" s="109"/>
      <c r="F307" s="109"/>
      <c r="G307" s="317"/>
      <c r="H307" s="109"/>
      <c r="I307" s="109"/>
      <c r="J307" s="109"/>
      <c r="K307" s="109"/>
      <c r="L307" s="109"/>
      <c r="M307" s="109"/>
      <c r="N307" s="109"/>
      <c r="O307" s="109"/>
      <c r="P307" s="109"/>
      <c r="Q307" s="109"/>
      <c r="R307" s="109"/>
      <c r="S307" s="109"/>
      <c r="T307" s="109"/>
      <c r="U307" s="109"/>
      <c r="V307" s="109"/>
      <c r="W307" s="109"/>
      <c r="X307" s="109"/>
      <c r="Y307" s="109"/>
      <c r="Z307" s="109"/>
    </row>
    <row r="308" ht="29.25" customHeight="1">
      <c r="A308" s="109"/>
      <c r="B308" s="109"/>
      <c r="C308" s="109"/>
      <c r="D308" s="109"/>
      <c r="E308" s="109"/>
      <c r="F308" s="109"/>
      <c r="G308" s="317"/>
      <c r="H308" s="109"/>
      <c r="I308" s="109"/>
      <c r="J308" s="109"/>
      <c r="K308" s="109"/>
      <c r="L308" s="109"/>
      <c r="M308" s="109"/>
      <c r="N308" s="109"/>
      <c r="O308" s="109"/>
      <c r="P308" s="109"/>
      <c r="Q308" s="109"/>
      <c r="R308" s="109"/>
      <c r="S308" s="109"/>
      <c r="T308" s="109"/>
      <c r="U308" s="109"/>
      <c r="V308" s="109"/>
      <c r="W308" s="109"/>
      <c r="X308" s="109"/>
      <c r="Y308" s="109"/>
      <c r="Z308" s="109"/>
    </row>
    <row r="309" ht="29.25" customHeight="1">
      <c r="A309" s="109"/>
      <c r="B309" s="109"/>
      <c r="C309" s="109"/>
      <c r="D309" s="109"/>
      <c r="E309" s="109"/>
      <c r="F309" s="109"/>
      <c r="G309" s="317"/>
      <c r="H309" s="109"/>
      <c r="I309" s="109"/>
      <c r="J309" s="109"/>
      <c r="K309" s="109"/>
      <c r="L309" s="109"/>
      <c r="M309" s="109"/>
      <c r="N309" s="109"/>
      <c r="O309" s="109"/>
      <c r="P309" s="109"/>
      <c r="Q309" s="109"/>
      <c r="R309" s="109"/>
      <c r="S309" s="109"/>
      <c r="T309" s="109"/>
      <c r="U309" s="109"/>
      <c r="V309" s="109"/>
      <c r="W309" s="109"/>
      <c r="X309" s="109"/>
      <c r="Y309" s="109"/>
      <c r="Z309" s="109"/>
    </row>
    <row r="310" ht="29.25" customHeight="1">
      <c r="A310" s="109"/>
      <c r="B310" s="109"/>
      <c r="C310" s="109"/>
      <c r="D310" s="109"/>
      <c r="E310" s="109"/>
      <c r="F310" s="109"/>
      <c r="G310" s="317"/>
      <c r="H310" s="109"/>
      <c r="I310" s="109"/>
      <c r="J310" s="109"/>
      <c r="K310" s="109"/>
      <c r="L310" s="109"/>
      <c r="M310" s="109"/>
      <c r="N310" s="109"/>
      <c r="O310" s="109"/>
      <c r="P310" s="109"/>
      <c r="Q310" s="109"/>
      <c r="R310" s="109"/>
      <c r="S310" s="109"/>
      <c r="T310" s="109"/>
      <c r="U310" s="109"/>
      <c r="V310" s="109"/>
      <c r="W310" s="109"/>
      <c r="X310" s="109"/>
      <c r="Y310" s="109"/>
      <c r="Z310" s="109"/>
    </row>
    <row r="311" ht="29.25" customHeight="1">
      <c r="A311" s="109"/>
      <c r="B311" s="109"/>
      <c r="C311" s="109"/>
      <c r="D311" s="109"/>
      <c r="E311" s="109"/>
      <c r="F311" s="109"/>
      <c r="G311" s="317"/>
      <c r="H311" s="109"/>
      <c r="I311" s="109"/>
      <c r="J311" s="109"/>
      <c r="K311" s="109"/>
      <c r="L311" s="109"/>
      <c r="M311" s="109"/>
      <c r="N311" s="109"/>
      <c r="O311" s="109"/>
      <c r="P311" s="109"/>
      <c r="Q311" s="109"/>
      <c r="R311" s="109"/>
      <c r="S311" s="109"/>
      <c r="T311" s="109"/>
      <c r="U311" s="109"/>
      <c r="V311" s="109"/>
      <c r="W311" s="109"/>
      <c r="X311" s="109"/>
      <c r="Y311" s="109"/>
      <c r="Z311" s="109"/>
    </row>
    <row r="312" ht="29.25" customHeight="1">
      <c r="A312" s="109"/>
      <c r="B312" s="109"/>
      <c r="C312" s="109"/>
      <c r="D312" s="109"/>
      <c r="E312" s="109"/>
      <c r="F312" s="109"/>
      <c r="G312" s="317"/>
      <c r="H312" s="109"/>
      <c r="I312" s="109"/>
      <c r="J312" s="109"/>
      <c r="K312" s="109"/>
      <c r="L312" s="109"/>
      <c r="M312" s="109"/>
      <c r="N312" s="109"/>
      <c r="O312" s="109"/>
      <c r="P312" s="109"/>
      <c r="Q312" s="109"/>
      <c r="R312" s="109"/>
      <c r="S312" s="109"/>
      <c r="T312" s="109"/>
      <c r="U312" s="109"/>
      <c r="V312" s="109"/>
      <c r="W312" s="109"/>
      <c r="X312" s="109"/>
      <c r="Y312" s="109"/>
      <c r="Z312" s="109"/>
    </row>
    <row r="313" ht="29.25" customHeight="1">
      <c r="A313" s="109"/>
      <c r="B313" s="109"/>
      <c r="C313" s="109"/>
      <c r="D313" s="109"/>
      <c r="E313" s="109"/>
      <c r="F313" s="109"/>
      <c r="G313" s="317"/>
      <c r="H313" s="109"/>
      <c r="I313" s="109"/>
      <c r="J313" s="109"/>
      <c r="K313" s="109"/>
      <c r="L313" s="109"/>
      <c r="M313" s="109"/>
      <c r="N313" s="109"/>
      <c r="O313" s="109"/>
      <c r="P313" s="109"/>
      <c r="Q313" s="109"/>
      <c r="R313" s="109"/>
      <c r="S313" s="109"/>
      <c r="T313" s="109"/>
      <c r="U313" s="109"/>
      <c r="V313" s="109"/>
      <c r="W313" s="109"/>
      <c r="X313" s="109"/>
      <c r="Y313" s="109"/>
      <c r="Z313" s="109"/>
    </row>
    <row r="314" ht="29.25" customHeight="1">
      <c r="A314" s="109"/>
      <c r="B314" s="109"/>
      <c r="C314" s="109"/>
      <c r="D314" s="109"/>
      <c r="E314" s="109"/>
      <c r="F314" s="109"/>
      <c r="G314" s="317"/>
      <c r="H314" s="109"/>
      <c r="I314" s="109"/>
      <c r="J314" s="109"/>
      <c r="K314" s="109"/>
      <c r="L314" s="109"/>
      <c r="M314" s="109"/>
      <c r="N314" s="109"/>
      <c r="O314" s="109"/>
      <c r="P314" s="109"/>
      <c r="Q314" s="109"/>
      <c r="R314" s="109"/>
      <c r="S314" s="109"/>
      <c r="T314" s="109"/>
      <c r="U314" s="109"/>
      <c r="V314" s="109"/>
      <c r="W314" s="109"/>
      <c r="X314" s="109"/>
      <c r="Y314" s="109"/>
      <c r="Z314" s="109"/>
    </row>
    <row r="315" ht="29.25" customHeight="1">
      <c r="A315" s="109"/>
      <c r="B315" s="109"/>
      <c r="C315" s="109"/>
      <c r="D315" s="109"/>
      <c r="E315" s="109"/>
      <c r="F315" s="109"/>
      <c r="G315" s="317"/>
      <c r="H315" s="109"/>
      <c r="I315" s="109"/>
      <c r="J315" s="109"/>
      <c r="K315" s="109"/>
      <c r="L315" s="109"/>
      <c r="M315" s="109"/>
      <c r="N315" s="109"/>
      <c r="O315" s="109"/>
      <c r="P315" s="109"/>
      <c r="Q315" s="109"/>
      <c r="R315" s="109"/>
      <c r="S315" s="109"/>
      <c r="T315" s="109"/>
      <c r="U315" s="109"/>
      <c r="V315" s="109"/>
      <c r="W315" s="109"/>
      <c r="X315" s="109"/>
      <c r="Y315" s="109"/>
      <c r="Z315" s="109"/>
    </row>
    <row r="316" ht="29.25" customHeight="1">
      <c r="A316" s="109"/>
      <c r="B316" s="109"/>
      <c r="C316" s="109"/>
      <c r="D316" s="109"/>
      <c r="E316" s="109"/>
      <c r="F316" s="109"/>
      <c r="G316" s="317"/>
      <c r="H316" s="109"/>
      <c r="I316" s="109"/>
      <c r="J316" s="109"/>
      <c r="K316" s="109"/>
      <c r="L316" s="109"/>
      <c r="M316" s="109"/>
      <c r="N316" s="109"/>
      <c r="O316" s="109"/>
      <c r="P316" s="109"/>
      <c r="Q316" s="109"/>
      <c r="R316" s="109"/>
      <c r="S316" s="109"/>
      <c r="T316" s="109"/>
      <c r="U316" s="109"/>
      <c r="V316" s="109"/>
      <c r="W316" s="109"/>
      <c r="X316" s="109"/>
      <c r="Y316" s="109"/>
      <c r="Z316" s="109"/>
    </row>
    <row r="317" ht="29.25" customHeight="1">
      <c r="A317" s="109"/>
      <c r="B317" s="109"/>
      <c r="C317" s="109"/>
      <c r="D317" s="109"/>
      <c r="E317" s="109"/>
      <c r="F317" s="109"/>
      <c r="G317" s="317"/>
      <c r="H317" s="109"/>
      <c r="I317" s="109"/>
      <c r="J317" s="109"/>
      <c r="K317" s="109"/>
      <c r="L317" s="109"/>
      <c r="M317" s="109"/>
      <c r="N317" s="109"/>
      <c r="O317" s="109"/>
      <c r="P317" s="109"/>
      <c r="Q317" s="109"/>
      <c r="R317" s="109"/>
      <c r="S317" s="109"/>
      <c r="T317" s="109"/>
      <c r="U317" s="109"/>
      <c r="V317" s="109"/>
      <c r="W317" s="109"/>
      <c r="X317" s="109"/>
      <c r="Y317" s="109"/>
      <c r="Z317" s="109"/>
    </row>
    <row r="318" ht="29.25" customHeight="1">
      <c r="A318" s="109"/>
      <c r="B318" s="109"/>
      <c r="C318" s="109"/>
      <c r="D318" s="109"/>
      <c r="E318" s="109"/>
      <c r="F318" s="109"/>
      <c r="G318" s="317"/>
      <c r="H318" s="109"/>
      <c r="I318" s="109"/>
      <c r="J318" s="109"/>
      <c r="K318" s="109"/>
      <c r="L318" s="109"/>
      <c r="M318" s="109"/>
      <c r="N318" s="109"/>
      <c r="O318" s="109"/>
      <c r="P318" s="109"/>
      <c r="Q318" s="109"/>
      <c r="R318" s="109"/>
      <c r="S318" s="109"/>
      <c r="T318" s="109"/>
      <c r="U318" s="109"/>
      <c r="V318" s="109"/>
      <c r="W318" s="109"/>
      <c r="X318" s="109"/>
      <c r="Y318" s="109"/>
      <c r="Z318" s="109"/>
    </row>
    <row r="319" ht="29.25" customHeight="1">
      <c r="A319" s="109"/>
      <c r="B319" s="109"/>
      <c r="C319" s="109"/>
      <c r="D319" s="109"/>
      <c r="E319" s="109"/>
      <c r="F319" s="109"/>
      <c r="G319" s="317"/>
      <c r="H319" s="109"/>
      <c r="I319" s="109"/>
      <c r="J319" s="109"/>
      <c r="K319" s="109"/>
      <c r="L319" s="109"/>
      <c r="M319" s="109"/>
      <c r="N319" s="109"/>
      <c r="O319" s="109"/>
      <c r="P319" s="109"/>
      <c r="Q319" s="109"/>
      <c r="R319" s="109"/>
      <c r="S319" s="109"/>
      <c r="T319" s="109"/>
      <c r="U319" s="109"/>
      <c r="V319" s="109"/>
      <c r="W319" s="109"/>
      <c r="X319" s="109"/>
      <c r="Y319" s="109"/>
      <c r="Z319" s="109"/>
    </row>
    <row r="320" ht="29.25" customHeight="1">
      <c r="A320" s="109"/>
      <c r="B320" s="109"/>
      <c r="C320" s="109"/>
      <c r="D320" s="109"/>
      <c r="E320" s="109"/>
      <c r="F320" s="109"/>
      <c r="G320" s="317"/>
      <c r="H320" s="109"/>
      <c r="I320" s="109"/>
      <c r="J320" s="109"/>
      <c r="K320" s="109"/>
      <c r="L320" s="109"/>
      <c r="M320" s="109"/>
      <c r="N320" s="109"/>
      <c r="O320" s="109"/>
      <c r="P320" s="109"/>
      <c r="Q320" s="109"/>
      <c r="R320" s="109"/>
      <c r="S320" s="109"/>
      <c r="T320" s="109"/>
      <c r="U320" s="109"/>
      <c r="V320" s="109"/>
      <c r="W320" s="109"/>
      <c r="X320" s="109"/>
      <c r="Y320" s="109"/>
      <c r="Z320" s="109"/>
    </row>
    <row r="321" ht="29.25" customHeight="1">
      <c r="A321" s="109"/>
      <c r="B321" s="109"/>
      <c r="C321" s="109"/>
      <c r="D321" s="109"/>
      <c r="E321" s="109"/>
      <c r="F321" s="109"/>
      <c r="G321" s="317"/>
      <c r="H321" s="109"/>
      <c r="I321" s="109"/>
      <c r="J321" s="109"/>
      <c r="K321" s="109"/>
      <c r="L321" s="109"/>
      <c r="M321" s="109"/>
      <c r="N321" s="109"/>
      <c r="O321" s="109"/>
      <c r="P321" s="109"/>
      <c r="Q321" s="109"/>
      <c r="R321" s="109"/>
      <c r="S321" s="109"/>
      <c r="T321" s="109"/>
      <c r="U321" s="109"/>
      <c r="V321" s="109"/>
      <c r="W321" s="109"/>
      <c r="X321" s="109"/>
      <c r="Y321" s="109"/>
      <c r="Z321" s="109"/>
    </row>
    <row r="322" ht="29.25" customHeight="1">
      <c r="A322" s="109"/>
      <c r="B322" s="109"/>
      <c r="C322" s="109"/>
      <c r="D322" s="109"/>
      <c r="E322" s="109"/>
      <c r="F322" s="109"/>
      <c r="G322" s="317"/>
      <c r="H322" s="109"/>
      <c r="I322" s="109"/>
      <c r="J322" s="109"/>
      <c r="K322" s="109"/>
      <c r="L322" s="109"/>
      <c r="M322" s="109"/>
      <c r="N322" s="109"/>
      <c r="O322" s="109"/>
      <c r="P322" s="109"/>
      <c r="Q322" s="109"/>
      <c r="R322" s="109"/>
      <c r="S322" s="109"/>
      <c r="T322" s="109"/>
      <c r="U322" s="109"/>
      <c r="V322" s="109"/>
      <c r="W322" s="109"/>
      <c r="X322" s="109"/>
      <c r="Y322" s="109"/>
      <c r="Z322" s="109"/>
    </row>
    <row r="323" ht="29.25" customHeight="1">
      <c r="A323" s="109"/>
      <c r="B323" s="109"/>
      <c r="C323" s="109"/>
      <c r="D323" s="109"/>
      <c r="E323" s="109"/>
      <c r="F323" s="109"/>
      <c r="G323" s="317"/>
      <c r="H323" s="109"/>
      <c r="I323" s="109"/>
      <c r="J323" s="109"/>
      <c r="K323" s="109"/>
      <c r="L323" s="109"/>
      <c r="M323" s="109"/>
      <c r="N323" s="109"/>
      <c r="O323" s="109"/>
      <c r="P323" s="109"/>
      <c r="Q323" s="109"/>
      <c r="R323" s="109"/>
      <c r="S323" s="109"/>
      <c r="T323" s="109"/>
      <c r="U323" s="109"/>
      <c r="V323" s="109"/>
      <c r="W323" s="109"/>
      <c r="X323" s="109"/>
      <c r="Y323" s="109"/>
      <c r="Z323" s="109"/>
    </row>
    <row r="324" ht="29.25" customHeight="1">
      <c r="A324" s="109"/>
      <c r="B324" s="109"/>
      <c r="C324" s="109"/>
      <c r="D324" s="109"/>
      <c r="E324" s="109"/>
      <c r="F324" s="109"/>
      <c r="G324" s="317"/>
      <c r="H324" s="109"/>
      <c r="I324" s="109"/>
      <c r="J324" s="109"/>
      <c r="K324" s="109"/>
      <c r="L324" s="109"/>
      <c r="M324" s="109"/>
      <c r="N324" s="109"/>
      <c r="O324" s="109"/>
      <c r="P324" s="109"/>
      <c r="Q324" s="109"/>
      <c r="R324" s="109"/>
      <c r="S324" s="109"/>
      <c r="T324" s="109"/>
      <c r="U324" s="109"/>
      <c r="V324" s="109"/>
      <c r="W324" s="109"/>
      <c r="X324" s="109"/>
      <c r="Y324" s="109"/>
      <c r="Z324" s="109"/>
    </row>
    <row r="325" ht="29.25" customHeight="1">
      <c r="A325" s="109"/>
      <c r="B325" s="109"/>
      <c r="C325" s="109"/>
      <c r="D325" s="109"/>
      <c r="E325" s="109"/>
      <c r="F325" s="109"/>
      <c r="G325" s="317"/>
      <c r="H325" s="109"/>
      <c r="I325" s="109"/>
      <c r="J325" s="109"/>
      <c r="K325" s="109"/>
      <c r="L325" s="109"/>
      <c r="M325" s="109"/>
      <c r="N325" s="109"/>
      <c r="O325" s="109"/>
      <c r="P325" s="109"/>
      <c r="Q325" s="109"/>
      <c r="R325" s="109"/>
      <c r="S325" s="109"/>
      <c r="T325" s="109"/>
      <c r="U325" s="109"/>
      <c r="V325" s="109"/>
      <c r="W325" s="109"/>
      <c r="X325" s="109"/>
      <c r="Y325" s="109"/>
      <c r="Z325" s="109"/>
    </row>
    <row r="326" ht="29.25" customHeight="1">
      <c r="A326" s="109"/>
      <c r="B326" s="109"/>
      <c r="C326" s="109"/>
      <c r="D326" s="109"/>
      <c r="E326" s="109"/>
      <c r="F326" s="109"/>
      <c r="G326" s="317"/>
      <c r="H326" s="109"/>
      <c r="I326" s="109"/>
      <c r="J326" s="109"/>
      <c r="K326" s="109"/>
      <c r="L326" s="109"/>
      <c r="M326" s="109"/>
      <c r="N326" s="109"/>
      <c r="O326" s="109"/>
      <c r="P326" s="109"/>
      <c r="Q326" s="109"/>
      <c r="R326" s="109"/>
      <c r="S326" s="109"/>
      <c r="T326" s="109"/>
      <c r="U326" s="109"/>
      <c r="V326" s="109"/>
      <c r="W326" s="109"/>
      <c r="X326" s="109"/>
      <c r="Y326" s="109"/>
      <c r="Z326" s="109"/>
    </row>
    <row r="327" ht="29.25" customHeight="1">
      <c r="A327" s="109"/>
      <c r="B327" s="109"/>
      <c r="C327" s="109"/>
      <c r="D327" s="109"/>
      <c r="E327" s="109"/>
      <c r="F327" s="109"/>
      <c r="G327" s="317"/>
      <c r="H327" s="109"/>
      <c r="I327" s="109"/>
      <c r="J327" s="109"/>
      <c r="K327" s="109"/>
      <c r="L327" s="109"/>
      <c r="M327" s="109"/>
      <c r="N327" s="109"/>
      <c r="O327" s="109"/>
      <c r="P327" s="109"/>
      <c r="Q327" s="109"/>
      <c r="R327" s="109"/>
      <c r="S327" s="109"/>
      <c r="T327" s="109"/>
      <c r="U327" s="109"/>
      <c r="V327" s="109"/>
      <c r="W327" s="109"/>
      <c r="X327" s="109"/>
      <c r="Y327" s="109"/>
      <c r="Z327" s="109"/>
    </row>
    <row r="328" ht="29.25" customHeight="1">
      <c r="A328" s="109"/>
      <c r="B328" s="109"/>
      <c r="C328" s="109"/>
      <c r="D328" s="109"/>
      <c r="E328" s="109"/>
      <c r="F328" s="109"/>
      <c r="G328" s="317"/>
      <c r="H328" s="109"/>
      <c r="I328" s="109"/>
      <c r="J328" s="109"/>
      <c r="K328" s="109"/>
      <c r="L328" s="109"/>
      <c r="M328" s="109"/>
      <c r="N328" s="109"/>
      <c r="O328" s="109"/>
      <c r="P328" s="109"/>
      <c r="Q328" s="109"/>
      <c r="R328" s="109"/>
      <c r="S328" s="109"/>
      <c r="T328" s="109"/>
      <c r="U328" s="109"/>
      <c r="V328" s="109"/>
      <c r="W328" s="109"/>
      <c r="X328" s="109"/>
      <c r="Y328" s="109"/>
      <c r="Z328" s="109"/>
    </row>
    <row r="329" ht="29.25" customHeight="1">
      <c r="A329" s="109"/>
      <c r="B329" s="109"/>
      <c r="C329" s="109"/>
      <c r="D329" s="109"/>
      <c r="E329" s="109"/>
      <c r="F329" s="109"/>
      <c r="G329" s="317"/>
      <c r="H329" s="109"/>
      <c r="I329" s="109"/>
      <c r="J329" s="109"/>
      <c r="K329" s="109"/>
      <c r="L329" s="109"/>
      <c r="M329" s="109"/>
      <c r="N329" s="109"/>
      <c r="O329" s="109"/>
      <c r="P329" s="109"/>
      <c r="Q329" s="109"/>
      <c r="R329" s="109"/>
      <c r="S329" s="109"/>
      <c r="T329" s="109"/>
      <c r="U329" s="109"/>
      <c r="V329" s="109"/>
      <c r="W329" s="109"/>
      <c r="X329" s="109"/>
      <c r="Y329" s="109"/>
      <c r="Z329" s="109"/>
    </row>
    <row r="330" ht="29.25" customHeight="1">
      <c r="A330" s="109"/>
      <c r="B330" s="109"/>
      <c r="C330" s="109"/>
      <c r="D330" s="109"/>
      <c r="E330" s="109"/>
      <c r="F330" s="109"/>
      <c r="G330" s="317"/>
      <c r="H330" s="109"/>
      <c r="I330" s="109"/>
      <c r="J330" s="109"/>
      <c r="K330" s="109"/>
      <c r="L330" s="109"/>
      <c r="M330" s="109"/>
      <c r="N330" s="109"/>
      <c r="O330" s="109"/>
      <c r="P330" s="109"/>
      <c r="Q330" s="109"/>
      <c r="R330" s="109"/>
      <c r="S330" s="109"/>
      <c r="T330" s="109"/>
      <c r="U330" s="109"/>
      <c r="V330" s="109"/>
      <c r="W330" s="109"/>
      <c r="X330" s="109"/>
      <c r="Y330" s="109"/>
      <c r="Z330" s="109"/>
    </row>
    <row r="331" ht="29.25" customHeight="1">
      <c r="A331" s="109"/>
      <c r="B331" s="109"/>
      <c r="C331" s="109"/>
      <c r="D331" s="109"/>
      <c r="E331" s="109"/>
      <c r="F331" s="109"/>
      <c r="G331" s="317"/>
      <c r="H331" s="109"/>
      <c r="I331" s="109"/>
      <c r="J331" s="109"/>
      <c r="K331" s="109"/>
      <c r="L331" s="109"/>
      <c r="M331" s="109"/>
      <c r="N331" s="109"/>
      <c r="O331" s="109"/>
      <c r="P331" s="109"/>
      <c r="Q331" s="109"/>
      <c r="R331" s="109"/>
      <c r="S331" s="109"/>
      <c r="T331" s="109"/>
      <c r="U331" s="109"/>
      <c r="V331" s="109"/>
      <c r="W331" s="109"/>
      <c r="X331" s="109"/>
      <c r="Y331" s="109"/>
      <c r="Z331" s="109"/>
    </row>
    <row r="332" ht="29.25" customHeight="1">
      <c r="A332" s="109"/>
      <c r="B332" s="109"/>
      <c r="C332" s="109"/>
      <c r="D332" s="109"/>
      <c r="E332" s="109"/>
      <c r="F332" s="109"/>
      <c r="G332" s="317"/>
      <c r="H332" s="109"/>
      <c r="I332" s="109"/>
      <c r="J332" s="109"/>
      <c r="K332" s="109"/>
      <c r="L332" s="109"/>
      <c r="M332" s="109"/>
      <c r="N332" s="109"/>
      <c r="O332" s="109"/>
      <c r="P332" s="109"/>
      <c r="Q332" s="109"/>
      <c r="R332" s="109"/>
      <c r="S332" s="109"/>
      <c r="T332" s="109"/>
      <c r="U332" s="109"/>
      <c r="V332" s="109"/>
      <c r="W332" s="109"/>
      <c r="X332" s="109"/>
      <c r="Y332" s="109"/>
      <c r="Z332" s="109"/>
    </row>
    <row r="333" ht="29.25" customHeight="1">
      <c r="A333" s="109"/>
      <c r="B333" s="109"/>
      <c r="C333" s="109"/>
      <c r="D333" s="109"/>
      <c r="E333" s="109"/>
      <c r="F333" s="109"/>
      <c r="G333" s="317"/>
      <c r="H333" s="109"/>
      <c r="I333" s="109"/>
      <c r="J333" s="109"/>
      <c r="K333" s="109"/>
      <c r="L333" s="109"/>
      <c r="M333" s="109"/>
      <c r="N333" s="109"/>
      <c r="O333" s="109"/>
      <c r="P333" s="109"/>
      <c r="Q333" s="109"/>
      <c r="R333" s="109"/>
      <c r="S333" s="109"/>
      <c r="T333" s="109"/>
      <c r="U333" s="109"/>
      <c r="V333" s="109"/>
      <c r="W333" s="109"/>
      <c r="X333" s="109"/>
      <c r="Y333" s="109"/>
      <c r="Z333" s="109"/>
    </row>
    <row r="334" ht="29.25" customHeight="1">
      <c r="A334" s="109"/>
      <c r="B334" s="109"/>
      <c r="C334" s="109"/>
      <c r="D334" s="109"/>
      <c r="E334" s="109"/>
      <c r="F334" s="109"/>
      <c r="G334" s="317"/>
      <c r="H334" s="109"/>
      <c r="I334" s="109"/>
      <c r="J334" s="109"/>
      <c r="K334" s="109"/>
      <c r="L334" s="109"/>
      <c r="M334" s="109"/>
      <c r="N334" s="109"/>
      <c r="O334" s="109"/>
      <c r="P334" s="109"/>
      <c r="Q334" s="109"/>
      <c r="R334" s="109"/>
      <c r="S334" s="109"/>
      <c r="T334" s="109"/>
      <c r="U334" s="109"/>
      <c r="V334" s="109"/>
      <c r="W334" s="109"/>
      <c r="X334" s="109"/>
      <c r="Y334" s="109"/>
      <c r="Z334" s="109"/>
    </row>
    <row r="335" ht="29.25" customHeight="1">
      <c r="A335" s="109"/>
      <c r="B335" s="109"/>
      <c r="C335" s="109"/>
      <c r="D335" s="109"/>
      <c r="E335" s="109"/>
      <c r="F335" s="109"/>
      <c r="G335" s="317"/>
      <c r="H335" s="109"/>
      <c r="I335" s="109"/>
      <c r="J335" s="109"/>
      <c r="K335" s="109"/>
      <c r="L335" s="109"/>
      <c r="M335" s="109"/>
      <c r="N335" s="109"/>
      <c r="O335" s="109"/>
      <c r="P335" s="109"/>
      <c r="Q335" s="109"/>
      <c r="R335" s="109"/>
      <c r="S335" s="109"/>
      <c r="T335" s="109"/>
      <c r="U335" s="109"/>
      <c r="V335" s="109"/>
      <c r="W335" s="109"/>
      <c r="X335" s="109"/>
      <c r="Y335" s="109"/>
      <c r="Z335" s="109"/>
    </row>
    <row r="336" ht="29.25" customHeight="1">
      <c r="A336" s="109"/>
      <c r="B336" s="109"/>
      <c r="C336" s="109"/>
      <c r="D336" s="109"/>
      <c r="E336" s="109"/>
      <c r="F336" s="109"/>
      <c r="G336" s="317"/>
      <c r="H336" s="109"/>
      <c r="I336" s="109"/>
      <c r="J336" s="109"/>
      <c r="K336" s="109"/>
      <c r="L336" s="109"/>
      <c r="M336" s="109"/>
      <c r="N336" s="109"/>
      <c r="O336" s="109"/>
      <c r="P336" s="109"/>
      <c r="Q336" s="109"/>
      <c r="R336" s="109"/>
      <c r="S336" s="109"/>
      <c r="T336" s="109"/>
      <c r="U336" s="109"/>
      <c r="V336" s="109"/>
      <c r="W336" s="109"/>
      <c r="X336" s="109"/>
      <c r="Y336" s="109"/>
      <c r="Z336" s="109"/>
    </row>
    <row r="337" ht="29.25" customHeight="1">
      <c r="A337" s="109"/>
      <c r="B337" s="109"/>
      <c r="C337" s="109"/>
      <c r="D337" s="109"/>
      <c r="E337" s="109"/>
      <c r="F337" s="109"/>
      <c r="G337" s="317"/>
      <c r="H337" s="109"/>
      <c r="I337" s="109"/>
      <c r="J337" s="109"/>
      <c r="K337" s="109"/>
      <c r="L337" s="109"/>
      <c r="M337" s="109"/>
      <c r="N337" s="109"/>
      <c r="O337" s="109"/>
      <c r="P337" s="109"/>
      <c r="Q337" s="109"/>
      <c r="R337" s="109"/>
      <c r="S337" s="109"/>
      <c r="T337" s="109"/>
      <c r="U337" s="109"/>
      <c r="V337" s="109"/>
      <c r="W337" s="109"/>
      <c r="X337" s="109"/>
      <c r="Y337" s="109"/>
      <c r="Z337" s="109"/>
    </row>
    <row r="338" ht="29.25" customHeight="1">
      <c r="A338" s="109"/>
      <c r="B338" s="109"/>
      <c r="C338" s="109"/>
      <c r="D338" s="109"/>
      <c r="E338" s="109"/>
      <c r="F338" s="109"/>
      <c r="G338" s="317"/>
      <c r="H338" s="109"/>
      <c r="I338" s="109"/>
      <c r="J338" s="109"/>
      <c r="K338" s="109"/>
      <c r="L338" s="109"/>
      <c r="M338" s="109"/>
      <c r="N338" s="109"/>
      <c r="O338" s="109"/>
      <c r="P338" s="109"/>
      <c r="Q338" s="109"/>
      <c r="R338" s="109"/>
      <c r="S338" s="109"/>
      <c r="T338" s="109"/>
      <c r="U338" s="109"/>
      <c r="V338" s="109"/>
      <c r="W338" s="109"/>
      <c r="X338" s="109"/>
      <c r="Y338" s="109"/>
      <c r="Z338" s="109"/>
    </row>
    <row r="339" ht="29.25" customHeight="1">
      <c r="A339" s="109"/>
      <c r="B339" s="109"/>
      <c r="C339" s="109"/>
      <c r="D339" s="109"/>
      <c r="E339" s="109"/>
      <c r="F339" s="109"/>
      <c r="G339" s="317"/>
      <c r="H339" s="109"/>
      <c r="I339" s="109"/>
      <c r="J339" s="109"/>
      <c r="K339" s="109"/>
      <c r="L339" s="109"/>
      <c r="M339" s="109"/>
      <c r="N339" s="109"/>
      <c r="O339" s="109"/>
      <c r="P339" s="109"/>
      <c r="Q339" s="109"/>
      <c r="R339" s="109"/>
      <c r="S339" s="109"/>
      <c r="T339" s="109"/>
      <c r="U339" s="109"/>
      <c r="V339" s="109"/>
      <c r="W339" s="109"/>
      <c r="X339" s="109"/>
      <c r="Y339" s="109"/>
      <c r="Z339" s="109"/>
    </row>
    <row r="340" ht="29.25" customHeight="1">
      <c r="A340" s="109"/>
      <c r="B340" s="109"/>
      <c r="C340" s="109"/>
      <c r="D340" s="109"/>
      <c r="E340" s="109"/>
      <c r="F340" s="109"/>
      <c r="G340" s="317"/>
      <c r="H340" s="109"/>
      <c r="I340" s="109"/>
      <c r="J340" s="109"/>
      <c r="K340" s="109"/>
      <c r="L340" s="109"/>
      <c r="M340" s="109"/>
      <c r="N340" s="109"/>
      <c r="O340" s="109"/>
      <c r="P340" s="109"/>
      <c r="Q340" s="109"/>
      <c r="R340" s="109"/>
      <c r="S340" s="109"/>
      <c r="T340" s="109"/>
      <c r="U340" s="109"/>
      <c r="V340" s="109"/>
      <c r="W340" s="109"/>
      <c r="X340" s="109"/>
      <c r="Y340" s="109"/>
      <c r="Z340" s="109"/>
    </row>
    <row r="341" ht="29.25" customHeight="1">
      <c r="A341" s="109"/>
      <c r="B341" s="109"/>
      <c r="C341" s="109"/>
      <c r="D341" s="109"/>
      <c r="E341" s="109"/>
      <c r="F341" s="109"/>
      <c r="G341" s="317"/>
      <c r="H341" s="109"/>
      <c r="I341" s="109"/>
      <c r="J341" s="109"/>
      <c r="K341" s="109"/>
      <c r="L341" s="109"/>
      <c r="M341" s="109"/>
      <c r="N341" s="109"/>
      <c r="O341" s="109"/>
      <c r="P341" s="109"/>
      <c r="Q341" s="109"/>
      <c r="R341" s="109"/>
      <c r="S341" s="109"/>
      <c r="T341" s="109"/>
      <c r="U341" s="109"/>
      <c r="V341" s="109"/>
      <c r="W341" s="109"/>
      <c r="X341" s="109"/>
      <c r="Y341" s="109"/>
      <c r="Z341" s="109"/>
    </row>
    <row r="342" ht="29.25" customHeight="1">
      <c r="A342" s="109"/>
      <c r="B342" s="109"/>
      <c r="C342" s="109"/>
      <c r="D342" s="109"/>
      <c r="E342" s="109"/>
      <c r="F342" s="109"/>
      <c r="G342" s="317"/>
      <c r="H342" s="109"/>
      <c r="I342" s="109"/>
      <c r="J342" s="109"/>
      <c r="K342" s="109"/>
      <c r="L342" s="109"/>
      <c r="M342" s="109"/>
      <c r="N342" s="109"/>
      <c r="O342" s="109"/>
      <c r="P342" s="109"/>
      <c r="Q342" s="109"/>
      <c r="R342" s="109"/>
      <c r="S342" s="109"/>
      <c r="T342" s="109"/>
      <c r="U342" s="109"/>
      <c r="V342" s="109"/>
      <c r="W342" s="109"/>
      <c r="X342" s="109"/>
      <c r="Y342" s="109"/>
      <c r="Z342" s="109"/>
    </row>
    <row r="343" ht="29.25" customHeight="1">
      <c r="A343" s="109"/>
      <c r="B343" s="109"/>
      <c r="C343" s="109"/>
      <c r="D343" s="109"/>
      <c r="E343" s="109"/>
      <c r="F343" s="109"/>
      <c r="G343" s="317"/>
      <c r="H343" s="109"/>
      <c r="I343" s="109"/>
      <c r="J343" s="109"/>
      <c r="K343" s="109"/>
      <c r="L343" s="109"/>
      <c r="M343" s="109"/>
      <c r="N343" s="109"/>
      <c r="O343" s="109"/>
      <c r="P343" s="109"/>
      <c r="Q343" s="109"/>
      <c r="R343" s="109"/>
      <c r="S343" s="109"/>
      <c r="T343" s="109"/>
      <c r="U343" s="109"/>
      <c r="V343" s="109"/>
      <c r="W343" s="109"/>
      <c r="X343" s="109"/>
      <c r="Y343" s="109"/>
      <c r="Z343" s="109"/>
    </row>
    <row r="344" ht="29.25" customHeight="1">
      <c r="A344" s="109"/>
      <c r="B344" s="109"/>
      <c r="C344" s="109"/>
      <c r="D344" s="109"/>
      <c r="E344" s="109"/>
      <c r="F344" s="109"/>
      <c r="G344" s="317"/>
      <c r="H344" s="109"/>
      <c r="I344" s="109"/>
      <c r="J344" s="109"/>
      <c r="K344" s="109"/>
      <c r="L344" s="109"/>
      <c r="M344" s="109"/>
      <c r="N344" s="109"/>
      <c r="O344" s="109"/>
      <c r="P344" s="109"/>
      <c r="Q344" s="109"/>
      <c r="R344" s="109"/>
      <c r="S344" s="109"/>
      <c r="T344" s="109"/>
      <c r="U344" s="109"/>
      <c r="V344" s="109"/>
      <c r="W344" s="109"/>
      <c r="X344" s="109"/>
      <c r="Y344" s="109"/>
      <c r="Z344" s="109"/>
    </row>
    <row r="345" ht="29.25" customHeight="1">
      <c r="A345" s="109"/>
      <c r="B345" s="109"/>
      <c r="C345" s="109"/>
      <c r="D345" s="109"/>
      <c r="E345" s="109"/>
      <c r="F345" s="109"/>
      <c r="G345" s="317"/>
      <c r="H345" s="109"/>
      <c r="I345" s="109"/>
      <c r="J345" s="109"/>
      <c r="K345" s="109"/>
      <c r="L345" s="109"/>
      <c r="M345" s="109"/>
      <c r="N345" s="109"/>
      <c r="O345" s="109"/>
      <c r="P345" s="109"/>
      <c r="Q345" s="109"/>
      <c r="R345" s="109"/>
      <c r="S345" s="109"/>
      <c r="T345" s="109"/>
      <c r="U345" s="109"/>
      <c r="V345" s="109"/>
      <c r="W345" s="109"/>
      <c r="X345" s="109"/>
      <c r="Y345" s="109"/>
      <c r="Z345" s="109"/>
    </row>
    <row r="346" ht="29.25" customHeight="1">
      <c r="A346" s="109"/>
      <c r="B346" s="109"/>
      <c r="C346" s="109"/>
      <c r="D346" s="109"/>
      <c r="E346" s="109"/>
      <c r="F346" s="109"/>
      <c r="G346" s="317"/>
      <c r="H346" s="109"/>
      <c r="I346" s="109"/>
      <c r="J346" s="109"/>
      <c r="K346" s="109"/>
      <c r="L346" s="109"/>
      <c r="M346" s="109"/>
      <c r="N346" s="109"/>
      <c r="O346" s="109"/>
      <c r="P346" s="109"/>
      <c r="Q346" s="109"/>
      <c r="R346" s="109"/>
      <c r="S346" s="109"/>
      <c r="T346" s="109"/>
      <c r="U346" s="109"/>
      <c r="V346" s="109"/>
      <c r="W346" s="109"/>
      <c r="X346" s="109"/>
      <c r="Y346" s="109"/>
      <c r="Z346" s="109"/>
    </row>
    <row r="347" ht="29.25" customHeight="1">
      <c r="A347" s="109"/>
      <c r="B347" s="109"/>
      <c r="C347" s="109"/>
      <c r="D347" s="109"/>
      <c r="E347" s="109"/>
      <c r="F347" s="109"/>
      <c r="G347" s="317"/>
      <c r="H347" s="109"/>
      <c r="I347" s="109"/>
      <c r="J347" s="109"/>
      <c r="K347" s="109"/>
      <c r="L347" s="109"/>
      <c r="M347" s="109"/>
      <c r="N347" s="109"/>
      <c r="O347" s="109"/>
      <c r="P347" s="109"/>
      <c r="Q347" s="109"/>
      <c r="R347" s="109"/>
      <c r="S347" s="109"/>
      <c r="T347" s="109"/>
      <c r="U347" s="109"/>
      <c r="V347" s="109"/>
      <c r="W347" s="109"/>
      <c r="X347" s="109"/>
      <c r="Y347" s="109"/>
      <c r="Z347" s="109"/>
    </row>
    <row r="348" ht="29.25" customHeight="1">
      <c r="A348" s="109"/>
      <c r="B348" s="109"/>
      <c r="C348" s="109"/>
      <c r="D348" s="109"/>
      <c r="E348" s="109"/>
      <c r="F348" s="109"/>
      <c r="G348" s="317"/>
      <c r="H348" s="109"/>
      <c r="I348" s="109"/>
      <c r="J348" s="109"/>
      <c r="K348" s="109"/>
      <c r="L348" s="109"/>
      <c r="M348" s="109"/>
      <c r="N348" s="109"/>
      <c r="O348" s="109"/>
      <c r="P348" s="109"/>
      <c r="Q348" s="109"/>
      <c r="R348" s="109"/>
      <c r="S348" s="109"/>
      <c r="T348" s="109"/>
      <c r="U348" s="109"/>
      <c r="V348" s="109"/>
      <c r="W348" s="109"/>
      <c r="X348" s="109"/>
      <c r="Y348" s="109"/>
      <c r="Z348" s="109"/>
    </row>
    <row r="349" ht="29.25" customHeight="1">
      <c r="A349" s="109"/>
      <c r="B349" s="109"/>
      <c r="C349" s="109"/>
      <c r="D349" s="109"/>
      <c r="E349" s="109"/>
      <c r="F349" s="109"/>
      <c r="G349" s="317"/>
      <c r="H349" s="109"/>
      <c r="I349" s="109"/>
      <c r="J349" s="109"/>
      <c r="K349" s="109"/>
      <c r="L349" s="109"/>
      <c r="M349" s="109"/>
      <c r="N349" s="109"/>
      <c r="O349" s="109"/>
      <c r="P349" s="109"/>
      <c r="Q349" s="109"/>
      <c r="R349" s="109"/>
      <c r="S349" s="109"/>
      <c r="T349" s="109"/>
      <c r="U349" s="109"/>
      <c r="V349" s="109"/>
      <c r="W349" s="109"/>
      <c r="X349" s="109"/>
      <c r="Y349" s="109"/>
      <c r="Z349" s="109"/>
    </row>
    <row r="350" ht="29.25" customHeight="1">
      <c r="A350" s="109"/>
      <c r="B350" s="109"/>
      <c r="C350" s="109"/>
      <c r="D350" s="109"/>
      <c r="E350" s="109"/>
      <c r="F350" s="109"/>
      <c r="G350" s="317"/>
      <c r="H350" s="109"/>
      <c r="I350" s="109"/>
      <c r="J350" s="109"/>
      <c r="K350" s="109"/>
      <c r="L350" s="109"/>
      <c r="M350" s="109"/>
      <c r="N350" s="109"/>
      <c r="O350" s="109"/>
      <c r="P350" s="109"/>
      <c r="Q350" s="109"/>
      <c r="R350" s="109"/>
      <c r="S350" s="109"/>
      <c r="T350" s="109"/>
      <c r="U350" s="109"/>
      <c r="V350" s="109"/>
      <c r="W350" s="109"/>
      <c r="X350" s="109"/>
      <c r="Y350" s="109"/>
      <c r="Z350" s="109"/>
    </row>
    <row r="351" ht="29.25" customHeight="1">
      <c r="A351" s="109"/>
      <c r="B351" s="109"/>
      <c r="C351" s="109"/>
      <c r="D351" s="109"/>
      <c r="E351" s="109"/>
      <c r="F351" s="109"/>
      <c r="G351" s="317"/>
      <c r="H351" s="109"/>
      <c r="I351" s="109"/>
      <c r="J351" s="109"/>
      <c r="K351" s="109"/>
      <c r="L351" s="109"/>
      <c r="M351" s="109"/>
      <c r="N351" s="109"/>
      <c r="O351" s="109"/>
      <c r="P351" s="109"/>
      <c r="Q351" s="109"/>
      <c r="R351" s="109"/>
      <c r="S351" s="109"/>
      <c r="T351" s="109"/>
      <c r="U351" s="109"/>
      <c r="V351" s="109"/>
      <c r="W351" s="109"/>
      <c r="X351" s="109"/>
      <c r="Y351" s="109"/>
      <c r="Z351" s="109"/>
    </row>
    <row r="352" ht="29.25" customHeight="1">
      <c r="A352" s="109"/>
      <c r="B352" s="109"/>
      <c r="C352" s="109"/>
      <c r="D352" s="109"/>
      <c r="E352" s="109"/>
      <c r="F352" s="109"/>
      <c r="G352" s="317"/>
      <c r="H352" s="109"/>
      <c r="I352" s="109"/>
      <c r="J352" s="109"/>
      <c r="K352" s="109"/>
      <c r="L352" s="109"/>
      <c r="M352" s="109"/>
      <c r="N352" s="109"/>
      <c r="O352" s="109"/>
      <c r="P352" s="109"/>
      <c r="Q352" s="109"/>
      <c r="R352" s="109"/>
      <c r="S352" s="109"/>
      <c r="T352" s="109"/>
      <c r="U352" s="109"/>
      <c r="V352" s="109"/>
      <c r="W352" s="109"/>
      <c r="X352" s="109"/>
      <c r="Y352" s="109"/>
      <c r="Z352" s="109"/>
    </row>
    <row r="353" ht="29.25" customHeight="1">
      <c r="A353" s="109"/>
      <c r="B353" s="109"/>
      <c r="C353" s="109"/>
      <c r="D353" s="109"/>
      <c r="E353" s="109"/>
      <c r="F353" s="109"/>
      <c r="G353" s="317"/>
      <c r="H353" s="109"/>
      <c r="I353" s="109"/>
      <c r="J353" s="109"/>
      <c r="K353" s="109"/>
      <c r="L353" s="109"/>
      <c r="M353" s="109"/>
      <c r="N353" s="109"/>
      <c r="O353" s="109"/>
      <c r="P353" s="109"/>
      <c r="Q353" s="109"/>
      <c r="R353" s="109"/>
      <c r="S353" s="109"/>
      <c r="T353" s="109"/>
      <c r="U353" s="109"/>
      <c r="V353" s="109"/>
      <c r="W353" s="109"/>
      <c r="X353" s="109"/>
      <c r="Y353" s="109"/>
      <c r="Z353" s="109"/>
    </row>
    <row r="354" ht="29.25" customHeight="1">
      <c r="A354" s="109"/>
      <c r="B354" s="109"/>
      <c r="C354" s="109"/>
      <c r="D354" s="109"/>
      <c r="E354" s="109"/>
      <c r="F354" s="109"/>
      <c r="G354" s="317"/>
      <c r="H354" s="109"/>
      <c r="I354" s="109"/>
      <c r="J354" s="109"/>
      <c r="K354" s="109"/>
      <c r="L354" s="109"/>
      <c r="M354" s="109"/>
      <c r="N354" s="109"/>
      <c r="O354" s="109"/>
      <c r="P354" s="109"/>
      <c r="Q354" s="109"/>
      <c r="R354" s="109"/>
      <c r="S354" s="109"/>
      <c r="T354" s="109"/>
      <c r="U354" s="109"/>
      <c r="V354" s="109"/>
      <c r="W354" s="109"/>
      <c r="X354" s="109"/>
      <c r="Y354" s="109"/>
      <c r="Z354" s="109"/>
    </row>
    <row r="355" ht="29.25" customHeight="1">
      <c r="A355" s="109"/>
      <c r="B355" s="109"/>
      <c r="C355" s="109"/>
      <c r="D355" s="109"/>
      <c r="E355" s="109"/>
      <c r="F355" s="109"/>
      <c r="G355" s="317"/>
      <c r="H355" s="109"/>
      <c r="I355" s="109"/>
      <c r="J355" s="109"/>
      <c r="K355" s="109"/>
      <c r="L355" s="109"/>
      <c r="M355" s="109"/>
      <c r="N355" s="109"/>
      <c r="O355" s="109"/>
      <c r="P355" s="109"/>
      <c r="Q355" s="109"/>
      <c r="R355" s="109"/>
      <c r="S355" s="109"/>
      <c r="T355" s="109"/>
      <c r="U355" s="109"/>
      <c r="V355" s="109"/>
      <c r="W355" s="109"/>
      <c r="X355" s="109"/>
      <c r="Y355" s="109"/>
      <c r="Z355" s="109"/>
    </row>
    <row r="356" ht="29.25" customHeight="1">
      <c r="A356" s="109"/>
      <c r="B356" s="109"/>
      <c r="C356" s="109"/>
      <c r="D356" s="109"/>
      <c r="E356" s="109"/>
      <c r="F356" s="109"/>
      <c r="G356" s="317"/>
      <c r="H356" s="109"/>
      <c r="I356" s="109"/>
      <c r="J356" s="109"/>
      <c r="K356" s="109"/>
      <c r="L356" s="109"/>
      <c r="M356" s="109"/>
      <c r="N356" s="109"/>
      <c r="O356" s="109"/>
      <c r="P356" s="109"/>
      <c r="Q356" s="109"/>
      <c r="R356" s="109"/>
      <c r="S356" s="109"/>
      <c r="T356" s="109"/>
      <c r="U356" s="109"/>
      <c r="V356" s="109"/>
      <c r="W356" s="109"/>
      <c r="X356" s="109"/>
      <c r="Y356" s="109"/>
      <c r="Z356" s="109"/>
    </row>
    <row r="357" ht="29.25" customHeight="1">
      <c r="A357" s="109"/>
      <c r="B357" s="109"/>
      <c r="C357" s="109"/>
      <c r="D357" s="109"/>
      <c r="E357" s="109"/>
      <c r="F357" s="109"/>
      <c r="G357" s="317"/>
      <c r="H357" s="109"/>
      <c r="I357" s="109"/>
      <c r="J357" s="109"/>
      <c r="K357" s="109"/>
      <c r="L357" s="109"/>
      <c r="M357" s="109"/>
      <c r="N357" s="109"/>
      <c r="O357" s="109"/>
      <c r="P357" s="109"/>
      <c r="Q357" s="109"/>
      <c r="R357" s="109"/>
      <c r="S357" s="109"/>
      <c r="T357" s="109"/>
      <c r="U357" s="109"/>
      <c r="V357" s="109"/>
      <c r="W357" s="109"/>
      <c r="X357" s="109"/>
      <c r="Y357" s="109"/>
      <c r="Z357" s="109"/>
    </row>
    <row r="358" ht="29.25" customHeight="1">
      <c r="A358" s="109"/>
      <c r="B358" s="109"/>
      <c r="C358" s="109"/>
      <c r="D358" s="109"/>
      <c r="E358" s="109"/>
      <c r="F358" s="109"/>
      <c r="G358" s="317"/>
      <c r="H358" s="109"/>
      <c r="I358" s="109"/>
      <c r="J358" s="109"/>
      <c r="K358" s="109"/>
      <c r="L358" s="109"/>
      <c r="M358" s="109"/>
      <c r="N358" s="109"/>
      <c r="O358" s="109"/>
      <c r="P358" s="109"/>
      <c r="Q358" s="109"/>
      <c r="R358" s="109"/>
      <c r="S358" s="109"/>
      <c r="T358" s="109"/>
      <c r="U358" s="109"/>
      <c r="V358" s="109"/>
      <c r="W358" s="109"/>
      <c r="X358" s="109"/>
      <c r="Y358" s="109"/>
      <c r="Z358" s="109"/>
    </row>
    <row r="359" ht="29.25" customHeight="1">
      <c r="A359" s="109"/>
      <c r="B359" s="109"/>
      <c r="C359" s="109"/>
      <c r="D359" s="109"/>
      <c r="E359" s="109"/>
      <c r="F359" s="109"/>
      <c r="G359" s="317"/>
      <c r="H359" s="109"/>
      <c r="I359" s="109"/>
      <c r="J359" s="109"/>
      <c r="K359" s="109"/>
      <c r="L359" s="109"/>
      <c r="M359" s="109"/>
      <c r="N359" s="109"/>
      <c r="O359" s="109"/>
      <c r="P359" s="109"/>
      <c r="Q359" s="109"/>
      <c r="R359" s="109"/>
      <c r="S359" s="109"/>
      <c r="T359" s="109"/>
      <c r="U359" s="109"/>
      <c r="V359" s="109"/>
      <c r="W359" s="109"/>
      <c r="X359" s="109"/>
      <c r="Y359" s="109"/>
      <c r="Z359" s="109"/>
    </row>
    <row r="360" ht="29.25" customHeight="1">
      <c r="A360" s="109"/>
      <c r="B360" s="109"/>
      <c r="C360" s="109"/>
      <c r="D360" s="109"/>
      <c r="E360" s="109"/>
      <c r="F360" s="109"/>
      <c r="G360" s="317"/>
      <c r="H360" s="109"/>
      <c r="I360" s="109"/>
      <c r="J360" s="109"/>
      <c r="K360" s="109"/>
      <c r="L360" s="109"/>
      <c r="M360" s="109"/>
      <c r="N360" s="109"/>
      <c r="O360" s="109"/>
      <c r="P360" s="109"/>
      <c r="Q360" s="109"/>
      <c r="R360" s="109"/>
      <c r="S360" s="109"/>
      <c r="T360" s="109"/>
      <c r="U360" s="109"/>
      <c r="V360" s="109"/>
      <c r="W360" s="109"/>
      <c r="X360" s="109"/>
      <c r="Y360" s="109"/>
      <c r="Z360" s="109"/>
    </row>
    <row r="361" ht="29.25" customHeight="1">
      <c r="A361" s="109"/>
      <c r="B361" s="109"/>
      <c r="C361" s="109"/>
      <c r="D361" s="109"/>
      <c r="E361" s="109"/>
      <c r="F361" s="109"/>
      <c r="G361" s="317"/>
      <c r="H361" s="109"/>
      <c r="I361" s="109"/>
      <c r="J361" s="109"/>
      <c r="K361" s="109"/>
      <c r="L361" s="109"/>
      <c r="M361" s="109"/>
      <c r="N361" s="109"/>
      <c r="O361" s="109"/>
      <c r="P361" s="109"/>
      <c r="Q361" s="109"/>
      <c r="R361" s="109"/>
      <c r="S361" s="109"/>
      <c r="T361" s="109"/>
      <c r="U361" s="109"/>
      <c r="V361" s="109"/>
      <c r="W361" s="109"/>
      <c r="X361" s="109"/>
      <c r="Y361" s="109"/>
      <c r="Z361" s="109"/>
    </row>
    <row r="362" ht="29.25" customHeight="1">
      <c r="A362" s="109"/>
      <c r="B362" s="109"/>
      <c r="C362" s="109"/>
      <c r="D362" s="109"/>
      <c r="E362" s="109"/>
      <c r="F362" s="109"/>
      <c r="G362" s="317"/>
      <c r="H362" s="109"/>
      <c r="I362" s="109"/>
      <c r="J362" s="109"/>
      <c r="K362" s="109"/>
      <c r="L362" s="109"/>
      <c r="M362" s="109"/>
      <c r="N362" s="109"/>
      <c r="O362" s="109"/>
      <c r="P362" s="109"/>
      <c r="Q362" s="109"/>
      <c r="R362" s="109"/>
      <c r="S362" s="109"/>
      <c r="T362" s="109"/>
      <c r="U362" s="109"/>
      <c r="V362" s="109"/>
      <c r="W362" s="109"/>
      <c r="X362" s="109"/>
      <c r="Y362" s="109"/>
      <c r="Z362" s="109"/>
    </row>
    <row r="363" ht="29.25" customHeight="1">
      <c r="A363" s="109"/>
      <c r="B363" s="109"/>
      <c r="C363" s="109"/>
      <c r="D363" s="109"/>
      <c r="E363" s="109"/>
      <c r="F363" s="109"/>
      <c r="G363" s="317"/>
      <c r="H363" s="109"/>
      <c r="I363" s="109"/>
      <c r="J363" s="109"/>
      <c r="K363" s="109"/>
      <c r="L363" s="109"/>
      <c r="M363" s="109"/>
      <c r="N363" s="109"/>
      <c r="O363" s="109"/>
      <c r="P363" s="109"/>
      <c r="Q363" s="109"/>
      <c r="R363" s="109"/>
      <c r="S363" s="109"/>
      <c r="T363" s="109"/>
      <c r="U363" s="109"/>
      <c r="V363" s="109"/>
      <c r="W363" s="109"/>
      <c r="X363" s="109"/>
      <c r="Y363" s="109"/>
      <c r="Z363" s="109"/>
    </row>
    <row r="364" ht="29.25" customHeight="1">
      <c r="A364" s="109"/>
      <c r="B364" s="109"/>
      <c r="C364" s="109"/>
      <c r="D364" s="109"/>
      <c r="E364" s="109"/>
      <c r="F364" s="109"/>
      <c r="G364" s="317"/>
      <c r="H364" s="109"/>
      <c r="I364" s="109"/>
      <c r="J364" s="109"/>
      <c r="K364" s="109"/>
      <c r="L364" s="109"/>
      <c r="M364" s="109"/>
      <c r="N364" s="109"/>
      <c r="O364" s="109"/>
      <c r="P364" s="109"/>
      <c r="Q364" s="109"/>
      <c r="R364" s="109"/>
      <c r="S364" s="109"/>
      <c r="T364" s="109"/>
      <c r="U364" s="109"/>
      <c r="V364" s="109"/>
      <c r="W364" s="109"/>
      <c r="X364" s="109"/>
      <c r="Y364" s="109"/>
      <c r="Z364" s="109"/>
    </row>
    <row r="365" ht="29.25" customHeight="1">
      <c r="A365" s="109"/>
      <c r="B365" s="109"/>
      <c r="C365" s="109"/>
      <c r="D365" s="109"/>
      <c r="E365" s="109"/>
      <c r="F365" s="109"/>
      <c r="G365" s="317"/>
      <c r="H365" s="109"/>
      <c r="I365" s="109"/>
      <c r="J365" s="109"/>
      <c r="K365" s="109"/>
      <c r="L365" s="109"/>
      <c r="M365" s="109"/>
      <c r="N365" s="109"/>
      <c r="O365" s="109"/>
      <c r="P365" s="109"/>
      <c r="Q365" s="109"/>
      <c r="R365" s="109"/>
      <c r="S365" s="109"/>
      <c r="T365" s="109"/>
      <c r="U365" s="109"/>
      <c r="V365" s="109"/>
      <c r="W365" s="109"/>
      <c r="X365" s="109"/>
      <c r="Y365" s="109"/>
      <c r="Z365" s="109"/>
    </row>
    <row r="366" ht="29.25" customHeight="1">
      <c r="A366" s="109"/>
      <c r="B366" s="109"/>
      <c r="C366" s="109"/>
      <c r="D366" s="109"/>
      <c r="E366" s="109"/>
      <c r="F366" s="109"/>
      <c r="G366" s="317"/>
      <c r="H366" s="109"/>
      <c r="I366" s="109"/>
      <c r="J366" s="109"/>
      <c r="K366" s="109"/>
      <c r="L366" s="109"/>
      <c r="M366" s="109"/>
      <c r="N366" s="109"/>
      <c r="O366" s="109"/>
      <c r="P366" s="109"/>
      <c r="Q366" s="109"/>
      <c r="R366" s="109"/>
      <c r="S366" s="109"/>
      <c r="T366" s="109"/>
      <c r="U366" s="109"/>
      <c r="V366" s="109"/>
      <c r="W366" s="109"/>
      <c r="X366" s="109"/>
      <c r="Y366" s="109"/>
      <c r="Z366" s="109"/>
    </row>
    <row r="367" ht="29.25" customHeight="1">
      <c r="A367" s="109"/>
      <c r="B367" s="109"/>
      <c r="C367" s="109"/>
      <c r="D367" s="109"/>
      <c r="E367" s="109"/>
      <c r="F367" s="109"/>
      <c r="G367" s="317"/>
      <c r="H367" s="109"/>
      <c r="I367" s="109"/>
      <c r="J367" s="109"/>
      <c r="K367" s="109"/>
      <c r="L367" s="109"/>
      <c r="M367" s="109"/>
      <c r="N367" s="109"/>
      <c r="O367" s="109"/>
      <c r="P367" s="109"/>
      <c r="Q367" s="109"/>
      <c r="R367" s="109"/>
      <c r="S367" s="109"/>
      <c r="T367" s="109"/>
      <c r="U367" s="109"/>
      <c r="V367" s="109"/>
      <c r="W367" s="109"/>
      <c r="X367" s="109"/>
      <c r="Y367" s="109"/>
      <c r="Z367" s="109"/>
    </row>
    <row r="368" ht="29.25" customHeight="1">
      <c r="A368" s="109"/>
      <c r="B368" s="109"/>
      <c r="C368" s="109"/>
      <c r="D368" s="109"/>
      <c r="E368" s="109"/>
      <c r="F368" s="109"/>
      <c r="G368" s="317"/>
      <c r="H368" s="109"/>
      <c r="I368" s="109"/>
      <c r="J368" s="109"/>
      <c r="K368" s="109"/>
      <c r="L368" s="109"/>
      <c r="M368" s="109"/>
      <c r="N368" s="109"/>
      <c r="O368" s="109"/>
      <c r="P368" s="109"/>
      <c r="Q368" s="109"/>
      <c r="R368" s="109"/>
      <c r="S368" s="109"/>
      <c r="T368" s="109"/>
      <c r="U368" s="109"/>
      <c r="V368" s="109"/>
      <c r="W368" s="109"/>
      <c r="X368" s="109"/>
      <c r="Y368" s="109"/>
      <c r="Z368" s="109"/>
    </row>
    <row r="369" ht="29.25" customHeight="1">
      <c r="A369" s="109"/>
      <c r="B369" s="109"/>
      <c r="C369" s="109"/>
      <c r="D369" s="109"/>
      <c r="E369" s="109"/>
      <c r="F369" s="109"/>
      <c r="G369" s="317"/>
      <c r="H369" s="109"/>
      <c r="I369" s="109"/>
      <c r="J369" s="109"/>
      <c r="K369" s="109"/>
      <c r="L369" s="109"/>
      <c r="M369" s="109"/>
      <c r="N369" s="109"/>
      <c r="O369" s="109"/>
      <c r="P369" s="109"/>
      <c r="Q369" s="109"/>
      <c r="R369" s="109"/>
      <c r="S369" s="109"/>
      <c r="T369" s="109"/>
      <c r="U369" s="109"/>
      <c r="V369" s="109"/>
      <c r="W369" s="109"/>
      <c r="X369" s="109"/>
      <c r="Y369" s="109"/>
      <c r="Z369" s="109"/>
    </row>
    <row r="370" ht="29.25" customHeight="1">
      <c r="A370" s="109"/>
      <c r="B370" s="109"/>
      <c r="C370" s="109"/>
      <c r="D370" s="109"/>
      <c r="E370" s="109"/>
      <c r="F370" s="109"/>
      <c r="G370" s="317"/>
      <c r="H370" s="109"/>
      <c r="I370" s="109"/>
      <c r="J370" s="109"/>
      <c r="K370" s="109"/>
      <c r="L370" s="109"/>
      <c r="M370" s="109"/>
      <c r="N370" s="109"/>
      <c r="O370" s="109"/>
      <c r="P370" s="109"/>
      <c r="Q370" s="109"/>
      <c r="R370" s="109"/>
      <c r="S370" s="109"/>
      <c r="T370" s="109"/>
      <c r="U370" s="109"/>
      <c r="V370" s="109"/>
      <c r="W370" s="109"/>
      <c r="X370" s="109"/>
      <c r="Y370" s="109"/>
      <c r="Z370" s="109"/>
    </row>
    <row r="371" ht="29.25" customHeight="1">
      <c r="A371" s="109"/>
      <c r="B371" s="109"/>
      <c r="C371" s="109"/>
      <c r="D371" s="109"/>
      <c r="E371" s="109"/>
      <c r="F371" s="109"/>
      <c r="G371" s="317"/>
      <c r="H371" s="109"/>
      <c r="I371" s="109"/>
      <c r="J371" s="109"/>
      <c r="K371" s="109"/>
      <c r="L371" s="109"/>
      <c r="M371" s="109"/>
      <c r="N371" s="109"/>
      <c r="O371" s="109"/>
      <c r="P371" s="109"/>
      <c r="Q371" s="109"/>
      <c r="R371" s="109"/>
      <c r="S371" s="109"/>
      <c r="T371" s="109"/>
      <c r="U371" s="109"/>
      <c r="V371" s="109"/>
      <c r="W371" s="109"/>
      <c r="X371" s="109"/>
      <c r="Y371" s="109"/>
      <c r="Z371" s="109"/>
    </row>
    <row r="372" ht="29.25" customHeight="1">
      <c r="A372" s="109"/>
      <c r="B372" s="109"/>
      <c r="C372" s="109"/>
      <c r="D372" s="109"/>
      <c r="E372" s="109"/>
      <c r="F372" s="109"/>
      <c r="G372" s="317"/>
      <c r="H372" s="109"/>
      <c r="I372" s="109"/>
      <c r="J372" s="109"/>
      <c r="K372" s="109"/>
      <c r="L372" s="109"/>
      <c r="M372" s="109"/>
      <c r="N372" s="109"/>
      <c r="O372" s="109"/>
      <c r="P372" s="109"/>
      <c r="Q372" s="109"/>
      <c r="R372" s="109"/>
      <c r="S372" s="109"/>
      <c r="T372" s="109"/>
      <c r="U372" s="109"/>
      <c r="V372" s="109"/>
      <c r="W372" s="109"/>
      <c r="X372" s="109"/>
      <c r="Y372" s="109"/>
      <c r="Z372" s="109"/>
    </row>
    <row r="373" ht="29.25" customHeight="1">
      <c r="A373" s="109"/>
      <c r="B373" s="109"/>
      <c r="C373" s="109"/>
      <c r="D373" s="109"/>
      <c r="E373" s="109"/>
      <c r="F373" s="109"/>
      <c r="G373" s="317"/>
      <c r="H373" s="109"/>
      <c r="I373" s="109"/>
      <c r="J373" s="109"/>
      <c r="K373" s="109"/>
      <c r="L373" s="109"/>
      <c r="M373" s="109"/>
      <c r="N373" s="109"/>
      <c r="O373" s="109"/>
      <c r="P373" s="109"/>
      <c r="Q373" s="109"/>
      <c r="R373" s="109"/>
      <c r="S373" s="109"/>
      <c r="T373" s="109"/>
      <c r="U373" s="109"/>
      <c r="V373" s="109"/>
      <c r="W373" s="109"/>
      <c r="X373" s="109"/>
      <c r="Y373" s="109"/>
      <c r="Z373" s="109"/>
    </row>
    <row r="374" ht="29.25" customHeight="1">
      <c r="A374" s="109"/>
      <c r="B374" s="109"/>
      <c r="C374" s="109"/>
      <c r="D374" s="109"/>
      <c r="E374" s="109"/>
      <c r="F374" s="109"/>
      <c r="G374" s="317"/>
      <c r="H374" s="109"/>
      <c r="I374" s="109"/>
      <c r="J374" s="109"/>
      <c r="K374" s="109"/>
      <c r="L374" s="109"/>
      <c r="M374" s="109"/>
      <c r="N374" s="109"/>
      <c r="O374" s="109"/>
      <c r="P374" s="109"/>
      <c r="Q374" s="109"/>
      <c r="R374" s="109"/>
      <c r="S374" s="109"/>
      <c r="T374" s="109"/>
      <c r="U374" s="109"/>
      <c r="V374" s="109"/>
      <c r="W374" s="109"/>
      <c r="X374" s="109"/>
      <c r="Y374" s="109"/>
      <c r="Z374" s="109"/>
    </row>
    <row r="375" ht="29.25" customHeight="1">
      <c r="A375" s="109"/>
      <c r="B375" s="109"/>
      <c r="C375" s="109"/>
      <c r="D375" s="109"/>
      <c r="E375" s="109"/>
      <c r="F375" s="109"/>
      <c r="G375" s="317"/>
      <c r="H375" s="109"/>
      <c r="I375" s="109"/>
      <c r="J375" s="109"/>
      <c r="K375" s="109"/>
      <c r="L375" s="109"/>
      <c r="M375" s="109"/>
      <c r="N375" s="109"/>
      <c r="O375" s="109"/>
      <c r="P375" s="109"/>
      <c r="Q375" s="109"/>
      <c r="R375" s="109"/>
      <c r="S375" s="109"/>
      <c r="T375" s="109"/>
      <c r="U375" s="109"/>
      <c r="V375" s="109"/>
      <c r="W375" s="109"/>
      <c r="X375" s="109"/>
      <c r="Y375" s="109"/>
      <c r="Z375" s="109"/>
    </row>
    <row r="376" ht="29.25" customHeight="1">
      <c r="A376" s="109"/>
      <c r="B376" s="109"/>
      <c r="C376" s="109"/>
      <c r="D376" s="109"/>
      <c r="E376" s="109"/>
      <c r="F376" s="109"/>
      <c r="G376" s="317"/>
      <c r="H376" s="109"/>
      <c r="I376" s="109"/>
      <c r="J376" s="109"/>
      <c r="K376" s="109"/>
      <c r="L376" s="109"/>
      <c r="M376" s="109"/>
      <c r="N376" s="109"/>
      <c r="O376" s="109"/>
      <c r="P376" s="109"/>
      <c r="Q376" s="109"/>
      <c r="R376" s="109"/>
      <c r="S376" s="109"/>
      <c r="T376" s="109"/>
      <c r="U376" s="109"/>
      <c r="V376" s="109"/>
      <c r="W376" s="109"/>
      <c r="X376" s="109"/>
      <c r="Y376" s="109"/>
      <c r="Z376" s="109"/>
    </row>
    <row r="377" ht="29.25" customHeight="1">
      <c r="A377" s="109"/>
      <c r="B377" s="109"/>
      <c r="C377" s="109"/>
      <c r="D377" s="109"/>
      <c r="E377" s="109"/>
      <c r="F377" s="109"/>
      <c r="G377" s="317"/>
      <c r="H377" s="109"/>
      <c r="I377" s="109"/>
      <c r="J377" s="109"/>
      <c r="K377" s="109"/>
      <c r="L377" s="109"/>
      <c r="M377" s="109"/>
      <c r="N377" s="109"/>
      <c r="O377" s="109"/>
      <c r="P377" s="109"/>
      <c r="Q377" s="109"/>
      <c r="R377" s="109"/>
      <c r="S377" s="109"/>
      <c r="T377" s="109"/>
      <c r="U377" s="109"/>
      <c r="V377" s="109"/>
      <c r="W377" s="109"/>
      <c r="X377" s="109"/>
      <c r="Y377" s="109"/>
      <c r="Z377" s="109"/>
    </row>
    <row r="378" ht="29.25" customHeight="1">
      <c r="A378" s="109"/>
      <c r="B378" s="109"/>
      <c r="C378" s="109"/>
      <c r="D378" s="109"/>
      <c r="E378" s="109"/>
      <c r="F378" s="109"/>
      <c r="G378" s="317"/>
      <c r="H378" s="109"/>
      <c r="I378" s="109"/>
      <c r="J378" s="109"/>
      <c r="K378" s="109"/>
      <c r="L378" s="109"/>
      <c r="M378" s="109"/>
      <c r="N378" s="109"/>
      <c r="O378" s="109"/>
      <c r="P378" s="109"/>
      <c r="Q378" s="109"/>
      <c r="R378" s="109"/>
      <c r="S378" s="109"/>
      <c r="T378" s="109"/>
      <c r="U378" s="109"/>
      <c r="V378" s="109"/>
      <c r="W378" s="109"/>
      <c r="X378" s="109"/>
      <c r="Y378" s="109"/>
      <c r="Z378" s="109"/>
    </row>
    <row r="379" ht="29.25" customHeight="1">
      <c r="A379" s="109"/>
      <c r="B379" s="109"/>
      <c r="C379" s="109"/>
      <c r="D379" s="109"/>
      <c r="E379" s="109"/>
      <c r="F379" s="109"/>
      <c r="G379" s="317"/>
      <c r="H379" s="109"/>
      <c r="I379" s="109"/>
      <c r="J379" s="109"/>
      <c r="K379" s="109"/>
      <c r="L379" s="109"/>
      <c r="M379" s="109"/>
      <c r="N379" s="109"/>
      <c r="O379" s="109"/>
      <c r="P379" s="109"/>
      <c r="Q379" s="109"/>
      <c r="R379" s="109"/>
      <c r="S379" s="109"/>
      <c r="T379" s="109"/>
      <c r="U379" s="109"/>
      <c r="V379" s="109"/>
      <c r="W379" s="109"/>
      <c r="X379" s="109"/>
      <c r="Y379" s="109"/>
      <c r="Z379" s="109"/>
    </row>
    <row r="380" ht="29.25" customHeight="1">
      <c r="A380" s="109"/>
      <c r="B380" s="109"/>
      <c r="C380" s="109"/>
      <c r="D380" s="109"/>
      <c r="E380" s="109"/>
      <c r="F380" s="109"/>
      <c r="G380" s="317"/>
      <c r="H380" s="109"/>
      <c r="I380" s="109"/>
      <c r="J380" s="109"/>
      <c r="K380" s="109"/>
      <c r="L380" s="109"/>
      <c r="M380" s="109"/>
      <c r="N380" s="109"/>
      <c r="O380" s="109"/>
      <c r="P380" s="109"/>
      <c r="Q380" s="109"/>
      <c r="R380" s="109"/>
      <c r="S380" s="109"/>
      <c r="T380" s="109"/>
      <c r="U380" s="109"/>
      <c r="V380" s="109"/>
      <c r="W380" s="109"/>
      <c r="X380" s="109"/>
      <c r="Y380" s="109"/>
      <c r="Z380" s="109"/>
    </row>
    <row r="381" ht="29.25" customHeight="1">
      <c r="A381" s="109"/>
      <c r="B381" s="109"/>
      <c r="C381" s="109"/>
      <c r="D381" s="109"/>
      <c r="E381" s="109"/>
      <c r="F381" s="109"/>
      <c r="G381" s="317"/>
      <c r="H381" s="109"/>
      <c r="I381" s="109"/>
      <c r="J381" s="109"/>
      <c r="K381" s="109"/>
      <c r="L381" s="109"/>
      <c r="M381" s="109"/>
      <c r="N381" s="109"/>
      <c r="O381" s="109"/>
      <c r="P381" s="109"/>
      <c r="Q381" s="109"/>
      <c r="R381" s="109"/>
      <c r="S381" s="109"/>
      <c r="T381" s="109"/>
      <c r="U381" s="109"/>
      <c r="V381" s="109"/>
      <c r="W381" s="109"/>
      <c r="X381" s="109"/>
      <c r="Y381" s="109"/>
      <c r="Z381" s="109"/>
    </row>
    <row r="382" ht="29.25" customHeight="1">
      <c r="A382" s="109"/>
      <c r="B382" s="109"/>
      <c r="C382" s="109"/>
      <c r="D382" s="109"/>
      <c r="E382" s="109"/>
      <c r="F382" s="109"/>
      <c r="G382" s="317"/>
      <c r="H382" s="109"/>
      <c r="I382" s="109"/>
      <c r="J382" s="109"/>
      <c r="K382" s="109"/>
      <c r="L382" s="109"/>
      <c r="M382" s="109"/>
      <c r="N382" s="109"/>
      <c r="O382" s="109"/>
      <c r="P382" s="109"/>
      <c r="Q382" s="109"/>
      <c r="R382" s="109"/>
      <c r="S382" s="109"/>
      <c r="T382" s="109"/>
      <c r="U382" s="109"/>
      <c r="V382" s="109"/>
      <c r="W382" s="109"/>
      <c r="X382" s="109"/>
      <c r="Y382" s="109"/>
      <c r="Z382" s="109"/>
    </row>
    <row r="383" ht="29.25" customHeight="1">
      <c r="A383" s="109"/>
      <c r="B383" s="109"/>
      <c r="C383" s="109"/>
      <c r="D383" s="109"/>
      <c r="E383" s="109"/>
      <c r="F383" s="109"/>
      <c r="G383" s="317"/>
      <c r="H383" s="109"/>
      <c r="I383" s="109"/>
      <c r="J383" s="109"/>
      <c r="K383" s="109"/>
      <c r="L383" s="109"/>
      <c r="M383" s="109"/>
      <c r="N383" s="109"/>
      <c r="O383" s="109"/>
      <c r="P383" s="109"/>
      <c r="Q383" s="109"/>
      <c r="R383" s="109"/>
      <c r="S383" s="109"/>
      <c r="T383" s="109"/>
      <c r="U383" s="109"/>
      <c r="V383" s="109"/>
      <c r="W383" s="109"/>
      <c r="X383" s="109"/>
      <c r="Y383" s="109"/>
      <c r="Z383" s="109"/>
    </row>
    <row r="384" ht="29.25" customHeight="1">
      <c r="A384" s="109"/>
      <c r="B384" s="109"/>
      <c r="C384" s="109"/>
      <c r="D384" s="109"/>
      <c r="E384" s="109"/>
      <c r="F384" s="109"/>
      <c r="G384" s="317"/>
      <c r="H384" s="109"/>
      <c r="I384" s="109"/>
      <c r="J384" s="109"/>
      <c r="K384" s="109"/>
      <c r="L384" s="109"/>
      <c r="M384" s="109"/>
      <c r="N384" s="109"/>
      <c r="O384" s="109"/>
      <c r="P384" s="109"/>
      <c r="Q384" s="109"/>
      <c r="R384" s="109"/>
      <c r="S384" s="109"/>
      <c r="T384" s="109"/>
      <c r="U384" s="109"/>
      <c r="V384" s="109"/>
      <c r="W384" s="109"/>
      <c r="X384" s="109"/>
      <c r="Y384" s="109"/>
      <c r="Z384" s="109"/>
    </row>
    <row r="385" ht="29.25" customHeight="1">
      <c r="A385" s="109"/>
      <c r="B385" s="109"/>
      <c r="C385" s="109"/>
      <c r="D385" s="109"/>
      <c r="E385" s="109"/>
      <c r="F385" s="109"/>
      <c r="G385" s="317"/>
      <c r="H385" s="109"/>
      <c r="I385" s="109"/>
      <c r="J385" s="109"/>
      <c r="K385" s="109"/>
      <c r="L385" s="109"/>
      <c r="M385" s="109"/>
      <c r="N385" s="109"/>
      <c r="O385" s="109"/>
      <c r="P385" s="109"/>
      <c r="Q385" s="109"/>
      <c r="R385" s="109"/>
      <c r="S385" s="109"/>
      <c r="T385" s="109"/>
      <c r="U385" s="109"/>
      <c r="V385" s="109"/>
      <c r="W385" s="109"/>
      <c r="X385" s="109"/>
      <c r="Y385" s="109"/>
      <c r="Z385" s="109"/>
    </row>
    <row r="386" ht="29.25" customHeight="1">
      <c r="A386" s="109"/>
      <c r="B386" s="109"/>
      <c r="C386" s="109"/>
      <c r="D386" s="109"/>
      <c r="E386" s="109"/>
      <c r="F386" s="109"/>
      <c r="G386" s="317"/>
      <c r="H386" s="109"/>
      <c r="I386" s="109"/>
      <c r="J386" s="109"/>
      <c r="K386" s="109"/>
      <c r="L386" s="109"/>
      <c r="M386" s="109"/>
      <c r="N386" s="109"/>
      <c r="O386" s="109"/>
      <c r="P386" s="109"/>
      <c r="Q386" s="109"/>
      <c r="R386" s="109"/>
      <c r="S386" s="109"/>
      <c r="T386" s="109"/>
      <c r="U386" s="109"/>
      <c r="V386" s="109"/>
      <c r="W386" s="109"/>
      <c r="X386" s="109"/>
      <c r="Y386" s="109"/>
      <c r="Z386" s="109"/>
    </row>
    <row r="387" ht="29.25" customHeight="1">
      <c r="A387" s="109"/>
      <c r="B387" s="109"/>
      <c r="C387" s="109"/>
      <c r="D387" s="109"/>
      <c r="E387" s="109"/>
      <c r="F387" s="109"/>
      <c r="G387" s="317"/>
      <c r="H387" s="109"/>
      <c r="I387" s="109"/>
      <c r="J387" s="109"/>
      <c r="K387" s="109"/>
      <c r="L387" s="109"/>
      <c r="M387" s="109"/>
      <c r="N387" s="109"/>
      <c r="O387" s="109"/>
      <c r="P387" s="109"/>
      <c r="Q387" s="109"/>
      <c r="R387" s="109"/>
      <c r="S387" s="109"/>
      <c r="T387" s="109"/>
      <c r="U387" s="109"/>
      <c r="V387" s="109"/>
      <c r="W387" s="109"/>
      <c r="X387" s="109"/>
      <c r="Y387" s="109"/>
      <c r="Z387" s="109"/>
    </row>
    <row r="388" ht="29.25" customHeight="1">
      <c r="A388" s="109"/>
      <c r="B388" s="109"/>
      <c r="C388" s="109"/>
      <c r="D388" s="109"/>
      <c r="E388" s="109"/>
      <c r="F388" s="109"/>
      <c r="G388" s="317"/>
      <c r="H388" s="109"/>
      <c r="I388" s="109"/>
      <c r="J388" s="109"/>
      <c r="K388" s="109"/>
      <c r="L388" s="109"/>
      <c r="M388" s="109"/>
      <c r="N388" s="109"/>
      <c r="O388" s="109"/>
      <c r="P388" s="109"/>
      <c r="Q388" s="109"/>
      <c r="R388" s="109"/>
      <c r="S388" s="109"/>
      <c r="T388" s="109"/>
      <c r="U388" s="109"/>
      <c r="V388" s="109"/>
      <c r="W388" s="109"/>
      <c r="X388" s="109"/>
      <c r="Y388" s="109"/>
      <c r="Z388" s="109"/>
    </row>
    <row r="389" ht="29.25" customHeight="1">
      <c r="A389" s="109"/>
      <c r="B389" s="109"/>
      <c r="C389" s="109"/>
      <c r="D389" s="109"/>
      <c r="E389" s="109"/>
      <c r="F389" s="109"/>
      <c r="G389" s="317"/>
      <c r="H389" s="109"/>
      <c r="I389" s="109"/>
      <c r="J389" s="109"/>
      <c r="K389" s="109"/>
      <c r="L389" s="109"/>
      <c r="M389" s="109"/>
      <c r="N389" s="109"/>
      <c r="O389" s="109"/>
      <c r="P389" s="109"/>
      <c r="Q389" s="109"/>
      <c r="R389" s="109"/>
      <c r="S389" s="109"/>
      <c r="T389" s="109"/>
      <c r="U389" s="109"/>
      <c r="V389" s="109"/>
      <c r="W389" s="109"/>
      <c r="X389" s="109"/>
      <c r="Y389" s="109"/>
      <c r="Z389" s="109"/>
    </row>
    <row r="390" ht="29.25" customHeight="1">
      <c r="A390" s="109"/>
      <c r="B390" s="109"/>
      <c r="C390" s="109"/>
      <c r="D390" s="109"/>
      <c r="E390" s="109"/>
      <c r="F390" s="109"/>
      <c r="G390" s="317"/>
      <c r="H390" s="109"/>
      <c r="I390" s="109"/>
      <c r="J390" s="109"/>
      <c r="K390" s="109"/>
      <c r="L390" s="109"/>
      <c r="M390" s="109"/>
      <c r="N390" s="109"/>
      <c r="O390" s="109"/>
      <c r="P390" s="109"/>
      <c r="Q390" s="109"/>
      <c r="R390" s="109"/>
      <c r="S390" s="109"/>
      <c r="T390" s="109"/>
      <c r="U390" s="109"/>
      <c r="V390" s="109"/>
      <c r="W390" s="109"/>
      <c r="X390" s="109"/>
      <c r="Y390" s="109"/>
      <c r="Z390" s="109"/>
    </row>
    <row r="391" ht="29.25" customHeight="1">
      <c r="A391" s="109"/>
      <c r="B391" s="109"/>
      <c r="C391" s="109"/>
      <c r="D391" s="109"/>
      <c r="E391" s="109"/>
      <c r="F391" s="109"/>
      <c r="G391" s="317"/>
      <c r="H391" s="109"/>
      <c r="I391" s="109"/>
      <c r="J391" s="109"/>
      <c r="K391" s="109"/>
      <c r="L391" s="109"/>
      <c r="M391" s="109"/>
      <c r="N391" s="109"/>
      <c r="O391" s="109"/>
      <c r="P391" s="109"/>
      <c r="Q391" s="109"/>
      <c r="R391" s="109"/>
      <c r="S391" s="109"/>
      <c r="T391" s="109"/>
      <c r="U391" s="109"/>
      <c r="V391" s="109"/>
      <c r="W391" s="109"/>
      <c r="X391" s="109"/>
      <c r="Y391" s="109"/>
      <c r="Z391" s="109"/>
    </row>
    <row r="392" ht="29.25" customHeight="1">
      <c r="A392" s="109"/>
      <c r="B392" s="109"/>
      <c r="C392" s="109"/>
      <c r="D392" s="109"/>
      <c r="E392" s="109"/>
      <c r="F392" s="109"/>
      <c r="G392" s="317"/>
      <c r="H392" s="109"/>
      <c r="I392" s="109"/>
      <c r="J392" s="109"/>
      <c r="K392" s="109"/>
      <c r="L392" s="109"/>
      <c r="M392" s="109"/>
      <c r="N392" s="109"/>
      <c r="O392" s="109"/>
      <c r="P392" s="109"/>
      <c r="Q392" s="109"/>
      <c r="R392" s="109"/>
      <c r="S392" s="109"/>
      <c r="T392" s="109"/>
      <c r="U392" s="109"/>
      <c r="V392" s="109"/>
      <c r="W392" s="109"/>
      <c r="X392" s="109"/>
      <c r="Y392" s="109"/>
      <c r="Z392" s="109"/>
    </row>
    <row r="393" ht="29.25" customHeight="1">
      <c r="A393" s="109"/>
      <c r="B393" s="109"/>
      <c r="C393" s="109"/>
      <c r="D393" s="109"/>
      <c r="E393" s="109"/>
      <c r="F393" s="109"/>
      <c r="G393" s="317"/>
      <c r="H393" s="109"/>
      <c r="I393" s="109"/>
      <c r="J393" s="109"/>
      <c r="K393" s="109"/>
      <c r="L393" s="109"/>
      <c r="M393" s="109"/>
      <c r="N393" s="109"/>
      <c r="O393" s="109"/>
      <c r="P393" s="109"/>
      <c r="Q393" s="109"/>
      <c r="R393" s="109"/>
      <c r="S393" s="109"/>
      <c r="T393" s="109"/>
      <c r="U393" s="109"/>
      <c r="V393" s="109"/>
      <c r="W393" s="109"/>
      <c r="X393" s="109"/>
      <c r="Y393" s="109"/>
      <c r="Z393" s="109"/>
    </row>
    <row r="394" ht="29.25" customHeight="1">
      <c r="A394" s="109"/>
      <c r="B394" s="109"/>
      <c r="C394" s="109"/>
      <c r="D394" s="109"/>
      <c r="E394" s="109"/>
      <c r="F394" s="109"/>
      <c r="G394" s="317"/>
      <c r="H394" s="109"/>
      <c r="I394" s="109"/>
      <c r="J394" s="109"/>
      <c r="K394" s="109"/>
      <c r="L394" s="109"/>
      <c r="M394" s="109"/>
      <c r="N394" s="109"/>
      <c r="O394" s="109"/>
      <c r="P394" s="109"/>
      <c r="Q394" s="109"/>
      <c r="R394" s="109"/>
      <c r="S394" s="109"/>
      <c r="T394" s="109"/>
      <c r="U394" s="109"/>
      <c r="V394" s="109"/>
      <c r="W394" s="109"/>
      <c r="X394" s="109"/>
      <c r="Y394" s="109"/>
      <c r="Z394" s="109"/>
    </row>
    <row r="395" ht="29.25" customHeight="1">
      <c r="A395" s="109"/>
      <c r="B395" s="109"/>
      <c r="C395" s="109"/>
      <c r="D395" s="109"/>
      <c r="E395" s="109"/>
      <c r="F395" s="109"/>
      <c r="G395" s="317"/>
      <c r="H395" s="109"/>
      <c r="I395" s="109"/>
      <c r="J395" s="109"/>
      <c r="K395" s="109"/>
      <c r="L395" s="109"/>
      <c r="M395" s="109"/>
      <c r="N395" s="109"/>
      <c r="O395" s="109"/>
      <c r="P395" s="109"/>
      <c r="Q395" s="109"/>
      <c r="R395" s="109"/>
      <c r="S395" s="109"/>
      <c r="T395" s="109"/>
      <c r="U395" s="109"/>
      <c r="V395" s="109"/>
      <c r="W395" s="109"/>
      <c r="X395" s="109"/>
      <c r="Y395" s="109"/>
      <c r="Z395" s="109"/>
    </row>
    <row r="396" ht="29.25" customHeight="1">
      <c r="A396" s="109"/>
      <c r="B396" s="109"/>
      <c r="C396" s="109"/>
      <c r="D396" s="109"/>
      <c r="E396" s="109"/>
      <c r="F396" s="109"/>
      <c r="G396" s="317"/>
      <c r="H396" s="109"/>
      <c r="I396" s="109"/>
      <c r="J396" s="109"/>
      <c r="K396" s="109"/>
      <c r="L396" s="109"/>
      <c r="M396" s="109"/>
      <c r="N396" s="109"/>
      <c r="O396" s="109"/>
      <c r="P396" s="109"/>
      <c r="Q396" s="109"/>
      <c r="R396" s="109"/>
      <c r="S396" s="109"/>
      <c r="T396" s="109"/>
      <c r="U396" s="109"/>
      <c r="V396" s="109"/>
      <c r="W396" s="109"/>
      <c r="X396" s="109"/>
      <c r="Y396" s="109"/>
      <c r="Z396" s="109"/>
    </row>
    <row r="397" ht="29.25" customHeight="1">
      <c r="A397" s="109"/>
      <c r="B397" s="109"/>
      <c r="C397" s="109"/>
      <c r="D397" s="109"/>
      <c r="E397" s="109"/>
      <c r="F397" s="109"/>
      <c r="G397" s="317"/>
      <c r="H397" s="109"/>
      <c r="I397" s="109"/>
      <c r="J397" s="109"/>
      <c r="K397" s="109"/>
      <c r="L397" s="109"/>
      <c r="M397" s="109"/>
      <c r="N397" s="109"/>
      <c r="O397" s="109"/>
      <c r="P397" s="109"/>
      <c r="Q397" s="109"/>
      <c r="R397" s="109"/>
      <c r="S397" s="109"/>
      <c r="T397" s="109"/>
      <c r="U397" s="109"/>
      <c r="V397" s="109"/>
      <c r="W397" s="109"/>
      <c r="X397" s="109"/>
      <c r="Y397" s="109"/>
      <c r="Z397" s="109"/>
    </row>
    <row r="398" ht="29.25" customHeight="1">
      <c r="A398" s="109"/>
      <c r="B398" s="109"/>
      <c r="C398" s="109"/>
      <c r="D398" s="109"/>
      <c r="E398" s="109"/>
      <c r="F398" s="109"/>
      <c r="G398" s="317"/>
      <c r="H398" s="109"/>
      <c r="I398" s="109"/>
      <c r="J398" s="109"/>
      <c r="K398" s="109"/>
      <c r="L398" s="109"/>
      <c r="M398" s="109"/>
      <c r="N398" s="109"/>
      <c r="O398" s="109"/>
      <c r="P398" s="109"/>
      <c r="Q398" s="109"/>
      <c r="R398" s="109"/>
      <c r="S398" s="109"/>
      <c r="T398" s="109"/>
      <c r="U398" s="109"/>
      <c r="V398" s="109"/>
      <c r="W398" s="109"/>
      <c r="X398" s="109"/>
      <c r="Y398" s="109"/>
      <c r="Z398" s="109"/>
    </row>
    <row r="399" ht="29.25" customHeight="1">
      <c r="A399" s="109"/>
      <c r="B399" s="109"/>
      <c r="C399" s="109"/>
      <c r="D399" s="109"/>
      <c r="E399" s="109"/>
      <c r="F399" s="109"/>
      <c r="G399" s="317"/>
      <c r="H399" s="109"/>
      <c r="I399" s="109"/>
      <c r="J399" s="109"/>
      <c r="K399" s="109"/>
      <c r="L399" s="109"/>
      <c r="M399" s="109"/>
      <c r="N399" s="109"/>
      <c r="O399" s="109"/>
      <c r="P399" s="109"/>
      <c r="Q399" s="109"/>
      <c r="R399" s="109"/>
      <c r="S399" s="109"/>
      <c r="T399" s="109"/>
      <c r="U399" s="109"/>
      <c r="V399" s="109"/>
      <c r="W399" s="109"/>
      <c r="X399" s="109"/>
      <c r="Y399" s="109"/>
      <c r="Z399" s="109"/>
    </row>
    <row r="400" ht="29.25" customHeight="1">
      <c r="A400" s="109"/>
      <c r="B400" s="109"/>
      <c r="C400" s="109"/>
      <c r="D400" s="109"/>
      <c r="E400" s="109"/>
      <c r="F400" s="109"/>
      <c r="G400" s="317"/>
      <c r="H400" s="109"/>
      <c r="I400" s="109"/>
      <c r="J400" s="109"/>
      <c r="K400" s="109"/>
      <c r="L400" s="109"/>
      <c r="M400" s="109"/>
      <c r="N400" s="109"/>
      <c r="O400" s="109"/>
      <c r="P400" s="109"/>
      <c r="Q400" s="109"/>
      <c r="R400" s="109"/>
      <c r="S400" s="109"/>
      <c r="T400" s="109"/>
      <c r="U400" s="109"/>
      <c r="V400" s="109"/>
      <c r="W400" s="109"/>
      <c r="X400" s="109"/>
      <c r="Y400" s="109"/>
      <c r="Z400" s="109"/>
    </row>
    <row r="401" ht="29.25" customHeight="1">
      <c r="A401" s="109"/>
      <c r="B401" s="109"/>
      <c r="C401" s="109"/>
      <c r="D401" s="109"/>
      <c r="E401" s="109"/>
      <c r="F401" s="109"/>
      <c r="G401" s="317"/>
      <c r="H401" s="109"/>
      <c r="I401" s="109"/>
      <c r="J401" s="109"/>
      <c r="K401" s="109"/>
      <c r="L401" s="109"/>
      <c r="M401" s="109"/>
      <c r="N401" s="109"/>
      <c r="O401" s="109"/>
      <c r="P401" s="109"/>
      <c r="Q401" s="109"/>
      <c r="R401" s="109"/>
      <c r="S401" s="109"/>
      <c r="T401" s="109"/>
      <c r="U401" s="109"/>
      <c r="V401" s="109"/>
      <c r="W401" s="109"/>
      <c r="X401" s="109"/>
      <c r="Y401" s="109"/>
      <c r="Z401" s="109"/>
    </row>
    <row r="402" ht="29.25" customHeight="1">
      <c r="A402" s="109"/>
      <c r="B402" s="109"/>
      <c r="C402" s="109"/>
      <c r="D402" s="109"/>
      <c r="E402" s="109"/>
      <c r="F402" s="109"/>
      <c r="G402" s="317"/>
      <c r="H402" s="109"/>
      <c r="I402" s="109"/>
      <c r="J402" s="109"/>
      <c r="K402" s="109"/>
      <c r="L402" s="109"/>
      <c r="M402" s="109"/>
      <c r="N402" s="109"/>
      <c r="O402" s="109"/>
      <c r="P402" s="109"/>
      <c r="Q402" s="109"/>
      <c r="R402" s="109"/>
      <c r="S402" s="109"/>
      <c r="T402" s="109"/>
      <c r="U402" s="109"/>
      <c r="V402" s="109"/>
      <c r="W402" s="109"/>
      <c r="X402" s="109"/>
      <c r="Y402" s="109"/>
      <c r="Z402" s="109"/>
    </row>
    <row r="403" ht="29.25" customHeight="1">
      <c r="A403" s="109"/>
      <c r="B403" s="109"/>
      <c r="C403" s="109"/>
      <c r="D403" s="109"/>
      <c r="E403" s="109"/>
      <c r="F403" s="109"/>
      <c r="G403" s="317"/>
      <c r="H403" s="109"/>
      <c r="I403" s="109"/>
      <c r="J403" s="109"/>
      <c r="K403" s="109"/>
      <c r="L403" s="109"/>
      <c r="M403" s="109"/>
      <c r="N403" s="109"/>
      <c r="O403" s="109"/>
      <c r="P403" s="109"/>
      <c r="Q403" s="109"/>
      <c r="R403" s="109"/>
      <c r="S403" s="109"/>
      <c r="T403" s="109"/>
      <c r="U403" s="109"/>
      <c r="V403" s="109"/>
      <c r="W403" s="109"/>
      <c r="X403" s="109"/>
      <c r="Y403" s="109"/>
      <c r="Z403" s="109"/>
    </row>
    <row r="404" ht="29.25" customHeight="1">
      <c r="A404" s="109"/>
      <c r="B404" s="109"/>
      <c r="C404" s="109"/>
      <c r="D404" s="109"/>
      <c r="E404" s="109"/>
      <c r="F404" s="109"/>
      <c r="G404" s="317"/>
      <c r="H404" s="109"/>
      <c r="I404" s="109"/>
      <c r="J404" s="109"/>
      <c r="K404" s="109"/>
      <c r="L404" s="109"/>
      <c r="M404" s="109"/>
      <c r="N404" s="109"/>
      <c r="O404" s="109"/>
      <c r="P404" s="109"/>
      <c r="Q404" s="109"/>
      <c r="R404" s="109"/>
      <c r="S404" s="109"/>
      <c r="T404" s="109"/>
      <c r="U404" s="109"/>
      <c r="V404" s="109"/>
      <c r="W404" s="109"/>
      <c r="X404" s="109"/>
      <c r="Y404" s="109"/>
      <c r="Z404" s="109"/>
    </row>
    <row r="405" ht="29.25" customHeight="1">
      <c r="A405" s="109"/>
      <c r="B405" s="109"/>
      <c r="C405" s="109"/>
      <c r="D405" s="109"/>
      <c r="E405" s="109"/>
      <c r="F405" s="109"/>
      <c r="G405" s="317"/>
      <c r="H405" s="109"/>
      <c r="I405" s="109"/>
      <c r="J405" s="109"/>
      <c r="K405" s="109"/>
      <c r="L405" s="109"/>
      <c r="M405" s="109"/>
      <c r="N405" s="109"/>
      <c r="O405" s="109"/>
      <c r="P405" s="109"/>
      <c r="Q405" s="109"/>
      <c r="R405" s="109"/>
      <c r="S405" s="109"/>
      <c r="T405" s="109"/>
      <c r="U405" s="109"/>
      <c r="V405" s="109"/>
      <c r="W405" s="109"/>
      <c r="X405" s="109"/>
      <c r="Y405" s="109"/>
      <c r="Z405" s="109"/>
    </row>
    <row r="406" ht="29.25" customHeight="1">
      <c r="A406" s="109"/>
      <c r="B406" s="109"/>
      <c r="C406" s="109"/>
      <c r="D406" s="109"/>
      <c r="E406" s="109"/>
      <c r="F406" s="109"/>
      <c r="G406" s="317"/>
      <c r="H406" s="109"/>
      <c r="I406" s="109"/>
      <c r="J406" s="109"/>
      <c r="K406" s="109"/>
      <c r="L406" s="109"/>
      <c r="M406" s="109"/>
      <c r="N406" s="109"/>
      <c r="O406" s="109"/>
      <c r="P406" s="109"/>
      <c r="Q406" s="109"/>
      <c r="R406" s="109"/>
      <c r="S406" s="109"/>
      <c r="T406" s="109"/>
      <c r="U406" s="109"/>
      <c r="V406" s="109"/>
      <c r="W406" s="109"/>
      <c r="X406" s="109"/>
      <c r="Y406" s="109"/>
      <c r="Z406" s="109"/>
    </row>
    <row r="407" ht="29.25" customHeight="1">
      <c r="A407" s="109"/>
      <c r="B407" s="109"/>
      <c r="C407" s="109"/>
      <c r="D407" s="109"/>
      <c r="E407" s="109"/>
      <c r="F407" s="109"/>
      <c r="G407" s="317"/>
      <c r="H407" s="109"/>
      <c r="I407" s="109"/>
      <c r="J407" s="109"/>
      <c r="K407" s="109"/>
      <c r="L407" s="109"/>
      <c r="M407" s="109"/>
      <c r="N407" s="109"/>
      <c r="O407" s="109"/>
      <c r="P407" s="109"/>
      <c r="Q407" s="109"/>
      <c r="R407" s="109"/>
      <c r="S407" s="109"/>
      <c r="T407" s="109"/>
      <c r="U407" s="109"/>
      <c r="V407" s="109"/>
      <c r="W407" s="109"/>
      <c r="X407" s="109"/>
      <c r="Y407" s="109"/>
      <c r="Z407" s="109"/>
    </row>
    <row r="408" ht="29.25" customHeight="1">
      <c r="A408" s="109"/>
      <c r="B408" s="109"/>
      <c r="C408" s="109"/>
      <c r="D408" s="109"/>
      <c r="E408" s="109"/>
      <c r="F408" s="109"/>
      <c r="G408" s="317"/>
      <c r="H408" s="109"/>
      <c r="I408" s="109"/>
      <c r="J408" s="109"/>
      <c r="K408" s="109"/>
      <c r="L408" s="109"/>
      <c r="M408" s="109"/>
      <c r="N408" s="109"/>
      <c r="O408" s="109"/>
      <c r="P408" s="109"/>
      <c r="Q408" s="109"/>
      <c r="R408" s="109"/>
      <c r="S408" s="109"/>
      <c r="T408" s="109"/>
      <c r="U408" s="109"/>
      <c r="V408" s="109"/>
      <c r="W408" s="109"/>
      <c r="X408" s="109"/>
      <c r="Y408" s="109"/>
      <c r="Z408" s="109"/>
    </row>
    <row r="409" ht="29.25" customHeight="1">
      <c r="A409" s="109"/>
      <c r="B409" s="109"/>
      <c r="C409" s="109"/>
      <c r="D409" s="109"/>
      <c r="E409" s="109"/>
      <c r="F409" s="109"/>
      <c r="G409" s="317"/>
      <c r="H409" s="109"/>
      <c r="I409" s="109"/>
      <c r="J409" s="109"/>
      <c r="K409" s="109"/>
      <c r="L409" s="109"/>
      <c r="M409" s="109"/>
      <c r="N409" s="109"/>
      <c r="O409" s="109"/>
      <c r="P409" s="109"/>
      <c r="Q409" s="109"/>
      <c r="R409" s="109"/>
      <c r="S409" s="109"/>
      <c r="T409" s="109"/>
      <c r="U409" s="109"/>
      <c r="V409" s="109"/>
      <c r="W409" s="109"/>
      <c r="X409" s="109"/>
      <c r="Y409" s="109"/>
      <c r="Z409" s="109"/>
    </row>
    <row r="410" ht="29.25" customHeight="1">
      <c r="A410" s="109"/>
      <c r="B410" s="109"/>
      <c r="C410" s="109"/>
      <c r="D410" s="109"/>
      <c r="E410" s="109"/>
      <c r="F410" s="109"/>
      <c r="G410" s="317"/>
      <c r="H410" s="109"/>
      <c r="I410" s="109"/>
      <c r="J410" s="109"/>
      <c r="K410" s="109"/>
      <c r="L410" s="109"/>
      <c r="M410" s="109"/>
      <c r="N410" s="109"/>
      <c r="O410" s="109"/>
      <c r="P410" s="109"/>
      <c r="Q410" s="109"/>
      <c r="R410" s="109"/>
      <c r="S410" s="109"/>
      <c r="T410" s="109"/>
      <c r="U410" s="109"/>
      <c r="V410" s="109"/>
      <c r="W410" s="109"/>
      <c r="X410" s="109"/>
      <c r="Y410" s="109"/>
      <c r="Z410" s="109"/>
    </row>
    <row r="411" ht="29.25" customHeight="1">
      <c r="A411" s="109"/>
      <c r="B411" s="109"/>
      <c r="C411" s="109"/>
      <c r="D411" s="109"/>
      <c r="E411" s="109"/>
      <c r="F411" s="109"/>
      <c r="G411" s="317"/>
      <c r="H411" s="109"/>
      <c r="I411" s="109"/>
      <c r="J411" s="109"/>
      <c r="K411" s="109"/>
      <c r="L411" s="109"/>
      <c r="M411" s="109"/>
      <c r="N411" s="109"/>
      <c r="O411" s="109"/>
      <c r="P411" s="109"/>
      <c r="Q411" s="109"/>
      <c r="R411" s="109"/>
      <c r="S411" s="109"/>
      <c r="T411" s="109"/>
      <c r="U411" s="109"/>
      <c r="V411" s="109"/>
      <c r="W411" s="109"/>
      <c r="X411" s="109"/>
      <c r="Y411" s="109"/>
      <c r="Z411" s="109"/>
    </row>
    <row r="412" ht="29.25" customHeight="1">
      <c r="A412" s="109"/>
      <c r="B412" s="109"/>
      <c r="C412" s="109"/>
      <c r="D412" s="109"/>
      <c r="E412" s="109"/>
      <c r="F412" s="109"/>
      <c r="G412" s="317"/>
      <c r="H412" s="109"/>
      <c r="I412" s="109"/>
      <c r="J412" s="109"/>
      <c r="K412" s="109"/>
      <c r="L412" s="109"/>
      <c r="M412" s="109"/>
      <c r="N412" s="109"/>
      <c r="O412" s="109"/>
      <c r="P412" s="109"/>
      <c r="Q412" s="109"/>
      <c r="R412" s="109"/>
      <c r="S412" s="109"/>
      <c r="T412" s="109"/>
      <c r="U412" s="109"/>
      <c r="V412" s="109"/>
      <c r="W412" s="109"/>
      <c r="X412" s="109"/>
      <c r="Y412" s="109"/>
      <c r="Z412" s="109"/>
    </row>
    <row r="413" ht="29.25" customHeight="1">
      <c r="A413" s="109"/>
      <c r="B413" s="109"/>
      <c r="C413" s="109"/>
      <c r="D413" s="109"/>
      <c r="E413" s="109"/>
      <c r="F413" s="109"/>
      <c r="G413" s="317"/>
      <c r="H413" s="109"/>
      <c r="I413" s="109"/>
      <c r="J413" s="109"/>
      <c r="K413" s="109"/>
      <c r="L413" s="109"/>
      <c r="M413" s="109"/>
      <c r="N413" s="109"/>
      <c r="O413" s="109"/>
      <c r="P413" s="109"/>
      <c r="Q413" s="109"/>
      <c r="R413" s="109"/>
      <c r="S413" s="109"/>
      <c r="T413" s="109"/>
      <c r="U413" s="109"/>
      <c r="V413" s="109"/>
      <c r="W413" s="109"/>
      <c r="X413" s="109"/>
      <c r="Y413" s="109"/>
      <c r="Z413" s="109"/>
    </row>
    <row r="414" ht="29.25" customHeight="1">
      <c r="A414" s="109"/>
      <c r="B414" s="109"/>
      <c r="C414" s="109"/>
      <c r="D414" s="109"/>
      <c r="E414" s="109"/>
      <c r="F414" s="109"/>
      <c r="G414" s="317"/>
      <c r="H414" s="109"/>
      <c r="I414" s="109"/>
      <c r="J414" s="109"/>
      <c r="K414" s="109"/>
      <c r="L414" s="109"/>
      <c r="M414" s="109"/>
      <c r="N414" s="109"/>
      <c r="O414" s="109"/>
      <c r="P414" s="109"/>
      <c r="Q414" s="109"/>
      <c r="R414" s="109"/>
      <c r="S414" s="109"/>
      <c r="T414" s="109"/>
      <c r="U414" s="109"/>
      <c r="V414" s="109"/>
      <c r="W414" s="109"/>
      <c r="X414" s="109"/>
      <c r="Y414" s="109"/>
      <c r="Z414" s="109"/>
    </row>
    <row r="415" ht="29.25" customHeight="1">
      <c r="A415" s="109"/>
      <c r="B415" s="109"/>
      <c r="C415" s="109"/>
      <c r="D415" s="109"/>
      <c r="E415" s="109"/>
      <c r="F415" s="109"/>
      <c r="G415" s="317"/>
      <c r="H415" s="109"/>
      <c r="I415" s="109"/>
      <c r="J415" s="109"/>
      <c r="K415" s="109"/>
      <c r="L415" s="109"/>
      <c r="M415" s="109"/>
      <c r="N415" s="109"/>
      <c r="O415" s="109"/>
      <c r="P415" s="109"/>
      <c r="Q415" s="109"/>
      <c r="R415" s="109"/>
      <c r="S415" s="109"/>
      <c r="T415" s="109"/>
      <c r="U415" s="109"/>
      <c r="V415" s="109"/>
      <c r="W415" s="109"/>
      <c r="X415" s="109"/>
      <c r="Y415" s="109"/>
      <c r="Z415" s="109"/>
    </row>
    <row r="416" ht="29.25" customHeight="1">
      <c r="A416" s="109"/>
      <c r="B416" s="109"/>
      <c r="C416" s="109"/>
      <c r="D416" s="109"/>
      <c r="E416" s="109"/>
      <c r="F416" s="109"/>
      <c r="G416" s="317"/>
      <c r="H416" s="109"/>
      <c r="I416" s="109"/>
      <c r="J416" s="109"/>
      <c r="K416" s="109"/>
      <c r="L416" s="109"/>
      <c r="M416" s="109"/>
      <c r="N416" s="109"/>
      <c r="O416" s="109"/>
      <c r="P416" s="109"/>
      <c r="Q416" s="109"/>
      <c r="R416" s="109"/>
      <c r="S416" s="109"/>
      <c r="T416" s="109"/>
      <c r="U416" s="109"/>
      <c r="V416" s="109"/>
      <c r="W416" s="109"/>
      <c r="X416" s="109"/>
      <c r="Y416" s="109"/>
      <c r="Z416" s="109"/>
    </row>
    <row r="417" ht="29.25" customHeight="1">
      <c r="A417" s="109"/>
      <c r="B417" s="109"/>
      <c r="C417" s="109"/>
      <c r="D417" s="109"/>
      <c r="E417" s="109"/>
      <c r="F417" s="109"/>
      <c r="G417" s="317"/>
      <c r="H417" s="109"/>
      <c r="I417" s="109"/>
      <c r="J417" s="109"/>
      <c r="K417" s="109"/>
      <c r="L417" s="109"/>
      <c r="M417" s="109"/>
      <c r="N417" s="109"/>
      <c r="O417" s="109"/>
      <c r="P417" s="109"/>
      <c r="Q417" s="109"/>
      <c r="R417" s="109"/>
      <c r="S417" s="109"/>
      <c r="T417" s="109"/>
      <c r="U417" s="109"/>
      <c r="V417" s="109"/>
      <c r="W417" s="109"/>
      <c r="X417" s="109"/>
      <c r="Y417" s="109"/>
      <c r="Z417" s="109"/>
    </row>
    <row r="418" ht="29.25" customHeight="1">
      <c r="A418" s="109"/>
      <c r="B418" s="109"/>
      <c r="C418" s="109"/>
      <c r="D418" s="109"/>
      <c r="E418" s="109"/>
      <c r="F418" s="109"/>
      <c r="G418" s="317"/>
      <c r="H418" s="109"/>
      <c r="I418" s="109"/>
      <c r="J418" s="109"/>
      <c r="K418" s="109"/>
      <c r="L418" s="109"/>
      <c r="M418" s="109"/>
      <c r="N418" s="109"/>
      <c r="O418" s="109"/>
      <c r="P418" s="109"/>
      <c r="Q418" s="109"/>
      <c r="R418" s="109"/>
      <c r="S418" s="109"/>
      <c r="T418" s="109"/>
      <c r="U418" s="109"/>
      <c r="V418" s="109"/>
      <c r="W418" s="109"/>
      <c r="X418" s="109"/>
      <c r="Y418" s="109"/>
      <c r="Z418" s="109"/>
    </row>
    <row r="419" ht="29.25" customHeight="1">
      <c r="A419" s="109"/>
      <c r="B419" s="109"/>
      <c r="C419" s="109"/>
      <c r="D419" s="109"/>
      <c r="E419" s="109"/>
      <c r="F419" s="109"/>
      <c r="G419" s="317"/>
      <c r="H419" s="109"/>
      <c r="I419" s="109"/>
      <c r="J419" s="109"/>
      <c r="K419" s="109"/>
      <c r="L419" s="109"/>
      <c r="M419" s="109"/>
      <c r="N419" s="109"/>
      <c r="O419" s="109"/>
      <c r="P419" s="109"/>
      <c r="Q419" s="109"/>
      <c r="R419" s="109"/>
      <c r="S419" s="109"/>
      <c r="T419" s="109"/>
      <c r="U419" s="109"/>
      <c r="V419" s="109"/>
      <c r="W419" s="109"/>
      <c r="X419" s="109"/>
      <c r="Y419" s="109"/>
      <c r="Z419" s="109"/>
    </row>
    <row r="420" ht="29.25" customHeight="1">
      <c r="A420" s="109"/>
      <c r="B420" s="109"/>
      <c r="C420" s="109"/>
      <c r="D420" s="109"/>
      <c r="E420" s="109"/>
      <c r="F420" s="109"/>
      <c r="G420" s="317"/>
      <c r="H420" s="109"/>
      <c r="I420" s="109"/>
      <c r="J420" s="109"/>
      <c r="K420" s="109"/>
      <c r="L420" s="109"/>
      <c r="M420" s="109"/>
      <c r="N420" s="109"/>
      <c r="O420" s="109"/>
      <c r="P420" s="109"/>
      <c r="Q420" s="109"/>
      <c r="R420" s="109"/>
      <c r="S420" s="109"/>
      <c r="T420" s="109"/>
      <c r="U420" s="109"/>
      <c r="V420" s="109"/>
      <c r="W420" s="109"/>
      <c r="X420" s="109"/>
      <c r="Y420" s="109"/>
      <c r="Z420" s="109"/>
    </row>
    <row r="421" ht="29.25" customHeight="1">
      <c r="A421" s="109"/>
      <c r="B421" s="109"/>
      <c r="C421" s="109"/>
      <c r="D421" s="109"/>
      <c r="E421" s="109"/>
      <c r="F421" s="109"/>
      <c r="G421" s="317"/>
      <c r="H421" s="109"/>
      <c r="I421" s="109"/>
      <c r="J421" s="109"/>
      <c r="K421" s="109"/>
      <c r="L421" s="109"/>
      <c r="M421" s="109"/>
      <c r="N421" s="109"/>
      <c r="O421" s="109"/>
      <c r="P421" s="109"/>
      <c r="Q421" s="109"/>
      <c r="R421" s="109"/>
      <c r="S421" s="109"/>
      <c r="T421" s="109"/>
      <c r="U421" s="109"/>
      <c r="V421" s="109"/>
      <c r="W421" s="109"/>
      <c r="X421" s="109"/>
      <c r="Y421" s="109"/>
      <c r="Z421" s="109"/>
    </row>
    <row r="422" ht="29.25" customHeight="1">
      <c r="A422" s="109"/>
      <c r="B422" s="109"/>
      <c r="C422" s="109"/>
      <c r="D422" s="109"/>
      <c r="E422" s="109"/>
      <c r="F422" s="109"/>
      <c r="G422" s="317"/>
      <c r="H422" s="109"/>
      <c r="I422" s="109"/>
      <c r="J422" s="109"/>
      <c r="K422" s="109"/>
      <c r="L422" s="109"/>
      <c r="M422" s="109"/>
      <c r="N422" s="109"/>
      <c r="O422" s="109"/>
      <c r="P422" s="109"/>
      <c r="Q422" s="109"/>
      <c r="R422" s="109"/>
      <c r="S422" s="109"/>
      <c r="T422" s="109"/>
      <c r="U422" s="109"/>
      <c r="V422" s="109"/>
      <c r="W422" s="109"/>
      <c r="X422" s="109"/>
      <c r="Y422" s="109"/>
      <c r="Z422" s="109"/>
    </row>
    <row r="423" ht="29.25" customHeight="1">
      <c r="A423" s="109"/>
      <c r="B423" s="109"/>
      <c r="C423" s="109"/>
      <c r="D423" s="109"/>
      <c r="E423" s="109"/>
      <c r="F423" s="109"/>
      <c r="G423" s="317"/>
      <c r="H423" s="109"/>
      <c r="I423" s="109"/>
      <c r="J423" s="109"/>
      <c r="K423" s="109"/>
      <c r="L423" s="109"/>
      <c r="M423" s="109"/>
      <c r="N423" s="109"/>
      <c r="O423" s="109"/>
      <c r="P423" s="109"/>
      <c r="Q423" s="109"/>
      <c r="R423" s="109"/>
      <c r="S423" s="109"/>
      <c r="T423" s="109"/>
      <c r="U423" s="109"/>
      <c r="V423" s="109"/>
      <c r="W423" s="109"/>
      <c r="X423" s="109"/>
      <c r="Y423" s="109"/>
      <c r="Z423" s="109"/>
    </row>
    <row r="424" ht="29.25" customHeight="1">
      <c r="A424" s="109"/>
      <c r="B424" s="109"/>
      <c r="C424" s="109"/>
      <c r="D424" s="109"/>
      <c r="E424" s="109"/>
      <c r="F424" s="109"/>
      <c r="G424" s="317"/>
      <c r="H424" s="109"/>
      <c r="I424" s="109"/>
      <c r="J424" s="109"/>
      <c r="K424" s="109"/>
      <c r="L424" s="109"/>
      <c r="M424" s="109"/>
      <c r="N424" s="109"/>
      <c r="O424" s="109"/>
      <c r="P424" s="109"/>
      <c r="Q424" s="109"/>
      <c r="R424" s="109"/>
      <c r="S424" s="109"/>
      <c r="T424" s="109"/>
      <c r="U424" s="109"/>
      <c r="V424" s="109"/>
      <c r="W424" s="109"/>
      <c r="X424" s="109"/>
      <c r="Y424" s="109"/>
      <c r="Z424" s="109"/>
    </row>
    <row r="425" ht="29.25" customHeight="1">
      <c r="A425" s="109"/>
      <c r="B425" s="109"/>
      <c r="C425" s="109"/>
      <c r="D425" s="109"/>
      <c r="E425" s="109"/>
      <c r="F425" s="109"/>
      <c r="G425" s="317"/>
      <c r="H425" s="109"/>
      <c r="I425" s="109"/>
      <c r="J425" s="109"/>
      <c r="K425" s="109"/>
      <c r="L425" s="109"/>
      <c r="M425" s="109"/>
      <c r="N425" s="109"/>
      <c r="O425" s="109"/>
      <c r="P425" s="109"/>
      <c r="Q425" s="109"/>
      <c r="R425" s="109"/>
      <c r="S425" s="109"/>
      <c r="T425" s="109"/>
      <c r="U425" s="109"/>
      <c r="V425" s="109"/>
      <c r="W425" s="109"/>
      <c r="X425" s="109"/>
      <c r="Y425" s="109"/>
      <c r="Z425" s="109"/>
    </row>
    <row r="426" ht="29.25" customHeight="1">
      <c r="A426" s="109"/>
      <c r="B426" s="109"/>
      <c r="C426" s="109"/>
      <c r="D426" s="109"/>
      <c r="E426" s="109"/>
      <c r="F426" s="109"/>
      <c r="G426" s="317"/>
      <c r="H426" s="109"/>
      <c r="I426" s="109"/>
      <c r="J426" s="109"/>
      <c r="K426" s="109"/>
      <c r="L426" s="109"/>
      <c r="M426" s="109"/>
      <c r="N426" s="109"/>
      <c r="O426" s="109"/>
      <c r="P426" s="109"/>
      <c r="Q426" s="109"/>
      <c r="R426" s="109"/>
      <c r="S426" s="109"/>
      <c r="T426" s="109"/>
      <c r="U426" s="109"/>
      <c r="V426" s="109"/>
      <c r="W426" s="109"/>
      <c r="X426" s="109"/>
      <c r="Y426" s="109"/>
      <c r="Z426" s="109"/>
    </row>
    <row r="427" ht="29.25" customHeight="1">
      <c r="A427" s="109"/>
      <c r="B427" s="109"/>
      <c r="C427" s="109"/>
      <c r="D427" s="109"/>
      <c r="E427" s="109"/>
      <c r="F427" s="109"/>
      <c r="G427" s="317"/>
      <c r="H427" s="109"/>
      <c r="I427" s="109"/>
      <c r="J427" s="109"/>
      <c r="K427" s="109"/>
      <c r="L427" s="109"/>
      <c r="M427" s="109"/>
      <c r="N427" s="109"/>
      <c r="O427" s="109"/>
      <c r="P427" s="109"/>
      <c r="Q427" s="109"/>
      <c r="R427" s="109"/>
      <c r="S427" s="109"/>
      <c r="T427" s="109"/>
      <c r="U427" s="109"/>
      <c r="V427" s="109"/>
      <c r="W427" s="109"/>
      <c r="X427" s="109"/>
      <c r="Y427" s="109"/>
      <c r="Z427" s="109"/>
    </row>
    <row r="428" ht="29.25" customHeight="1">
      <c r="A428" s="109"/>
      <c r="B428" s="109"/>
      <c r="C428" s="109"/>
      <c r="D428" s="109"/>
      <c r="E428" s="109"/>
      <c r="F428" s="109"/>
      <c r="G428" s="317"/>
      <c r="H428" s="109"/>
      <c r="I428" s="109"/>
      <c r="J428" s="109"/>
      <c r="K428" s="109"/>
      <c r="L428" s="109"/>
      <c r="M428" s="109"/>
      <c r="N428" s="109"/>
      <c r="O428" s="109"/>
      <c r="P428" s="109"/>
      <c r="Q428" s="109"/>
      <c r="R428" s="109"/>
      <c r="S428" s="109"/>
      <c r="T428" s="109"/>
      <c r="U428" s="109"/>
      <c r="V428" s="109"/>
      <c r="W428" s="109"/>
      <c r="X428" s="109"/>
      <c r="Y428" s="109"/>
      <c r="Z428" s="109"/>
    </row>
    <row r="429" ht="29.25" customHeight="1">
      <c r="A429" s="109"/>
      <c r="B429" s="109"/>
      <c r="C429" s="109"/>
      <c r="D429" s="109"/>
      <c r="E429" s="109"/>
      <c r="F429" s="109"/>
      <c r="G429" s="317"/>
      <c r="H429" s="109"/>
      <c r="I429" s="109"/>
      <c r="J429" s="109"/>
      <c r="K429" s="109"/>
      <c r="L429" s="109"/>
      <c r="M429" s="109"/>
      <c r="N429" s="109"/>
      <c r="O429" s="109"/>
      <c r="P429" s="109"/>
      <c r="Q429" s="109"/>
      <c r="R429" s="109"/>
      <c r="S429" s="109"/>
      <c r="T429" s="109"/>
      <c r="U429" s="109"/>
      <c r="V429" s="109"/>
      <c r="W429" s="109"/>
      <c r="X429" s="109"/>
      <c r="Y429" s="109"/>
      <c r="Z429" s="109"/>
    </row>
    <row r="430" ht="29.25" customHeight="1">
      <c r="A430" s="109"/>
      <c r="B430" s="109"/>
      <c r="C430" s="109"/>
      <c r="D430" s="109"/>
      <c r="E430" s="109"/>
      <c r="F430" s="109"/>
      <c r="G430" s="317"/>
      <c r="H430" s="109"/>
      <c r="I430" s="109"/>
      <c r="J430" s="109"/>
      <c r="K430" s="109"/>
      <c r="L430" s="109"/>
      <c r="M430" s="109"/>
      <c r="N430" s="109"/>
      <c r="O430" s="109"/>
      <c r="P430" s="109"/>
      <c r="Q430" s="109"/>
      <c r="R430" s="109"/>
      <c r="S430" s="109"/>
      <c r="T430" s="109"/>
      <c r="U430" s="109"/>
      <c r="V430" s="109"/>
      <c r="W430" s="109"/>
      <c r="X430" s="109"/>
      <c r="Y430" s="109"/>
      <c r="Z430" s="109"/>
    </row>
    <row r="431" ht="29.25" customHeight="1">
      <c r="A431" s="109"/>
      <c r="B431" s="109"/>
      <c r="C431" s="109"/>
      <c r="D431" s="109"/>
      <c r="E431" s="109"/>
      <c r="F431" s="109"/>
      <c r="G431" s="317"/>
      <c r="H431" s="109"/>
      <c r="I431" s="109"/>
      <c r="J431" s="109"/>
      <c r="K431" s="109"/>
      <c r="L431" s="109"/>
      <c r="M431" s="109"/>
      <c r="N431" s="109"/>
      <c r="O431" s="109"/>
      <c r="P431" s="109"/>
      <c r="Q431" s="109"/>
      <c r="R431" s="109"/>
      <c r="S431" s="109"/>
      <c r="T431" s="109"/>
      <c r="U431" s="109"/>
      <c r="V431" s="109"/>
      <c r="W431" s="109"/>
      <c r="X431" s="109"/>
      <c r="Y431" s="109"/>
      <c r="Z431" s="109"/>
    </row>
    <row r="432" ht="29.25" customHeight="1">
      <c r="A432" s="109"/>
      <c r="B432" s="109"/>
      <c r="C432" s="109"/>
      <c r="D432" s="109"/>
      <c r="E432" s="109"/>
      <c r="F432" s="109"/>
      <c r="G432" s="317"/>
      <c r="H432" s="109"/>
      <c r="I432" s="109"/>
      <c r="J432" s="109"/>
      <c r="K432" s="109"/>
      <c r="L432" s="109"/>
      <c r="M432" s="109"/>
      <c r="N432" s="109"/>
      <c r="O432" s="109"/>
      <c r="P432" s="109"/>
      <c r="Q432" s="109"/>
      <c r="R432" s="109"/>
      <c r="S432" s="109"/>
      <c r="T432" s="109"/>
      <c r="U432" s="109"/>
      <c r="V432" s="109"/>
      <c r="W432" s="109"/>
      <c r="X432" s="109"/>
      <c r="Y432" s="109"/>
      <c r="Z432" s="109"/>
    </row>
    <row r="433" ht="29.25" customHeight="1">
      <c r="A433" s="109"/>
      <c r="B433" s="109"/>
      <c r="C433" s="109"/>
      <c r="D433" s="109"/>
      <c r="E433" s="109"/>
      <c r="F433" s="109"/>
      <c r="G433" s="317"/>
      <c r="H433" s="109"/>
      <c r="I433" s="109"/>
      <c r="J433" s="109"/>
      <c r="K433" s="109"/>
      <c r="L433" s="109"/>
      <c r="M433" s="109"/>
      <c r="N433" s="109"/>
      <c r="O433" s="109"/>
      <c r="P433" s="109"/>
      <c r="Q433" s="109"/>
      <c r="R433" s="109"/>
      <c r="S433" s="109"/>
      <c r="T433" s="109"/>
      <c r="U433" s="109"/>
      <c r="V433" s="109"/>
      <c r="W433" s="109"/>
      <c r="X433" s="109"/>
      <c r="Y433" s="109"/>
      <c r="Z433" s="109"/>
    </row>
    <row r="434" ht="29.25" customHeight="1">
      <c r="A434" s="109"/>
      <c r="B434" s="109"/>
      <c r="C434" s="109"/>
      <c r="D434" s="109"/>
      <c r="E434" s="109"/>
      <c r="F434" s="109"/>
      <c r="G434" s="317"/>
      <c r="H434" s="109"/>
      <c r="I434" s="109"/>
      <c r="J434" s="109"/>
      <c r="K434" s="109"/>
      <c r="L434" s="109"/>
      <c r="M434" s="109"/>
      <c r="N434" s="109"/>
      <c r="O434" s="109"/>
      <c r="P434" s="109"/>
      <c r="Q434" s="109"/>
      <c r="R434" s="109"/>
      <c r="S434" s="109"/>
      <c r="T434" s="109"/>
      <c r="U434" s="109"/>
      <c r="V434" s="109"/>
      <c r="W434" s="109"/>
      <c r="X434" s="109"/>
      <c r="Y434" s="109"/>
      <c r="Z434" s="109"/>
    </row>
    <row r="435" ht="29.25" customHeight="1">
      <c r="A435" s="109"/>
      <c r="B435" s="109"/>
      <c r="C435" s="109"/>
      <c r="D435" s="109"/>
      <c r="E435" s="109"/>
      <c r="F435" s="109"/>
      <c r="G435" s="317"/>
      <c r="H435" s="109"/>
      <c r="I435" s="109"/>
      <c r="J435" s="109"/>
      <c r="K435" s="109"/>
      <c r="L435" s="109"/>
      <c r="M435" s="109"/>
      <c r="N435" s="109"/>
      <c r="O435" s="109"/>
      <c r="P435" s="109"/>
      <c r="Q435" s="109"/>
      <c r="R435" s="109"/>
      <c r="S435" s="109"/>
      <c r="T435" s="109"/>
      <c r="U435" s="109"/>
      <c r="V435" s="109"/>
      <c r="W435" s="109"/>
      <c r="X435" s="109"/>
      <c r="Y435" s="109"/>
      <c r="Z435" s="109"/>
    </row>
    <row r="436" ht="29.25" customHeight="1">
      <c r="A436" s="109"/>
      <c r="B436" s="109"/>
      <c r="C436" s="109"/>
      <c r="D436" s="109"/>
      <c r="E436" s="109"/>
      <c r="F436" s="109"/>
      <c r="G436" s="317"/>
      <c r="H436" s="109"/>
      <c r="I436" s="109"/>
      <c r="J436" s="109"/>
      <c r="K436" s="109"/>
      <c r="L436" s="109"/>
      <c r="M436" s="109"/>
      <c r="N436" s="109"/>
      <c r="O436" s="109"/>
      <c r="P436" s="109"/>
      <c r="Q436" s="109"/>
      <c r="R436" s="109"/>
      <c r="S436" s="109"/>
      <c r="T436" s="109"/>
      <c r="U436" s="109"/>
      <c r="V436" s="109"/>
      <c r="W436" s="109"/>
      <c r="X436" s="109"/>
      <c r="Y436" s="109"/>
      <c r="Z436" s="109"/>
    </row>
    <row r="437" ht="29.25" customHeight="1">
      <c r="A437" s="109"/>
      <c r="B437" s="109"/>
      <c r="C437" s="109"/>
      <c r="D437" s="109"/>
      <c r="E437" s="109"/>
      <c r="F437" s="109"/>
      <c r="G437" s="317"/>
      <c r="H437" s="109"/>
      <c r="I437" s="109"/>
      <c r="J437" s="109"/>
      <c r="K437" s="109"/>
      <c r="L437" s="109"/>
      <c r="M437" s="109"/>
      <c r="N437" s="109"/>
      <c r="O437" s="109"/>
      <c r="P437" s="109"/>
      <c r="Q437" s="109"/>
      <c r="R437" s="109"/>
      <c r="S437" s="109"/>
      <c r="T437" s="109"/>
      <c r="U437" s="109"/>
      <c r="V437" s="109"/>
      <c r="W437" s="109"/>
      <c r="X437" s="109"/>
      <c r="Y437" s="109"/>
      <c r="Z437" s="109"/>
    </row>
    <row r="438" ht="29.25" customHeight="1">
      <c r="A438" s="109"/>
      <c r="B438" s="109"/>
      <c r="C438" s="109"/>
      <c r="D438" s="109"/>
      <c r="E438" s="109"/>
      <c r="F438" s="109"/>
      <c r="G438" s="317"/>
      <c r="H438" s="109"/>
      <c r="I438" s="109"/>
      <c r="J438" s="109"/>
      <c r="K438" s="109"/>
      <c r="L438" s="109"/>
      <c r="M438" s="109"/>
      <c r="N438" s="109"/>
      <c r="O438" s="109"/>
      <c r="P438" s="109"/>
      <c r="Q438" s="109"/>
      <c r="R438" s="109"/>
      <c r="S438" s="109"/>
      <c r="T438" s="109"/>
      <c r="U438" s="109"/>
      <c r="V438" s="109"/>
      <c r="W438" s="109"/>
      <c r="X438" s="109"/>
      <c r="Y438" s="109"/>
      <c r="Z438" s="109"/>
    </row>
    <row r="439" ht="29.25" customHeight="1">
      <c r="A439" s="109"/>
      <c r="B439" s="109"/>
      <c r="C439" s="109"/>
      <c r="D439" s="109"/>
      <c r="E439" s="109"/>
      <c r="F439" s="109"/>
      <c r="G439" s="317"/>
      <c r="H439" s="109"/>
      <c r="I439" s="109"/>
      <c r="J439" s="109"/>
      <c r="K439" s="109"/>
      <c r="L439" s="109"/>
      <c r="M439" s="109"/>
      <c r="N439" s="109"/>
      <c r="O439" s="109"/>
      <c r="P439" s="109"/>
      <c r="Q439" s="109"/>
      <c r="R439" s="109"/>
      <c r="S439" s="109"/>
      <c r="T439" s="109"/>
      <c r="U439" s="109"/>
      <c r="V439" s="109"/>
      <c r="W439" s="109"/>
      <c r="X439" s="109"/>
      <c r="Y439" s="109"/>
      <c r="Z439" s="109"/>
    </row>
    <row r="440" ht="29.25" customHeight="1">
      <c r="A440" s="109"/>
      <c r="B440" s="109"/>
      <c r="C440" s="109"/>
      <c r="D440" s="109"/>
      <c r="E440" s="109"/>
      <c r="F440" s="109"/>
      <c r="G440" s="317"/>
      <c r="H440" s="109"/>
      <c r="I440" s="109"/>
      <c r="J440" s="109"/>
      <c r="K440" s="109"/>
      <c r="L440" s="109"/>
      <c r="M440" s="109"/>
      <c r="N440" s="109"/>
      <c r="O440" s="109"/>
      <c r="P440" s="109"/>
      <c r="Q440" s="109"/>
      <c r="R440" s="109"/>
      <c r="S440" s="109"/>
      <c r="T440" s="109"/>
      <c r="U440" s="109"/>
      <c r="V440" s="109"/>
      <c r="W440" s="109"/>
      <c r="X440" s="109"/>
      <c r="Y440" s="109"/>
      <c r="Z440" s="109"/>
    </row>
    <row r="441" ht="29.25" customHeight="1">
      <c r="A441" s="109"/>
      <c r="B441" s="109"/>
      <c r="C441" s="109"/>
      <c r="D441" s="109"/>
      <c r="E441" s="109"/>
      <c r="F441" s="109"/>
      <c r="G441" s="317"/>
      <c r="H441" s="109"/>
      <c r="I441" s="109"/>
      <c r="J441" s="109"/>
      <c r="K441" s="109"/>
      <c r="L441" s="109"/>
      <c r="M441" s="109"/>
      <c r="N441" s="109"/>
      <c r="O441" s="109"/>
      <c r="P441" s="109"/>
      <c r="Q441" s="109"/>
      <c r="R441" s="109"/>
      <c r="S441" s="109"/>
      <c r="T441" s="109"/>
      <c r="U441" s="109"/>
      <c r="V441" s="109"/>
      <c r="W441" s="109"/>
      <c r="X441" s="109"/>
      <c r="Y441" s="109"/>
      <c r="Z441" s="109"/>
    </row>
    <row r="442" ht="29.25" customHeight="1">
      <c r="A442" s="109"/>
      <c r="B442" s="109"/>
      <c r="C442" s="109"/>
      <c r="D442" s="109"/>
      <c r="E442" s="109"/>
      <c r="F442" s="109"/>
      <c r="G442" s="317"/>
      <c r="H442" s="109"/>
      <c r="I442" s="109"/>
      <c r="J442" s="109"/>
      <c r="K442" s="109"/>
      <c r="L442" s="109"/>
      <c r="M442" s="109"/>
      <c r="N442" s="109"/>
      <c r="O442" s="109"/>
      <c r="P442" s="109"/>
      <c r="Q442" s="109"/>
      <c r="R442" s="109"/>
      <c r="S442" s="109"/>
      <c r="T442" s="109"/>
      <c r="U442" s="109"/>
      <c r="V442" s="109"/>
      <c r="W442" s="109"/>
      <c r="X442" s="109"/>
      <c r="Y442" s="109"/>
      <c r="Z442" s="109"/>
    </row>
    <row r="443" ht="29.25" customHeight="1">
      <c r="A443" s="109"/>
      <c r="B443" s="109"/>
      <c r="C443" s="109"/>
      <c r="D443" s="109"/>
      <c r="E443" s="109"/>
      <c r="F443" s="109"/>
      <c r="G443" s="317"/>
      <c r="H443" s="109"/>
      <c r="I443" s="109"/>
      <c r="J443" s="109"/>
      <c r="K443" s="109"/>
      <c r="L443" s="109"/>
      <c r="M443" s="109"/>
      <c r="N443" s="109"/>
      <c r="O443" s="109"/>
      <c r="P443" s="109"/>
      <c r="Q443" s="109"/>
      <c r="R443" s="109"/>
      <c r="S443" s="109"/>
      <c r="T443" s="109"/>
      <c r="U443" s="109"/>
      <c r="V443" s="109"/>
      <c r="W443" s="109"/>
      <c r="X443" s="109"/>
      <c r="Y443" s="109"/>
      <c r="Z443" s="109"/>
    </row>
    <row r="444" ht="29.25" customHeight="1">
      <c r="A444" s="109"/>
      <c r="B444" s="109"/>
      <c r="C444" s="109"/>
      <c r="D444" s="109"/>
      <c r="E444" s="109"/>
      <c r="F444" s="109"/>
      <c r="G444" s="317"/>
      <c r="H444" s="109"/>
      <c r="I444" s="109"/>
      <c r="J444" s="109"/>
      <c r="K444" s="109"/>
      <c r="L444" s="109"/>
      <c r="M444" s="109"/>
      <c r="N444" s="109"/>
      <c r="O444" s="109"/>
      <c r="P444" s="109"/>
      <c r="Q444" s="109"/>
      <c r="R444" s="109"/>
      <c r="S444" s="109"/>
      <c r="T444" s="109"/>
      <c r="U444" s="109"/>
      <c r="V444" s="109"/>
      <c r="W444" s="109"/>
      <c r="X444" s="109"/>
      <c r="Y444" s="109"/>
      <c r="Z444" s="109"/>
    </row>
    <row r="445" ht="29.25" customHeight="1">
      <c r="A445" s="109"/>
      <c r="B445" s="109"/>
      <c r="C445" s="109"/>
      <c r="D445" s="109"/>
      <c r="E445" s="109"/>
      <c r="F445" s="109"/>
      <c r="G445" s="317"/>
      <c r="H445" s="109"/>
      <c r="I445" s="109"/>
      <c r="J445" s="109"/>
      <c r="K445" s="109"/>
      <c r="L445" s="109"/>
      <c r="M445" s="109"/>
      <c r="N445" s="109"/>
      <c r="O445" s="109"/>
      <c r="P445" s="109"/>
      <c r="Q445" s="109"/>
      <c r="R445" s="109"/>
      <c r="S445" s="109"/>
      <c r="T445" s="109"/>
      <c r="U445" s="109"/>
      <c r="V445" s="109"/>
      <c r="W445" s="109"/>
      <c r="X445" s="109"/>
      <c r="Y445" s="109"/>
      <c r="Z445" s="109"/>
    </row>
    <row r="446" ht="29.25" customHeight="1">
      <c r="A446" s="109"/>
      <c r="B446" s="109"/>
      <c r="C446" s="109"/>
      <c r="D446" s="109"/>
      <c r="E446" s="109"/>
      <c r="F446" s="109"/>
      <c r="G446" s="317"/>
      <c r="H446" s="109"/>
      <c r="I446" s="109"/>
      <c r="J446" s="109"/>
      <c r="K446" s="109"/>
      <c r="L446" s="109"/>
      <c r="M446" s="109"/>
      <c r="N446" s="109"/>
      <c r="O446" s="109"/>
      <c r="P446" s="109"/>
      <c r="Q446" s="109"/>
      <c r="R446" s="109"/>
      <c r="S446" s="109"/>
      <c r="T446" s="109"/>
      <c r="U446" s="109"/>
      <c r="V446" s="109"/>
      <c r="W446" s="109"/>
      <c r="X446" s="109"/>
      <c r="Y446" s="109"/>
      <c r="Z446" s="109"/>
    </row>
    <row r="447" ht="29.25" customHeight="1">
      <c r="A447" s="109"/>
      <c r="B447" s="109"/>
      <c r="C447" s="109"/>
      <c r="D447" s="109"/>
      <c r="E447" s="109"/>
      <c r="F447" s="109"/>
      <c r="G447" s="317"/>
      <c r="H447" s="109"/>
      <c r="I447" s="109"/>
      <c r="J447" s="109"/>
      <c r="K447" s="109"/>
      <c r="L447" s="109"/>
      <c r="M447" s="109"/>
      <c r="N447" s="109"/>
      <c r="O447" s="109"/>
      <c r="P447" s="109"/>
      <c r="Q447" s="109"/>
      <c r="R447" s="109"/>
      <c r="S447" s="109"/>
      <c r="T447" s="109"/>
      <c r="U447" s="109"/>
      <c r="V447" s="109"/>
      <c r="W447" s="109"/>
      <c r="X447" s="109"/>
      <c r="Y447" s="109"/>
      <c r="Z447" s="109"/>
    </row>
    <row r="448" ht="29.25" customHeight="1">
      <c r="A448" s="109"/>
      <c r="B448" s="109"/>
      <c r="C448" s="109"/>
      <c r="D448" s="109"/>
      <c r="E448" s="109"/>
      <c r="F448" s="109"/>
      <c r="G448" s="317"/>
      <c r="H448" s="109"/>
      <c r="I448" s="109"/>
      <c r="J448" s="109"/>
      <c r="K448" s="109"/>
      <c r="L448" s="109"/>
      <c r="M448" s="109"/>
      <c r="N448" s="109"/>
      <c r="O448" s="109"/>
      <c r="P448" s="109"/>
      <c r="Q448" s="109"/>
      <c r="R448" s="109"/>
      <c r="S448" s="109"/>
      <c r="T448" s="109"/>
      <c r="U448" s="109"/>
      <c r="V448" s="109"/>
      <c r="W448" s="109"/>
      <c r="X448" s="109"/>
      <c r="Y448" s="109"/>
      <c r="Z448" s="109"/>
    </row>
    <row r="449" ht="29.25" customHeight="1">
      <c r="A449" s="109"/>
      <c r="B449" s="109"/>
      <c r="C449" s="109"/>
      <c r="D449" s="109"/>
      <c r="E449" s="109"/>
      <c r="F449" s="109"/>
      <c r="G449" s="317"/>
      <c r="H449" s="109"/>
      <c r="I449" s="109"/>
      <c r="J449" s="109"/>
      <c r="K449" s="109"/>
      <c r="L449" s="109"/>
      <c r="M449" s="109"/>
      <c r="N449" s="109"/>
      <c r="O449" s="109"/>
      <c r="P449" s="109"/>
      <c r="Q449" s="109"/>
      <c r="R449" s="109"/>
      <c r="S449" s="109"/>
      <c r="T449" s="109"/>
      <c r="U449" s="109"/>
      <c r="V449" s="109"/>
      <c r="W449" s="109"/>
      <c r="X449" s="109"/>
      <c r="Y449" s="109"/>
      <c r="Z449" s="109"/>
    </row>
    <row r="450" ht="29.25" customHeight="1">
      <c r="A450" s="109"/>
      <c r="B450" s="109"/>
      <c r="C450" s="109"/>
      <c r="D450" s="109"/>
      <c r="E450" s="109"/>
      <c r="F450" s="109"/>
      <c r="G450" s="317"/>
      <c r="H450" s="109"/>
      <c r="I450" s="109"/>
      <c r="J450" s="109"/>
      <c r="K450" s="109"/>
      <c r="L450" s="109"/>
      <c r="M450" s="109"/>
      <c r="N450" s="109"/>
      <c r="O450" s="109"/>
      <c r="P450" s="109"/>
      <c r="Q450" s="109"/>
      <c r="R450" s="109"/>
      <c r="S450" s="109"/>
      <c r="T450" s="109"/>
      <c r="U450" s="109"/>
      <c r="V450" s="109"/>
      <c r="W450" s="109"/>
      <c r="X450" s="109"/>
      <c r="Y450" s="109"/>
      <c r="Z450" s="109"/>
    </row>
    <row r="451" ht="29.25" customHeight="1">
      <c r="A451" s="109"/>
      <c r="B451" s="109"/>
      <c r="C451" s="109"/>
      <c r="D451" s="109"/>
      <c r="E451" s="109"/>
      <c r="F451" s="109"/>
      <c r="G451" s="317"/>
      <c r="H451" s="109"/>
      <c r="I451" s="109"/>
      <c r="J451" s="109"/>
      <c r="K451" s="109"/>
      <c r="L451" s="109"/>
      <c r="M451" s="109"/>
      <c r="N451" s="109"/>
      <c r="O451" s="109"/>
      <c r="P451" s="109"/>
      <c r="Q451" s="109"/>
      <c r="R451" s="109"/>
      <c r="S451" s="109"/>
      <c r="T451" s="109"/>
      <c r="U451" s="109"/>
      <c r="V451" s="109"/>
      <c r="W451" s="109"/>
      <c r="X451" s="109"/>
      <c r="Y451" s="109"/>
      <c r="Z451" s="109"/>
    </row>
    <row r="452" ht="29.25" customHeight="1">
      <c r="A452" s="109"/>
      <c r="B452" s="109"/>
      <c r="C452" s="109"/>
      <c r="D452" s="109"/>
      <c r="E452" s="109"/>
      <c r="F452" s="109"/>
      <c r="G452" s="317"/>
      <c r="H452" s="109"/>
      <c r="I452" s="109"/>
      <c r="J452" s="109"/>
      <c r="K452" s="109"/>
      <c r="L452" s="109"/>
      <c r="M452" s="109"/>
      <c r="N452" s="109"/>
      <c r="O452" s="109"/>
      <c r="P452" s="109"/>
      <c r="Q452" s="109"/>
      <c r="R452" s="109"/>
      <c r="S452" s="109"/>
      <c r="T452" s="109"/>
      <c r="U452" s="109"/>
      <c r="V452" s="109"/>
      <c r="W452" s="109"/>
      <c r="X452" s="109"/>
      <c r="Y452" s="109"/>
      <c r="Z452" s="109"/>
    </row>
    <row r="453" ht="29.25" customHeight="1">
      <c r="A453" s="109"/>
      <c r="B453" s="109"/>
      <c r="C453" s="109"/>
      <c r="D453" s="109"/>
      <c r="E453" s="109"/>
      <c r="F453" s="109"/>
      <c r="G453" s="317"/>
      <c r="H453" s="109"/>
      <c r="I453" s="109"/>
      <c r="J453" s="109"/>
      <c r="K453" s="109"/>
      <c r="L453" s="109"/>
      <c r="M453" s="109"/>
      <c r="N453" s="109"/>
      <c r="O453" s="109"/>
      <c r="P453" s="109"/>
      <c r="Q453" s="109"/>
      <c r="R453" s="109"/>
      <c r="S453" s="109"/>
      <c r="T453" s="109"/>
      <c r="U453" s="109"/>
      <c r="V453" s="109"/>
      <c r="W453" s="109"/>
      <c r="X453" s="109"/>
      <c r="Y453" s="109"/>
      <c r="Z453" s="109"/>
    </row>
    <row r="454" ht="29.25" customHeight="1">
      <c r="A454" s="109"/>
      <c r="B454" s="109"/>
      <c r="C454" s="109"/>
      <c r="D454" s="109"/>
      <c r="E454" s="109"/>
      <c r="F454" s="109"/>
      <c r="G454" s="317"/>
      <c r="H454" s="109"/>
      <c r="I454" s="109"/>
      <c r="J454" s="109"/>
      <c r="K454" s="109"/>
      <c r="L454" s="109"/>
      <c r="M454" s="109"/>
      <c r="N454" s="109"/>
      <c r="O454" s="109"/>
      <c r="P454" s="109"/>
      <c r="Q454" s="109"/>
      <c r="R454" s="109"/>
      <c r="S454" s="109"/>
      <c r="T454" s="109"/>
      <c r="U454" s="109"/>
      <c r="V454" s="109"/>
      <c r="W454" s="109"/>
      <c r="X454" s="109"/>
      <c r="Y454" s="109"/>
      <c r="Z454" s="109"/>
    </row>
    <row r="455" ht="29.25" customHeight="1">
      <c r="A455" s="109"/>
      <c r="B455" s="109"/>
      <c r="C455" s="109"/>
      <c r="D455" s="109"/>
      <c r="E455" s="109"/>
      <c r="F455" s="109"/>
      <c r="G455" s="317"/>
      <c r="H455" s="109"/>
      <c r="I455" s="109"/>
      <c r="J455" s="109"/>
      <c r="K455" s="109"/>
      <c r="L455" s="109"/>
      <c r="M455" s="109"/>
      <c r="N455" s="109"/>
      <c r="O455" s="109"/>
      <c r="P455" s="109"/>
      <c r="Q455" s="109"/>
      <c r="R455" s="109"/>
      <c r="S455" s="109"/>
      <c r="T455" s="109"/>
      <c r="U455" s="109"/>
      <c r="V455" s="109"/>
      <c r="W455" s="109"/>
      <c r="X455" s="109"/>
      <c r="Y455" s="109"/>
      <c r="Z455" s="109"/>
    </row>
    <row r="456" ht="29.25" customHeight="1">
      <c r="A456" s="109"/>
      <c r="B456" s="109"/>
      <c r="C456" s="109"/>
      <c r="D456" s="109"/>
      <c r="E456" s="109"/>
      <c r="F456" s="109"/>
      <c r="G456" s="317"/>
      <c r="H456" s="109"/>
      <c r="I456" s="109"/>
      <c r="J456" s="109"/>
      <c r="K456" s="109"/>
      <c r="L456" s="109"/>
      <c r="M456" s="109"/>
      <c r="N456" s="109"/>
      <c r="O456" s="109"/>
      <c r="P456" s="109"/>
      <c r="Q456" s="109"/>
      <c r="R456" s="109"/>
      <c r="S456" s="109"/>
      <c r="T456" s="109"/>
      <c r="U456" s="109"/>
      <c r="V456" s="109"/>
      <c r="W456" s="109"/>
      <c r="X456" s="109"/>
      <c r="Y456" s="109"/>
      <c r="Z456" s="109"/>
    </row>
    <row r="457" ht="29.25" customHeight="1">
      <c r="A457" s="109"/>
      <c r="B457" s="109"/>
      <c r="C457" s="109"/>
      <c r="D457" s="109"/>
      <c r="E457" s="109"/>
      <c r="F457" s="109"/>
      <c r="G457" s="317"/>
      <c r="H457" s="109"/>
      <c r="I457" s="109"/>
      <c r="J457" s="109"/>
      <c r="K457" s="109"/>
      <c r="L457" s="109"/>
      <c r="M457" s="109"/>
      <c r="N457" s="109"/>
      <c r="O457" s="109"/>
      <c r="P457" s="109"/>
      <c r="Q457" s="109"/>
      <c r="R457" s="109"/>
      <c r="S457" s="109"/>
      <c r="T457" s="109"/>
      <c r="U457" s="109"/>
      <c r="V457" s="109"/>
      <c r="W457" s="109"/>
      <c r="X457" s="109"/>
      <c r="Y457" s="109"/>
      <c r="Z457" s="109"/>
    </row>
    <row r="458" ht="29.25" customHeight="1">
      <c r="A458" s="109"/>
      <c r="B458" s="109"/>
      <c r="C458" s="109"/>
      <c r="D458" s="109"/>
      <c r="E458" s="109"/>
      <c r="F458" s="109"/>
      <c r="G458" s="317"/>
      <c r="H458" s="109"/>
      <c r="I458" s="109"/>
      <c r="J458" s="109"/>
      <c r="K458" s="109"/>
      <c r="L458" s="109"/>
      <c r="M458" s="109"/>
      <c r="N458" s="109"/>
      <c r="O458" s="109"/>
      <c r="P458" s="109"/>
      <c r="Q458" s="109"/>
      <c r="R458" s="109"/>
      <c r="S458" s="109"/>
      <c r="T458" s="109"/>
      <c r="U458" s="109"/>
      <c r="V458" s="109"/>
      <c r="W458" s="109"/>
      <c r="X458" s="109"/>
      <c r="Y458" s="109"/>
      <c r="Z458" s="109"/>
    </row>
    <row r="459" ht="29.25" customHeight="1">
      <c r="A459" s="109"/>
      <c r="B459" s="109"/>
      <c r="C459" s="109"/>
      <c r="D459" s="109"/>
      <c r="E459" s="109"/>
      <c r="F459" s="109"/>
      <c r="G459" s="317"/>
      <c r="H459" s="109"/>
      <c r="I459" s="109"/>
      <c r="J459" s="109"/>
      <c r="K459" s="109"/>
      <c r="L459" s="109"/>
      <c r="M459" s="109"/>
      <c r="N459" s="109"/>
      <c r="O459" s="109"/>
      <c r="P459" s="109"/>
      <c r="Q459" s="109"/>
      <c r="R459" s="109"/>
      <c r="S459" s="109"/>
      <c r="T459" s="109"/>
      <c r="U459" s="109"/>
      <c r="V459" s="109"/>
      <c r="W459" s="109"/>
      <c r="X459" s="109"/>
      <c r="Y459" s="109"/>
      <c r="Z459" s="109"/>
    </row>
    <row r="460" ht="29.25" customHeight="1">
      <c r="A460" s="109"/>
      <c r="B460" s="109"/>
      <c r="C460" s="109"/>
      <c r="D460" s="109"/>
      <c r="E460" s="109"/>
      <c r="F460" s="109"/>
      <c r="G460" s="317"/>
      <c r="H460" s="109"/>
      <c r="I460" s="109"/>
      <c r="J460" s="109"/>
      <c r="K460" s="109"/>
      <c r="L460" s="109"/>
      <c r="M460" s="109"/>
      <c r="N460" s="109"/>
      <c r="O460" s="109"/>
      <c r="P460" s="109"/>
      <c r="Q460" s="109"/>
      <c r="R460" s="109"/>
      <c r="S460" s="109"/>
      <c r="T460" s="109"/>
      <c r="U460" s="109"/>
      <c r="V460" s="109"/>
      <c r="W460" s="109"/>
      <c r="X460" s="109"/>
      <c r="Y460" s="109"/>
      <c r="Z460" s="109"/>
    </row>
    <row r="461" ht="29.25" customHeight="1">
      <c r="A461" s="109"/>
      <c r="B461" s="109"/>
      <c r="C461" s="109"/>
      <c r="D461" s="109"/>
      <c r="E461" s="109"/>
      <c r="F461" s="109"/>
      <c r="G461" s="317"/>
      <c r="H461" s="109"/>
      <c r="I461" s="109"/>
      <c r="J461" s="109"/>
      <c r="K461" s="109"/>
      <c r="L461" s="109"/>
      <c r="M461" s="109"/>
      <c r="N461" s="109"/>
      <c r="O461" s="109"/>
      <c r="P461" s="109"/>
      <c r="Q461" s="109"/>
      <c r="R461" s="109"/>
      <c r="S461" s="109"/>
      <c r="T461" s="109"/>
      <c r="U461" s="109"/>
      <c r="V461" s="109"/>
      <c r="W461" s="109"/>
      <c r="X461" s="109"/>
      <c r="Y461" s="109"/>
      <c r="Z461" s="109"/>
    </row>
    <row r="462" ht="29.25" customHeight="1">
      <c r="A462" s="109"/>
      <c r="B462" s="109"/>
      <c r="C462" s="109"/>
      <c r="D462" s="109"/>
      <c r="E462" s="109"/>
      <c r="F462" s="109"/>
      <c r="G462" s="317"/>
      <c r="H462" s="109"/>
      <c r="I462" s="109"/>
      <c r="J462" s="109"/>
      <c r="K462" s="109"/>
      <c r="L462" s="109"/>
      <c r="M462" s="109"/>
      <c r="N462" s="109"/>
      <c r="O462" s="109"/>
      <c r="P462" s="109"/>
      <c r="Q462" s="109"/>
      <c r="R462" s="109"/>
      <c r="S462" s="109"/>
      <c r="T462" s="109"/>
      <c r="U462" s="109"/>
      <c r="V462" s="109"/>
      <c r="W462" s="109"/>
      <c r="X462" s="109"/>
      <c r="Y462" s="109"/>
      <c r="Z462" s="109"/>
    </row>
    <row r="463" ht="29.25" customHeight="1">
      <c r="A463" s="109"/>
      <c r="B463" s="109"/>
      <c r="C463" s="109"/>
      <c r="D463" s="109"/>
      <c r="E463" s="109"/>
      <c r="F463" s="109"/>
      <c r="G463" s="317"/>
      <c r="H463" s="109"/>
      <c r="I463" s="109"/>
      <c r="J463" s="109"/>
      <c r="K463" s="109"/>
      <c r="L463" s="109"/>
      <c r="M463" s="109"/>
      <c r="N463" s="109"/>
      <c r="O463" s="109"/>
      <c r="P463" s="109"/>
      <c r="Q463" s="109"/>
      <c r="R463" s="109"/>
      <c r="S463" s="109"/>
      <c r="T463" s="109"/>
      <c r="U463" s="109"/>
      <c r="V463" s="109"/>
      <c r="W463" s="109"/>
      <c r="X463" s="109"/>
      <c r="Y463" s="109"/>
      <c r="Z463" s="109"/>
    </row>
    <row r="464" ht="29.25" customHeight="1">
      <c r="A464" s="109"/>
      <c r="B464" s="109"/>
      <c r="C464" s="109"/>
      <c r="D464" s="109"/>
      <c r="E464" s="109"/>
      <c r="F464" s="109"/>
      <c r="G464" s="317"/>
      <c r="H464" s="109"/>
      <c r="I464" s="109"/>
      <c r="J464" s="109"/>
      <c r="K464" s="109"/>
      <c r="L464" s="109"/>
      <c r="M464" s="109"/>
      <c r="N464" s="109"/>
      <c r="O464" s="109"/>
      <c r="P464" s="109"/>
      <c r="Q464" s="109"/>
      <c r="R464" s="109"/>
      <c r="S464" s="109"/>
      <c r="T464" s="109"/>
      <c r="U464" s="109"/>
      <c r="V464" s="109"/>
      <c r="W464" s="109"/>
      <c r="X464" s="109"/>
      <c r="Y464" s="109"/>
      <c r="Z464" s="109"/>
    </row>
    <row r="465" ht="29.25" customHeight="1">
      <c r="A465" s="109"/>
      <c r="B465" s="109"/>
      <c r="C465" s="109"/>
      <c r="D465" s="109"/>
      <c r="E465" s="109"/>
      <c r="F465" s="109"/>
      <c r="G465" s="317"/>
      <c r="H465" s="109"/>
      <c r="I465" s="109"/>
      <c r="J465" s="109"/>
      <c r="K465" s="109"/>
      <c r="L465" s="109"/>
      <c r="M465" s="109"/>
      <c r="N465" s="109"/>
      <c r="O465" s="109"/>
      <c r="P465" s="109"/>
      <c r="Q465" s="109"/>
      <c r="R465" s="109"/>
      <c r="S465" s="109"/>
      <c r="T465" s="109"/>
      <c r="U465" s="109"/>
      <c r="V465" s="109"/>
      <c r="W465" s="109"/>
      <c r="X465" s="109"/>
      <c r="Y465" s="109"/>
      <c r="Z465" s="109"/>
    </row>
    <row r="466" ht="29.25" customHeight="1">
      <c r="A466" s="109"/>
      <c r="B466" s="109"/>
      <c r="C466" s="109"/>
      <c r="D466" s="109"/>
      <c r="E466" s="109"/>
      <c r="F466" s="109"/>
      <c r="G466" s="317"/>
      <c r="H466" s="109"/>
      <c r="I466" s="109"/>
      <c r="J466" s="109"/>
      <c r="K466" s="109"/>
      <c r="L466" s="109"/>
      <c r="M466" s="109"/>
      <c r="N466" s="109"/>
      <c r="O466" s="109"/>
      <c r="P466" s="109"/>
      <c r="Q466" s="109"/>
      <c r="R466" s="109"/>
      <c r="S466" s="109"/>
      <c r="T466" s="109"/>
      <c r="U466" s="109"/>
      <c r="V466" s="109"/>
      <c r="W466" s="109"/>
      <c r="X466" s="109"/>
      <c r="Y466" s="109"/>
      <c r="Z466" s="109"/>
    </row>
    <row r="467" ht="29.25" customHeight="1">
      <c r="A467" s="109"/>
      <c r="B467" s="109"/>
      <c r="C467" s="109"/>
      <c r="D467" s="109"/>
      <c r="E467" s="109"/>
      <c r="F467" s="109"/>
      <c r="G467" s="317"/>
      <c r="H467" s="109"/>
      <c r="I467" s="109"/>
      <c r="J467" s="109"/>
      <c r="K467" s="109"/>
      <c r="L467" s="109"/>
      <c r="M467" s="109"/>
      <c r="N467" s="109"/>
      <c r="O467" s="109"/>
      <c r="P467" s="109"/>
      <c r="Q467" s="109"/>
      <c r="R467" s="109"/>
      <c r="S467" s="109"/>
      <c r="T467" s="109"/>
      <c r="U467" s="109"/>
      <c r="V467" s="109"/>
      <c r="W467" s="109"/>
      <c r="X467" s="109"/>
      <c r="Y467" s="109"/>
      <c r="Z467" s="109"/>
    </row>
    <row r="468" ht="29.25" customHeight="1">
      <c r="A468" s="109"/>
      <c r="B468" s="109"/>
      <c r="C468" s="109"/>
      <c r="D468" s="109"/>
      <c r="E468" s="109"/>
      <c r="F468" s="109"/>
      <c r="G468" s="317"/>
      <c r="H468" s="109"/>
      <c r="I468" s="109"/>
      <c r="J468" s="109"/>
      <c r="K468" s="109"/>
      <c r="L468" s="109"/>
      <c r="M468" s="109"/>
      <c r="N468" s="109"/>
      <c r="O468" s="109"/>
      <c r="P468" s="109"/>
      <c r="Q468" s="109"/>
      <c r="R468" s="109"/>
      <c r="S468" s="109"/>
      <c r="T468" s="109"/>
      <c r="U468" s="109"/>
      <c r="V468" s="109"/>
      <c r="W468" s="109"/>
      <c r="X468" s="109"/>
      <c r="Y468" s="109"/>
      <c r="Z468" s="109"/>
    </row>
    <row r="469" ht="29.25" customHeight="1">
      <c r="A469" s="109"/>
      <c r="B469" s="109"/>
      <c r="C469" s="109"/>
      <c r="D469" s="109"/>
      <c r="E469" s="109"/>
      <c r="F469" s="109"/>
      <c r="G469" s="317"/>
      <c r="H469" s="109"/>
      <c r="I469" s="109"/>
      <c r="J469" s="109"/>
      <c r="K469" s="109"/>
      <c r="L469" s="109"/>
      <c r="M469" s="109"/>
      <c r="N469" s="109"/>
      <c r="O469" s="109"/>
      <c r="P469" s="109"/>
      <c r="Q469" s="109"/>
      <c r="R469" s="109"/>
      <c r="S469" s="109"/>
      <c r="T469" s="109"/>
      <c r="U469" s="109"/>
      <c r="V469" s="109"/>
      <c r="W469" s="109"/>
      <c r="X469" s="109"/>
      <c r="Y469" s="109"/>
      <c r="Z469" s="109"/>
    </row>
    <row r="470" ht="29.25" customHeight="1">
      <c r="A470" s="109"/>
      <c r="B470" s="109"/>
      <c r="C470" s="109"/>
      <c r="D470" s="109"/>
      <c r="E470" s="109"/>
      <c r="F470" s="109"/>
      <c r="G470" s="317"/>
      <c r="H470" s="109"/>
      <c r="I470" s="109"/>
      <c r="J470" s="109"/>
      <c r="K470" s="109"/>
      <c r="L470" s="109"/>
      <c r="M470" s="109"/>
      <c r="N470" s="109"/>
      <c r="O470" s="109"/>
      <c r="P470" s="109"/>
      <c r="Q470" s="109"/>
      <c r="R470" s="109"/>
      <c r="S470" s="109"/>
      <c r="T470" s="109"/>
      <c r="U470" s="109"/>
      <c r="V470" s="109"/>
      <c r="W470" s="109"/>
      <c r="X470" s="109"/>
      <c r="Y470" s="109"/>
      <c r="Z470" s="109"/>
    </row>
    <row r="471" ht="29.25" customHeight="1">
      <c r="A471" s="109"/>
      <c r="B471" s="109"/>
      <c r="C471" s="109"/>
      <c r="D471" s="109"/>
      <c r="E471" s="109"/>
      <c r="F471" s="109"/>
      <c r="G471" s="317"/>
      <c r="H471" s="109"/>
      <c r="I471" s="109"/>
      <c r="J471" s="109"/>
      <c r="K471" s="109"/>
      <c r="L471" s="109"/>
      <c r="M471" s="109"/>
      <c r="N471" s="109"/>
      <c r="O471" s="109"/>
      <c r="P471" s="109"/>
      <c r="Q471" s="109"/>
      <c r="R471" s="109"/>
      <c r="S471" s="109"/>
      <c r="T471" s="109"/>
      <c r="U471" s="109"/>
      <c r="V471" s="109"/>
      <c r="W471" s="109"/>
      <c r="X471" s="109"/>
      <c r="Y471" s="109"/>
      <c r="Z471" s="109"/>
    </row>
    <row r="472" ht="29.25" customHeight="1">
      <c r="A472" s="109"/>
      <c r="B472" s="109"/>
      <c r="C472" s="109"/>
      <c r="D472" s="109"/>
      <c r="E472" s="109"/>
      <c r="F472" s="109"/>
      <c r="G472" s="317"/>
      <c r="H472" s="109"/>
      <c r="I472" s="109"/>
      <c r="J472" s="109"/>
      <c r="K472" s="109"/>
      <c r="L472" s="109"/>
      <c r="M472" s="109"/>
      <c r="N472" s="109"/>
      <c r="O472" s="109"/>
      <c r="P472" s="109"/>
      <c r="Q472" s="109"/>
      <c r="R472" s="109"/>
      <c r="S472" s="109"/>
      <c r="T472" s="109"/>
      <c r="U472" s="109"/>
      <c r="V472" s="109"/>
      <c r="W472" s="109"/>
      <c r="X472" s="109"/>
      <c r="Y472" s="109"/>
      <c r="Z472" s="109"/>
    </row>
    <row r="473" ht="29.25" customHeight="1">
      <c r="A473" s="109"/>
      <c r="B473" s="109"/>
      <c r="C473" s="109"/>
      <c r="D473" s="109"/>
      <c r="E473" s="109"/>
      <c r="F473" s="109"/>
      <c r="G473" s="317"/>
      <c r="H473" s="109"/>
      <c r="I473" s="109"/>
      <c r="J473" s="109"/>
      <c r="K473" s="109"/>
      <c r="L473" s="109"/>
      <c r="M473" s="109"/>
      <c r="N473" s="109"/>
      <c r="O473" s="109"/>
      <c r="P473" s="109"/>
      <c r="Q473" s="109"/>
      <c r="R473" s="109"/>
      <c r="S473" s="109"/>
      <c r="T473" s="109"/>
      <c r="U473" s="109"/>
      <c r="V473" s="109"/>
      <c r="W473" s="109"/>
      <c r="X473" s="109"/>
      <c r="Y473" s="109"/>
      <c r="Z473" s="109"/>
    </row>
    <row r="474" ht="29.25" customHeight="1">
      <c r="A474" s="109"/>
      <c r="B474" s="109"/>
      <c r="C474" s="109"/>
      <c r="D474" s="109"/>
      <c r="E474" s="109"/>
      <c r="F474" s="109"/>
      <c r="G474" s="317"/>
      <c r="H474" s="109"/>
      <c r="I474" s="109"/>
      <c r="J474" s="109"/>
      <c r="K474" s="109"/>
      <c r="L474" s="109"/>
      <c r="M474" s="109"/>
      <c r="N474" s="109"/>
      <c r="O474" s="109"/>
      <c r="P474" s="109"/>
      <c r="Q474" s="109"/>
      <c r="R474" s="109"/>
      <c r="S474" s="109"/>
      <c r="T474" s="109"/>
      <c r="U474" s="109"/>
      <c r="V474" s="109"/>
      <c r="W474" s="109"/>
      <c r="X474" s="109"/>
      <c r="Y474" s="109"/>
      <c r="Z474" s="109"/>
    </row>
    <row r="475" ht="29.25" customHeight="1">
      <c r="A475" s="109"/>
      <c r="B475" s="109"/>
      <c r="C475" s="109"/>
      <c r="D475" s="109"/>
      <c r="E475" s="109"/>
      <c r="F475" s="109"/>
      <c r="G475" s="317"/>
      <c r="H475" s="109"/>
      <c r="I475" s="109"/>
      <c r="J475" s="109"/>
      <c r="K475" s="109"/>
      <c r="L475" s="109"/>
      <c r="M475" s="109"/>
      <c r="N475" s="109"/>
      <c r="O475" s="109"/>
      <c r="P475" s="109"/>
      <c r="Q475" s="109"/>
      <c r="R475" s="109"/>
      <c r="S475" s="109"/>
      <c r="T475" s="109"/>
      <c r="U475" s="109"/>
      <c r="V475" s="109"/>
      <c r="W475" s="109"/>
      <c r="X475" s="109"/>
      <c r="Y475" s="109"/>
      <c r="Z475" s="109"/>
    </row>
    <row r="476" ht="29.25" customHeight="1">
      <c r="A476" s="109"/>
      <c r="B476" s="109"/>
      <c r="C476" s="109"/>
      <c r="D476" s="109"/>
      <c r="E476" s="109"/>
      <c r="F476" s="109"/>
      <c r="G476" s="317"/>
      <c r="H476" s="109"/>
      <c r="I476" s="109"/>
      <c r="J476" s="109"/>
      <c r="K476" s="109"/>
      <c r="L476" s="109"/>
      <c r="M476" s="109"/>
      <c r="N476" s="109"/>
      <c r="O476" s="109"/>
      <c r="P476" s="109"/>
      <c r="Q476" s="109"/>
      <c r="R476" s="109"/>
      <c r="S476" s="109"/>
      <c r="T476" s="109"/>
      <c r="U476" s="109"/>
      <c r="V476" s="109"/>
      <c r="W476" s="109"/>
      <c r="X476" s="109"/>
      <c r="Y476" s="109"/>
      <c r="Z476" s="109"/>
    </row>
    <row r="477" ht="29.25" customHeight="1">
      <c r="A477" s="109"/>
      <c r="B477" s="109"/>
      <c r="C477" s="109"/>
      <c r="D477" s="109"/>
      <c r="E477" s="109"/>
      <c r="F477" s="109"/>
      <c r="G477" s="317"/>
      <c r="H477" s="109"/>
      <c r="I477" s="109"/>
      <c r="J477" s="109"/>
      <c r="K477" s="109"/>
      <c r="L477" s="109"/>
      <c r="M477" s="109"/>
      <c r="N477" s="109"/>
      <c r="O477" s="109"/>
      <c r="P477" s="109"/>
      <c r="Q477" s="109"/>
      <c r="R477" s="109"/>
      <c r="S477" s="109"/>
      <c r="T477" s="109"/>
      <c r="U477" s="109"/>
      <c r="V477" s="109"/>
      <c r="W477" s="109"/>
      <c r="X477" s="109"/>
      <c r="Y477" s="109"/>
      <c r="Z477" s="109"/>
    </row>
    <row r="478" ht="29.25" customHeight="1">
      <c r="A478" s="109"/>
      <c r="B478" s="109"/>
      <c r="C478" s="109"/>
      <c r="D478" s="109"/>
      <c r="E478" s="109"/>
      <c r="F478" s="109"/>
      <c r="G478" s="317"/>
      <c r="H478" s="109"/>
      <c r="I478" s="109"/>
      <c r="J478" s="109"/>
      <c r="K478" s="109"/>
      <c r="L478" s="109"/>
      <c r="M478" s="109"/>
      <c r="N478" s="109"/>
      <c r="O478" s="109"/>
      <c r="P478" s="109"/>
      <c r="Q478" s="109"/>
      <c r="R478" s="109"/>
      <c r="S478" s="109"/>
      <c r="T478" s="109"/>
      <c r="U478" s="109"/>
      <c r="V478" s="109"/>
      <c r="W478" s="109"/>
      <c r="X478" s="109"/>
      <c r="Y478" s="109"/>
      <c r="Z478" s="109"/>
    </row>
    <row r="479" ht="29.25" customHeight="1">
      <c r="A479" s="109"/>
      <c r="B479" s="109"/>
      <c r="C479" s="109"/>
      <c r="D479" s="109"/>
      <c r="E479" s="109"/>
      <c r="F479" s="109"/>
      <c r="G479" s="317"/>
      <c r="H479" s="109"/>
      <c r="I479" s="109"/>
      <c r="J479" s="109"/>
      <c r="K479" s="109"/>
      <c r="L479" s="109"/>
      <c r="M479" s="109"/>
      <c r="N479" s="109"/>
      <c r="O479" s="109"/>
      <c r="P479" s="109"/>
      <c r="Q479" s="109"/>
      <c r="R479" s="109"/>
      <c r="S479" s="109"/>
      <c r="T479" s="109"/>
      <c r="U479" s="109"/>
      <c r="V479" s="109"/>
      <c r="W479" s="109"/>
      <c r="X479" s="109"/>
      <c r="Y479" s="109"/>
      <c r="Z479" s="109"/>
    </row>
    <row r="480" ht="29.25" customHeight="1">
      <c r="A480" s="109"/>
      <c r="B480" s="109"/>
      <c r="C480" s="109"/>
      <c r="D480" s="109"/>
      <c r="E480" s="109"/>
      <c r="F480" s="109"/>
      <c r="G480" s="317"/>
      <c r="H480" s="109"/>
      <c r="I480" s="109"/>
      <c r="J480" s="109"/>
      <c r="K480" s="109"/>
      <c r="L480" s="109"/>
      <c r="M480" s="109"/>
      <c r="N480" s="109"/>
      <c r="O480" s="109"/>
      <c r="P480" s="109"/>
      <c r="Q480" s="109"/>
      <c r="R480" s="109"/>
      <c r="S480" s="109"/>
      <c r="T480" s="109"/>
      <c r="U480" s="109"/>
      <c r="V480" s="109"/>
      <c r="W480" s="109"/>
      <c r="X480" s="109"/>
      <c r="Y480" s="109"/>
      <c r="Z480" s="109"/>
    </row>
    <row r="481" ht="29.25" customHeight="1">
      <c r="A481" s="109"/>
      <c r="B481" s="109"/>
      <c r="C481" s="109"/>
      <c r="D481" s="109"/>
      <c r="E481" s="109"/>
      <c r="F481" s="109"/>
      <c r="G481" s="317"/>
      <c r="H481" s="109"/>
      <c r="I481" s="109"/>
      <c r="J481" s="109"/>
      <c r="K481" s="109"/>
      <c r="L481" s="109"/>
      <c r="M481" s="109"/>
      <c r="N481" s="109"/>
      <c r="O481" s="109"/>
      <c r="P481" s="109"/>
      <c r="Q481" s="109"/>
      <c r="R481" s="109"/>
      <c r="S481" s="109"/>
      <c r="T481" s="109"/>
      <c r="U481" s="109"/>
      <c r="V481" s="109"/>
      <c r="W481" s="109"/>
      <c r="X481" s="109"/>
      <c r="Y481" s="109"/>
      <c r="Z481" s="109"/>
    </row>
    <row r="482" ht="29.25" customHeight="1">
      <c r="A482" s="109"/>
      <c r="B482" s="109"/>
      <c r="C482" s="109"/>
      <c r="D482" s="109"/>
      <c r="E482" s="109"/>
      <c r="F482" s="109"/>
      <c r="G482" s="317"/>
      <c r="H482" s="109"/>
      <c r="I482" s="109"/>
      <c r="J482" s="109"/>
      <c r="K482" s="109"/>
      <c r="L482" s="109"/>
      <c r="M482" s="109"/>
      <c r="N482" s="109"/>
      <c r="O482" s="109"/>
      <c r="P482" s="109"/>
      <c r="Q482" s="109"/>
      <c r="R482" s="109"/>
      <c r="S482" s="109"/>
      <c r="T482" s="109"/>
      <c r="U482" s="109"/>
      <c r="V482" s="109"/>
      <c r="W482" s="109"/>
      <c r="X482" s="109"/>
      <c r="Y482" s="109"/>
      <c r="Z482" s="109"/>
    </row>
    <row r="483" ht="29.25" customHeight="1">
      <c r="A483" s="109"/>
      <c r="B483" s="109"/>
      <c r="C483" s="109"/>
      <c r="D483" s="109"/>
      <c r="E483" s="109"/>
      <c r="F483" s="109"/>
      <c r="G483" s="317"/>
      <c r="H483" s="109"/>
      <c r="I483" s="109"/>
      <c r="J483" s="109"/>
      <c r="K483" s="109"/>
      <c r="L483" s="109"/>
      <c r="M483" s="109"/>
      <c r="N483" s="109"/>
      <c r="O483" s="109"/>
      <c r="P483" s="109"/>
      <c r="Q483" s="109"/>
      <c r="R483" s="109"/>
      <c r="S483" s="109"/>
      <c r="T483" s="109"/>
      <c r="U483" s="109"/>
      <c r="V483" s="109"/>
      <c r="W483" s="109"/>
      <c r="X483" s="109"/>
      <c r="Y483" s="109"/>
      <c r="Z483" s="109"/>
    </row>
    <row r="484" ht="29.25" customHeight="1">
      <c r="A484" s="109"/>
      <c r="B484" s="109"/>
      <c r="C484" s="109"/>
      <c r="D484" s="109"/>
      <c r="E484" s="109"/>
      <c r="F484" s="109"/>
      <c r="G484" s="317"/>
      <c r="H484" s="109"/>
      <c r="I484" s="109"/>
      <c r="J484" s="109"/>
      <c r="K484" s="109"/>
      <c r="L484" s="109"/>
      <c r="M484" s="109"/>
      <c r="N484" s="109"/>
      <c r="O484" s="109"/>
      <c r="P484" s="109"/>
      <c r="Q484" s="109"/>
      <c r="R484" s="109"/>
      <c r="S484" s="109"/>
      <c r="T484" s="109"/>
      <c r="U484" s="109"/>
      <c r="V484" s="109"/>
      <c r="W484" s="109"/>
      <c r="X484" s="109"/>
      <c r="Y484" s="109"/>
      <c r="Z484" s="109"/>
    </row>
    <row r="485" ht="29.25" customHeight="1">
      <c r="A485" s="109"/>
      <c r="B485" s="109"/>
      <c r="C485" s="109"/>
      <c r="D485" s="109"/>
      <c r="E485" s="109"/>
      <c r="F485" s="109"/>
      <c r="G485" s="317"/>
      <c r="H485" s="109"/>
      <c r="I485" s="109"/>
      <c r="J485" s="109"/>
      <c r="K485" s="109"/>
      <c r="L485" s="109"/>
      <c r="M485" s="109"/>
      <c r="N485" s="109"/>
      <c r="O485" s="109"/>
      <c r="P485" s="109"/>
      <c r="Q485" s="109"/>
      <c r="R485" s="109"/>
      <c r="S485" s="109"/>
      <c r="T485" s="109"/>
      <c r="U485" s="109"/>
      <c r="V485" s="109"/>
      <c r="W485" s="109"/>
      <c r="X485" s="109"/>
      <c r="Y485" s="109"/>
      <c r="Z485" s="109"/>
    </row>
    <row r="486" ht="29.25" customHeight="1">
      <c r="A486" s="109"/>
      <c r="B486" s="109"/>
      <c r="C486" s="109"/>
      <c r="D486" s="109"/>
      <c r="E486" s="109"/>
      <c r="F486" s="109"/>
      <c r="G486" s="317"/>
      <c r="H486" s="109"/>
      <c r="I486" s="109"/>
      <c r="J486" s="109"/>
      <c r="K486" s="109"/>
      <c r="L486" s="109"/>
      <c r="M486" s="109"/>
      <c r="N486" s="109"/>
      <c r="O486" s="109"/>
      <c r="P486" s="109"/>
      <c r="Q486" s="109"/>
      <c r="R486" s="109"/>
      <c r="S486" s="109"/>
      <c r="T486" s="109"/>
      <c r="U486" s="109"/>
      <c r="V486" s="109"/>
      <c r="W486" s="109"/>
      <c r="X486" s="109"/>
      <c r="Y486" s="109"/>
      <c r="Z486" s="109"/>
    </row>
    <row r="487" ht="29.25" customHeight="1">
      <c r="A487" s="109"/>
      <c r="B487" s="109"/>
      <c r="C487" s="109"/>
      <c r="D487" s="109"/>
      <c r="E487" s="109"/>
      <c r="F487" s="109"/>
      <c r="G487" s="317"/>
      <c r="H487" s="109"/>
      <c r="I487" s="109"/>
      <c r="J487" s="109"/>
      <c r="K487" s="109"/>
      <c r="L487" s="109"/>
      <c r="M487" s="109"/>
      <c r="N487" s="109"/>
      <c r="O487" s="109"/>
      <c r="P487" s="109"/>
      <c r="Q487" s="109"/>
      <c r="R487" s="109"/>
      <c r="S487" s="109"/>
      <c r="T487" s="109"/>
      <c r="U487" s="109"/>
      <c r="V487" s="109"/>
      <c r="W487" s="109"/>
      <c r="X487" s="109"/>
      <c r="Y487" s="109"/>
      <c r="Z487" s="109"/>
    </row>
    <row r="488" ht="29.25" customHeight="1">
      <c r="A488" s="109"/>
      <c r="B488" s="109"/>
      <c r="C488" s="109"/>
      <c r="D488" s="109"/>
      <c r="E488" s="109"/>
      <c r="F488" s="109"/>
      <c r="G488" s="317"/>
      <c r="H488" s="109"/>
      <c r="I488" s="109"/>
      <c r="J488" s="109"/>
      <c r="K488" s="109"/>
      <c r="L488" s="109"/>
      <c r="M488" s="109"/>
      <c r="N488" s="109"/>
      <c r="O488" s="109"/>
      <c r="P488" s="109"/>
      <c r="Q488" s="109"/>
      <c r="R488" s="109"/>
      <c r="S488" s="109"/>
      <c r="T488" s="109"/>
      <c r="U488" s="109"/>
      <c r="V488" s="109"/>
      <c r="W488" s="109"/>
      <c r="X488" s="109"/>
      <c r="Y488" s="109"/>
      <c r="Z488" s="109"/>
    </row>
    <row r="489" ht="29.25" customHeight="1">
      <c r="A489" s="109"/>
      <c r="B489" s="109"/>
      <c r="C489" s="109"/>
      <c r="D489" s="109"/>
      <c r="E489" s="109"/>
      <c r="F489" s="109"/>
      <c r="G489" s="317"/>
      <c r="H489" s="109"/>
      <c r="I489" s="109"/>
      <c r="J489" s="109"/>
      <c r="K489" s="109"/>
      <c r="L489" s="109"/>
      <c r="M489" s="109"/>
      <c r="N489" s="109"/>
      <c r="O489" s="109"/>
      <c r="P489" s="109"/>
      <c r="Q489" s="109"/>
      <c r="R489" s="109"/>
      <c r="S489" s="109"/>
      <c r="T489" s="109"/>
      <c r="U489" s="109"/>
      <c r="V489" s="109"/>
      <c r="W489" s="109"/>
      <c r="X489" s="109"/>
      <c r="Y489" s="109"/>
      <c r="Z489" s="109"/>
    </row>
    <row r="490" ht="29.25" customHeight="1">
      <c r="A490" s="109"/>
      <c r="B490" s="109"/>
      <c r="C490" s="109"/>
      <c r="D490" s="109"/>
      <c r="E490" s="109"/>
      <c r="F490" s="109"/>
      <c r="G490" s="317"/>
      <c r="H490" s="109"/>
      <c r="I490" s="109"/>
      <c r="J490" s="109"/>
      <c r="K490" s="109"/>
      <c r="L490" s="109"/>
      <c r="M490" s="109"/>
      <c r="N490" s="109"/>
      <c r="O490" s="109"/>
      <c r="P490" s="109"/>
      <c r="Q490" s="109"/>
      <c r="R490" s="109"/>
      <c r="S490" s="109"/>
      <c r="T490" s="109"/>
      <c r="U490" s="109"/>
      <c r="V490" s="109"/>
      <c r="W490" s="109"/>
      <c r="X490" s="109"/>
      <c r="Y490" s="109"/>
      <c r="Z490" s="109"/>
    </row>
    <row r="491" ht="29.25" customHeight="1">
      <c r="A491" s="109"/>
      <c r="B491" s="109"/>
      <c r="C491" s="109"/>
      <c r="D491" s="109"/>
      <c r="E491" s="109"/>
      <c r="F491" s="109"/>
      <c r="G491" s="317"/>
      <c r="H491" s="109"/>
      <c r="I491" s="109"/>
      <c r="J491" s="109"/>
      <c r="K491" s="109"/>
      <c r="L491" s="109"/>
      <c r="M491" s="109"/>
      <c r="N491" s="109"/>
      <c r="O491" s="109"/>
      <c r="P491" s="109"/>
      <c r="Q491" s="109"/>
      <c r="R491" s="109"/>
      <c r="S491" s="109"/>
      <c r="T491" s="109"/>
      <c r="U491" s="109"/>
      <c r="V491" s="109"/>
      <c r="W491" s="109"/>
      <c r="X491" s="109"/>
      <c r="Y491" s="109"/>
      <c r="Z491" s="109"/>
    </row>
    <row r="492" ht="29.25" customHeight="1">
      <c r="A492" s="109"/>
      <c r="B492" s="109"/>
      <c r="C492" s="109"/>
      <c r="D492" s="109"/>
      <c r="E492" s="109"/>
      <c r="F492" s="109"/>
      <c r="G492" s="317"/>
      <c r="H492" s="109"/>
      <c r="I492" s="109"/>
      <c r="J492" s="109"/>
      <c r="K492" s="109"/>
      <c r="L492" s="109"/>
      <c r="M492" s="109"/>
      <c r="N492" s="109"/>
      <c r="O492" s="109"/>
      <c r="P492" s="109"/>
      <c r="Q492" s="109"/>
      <c r="R492" s="109"/>
      <c r="S492" s="109"/>
      <c r="T492" s="109"/>
      <c r="U492" s="109"/>
      <c r="V492" s="109"/>
      <c r="W492" s="109"/>
      <c r="X492" s="109"/>
      <c r="Y492" s="109"/>
      <c r="Z492" s="109"/>
    </row>
    <row r="493" ht="29.25" customHeight="1">
      <c r="A493" s="109"/>
      <c r="B493" s="109"/>
      <c r="C493" s="109"/>
      <c r="D493" s="109"/>
      <c r="E493" s="109"/>
      <c r="F493" s="109"/>
      <c r="G493" s="317"/>
      <c r="H493" s="109"/>
      <c r="I493" s="109"/>
      <c r="J493" s="109"/>
      <c r="K493" s="109"/>
      <c r="L493" s="109"/>
      <c r="M493" s="109"/>
      <c r="N493" s="109"/>
      <c r="O493" s="109"/>
      <c r="P493" s="109"/>
      <c r="Q493" s="109"/>
      <c r="R493" s="109"/>
      <c r="S493" s="109"/>
      <c r="T493" s="109"/>
      <c r="U493" s="109"/>
      <c r="V493" s="109"/>
      <c r="W493" s="109"/>
      <c r="X493" s="109"/>
      <c r="Y493" s="109"/>
      <c r="Z493" s="109"/>
    </row>
    <row r="494" ht="29.25" customHeight="1">
      <c r="A494" s="109"/>
      <c r="B494" s="109"/>
      <c r="C494" s="109"/>
      <c r="D494" s="109"/>
      <c r="E494" s="109"/>
      <c r="F494" s="109"/>
      <c r="G494" s="317"/>
      <c r="H494" s="109"/>
      <c r="I494" s="109"/>
      <c r="J494" s="109"/>
      <c r="K494" s="109"/>
      <c r="L494" s="109"/>
      <c r="M494" s="109"/>
      <c r="N494" s="109"/>
      <c r="O494" s="109"/>
      <c r="P494" s="109"/>
      <c r="Q494" s="109"/>
      <c r="R494" s="109"/>
      <c r="S494" s="109"/>
      <c r="T494" s="109"/>
      <c r="U494" s="109"/>
      <c r="V494" s="109"/>
      <c r="W494" s="109"/>
      <c r="X494" s="109"/>
      <c r="Y494" s="109"/>
      <c r="Z494" s="109"/>
    </row>
    <row r="495" ht="29.25" customHeight="1">
      <c r="A495" s="109"/>
      <c r="B495" s="109"/>
      <c r="C495" s="109"/>
      <c r="D495" s="109"/>
      <c r="E495" s="109"/>
      <c r="F495" s="109"/>
      <c r="G495" s="317"/>
      <c r="H495" s="109"/>
      <c r="I495" s="109"/>
      <c r="J495" s="109"/>
      <c r="K495" s="109"/>
      <c r="L495" s="109"/>
      <c r="M495" s="109"/>
      <c r="N495" s="109"/>
      <c r="O495" s="109"/>
      <c r="P495" s="109"/>
      <c r="Q495" s="109"/>
      <c r="R495" s="109"/>
      <c r="S495" s="109"/>
      <c r="T495" s="109"/>
      <c r="U495" s="109"/>
      <c r="V495" s="109"/>
      <c r="W495" s="109"/>
      <c r="X495" s="109"/>
      <c r="Y495" s="109"/>
      <c r="Z495" s="109"/>
    </row>
    <row r="496" ht="29.25" customHeight="1">
      <c r="A496" s="109"/>
      <c r="B496" s="109"/>
      <c r="C496" s="109"/>
      <c r="D496" s="109"/>
      <c r="E496" s="109"/>
      <c r="F496" s="109"/>
      <c r="G496" s="317"/>
      <c r="H496" s="109"/>
      <c r="I496" s="109"/>
      <c r="J496" s="109"/>
      <c r="K496" s="109"/>
      <c r="L496" s="109"/>
      <c r="M496" s="109"/>
      <c r="N496" s="109"/>
      <c r="O496" s="109"/>
      <c r="P496" s="109"/>
      <c r="Q496" s="109"/>
      <c r="R496" s="109"/>
      <c r="S496" s="109"/>
      <c r="T496" s="109"/>
      <c r="U496" s="109"/>
      <c r="V496" s="109"/>
      <c r="W496" s="109"/>
      <c r="X496" s="109"/>
      <c r="Y496" s="109"/>
      <c r="Z496" s="109"/>
    </row>
    <row r="497" ht="29.25" customHeight="1">
      <c r="A497" s="109"/>
      <c r="B497" s="109"/>
      <c r="C497" s="109"/>
      <c r="D497" s="109"/>
      <c r="E497" s="109"/>
      <c r="F497" s="109"/>
      <c r="G497" s="317"/>
      <c r="H497" s="109"/>
      <c r="I497" s="109"/>
      <c r="J497" s="109"/>
      <c r="K497" s="109"/>
      <c r="L497" s="109"/>
      <c r="M497" s="109"/>
      <c r="N497" s="109"/>
      <c r="O497" s="109"/>
      <c r="P497" s="109"/>
      <c r="Q497" s="109"/>
      <c r="R497" s="109"/>
      <c r="S497" s="109"/>
      <c r="T497" s="109"/>
      <c r="U497" s="109"/>
      <c r="V497" s="109"/>
      <c r="W497" s="109"/>
      <c r="X497" s="109"/>
      <c r="Y497" s="109"/>
      <c r="Z497" s="109"/>
    </row>
    <row r="498" ht="29.25" customHeight="1">
      <c r="A498" s="109"/>
      <c r="B498" s="109"/>
      <c r="C498" s="109"/>
      <c r="D498" s="109"/>
      <c r="E498" s="109"/>
      <c r="F498" s="109"/>
      <c r="G498" s="317"/>
      <c r="H498" s="109"/>
      <c r="I498" s="109"/>
      <c r="J498" s="109"/>
      <c r="K498" s="109"/>
      <c r="L498" s="109"/>
      <c r="M498" s="109"/>
      <c r="N498" s="109"/>
      <c r="O498" s="109"/>
      <c r="P498" s="109"/>
      <c r="Q498" s="109"/>
      <c r="R498" s="109"/>
      <c r="S498" s="109"/>
      <c r="T498" s="109"/>
      <c r="U498" s="109"/>
      <c r="V498" s="109"/>
      <c r="W498" s="109"/>
      <c r="X498" s="109"/>
      <c r="Y498" s="109"/>
      <c r="Z498" s="109"/>
    </row>
    <row r="499" ht="29.25" customHeight="1">
      <c r="A499" s="109"/>
      <c r="B499" s="109"/>
      <c r="C499" s="109"/>
      <c r="D499" s="109"/>
      <c r="E499" s="109"/>
      <c r="F499" s="109"/>
      <c r="G499" s="317"/>
      <c r="H499" s="109"/>
      <c r="I499" s="109"/>
      <c r="J499" s="109"/>
      <c r="K499" s="109"/>
      <c r="L499" s="109"/>
      <c r="M499" s="109"/>
      <c r="N499" s="109"/>
      <c r="O499" s="109"/>
      <c r="P499" s="109"/>
      <c r="Q499" s="109"/>
      <c r="R499" s="109"/>
      <c r="S499" s="109"/>
      <c r="T499" s="109"/>
      <c r="U499" s="109"/>
      <c r="V499" s="109"/>
      <c r="W499" s="109"/>
      <c r="X499" s="109"/>
      <c r="Y499" s="109"/>
      <c r="Z499" s="109"/>
    </row>
    <row r="500" ht="29.25" customHeight="1">
      <c r="A500" s="109"/>
      <c r="B500" s="109"/>
      <c r="C500" s="109"/>
      <c r="D500" s="109"/>
      <c r="E500" s="109"/>
      <c r="F500" s="109"/>
      <c r="G500" s="317"/>
      <c r="H500" s="109"/>
      <c r="I500" s="109"/>
      <c r="J500" s="109"/>
      <c r="K500" s="109"/>
      <c r="L500" s="109"/>
      <c r="M500" s="109"/>
      <c r="N500" s="109"/>
      <c r="O500" s="109"/>
      <c r="P500" s="109"/>
      <c r="Q500" s="109"/>
      <c r="R500" s="109"/>
      <c r="S500" s="109"/>
      <c r="T500" s="109"/>
      <c r="U500" s="109"/>
      <c r="V500" s="109"/>
      <c r="W500" s="109"/>
      <c r="X500" s="109"/>
      <c r="Y500" s="109"/>
      <c r="Z500" s="109"/>
    </row>
    <row r="501" ht="29.25" customHeight="1">
      <c r="A501" s="109"/>
      <c r="B501" s="109"/>
      <c r="C501" s="109"/>
      <c r="D501" s="109"/>
      <c r="E501" s="109"/>
      <c r="F501" s="109"/>
      <c r="G501" s="317"/>
      <c r="H501" s="109"/>
      <c r="I501" s="109"/>
      <c r="J501" s="109"/>
      <c r="K501" s="109"/>
      <c r="L501" s="109"/>
      <c r="M501" s="109"/>
      <c r="N501" s="109"/>
      <c r="O501" s="109"/>
      <c r="P501" s="109"/>
      <c r="Q501" s="109"/>
      <c r="R501" s="109"/>
      <c r="S501" s="109"/>
      <c r="T501" s="109"/>
      <c r="U501" s="109"/>
      <c r="V501" s="109"/>
      <c r="W501" s="109"/>
      <c r="X501" s="109"/>
      <c r="Y501" s="109"/>
      <c r="Z501" s="109"/>
    </row>
    <row r="502" ht="29.25" customHeight="1">
      <c r="A502" s="109"/>
      <c r="B502" s="109"/>
      <c r="C502" s="109"/>
      <c r="D502" s="109"/>
      <c r="E502" s="109"/>
      <c r="F502" s="109"/>
      <c r="G502" s="317"/>
      <c r="H502" s="109"/>
      <c r="I502" s="109"/>
      <c r="J502" s="109"/>
      <c r="K502" s="109"/>
      <c r="L502" s="109"/>
      <c r="M502" s="109"/>
      <c r="N502" s="109"/>
      <c r="O502" s="109"/>
      <c r="P502" s="109"/>
      <c r="Q502" s="109"/>
      <c r="R502" s="109"/>
      <c r="S502" s="109"/>
      <c r="T502" s="109"/>
      <c r="U502" s="109"/>
      <c r="V502" s="109"/>
      <c r="W502" s="109"/>
      <c r="X502" s="109"/>
      <c r="Y502" s="109"/>
      <c r="Z502" s="109"/>
    </row>
    <row r="503" ht="29.25" customHeight="1">
      <c r="A503" s="109"/>
      <c r="B503" s="109"/>
      <c r="C503" s="109"/>
      <c r="D503" s="109"/>
      <c r="E503" s="109"/>
      <c r="F503" s="109"/>
      <c r="G503" s="317"/>
      <c r="H503" s="109"/>
      <c r="I503" s="109"/>
      <c r="J503" s="109"/>
      <c r="K503" s="109"/>
      <c r="L503" s="109"/>
      <c r="M503" s="109"/>
      <c r="N503" s="109"/>
      <c r="O503" s="109"/>
      <c r="P503" s="109"/>
      <c r="Q503" s="109"/>
      <c r="R503" s="109"/>
      <c r="S503" s="109"/>
      <c r="T503" s="109"/>
      <c r="U503" s="109"/>
      <c r="V503" s="109"/>
      <c r="W503" s="109"/>
      <c r="X503" s="109"/>
      <c r="Y503" s="109"/>
      <c r="Z503" s="109"/>
    </row>
    <row r="504" ht="29.25" customHeight="1">
      <c r="A504" s="109"/>
      <c r="B504" s="109"/>
      <c r="C504" s="109"/>
      <c r="D504" s="109"/>
      <c r="E504" s="109"/>
      <c r="F504" s="109"/>
      <c r="G504" s="317"/>
      <c r="H504" s="109"/>
      <c r="I504" s="109"/>
      <c r="J504" s="109"/>
      <c r="K504" s="109"/>
      <c r="L504" s="109"/>
      <c r="M504" s="109"/>
      <c r="N504" s="109"/>
      <c r="O504" s="109"/>
      <c r="P504" s="109"/>
      <c r="Q504" s="109"/>
      <c r="R504" s="109"/>
      <c r="S504" s="109"/>
      <c r="T504" s="109"/>
      <c r="U504" s="109"/>
      <c r="V504" s="109"/>
      <c r="W504" s="109"/>
      <c r="X504" s="109"/>
      <c r="Y504" s="109"/>
      <c r="Z504" s="109"/>
    </row>
    <row r="505" ht="29.25" customHeight="1">
      <c r="A505" s="109"/>
      <c r="B505" s="109"/>
      <c r="C505" s="109"/>
      <c r="D505" s="109"/>
      <c r="E505" s="109"/>
      <c r="F505" s="109"/>
      <c r="G505" s="317"/>
      <c r="H505" s="109"/>
      <c r="I505" s="109"/>
      <c r="J505" s="109"/>
      <c r="K505" s="109"/>
      <c r="L505" s="109"/>
      <c r="M505" s="109"/>
      <c r="N505" s="109"/>
      <c r="O505" s="109"/>
      <c r="P505" s="109"/>
      <c r="Q505" s="109"/>
      <c r="R505" s="109"/>
      <c r="S505" s="109"/>
      <c r="T505" s="109"/>
      <c r="U505" s="109"/>
      <c r="V505" s="109"/>
      <c r="W505" s="109"/>
      <c r="X505" s="109"/>
      <c r="Y505" s="109"/>
      <c r="Z505" s="109"/>
    </row>
    <row r="506" ht="29.25" customHeight="1">
      <c r="A506" s="109"/>
      <c r="B506" s="109"/>
      <c r="C506" s="109"/>
      <c r="D506" s="109"/>
      <c r="E506" s="109"/>
      <c r="F506" s="109"/>
      <c r="G506" s="317"/>
      <c r="H506" s="109"/>
      <c r="I506" s="109"/>
      <c r="J506" s="109"/>
      <c r="K506" s="109"/>
      <c r="L506" s="109"/>
      <c r="M506" s="109"/>
      <c r="N506" s="109"/>
      <c r="O506" s="109"/>
      <c r="P506" s="109"/>
      <c r="Q506" s="109"/>
      <c r="R506" s="109"/>
      <c r="S506" s="109"/>
      <c r="T506" s="109"/>
      <c r="U506" s="109"/>
      <c r="V506" s="109"/>
      <c r="W506" s="109"/>
      <c r="X506" s="109"/>
      <c r="Y506" s="109"/>
      <c r="Z506" s="109"/>
    </row>
    <row r="507" ht="29.25" customHeight="1">
      <c r="A507" s="109"/>
      <c r="B507" s="109"/>
      <c r="C507" s="109"/>
      <c r="D507" s="109"/>
      <c r="E507" s="109"/>
      <c r="F507" s="109"/>
      <c r="G507" s="317"/>
      <c r="H507" s="109"/>
      <c r="I507" s="109"/>
      <c r="J507" s="109"/>
      <c r="K507" s="109"/>
      <c r="L507" s="109"/>
      <c r="M507" s="109"/>
      <c r="N507" s="109"/>
      <c r="O507" s="109"/>
      <c r="P507" s="109"/>
      <c r="Q507" s="109"/>
      <c r="R507" s="109"/>
      <c r="S507" s="109"/>
      <c r="T507" s="109"/>
      <c r="U507" s="109"/>
      <c r="V507" s="109"/>
      <c r="W507" s="109"/>
      <c r="X507" s="109"/>
      <c r="Y507" s="109"/>
      <c r="Z507" s="109"/>
    </row>
    <row r="508" ht="29.25" customHeight="1">
      <c r="A508" s="109"/>
      <c r="B508" s="109"/>
      <c r="C508" s="109"/>
      <c r="D508" s="109"/>
      <c r="E508" s="109"/>
      <c r="F508" s="109"/>
      <c r="G508" s="317"/>
      <c r="H508" s="109"/>
      <c r="I508" s="109"/>
      <c r="J508" s="109"/>
      <c r="K508" s="109"/>
      <c r="L508" s="109"/>
      <c r="M508" s="109"/>
      <c r="N508" s="109"/>
      <c r="O508" s="109"/>
      <c r="P508" s="109"/>
      <c r="Q508" s="109"/>
      <c r="R508" s="109"/>
      <c r="S508" s="109"/>
      <c r="T508" s="109"/>
      <c r="U508" s="109"/>
      <c r="V508" s="109"/>
      <c r="W508" s="109"/>
      <c r="X508" s="109"/>
      <c r="Y508" s="109"/>
      <c r="Z508" s="109"/>
    </row>
    <row r="509" ht="29.25" customHeight="1">
      <c r="A509" s="109"/>
      <c r="B509" s="109"/>
      <c r="C509" s="109"/>
      <c r="D509" s="109"/>
      <c r="E509" s="109"/>
      <c r="F509" s="109"/>
      <c r="G509" s="317"/>
      <c r="H509" s="109"/>
      <c r="I509" s="109"/>
      <c r="J509" s="109"/>
      <c r="K509" s="109"/>
      <c r="L509" s="109"/>
      <c r="M509" s="109"/>
      <c r="N509" s="109"/>
      <c r="O509" s="109"/>
      <c r="P509" s="109"/>
      <c r="Q509" s="109"/>
      <c r="R509" s="109"/>
      <c r="S509" s="109"/>
      <c r="T509" s="109"/>
      <c r="U509" s="109"/>
      <c r="V509" s="109"/>
      <c r="W509" s="109"/>
      <c r="X509" s="109"/>
      <c r="Y509" s="109"/>
      <c r="Z509" s="109"/>
    </row>
    <row r="510" ht="29.25" customHeight="1">
      <c r="A510" s="109"/>
      <c r="B510" s="109"/>
      <c r="C510" s="109"/>
      <c r="D510" s="109"/>
      <c r="E510" s="109"/>
      <c r="F510" s="109"/>
      <c r="G510" s="317"/>
      <c r="H510" s="109"/>
      <c r="I510" s="109"/>
      <c r="J510" s="109"/>
      <c r="K510" s="109"/>
      <c r="L510" s="109"/>
      <c r="M510" s="109"/>
      <c r="N510" s="109"/>
      <c r="O510" s="109"/>
      <c r="P510" s="109"/>
      <c r="Q510" s="109"/>
      <c r="R510" s="109"/>
      <c r="S510" s="109"/>
      <c r="T510" s="109"/>
      <c r="U510" s="109"/>
      <c r="V510" s="109"/>
      <c r="W510" s="109"/>
      <c r="X510" s="109"/>
      <c r="Y510" s="109"/>
      <c r="Z510" s="109"/>
    </row>
    <row r="511" ht="29.25" customHeight="1">
      <c r="A511" s="109"/>
      <c r="B511" s="109"/>
      <c r="C511" s="109"/>
      <c r="D511" s="109"/>
      <c r="E511" s="109"/>
      <c r="F511" s="109"/>
      <c r="G511" s="317"/>
      <c r="H511" s="109"/>
      <c r="I511" s="109"/>
      <c r="J511" s="109"/>
      <c r="K511" s="109"/>
      <c r="L511" s="109"/>
      <c r="M511" s="109"/>
      <c r="N511" s="109"/>
      <c r="O511" s="109"/>
      <c r="P511" s="109"/>
      <c r="Q511" s="109"/>
      <c r="R511" s="109"/>
      <c r="S511" s="109"/>
      <c r="T511" s="109"/>
      <c r="U511" s="109"/>
      <c r="V511" s="109"/>
      <c r="W511" s="109"/>
      <c r="X511" s="109"/>
      <c r="Y511" s="109"/>
      <c r="Z511" s="109"/>
    </row>
    <row r="512" ht="29.25" customHeight="1">
      <c r="A512" s="109"/>
      <c r="B512" s="109"/>
      <c r="C512" s="109"/>
      <c r="D512" s="109"/>
      <c r="E512" s="109"/>
      <c r="F512" s="109"/>
      <c r="G512" s="317"/>
      <c r="H512" s="109"/>
      <c r="I512" s="109"/>
      <c r="J512" s="109"/>
      <c r="K512" s="109"/>
      <c r="L512" s="109"/>
      <c r="M512" s="109"/>
      <c r="N512" s="109"/>
      <c r="O512" s="109"/>
      <c r="P512" s="109"/>
      <c r="Q512" s="109"/>
      <c r="R512" s="109"/>
      <c r="S512" s="109"/>
      <c r="T512" s="109"/>
      <c r="U512" s="109"/>
      <c r="V512" s="109"/>
      <c r="W512" s="109"/>
      <c r="X512" s="109"/>
      <c r="Y512" s="109"/>
      <c r="Z512" s="109"/>
    </row>
    <row r="513" ht="29.25" customHeight="1">
      <c r="A513" s="109"/>
      <c r="B513" s="109"/>
      <c r="C513" s="109"/>
      <c r="D513" s="109"/>
      <c r="E513" s="109"/>
      <c r="F513" s="109"/>
      <c r="G513" s="317"/>
      <c r="H513" s="109"/>
      <c r="I513" s="109"/>
      <c r="J513" s="109"/>
      <c r="K513" s="109"/>
      <c r="L513" s="109"/>
      <c r="M513" s="109"/>
      <c r="N513" s="109"/>
      <c r="O513" s="109"/>
      <c r="P513" s="109"/>
      <c r="Q513" s="109"/>
      <c r="R513" s="109"/>
      <c r="S513" s="109"/>
      <c r="T513" s="109"/>
      <c r="U513" s="109"/>
      <c r="V513" s="109"/>
      <c r="W513" s="109"/>
      <c r="X513" s="109"/>
      <c r="Y513" s="109"/>
      <c r="Z513" s="109"/>
    </row>
    <row r="514" ht="29.25" customHeight="1">
      <c r="A514" s="109"/>
      <c r="B514" s="109"/>
      <c r="C514" s="109"/>
      <c r="D514" s="109"/>
      <c r="E514" s="109"/>
      <c r="F514" s="109"/>
      <c r="G514" s="317"/>
      <c r="H514" s="109"/>
      <c r="I514" s="109"/>
      <c r="J514" s="109"/>
      <c r="K514" s="109"/>
      <c r="L514" s="109"/>
      <c r="M514" s="109"/>
      <c r="N514" s="109"/>
      <c r="O514" s="109"/>
      <c r="P514" s="109"/>
      <c r="Q514" s="109"/>
      <c r="R514" s="109"/>
      <c r="S514" s="109"/>
      <c r="T514" s="109"/>
      <c r="U514" s="109"/>
      <c r="V514" s="109"/>
      <c r="W514" s="109"/>
      <c r="X514" s="109"/>
      <c r="Y514" s="109"/>
      <c r="Z514" s="109"/>
    </row>
    <row r="515" ht="29.25" customHeight="1">
      <c r="A515" s="109"/>
      <c r="B515" s="109"/>
      <c r="C515" s="109"/>
      <c r="D515" s="109"/>
      <c r="E515" s="109"/>
      <c r="F515" s="109"/>
      <c r="G515" s="317"/>
      <c r="H515" s="109"/>
      <c r="I515" s="109"/>
      <c r="J515" s="109"/>
      <c r="K515" s="109"/>
      <c r="L515" s="109"/>
      <c r="M515" s="109"/>
      <c r="N515" s="109"/>
      <c r="O515" s="109"/>
      <c r="P515" s="109"/>
      <c r="Q515" s="109"/>
      <c r="R515" s="109"/>
      <c r="S515" s="109"/>
      <c r="T515" s="109"/>
      <c r="U515" s="109"/>
      <c r="V515" s="109"/>
      <c r="W515" s="109"/>
      <c r="X515" s="109"/>
      <c r="Y515" s="109"/>
      <c r="Z515" s="109"/>
    </row>
    <row r="516" ht="29.25" customHeight="1">
      <c r="A516" s="109"/>
      <c r="B516" s="109"/>
      <c r="C516" s="109"/>
      <c r="D516" s="109"/>
      <c r="E516" s="109"/>
      <c r="F516" s="109"/>
      <c r="G516" s="317"/>
      <c r="H516" s="109"/>
      <c r="I516" s="109"/>
      <c r="J516" s="109"/>
      <c r="K516" s="109"/>
      <c r="L516" s="109"/>
      <c r="M516" s="109"/>
      <c r="N516" s="109"/>
      <c r="O516" s="109"/>
      <c r="P516" s="109"/>
      <c r="Q516" s="109"/>
      <c r="R516" s="109"/>
      <c r="S516" s="109"/>
      <c r="T516" s="109"/>
      <c r="U516" s="109"/>
      <c r="V516" s="109"/>
      <c r="W516" s="109"/>
      <c r="X516" s="109"/>
      <c r="Y516" s="109"/>
      <c r="Z516" s="109"/>
    </row>
    <row r="517" ht="29.25" customHeight="1">
      <c r="A517" s="109"/>
      <c r="B517" s="109"/>
      <c r="C517" s="109"/>
      <c r="D517" s="109"/>
      <c r="E517" s="109"/>
      <c r="F517" s="109"/>
      <c r="G517" s="317"/>
      <c r="H517" s="109"/>
      <c r="I517" s="109"/>
      <c r="J517" s="109"/>
      <c r="K517" s="109"/>
      <c r="L517" s="109"/>
      <c r="M517" s="109"/>
      <c r="N517" s="109"/>
      <c r="O517" s="109"/>
      <c r="P517" s="109"/>
      <c r="Q517" s="109"/>
      <c r="R517" s="109"/>
      <c r="S517" s="109"/>
      <c r="T517" s="109"/>
      <c r="U517" s="109"/>
      <c r="V517" s="109"/>
      <c r="W517" s="109"/>
      <c r="X517" s="109"/>
      <c r="Y517" s="109"/>
      <c r="Z517" s="109"/>
    </row>
    <row r="518" ht="29.25" customHeight="1">
      <c r="A518" s="109"/>
      <c r="B518" s="109"/>
      <c r="C518" s="109"/>
      <c r="D518" s="109"/>
      <c r="E518" s="109"/>
      <c r="F518" s="109"/>
      <c r="G518" s="317"/>
      <c r="H518" s="109"/>
      <c r="I518" s="109"/>
      <c r="J518" s="109"/>
      <c r="K518" s="109"/>
      <c r="L518" s="109"/>
      <c r="M518" s="109"/>
      <c r="N518" s="109"/>
      <c r="O518" s="109"/>
      <c r="P518" s="109"/>
      <c r="Q518" s="109"/>
      <c r="R518" s="109"/>
      <c r="S518" s="109"/>
      <c r="T518" s="109"/>
      <c r="U518" s="109"/>
      <c r="V518" s="109"/>
      <c r="W518" s="109"/>
      <c r="X518" s="109"/>
      <c r="Y518" s="109"/>
      <c r="Z518" s="109"/>
    </row>
    <row r="519" ht="29.25" customHeight="1">
      <c r="A519" s="109"/>
      <c r="B519" s="109"/>
      <c r="C519" s="109"/>
      <c r="D519" s="109"/>
      <c r="E519" s="109"/>
      <c r="F519" s="109"/>
      <c r="G519" s="317"/>
      <c r="H519" s="109"/>
      <c r="I519" s="109"/>
      <c r="J519" s="109"/>
      <c r="K519" s="109"/>
      <c r="L519" s="109"/>
      <c r="M519" s="109"/>
      <c r="N519" s="109"/>
      <c r="O519" s="109"/>
      <c r="P519" s="109"/>
      <c r="Q519" s="109"/>
      <c r="R519" s="109"/>
      <c r="S519" s="109"/>
      <c r="T519" s="109"/>
      <c r="U519" s="109"/>
      <c r="V519" s="109"/>
      <c r="W519" s="109"/>
      <c r="X519" s="109"/>
      <c r="Y519" s="109"/>
      <c r="Z519" s="109"/>
    </row>
    <row r="520" ht="29.25" customHeight="1">
      <c r="A520" s="109"/>
      <c r="B520" s="109"/>
      <c r="C520" s="109"/>
      <c r="D520" s="109"/>
      <c r="E520" s="109"/>
      <c r="F520" s="109"/>
      <c r="G520" s="317"/>
      <c r="H520" s="109"/>
      <c r="I520" s="109"/>
      <c r="J520" s="109"/>
      <c r="K520" s="109"/>
      <c r="L520" s="109"/>
      <c r="M520" s="109"/>
      <c r="N520" s="109"/>
      <c r="O520" s="109"/>
      <c r="P520" s="109"/>
      <c r="Q520" s="109"/>
      <c r="R520" s="109"/>
      <c r="S520" s="109"/>
      <c r="T520" s="109"/>
      <c r="U520" s="109"/>
      <c r="V520" s="109"/>
      <c r="W520" s="109"/>
      <c r="X520" s="109"/>
      <c r="Y520" s="109"/>
      <c r="Z520" s="109"/>
    </row>
    <row r="521" ht="29.25" customHeight="1">
      <c r="A521" s="109"/>
      <c r="B521" s="109"/>
      <c r="C521" s="109"/>
      <c r="D521" s="109"/>
      <c r="E521" s="109"/>
      <c r="F521" s="109"/>
      <c r="G521" s="317"/>
      <c r="H521" s="109"/>
      <c r="I521" s="109"/>
      <c r="J521" s="109"/>
      <c r="K521" s="109"/>
      <c r="L521" s="109"/>
      <c r="M521" s="109"/>
      <c r="N521" s="109"/>
      <c r="O521" s="109"/>
      <c r="P521" s="109"/>
      <c r="Q521" s="109"/>
      <c r="R521" s="109"/>
      <c r="S521" s="109"/>
      <c r="T521" s="109"/>
      <c r="U521" s="109"/>
      <c r="V521" s="109"/>
      <c r="W521" s="109"/>
      <c r="X521" s="109"/>
      <c r="Y521" s="109"/>
      <c r="Z521" s="109"/>
    </row>
    <row r="522" ht="29.25" customHeight="1">
      <c r="A522" s="109"/>
      <c r="B522" s="109"/>
      <c r="C522" s="109"/>
      <c r="D522" s="109"/>
      <c r="E522" s="109"/>
      <c r="F522" s="109"/>
      <c r="G522" s="317"/>
      <c r="H522" s="109"/>
      <c r="I522" s="109"/>
      <c r="J522" s="109"/>
      <c r="K522" s="109"/>
      <c r="L522" s="109"/>
      <c r="M522" s="109"/>
      <c r="N522" s="109"/>
      <c r="O522" s="109"/>
      <c r="P522" s="109"/>
      <c r="Q522" s="109"/>
      <c r="R522" s="109"/>
      <c r="S522" s="109"/>
      <c r="T522" s="109"/>
      <c r="U522" s="109"/>
      <c r="V522" s="109"/>
      <c r="W522" s="109"/>
      <c r="X522" s="109"/>
      <c r="Y522" s="109"/>
      <c r="Z522" s="109"/>
    </row>
    <row r="523" ht="29.25" customHeight="1">
      <c r="A523" s="109"/>
      <c r="B523" s="109"/>
      <c r="C523" s="109"/>
      <c r="D523" s="109"/>
      <c r="E523" s="109"/>
      <c r="F523" s="109"/>
      <c r="G523" s="317"/>
      <c r="H523" s="109"/>
      <c r="I523" s="109"/>
      <c r="J523" s="109"/>
      <c r="K523" s="109"/>
      <c r="L523" s="109"/>
      <c r="M523" s="109"/>
      <c r="N523" s="109"/>
      <c r="O523" s="109"/>
      <c r="P523" s="109"/>
      <c r="Q523" s="109"/>
      <c r="R523" s="109"/>
      <c r="S523" s="109"/>
      <c r="T523" s="109"/>
      <c r="U523" s="109"/>
      <c r="V523" s="109"/>
      <c r="W523" s="109"/>
      <c r="X523" s="109"/>
      <c r="Y523" s="109"/>
      <c r="Z523" s="109"/>
    </row>
    <row r="524" ht="29.25" customHeight="1">
      <c r="A524" s="109"/>
      <c r="B524" s="109"/>
      <c r="C524" s="109"/>
      <c r="D524" s="109"/>
      <c r="E524" s="109"/>
      <c r="F524" s="109"/>
      <c r="G524" s="317"/>
      <c r="H524" s="109"/>
      <c r="I524" s="109"/>
      <c r="J524" s="109"/>
      <c r="K524" s="109"/>
      <c r="L524" s="109"/>
      <c r="M524" s="109"/>
      <c r="N524" s="109"/>
      <c r="O524" s="109"/>
      <c r="P524" s="109"/>
      <c r="Q524" s="109"/>
      <c r="R524" s="109"/>
      <c r="S524" s="109"/>
      <c r="T524" s="109"/>
      <c r="U524" s="109"/>
      <c r="V524" s="109"/>
      <c r="W524" s="109"/>
      <c r="X524" s="109"/>
      <c r="Y524" s="109"/>
      <c r="Z524" s="109"/>
    </row>
    <row r="525" ht="29.25" customHeight="1">
      <c r="A525" s="109"/>
      <c r="B525" s="109"/>
      <c r="C525" s="109"/>
      <c r="D525" s="109"/>
      <c r="E525" s="109"/>
      <c r="F525" s="109"/>
      <c r="G525" s="317"/>
      <c r="H525" s="109"/>
      <c r="I525" s="109"/>
      <c r="J525" s="109"/>
      <c r="K525" s="109"/>
      <c r="L525" s="109"/>
      <c r="M525" s="109"/>
      <c r="N525" s="109"/>
      <c r="O525" s="109"/>
      <c r="P525" s="109"/>
      <c r="Q525" s="109"/>
      <c r="R525" s="109"/>
      <c r="S525" s="109"/>
      <c r="T525" s="109"/>
      <c r="U525" s="109"/>
      <c r="V525" s="109"/>
      <c r="W525" s="109"/>
      <c r="X525" s="109"/>
      <c r="Y525" s="109"/>
      <c r="Z525" s="109"/>
    </row>
    <row r="526" ht="29.25" customHeight="1">
      <c r="A526" s="109"/>
      <c r="B526" s="109"/>
      <c r="C526" s="109"/>
      <c r="D526" s="109"/>
      <c r="E526" s="109"/>
      <c r="F526" s="109"/>
      <c r="G526" s="317"/>
      <c r="H526" s="109"/>
      <c r="I526" s="109"/>
      <c r="J526" s="109"/>
      <c r="K526" s="109"/>
      <c r="L526" s="109"/>
      <c r="M526" s="109"/>
      <c r="N526" s="109"/>
      <c r="O526" s="109"/>
      <c r="P526" s="109"/>
      <c r="Q526" s="109"/>
      <c r="R526" s="109"/>
      <c r="S526" s="109"/>
      <c r="T526" s="109"/>
      <c r="U526" s="109"/>
      <c r="V526" s="109"/>
      <c r="W526" s="109"/>
      <c r="X526" s="109"/>
      <c r="Y526" s="109"/>
      <c r="Z526" s="109"/>
    </row>
    <row r="527" ht="29.25" customHeight="1">
      <c r="A527" s="109"/>
      <c r="B527" s="109"/>
      <c r="C527" s="109"/>
      <c r="D527" s="109"/>
      <c r="E527" s="109"/>
      <c r="F527" s="109"/>
      <c r="G527" s="317"/>
      <c r="H527" s="109"/>
      <c r="I527" s="109"/>
      <c r="J527" s="109"/>
      <c r="K527" s="109"/>
      <c r="L527" s="109"/>
      <c r="M527" s="109"/>
      <c r="N527" s="109"/>
      <c r="O527" s="109"/>
      <c r="P527" s="109"/>
      <c r="Q527" s="109"/>
      <c r="R527" s="109"/>
      <c r="S527" s="109"/>
      <c r="T527" s="109"/>
      <c r="U527" s="109"/>
      <c r="V527" s="109"/>
      <c r="W527" s="109"/>
      <c r="X527" s="109"/>
      <c r="Y527" s="109"/>
      <c r="Z527" s="109"/>
    </row>
    <row r="528" ht="29.25" customHeight="1">
      <c r="A528" s="109"/>
      <c r="B528" s="109"/>
      <c r="C528" s="109"/>
      <c r="D528" s="109"/>
      <c r="E528" s="109"/>
      <c r="F528" s="109"/>
      <c r="G528" s="317"/>
      <c r="H528" s="109"/>
      <c r="I528" s="109"/>
      <c r="J528" s="109"/>
      <c r="K528" s="109"/>
      <c r="L528" s="109"/>
      <c r="M528" s="109"/>
      <c r="N528" s="109"/>
      <c r="O528" s="109"/>
      <c r="P528" s="109"/>
      <c r="Q528" s="109"/>
      <c r="R528" s="109"/>
      <c r="S528" s="109"/>
      <c r="T528" s="109"/>
      <c r="U528" s="109"/>
      <c r="V528" s="109"/>
      <c r="W528" s="109"/>
      <c r="X528" s="109"/>
      <c r="Y528" s="109"/>
      <c r="Z528" s="109"/>
    </row>
    <row r="529" ht="29.25" customHeight="1">
      <c r="A529" s="109"/>
      <c r="B529" s="109"/>
      <c r="C529" s="109"/>
      <c r="D529" s="109"/>
      <c r="E529" s="109"/>
      <c r="F529" s="109"/>
      <c r="G529" s="317"/>
      <c r="H529" s="109"/>
      <c r="I529" s="109"/>
      <c r="J529" s="109"/>
      <c r="K529" s="109"/>
      <c r="L529" s="109"/>
      <c r="M529" s="109"/>
      <c r="N529" s="109"/>
      <c r="O529" s="109"/>
      <c r="P529" s="109"/>
      <c r="Q529" s="109"/>
      <c r="R529" s="109"/>
      <c r="S529" s="109"/>
      <c r="T529" s="109"/>
      <c r="U529" s="109"/>
      <c r="V529" s="109"/>
      <c r="W529" s="109"/>
      <c r="X529" s="109"/>
      <c r="Y529" s="109"/>
      <c r="Z529" s="109"/>
    </row>
    <row r="530" ht="29.25" customHeight="1">
      <c r="A530" s="109"/>
      <c r="B530" s="109"/>
      <c r="C530" s="109"/>
      <c r="D530" s="109"/>
      <c r="E530" s="109"/>
      <c r="F530" s="109"/>
      <c r="G530" s="317"/>
      <c r="H530" s="109"/>
      <c r="I530" s="109"/>
      <c r="J530" s="109"/>
      <c r="K530" s="109"/>
      <c r="L530" s="109"/>
      <c r="M530" s="109"/>
      <c r="N530" s="109"/>
      <c r="O530" s="109"/>
      <c r="P530" s="109"/>
      <c r="Q530" s="109"/>
      <c r="R530" s="109"/>
      <c r="S530" s="109"/>
      <c r="T530" s="109"/>
      <c r="U530" s="109"/>
      <c r="V530" s="109"/>
      <c r="W530" s="109"/>
      <c r="X530" s="109"/>
      <c r="Y530" s="109"/>
      <c r="Z530" s="109"/>
    </row>
    <row r="531" ht="29.25" customHeight="1">
      <c r="A531" s="109"/>
      <c r="B531" s="109"/>
      <c r="C531" s="109"/>
      <c r="D531" s="109"/>
      <c r="E531" s="109"/>
      <c r="F531" s="109"/>
      <c r="G531" s="317"/>
      <c r="H531" s="109"/>
      <c r="I531" s="109"/>
      <c r="J531" s="109"/>
      <c r="K531" s="109"/>
      <c r="L531" s="109"/>
      <c r="M531" s="109"/>
      <c r="N531" s="109"/>
      <c r="O531" s="109"/>
      <c r="P531" s="109"/>
      <c r="Q531" s="109"/>
      <c r="R531" s="109"/>
      <c r="S531" s="109"/>
      <c r="T531" s="109"/>
      <c r="U531" s="109"/>
      <c r="V531" s="109"/>
      <c r="W531" s="109"/>
      <c r="X531" s="109"/>
      <c r="Y531" s="109"/>
      <c r="Z531" s="109"/>
    </row>
    <row r="532" ht="29.25" customHeight="1">
      <c r="A532" s="109"/>
      <c r="B532" s="109"/>
      <c r="C532" s="109"/>
      <c r="D532" s="109"/>
      <c r="E532" s="109"/>
      <c r="F532" s="109"/>
      <c r="G532" s="317"/>
      <c r="H532" s="109"/>
      <c r="I532" s="109"/>
      <c r="J532" s="109"/>
      <c r="K532" s="109"/>
      <c r="L532" s="109"/>
      <c r="M532" s="109"/>
      <c r="N532" s="109"/>
      <c r="O532" s="109"/>
      <c r="P532" s="109"/>
      <c r="Q532" s="109"/>
      <c r="R532" s="109"/>
      <c r="S532" s="109"/>
      <c r="T532" s="109"/>
      <c r="U532" s="109"/>
      <c r="V532" s="109"/>
      <c r="W532" s="109"/>
      <c r="X532" s="109"/>
      <c r="Y532" s="109"/>
      <c r="Z532" s="109"/>
    </row>
    <row r="533" ht="29.25" customHeight="1">
      <c r="A533" s="109"/>
      <c r="B533" s="109"/>
      <c r="C533" s="109"/>
      <c r="D533" s="109"/>
      <c r="E533" s="109"/>
      <c r="F533" s="109"/>
      <c r="G533" s="317"/>
      <c r="H533" s="109"/>
      <c r="I533" s="109"/>
      <c r="J533" s="109"/>
      <c r="K533" s="109"/>
      <c r="L533" s="109"/>
      <c r="M533" s="109"/>
      <c r="N533" s="109"/>
      <c r="O533" s="109"/>
      <c r="P533" s="109"/>
      <c r="Q533" s="109"/>
      <c r="R533" s="109"/>
      <c r="S533" s="109"/>
      <c r="T533" s="109"/>
      <c r="U533" s="109"/>
      <c r="V533" s="109"/>
      <c r="W533" s="109"/>
      <c r="X533" s="109"/>
      <c r="Y533" s="109"/>
      <c r="Z533" s="109"/>
    </row>
    <row r="534" ht="29.25" customHeight="1">
      <c r="A534" s="109"/>
      <c r="B534" s="109"/>
      <c r="C534" s="109"/>
      <c r="D534" s="109"/>
      <c r="E534" s="109"/>
      <c r="F534" s="109"/>
      <c r="G534" s="317"/>
      <c r="H534" s="109"/>
      <c r="I534" s="109"/>
      <c r="J534" s="109"/>
      <c r="K534" s="109"/>
      <c r="L534" s="109"/>
      <c r="M534" s="109"/>
      <c r="N534" s="109"/>
      <c r="O534" s="109"/>
      <c r="P534" s="109"/>
      <c r="Q534" s="109"/>
      <c r="R534" s="109"/>
      <c r="S534" s="109"/>
      <c r="T534" s="109"/>
      <c r="U534" s="109"/>
      <c r="V534" s="109"/>
      <c r="W534" s="109"/>
      <c r="X534" s="109"/>
      <c r="Y534" s="109"/>
      <c r="Z534" s="109"/>
    </row>
    <row r="535" ht="29.25" customHeight="1">
      <c r="A535" s="109"/>
      <c r="B535" s="109"/>
      <c r="C535" s="109"/>
      <c r="D535" s="109"/>
      <c r="E535" s="109"/>
      <c r="F535" s="109"/>
      <c r="G535" s="317"/>
      <c r="H535" s="109"/>
      <c r="I535" s="109"/>
      <c r="J535" s="109"/>
      <c r="K535" s="109"/>
      <c r="L535" s="109"/>
      <c r="M535" s="109"/>
      <c r="N535" s="109"/>
      <c r="O535" s="109"/>
      <c r="P535" s="109"/>
      <c r="Q535" s="109"/>
      <c r="R535" s="109"/>
      <c r="S535" s="109"/>
      <c r="T535" s="109"/>
      <c r="U535" s="109"/>
      <c r="V535" s="109"/>
      <c r="W535" s="109"/>
      <c r="X535" s="109"/>
      <c r="Y535" s="109"/>
      <c r="Z535" s="109"/>
    </row>
    <row r="536" ht="29.25" customHeight="1">
      <c r="A536" s="109"/>
      <c r="B536" s="109"/>
      <c r="C536" s="109"/>
      <c r="D536" s="109"/>
      <c r="E536" s="109"/>
      <c r="F536" s="109"/>
      <c r="G536" s="317"/>
      <c r="H536" s="109"/>
      <c r="I536" s="109"/>
      <c r="J536" s="109"/>
      <c r="K536" s="109"/>
      <c r="L536" s="109"/>
      <c r="M536" s="109"/>
      <c r="N536" s="109"/>
      <c r="O536" s="109"/>
      <c r="P536" s="109"/>
      <c r="Q536" s="109"/>
      <c r="R536" s="109"/>
      <c r="S536" s="109"/>
      <c r="T536" s="109"/>
      <c r="U536" s="109"/>
      <c r="V536" s="109"/>
      <c r="W536" s="109"/>
      <c r="X536" s="109"/>
      <c r="Y536" s="109"/>
      <c r="Z536" s="109"/>
    </row>
    <row r="537" ht="29.25" customHeight="1">
      <c r="A537" s="109"/>
      <c r="B537" s="109"/>
      <c r="C537" s="109"/>
      <c r="D537" s="109"/>
      <c r="E537" s="109"/>
      <c r="F537" s="109"/>
      <c r="G537" s="317"/>
      <c r="H537" s="109"/>
      <c r="I537" s="109"/>
      <c r="J537" s="109"/>
      <c r="K537" s="109"/>
      <c r="L537" s="109"/>
      <c r="M537" s="109"/>
      <c r="N537" s="109"/>
      <c r="O537" s="109"/>
      <c r="P537" s="109"/>
      <c r="Q537" s="109"/>
      <c r="R537" s="109"/>
      <c r="S537" s="109"/>
      <c r="T537" s="109"/>
      <c r="U537" s="109"/>
      <c r="V537" s="109"/>
      <c r="W537" s="109"/>
      <c r="X537" s="109"/>
      <c r="Y537" s="109"/>
      <c r="Z537" s="109"/>
    </row>
    <row r="538" ht="29.25" customHeight="1">
      <c r="A538" s="109"/>
      <c r="B538" s="109"/>
      <c r="C538" s="109"/>
      <c r="D538" s="109"/>
      <c r="E538" s="109"/>
      <c r="F538" s="109"/>
      <c r="G538" s="317"/>
      <c r="H538" s="109"/>
      <c r="I538" s="109"/>
      <c r="J538" s="109"/>
      <c r="K538" s="109"/>
      <c r="L538" s="109"/>
      <c r="M538" s="109"/>
      <c r="N538" s="109"/>
      <c r="O538" s="109"/>
      <c r="P538" s="109"/>
      <c r="Q538" s="109"/>
      <c r="R538" s="109"/>
      <c r="S538" s="109"/>
      <c r="T538" s="109"/>
      <c r="U538" s="109"/>
      <c r="V538" s="109"/>
      <c r="W538" s="109"/>
      <c r="X538" s="109"/>
      <c r="Y538" s="109"/>
      <c r="Z538" s="109"/>
    </row>
    <row r="539" ht="29.25" customHeight="1">
      <c r="A539" s="109"/>
      <c r="B539" s="109"/>
      <c r="C539" s="109"/>
      <c r="D539" s="109"/>
      <c r="E539" s="109"/>
      <c r="F539" s="109"/>
      <c r="G539" s="317"/>
      <c r="H539" s="109"/>
      <c r="I539" s="109"/>
      <c r="J539" s="109"/>
      <c r="K539" s="109"/>
      <c r="L539" s="109"/>
      <c r="M539" s="109"/>
      <c r="N539" s="109"/>
      <c r="O539" s="109"/>
      <c r="P539" s="109"/>
      <c r="Q539" s="109"/>
      <c r="R539" s="109"/>
      <c r="S539" s="109"/>
      <c r="T539" s="109"/>
      <c r="U539" s="109"/>
      <c r="V539" s="109"/>
      <c r="W539" s="109"/>
      <c r="X539" s="109"/>
      <c r="Y539" s="109"/>
      <c r="Z539" s="109"/>
    </row>
    <row r="540" ht="29.25" customHeight="1">
      <c r="A540" s="109"/>
      <c r="B540" s="109"/>
      <c r="C540" s="109"/>
      <c r="D540" s="109"/>
      <c r="E540" s="109"/>
      <c r="F540" s="109"/>
      <c r="G540" s="317"/>
      <c r="H540" s="109"/>
      <c r="I540" s="109"/>
      <c r="J540" s="109"/>
      <c r="K540" s="109"/>
      <c r="L540" s="109"/>
      <c r="M540" s="109"/>
      <c r="N540" s="109"/>
      <c r="O540" s="109"/>
      <c r="P540" s="109"/>
      <c r="Q540" s="109"/>
      <c r="R540" s="109"/>
      <c r="S540" s="109"/>
      <c r="T540" s="109"/>
      <c r="U540" s="109"/>
      <c r="V540" s="109"/>
      <c r="W540" s="109"/>
      <c r="X540" s="109"/>
      <c r="Y540" s="109"/>
      <c r="Z540" s="109"/>
    </row>
    <row r="541" ht="29.25" customHeight="1">
      <c r="A541" s="109"/>
      <c r="B541" s="109"/>
      <c r="C541" s="109"/>
      <c r="D541" s="109"/>
      <c r="E541" s="109"/>
      <c r="F541" s="109"/>
      <c r="G541" s="317"/>
      <c r="H541" s="109"/>
      <c r="I541" s="109"/>
      <c r="J541" s="109"/>
      <c r="K541" s="109"/>
      <c r="L541" s="109"/>
      <c r="M541" s="109"/>
      <c r="N541" s="109"/>
      <c r="O541" s="109"/>
      <c r="P541" s="109"/>
      <c r="Q541" s="109"/>
      <c r="R541" s="109"/>
      <c r="S541" s="109"/>
      <c r="T541" s="109"/>
      <c r="U541" s="109"/>
      <c r="V541" s="109"/>
      <c r="W541" s="109"/>
      <c r="X541" s="109"/>
      <c r="Y541" s="109"/>
      <c r="Z541" s="109"/>
    </row>
    <row r="542" ht="29.25" customHeight="1">
      <c r="A542" s="109"/>
      <c r="B542" s="109"/>
      <c r="C542" s="109"/>
      <c r="D542" s="109"/>
      <c r="E542" s="109"/>
      <c r="F542" s="109"/>
      <c r="G542" s="317"/>
      <c r="H542" s="109"/>
      <c r="I542" s="109"/>
      <c r="J542" s="109"/>
      <c r="K542" s="109"/>
      <c r="L542" s="109"/>
      <c r="M542" s="109"/>
      <c r="N542" s="109"/>
      <c r="O542" s="109"/>
      <c r="P542" s="109"/>
      <c r="Q542" s="109"/>
      <c r="R542" s="109"/>
      <c r="S542" s="109"/>
      <c r="T542" s="109"/>
      <c r="U542" s="109"/>
      <c r="V542" s="109"/>
      <c r="W542" s="109"/>
      <c r="X542" s="109"/>
      <c r="Y542" s="109"/>
      <c r="Z542" s="109"/>
    </row>
    <row r="543" ht="29.25" customHeight="1">
      <c r="A543" s="109"/>
      <c r="B543" s="109"/>
      <c r="C543" s="109"/>
      <c r="D543" s="109"/>
      <c r="E543" s="109"/>
      <c r="F543" s="109"/>
      <c r="G543" s="317"/>
      <c r="H543" s="109"/>
      <c r="I543" s="109"/>
      <c r="J543" s="109"/>
      <c r="K543" s="109"/>
      <c r="L543" s="109"/>
      <c r="M543" s="109"/>
      <c r="N543" s="109"/>
      <c r="O543" s="109"/>
      <c r="P543" s="109"/>
      <c r="Q543" s="109"/>
      <c r="R543" s="109"/>
      <c r="S543" s="109"/>
      <c r="T543" s="109"/>
      <c r="U543" s="109"/>
      <c r="V543" s="109"/>
      <c r="W543" s="109"/>
      <c r="X543" s="109"/>
      <c r="Y543" s="109"/>
      <c r="Z543" s="109"/>
    </row>
    <row r="544" ht="29.25" customHeight="1">
      <c r="A544" s="109"/>
      <c r="B544" s="109"/>
      <c r="C544" s="109"/>
      <c r="D544" s="109"/>
      <c r="E544" s="109"/>
      <c r="F544" s="109"/>
      <c r="G544" s="317"/>
      <c r="H544" s="109"/>
      <c r="I544" s="109"/>
      <c r="J544" s="109"/>
      <c r="K544" s="109"/>
      <c r="L544" s="109"/>
      <c r="M544" s="109"/>
      <c r="N544" s="109"/>
      <c r="O544" s="109"/>
      <c r="P544" s="109"/>
      <c r="Q544" s="109"/>
      <c r="R544" s="109"/>
      <c r="S544" s="109"/>
      <c r="T544" s="109"/>
      <c r="U544" s="109"/>
      <c r="V544" s="109"/>
      <c r="W544" s="109"/>
      <c r="X544" s="109"/>
      <c r="Y544" s="109"/>
      <c r="Z544" s="109"/>
    </row>
    <row r="545" ht="29.25" customHeight="1">
      <c r="A545" s="109"/>
      <c r="B545" s="109"/>
      <c r="C545" s="109"/>
      <c r="D545" s="109"/>
      <c r="E545" s="109"/>
      <c r="F545" s="109"/>
      <c r="G545" s="317"/>
      <c r="H545" s="109"/>
      <c r="I545" s="109"/>
      <c r="J545" s="109"/>
      <c r="K545" s="109"/>
      <c r="L545" s="109"/>
      <c r="M545" s="109"/>
      <c r="N545" s="109"/>
      <c r="O545" s="109"/>
      <c r="P545" s="109"/>
      <c r="Q545" s="109"/>
      <c r="R545" s="109"/>
      <c r="S545" s="109"/>
      <c r="T545" s="109"/>
      <c r="U545" s="109"/>
      <c r="V545" s="109"/>
      <c r="W545" s="109"/>
      <c r="X545" s="109"/>
      <c r="Y545" s="109"/>
      <c r="Z545" s="109"/>
    </row>
    <row r="546" ht="29.25" customHeight="1">
      <c r="A546" s="109"/>
      <c r="B546" s="109"/>
      <c r="C546" s="109"/>
      <c r="D546" s="109"/>
      <c r="E546" s="109"/>
      <c r="F546" s="109"/>
      <c r="G546" s="317"/>
      <c r="H546" s="109"/>
      <c r="I546" s="109"/>
      <c r="J546" s="109"/>
      <c r="K546" s="109"/>
      <c r="L546" s="109"/>
      <c r="M546" s="109"/>
      <c r="N546" s="109"/>
      <c r="O546" s="109"/>
      <c r="P546" s="109"/>
      <c r="Q546" s="109"/>
      <c r="R546" s="109"/>
      <c r="S546" s="109"/>
      <c r="T546" s="109"/>
      <c r="U546" s="109"/>
      <c r="V546" s="109"/>
      <c r="W546" s="109"/>
      <c r="X546" s="109"/>
      <c r="Y546" s="109"/>
      <c r="Z546" s="109"/>
    </row>
    <row r="547" ht="29.25" customHeight="1">
      <c r="A547" s="109"/>
      <c r="B547" s="109"/>
      <c r="C547" s="109"/>
      <c r="D547" s="109"/>
      <c r="E547" s="109"/>
      <c r="F547" s="109"/>
      <c r="G547" s="317"/>
      <c r="H547" s="109"/>
      <c r="I547" s="109"/>
      <c r="J547" s="109"/>
      <c r="K547" s="109"/>
      <c r="L547" s="109"/>
      <c r="M547" s="109"/>
      <c r="N547" s="109"/>
      <c r="O547" s="109"/>
      <c r="P547" s="109"/>
      <c r="Q547" s="109"/>
      <c r="R547" s="109"/>
      <c r="S547" s="109"/>
      <c r="T547" s="109"/>
      <c r="U547" s="109"/>
      <c r="V547" s="109"/>
      <c r="W547" s="109"/>
      <c r="X547" s="109"/>
      <c r="Y547" s="109"/>
      <c r="Z547" s="109"/>
    </row>
    <row r="548" ht="29.25" customHeight="1">
      <c r="A548" s="109"/>
      <c r="B548" s="109"/>
      <c r="C548" s="109"/>
      <c r="D548" s="109"/>
      <c r="E548" s="109"/>
      <c r="F548" s="109"/>
      <c r="G548" s="317"/>
      <c r="H548" s="109"/>
      <c r="I548" s="109"/>
      <c r="J548" s="109"/>
      <c r="K548" s="109"/>
      <c r="L548" s="109"/>
      <c r="M548" s="109"/>
      <c r="N548" s="109"/>
      <c r="O548" s="109"/>
      <c r="P548" s="109"/>
      <c r="Q548" s="109"/>
      <c r="R548" s="109"/>
      <c r="S548" s="109"/>
      <c r="T548" s="109"/>
      <c r="U548" s="109"/>
      <c r="V548" s="109"/>
      <c r="W548" s="109"/>
      <c r="X548" s="109"/>
      <c r="Y548" s="109"/>
      <c r="Z548" s="109"/>
    </row>
    <row r="549" ht="29.25" customHeight="1">
      <c r="A549" s="109"/>
      <c r="B549" s="109"/>
      <c r="C549" s="109"/>
      <c r="D549" s="109"/>
      <c r="E549" s="109"/>
      <c r="F549" s="109"/>
      <c r="G549" s="317"/>
      <c r="H549" s="109"/>
      <c r="I549" s="109"/>
      <c r="J549" s="109"/>
      <c r="K549" s="109"/>
      <c r="L549" s="109"/>
      <c r="M549" s="109"/>
      <c r="N549" s="109"/>
      <c r="O549" s="109"/>
      <c r="P549" s="109"/>
      <c r="Q549" s="109"/>
      <c r="R549" s="109"/>
      <c r="S549" s="109"/>
      <c r="T549" s="109"/>
      <c r="U549" s="109"/>
      <c r="V549" s="109"/>
      <c r="W549" s="109"/>
      <c r="X549" s="109"/>
      <c r="Y549" s="109"/>
      <c r="Z549" s="109"/>
    </row>
    <row r="550" ht="29.25" customHeight="1">
      <c r="A550" s="109"/>
      <c r="B550" s="109"/>
      <c r="C550" s="109"/>
      <c r="D550" s="109"/>
      <c r="E550" s="109"/>
      <c r="F550" s="109"/>
      <c r="G550" s="317"/>
      <c r="H550" s="109"/>
      <c r="I550" s="109"/>
      <c r="J550" s="109"/>
      <c r="K550" s="109"/>
      <c r="L550" s="109"/>
      <c r="M550" s="109"/>
      <c r="N550" s="109"/>
      <c r="O550" s="109"/>
      <c r="P550" s="109"/>
      <c r="Q550" s="109"/>
      <c r="R550" s="109"/>
      <c r="S550" s="109"/>
      <c r="T550" s="109"/>
      <c r="U550" s="109"/>
      <c r="V550" s="109"/>
      <c r="W550" s="109"/>
      <c r="X550" s="109"/>
      <c r="Y550" s="109"/>
      <c r="Z550" s="109"/>
    </row>
    <row r="551" ht="29.25" customHeight="1">
      <c r="A551" s="109"/>
      <c r="B551" s="109"/>
      <c r="C551" s="109"/>
      <c r="D551" s="109"/>
      <c r="E551" s="109"/>
      <c r="F551" s="109"/>
      <c r="G551" s="317"/>
      <c r="H551" s="109"/>
      <c r="I551" s="109"/>
      <c r="J551" s="109"/>
      <c r="K551" s="109"/>
      <c r="L551" s="109"/>
      <c r="M551" s="109"/>
      <c r="N551" s="109"/>
      <c r="O551" s="109"/>
      <c r="P551" s="109"/>
      <c r="Q551" s="109"/>
      <c r="R551" s="109"/>
      <c r="S551" s="109"/>
      <c r="T551" s="109"/>
      <c r="U551" s="109"/>
      <c r="V551" s="109"/>
      <c r="W551" s="109"/>
      <c r="X551" s="109"/>
      <c r="Y551" s="109"/>
      <c r="Z551" s="109"/>
    </row>
    <row r="552" ht="29.25" customHeight="1">
      <c r="A552" s="109"/>
      <c r="B552" s="109"/>
      <c r="C552" s="109"/>
      <c r="D552" s="109"/>
      <c r="E552" s="109"/>
      <c r="F552" s="109"/>
      <c r="G552" s="317"/>
      <c r="H552" s="109"/>
      <c r="I552" s="109"/>
      <c r="J552" s="109"/>
      <c r="K552" s="109"/>
      <c r="L552" s="109"/>
      <c r="M552" s="109"/>
      <c r="N552" s="109"/>
      <c r="O552" s="109"/>
      <c r="P552" s="109"/>
      <c r="Q552" s="109"/>
      <c r="R552" s="109"/>
      <c r="S552" s="109"/>
      <c r="T552" s="109"/>
      <c r="U552" s="109"/>
      <c r="V552" s="109"/>
      <c r="W552" s="109"/>
      <c r="X552" s="109"/>
      <c r="Y552" s="109"/>
      <c r="Z552" s="109"/>
    </row>
    <row r="553" ht="29.25" customHeight="1">
      <c r="A553" s="109"/>
      <c r="B553" s="109"/>
      <c r="C553" s="109"/>
      <c r="D553" s="109"/>
      <c r="E553" s="109"/>
      <c r="F553" s="109"/>
      <c r="G553" s="317"/>
      <c r="H553" s="109"/>
      <c r="I553" s="109"/>
      <c r="J553" s="109"/>
      <c r="K553" s="109"/>
      <c r="L553" s="109"/>
      <c r="M553" s="109"/>
      <c r="N553" s="109"/>
      <c r="O553" s="109"/>
      <c r="P553" s="109"/>
      <c r="Q553" s="109"/>
      <c r="R553" s="109"/>
      <c r="S553" s="109"/>
      <c r="T553" s="109"/>
      <c r="U553" s="109"/>
      <c r="V553" s="109"/>
      <c r="W553" s="109"/>
      <c r="X553" s="109"/>
      <c r="Y553" s="109"/>
      <c r="Z553" s="109"/>
    </row>
    <row r="554" ht="29.25" customHeight="1">
      <c r="A554" s="109"/>
      <c r="B554" s="109"/>
      <c r="C554" s="109"/>
      <c r="D554" s="109"/>
      <c r="E554" s="109"/>
      <c r="F554" s="109"/>
      <c r="G554" s="317"/>
      <c r="H554" s="109"/>
      <c r="I554" s="109"/>
      <c r="J554" s="109"/>
      <c r="K554" s="109"/>
      <c r="L554" s="109"/>
      <c r="M554" s="109"/>
      <c r="N554" s="109"/>
      <c r="O554" s="109"/>
      <c r="P554" s="109"/>
      <c r="Q554" s="109"/>
      <c r="R554" s="109"/>
      <c r="S554" s="109"/>
      <c r="T554" s="109"/>
      <c r="U554" s="109"/>
      <c r="V554" s="109"/>
      <c r="W554" s="109"/>
      <c r="X554" s="109"/>
      <c r="Y554" s="109"/>
      <c r="Z554" s="109"/>
    </row>
    <row r="555" ht="29.25" customHeight="1">
      <c r="A555" s="109"/>
      <c r="B555" s="109"/>
      <c r="C555" s="109"/>
      <c r="D555" s="109"/>
      <c r="E555" s="109"/>
      <c r="F555" s="109"/>
      <c r="G555" s="317"/>
      <c r="H555" s="109"/>
      <c r="I555" s="109"/>
      <c r="J555" s="109"/>
      <c r="K555" s="109"/>
      <c r="L555" s="109"/>
      <c r="M555" s="109"/>
      <c r="N555" s="109"/>
      <c r="O555" s="109"/>
      <c r="P555" s="109"/>
      <c r="Q555" s="109"/>
      <c r="R555" s="109"/>
      <c r="S555" s="109"/>
      <c r="T555" s="109"/>
      <c r="U555" s="109"/>
      <c r="V555" s="109"/>
      <c r="W555" s="109"/>
      <c r="X555" s="109"/>
      <c r="Y555" s="109"/>
      <c r="Z555" s="109"/>
    </row>
    <row r="556" ht="29.25" customHeight="1">
      <c r="A556" s="109"/>
      <c r="B556" s="109"/>
      <c r="C556" s="109"/>
      <c r="D556" s="109"/>
      <c r="E556" s="109"/>
      <c r="F556" s="109"/>
      <c r="G556" s="317"/>
      <c r="H556" s="109"/>
      <c r="I556" s="109"/>
      <c r="J556" s="109"/>
      <c r="K556" s="109"/>
      <c r="L556" s="109"/>
      <c r="M556" s="109"/>
      <c r="N556" s="109"/>
      <c r="O556" s="109"/>
      <c r="P556" s="109"/>
      <c r="Q556" s="109"/>
      <c r="R556" s="109"/>
      <c r="S556" s="109"/>
      <c r="T556" s="109"/>
      <c r="U556" s="109"/>
      <c r="V556" s="109"/>
      <c r="W556" s="109"/>
      <c r="X556" s="109"/>
      <c r="Y556" s="109"/>
      <c r="Z556" s="109"/>
    </row>
    <row r="557" ht="29.25" customHeight="1">
      <c r="A557" s="109"/>
      <c r="B557" s="109"/>
      <c r="C557" s="109"/>
      <c r="D557" s="109"/>
      <c r="E557" s="109"/>
      <c r="F557" s="109"/>
      <c r="G557" s="317"/>
      <c r="H557" s="109"/>
      <c r="I557" s="109"/>
      <c r="J557" s="109"/>
      <c r="K557" s="109"/>
      <c r="L557" s="109"/>
      <c r="M557" s="109"/>
      <c r="N557" s="109"/>
      <c r="O557" s="109"/>
      <c r="P557" s="109"/>
      <c r="Q557" s="109"/>
      <c r="R557" s="109"/>
      <c r="S557" s="109"/>
      <c r="T557" s="109"/>
      <c r="U557" s="109"/>
      <c r="V557" s="109"/>
      <c r="W557" s="109"/>
      <c r="X557" s="109"/>
      <c r="Y557" s="109"/>
      <c r="Z557" s="109"/>
    </row>
    <row r="558" ht="29.25" customHeight="1">
      <c r="A558" s="109"/>
      <c r="B558" s="109"/>
      <c r="C558" s="109"/>
      <c r="D558" s="109"/>
      <c r="E558" s="109"/>
      <c r="F558" s="109"/>
      <c r="G558" s="317"/>
      <c r="H558" s="109"/>
      <c r="I558" s="109"/>
      <c r="J558" s="109"/>
      <c r="K558" s="109"/>
      <c r="L558" s="109"/>
      <c r="M558" s="109"/>
      <c r="N558" s="109"/>
      <c r="O558" s="109"/>
      <c r="P558" s="109"/>
      <c r="Q558" s="109"/>
      <c r="R558" s="109"/>
      <c r="S558" s="109"/>
      <c r="T558" s="109"/>
      <c r="U558" s="109"/>
      <c r="V558" s="109"/>
      <c r="W558" s="109"/>
      <c r="X558" s="109"/>
      <c r="Y558" s="109"/>
      <c r="Z558" s="109"/>
    </row>
    <row r="559" ht="29.25" customHeight="1">
      <c r="A559" s="109"/>
      <c r="B559" s="109"/>
      <c r="C559" s="109"/>
      <c r="D559" s="109"/>
      <c r="E559" s="109"/>
      <c r="F559" s="109"/>
      <c r="G559" s="317"/>
      <c r="H559" s="109"/>
      <c r="I559" s="109"/>
      <c r="J559" s="109"/>
      <c r="K559" s="109"/>
      <c r="L559" s="109"/>
      <c r="M559" s="109"/>
      <c r="N559" s="109"/>
      <c r="O559" s="109"/>
      <c r="P559" s="109"/>
      <c r="Q559" s="109"/>
      <c r="R559" s="109"/>
      <c r="S559" s="109"/>
      <c r="T559" s="109"/>
      <c r="U559" s="109"/>
      <c r="V559" s="109"/>
      <c r="W559" s="109"/>
      <c r="X559" s="109"/>
      <c r="Y559" s="109"/>
      <c r="Z559" s="109"/>
    </row>
    <row r="560" ht="29.25" customHeight="1">
      <c r="A560" s="109"/>
      <c r="B560" s="109"/>
      <c r="C560" s="109"/>
      <c r="D560" s="109"/>
      <c r="E560" s="109"/>
      <c r="F560" s="109"/>
      <c r="G560" s="317"/>
      <c r="H560" s="109"/>
      <c r="I560" s="109"/>
      <c r="J560" s="109"/>
      <c r="K560" s="109"/>
      <c r="L560" s="109"/>
      <c r="M560" s="109"/>
      <c r="N560" s="109"/>
      <c r="O560" s="109"/>
      <c r="P560" s="109"/>
      <c r="Q560" s="109"/>
      <c r="R560" s="109"/>
      <c r="S560" s="109"/>
      <c r="T560" s="109"/>
      <c r="U560" s="109"/>
      <c r="V560" s="109"/>
      <c r="W560" s="109"/>
      <c r="X560" s="109"/>
      <c r="Y560" s="109"/>
      <c r="Z560" s="109"/>
    </row>
    <row r="561" ht="29.25" customHeight="1">
      <c r="A561" s="109"/>
      <c r="B561" s="109"/>
      <c r="C561" s="109"/>
      <c r="D561" s="109"/>
      <c r="E561" s="109"/>
      <c r="F561" s="109"/>
      <c r="G561" s="317"/>
      <c r="H561" s="109"/>
      <c r="I561" s="109"/>
      <c r="J561" s="109"/>
      <c r="K561" s="109"/>
      <c r="L561" s="109"/>
      <c r="M561" s="109"/>
      <c r="N561" s="109"/>
      <c r="O561" s="109"/>
      <c r="P561" s="109"/>
      <c r="Q561" s="109"/>
      <c r="R561" s="109"/>
      <c r="S561" s="109"/>
      <c r="T561" s="109"/>
      <c r="U561" s="109"/>
      <c r="V561" s="109"/>
      <c r="W561" s="109"/>
      <c r="X561" s="109"/>
      <c r="Y561" s="109"/>
      <c r="Z561" s="109"/>
    </row>
    <row r="562" ht="29.25" customHeight="1">
      <c r="A562" s="109"/>
      <c r="B562" s="109"/>
      <c r="C562" s="109"/>
      <c r="D562" s="109"/>
      <c r="E562" s="109"/>
      <c r="F562" s="109"/>
      <c r="G562" s="317"/>
      <c r="H562" s="109"/>
      <c r="I562" s="109"/>
      <c r="J562" s="109"/>
      <c r="K562" s="109"/>
      <c r="L562" s="109"/>
      <c r="M562" s="109"/>
      <c r="N562" s="109"/>
      <c r="O562" s="109"/>
      <c r="P562" s="109"/>
      <c r="Q562" s="109"/>
      <c r="R562" s="109"/>
      <c r="S562" s="109"/>
      <c r="T562" s="109"/>
      <c r="U562" s="109"/>
      <c r="V562" s="109"/>
      <c r="W562" s="109"/>
      <c r="X562" s="109"/>
      <c r="Y562" s="109"/>
      <c r="Z562" s="109"/>
    </row>
    <row r="563" ht="29.25" customHeight="1">
      <c r="A563" s="109"/>
      <c r="B563" s="109"/>
      <c r="C563" s="109"/>
      <c r="D563" s="109"/>
      <c r="E563" s="109"/>
      <c r="F563" s="109"/>
      <c r="G563" s="317"/>
      <c r="H563" s="109"/>
      <c r="I563" s="109"/>
      <c r="J563" s="109"/>
      <c r="K563" s="109"/>
      <c r="L563" s="109"/>
      <c r="M563" s="109"/>
      <c r="N563" s="109"/>
      <c r="O563" s="109"/>
      <c r="P563" s="109"/>
      <c r="Q563" s="109"/>
      <c r="R563" s="109"/>
      <c r="S563" s="109"/>
      <c r="T563" s="109"/>
      <c r="U563" s="109"/>
      <c r="V563" s="109"/>
      <c r="W563" s="109"/>
      <c r="X563" s="109"/>
      <c r="Y563" s="109"/>
      <c r="Z563" s="109"/>
    </row>
    <row r="564" ht="29.25" customHeight="1">
      <c r="A564" s="109"/>
      <c r="B564" s="109"/>
      <c r="C564" s="109"/>
      <c r="D564" s="109"/>
      <c r="E564" s="109"/>
      <c r="F564" s="109"/>
      <c r="G564" s="317"/>
      <c r="H564" s="109"/>
      <c r="I564" s="109"/>
      <c r="J564" s="109"/>
      <c r="K564" s="109"/>
      <c r="L564" s="109"/>
      <c r="M564" s="109"/>
      <c r="N564" s="109"/>
      <c r="O564" s="109"/>
      <c r="P564" s="109"/>
      <c r="Q564" s="109"/>
      <c r="R564" s="109"/>
      <c r="S564" s="109"/>
      <c r="T564" s="109"/>
      <c r="U564" s="109"/>
      <c r="V564" s="109"/>
      <c r="W564" s="109"/>
      <c r="X564" s="109"/>
      <c r="Y564" s="109"/>
      <c r="Z564" s="109"/>
    </row>
    <row r="565" ht="29.25" customHeight="1">
      <c r="A565" s="109"/>
      <c r="B565" s="109"/>
      <c r="C565" s="109"/>
      <c r="D565" s="109"/>
      <c r="E565" s="109"/>
      <c r="F565" s="109"/>
      <c r="G565" s="317"/>
      <c r="H565" s="109"/>
      <c r="I565" s="109"/>
      <c r="J565" s="109"/>
      <c r="K565" s="109"/>
      <c r="L565" s="109"/>
      <c r="M565" s="109"/>
      <c r="N565" s="109"/>
      <c r="O565" s="109"/>
      <c r="P565" s="109"/>
      <c r="Q565" s="109"/>
      <c r="R565" s="109"/>
      <c r="S565" s="109"/>
      <c r="T565" s="109"/>
      <c r="U565" s="109"/>
      <c r="V565" s="109"/>
      <c r="W565" s="109"/>
      <c r="X565" s="109"/>
      <c r="Y565" s="109"/>
      <c r="Z565" s="109"/>
    </row>
    <row r="566" ht="29.25" customHeight="1">
      <c r="A566" s="109"/>
      <c r="B566" s="109"/>
      <c r="C566" s="109"/>
      <c r="D566" s="109"/>
      <c r="E566" s="109"/>
      <c r="F566" s="109"/>
      <c r="G566" s="317"/>
      <c r="H566" s="109"/>
      <c r="I566" s="109"/>
      <c r="J566" s="109"/>
      <c r="K566" s="109"/>
      <c r="L566" s="109"/>
      <c r="M566" s="109"/>
      <c r="N566" s="109"/>
      <c r="O566" s="109"/>
      <c r="P566" s="109"/>
      <c r="Q566" s="109"/>
      <c r="R566" s="109"/>
      <c r="S566" s="109"/>
      <c r="T566" s="109"/>
      <c r="U566" s="109"/>
      <c r="V566" s="109"/>
      <c r="W566" s="109"/>
      <c r="X566" s="109"/>
      <c r="Y566" s="109"/>
      <c r="Z566" s="109"/>
    </row>
    <row r="567" ht="29.25" customHeight="1">
      <c r="A567" s="109"/>
      <c r="B567" s="109"/>
      <c r="C567" s="109"/>
      <c r="D567" s="109"/>
      <c r="E567" s="109"/>
      <c r="F567" s="109"/>
      <c r="G567" s="317"/>
      <c r="H567" s="109"/>
      <c r="I567" s="109"/>
      <c r="J567" s="109"/>
      <c r="K567" s="109"/>
      <c r="L567" s="109"/>
      <c r="M567" s="109"/>
      <c r="N567" s="109"/>
      <c r="O567" s="109"/>
      <c r="P567" s="109"/>
      <c r="Q567" s="109"/>
      <c r="R567" s="109"/>
      <c r="S567" s="109"/>
      <c r="T567" s="109"/>
      <c r="U567" s="109"/>
      <c r="V567" s="109"/>
      <c r="W567" s="109"/>
      <c r="X567" s="109"/>
      <c r="Y567" s="109"/>
      <c r="Z567" s="109"/>
    </row>
    <row r="568" ht="29.25" customHeight="1">
      <c r="A568" s="109"/>
      <c r="B568" s="109"/>
      <c r="C568" s="109"/>
      <c r="D568" s="109"/>
      <c r="E568" s="109"/>
      <c r="F568" s="109"/>
      <c r="G568" s="317"/>
      <c r="H568" s="109"/>
      <c r="I568" s="109"/>
      <c r="J568" s="109"/>
      <c r="K568" s="109"/>
      <c r="L568" s="109"/>
      <c r="M568" s="109"/>
      <c r="N568" s="109"/>
      <c r="O568" s="109"/>
      <c r="P568" s="109"/>
      <c r="Q568" s="109"/>
      <c r="R568" s="109"/>
      <c r="S568" s="109"/>
      <c r="T568" s="109"/>
      <c r="U568" s="109"/>
      <c r="V568" s="109"/>
      <c r="W568" s="109"/>
      <c r="X568" s="109"/>
      <c r="Y568" s="109"/>
      <c r="Z568" s="109"/>
    </row>
    <row r="569" ht="29.25" customHeight="1">
      <c r="A569" s="109"/>
      <c r="B569" s="109"/>
      <c r="C569" s="109"/>
      <c r="D569" s="109"/>
      <c r="E569" s="109"/>
      <c r="F569" s="109"/>
      <c r="G569" s="317"/>
      <c r="H569" s="109"/>
      <c r="I569" s="109"/>
      <c r="J569" s="109"/>
      <c r="K569" s="109"/>
      <c r="L569" s="109"/>
      <c r="M569" s="109"/>
      <c r="N569" s="109"/>
      <c r="O569" s="109"/>
      <c r="P569" s="109"/>
      <c r="Q569" s="109"/>
      <c r="R569" s="109"/>
      <c r="S569" s="109"/>
      <c r="T569" s="109"/>
      <c r="U569" s="109"/>
      <c r="V569" s="109"/>
      <c r="W569" s="109"/>
      <c r="X569" s="109"/>
      <c r="Y569" s="109"/>
      <c r="Z569" s="109"/>
    </row>
    <row r="570" ht="29.25" customHeight="1">
      <c r="A570" s="109"/>
      <c r="B570" s="109"/>
      <c r="C570" s="109"/>
      <c r="D570" s="109"/>
      <c r="E570" s="109"/>
      <c r="F570" s="109"/>
      <c r="G570" s="317"/>
      <c r="H570" s="109"/>
      <c r="I570" s="109"/>
      <c r="J570" s="109"/>
      <c r="K570" s="109"/>
      <c r="L570" s="109"/>
      <c r="M570" s="109"/>
      <c r="N570" s="109"/>
      <c r="O570" s="109"/>
      <c r="P570" s="109"/>
      <c r="Q570" s="109"/>
      <c r="R570" s="109"/>
      <c r="S570" s="109"/>
      <c r="T570" s="109"/>
      <c r="U570" s="109"/>
      <c r="V570" s="109"/>
      <c r="W570" s="109"/>
      <c r="X570" s="109"/>
      <c r="Y570" s="109"/>
      <c r="Z570" s="109"/>
    </row>
    <row r="571" ht="29.25" customHeight="1">
      <c r="A571" s="109"/>
      <c r="B571" s="109"/>
      <c r="C571" s="109"/>
      <c r="D571" s="109"/>
      <c r="E571" s="109"/>
      <c r="F571" s="109"/>
      <c r="G571" s="317"/>
      <c r="H571" s="109"/>
      <c r="I571" s="109"/>
      <c r="J571" s="109"/>
      <c r="K571" s="109"/>
      <c r="L571" s="109"/>
      <c r="M571" s="109"/>
      <c r="N571" s="109"/>
      <c r="O571" s="109"/>
      <c r="P571" s="109"/>
      <c r="Q571" s="109"/>
      <c r="R571" s="109"/>
      <c r="S571" s="109"/>
      <c r="T571" s="109"/>
      <c r="U571" s="109"/>
      <c r="V571" s="109"/>
      <c r="W571" s="109"/>
      <c r="X571" s="109"/>
      <c r="Y571" s="109"/>
      <c r="Z571" s="109"/>
    </row>
    <row r="572" ht="29.25" customHeight="1">
      <c r="A572" s="109"/>
      <c r="B572" s="109"/>
      <c r="C572" s="109"/>
      <c r="D572" s="109"/>
      <c r="E572" s="109"/>
      <c r="F572" s="109"/>
      <c r="G572" s="317"/>
      <c r="H572" s="109"/>
      <c r="I572" s="109"/>
      <c r="J572" s="109"/>
      <c r="K572" s="109"/>
      <c r="L572" s="109"/>
      <c r="M572" s="109"/>
      <c r="N572" s="109"/>
      <c r="O572" s="109"/>
      <c r="P572" s="109"/>
      <c r="Q572" s="109"/>
      <c r="R572" s="109"/>
      <c r="S572" s="109"/>
      <c r="T572" s="109"/>
      <c r="U572" s="109"/>
      <c r="V572" s="109"/>
      <c r="W572" s="109"/>
      <c r="X572" s="109"/>
      <c r="Y572" s="109"/>
      <c r="Z572" s="109"/>
    </row>
    <row r="573" ht="29.25" customHeight="1">
      <c r="A573" s="109"/>
      <c r="B573" s="109"/>
      <c r="C573" s="109"/>
      <c r="D573" s="109"/>
      <c r="E573" s="109"/>
      <c r="F573" s="109"/>
      <c r="G573" s="317"/>
      <c r="H573" s="109"/>
      <c r="I573" s="109"/>
      <c r="J573" s="109"/>
      <c r="K573" s="109"/>
      <c r="L573" s="109"/>
      <c r="M573" s="109"/>
      <c r="N573" s="109"/>
      <c r="O573" s="109"/>
      <c r="P573" s="109"/>
      <c r="Q573" s="109"/>
      <c r="R573" s="109"/>
      <c r="S573" s="109"/>
      <c r="T573" s="109"/>
      <c r="U573" s="109"/>
      <c r="V573" s="109"/>
      <c r="W573" s="109"/>
      <c r="X573" s="109"/>
      <c r="Y573" s="109"/>
      <c r="Z573" s="109"/>
    </row>
    <row r="574" ht="29.25" customHeight="1">
      <c r="A574" s="109"/>
      <c r="B574" s="109"/>
      <c r="C574" s="109"/>
      <c r="D574" s="109"/>
      <c r="E574" s="109"/>
      <c r="F574" s="109"/>
      <c r="G574" s="317"/>
      <c r="H574" s="109"/>
      <c r="I574" s="109"/>
      <c r="J574" s="109"/>
      <c r="K574" s="109"/>
      <c r="L574" s="109"/>
      <c r="M574" s="109"/>
      <c r="N574" s="109"/>
      <c r="O574" s="109"/>
      <c r="P574" s="109"/>
      <c r="Q574" s="109"/>
      <c r="R574" s="109"/>
      <c r="S574" s="109"/>
      <c r="T574" s="109"/>
      <c r="U574" s="109"/>
      <c r="V574" s="109"/>
      <c r="W574" s="109"/>
      <c r="X574" s="109"/>
      <c r="Y574" s="109"/>
      <c r="Z574" s="109"/>
    </row>
    <row r="575" ht="29.25" customHeight="1">
      <c r="A575" s="109"/>
      <c r="B575" s="109"/>
      <c r="C575" s="109"/>
      <c r="D575" s="109"/>
      <c r="E575" s="109"/>
      <c r="F575" s="109"/>
      <c r="G575" s="317"/>
      <c r="H575" s="109"/>
      <c r="I575" s="109"/>
      <c r="J575" s="109"/>
      <c r="K575" s="109"/>
      <c r="L575" s="109"/>
      <c r="M575" s="109"/>
      <c r="N575" s="109"/>
      <c r="O575" s="109"/>
      <c r="P575" s="109"/>
      <c r="Q575" s="109"/>
      <c r="R575" s="109"/>
      <c r="S575" s="109"/>
      <c r="T575" s="109"/>
      <c r="U575" s="109"/>
      <c r="V575" s="109"/>
      <c r="W575" s="109"/>
      <c r="X575" s="109"/>
      <c r="Y575" s="109"/>
      <c r="Z575" s="109"/>
    </row>
    <row r="576" ht="29.25" customHeight="1">
      <c r="A576" s="109"/>
      <c r="B576" s="109"/>
      <c r="C576" s="109"/>
      <c r="D576" s="109"/>
      <c r="E576" s="109"/>
      <c r="F576" s="109"/>
      <c r="G576" s="317"/>
      <c r="H576" s="109"/>
      <c r="I576" s="109"/>
      <c r="J576" s="109"/>
      <c r="K576" s="109"/>
      <c r="L576" s="109"/>
      <c r="M576" s="109"/>
      <c r="N576" s="109"/>
      <c r="O576" s="109"/>
      <c r="P576" s="109"/>
      <c r="Q576" s="109"/>
      <c r="R576" s="109"/>
      <c r="S576" s="109"/>
      <c r="T576" s="109"/>
      <c r="U576" s="109"/>
      <c r="V576" s="109"/>
      <c r="W576" s="109"/>
      <c r="X576" s="109"/>
      <c r="Y576" s="109"/>
      <c r="Z576" s="109"/>
    </row>
    <row r="577" ht="29.25" customHeight="1">
      <c r="A577" s="109"/>
      <c r="B577" s="109"/>
      <c r="C577" s="109"/>
      <c r="D577" s="109"/>
      <c r="E577" s="109"/>
      <c r="F577" s="109"/>
      <c r="G577" s="317"/>
      <c r="H577" s="109"/>
      <c r="I577" s="109"/>
      <c r="J577" s="109"/>
      <c r="K577" s="109"/>
      <c r="L577" s="109"/>
      <c r="M577" s="109"/>
      <c r="N577" s="109"/>
      <c r="O577" s="109"/>
      <c r="P577" s="109"/>
      <c r="Q577" s="109"/>
      <c r="R577" s="109"/>
      <c r="S577" s="109"/>
      <c r="T577" s="109"/>
      <c r="U577" s="109"/>
      <c r="V577" s="109"/>
      <c r="W577" s="109"/>
      <c r="X577" s="109"/>
      <c r="Y577" s="109"/>
      <c r="Z577" s="109"/>
    </row>
    <row r="578" ht="29.25" customHeight="1">
      <c r="A578" s="109"/>
      <c r="B578" s="109"/>
      <c r="C578" s="109"/>
      <c r="D578" s="109"/>
      <c r="E578" s="109"/>
      <c r="F578" s="109"/>
      <c r="G578" s="317"/>
      <c r="H578" s="109"/>
      <c r="I578" s="109"/>
      <c r="J578" s="109"/>
      <c r="K578" s="109"/>
      <c r="L578" s="109"/>
      <c r="M578" s="109"/>
      <c r="N578" s="109"/>
      <c r="O578" s="109"/>
      <c r="P578" s="109"/>
      <c r="Q578" s="109"/>
      <c r="R578" s="109"/>
      <c r="S578" s="109"/>
      <c r="T578" s="109"/>
      <c r="U578" s="109"/>
      <c r="V578" s="109"/>
      <c r="W578" s="109"/>
      <c r="X578" s="109"/>
      <c r="Y578" s="109"/>
      <c r="Z578" s="109"/>
    </row>
    <row r="579" ht="29.25" customHeight="1">
      <c r="A579" s="109"/>
      <c r="B579" s="109"/>
      <c r="C579" s="109"/>
      <c r="D579" s="109"/>
      <c r="E579" s="109"/>
      <c r="F579" s="109"/>
      <c r="G579" s="317"/>
      <c r="H579" s="109"/>
      <c r="I579" s="109"/>
      <c r="J579" s="109"/>
      <c r="K579" s="109"/>
      <c r="L579" s="109"/>
      <c r="M579" s="109"/>
      <c r="N579" s="109"/>
      <c r="O579" s="109"/>
      <c r="P579" s="109"/>
      <c r="Q579" s="109"/>
      <c r="R579" s="109"/>
      <c r="S579" s="109"/>
      <c r="T579" s="109"/>
      <c r="U579" s="109"/>
      <c r="V579" s="109"/>
      <c r="W579" s="109"/>
      <c r="X579" s="109"/>
      <c r="Y579" s="109"/>
      <c r="Z579" s="109"/>
    </row>
    <row r="580" ht="29.25" customHeight="1">
      <c r="A580" s="109"/>
      <c r="B580" s="109"/>
      <c r="C580" s="109"/>
      <c r="D580" s="109"/>
      <c r="E580" s="109"/>
      <c r="F580" s="109"/>
      <c r="G580" s="317"/>
      <c r="H580" s="109"/>
      <c r="I580" s="109"/>
      <c r="J580" s="109"/>
      <c r="K580" s="109"/>
      <c r="L580" s="109"/>
      <c r="M580" s="109"/>
      <c r="N580" s="109"/>
      <c r="O580" s="109"/>
      <c r="P580" s="109"/>
      <c r="Q580" s="109"/>
      <c r="R580" s="109"/>
      <c r="S580" s="109"/>
      <c r="T580" s="109"/>
      <c r="U580" s="109"/>
      <c r="V580" s="109"/>
      <c r="W580" s="109"/>
      <c r="X580" s="109"/>
      <c r="Y580" s="109"/>
      <c r="Z580" s="109"/>
    </row>
    <row r="581" ht="29.25" customHeight="1">
      <c r="A581" s="109"/>
      <c r="B581" s="109"/>
      <c r="C581" s="109"/>
      <c r="D581" s="109"/>
      <c r="E581" s="109"/>
      <c r="F581" s="109"/>
      <c r="G581" s="317"/>
      <c r="H581" s="109"/>
      <c r="I581" s="109"/>
      <c r="J581" s="109"/>
      <c r="K581" s="109"/>
      <c r="L581" s="109"/>
      <c r="M581" s="109"/>
      <c r="N581" s="109"/>
      <c r="O581" s="109"/>
      <c r="P581" s="109"/>
      <c r="Q581" s="109"/>
      <c r="R581" s="109"/>
      <c r="S581" s="109"/>
      <c r="T581" s="109"/>
      <c r="U581" s="109"/>
      <c r="V581" s="109"/>
      <c r="W581" s="109"/>
      <c r="X581" s="109"/>
      <c r="Y581" s="109"/>
      <c r="Z581" s="109"/>
    </row>
    <row r="582" ht="29.25" customHeight="1">
      <c r="A582" s="109"/>
      <c r="B582" s="109"/>
      <c r="C582" s="109"/>
      <c r="D582" s="109"/>
      <c r="E582" s="109"/>
      <c r="F582" s="109"/>
      <c r="G582" s="317"/>
      <c r="H582" s="109"/>
      <c r="I582" s="109"/>
      <c r="J582" s="109"/>
      <c r="K582" s="109"/>
      <c r="L582" s="109"/>
      <c r="M582" s="109"/>
      <c r="N582" s="109"/>
      <c r="O582" s="109"/>
      <c r="P582" s="109"/>
      <c r="Q582" s="109"/>
      <c r="R582" s="109"/>
      <c r="S582" s="109"/>
      <c r="T582" s="109"/>
      <c r="U582" s="109"/>
      <c r="V582" s="109"/>
      <c r="W582" s="109"/>
      <c r="X582" s="109"/>
      <c r="Y582" s="109"/>
      <c r="Z582" s="109"/>
    </row>
    <row r="583" ht="29.25" customHeight="1">
      <c r="A583" s="109"/>
      <c r="B583" s="109"/>
      <c r="C583" s="109"/>
      <c r="D583" s="109"/>
      <c r="E583" s="109"/>
      <c r="F583" s="109"/>
      <c r="G583" s="317"/>
      <c r="H583" s="109"/>
      <c r="I583" s="109"/>
      <c r="J583" s="109"/>
      <c r="K583" s="109"/>
      <c r="L583" s="109"/>
      <c r="M583" s="109"/>
      <c r="N583" s="109"/>
      <c r="O583" s="109"/>
      <c r="P583" s="109"/>
      <c r="Q583" s="109"/>
      <c r="R583" s="109"/>
      <c r="S583" s="109"/>
      <c r="T583" s="109"/>
      <c r="U583" s="109"/>
      <c r="V583" s="109"/>
      <c r="W583" s="109"/>
      <c r="X583" s="109"/>
      <c r="Y583" s="109"/>
      <c r="Z583" s="109"/>
    </row>
    <row r="584" ht="29.25" customHeight="1">
      <c r="A584" s="109"/>
      <c r="B584" s="109"/>
      <c r="C584" s="109"/>
      <c r="D584" s="109"/>
      <c r="E584" s="109"/>
      <c r="F584" s="109"/>
      <c r="G584" s="317"/>
      <c r="H584" s="109"/>
      <c r="I584" s="109"/>
      <c r="J584" s="109"/>
      <c r="K584" s="109"/>
      <c r="L584" s="109"/>
      <c r="M584" s="109"/>
      <c r="N584" s="109"/>
      <c r="O584" s="109"/>
      <c r="P584" s="109"/>
      <c r="Q584" s="109"/>
      <c r="R584" s="109"/>
      <c r="S584" s="109"/>
      <c r="T584" s="109"/>
      <c r="U584" s="109"/>
      <c r="V584" s="109"/>
      <c r="W584" s="109"/>
      <c r="X584" s="109"/>
      <c r="Y584" s="109"/>
      <c r="Z584" s="109"/>
    </row>
    <row r="585" ht="29.25" customHeight="1">
      <c r="A585" s="109"/>
      <c r="B585" s="109"/>
      <c r="C585" s="109"/>
      <c r="D585" s="109"/>
      <c r="E585" s="109"/>
      <c r="F585" s="109"/>
      <c r="G585" s="317"/>
      <c r="H585" s="109"/>
      <c r="I585" s="109"/>
      <c r="J585" s="109"/>
      <c r="K585" s="109"/>
      <c r="L585" s="109"/>
      <c r="M585" s="109"/>
      <c r="N585" s="109"/>
      <c r="O585" s="109"/>
      <c r="P585" s="109"/>
      <c r="Q585" s="109"/>
      <c r="R585" s="109"/>
      <c r="S585" s="109"/>
      <c r="T585" s="109"/>
      <c r="U585" s="109"/>
      <c r="V585" s="109"/>
      <c r="W585" s="109"/>
      <c r="X585" s="109"/>
      <c r="Y585" s="109"/>
      <c r="Z585" s="109"/>
    </row>
    <row r="586" ht="29.25" customHeight="1">
      <c r="A586" s="109"/>
      <c r="B586" s="109"/>
      <c r="C586" s="109"/>
      <c r="D586" s="109"/>
      <c r="E586" s="109"/>
      <c r="F586" s="109"/>
      <c r="G586" s="317"/>
      <c r="H586" s="109"/>
      <c r="I586" s="109"/>
      <c r="J586" s="109"/>
      <c r="K586" s="109"/>
      <c r="L586" s="109"/>
      <c r="M586" s="109"/>
      <c r="N586" s="109"/>
      <c r="O586" s="109"/>
      <c r="P586" s="109"/>
      <c r="Q586" s="109"/>
      <c r="R586" s="109"/>
      <c r="S586" s="109"/>
      <c r="T586" s="109"/>
      <c r="U586" s="109"/>
      <c r="V586" s="109"/>
      <c r="W586" s="109"/>
      <c r="X586" s="109"/>
      <c r="Y586" s="109"/>
      <c r="Z586" s="109"/>
    </row>
    <row r="587" ht="29.25" customHeight="1">
      <c r="A587" s="109"/>
      <c r="B587" s="109"/>
      <c r="C587" s="109"/>
      <c r="D587" s="109"/>
      <c r="E587" s="109"/>
      <c r="F587" s="109"/>
      <c r="G587" s="317"/>
      <c r="H587" s="109"/>
      <c r="I587" s="109"/>
      <c r="J587" s="109"/>
      <c r="K587" s="109"/>
      <c r="L587" s="109"/>
      <c r="M587" s="109"/>
      <c r="N587" s="109"/>
      <c r="O587" s="109"/>
      <c r="P587" s="109"/>
      <c r="Q587" s="109"/>
      <c r="R587" s="109"/>
      <c r="S587" s="109"/>
      <c r="T587" s="109"/>
      <c r="U587" s="109"/>
      <c r="V587" s="109"/>
      <c r="W587" s="109"/>
      <c r="X587" s="109"/>
      <c r="Y587" s="109"/>
      <c r="Z587" s="109"/>
    </row>
    <row r="588" ht="29.25" customHeight="1">
      <c r="A588" s="109"/>
      <c r="B588" s="109"/>
      <c r="C588" s="109"/>
      <c r="D588" s="109"/>
      <c r="E588" s="109"/>
      <c r="F588" s="109"/>
      <c r="G588" s="317"/>
      <c r="H588" s="109"/>
      <c r="I588" s="109"/>
      <c r="J588" s="109"/>
      <c r="K588" s="109"/>
      <c r="L588" s="109"/>
      <c r="M588" s="109"/>
      <c r="N588" s="109"/>
      <c r="O588" s="109"/>
      <c r="P588" s="109"/>
      <c r="Q588" s="109"/>
      <c r="R588" s="109"/>
      <c r="S588" s="109"/>
      <c r="T588" s="109"/>
      <c r="U588" s="109"/>
      <c r="V588" s="109"/>
      <c r="W588" s="109"/>
      <c r="X588" s="109"/>
      <c r="Y588" s="109"/>
      <c r="Z588" s="109"/>
    </row>
    <row r="589" ht="29.25" customHeight="1">
      <c r="A589" s="109"/>
      <c r="B589" s="109"/>
      <c r="C589" s="109"/>
      <c r="D589" s="109"/>
      <c r="E589" s="109"/>
      <c r="F589" s="109"/>
      <c r="G589" s="317"/>
      <c r="H589" s="109"/>
      <c r="I589" s="109"/>
      <c r="J589" s="109"/>
      <c r="K589" s="109"/>
      <c r="L589" s="109"/>
      <c r="M589" s="109"/>
      <c r="N589" s="109"/>
      <c r="O589" s="109"/>
      <c r="P589" s="109"/>
      <c r="Q589" s="109"/>
      <c r="R589" s="109"/>
      <c r="S589" s="109"/>
      <c r="T589" s="109"/>
      <c r="U589" s="109"/>
      <c r="V589" s="109"/>
      <c r="W589" s="109"/>
      <c r="X589" s="109"/>
      <c r="Y589" s="109"/>
      <c r="Z589" s="109"/>
    </row>
    <row r="590" ht="29.25" customHeight="1">
      <c r="A590" s="109"/>
      <c r="B590" s="109"/>
      <c r="C590" s="109"/>
      <c r="D590" s="109"/>
      <c r="E590" s="109"/>
      <c r="F590" s="109"/>
      <c r="G590" s="317"/>
      <c r="H590" s="109"/>
      <c r="I590" s="109"/>
      <c r="J590" s="109"/>
      <c r="K590" s="109"/>
      <c r="L590" s="109"/>
      <c r="M590" s="109"/>
      <c r="N590" s="109"/>
      <c r="O590" s="109"/>
      <c r="P590" s="109"/>
      <c r="Q590" s="109"/>
      <c r="R590" s="109"/>
      <c r="S590" s="109"/>
      <c r="T590" s="109"/>
      <c r="U590" s="109"/>
      <c r="V590" s="109"/>
      <c r="W590" s="109"/>
      <c r="X590" s="109"/>
      <c r="Y590" s="109"/>
      <c r="Z590" s="109"/>
    </row>
    <row r="591" ht="29.25" customHeight="1">
      <c r="A591" s="109"/>
      <c r="B591" s="109"/>
      <c r="C591" s="109"/>
      <c r="D591" s="109"/>
      <c r="E591" s="109"/>
      <c r="F591" s="109"/>
      <c r="G591" s="317"/>
      <c r="H591" s="109"/>
      <c r="I591" s="109"/>
      <c r="J591" s="109"/>
      <c r="K591" s="109"/>
      <c r="L591" s="109"/>
      <c r="M591" s="109"/>
      <c r="N591" s="109"/>
      <c r="O591" s="109"/>
      <c r="P591" s="109"/>
      <c r="Q591" s="109"/>
      <c r="R591" s="109"/>
      <c r="S591" s="109"/>
      <c r="T591" s="109"/>
      <c r="U591" s="109"/>
      <c r="V591" s="109"/>
      <c r="W591" s="109"/>
      <c r="X591" s="109"/>
      <c r="Y591" s="109"/>
      <c r="Z591" s="109"/>
    </row>
    <row r="592" ht="29.25" customHeight="1">
      <c r="A592" s="109"/>
      <c r="B592" s="109"/>
      <c r="C592" s="109"/>
      <c r="D592" s="109"/>
      <c r="E592" s="109"/>
      <c r="F592" s="109"/>
      <c r="G592" s="317"/>
      <c r="H592" s="109"/>
      <c r="I592" s="109"/>
      <c r="J592" s="109"/>
      <c r="K592" s="109"/>
      <c r="L592" s="109"/>
      <c r="M592" s="109"/>
      <c r="N592" s="109"/>
      <c r="O592" s="109"/>
      <c r="P592" s="109"/>
      <c r="Q592" s="109"/>
      <c r="R592" s="109"/>
      <c r="S592" s="109"/>
      <c r="T592" s="109"/>
      <c r="U592" s="109"/>
      <c r="V592" s="109"/>
      <c r="W592" s="109"/>
      <c r="X592" s="109"/>
      <c r="Y592" s="109"/>
      <c r="Z592" s="109"/>
    </row>
    <row r="593" ht="29.25" customHeight="1">
      <c r="A593" s="109"/>
      <c r="B593" s="109"/>
      <c r="C593" s="109"/>
      <c r="D593" s="109"/>
      <c r="E593" s="109"/>
      <c r="F593" s="109"/>
      <c r="G593" s="317"/>
      <c r="H593" s="109"/>
      <c r="I593" s="109"/>
      <c r="J593" s="109"/>
      <c r="K593" s="109"/>
      <c r="L593" s="109"/>
      <c r="M593" s="109"/>
      <c r="N593" s="109"/>
      <c r="O593" s="109"/>
      <c r="P593" s="109"/>
      <c r="Q593" s="109"/>
      <c r="R593" s="109"/>
      <c r="S593" s="109"/>
      <c r="T593" s="109"/>
      <c r="U593" s="109"/>
      <c r="V593" s="109"/>
      <c r="W593" s="109"/>
      <c r="X593" s="109"/>
      <c r="Y593" s="109"/>
      <c r="Z593" s="109"/>
    </row>
    <row r="594" ht="29.25" customHeight="1">
      <c r="A594" s="109"/>
      <c r="B594" s="109"/>
      <c r="C594" s="109"/>
      <c r="D594" s="109"/>
      <c r="E594" s="109"/>
      <c r="F594" s="109"/>
      <c r="G594" s="317"/>
      <c r="H594" s="109"/>
      <c r="I594" s="109"/>
      <c r="J594" s="109"/>
      <c r="K594" s="109"/>
      <c r="L594" s="109"/>
      <c r="M594" s="109"/>
      <c r="N594" s="109"/>
      <c r="O594" s="109"/>
      <c r="P594" s="109"/>
      <c r="Q594" s="109"/>
      <c r="R594" s="109"/>
      <c r="S594" s="109"/>
      <c r="T594" s="109"/>
      <c r="U594" s="109"/>
      <c r="V594" s="109"/>
      <c r="W594" s="109"/>
      <c r="X594" s="109"/>
      <c r="Y594" s="109"/>
      <c r="Z594" s="109"/>
    </row>
    <row r="595" ht="29.25" customHeight="1">
      <c r="A595" s="109"/>
      <c r="B595" s="109"/>
      <c r="C595" s="109"/>
      <c r="D595" s="109"/>
      <c r="E595" s="109"/>
      <c r="F595" s="109"/>
      <c r="G595" s="317"/>
      <c r="H595" s="109"/>
      <c r="I595" s="109"/>
      <c r="J595" s="109"/>
      <c r="K595" s="109"/>
      <c r="L595" s="109"/>
      <c r="M595" s="109"/>
      <c r="N595" s="109"/>
      <c r="O595" s="109"/>
      <c r="P595" s="109"/>
      <c r="Q595" s="109"/>
      <c r="R595" s="109"/>
      <c r="S595" s="109"/>
      <c r="T595" s="109"/>
      <c r="U595" s="109"/>
      <c r="V595" s="109"/>
      <c r="W595" s="109"/>
      <c r="X595" s="109"/>
      <c r="Y595" s="109"/>
      <c r="Z595" s="109"/>
    </row>
    <row r="596" ht="29.25" customHeight="1">
      <c r="A596" s="109"/>
      <c r="B596" s="109"/>
      <c r="C596" s="109"/>
      <c r="D596" s="109"/>
      <c r="E596" s="109"/>
      <c r="F596" s="109"/>
      <c r="G596" s="317"/>
      <c r="H596" s="109"/>
      <c r="I596" s="109"/>
      <c r="J596" s="109"/>
      <c r="K596" s="109"/>
      <c r="L596" s="109"/>
      <c r="M596" s="109"/>
      <c r="N596" s="109"/>
      <c r="O596" s="109"/>
      <c r="P596" s="109"/>
      <c r="Q596" s="109"/>
      <c r="R596" s="109"/>
      <c r="S596" s="109"/>
      <c r="T596" s="109"/>
      <c r="U596" s="109"/>
      <c r="V596" s="109"/>
      <c r="W596" s="109"/>
      <c r="X596" s="109"/>
      <c r="Y596" s="109"/>
      <c r="Z596" s="109"/>
    </row>
    <row r="597" ht="29.25" customHeight="1">
      <c r="A597" s="109"/>
      <c r="B597" s="109"/>
      <c r="C597" s="109"/>
      <c r="D597" s="109"/>
      <c r="E597" s="109"/>
      <c r="F597" s="109"/>
      <c r="G597" s="317"/>
      <c r="H597" s="109"/>
      <c r="I597" s="109"/>
      <c r="J597" s="109"/>
      <c r="K597" s="109"/>
      <c r="L597" s="109"/>
      <c r="M597" s="109"/>
      <c r="N597" s="109"/>
      <c r="O597" s="109"/>
      <c r="P597" s="109"/>
      <c r="Q597" s="109"/>
      <c r="R597" s="109"/>
      <c r="S597" s="109"/>
      <c r="T597" s="109"/>
      <c r="U597" s="109"/>
      <c r="V597" s="109"/>
      <c r="W597" s="109"/>
      <c r="X597" s="109"/>
      <c r="Y597" s="109"/>
      <c r="Z597" s="109"/>
    </row>
    <row r="598" ht="29.25" customHeight="1">
      <c r="A598" s="109"/>
      <c r="B598" s="109"/>
      <c r="C598" s="109"/>
      <c r="D598" s="109"/>
      <c r="E598" s="109"/>
      <c r="F598" s="109"/>
      <c r="G598" s="317"/>
      <c r="H598" s="109"/>
      <c r="I598" s="109"/>
      <c r="J598" s="109"/>
      <c r="K598" s="109"/>
      <c r="L598" s="109"/>
      <c r="M598" s="109"/>
      <c r="N598" s="109"/>
      <c r="O598" s="109"/>
      <c r="P598" s="109"/>
      <c r="Q598" s="109"/>
      <c r="R598" s="109"/>
      <c r="S598" s="109"/>
      <c r="T598" s="109"/>
      <c r="U598" s="109"/>
      <c r="V598" s="109"/>
      <c r="W598" s="109"/>
      <c r="X598" s="109"/>
      <c r="Y598" s="109"/>
      <c r="Z598" s="109"/>
    </row>
    <row r="599" ht="29.25" customHeight="1">
      <c r="A599" s="109"/>
      <c r="B599" s="109"/>
      <c r="C599" s="109"/>
      <c r="D599" s="109"/>
      <c r="E599" s="109"/>
      <c r="F599" s="109"/>
      <c r="G599" s="317"/>
      <c r="H599" s="109"/>
      <c r="I599" s="109"/>
      <c r="J599" s="109"/>
      <c r="K599" s="109"/>
      <c r="L599" s="109"/>
      <c r="M599" s="109"/>
      <c r="N599" s="109"/>
      <c r="O599" s="109"/>
      <c r="P599" s="109"/>
      <c r="Q599" s="109"/>
      <c r="R599" s="109"/>
      <c r="S599" s="109"/>
      <c r="T599" s="109"/>
      <c r="U599" s="109"/>
      <c r="V599" s="109"/>
      <c r="W599" s="109"/>
      <c r="X599" s="109"/>
      <c r="Y599" s="109"/>
      <c r="Z599" s="109"/>
    </row>
    <row r="600" ht="29.25" customHeight="1">
      <c r="A600" s="109"/>
      <c r="B600" s="109"/>
      <c r="C600" s="109"/>
      <c r="D600" s="109"/>
      <c r="E600" s="109"/>
      <c r="F600" s="109"/>
      <c r="G600" s="317"/>
      <c r="H600" s="109"/>
      <c r="I600" s="109"/>
      <c r="J600" s="109"/>
      <c r="K600" s="109"/>
      <c r="L600" s="109"/>
      <c r="M600" s="109"/>
      <c r="N600" s="109"/>
      <c r="O600" s="109"/>
      <c r="P600" s="109"/>
      <c r="Q600" s="109"/>
      <c r="R600" s="109"/>
      <c r="S600" s="109"/>
      <c r="T600" s="109"/>
      <c r="U600" s="109"/>
      <c r="V600" s="109"/>
      <c r="W600" s="109"/>
      <c r="X600" s="109"/>
      <c r="Y600" s="109"/>
      <c r="Z600" s="109"/>
    </row>
    <row r="601" ht="29.25" customHeight="1">
      <c r="A601" s="109"/>
      <c r="B601" s="109"/>
      <c r="C601" s="109"/>
      <c r="D601" s="109"/>
      <c r="E601" s="109"/>
      <c r="F601" s="109"/>
      <c r="G601" s="317"/>
      <c r="H601" s="109"/>
      <c r="I601" s="109"/>
      <c r="J601" s="109"/>
      <c r="K601" s="109"/>
      <c r="L601" s="109"/>
      <c r="M601" s="109"/>
      <c r="N601" s="109"/>
      <c r="O601" s="109"/>
      <c r="P601" s="109"/>
      <c r="Q601" s="109"/>
      <c r="R601" s="109"/>
      <c r="S601" s="109"/>
      <c r="T601" s="109"/>
      <c r="U601" s="109"/>
      <c r="V601" s="109"/>
      <c r="W601" s="109"/>
      <c r="X601" s="109"/>
      <c r="Y601" s="109"/>
      <c r="Z601" s="109"/>
    </row>
    <row r="602" ht="29.25" customHeight="1">
      <c r="A602" s="109"/>
      <c r="B602" s="109"/>
      <c r="C602" s="109"/>
      <c r="D602" s="109"/>
      <c r="E602" s="109"/>
      <c r="F602" s="109"/>
      <c r="G602" s="317"/>
      <c r="H602" s="109"/>
      <c r="I602" s="109"/>
      <c r="J602" s="109"/>
      <c r="K602" s="109"/>
      <c r="L602" s="109"/>
      <c r="M602" s="109"/>
      <c r="N602" s="109"/>
      <c r="O602" s="109"/>
      <c r="P602" s="109"/>
      <c r="Q602" s="109"/>
      <c r="R602" s="109"/>
      <c r="S602" s="109"/>
      <c r="T602" s="109"/>
      <c r="U602" s="109"/>
      <c r="V602" s="109"/>
      <c r="W602" s="109"/>
      <c r="X602" s="109"/>
      <c r="Y602" s="109"/>
      <c r="Z602" s="109"/>
    </row>
    <row r="603" ht="29.25" customHeight="1">
      <c r="A603" s="109"/>
      <c r="B603" s="109"/>
      <c r="C603" s="109"/>
      <c r="D603" s="109"/>
      <c r="E603" s="109"/>
      <c r="F603" s="109"/>
      <c r="G603" s="317"/>
      <c r="H603" s="109"/>
      <c r="I603" s="109"/>
      <c r="J603" s="109"/>
      <c r="K603" s="109"/>
      <c r="L603" s="109"/>
      <c r="M603" s="109"/>
      <c r="N603" s="109"/>
      <c r="O603" s="109"/>
      <c r="P603" s="109"/>
      <c r="Q603" s="109"/>
      <c r="R603" s="109"/>
      <c r="S603" s="109"/>
      <c r="T603" s="109"/>
      <c r="U603" s="109"/>
      <c r="V603" s="109"/>
      <c r="W603" s="109"/>
      <c r="X603" s="109"/>
      <c r="Y603" s="109"/>
      <c r="Z603" s="109"/>
    </row>
    <row r="604" ht="29.25" customHeight="1">
      <c r="A604" s="109"/>
      <c r="B604" s="109"/>
      <c r="C604" s="109"/>
      <c r="D604" s="109"/>
      <c r="E604" s="109"/>
      <c r="F604" s="109"/>
      <c r="G604" s="317"/>
      <c r="H604" s="109"/>
      <c r="I604" s="109"/>
      <c r="J604" s="109"/>
      <c r="K604" s="109"/>
      <c r="L604" s="109"/>
      <c r="M604" s="109"/>
      <c r="N604" s="109"/>
      <c r="O604" s="109"/>
      <c r="P604" s="109"/>
      <c r="Q604" s="109"/>
      <c r="R604" s="109"/>
      <c r="S604" s="109"/>
      <c r="T604" s="109"/>
      <c r="U604" s="109"/>
      <c r="V604" s="109"/>
      <c r="W604" s="109"/>
      <c r="X604" s="109"/>
      <c r="Y604" s="109"/>
      <c r="Z604" s="109"/>
    </row>
    <row r="605" ht="29.25" customHeight="1">
      <c r="A605" s="109"/>
      <c r="B605" s="109"/>
      <c r="C605" s="109"/>
      <c r="D605" s="109"/>
      <c r="E605" s="109"/>
      <c r="F605" s="109"/>
      <c r="G605" s="317"/>
      <c r="H605" s="109"/>
      <c r="I605" s="109"/>
      <c r="J605" s="109"/>
      <c r="K605" s="109"/>
      <c r="L605" s="109"/>
      <c r="M605" s="109"/>
      <c r="N605" s="109"/>
      <c r="O605" s="109"/>
      <c r="P605" s="109"/>
      <c r="Q605" s="109"/>
      <c r="R605" s="109"/>
      <c r="S605" s="109"/>
      <c r="T605" s="109"/>
      <c r="U605" s="109"/>
      <c r="V605" s="109"/>
      <c r="W605" s="109"/>
      <c r="X605" s="109"/>
      <c r="Y605" s="109"/>
      <c r="Z605" s="109"/>
    </row>
    <row r="606" ht="29.25" customHeight="1">
      <c r="A606" s="109"/>
      <c r="B606" s="109"/>
      <c r="C606" s="109"/>
      <c r="D606" s="109"/>
      <c r="E606" s="109"/>
      <c r="F606" s="109"/>
      <c r="G606" s="317"/>
      <c r="H606" s="109"/>
      <c r="I606" s="109"/>
      <c r="J606" s="109"/>
      <c r="K606" s="109"/>
      <c r="L606" s="109"/>
      <c r="M606" s="109"/>
      <c r="N606" s="109"/>
      <c r="O606" s="109"/>
      <c r="P606" s="109"/>
      <c r="Q606" s="109"/>
      <c r="R606" s="109"/>
      <c r="S606" s="109"/>
      <c r="T606" s="109"/>
      <c r="U606" s="109"/>
      <c r="V606" s="109"/>
      <c r="W606" s="109"/>
      <c r="X606" s="109"/>
      <c r="Y606" s="109"/>
      <c r="Z606" s="109"/>
    </row>
    <row r="607" ht="29.25" customHeight="1">
      <c r="A607" s="109"/>
      <c r="B607" s="109"/>
      <c r="C607" s="109"/>
      <c r="D607" s="109"/>
      <c r="E607" s="109"/>
      <c r="F607" s="109"/>
      <c r="G607" s="317"/>
      <c r="H607" s="109"/>
      <c r="I607" s="109"/>
      <c r="J607" s="109"/>
      <c r="K607" s="109"/>
      <c r="L607" s="109"/>
      <c r="M607" s="109"/>
      <c r="N607" s="109"/>
      <c r="O607" s="109"/>
      <c r="P607" s="109"/>
      <c r="Q607" s="109"/>
      <c r="R607" s="109"/>
      <c r="S607" s="109"/>
      <c r="T607" s="109"/>
      <c r="U607" s="109"/>
      <c r="V607" s="109"/>
      <c r="W607" s="109"/>
      <c r="X607" s="109"/>
      <c r="Y607" s="109"/>
      <c r="Z607" s="109"/>
    </row>
    <row r="608" ht="29.25" customHeight="1">
      <c r="A608" s="109"/>
      <c r="B608" s="109"/>
      <c r="C608" s="109"/>
      <c r="D608" s="109"/>
      <c r="E608" s="109"/>
      <c r="F608" s="109"/>
      <c r="G608" s="317"/>
      <c r="H608" s="109"/>
      <c r="I608" s="109"/>
      <c r="J608" s="109"/>
      <c r="K608" s="109"/>
      <c r="L608" s="109"/>
      <c r="M608" s="109"/>
      <c r="N608" s="109"/>
      <c r="O608" s="109"/>
      <c r="P608" s="109"/>
      <c r="Q608" s="109"/>
      <c r="R608" s="109"/>
      <c r="S608" s="109"/>
      <c r="T608" s="109"/>
      <c r="U608" s="109"/>
      <c r="V608" s="109"/>
      <c r="W608" s="109"/>
      <c r="X608" s="109"/>
      <c r="Y608" s="109"/>
      <c r="Z608" s="109"/>
    </row>
    <row r="609" ht="29.25" customHeight="1">
      <c r="A609" s="109"/>
      <c r="B609" s="109"/>
      <c r="C609" s="109"/>
      <c r="D609" s="109"/>
      <c r="E609" s="109"/>
      <c r="F609" s="109"/>
      <c r="G609" s="317"/>
      <c r="H609" s="109"/>
      <c r="I609" s="109"/>
      <c r="J609" s="109"/>
      <c r="K609" s="109"/>
      <c r="L609" s="109"/>
      <c r="M609" s="109"/>
      <c r="N609" s="109"/>
      <c r="O609" s="109"/>
      <c r="P609" s="109"/>
      <c r="Q609" s="109"/>
      <c r="R609" s="109"/>
      <c r="S609" s="109"/>
      <c r="T609" s="109"/>
      <c r="U609" s="109"/>
      <c r="V609" s="109"/>
      <c r="W609" s="109"/>
      <c r="X609" s="109"/>
      <c r="Y609" s="109"/>
      <c r="Z609" s="109"/>
    </row>
    <row r="610" ht="29.25" customHeight="1">
      <c r="A610" s="109"/>
      <c r="B610" s="109"/>
      <c r="C610" s="109"/>
      <c r="D610" s="109"/>
      <c r="E610" s="109"/>
      <c r="F610" s="109"/>
      <c r="G610" s="317"/>
      <c r="H610" s="109"/>
      <c r="I610" s="109"/>
      <c r="J610" s="109"/>
      <c r="K610" s="109"/>
      <c r="L610" s="109"/>
      <c r="M610" s="109"/>
      <c r="N610" s="109"/>
      <c r="O610" s="109"/>
      <c r="P610" s="109"/>
      <c r="Q610" s="109"/>
      <c r="R610" s="109"/>
      <c r="S610" s="109"/>
      <c r="T610" s="109"/>
      <c r="U610" s="109"/>
      <c r="V610" s="109"/>
      <c r="W610" s="109"/>
      <c r="X610" s="109"/>
      <c r="Y610" s="109"/>
      <c r="Z610" s="109"/>
    </row>
    <row r="611" ht="29.25" customHeight="1">
      <c r="A611" s="109"/>
      <c r="B611" s="109"/>
      <c r="C611" s="109"/>
      <c r="D611" s="109"/>
      <c r="E611" s="109"/>
      <c r="F611" s="109"/>
      <c r="G611" s="317"/>
      <c r="H611" s="109"/>
      <c r="I611" s="109"/>
      <c r="J611" s="109"/>
      <c r="K611" s="109"/>
      <c r="L611" s="109"/>
      <c r="M611" s="109"/>
      <c r="N611" s="109"/>
      <c r="O611" s="109"/>
      <c r="P611" s="109"/>
      <c r="Q611" s="109"/>
      <c r="R611" s="109"/>
      <c r="S611" s="109"/>
      <c r="T611" s="109"/>
      <c r="U611" s="109"/>
      <c r="V611" s="109"/>
      <c r="W611" s="109"/>
      <c r="X611" s="109"/>
      <c r="Y611" s="109"/>
      <c r="Z611" s="109"/>
    </row>
    <row r="612" ht="29.25" customHeight="1">
      <c r="A612" s="109"/>
      <c r="B612" s="109"/>
      <c r="C612" s="109"/>
      <c r="D612" s="109"/>
      <c r="E612" s="109"/>
      <c r="F612" s="109"/>
      <c r="G612" s="317"/>
      <c r="H612" s="109"/>
      <c r="I612" s="109"/>
      <c r="J612" s="109"/>
      <c r="K612" s="109"/>
      <c r="L612" s="109"/>
      <c r="M612" s="109"/>
      <c r="N612" s="109"/>
      <c r="O612" s="109"/>
      <c r="P612" s="109"/>
      <c r="Q612" s="109"/>
      <c r="R612" s="109"/>
      <c r="S612" s="109"/>
      <c r="T612" s="109"/>
      <c r="U612" s="109"/>
      <c r="V612" s="109"/>
      <c r="W612" s="109"/>
      <c r="X612" s="109"/>
      <c r="Y612" s="109"/>
      <c r="Z612" s="109"/>
    </row>
    <row r="613" ht="29.25" customHeight="1">
      <c r="A613" s="109"/>
      <c r="B613" s="109"/>
      <c r="C613" s="109"/>
      <c r="D613" s="109"/>
      <c r="E613" s="109"/>
      <c r="F613" s="109"/>
      <c r="G613" s="317"/>
      <c r="H613" s="109"/>
      <c r="I613" s="109"/>
      <c r="J613" s="109"/>
      <c r="K613" s="109"/>
      <c r="L613" s="109"/>
      <c r="M613" s="109"/>
      <c r="N613" s="109"/>
      <c r="O613" s="109"/>
      <c r="P613" s="109"/>
      <c r="Q613" s="109"/>
      <c r="R613" s="109"/>
      <c r="S613" s="109"/>
      <c r="T613" s="109"/>
      <c r="U613" s="109"/>
      <c r="V613" s="109"/>
      <c r="W613" s="109"/>
      <c r="X613" s="109"/>
      <c r="Y613" s="109"/>
      <c r="Z613" s="109"/>
    </row>
    <row r="614" ht="29.25" customHeight="1">
      <c r="A614" s="109"/>
      <c r="B614" s="109"/>
      <c r="C614" s="109"/>
      <c r="D614" s="109"/>
      <c r="E614" s="109"/>
      <c r="F614" s="109"/>
      <c r="G614" s="317"/>
      <c r="H614" s="109"/>
      <c r="I614" s="109"/>
      <c r="J614" s="109"/>
      <c r="K614" s="109"/>
      <c r="L614" s="109"/>
      <c r="M614" s="109"/>
      <c r="N614" s="109"/>
      <c r="O614" s="109"/>
      <c r="P614" s="109"/>
      <c r="Q614" s="109"/>
      <c r="R614" s="109"/>
      <c r="S614" s="109"/>
      <c r="T614" s="109"/>
      <c r="U614" s="109"/>
      <c r="V614" s="109"/>
      <c r="W614" s="109"/>
      <c r="X614" s="109"/>
      <c r="Y614" s="109"/>
      <c r="Z614" s="109"/>
    </row>
    <row r="615" ht="29.25" customHeight="1">
      <c r="A615" s="109"/>
      <c r="B615" s="109"/>
      <c r="C615" s="109"/>
      <c r="D615" s="109"/>
      <c r="E615" s="109"/>
      <c r="F615" s="109"/>
      <c r="G615" s="317"/>
      <c r="H615" s="109"/>
      <c r="I615" s="109"/>
      <c r="J615" s="109"/>
      <c r="K615" s="109"/>
      <c r="L615" s="109"/>
      <c r="M615" s="109"/>
      <c r="N615" s="109"/>
      <c r="O615" s="109"/>
      <c r="P615" s="109"/>
      <c r="Q615" s="109"/>
      <c r="R615" s="109"/>
      <c r="S615" s="109"/>
      <c r="T615" s="109"/>
      <c r="U615" s="109"/>
      <c r="V615" s="109"/>
      <c r="W615" s="109"/>
      <c r="X615" s="109"/>
      <c r="Y615" s="109"/>
      <c r="Z615" s="109"/>
    </row>
    <row r="616" ht="29.25" customHeight="1">
      <c r="A616" s="109"/>
      <c r="B616" s="109"/>
      <c r="C616" s="109"/>
      <c r="D616" s="109"/>
      <c r="E616" s="109"/>
      <c r="F616" s="109"/>
      <c r="G616" s="317"/>
      <c r="H616" s="109"/>
      <c r="I616" s="109"/>
      <c r="J616" s="109"/>
      <c r="K616" s="109"/>
      <c r="L616" s="109"/>
      <c r="M616" s="109"/>
      <c r="N616" s="109"/>
      <c r="O616" s="109"/>
      <c r="P616" s="109"/>
      <c r="Q616" s="109"/>
      <c r="R616" s="109"/>
      <c r="S616" s="109"/>
      <c r="T616" s="109"/>
      <c r="U616" s="109"/>
      <c r="V616" s="109"/>
      <c r="W616" s="109"/>
      <c r="X616" s="109"/>
      <c r="Y616" s="109"/>
      <c r="Z616" s="109"/>
    </row>
    <row r="617" ht="29.25" customHeight="1">
      <c r="A617" s="109"/>
      <c r="B617" s="109"/>
      <c r="C617" s="109"/>
      <c r="D617" s="109"/>
      <c r="E617" s="109"/>
      <c r="F617" s="109"/>
      <c r="G617" s="317"/>
      <c r="H617" s="109"/>
      <c r="I617" s="109"/>
      <c r="J617" s="109"/>
      <c r="K617" s="109"/>
      <c r="L617" s="109"/>
      <c r="M617" s="109"/>
      <c r="N617" s="109"/>
      <c r="O617" s="109"/>
      <c r="P617" s="109"/>
      <c r="Q617" s="109"/>
      <c r="R617" s="109"/>
      <c r="S617" s="109"/>
      <c r="T617" s="109"/>
      <c r="U617" s="109"/>
      <c r="V617" s="109"/>
      <c r="W617" s="109"/>
      <c r="X617" s="109"/>
      <c r="Y617" s="109"/>
      <c r="Z617" s="109"/>
    </row>
    <row r="618" ht="29.25" customHeight="1">
      <c r="A618" s="109"/>
      <c r="B618" s="109"/>
      <c r="C618" s="109"/>
      <c r="D618" s="109"/>
      <c r="E618" s="109"/>
      <c r="F618" s="109"/>
      <c r="G618" s="317"/>
      <c r="H618" s="109"/>
      <c r="I618" s="109"/>
      <c r="J618" s="109"/>
      <c r="K618" s="109"/>
      <c r="L618" s="109"/>
      <c r="M618" s="109"/>
      <c r="N618" s="109"/>
      <c r="O618" s="109"/>
      <c r="P618" s="109"/>
      <c r="Q618" s="109"/>
      <c r="R618" s="109"/>
      <c r="S618" s="109"/>
      <c r="T618" s="109"/>
      <c r="U618" s="109"/>
      <c r="V618" s="109"/>
      <c r="W618" s="109"/>
      <c r="X618" s="109"/>
      <c r="Y618" s="109"/>
      <c r="Z618" s="109"/>
    </row>
    <row r="619" ht="29.25" customHeight="1">
      <c r="A619" s="109"/>
      <c r="B619" s="109"/>
      <c r="C619" s="109"/>
      <c r="D619" s="109"/>
      <c r="E619" s="109"/>
      <c r="F619" s="109"/>
      <c r="G619" s="317"/>
      <c r="H619" s="109"/>
      <c r="I619" s="109"/>
      <c r="J619" s="109"/>
      <c r="K619" s="109"/>
      <c r="L619" s="109"/>
      <c r="M619" s="109"/>
      <c r="N619" s="109"/>
      <c r="O619" s="109"/>
      <c r="P619" s="109"/>
      <c r="Q619" s="109"/>
      <c r="R619" s="109"/>
      <c r="S619" s="109"/>
      <c r="T619" s="109"/>
      <c r="U619" s="109"/>
      <c r="V619" s="109"/>
      <c r="W619" s="109"/>
      <c r="X619" s="109"/>
      <c r="Y619" s="109"/>
      <c r="Z619" s="109"/>
    </row>
    <row r="620" ht="29.25" customHeight="1">
      <c r="A620" s="109"/>
      <c r="B620" s="109"/>
      <c r="C620" s="109"/>
      <c r="D620" s="109"/>
      <c r="E620" s="109"/>
      <c r="F620" s="109"/>
      <c r="G620" s="317"/>
      <c r="H620" s="109"/>
      <c r="I620" s="109"/>
      <c r="J620" s="109"/>
      <c r="K620" s="109"/>
      <c r="L620" s="109"/>
      <c r="M620" s="109"/>
      <c r="N620" s="109"/>
      <c r="O620" s="109"/>
      <c r="P620" s="109"/>
      <c r="Q620" s="109"/>
      <c r="R620" s="109"/>
      <c r="S620" s="109"/>
      <c r="T620" s="109"/>
      <c r="U620" s="109"/>
      <c r="V620" s="109"/>
      <c r="W620" s="109"/>
      <c r="X620" s="109"/>
      <c r="Y620" s="109"/>
      <c r="Z620" s="109"/>
    </row>
    <row r="621" ht="29.25" customHeight="1">
      <c r="A621" s="109"/>
      <c r="B621" s="109"/>
      <c r="C621" s="109"/>
      <c r="D621" s="109"/>
      <c r="E621" s="109"/>
      <c r="F621" s="109"/>
      <c r="G621" s="317"/>
      <c r="H621" s="109"/>
      <c r="I621" s="109"/>
      <c r="J621" s="109"/>
      <c r="K621" s="109"/>
      <c r="L621" s="109"/>
      <c r="M621" s="109"/>
      <c r="N621" s="109"/>
      <c r="O621" s="109"/>
      <c r="P621" s="109"/>
      <c r="Q621" s="109"/>
      <c r="R621" s="109"/>
      <c r="S621" s="109"/>
      <c r="T621" s="109"/>
      <c r="U621" s="109"/>
      <c r="V621" s="109"/>
      <c r="W621" s="109"/>
      <c r="X621" s="109"/>
      <c r="Y621" s="109"/>
      <c r="Z621" s="109"/>
    </row>
    <row r="622" ht="29.25" customHeight="1">
      <c r="A622" s="109"/>
      <c r="B622" s="109"/>
      <c r="C622" s="109"/>
      <c r="D622" s="109"/>
      <c r="E622" s="109"/>
      <c r="F622" s="109"/>
      <c r="G622" s="317"/>
      <c r="H622" s="109"/>
      <c r="I622" s="109"/>
      <c r="J622" s="109"/>
      <c r="K622" s="109"/>
      <c r="L622" s="109"/>
      <c r="M622" s="109"/>
      <c r="N622" s="109"/>
      <c r="O622" s="109"/>
      <c r="P622" s="109"/>
      <c r="Q622" s="109"/>
      <c r="R622" s="109"/>
      <c r="S622" s="109"/>
      <c r="T622" s="109"/>
      <c r="U622" s="109"/>
      <c r="V622" s="109"/>
      <c r="W622" s="109"/>
      <c r="X622" s="109"/>
      <c r="Y622" s="109"/>
      <c r="Z622" s="109"/>
    </row>
    <row r="623" ht="29.25" customHeight="1">
      <c r="A623" s="109"/>
      <c r="B623" s="109"/>
      <c r="C623" s="109"/>
      <c r="D623" s="109"/>
      <c r="E623" s="109"/>
      <c r="F623" s="109"/>
      <c r="G623" s="317"/>
      <c r="H623" s="109"/>
      <c r="I623" s="109"/>
      <c r="J623" s="109"/>
      <c r="K623" s="109"/>
      <c r="L623" s="109"/>
      <c r="M623" s="109"/>
      <c r="N623" s="109"/>
      <c r="O623" s="109"/>
      <c r="P623" s="109"/>
      <c r="Q623" s="109"/>
      <c r="R623" s="109"/>
      <c r="S623" s="109"/>
      <c r="T623" s="109"/>
      <c r="U623" s="109"/>
      <c r="V623" s="109"/>
      <c r="W623" s="109"/>
      <c r="X623" s="109"/>
      <c r="Y623" s="109"/>
      <c r="Z623" s="109"/>
    </row>
    <row r="624" ht="29.25" customHeight="1">
      <c r="A624" s="109"/>
      <c r="B624" s="109"/>
      <c r="C624" s="109"/>
      <c r="D624" s="109"/>
      <c r="E624" s="109"/>
      <c r="F624" s="109"/>
      <c r="G624" s="317"/>
      <c r="H624" s="109"/>
      <c r="I624" s="109"/>
      <c r="J624" s="109"/>
      <c r="K624" s="109"/>
      <c r="L624" s="109"/>
      <c r="M624" s="109"/>
      <c r="N624" s="109"/>
      <c r="O624" s="109"/>
      <c r="P624" s="109"/>
      <c r="Q624" s="109"/>
      <c r="R624" s="109"/>
      <c r="S624" s="109"/>
      <c r="T624" s="109"/>
      <c r="U624" s="109"/>
      <c r="V624" s="109"/>
      <c r="W624" s="109"/>
      <c r="X624" s="109"/>
      <c r="Y624" s="109"/>
      <c r="Z624" s="109"/>
    </row>
    <row r="625" ht="29.25" customHeight="1">
      <c r="A625" s="109"/>
      <c r="B625" s="109"/>
      <c r="C625" s="109"/>
      <c r="D625" s="109"/>
      <c r="E625" s="109"/>
      <c r="F625" s="109"/>
      <c r="G625" s="317"/>
      <c r="H625" s="109"/>
      <c r="I625" s="109"/>
      <c r="J625" s="109"/>
      <c r="K625" s="109"/>
      <c r="L625" s="109"/>
      <c r="M625" s="109"/>
      <c r="N625" s="109"/>
      <c r="O625" s="109"/>
      <c r="P625" s="109"/>
      <c r="Q625" s="109"/>
      <c r="R625" s="109"/>
      <c r="S625" s="109"/>
      <c r="T625" s="109"/>
      <c r="U625" s="109"/>
      <c r="V625" s="109"/>
      <c r="W625" s="109"/>
      <c r="X625" s="109"/>
      <c r="Y625" s="109"/>
      <c r="Z625" s="109"/>
    </row>
    <row r="626" ht="29.25" customHeight="1">
      <c r="A626" s="109"/>
      <c r="B626" s="109"/>
      <c r="C626" s="109"/>
      <c r="D626" s="109"/>
      <c r="E626" s="109"/>
      <c r="F626" s="109"/>
      <c r="G626" s="317"/>
      <c r="H626" s="109"/>
      <c r="I626" s="109"/>
      <c r="J626" s="109"/>
      <c r="K626" s="109"/>
      <c r="L626" s="109"/>
      <c r="M626" s="109"/>
      <c r="N626" s="109"/>
      <c r="O626" s="109"/>
      <c r="P626" s="109"/>
      <c r="Q626" s="109"/>
      <c r="R626" s="109"/>
      <c r="S626" s="109"/>
      <c r="T626" s="109"/>
      <c r="U626" s="109"/>
      <c r="V626" s="109"/>
      <c r="W626" s="109"/>
      <c r="X626" s="109"/>
      <c r="Y626" s="109"/>
      <c r="Z626" s="109"/>
    </row>
    <row r="627" ht="29.25" customHeight="1">
      <c r="A627" s="109"/>
      <c r="B627" s="109"/>
      <c r="C627" s="109"/>
      <c r="D627" s="109"/>
      <c r="E627" s="109"/>
      <c r="F627" s="109"/>
      <c r="G627" s="317"/>
      <c r="H627" s="109"/>
      <c r="I627" s="109"/>
      <c r="J627" s="109"/>
      <c r="K627" s="109"/>
      <c r="L627" s="109"/>
      <c r="M627" s="109"/>
      <c r="N627" s="109"/>
      <c r="O627" s="109"/>
      <c r="P627" s="109"/>
      <c r="Q627" s="109"/>
      <c r="R627" s="109"/>
      <c r="S627" s="109"/>
      <c r="T627" s="109"/>
      <c r="U627" s="109"/>
      <c r="V627" s="109"/>
      <c r="W627" s="109"/>
      <c r="X627" s="109"/>
      <c r="Y627" s="109"/>
      <c r="Z627" s="109"/>
    </row>
    <row r="628" ht="29.25" customHeight="1">
      <c r="A628" s="109"/>
      <c r="B628" s="109"/>
      <c r="C628" s="109"/>
      <c r="D628" s="109"/>
      <c r="E628" s="109"/>
      <c r="F628" s="109"/>
      <c r="G628" s="317"/>
      <c r="H628" s="109"/>
      <c r="I628" s="109"/>
      <c r="J628" s="109"/>
      <c r="K628" s="109"/>
      <c r="L628" s="109"/>
      <c r="M628" s="109"/>
      <c r="N628" s="109"/>
      <c r="O628" s="109"/>
      <c r="P628" s="109"/>
      <c r="Q628" s="109"/>
      <c r="R628" s="109"/>
      <c r="S628" s="109"/>
      <c r="T628" s="109"/>
      <c r="U628" s="109"/>
      <c r="V628" s="109"/>
      <c r="W628" s="109"/>
      <c r="X628" s="109"/>
      <c r="Y628" s="109"/>
      <c r="Z628" s="109"/>
    </row>
    <row r="629" ht="29.25" customHeight="1">
      <c r="A629" s="109"/>
      <c r="B629" s="109"/>
      <c r="C629" s="109"/>
      <c r="D629" s="109"/>
      <c r="E629" s="109"/>
      <c r="F629" s="109"/>
      <c r="G629" s="317"/>
      <c r="H629" s="109"/>
      <c r="I629" s="109"/>
      <c r="J629" s="109"/>
      <c r="K629" s="109"/>
      <c r="L629" s="109"/>
      <c r="M629" s="109"/>
      <c r="N629" s="109"/>
      <c r="O629" s="109"/>
      <c r="P629" s="109"/>
      <c r="Q629" s="109"/>
      <c r="R629" s="109"/>
      <c r="S629" s="109"/>
      <c r="T629" s="109"/>
      <c r="U629" s="109"/>
      <c r="V629" s="109"/>
      <c r="W629" s="109"/>
      <c r="X629" s="109"/>
      <c r="Y629" s="109"/>
      <c r="Z629" s="109"/>
    </row>
    <row r="630" ht="29.25" customHeight="1">
      <c r="A630" s="109"/>
      <c r="B630" s="109"/>
      <c r="C630" s="109"/>
      <c r="D630" s="109"/>
      <c r="E630" s="109"/>
      <c r="F630" s="109"/>
      <c r="G630" s="317"/>
      <c r="H630" s="109"/>
      <c r="I630" s="109"/>
      <c r="J630" s="109"/>
      <c r="K630" s="109"/>
      <c r="L630" s="109"/>
      <c r="M630" s="109"/>
      <c r="N630" s="109"/>
      <c r="O630" s="109"/>
      <c r="P630" s="109"/>
      <c r="Q630" s="109"/>
      <c r="R630" s="109"/>
      <c r="S630" s="109"/>
      <c r="T630" s="109"/>
      <c r="U630" s="109"/>
      <c r="V630" s="109"/>
      <c r="W630" s="109"/>
      <c r="X630" s="109"/>
      <c r="Y630" s="109"/>
      <c r="Z630" s="109"/>
    </row>
    <row r="631" ht="29.25" customHeight="1">
      <c r="A631" s="109"/>
      <c r="B631" s="109"/>
      <c r="C631" s="109"/>
      <c r="D631" s="109"/>
      <c r="E631" s="109"/>
      <c r="F631" s="109"/>
      <c r="G631" s="317"/>
      <c r="H631" s="109"/>
      <c r="I631" s="109"/>
      <c r="J631" s="109"/>
      <c r="K631" s="109"/>
      <c r="L631" s="109"/>
      <c r="M631" s="109"/>
      <c r="N631" s="109"/>
      <c r="O631" s="109"/>
      <c r="P631" s="109"/>
      <c r="Q631" s="109"/>
      <c r="R631" s="109"/>
      <c r="S631" s="109"/>
      <c r="T631" s="109"/>
      <c r="U631" s="109"/>
      <c r="V631" s="109"/>
      <c r="W631" s="109"/>
      <c r="X631" s="109"/>
      <c r="Y631" s="109"/>
      <c r="Z631" s="109"/>
    </row>
    <row r="632" ht="29.25" customHeight="1">
      <c r="A632" s="109"/>
      <c r="B632" s="109"/>
      <c r="C632" s="109"/>
      <c r="D632" s="109"/>
      <c r="E632" s="109"/>
      <c r="F632" s="109"/>
      <c r="G632" s="317"/>
      <c r="H632" s="109"/>
      <c r="I632" s="109"/>
      <c r="J632" s="109"/>
      <c r="K632" s="109"/>
      <c r="L632" s="109"/>
      <c r="M632" s="109"/>
      <c r="N632" s="109"/>
      <c r="O632" s="109"/>
      <c r="P632" s="109"/>
      <c r="Q632" s="109"/>
      <c r="R632" s="109"/>
      <c r="S632" s="109"/>
      <c r="T632" s="109"/>
      <c r="U632" s="109"/>
      <c r="V632" s="109"/>
      <c r="W632" s="109"/>
      <c r="X632" s="109"/>
      <c r="Y632" s="109"/>
      <c r="Z632" s="109"/>
    </row>
    <row r="633" ht="29.25" customHeight="1">
      <c r="A633" s="109"/>
      <c r="B633" s="109"/>
      <c r="C633" s="109"/>
      <c r="D633" s="109"/>
      <c r="E633" s="109"/>
      <c r="F633" s="109"/>
      <c r="G633" s="317"/>
      <c r="H633" s="109"/>
      <c r="I633" s="109"/>
      <c r="J633" s="109"/>
      <c r="K633" s="109"/>
      <c r="L633" s="109"/>
      <c r="M633" s="109"/>
      <c r="N633" s="109"/>
      <c r="O633" s="109"/>
      <c r="P633" s="109"/>
      <c r="Q633" s="109"/>
      <c r="R633" s="109"/>
      <c r="S633" s="109"/>
      <c r="T633" s="109"/>
      <c r="U633" s="109"/>
      <c r="V633" s="109"/>
      <c r="W633" s="109"/>
      <c r="X633" s="109"/>
      <c r="Y633" s="109"/>
      <c r="Z633" s="109"/>
    </row>
    <row r="634" ht="29.25" customHeight="1">
      <c r="A634" s="109"/>
      <c r="B634" s="109"/>
      <c r="C634" s="109"/>
      <c r="D634" s="109"/>
      <c r="E634" s="109"/>
      <c r="F634" s="109"/>
      <c r="G634" s="317"/>
      <c r="H634" s="109"/>
      <c r="I634" s="109"/>
      <c r="J634" s="109"/>
      <c r="K634" s="109"/>
      <c r="L634" s="109"/>
      <c r="M634" s="109"/>
      <c r="N634" s="109"/>
      <c r="O634" s="109"/>
      <c r="P634" s="109"/>
      <c r="Q634" s="109"/>
      <c r="R634" s="109"/>
      <c r="S634" s="109"/>
      <c r="T634" s="109"/>
      <c r="U634" s="109"/>
      <c r="V634" s="109"/>
      <c r="W634" s="109"/>
      <c r="X634" s="109"/>
      <c r="Y634" s="109"/>
      <c r="Z634" s="109"/>
    </row>
    <row r="635" ht="29.25" customHeight="1">
      <c r="A635" s="109"/>
      <c r="B635" s="109"/>
      <c r="C635" s="109"/>
      <c r="D635" s="109"/>
      <c r="E635" s="109"/>
      <c r="F635" s="109"/>
      <c r="G635" s="317"/>
      <c r="H635" s="109"/>
      <c r="I635" s="109"/>
      <c r="J635" s="109"/>
      <c r="K635" s="109"/>
      <c r="L635" s="109"/>
      <c r="M635" s="109"/>
      <c r="N635" s="109"/>
      <c r="O635" s="109"/>
      <c r="P635" s="109"/>
      <c r="Q635" s="109"/>
      <c r="R635" s="109"/>
      <c r="S635" s="109"/>
      <c r="T635" s="109"/>
      <c r="U635" s="109"/>
      <c r="V635" s="109"/>
      <c r="W635" s="109"/>
      <c r="X635" s="109"/>
      <c r="Y635" s="109"/>
      <c r="Z635" s="109"/>
    </row>
    <row r="636" ht="29.25" customHeight="1">
      <c r="A636" s="109"/>
      <c r="B636" s="109"/>
      <c r="C636" s="109"/>
      <c r="D636" s="109"/>
      <c r="E636" s="109"/>
      <c r="F636" s="109"/>
      <c r="G636" s="317"/>
      <c r="H636" s="109"/>
      <c r="I636" s="109"/>
      <c r="J636" s="109"/>
      <c r="K636" s="109"/>
      <c r="L636" s="109"/>
      <c r="M636" s="109"/>
      <c r="N636" s="109"/>
      <c r="O636" s="109"/>
      <c r="P636" s="109"/>
      <c r="Q636" s="109"/>
      <c r="R636" s="109"/>
      <c r="S636" s="109"/>
      <c r="T636" s="109"/>
      <c r="U636" s="109"/>
      <c r="V636" s="109"/>
      <c r="W636" s="109"/>
      <c r="X636" s="109"/>
      <c r="Y636" s="109"/>
      <c r="Z636" s="109"/>
    </row>
    <row r="637" ht="29.25" customHeight="1">
      <c r="A637" s="109"/>
      <c r="B637" s="109"/>
      <c r="C637" s="109"/>
      <c r="D637" s="109"/>
      <c r="E637" s="109"/>
      <c r="F637" s="109"/>
      <c r="G637" s="317"/>
      <c r="H637" s="109"/>
      <c r="I637" s="109"/>
      <c r="J637" s="109"/>
      <c r="K637" s="109"/>
      <c r="L637" s="109"/>
      <c r="M637" s="109"/>
      <c r="N637" s="109"/>
      <c r="O637" s="109"/>
      <c r="P637" s="109"/>
      <c r="Q637" s="109"/>
      <c r="R637" s="109"/>
      <c r="S637" s="109"/>
      <c r="T637" s="109"/>
      <c r="U637" s="109"/>
      <c r="V637" s="109"/>
      <c r="W637" s="109"/>
      <c r="X637" s="109"/>
      <c r="Y637" s="109"/>
      <c r="Z637" s="109"/>
    </row>
    <row r="638" ht="29.25" customHeight="1">
      <c r="A638" s="109"/>
      <c r="B638" s="109"/>
      <c r="C638" s="109"/>
      <c r="D638" s="109"/>
      <c r="E638" s="109"/>
      <c r="F638" s="109"/>
      <c r="G638" s="317"/>
      <c r="H638" s="109"/>
      <c r="I638" s="109"/>
      <c r="J638" s="109"/>
      <c r="K638" s="109"/>
      <c r="L638" s="109"/>
      <c r="M638" s="109"/>
      <c r="N638" s="109"/>
      <c r="O638" s="109"/>
      <c r="P638" s="109"/>
      <c r="Q638" s="109"/>
      <c r="R638" s="109"/>
      <c r="S638" s="109"/>
      <c r="T638" s="109"/>
      <c r="U638" s="109"/>
      <c r="V638" s="109"/>
      <c r="W638" s="109"/>
      <c r="X638" s="109"/>
      <c r="Y638" s="109"/>
      <c r="Z638" s="109"/>
    </row>
    <row r="639" ht="29.25" customHeight="1">
      <c r="A639" s="109"/>
      <c r="B639" s="109"/>
      <c r="C639" s="109"/>
      <c r="D639" s="109"/>
      <c r="E639" s="109"/>
      <c r="F639" s="109"/>
      <c r="G639" s="317"/>
      <c r="H639" s="109"/>
      <c r="I639" s="109"/>
      <c r="J639" s="109"/>
      <c r="K639" s="109"/>
      <c r="L639" s="109"/>
      <c r="M639" s="109"/>
      <c r="N639" s="109"/>
      <c r="O639" s="109"/>
      <c r="P639" s="109"/>
      <c r="Q639" s="109"/>
      <c r="R639" s="109"/>
      <c r="S639" s="109"/>
      <c r="T639" s="109"/>
      <c r="U639" s="109"/>
      <c r="V639" s="109"/>
      <c r="W639" s="109"/>
      <c r="X639" s="109"/>
      <c r="Y639" s="109"/>
      <c r="Z639" s="109"/>
    </row>
    <row r="640" ht="29.25" customHeight="1">
      <c r="A640" s="109"/>
      <c r="B640" s="109"/>
      <c r="C640" s="109"/>
      <c r="D640" s="109"/>
      <c r="E640" s="109"/>
      <c r="F640" s="109"/>
      <c r="G640" s="317"/>
      <c r="H640" s="109"/>
      <c r="I640" s="109"/>
      <c r="J640" s="109"/>
      <c r="K640" s="109"/>
      <c r="L640" s="109"/>
      <c r="M640" s="109"/>
      <c r="N640" s="109"/>
      <c r="O640" s="109"/>
      <c r="P640" s="109"/>
      <c r="Q640" s="109"/>
      <c r="R640" s="109"/>
      <c r="S640" s="109"/>
      <c r="T640" s="109"/>
      <c r="U640" s="109"/>
      <c r="V640" s="109"/>
      <c r="W640" s="109"/>
      <c r="X640" s="109"/>
      <c r="Y640" s="109"/>
      <c r="Z640" s="109"/>
    </row>
    <row r="641" ht="29.25" customHeight="1">
      <c r="A641" s="109"/>
      <c r="B641" s="109"/>
      <c r="C641" s="109"/>
      <c r="D641" s="109"/>
      <c r="E641" s="109"/>
      <c r="F641" s="109"/>
      <c r="G641" s="317"/>
      <c r="H641" s="109"/>
      <c r="I641" s="109"/>
      <c r="J641" s="109"/>
      <c r="K641" s="109"/>
      <c r="L641" s="109"/>
      <c r="M641" s="109"/>
      <c r="N641" s="109"/>
      <c r="O641" s="109"/>
      <c r="P641" s="109"/>
      <c r="Q641" s="109"/>
      <c r="R641" s="109"/>
      <c r="S641" s="109"/>
      <c r="T641" s="109"/>
      <c r="U641" s="109"/>
      <c r="V641" s="109"/>
      <c r="W641" s="109"/>
      <c r="X641" s="109"/>
      <c r="Y641" s="109"/>
      <c r="Z641" s="109"/>
    </row>
    <row r="642" ht="29.25" customHeight="1">
      <c r="A642" s="109"/>
      <c r="B642" s="109"/>
      <c r="C642" s="109"/>
      <c r="D642" s="109"/>
      <c r="E642" s="109"/>
      <c r="F642" s="109"/>
      <c r="G642" s="317"/>
      <c r="H642" s="109"/>
      <c r="I642" s="109"/>
      <c r="J642" s="109"/>
      <c r="K642" s="109"/>
      <c r="L642" s="109"/>
      <c r="M642" s="109"/>
      <c r="N642" s="109"/>
      <c r="O642" s="109"/>
      <c r="P642" s="109"/>
      <c r="Q642" s="109"/>
      <c r="R642" s="109"/>
      <c r="S642" s="109"/>
      <c r="T642" s="109"/>
      <c r="U642" s="109"/>
      <c r="V642" s="109"/>
      <c r="W642" s="109"/>
      <c r="X642" s="109"/>
      <c r="Y642" s="109"/>
      <c r="Z642" s="109"/>
    </row>
    <row r="643" ht="29.25" customHeight="1">
      <c r="A643" s="109"/>
      <c r="B643" s="109"/>
      <c r="C643" s="109"/>
      <c r="D643" s="109"/>
      <c r="E643" s="109"/>
      <c r="F643" s="109"/>
      <c r="G643" s="317"/>
      <c r="H643" s="109"/>
      <c r="I643" s="109"/>
      <c r="J643" s="109"/>
      <c r="K643" s="109"/>
      <c r="L643" s="109"/>
      <c r="M643" s="109"/>
      <c r="N643" s="109"/>
      <c r="O643" s="109"/>
      <c r="P643" s="109"/>
      <c r="Q643" s="109"/>
      <c r="R643" s="109"/>
      <c r="S643" s="109"/>
      <c r="T643" s="109"/>
      <c r="U643" s="109"/>
      <c r="V643" s="109"/>
      <c r="W643" s="109"/>
      <c r="X643" s="109"/>
      <c r="Y643" s="109"/>
      <c r="Z643" s="109"/>
    </row>
    <row r="644" ht="29.25" customHeight="1">
      <c r="A644" s="109"/>
      <c r="B644" s="109"/>
      <c r="C644" s="109"/>
      <c r="D644" s="109"/>
      <c r="E644" s="109"/>
      <c r="F644" s="109"/>
      <c r="G644" s="317"/>
      <c r="H644" s="109"/>
      <c r="I644" s="109"/>
      <c r="J644" s="109"/>
      <c r="K644" s="109"/>
      <c r="L644" s="109"/>
      <c r="M644" s="109"/>
      <c r="N644" s="109"/>
      <c r="O644" s="109"/>
      <c r="P644" s="109"/>
      <c r="Q644" s="109"/>
      <c r="R644" s="109"/>
      <c r="S644" s="109"/>
      <c r="T644" s="109"/>
      <c r="U644" s="109"/>
      <c r="V644" s="109"/>
      <c r="W644" s="109"/>
      <c r="X644" s="109"/>
      <c r="Y644" s="109"/>
      <c r="Z644" s="109"/>
    </row>
    <row r="645" ht="29.25" customHeight="1">
      <c r="A645" s="109"/>
      <c r="B645" s="109"/>
      <c r="C645" s="109"/>
      <c r="D645" s="109"/>
      <c r="E645" s="109"/>
      <c r="F645" s="109"/>
      <c r="G645" s="317"/>
      <c r="H645" s="109"/>
      <c r="I645" s="109"/>
      <c r="J645" s="109"/>
      <c r="K645" s="109"/>
      <c r="L645" s="109"/>
      <c r="M645" s="109"/>
      <c r="N645" s="109"/>
      <c r="O645" s="109"/>
      <c r="P645" s="109"/>
      <c r="Q645" s="109"/>
      <c r="R645" s="109"/>
      <c r="S645" s="109"/>
      <c r="T645" s="109"/>
      <c r="U645" s="109"/>
      <c r="V645" s="109"/>
      <c r="W645" s="109"/>
      <c r="X645" s="109"/>
      <c r="Y645" s="109"/>
      <c r="Z645" s="109"/>
    </row>
    <row r="646" ht="29.25" customHeight="1">
      <c r="A646" s="109"/>
      <c r="B646" s="109"/>
      <c r="C646" s="109"/>
      <c r="D646" s="109"/>
      <c r="E646" s="109"/>
      <c r="F646" s="109"/>
      <c r="G646" s="317"/>
      <c r="H646" s="109"/>
      <c r="I646" s="109"/>
      <c r="J646" s="109"/>
      <c r="K646" s="109"/>
      <c r="L646" s="109"/>
      <c r="M646" s="109"/>
      <c r="N646" s="109"/>
      <c r="O646" s="109"/>
      <c r="P646" s="109"/>
      <c r="Q646" s="109"/>
      <c r="R646" s="109"/>
      <c r="S646" s="109"/>
      <c r="T646" s="109"/>
      <c r="U646" s="109"/>
      <c r="V646" s="109"/>
      <c r="W646" s="109"/>
      <c r="X646" s="109"/>
      <c r="Y646" s="109"/>
      <c r="Z646" s="109"/>
    </row>
    <row r="647" ht="29.25" customHeight="1">
      <c r="A647" s="109"/>
      <c r="B647" s="109"/>
      <c r="C647" s="109"/>
      <c r="D647" s="109"/>
      <c r="E647" s="109"/>
      <c r="F647" s="109"/>
      <c r="G647" s="317"/>
      <c r="H647" s="109"/>
      <c r="I647" s="109"/>
      <c r="J647" s="109"/>
      <c r="K647" s="109"/>
      <c r="L647" s="109"/>
      <c r="M647" s="109"/>
      <c r="N647" s="109"/>
      <c r="O647" s="109"/>
      <c r="P647" s="109"/>
      <c r="Q647" s="109"/>
      <c r="R647" s="109"/>
      <c r="S647" s="109"/>
      <c r="T647" s="109"/>
      <c r="U647" s="109"/>
      <c r="V647" s="109"/>
      <c r="W647" s="109"/>
      <c r="X647" s="109"/>
      <c r="Y647" s="109"/>
      <c r="Z647" s="109"/>
    </row>
    <row r="648" ht="29.25" customHeight="1">
      <c r="A648" s="109"/>
      <c r="B648" s="109"/>
      <c r="C648" s="109"/>
      <c r="D648" s="109"/>
      <c r="E648" s="109"/>
      <c r="F648" s="109"/>
      <c r="G648" s="317"/>
      <c r="H648" s="109"/>
      <c r="I648" s="109"/>
      <c r="J648" s="109"/>
      <c r="K648" s="109"/>
      <c r="L648" s="109"/>
      <c r="M648" s="109"/>
      <c r="N648" s="109"/>
      <c r="O648" s="109"/>
      <c r="P648" s="109"/>
      <c r="Q648" s="109"/>
      <c r="R648" s="109"/>
      <c r="S648" s="109"/>
      <c r="T648" s="109"/>
      <c r="U648" s="109"/>
      <c r="V648" s="109"/>
      <c r="W648" s="109"/>
      <c r="X648" s="109"/>
      <c r="Y648" s="109"/>
      <c r="Z648" s="109"/>
    </row>
    <row r="649" ht="29.25" customHeight="1">
      <c r="A649" s="109"/>
      <c r="B649" s="109"/>
      <c r="C649" s="109"/>
      <c r="D649" s="109"/>
      <c r="E649" s="109"/>
      <c r="F649" s="109"/>
      <c r="G649" s="317"/>
      <c r="H649" s="109"/>
      <c r="I649" s="109"/>
      <c r="J649" s="109"/>
      <c r="K649" s="109"/>
      <c r="L649" s="109"/>
      <c r="M649" s="109"/>
      <c r="N649" s="109"/>
      <c r="O649" s="109"/>
      <c r="P649" s="109"/>
      <c r="Q649" s="109"/>
      <c r="R649" s="109"/>
      <c r="S649" s="109"/>
      <c r="T649" s="109"/>
      <c r="U649" s="109"/>
      <c r="V649" s="109"/>
      <c r="W649" s="109"/>
      <c r="X649" s="109"/>
      <c r="Y649" s="109"/>
      <c r="Z649" s="109"/>
    </row>
    <row r="650" ht="29.25" customHeight="1">
      <c r="A650" s="109"/>
      <c r="B650" s="109"/>
      <c r="C650" s="109"/>
      <c r="D650" s="109"/>
      <c r="E650" s="109"/>
      <c r="F650" s="109"/>
      <c r="G650" s="317"/>
      <c r="H650" s="109"/>
      <c r="I650" s="109"/>
      <c r="J650" s="109"/>
      <c r="K650" s="109"/>
      <c r="L650" s="109"/>
      <c r="M650" s="109"/>
      <c r="N650" s="109"/>
      <c r="O650" s="109"/>
      <c r="P650" s="109"/>
      <c r="Q650" s="109"/>
      <c r="R650" s="109"/>
      <c r="S650" s="109"/>
      <c r="T650" s="109"/>
      <c r="U650" s="109"/>
      <c r="V650" s="109"/>
      <c r="W650" s="109"/>
      <c r="X650" s="109"/>
      <c r="Y650" s="109"/>
      <c r="Z650" s="109"/>
    </row>
    <row r="651" ht="29.25" customHeight="1">
      <c r="A651" s="109"/>
      <c r="B651" s="109"/>
      <c r="C651" s="109"/>
      <c r="D651" s="109"/>
      <c r="E651" s="109"/>
      <c r="F651" s="109"/>
      <c r="G651" s="317"/>
      <c r="H651" s="109"/>
      <c r="I651" s="109"/>
      <c r="J651" s="109"/>
      <c r="K651" s="109"/>
      <c r="L651" s="109"/>
      <c r="M651" s="109"/>
      <c r="N651" s="109"/>
      <c r="O651" s="109"/>
      <c r="P651" s="109"/>
      <c r="Q651" s="109"/>
      <c r="R651" s="109"/>
      <c r="S651" s="109"/>
      <c r="T651" s="109"/>
      <c r="U651" s="109"/>
      <c r="V651" s="109"/>
      <c r="W651" s="109"/>
      <c r="X651" s="109"/>
      <c r="Y651" s="109"/>
      <c r="Z651" s="109"/>
    </row>
    <row r="652" ht="29.25" customHeight="1">
      <c r="A652" s="109"/>
      <c r="B652" s="109"/>
      <c r="C652" s="109"/>
      <c r="D652" s="109"/>
      <c r="E652" s="109"/>
      <c r="F652" s="109"/>
      <c r="G652" s="317"/>
      <c r="H652" s="109"/>
      <c r="I652" s="109"/>
      <c r="J652" s="109"/>
      <c r="K652" s="109"/>
      <c r="L652" s="109"/>
      <c r="M652" s="109"/>
      <c r="N652" s="109"/>
      <c r="O652" s="109"/>
      <c r="P652" s="109"/>
      <c r="Q652" s="109"/>
      <c r="R652" s="109"/>
      <c r="S652" s="109"/>
      <c r="T652" s="109"/>
      <c r="U652" s="109"/>
      <c r="V652" s="109"/>
      <c r="W652" s="109"/>
      <c r="X652" s="109"/>
      <c r="Y652" s="109"/>
      <c r="Z652" s="109"/>
    </row>
    <row r="653" ht="29.25" customHeight="1">
      <c r="A653" s="109"/>
      <c r="B653" s="109"/>
      <c r="C653" s="109"/>
      <c r="D653" s="109"/>
      <c r="E653" s="109"/>
      <c r="F653" s="109"/>
      <c r="G653" s="317"/>
      <c r="H653" s="109"/>
      <c r="I653" s="109"/>
      <c r="J653" s="109"/>
      <c r="K653" s="109"/>
      <c r="L653" s="109"/>
      <c r="M653" s="109"/>
      <c r="N653" s="109"/>
      <c r="O653" s="109"/>
      <c r="P653" s="109"/>
      <c r="Q653" s="109"/>
      <c r="R653" s="109"/>
      <c r="S653" s="109"/>
      <c r="T653" s="109"/>
      <c r="U653" s="109"/>
      <c r="V653" s="109"/>
      <c r="W653" s="109"/>
      <c r="X653" s="109"/>
      <c r="Y653" s="109"/>
      <c r="Z653" s="109"/>
    </row>
    <row r="654" ht="29.25" customHeight="1">
      <c r="A654" s="109"/>
      <c r="B654" s="109"/>
      <c r="C654" s="109"/>
      <c r="D654" s="109"/>
      <c r="E654" s="109"/>
      <c r="F654" s="109"/>
      <c r="G654" s="317"/>
      <c r="H654" s="109"/>
      <c r="I654" s="109"/>
      <c r="J654" s="109"/>
      <c r="K654" s="109"/>
      <c r="L654" s="109"/>
      <c r="M654" s="109"/>
      <c r="N654" s="109"/>
      <c r="O654" s="109"/>
      <c r="P654" s="109"/>
      <c r="Q654" s="109"/>
      <c r="R654" s="109"/>
      <c r="S654" s="109"/>
      <c r="T654" s="109"/>
      <c r="U654" s="109"/>
      <c r="V654" s="109"/>
      <c r="W654" s="109"/>
      <c r="X654" s="109"/>
      <c r="Y654" s="109"/>
      <c r="Z654" s="109"/>
    </row>
    <row r="655" ht="29.25" customHeight="1">
      <c r="A655" s="109"/>
      <c r="B655" s="109"/>
      <c r="C655" s="109"/>
      <c r="D655" s="109"/>
      <c r="E655" s="109"/>
      <c r="F655" s="109"/>
      <c r="G655" s="317"/>
      <c r="H655" s="109"/>
      <c r="I655" s="109"/>
      <c r="J655" s="109"/>
      <c r="K655" s="109"/>
      <c r="L655" s="109"/>
      <c r="M655" s="109"/>
      <c r="N655" s="109"/>
      <c r="O655" s="109"/>
      <c r="P655" s="109"/>
      <c r="Q655" s="109"/>
      <c r="R655" s="109"/>
      <c r="S655" s="109"/>
      <c r="T655" s="109"/>
      <c r="U655" s="109"/>
      <c r="V655" s="109"/>
      <c r="W655" s="109"/>
      <c r="X655" s="109"/>
      <c r="Y655" s="109"/>
      <c r="Z655" s="109"/>
    </row>
    <row r="656" ht="29.25" customHeight="1">
      <c r="A656" s="109"/>
      <c r="B656" s="109"/>
      <c r="C656" s="109"/>
      <c r="D656" s="109"/>
      <c r="E656" s="109"/>
      <c r="F656" s="109"/>
      <c r="G656" s="317"/>
      <c r="H656" s="109"/>
      <c r="I656" s="109"/>
      <c r="J656" s="109"/>
      <c r="K656" s="109"/>
      <c r="L656" s="109"/>
      <c r="M656" s="109"/>
      <c r="N656" s="109"/>
      <c r="O656" s="109"/>
      <c r="P656" s="109"/>
      <c r="Q656" s="109"/>
      <c r="R656" s="109"/>
      <c r="S656" s="109"/>
      <c r="T656" s="109"/>
      <c r="U656" s="109"/>
      <c r="V656" s="109"/>
      <c r="W656" s="109"/>
      <c r="X656" s="109"/>
      <c r="Y656" s="109"/>
      <c r="Z656" s="109"/>
    </row>
    <row r="657" ht="29.25" customHeight="1">
      <c r="A657" s="109"/>
      <c r="B657" s="109"/>
      <c r="C657" s="109"/>
      <c r="D657" s="109"/>
      <c r="E657" s="109"/>
      <c r="F657" s="109"/>
      <c r="G657" s="317"/>
      <c r="H657" s="109"/>
      <c r="I657" s="109"/>
      <c r="J657" s="109"/>
      <c r="K657" s="109"/>
      <c r="L657" s="109"/>
      <c r="M657" s="109"/>
      <c r="N657" s="109"/>
      <c r="O657" s="109"/>
      <c r="P657" s="109"/>
      <c r="Q657" s="109"/>
      <c r="R657" s="109"/>
      <c r="S657" s="109"/>
      <c r="T657" s="109"/>
      <c r="U657" s="109"/>
      <c r="V657" s="109"/>
      <c r="W657" s="109"/>
      <c r="X657" s="109"/>
      <c r="Y657" s="109"/>
      <c r="Z657" s="109"/>
    </row>
    <row r="658" ht="29.25" customHeight="1">
      <c r="A658" s="109"/>
      <c r="B658" s="109"/>
      <c r="C658" s="109"/>
      <c r="D658" s="109"/>
      <c r="E658" s="109"/>
      <c r="F658" s="109"/>
      <c r="G658" s="317"/>
      <c r="H658" s="109"/>
      <c r="I658" s="109"/>
      <c r="J658" s="109"/>
      <c r="K658" s="109"/>
      <c r="L658" s="109"/>
      <c r="M658" s="109"/>
      <c r="N658" s="109"/>
      <c r="O658" s="109"/>
      <c r="P658" s="109"/>
      <c r="Q658" s="109"/>
      <c r="R658" s="109"/>
      <c r="S658" s="109"/>
      <c r="T658" s="109"/>
      <c r="U658" s="109"/>
      <c r="V658" s="109"/>
      <c r="W658" s="109"/>
      <c r="X658" s="109"/>
      <c r="Y658" s="109"/>
      <c r="Z658" s="109"/>
    </row>
    <row r="659" ht="29.25" customHeight="1">
      <c r="A659" s="109"/>
      <c r="B659" s="109"/>
      <c r="C659" s="109"/>
      <c r="D659" s="109"/>
      <c r="E659" s="109"/>
      <c r="F659" s="109"/>
      <c r="G659" s="317"/>
      <c r="H659" s="109"/>
      <c r="I659" s="109"/>
      <c r="J659" s="109"/>
      <c r="K659" s="109"/>
      <c r="L659" s="109"/>
      <c r="M659" s="109"/>
      <c r="N659" s="109"/>
      <c r="O659" s="109"/>
      <c r="P659" s="109"/>
      <c r="Q659" s="109"/>
      <c r="R659" s="109"/>
      <c r="S659" s="109"/>
      <c r="T659" s="109"/>
      <c r="U659" s="109"/>
      <c r="V659" s="109"/>
      <c r="W659" s="109"/>
      <c r="X659" s="109"/>
      <c r="Y659" s="109"/>
      <c r="Z659" s="109"/>
    </row>
    <row r="660" ht="29.25" customHeight="1">
      <c r="A660" s="109"/>
      <c r="B660" s="109"/>
      <c r="C660" s="109"/>
      <c r="D660" s="109"/>
      <c r="E660" s="109"/>
      <c r="F660" s="109"/>
      <c r="G660" s="317"/>
      <c r="H660" s="109"/>
      <c r="I660" s="109"/>
      <c r="J660" s="109"/>
      <c r="K660" s="109"/>
      <c r="L660" s="109"/>
      <c r="M660" s="109"/>
      <c r="N660" s="109"/>
      <c r="O660" s="109"/>
      <c r="P660" s="109"/>
      <c r="Q660" s="109"/>
      <c r="R660" s="109"/>
      <c r="S660" s="109"/>
      <c r="T660" s="109"/>
      <c r="U660" s="109"/>
      <c r="V660" s="109"/>
      <c r="W660" s="109"/>
      <c r="X660" s="109"/>
      <c r="Y660" s="109"/>
      <c r="Z660" s="109"/>
    </row>
    <row r="661" ht="29.25" customHeight="1">
      <c r="A661" s="109"/>
      <c r="B661" s="109"/>
      <c r="C661" s="109"/>
      <c r="D661" s="109"/>
      <c r="E661" s="109"/>
      <c r="F661" s="109"/>
      <c r="G661" s="317"/>
      <c r="H661" s="109"/>
      <c r="I661" s="109"/>
      <c r="J661" s="109"/>
      <c r="K661" s="109"/>
      <c r="L661" s="109"/>
      <c r="M661" s="109"/>
      <c r="N661" s="109"/>
      <c r="O661" s="109"/>
      <c r="P661" s="109"/>
      <c r="Q661" s="109"/>
      <c r="R661" s="109"/>
      <c r="S661" s="109"/>
      <c r="T661" s="109"/>
      <c r="U661" s="109"/>
      <c r="V661" s="109"/>
      <c r="W661" s="109"/>
      <c r="X661" s="109"/>
      <c r="Y661" s="109"/>
      <c r="Z661" s="109"/>
    </row>
    <row r="662" ht="29.25" customHeight="1">
      <c r="A662" s="109"/>
      <c r="B662" s="109"/>
      <c r="C662" s="109"/>
      <c r="D662" s="109"/>
      <c r="E662" s="109"/>
      <c r="F662" s="109"/>
      <c r="G662" s="317"/>
      <c r="H662" s="109"/>
      <c r="I662" s="109"/>
      <c r="J662" s="109"/>
      <c r="K662" s="109"/>
      <c r="L662" s="109"/>
      <c r="M662" s="109"/>
      <c r="N662" s="109"/>
      <c r="O662" s="109"/>
      <c r="P662" s="109"/>
      <c r="Q662" s="109"/>
      <c r="R662" s="109"/>
      <c r="S662" s="109"/>
      <c r="T662" s="109"/>
      <c r="U662" s="109"/>
      <c r="V662" s="109"/>
      <c r="W662" s="109"/>
      <c r="X662" s="109"/>
      <c r="Y662" s="109"/>
      <c r="Z662" s="109"/>
    </row>
    <row r="663" ht="29.25" customHeight="1">
      <c r="A663" s="109"/>
      <c r="B663" s="109"/>
      <c r="C663" s="109"/>
      <c r="D663" s="109"/>
      <c r="E663" s="109"/>
      <c r="F663" s="109"/>
      <c r="G663" s="317"/>
      <c r="H663" s="109"/>
      <c r="I663" s="109"/>
      <c r="J663" s="109"/>
      <c r="K663" s="109"/>
      <c r="L663" s="109"/>
      <c r="M663" s="109"/>
      <c r="N663" s="109"/>
      <c r="O663" s="109"/>
      <c r="P663" s="109"/>
      <c r="Q663" s="109"/>
      <c r="R663" s="109"/>
      <c r="S663" s="109"/>
      <c r="T663" s="109"/>
      <c r="U663" s="109"/>
      <c r="V663" s="109"/>
      <c r="W663" s="109"/>
      <c r="X663" s="109"/>
      <c r="Y663" s="109"/>
      <c r="Z663" s="109"/>
    </row>
    <row r="664" ht="29.25" customHeight="1">
      <c r="A664" s="109"/>
      <c r="B664" s="109"/>
      <c r="C664" s="109"/>
      <c r="D664" s="109"/>
      <c r="E664" s="109"/>
      <c r="F664" s="109"/>
      <c r="G664" s="317"/>
      <c r="H664" s="109"/>
      <c r="I664" s="109"/>
      <c r="J664" s="109"/>
      <c r="K664" s="109"/>
      <c r="L664" s="109"/>
      <c r="M664" s="109"/>
      <c r="N664" s="109"/>
      <c r="O664" s="109"/>
      <c r="P664" s="109"/>
      <c r="Q664" s="109"/>
      <c r="R664" s="109"/>
      <c r="S664" s="109"/>
      <c r="T664" s="109"/>
      <c r="U664" s="109"/>
      <c r="V664" s="109"/>
      <c r="W664" s="109"/>
      <c r="X664" s="109"/>
      <c r="Y664" s="109"/>
      <c r="Z664" s="109"/>
    </row>
    <row r="665" ht="29.25" customHeight="1">
      <c r="A665" s="109"/>
      <c r="B665" s="109"/>
      <c r="C665" s="109"/>
      <c r="D665" s="109"/>
      <c r="E665" s="109"/>
      <c r="F665" s="109"/>
      <c r="G665" s="317"/>
      <c r="H665" s="109"/>
      <c r="I665" s="109"/>
      <c r="J665" s="109"/>
      <c r="K665" s="109"/>
      <c r="L665" s="109"/>
      <c r="M665" s="109"/>
      <c r="N665" s="109"/>
      <c r="O665" s="109"/>
      <c r="P665" s="109"/>
      <c r="Q665" s="109"/>
      <c r="R665" s="109"/>
      <c r="S665" s="109"/>
      <c r="T665" s="109"/>
      <c r="U665" s="109"/>
      <c r="V665" s="109"/>
      <c r="W665" s="109"/>
      <c r="X665" s="109"/>
      <c r="Y665" s="109"/>
      <c r="Z665" s="109"/>
    </row>
    <row r="666" ht="29.25" customHeight="1">
      <c r="A666" s="109"/>
      <c r="B666" s="109"/>
      <c r="C666" s="109"/>
      <c r="D666" s="109"/>
      <c r="E666" s="109"/>
      <c r="F666" s="109"/>
      <c r="G666" s="317"/>
      <c r="H666" s="109"/>
      <c r="I666" s="109"/>
      <c r="J666" s="109"/>
      <c r="K666" s="109"/>
      <c r="L666" s="109"/>
      <c r="M666" s="109"/>
      <c r="N666" s="109"/>
      <c r="O666" s="109"/>
      <c r="P666" s="109"/>
      <c r="Q666" s="109"/>
      <c r="R666" s="109"/>
      <c r="S666" s="109"/>
      <c r="T666" s="109"/>
      <c r="U666" s="109"/>
      <c r="V666" s="109"/>
      <c r="W666" s="109"/>
      <c r="X666" s="109"/>
      <c r="Y666" s="109"/>
      <c r="Z666" s="109"/>
    </row>
    <row r="667" ht="29.25" customHeight="1">
      <c r="A667" s="109"/>
      <c r="B667" s="109"/>
      <c r="C667" s="109"/>
      <c r="D667" s="109"/>
      <c r="E667" s="109"/>
      <c r="F667" s="109"/>
      <c r="G667" s="317"/>
      <c r="H667" s="109"/>
      <c r="I667" s="109"/>
      <c r="J667" s="109"/>
      <c r="K667" s="109"/>
      <c r="L667" s="109"/>
      <c r="M667" s="109"/>
      <c r="N667" s="109"/>
      <c r="O667" s="109"/>
      <c r="P667" s="109"/>
      <c r="Q667" s="109"/>
      <c r="R667" s="109"/>
      <c r="S667" s="109"/>
      <c r="T667" s="109"/>
      <c r="U667" s="109"/>
      <c r="V667" s="109"/>
      <c r="W667" s="109"/>
      <c r="X667" s="109"/>
      <c r="Y667" s="109"/>
      <c r="Z667" s="109"/>
    </row>
    <row r="668" ht="29.25" customHeight="1">
      <c r="A668" s="109"/>
      <c r="B668" s="109"/>
      <c r="C668" s="109"/>
      <c r="D668" s="109"/>
      <c r="E668" s="109"/>
      <c r="F668" s="109"/>
      <c r="G668" s="317"/>
      <c r="H668" s="109"/>
      <c r="I668" s="109"/>
      <c r="J668" s="109"/>
      <c r="K668" s="109"/>
      <c r="L668" s="109"/>
      <c r="M668" s="109"/>
      <c r="N668" s="109"/>
      <c r="O668" s="109"/>
      <c r="P668" s="109"/>
      <c r="Q668" s="109"/>
      <c r="R668" s="109"/>
      <c r="S668" s="109"/>
      <c r="T668" s="109"/>
      <c r="U668" s="109"/>
      <c r="V668" s="109"/>
      <c r="W668" s="109"/>
      <c r="X668" s="109"/>
      <c r="Y668" s="109"/>
      <c r="Z668" s="109"/>
    </row>
    <row r="669" ht="29.25" customHeight="1">
      <c r="A669" s="109"/>
      <c r="B669" s="109"/>
      <c r="C669" s="109"/>
      <c r="D669" s="109"/>
      <c r="E669" s="109"/>
      <c r="F669" s="109"/>
      <c r="G669" s="317"/>
      <c r="H669" s="109"/>
      <c r="I669" s="109"/>
      <c r="J669" s="109"/>
      <c r="K669" s="109"/>
      <c r="L669" s="109"/>
      <c r="M669" s="109"/>
      <c r="N669" s="109"/>
      <c r="O669" s="109"/>
      <c r="P669" s="109"/>
      <c r="Q669" s="109"/>
      <c r="R669" s="109"/>
      <c r="S669" s="109"/>
      <c r="T669" s="109"/>
      <c r="U669" s="109"/>
      <c r="V669" s="109"/>
      <c r="W669" s="109"/>
      <c r="X669" s="109"/>
      <c r="Y669" s="109"/>
      <c r="Z669" s="109"/>
    </row>
    <row r="670" ht="29.25" customHeight="1">
      <c r="A670" s="109"/>
      <c r="B670" s="109"/>
      <c r="C670" s="109"/>
      <c r="D670" s="109"/>
      <c r="E670" s="109"/>
      <c r="F670" s="109"/>
      <c r="G670" s="317"/>
      <c r="H670" s="109"/>
      <c r="I670" s="109"/>
      <c r="J670" s="109"/>
      <c r="K670" s="109"/>
      <c r="L670" s="109"/>
      <c r="M670" s="109"/>
      <c r="N670" s="109"/>
      <c r="O670" s="109"/>
      <c r="P670" s="109"/>
      <c r="Q670" s="109"/>
      <c r="R670" s="109"/>
      <c r="S670" s="109"/>
      <c r="T670" s="109"/>
      <c r="U670" s="109"/>
      <c r="V670" s="109"/>
      <c r="W670" s="109"/>
      <c r="X670" s="109"/>
      <c r="Y670" s="109"/>
      <c r="Z670" s="109"/>
    </row>
    <row r="671" ht="29.25" customHeight="1">
      <c r="A671" s="109"/>
      <c r="B671" s="109"/>
      <c r="C671" s="109"/>
      <c r="D671" s="109"/>
      <c r="E671" s="109"/>
      <c r="F671" s="109"/>
      <c r="G671" s="317"/>
      <c r="H671" s="109"/>
      <c r="I671" s="109"/>
      <c r="J671" s="109"/>
      <c r="K671" s="109"/>
      <c r="L671" s="109"/>
      <c r="M671" s="109"/>
      <c r="N671" s="109"/>
      <c r="O671" s="109"/>
      <c r="P671" s="109"/>
      <c r="Q671" s="109"/>
      <c r="R671" s="109"/>
      <c r="S671" s="109"/>
      <c r="T671" s="109"/>
      <c r="U671" s="109"/>
      <c r="V671" s="109"/>
      <c r="W671" s="109"/>
      <c r="X671" s="109"/>
      <c r="Y671" s="109"/>
      <c r="Z671" s="109"/>
    </row>
    <row r="672" ht="29.25" customHeight="1">
      <c r="A672" s="109"/>
      <c r="B672" s="109"/>
      <c r="C672" s="109"/>
      <c r="D672" s="109"/>
      <c r="E672" s="109"/>
      <c r="F672" s="109"/>
      <c r="G672" s="317"/>
      <c r="H672" s="109"/>
      <c r="I672" s="109"/>
      <c r="J672" s="109"/>
      <c r="K672" s="109"/>
      <c r="L672" s="109"/>
      <c r="M672" s="109"/>
      <c r="N672" s="109"/>
      <c r="O672" s="109"/>
      <c r="P672" s="109"/>
      <c r="Q672" s="109"/>
      <c r="R672" s="109"/>
      <c r="S672" s="109"/>
      <c r="T672" s="109"/>
      <c r="U672" s="109"/>
      <c r="V672" s="109"/>
      <c r="W672" s="109"/>
      <c r="X672" s="109"/>
      <c r="Y672" s="109"/>
      <c r="Z672" s="109"/>
    </row>
    <row r="673" ht="29.25" customHeight="1">
      <c r="A673" s="109"/>
      <c r="B673" s="109"/>
      <c r="C673" s="109"/>
      <c r="D673" s="109"/>
      <c r="E673" s="109"/>
      <c r="F673" s="109"/>
      <c r="G673" s="317"/>
      <c r="H673" s="109"/>
      <c r="I673" s="109"/>
      <c r="J673" s="109"/>
      <c r="K673" s="109"/>
      <c r="L673" s="109"/>
      <c r="M673" s="109"/>
      <c r="N673" s="109"/>
      <c r="O673" s="109"/>
      <c r="P673" s="109"/>
      <c r="Q673" s="109"/>
      <c r="R673" s="109"/>
      <c r="S673" s="109"/>
      <c r="T673" s="109"/>
      <c r="U673" s="109"/>
      <c r="V673" s="109"/>
      <c r="W673" s="109"/>
      <c r="X673" s="109"/>
      <c r="Y673" s="109"/>
      <c r="Z673" s="109"/>
    </row>
    <row r="674" ht="29.25" customHeight="1">
      <c r="A674" s="109"/>
      <c r="B674" s="109"/>
      <c r="C674" s="109"/>
      <c r="D674" s="109"/>
      <c r="E674" s="109"/>
      <c r="F674" s="109"/>
      <c r="G674" s="317"/>
      <c r="H674" s="109"/>
      <c r="I674" s="109"/>
      <c r="J674" s="109"/>
      <c r="K674" s="109"/>
      <c r="L674" s="109"/>
      <c r="M674" s="109"/>
      <c r="N674" s="109"/>
      <c r="O674" s="109"/>
      <c r="P674" s="109"/>
      <c r="Q674" s="109"/>
      <c r="R674" s="109"/>
      <c r="S674" s="109"/>
      <c r="T674" s="109"/>
      <c r="U674" s="109"/>
      <c r="V674" s="109"/>
      <c r="W674" s="109"/>
      <c r="X674" s="109"/>
      <c r="Y674" s="109"/>
      <c r="Z674" s="109"/>
    </row>
    <row r="675" ht="29.25" customHeight="1">
      <c r="A675" s="109"/>
      <c r="B675" s="109"/>
      <c r="C675" s="109"/>
      <c r="D675" s="109"/>
      <c r="E675" s="109"/>
      <c r="F675" s="109"/>
      <c r="G675" s="317"/>
      <c r="H675" s="109"/>
      <c r="I675" s="109"/>
      <c r="J675" s="109"/>
      <c r="K675" s="109"/>
      <c r="L675" s="109"/>
      <c r="M675" s="109"/>
      <c r="N675" s="109"/>
      <c r="O675" s="109"/>
      <c r="P675" s="109"/>
      <c r="Q675" s="109"/>
      <c r="R675" s="109"/>
      <c r="S675" s="109"/>
      <c r="T675" s="109"/>
      <c r="U675" s="109"/>
      <c r="V675" s="109"/>
      <c r="W675" s="109"/>
      <c r="X675" s="109"/>
      <c r="Y675" s="109"/>
      <c r="Z675" s="109"/>
    </row>
    <row r="676" ht="29.25" customHeight="1">
      <c r="A676" s="109"/>
      <c r="B676" s="109"/>
      <c r="C676" s="109"/>
      <c r="D676" s="109"/>
      <c r="E676" s="109"/>
      <c r="F676" s="109"/>
      <c r="G676" s="317"/>
      <c r="H676" s="109"/>
      <c r="I676" s="109"/>
      <c r="J676" s="109"/>
      <c r="K676" s="109"/>
      <c r="L676" s="109"/>
      <c r="M676" s="109"/>
      <c r="N676" s="109"/>
      <c r="O676" s="109"/>
      <c r="P676" s="109"/>
      <c r="Q676" s="109"/>
      <c r="R676" s="109"/>
      <c r="S676" s="109"/>
      <c r="T676" s="109"/>
      <c r="U676" s="109"/>
      <c r="V676" s="109"/>
      <c r="W676" s="109"/>
      <c r="X676" s="109"/>
      <c r="Y676" s="109"/>
      <c r="Z676" s="109"/>
    </row>
    <row r="677" ht="29.25" customHeight="1">
      <c r="A677" s="109"/>
      <c r="B677" s="109"/>
      <c r="C677" s="109"/>
      <c r="D677" s="109"/>
      <c r="E677" s="109"/>
      <c r="F677" s="109"/>
      <c r="G677" s="317"/>
      <c r="H677" s="109"/>
      <c r="I677" s="109"/>
      <c r="J677" s="109"/>
      <c r="K677" s="109"/>
      <c r="L677" s="109"/>
      <c r="M677" s="109"/>
      <c r="N677" s="109"/>
      <c r="O677" s="109"/>
      <c r="P677" s="109"/>
      <c r="Q677" s="109"/>
      <c r="R677" s="109"/>
      <c r="S677" s="109"/>
      <c r="T677" s="109"/>
      <c r="U677" s="109"/>
      <c r="V677" s="109"/>
      <c r="W677" s="109"/>
      <c r="X677" s="109"/>
      <c r="Y677" s="109"/>
      <c r="Z677" s="109"/>
    </row>
    <row r="678" ht="29.25" customHeight="1">
      <c r="A678" s="109"/>
      <c r="B678" s="109"/>
      <c r="C678" s="109"/>
      <c r="D678" s="109"/>
      <c r="E678" s="109"/>
      <c r="F678" s="109"/>
      <c r="G678" s="317"/>
      <c r="H678" s="109"/>
      <c r="I678" s="109"/>
      <c r="J678" s="109"/>
      <c r="K678" s="109"/>
      <c r="L678" s="109"/>
      <c r="M678" s="109"/>
      <c r="N678" s="109"/>
      <c r="O678" s="109"/>
      <c r="P678" s="109"/>
      <c r="Q678" s="109"/>
      <c r="R678" s="109"/>
      <c r="S678" s="109"/>
      <c r="T678" s="109"/>
      <c r="U678" s="109"/>
      <c r="V678" s="109"/>
      <c r="W678" s="109"/>
      <c r="X678" s="109"/>
      <c r="Y678" s="109"/>
      <c r="Z678" s="109"/>
    </row>
    <row r="679" ht="29.25" customHeight="1">
      <c r="A679" s="109"/>
      <c r="B679" s="109"/>
      <c r="C679" s="109"/>
      <c r="D679" s="109"/>
      <c r="E679" s="109"/>
      <c r="F679" s="109"/>
      <c r="G679" s="317"/>
      <c r="H679" s="109"/>
      <c r="I679" s="109"/>
      <c r="J679" s="109"/>
      <c r="K679" s="109"/>
      <c r="L679" s="109"/>
      <c r="M679" s="109"/>
      <c r="N679" s="109"/>
      <c r="O679" s="109"/>
      <c r="P679" s="109"/>
      <c r="Q679" s="109"/>
      <c r="R679" s="109"/>
      <c r="S679" s="109"/>
      <c r="T679" s="109"/>
      <c r="U679" s="109"/>
      <c r="V679" s="109"/>
      <c r="W679" s="109"/>
      <c r="X679" s="109"/>
      <c r="Y679" s="109"/>
      <c r="Z679" s="109"/>
    </row>
    <row r="680" ht="29.25" customHeight="1">
      <c r="A680" s="109"/>
      <c r="B680" s="109"/>
      <c r="C680" s="109"/>
      <c r="D680" s="109"/>
      <c r="E680" s="109"/>
      <c r="F680" s="109"/>
      <c r="G680" s="317"/>
      <c r="H680" s="109"/>
      <c r="I680" s="109"/>
      <c r="J680" s="109"/>
      <c r="K680" s="109"/>
      <c r="L680" s="109"/>
      <c r="M680" s="109"/>
      <c r="N680" s="109"/>
      <c r="O680" s="109"/>
      <c r="P680" s="109"/>
      <c r="Q680" s="109"/>
      <c r="R680" s="109"/>
      <c r="S680" s="109"/>
      <c r="T680" s="109"/>
      <c r="U680" s="109"/>
      <c r="V680" s="109"/>
      <c r="W680" s="109"/>
      <c r="X680" s="109"/>
      <c r="Y680" s="109"/>
      <c r="Z680" s="109"/>
    </row>
    <row r="681" ht="29.25" customHeight="1">
      <c r="A681" s="109"/>
      <c r="B681" s="109"/>
      <c r="C681" s="109"/>
      <c r="D681" s="109"/>
      <c r="E681" s="109"/>
      <c r="F681" s="109"/>
      <c r="G681" s="317"/>
      <c r="H681" s="109"/>
      <c r="I681" s="109"/>
      <c r="J681" s="109"/>
      <c r="K681" s="109"/>
      <c r="L681" s="109"/>
      <c r="M681" s="109"/>
      <c r="N681" s="109"/>
      <c r="O681" s="109"/>
      <c r="P681" s="109"/>
      <c r="Q681" s="109"/>
      <c r="R681" s="109"/>
      <c r="S681" s="109"/>
      <c r="T681" s="109"/>
      <c r="U681" s="109"/>
      <c r="V681" s="109"/>
      <c r="W681" s="109"/>
      <c r="X681" s="109"/>
      <c r="Y681" s="109"/>
      <c r="Z681" s="109"/>
    </row>
    <row r="682" ht="29.25" customHeight="1">
      <c r="A682" s="109"/>
      <c r="B682" s="109"/>
      <c r="C682" s="109"/>
      <c r="D682" s="109"/>
      <c r="E682" s="109"/>
      <c r="F682" s="109"/>
      <c r="G682" s="317"/>
      <c r="H682" s="109"/>
      <c r="I682" s="109"/>
      <c r="J682" s="109"/>
      <c r="K682" s="109"/>
      <c r="L682" s="109"/>
      <c r="M682" s="109"/>
      <c r="N682" s="109"/>
      <c r="O682" s="109"/>
      <c r="P682" s="109"/>
      <c r="Q682" s="109"/>
      <c r="R682" s="109"/>
      <c r="S682" s="109"/>
      <c r="T682" s="109"/>
      <c r="U682" s="109"/>
      <c r="V682" s="109"/>
      <c r="W682" s="109"/>
      <c r="X682" s="109"/>
      <c r="Y682" s="109"/>
      <c r="Z682" s="109"/>
    </row>
    <row r="683" ht="29.25" customHeight="1">
      <c r="A683" s="109"/>
      <c r="B683" s="109"/>
      <c r="C683" s="109"/>
      <c r="D683" s="109"/>
      <c r="E683" s="109"/>
      <c r="F683" s="109"/>
      <c r="G683" s="317"/>
      <c r="H683" s="109"/>
      <c r="I683" s="109"/>
      <c r="J683" s="109"/>
      <c r="K683" s="109"/>
      <c r="L683" s="109"/>
      <c r="M683" s="109"/>
      <c r="N683" s="109"/>
      <c r="O683" s="109"/>
      <c r="P683" s="109"/>
      <c r="Q683" s="109"/>
      <c r="R683" s="109"/>
      <c r="S683" s="109"/>
      <c r="T683" s="109"/>
      <c r="U683" s="109"/>
      <c r="V683" s="109"/>
      <c r="W683" s="109"/>
      <c r="X683" s="109"/>
      <c r="Y683" s="109"/>
      <c r="Z683" s="109"/>
    </row>
    <row r="684" ht="29.25" customHeight="1">
      <c r="A684" s="109"/>
      <c r="B684" s="109"/>
      <c r="C684" s="109"/>
      <c r="D684" s="109"/>
      <c r="E684" s="109"/>
      <c r="F684" s="109"/>
      <c r="G684" s="317"/>
      <c r="H684" s="109"/>
      <c r="I684" s="109"/>
      <c r="J684" s="109"/>
      <c r="K684" s="109"/>
      <c r="L684" s="109"/>
      <c r="M684" s="109"/>
      <c r="N684" s="109"/>
      <c r="O684" s="109"/>
      <c r="P684" s="109"/>
      <c r="Q684" s="109"/>
      <c r="R684" s="109"/>
      <c r="S684" s="109"/>
      <c r="T684" s="109"/>
      <c r="U684" s="109"/>
      <c r="V684" s="109"/>
      <c r="W684" s="109"/>
      <c r="X684" s="109"/>
      <c r="Y684" s="109"/>
      <c r="Z684" s="109"/>
    </row>
    <row r="685" ht="29.25" customHeight="1">
      <c r="A685" s="109"/>
      <c r="B685" s="109"/>
      <c r="C685" s="109"/>
      <c r="D685" s="109"/>
      <c r="E685" s="109"/>
      <c r="F685" s="109"/>
      <c r="G685" s="317"/>
      <c r="H685" s="109"/>
      <c r="I685" s="109"/>
      <c r="J685" s="109"/>
      <c r="K685" s="109"/>
      <c r="L685" s="109"/>
      <c r="M685" s="109"/>
      <c r="N685" s="109"/>
      <c r="O685" s="109"/>
      <c r="P685" s="109"/>
      <c r="Q685" s="109"/>
      <c r="R685" s="109"/>
      <c r="S685" s="109"/>
      <c r="T685" s="109"/>
      <c r="U685" s="109"/>
      <c r="V685" s="109"/>
      <c r="W685" s="109"/>
      <c r="X685" s="109"/>
      <c r="Y685" s="109"/>
      <c r="Z685" s="109"/>
    </row>
    <row r="686" ht="29.25" customHeight="1">
      <c r="A686" s="109"/>
      <c r="B686" s="109"/>
      <c r="C686" s="109"/>
      <c r="D686" s="109"/>
      <c r="E686" s="109"/>
      <c r="F686" s="109"/>
      <c r="G686" s="317"/>
      <c r="H686" s="109"/>
      <c r="I686" s="109"/>
      <c r="J686" s="109"/>
      <c r="K686" s="109"/>
      <c r="L686" s="109"/>
      <c r="M686" s="109"/>
      <c r="N686" s="109"/>
      <c r="O686" s="109"/>
      <c r="P686" s="109"/>
      <c r="Q686" s="109"/>
      <c r="R686" s="109"/>
      <c r="S686" s="109"/>
      <c r="T686" s="109"/>
      <c r="U686" s="109"/>
      <c r="V686" s="109"/>
      <c r="W686" s="109"/>
      <c r="X686" s="109"/>
      <c r="Y686" s="109"/>
      <c r="Z686" s="109"/>
    </row>
    <row r="687" ht="29.25" customHeight="1">
      <c r="A687" s="109"/>
      <c r="B687" s="109"/>
      <c r="C687" s="109"/>
      <c r="D687" s="109"/>
      <c r="E687" s="109"/>
      <c r="F687" s="109"/>
      <c r="G687" s="317"/>
      <c r="H687" s="109"/>
      <c r="I687" s="109"/>
      <c r="J687" s="109"/>
      <c r="K687" s="109"/>
      <c r="L687" s="109"/>
      <c r="M687" s="109"/>
      <c r="N687" s="109"/>
      <c r="O687" s="109"/>
      <c r="P687" s="109"/>
      <c r="Q687" s="109"/>
      <c r="R687" s="109"/>
      <c r="S687" s="109"/>
      <c r="T687" s="109"/>
      <c r="U687" s="109"/>
      <c r="V687" s="109"/>
      <c r="W687" s="109"/>
      <c r="X687" s="109"/>
      <c r="Y687" s="109"/>
      <c r="Z687" s="109"/>
    </row>
    <row r="688" ht="29.25" customHeight="1">
      <c r="A688" s="109"/>
      <c r="B688" s="109"/>
      <c r="C688" s="109"/>
      <c r="D688" s="109"/>
      <c r="E688" s="109"/>
      <c r="F688" s="109"/>
      <c r="G688" s="317"/>
      <c r="H688" s="109"/>
      <c r="I688" s="109"/>
      <c r="J688" s="109"/>
      <c r="K688" s="109"/>
      <c r="L688" s="109"/>
      <c r="M688" s="109"/>
      <c r="N688" s="109"/>
      <c r="O688" s="109"/>
      <c r="P688" s="109"/>
      <c r="Q688" s="109"/>
      <c r="R688" s="109"/>
      <c r="S688" s="109"/>
      <c r="T688" s="109"/>
      <c r="U688" s="109"/>
      <c r="V688" s="109"/>
      <c r="W688" s="109"/>
      <c r="X688" s="109"/>
      <c r="Y688" s="109"/>
      <c r="Z688" s="109"/>
    </row>
    <row r="689" ht="29.25" customHeight="1">
      <c r="A689" s="109"/>
      <c r="B689" s="109"/>
      <c r="C689" s="109"/>
      <c r="D689" s="109"/>
      <c r="E689" s="109"/>
      <c r="F689" s="109"/>
      <c r="G689" s="317"/>
      <c r="H689" s="109"/>
      <c r="I689" s="109"/>
      <c r="J689" s="109"/>
      <c r="K689" s="109"/>
      <c r="L689" s="109"/>
      <c r="M689" s="109"/>
      <c r="N689" s="109"/>
      <c r="O689" s="109"/>
      <c r="P689" s="109"/>
      <c r="Q689" s="109"/>
      <c r="R689" s="109"/>
      <c r="S689" s="109"/>
      <c r="T689" s="109"/>
      <c r="U689" s="109"/>
      <c r="V689" s="109"/>
      <c r="W689" s="109"/>
      <c r="X689" s="109"/>
      <c r="Y689" s="109"/>
      <c r="Z689" s="109"/>
    </row>
    <row r="690" ht="29.25" customHeight="1">
      <c r="A690" s="109"/>
      <c r="B690" s="109"/>
      <c r="C690" s="109"/>
      <c r="D690" s="109"/>
      <c r="E690" s="109"/>
      <c r="F690" s="109"/>
      <c r="G690" s="317"/>
      <c r="H690" s="109"/>
      <c r="I690" s="109"/>
      <c r="J690" s="109"/>
      <c r="K690" s="109"/>
      <c r="L690" s="109"/>
      <c r="M690" s="109"/>
      <c r="N690" s="109"/>
      <c r="O690" s="109"/>
      <c r="P690" s="109"/>
      <c r="Q690" s="109"/>
      <c r="R690" s="109"/>
      <c r="S690" s="109"/>
      <c r="T690" s="109"/>
      <c r="U690" s="109"/>
      <c r="V690" s="109"/>
      <c r="W690" s="109"/>
      <c r="X690" s="109"/>
      <c r="Y690" s="109"/>
      <c r="Z690" s="109"/>
    </row>
    <row r="691" ht="29.25" customHeight="1">
      <c r="A691" s="109"/>
      <c r="B691" s="109"/>
      <c r="C691" s="109"/>
      <c r="D691" s="109"/>
      <c r="E691" s="109"/>
      <c r="F691" s="109"/>
      <c r="G691" s="317"/>
      <c r="H691" s="109"/>
      <c r="I691" s="109"/>
      <c r="J691" s="109"/>
      <c r="K691" s="109"/>
      <c r="L691" s="109"/>
      <c r="M691" s="109"/>
      <c r="N691" s="109"/>
      <c r="O691" s="109"/>
      <c r="P691" s="109"/>
      <c r="Q691" s="109"/>
      <c r="R691" s="109"/>
      <c r="S691" s="109"/>
      <c r="T691" s="109"/>
      <c r="U691" s="109"/>
      <c r="V691" s="109"/>
      <c r="W691" s="109"/>
      <c r="X691" s="109"/>
      <c r="Y691" s="109"/>
      <c r="Z691" s="109"/>
    </row>
    <row r="692" ht="29.25" customHeight="1">
      <c r="A692" s="109"/>
      <c r="B692" s="109"/>
      <c r="C692" s="109"/>
      <c r="D692" s="109"/>
      <c r="E692" s="109"/>
      <c r="F692" s="109"/>
      <c r="G692" s="317"/>
      <c r="H692" s="109"/>
      <c r="I692" s="109"/>
      <c r="J692" s="109"/>
      <c r="K692" s="109"/>
      <c r="L692" s="109"/>
      <c r="M692" s="109"/>
      <c r="N692" s="109"/>
      <c r="O692" s="109"/>
      <c r="P692" s="109"/>
      <c r="Q692" s="109"/>
      <c r="R692" s="109"/>
      <c r="S692" s="109"/>
      <c r="T692" s="109"/>
      <c r="U692" s="109"/>
      <c r="V692" s="109"/>
      <c r="W692" s="109"/>
      <c r="X692" s="109"/>
      <c r="Y692" s="109"/>
      <c r="Z692" s="109"/>
    </row>
    <row r="693" ht="29.25" customHeight="1">
      <c r="A693" s="109"/>
      <c r="B693" s="109"/>
      <c r="C693" s="109"/>
      <c r="D693" s="109"/>
      <c r="E693" s="109"/>
      <c r="F693" s="109"/>
      <c r="G693" s="317"/>
      <c r="H693" s="109"/>
      <c r="I693" s="109"/>
      <c r="J693" s="109"/>
      <c r="K693" s="109"/>
      <c r="L693" s="109"/>
      <c r="M693" s="109"/>
      <c r="N693" s="109"/>
      <c r="O693" s="109"/>
      <c r="P693" s="109"/>
      <c r="Q693" s="109"/>
      <c r="R693" s="109"/>
      <c r="S693" s="109"/>
      <c r="T693" s="109"/>
      <c r="U693" s="109"/>
      <c r="V693" s="109"/>
      <c r="W693" s="109"/>
      <c r="X693" s="109"/>
      <c r="Y693" s="109"/>
      <c r="Z693" s="109"/>
    </row>
    <row r="694" ht="29.25" customHeight="1">
      <c r="A694" s="109"/>
      <c r="B694" s="109"/>
      <c r="C694" s="109"/>
      <c r="D694" s="109"/>
      <c r="E694" s="109"/>
      <c r="F694" s="109"/>
      <c r="G694" s="317"/>
      <c r="H694" s="109"/>
      <c r="I694" s="109"/>
      <c r="J694" s="109"/>
      <c r="K694" s="109"/>
      <c r="L694" s="109"/>
      <c r="M694" s="109"/>
      <c r="N694" s="109"/>
      <c r="O694" s="109"/>
      <c r="P694" s="109"/>
      <c r="Q694" s="109"/>
      <c r="R694" s="109"/>
      <c r="S694" s="109"/>
      <c r="T694" s="109"/>
      <c r="U694" s="109"/>
      <c r="V694" s="109"/>
      <c r="W694" s="109"/>
      <c r="X694" s="109"/>
      <c r="Y694" s="109"/>
      <c r="Z694" s="109"/>
    </row>
    <row r="695" ht="29.25" customHeight="1">
      <c r="A695" s="109"/>
      <c r="B695" s="109"/>
      <c r="C695" s="109"/>
      <c r="D695" s="109"/>
      <c r="E695" s="109"/>
      <c r="F695" s="109"/>
      <c r="G695" s="317"/>
      <c r="H695" s="109"/>
      <c r="I695" s="109"/>
      <c r="J695" s="109"/>
      <c r="K695" s="109"/>
      <c r="L695" s="109"/>
      <c r="M695" s="109"/>
      <c r="N695" s="109"/>
      <c r="O695" s="109"/>
      <c r="P695" s="109"/>
      <c r="Q695" s="109"/>
      <c r="R695" s="109"/>
      <c r="S695" s="109"/>
      <c r="T695" s="109"/>
      <c r="U695" s="109"/>
      <c r="V695" s="109"/>
      <c r="W695" s="109"/>
      <c r="X695" s="109"/>
      <c r="Y695" s="109"/>
      <c r="Z695" s="109"/>
    </row>
    <row r="696" ht="29.25" customHeight="1">
      <c r="A696" s="109"/>
      <c r="B696" s="109"/>
      <c r="C696" s="109"/>
      <c r="D696" s="109"/>
      <c r="E696" s="109"/>
      <c r="F696" s="109"/>
      <c r="G696" s="317"/>
      <c r="H696" s="109"/>
      <c r="I696" s="109"/>
      <c r="J696" s="109"/>
      <c r="K696" s="109"/>
      <c r="L696" s="109"/>
      <c r="M696" s="109"/>
      <c r="N696" s="109"/>
      <c r="O696" s="109"/>
      <c r="P696" s="109"/>
      <c r="Q696" s="109"/>
      <c r="R696" s="109"/>
      <c r="S696" s="109"/>
      <c r="T696" s="109"/>
      <c r="U696" s="109"/>
      <c r="V696" s="109"/>
      <c r="W696" s="109"/>
      <c r="X696" s="109"/>
      <c r="Y696" s="109"/>
      <c r="Z696" s="109"/>
    </row>
    <row r="697" ht="29.25" customHeight="1">
      <c r="A697" s="109"/>
      <c r="B697" s="109"/>
      <c r="C697" s="109"/>
      <c r="D697" s="109"/>
      <c r="E697" s="109"/>
      <c r="F697" s="109"/>
      <c r="G697" s="317"/>
      <c r="H697" s="109"/>
      <c r="I697" s="109"/>
      <c r="J697" s="109"/>
      <c r="K697" s="109"/>
      <c r="L697" s="109"/>
      <c r="M697" s="109"/>
      <c r="N697" s="109"/>
      <c r="O697" s="109"/>
      <c r="P697" s="109"/>
      <c r="Q697" s="109"/>
      <c r="R697" s="109"/>
      <c r="S697" s="109"/>
      <c r="T697" s="109"/>
      <c r="U697" s="109"/>
      <c r="V697" s="109"/>
      <c r="W697" s="109"/>
      <c r="X697" s="109"/>
      <c r="Y697" s="109"/>
      <c r="Z697" s="109"/>
    </row>
    <row r="698" ht="29.25" customHeight="1">
      <c r="A698" s="109"/>
      <c r="B698" s="109"/>
      <c r="C698" s="109"/>
      <c r="D698" s="109"/>
      <c r="E698" s="109"/>
      <c r="F698" s="109"/>
      <c r="G698" s="317"/>
      <c r="H698" s="109"/>
      <c r="I698" s="109"/>
      <c r="J698" s="109"/>
      <c r="K698" s="109"/>
      <c r="L698" s="109"/>
      <c r="M698" s="109"/>
      <c r="N698" s="109"/>
      <c r="O698" s="109"/>
      <c r="P698" s="109"/>
      <c r="Q698" s="109"/>
      <c r="R698" s="109"/>
      <c r="S698" s="109"/>
      <c r="T698" s="109"/>
      <c r="U698" s="109"/>
      <c r="V698" s="109"/>
      <c r="W698" s="109"/>
      <c r="X698" s="109"/>
      <c r="Y698" s="109"/>
      <c r="Z698" s="109"/>
    </row>
    <row r="699" ht="29.25" customHeight="1">
      <c r="A699" s="109"/>
      <c r="B699" s="109"/>
      <c r="C699" s="109"/>
      <c r="D699" s="109"/>
      <c r="E699" s="109"/>
      <c r="F699" s="109"/>
      <c r="G699" s="317"/>
      <c r="H699" s="109"/>
      <c r="I699" s="109"/>
      <c r="J699" s="109"/>
      <c r="K699" s="109"/>
      <c r="L699" s="109"/>
      <c r="M699" s="109"/>
      <c r="N699" s="109"/>
      <c r="O699" s="109"/>
      <c r="P699" s="109"/>
      <c r="Q699" s="109"/>
      <c r="R699" s="109"/>
      <c r="S699" s="109"/>
      <c r="T699" s="109"/>
      <c r="U699" s="109"/>
      <c r="V699" s="109"/>
      <c r="W699" s="109"/>
      <c r="X699" s="109"/>
      <c r="Y699" s="109"/>
      <c r="Z699" s="109"/>
    </row>
    <row r="700" ht="29.25" customHeight="1">
      <c r="A700" s="109"/>
      <c r="B700" s="109"/>
      <c r="C700" s="109"/>
      <c r="D700" s="109"/>
      <c r="E700" s="109"/>
      <c r="F700" s="109"/>
      <c r="G700" s="317"/>
      <c r="H700" s="109"/>
      <c r="I700" s="109"/>
      <c r="J700" s="109"/>
      <c r="K700" s="109"/>
      <c r="L700" s="109"/>
      <c r="M700" s="109"/>
      <c r="N700" s="109"/>
      <c r="O700" s="109"/>
      <c r="P700" s="109"/>
      <c r="Q700" s="109"/>
      <c r="R700" s="109"/>
      <c r="S700" s="109"/>
      <c r="T700" s="109"/>
      <c r="U700" s="109"/>
      <c r="V700" s="109"/>
      <c r="W700" s="109"/>
      <c r="X700" s="109"/>
      <c r="Y700" s="109"/>
      <c r="Z700" s="109"/>
    </row>
    <row r="701" ht="29.25" customHeight="1">
      <c r="A701" s="109"/>
      <c r="B701" s="109"/>
      <c r="C701" s="109"/>
      <c r="D701" s="109"/>
      <c r="E701" s="109"/>
      <c r="F701" s="109"/>
      <c r="G701" s="317"/>
      <c r="H701" s="109"/>
      <c r="I701" s="109"/>
      <c r="J701" s="109"/>
      <c r="K701" s="109"/>
      <c r="L701" s="109"/>
      <c r="M701" s="109"/>
      <c r="N701" s="109"/>
      <c r="O701" s="109"/>
      <c r="P701" s="109"/>
      <c r="Q701" s="109"/>
      <c r="R701" s="109"/>
      <c r="S701" s="109"/>
      <c r="T701" s="109"/>
      <c r="U701" s="109"/>
      <c r="V701" s="109"/>
      <c r="W701" s="109"/>
      <c r="X701" s="109"/>
      <c r="Y701" s="109"/>
      <c r="Z701" s="109"/>
    </row>
    <row r="702" ht="29.25" customHeight="1">
      <c r="A702" s="109"/>
      <c r="B702" s="109"/>
      <c r="C702" s="109"/>
      <c r="D702" s="109"/>
      <c r="E702" s="109"/>
      <c r="F702" s="109"/>
      <c r="G702" s="317"/>
      <c r="H702" s="109"/>
      <c r="I702" s="109"/>
      <c r="J702" s="109"/>
      <c r="K702" s="109"/>
      <c r="L702" s="109"/>
      <c r="M702" s="109"/>
      <c r="N702" s="109"/>
      <c r="O702" s="109"/>
      <c r="P702" s="109"/>
      <c r="Q702" s="109"/>
      <c r="R702" s="109"/>
      <c r="S702" s="109"/>
      <c r="T702" s="109"/>
      <c r="U702" s="109"/>
      <c r="V702" s="109"/>
      <c r="W702" s="109"/>
      <c r="X702" s="109"/>
      <c r="Y702" s="109"/>
      <c r="Z702" s="109"/>
    </row>
    <row r="703" ht="29.25" customHeight="1">
      <c r="A703" s="109"/>
      <c r="B703" s="109"/>
      <c r="C703" s="109"/>
      <c r="D703" s="109"/>
      <c r="E703" s="109"/>
      <c r="F703" s="109"/>
      <c r="G703" s="317"/>
      <c r="H703" s="109"/>
      <c r="I703" s="109"/>
      <c r="J703" s="109"/>
      <c r="K703" s="109"/>
      <c r="L703" s="109"/>
      <c r="M703" s="109"/>
      <c r="N703" s="109"/>
      <c r="O703" s="109"/>
      <c r="P703" s="109"/>
      <c r="Q703" s="109"/>
      <c r="R703" s="109"/>
      <c r="S703" s="109"/>
      <c r="T703" s="109"/>
      <c r="U703" s="109"/>
      <c r="V703" s="109"/>
      <c r="W703" s="109"/>
      <c r="X703" s="109"/>
      <c r="Y703" s="109"/>
      <c r="Z703" s="109"/>
    </row>
    <row r="704" ht="29.25" customHeight="1">
      <c r="A704" s="109"/>
      <c r="B704" s="109"/>
      <c r="C704" s="109"/>
      <c r="D704" s="109"/>
      <c r="E704" s="109"/>
      <c r="F704" s="109"/>
      <c r="G704" s="317"/>
      <c r="H704" s="109"/>
      <c r="I704" s="109"/>
      <c r="J704" s="109"/>
      <c r="K704" s="109"/>
      <c r="L704" s="109"/>
      <c r="M704" s="109"/>
      <c r="N704" s="109"/>
      <c r="O704" s="109"/>
      <c r="P704" s="109"/>
      <c r="Q704" s="109"/>
      <c r="R704" s="109"/>
      <c r="S704" s="109"/>
      <c r="T704" s="109"/>
      <c r="U704" s="109"/>
      <c r="V704" s="109"/>
      <c r="W704" s="109"/>
      <c r="X704" s="109"/>
      <c r="Y704" s="109"/>
      <c r="Z704" s="109"/>
    </row>
    <row r="705" ht="29.25" customHeight="1">
      <c r="A705" s="109"/>
      <c r="B705" s="109"/>
      <c r="C705" s="109"/>
      <c r="D705" s="109"/>
      <c r="E705" s="109"/>
      <c r="F705" s="109"/>
      <c r="G705" s="317"/>
      <c r="H705" s="109"/>
      <c r="I705" s="109"/>
      <c r="J705" s="109"/>
      <c r="K705" s="109"/>
      <c r="L705" s="109"/>
      <c r="M705" s="109"/>
      <c r="N705" s="109"/>
      <c r="O705" s="109"/>
      <c r="P705" s="109"/>
      <c r="Q705" s="109"/>
      <c r="R705" s="109"/>
      <c r="S705" s="109"/>
      <c r="T705" s="109"/>
      <c r="U705" s="109"/>
      <c r="V705" s="109"/>
      <c r="W705" s="109"/>
      <c r="X705" s="109"/>
      <c r="Y705" s="109"/>
      <c r="Z705" s="109"/>
    </row>
    <row r="706" ht="29.25" customHeight="1">
      <c r="A706" s="109"/>
      <c r="B706" s="109"/>
      <c r="C706" s="109"/>
      <c r="D706" s="109"/>
      <c r="E706" s="109"/>
      <c r="F706" s="109"/>
      <c r="G706" s="317"/>
      <c r="H706" s="109"/>
      <c r="I706" s="109"/>
      <c r="J706" s="109"/>
      <c r="K706" s="109"/>
      <c r="L706" s="109"/>
      <c r="M706" s="109"/>
      <c r="N706" s="109"/>
      <c r="O706" s="109"/>
      <c r="P706" s="109"/>
      <c r="Q706" s="109"/>
      <c r="R706" s="109"/>
      <c r="S706" s="109"/>
      <c r="T706" s="109"/>
      <c r="U706" s="109"/>
      <c r="V706" s="109"/>
      <c r="W706" s="109"/>
      <c r="X706" s="109"/>
      <c r="Y706" s="109"/>
      <c r="Z706" s="109"/>
    </row>
    <row r="707" ht="29.25" customHeight="1">
      <c r="A707" s="109"/>
      <c r="B707" s="109"/>
      <c r="C707" s="109"/>
      <c r="D707" s="109"/>
      <c r="E707" s="109"/>
      <c r="F707" s="109"/>
      <c r="G707" s="317"/>
      <c r="H707" s="109"/>
      <c r="I707" s="109"/>
      <c r="J707" s="109"/>
      <c r="K707" s="109"/>
      <c r="L707" s="109"/>
      <c r="M707" s="109"/>
      <c r="N707" s="109"/>
      <c r="O707" s="109"/>
      <c r="P707" s="109"/>
      <c r="Q707" s="109"/>
      <c r="R707" s="109"/>
      <c r="S707" s="109"/>
      <c r="T707" s="109"/>
      <c r="U707" s="109"/>
      <c r="V707" s="109"/>
      <c r="W707" s="109"/>
      <c r="X707" s="109"/>
      <c r="Y707" s="109"/>
      <c r="Z707" s="109"/>
    </row>
    <row r="708" ht="29.25" customHeight="1">
      <c r="A708" s="109"/>
      <c r="B708" s="109"/>
      <c r="C708" s="109"/>
      <c r="D708" s="109"/>
      <c r="E708" s="109"/>
      <c r="F708" s="109"/>
      <c r="G708" s="317"/>
      <c r="H708" s="109"/>
      <c r="I708" s="109"/>
      <c r="J708" s="109"/>
      <c r="K708" s="109"/>
      <c r="L708" s="109"/>
      <c r="M708" s="109"/>
      <c r="N708" s="109"/>
      <c r="O708" s="109"/>
      <c r="P708" s="109"/>
      <c r="Q708" s="109"/>
      <c r="R708" s="109"/>
      <c r="S708" s="109"/>
      <c r="T708" s="109"/>
      <c r="U708" s="109"/>
      <c r="V708" s="109"/>
      <c r="W708" s="109"/>
      <c r="X708" s="109"/>
      <c r="Y708" s="109"/>
      <c r="Z708" s="109"/>
    </row>
    <row r="709" ht="29.25" customHeight="1">
      <c r="A709" s="109"/>
      <c r="B709" s="109"/>
      <c r="C709" s="109"/>
      <c r="D709" s="109"/>
      <c r="E709" s="109"/>
      <c r="F709" s="109"/>
      <c r="G709" s="317"/>
      <c r="H709" s="109"/>
      <c r="I709" s="109"/>
      <c r="J709" s="109"/>
      <c r="K709" s="109"/>
      <c r="L709" s="109"/>
      <c r="M709" s="109"/>
      <c r="N709" s="109"/>
      <c r="O709" s="109"/>
      <c r="P709" s="109"/>
      <c r="Q709" s="109"/>
      <c r="R709" s="109"/>
      <c r="S709" s="109"/>
      <c r="T709" s="109"/>
      <c r="U709" s="109"/>
      <c r="V709" s="109"/>
      <c r="W709" s="109"/>
      <c r="X709" s="109"/>
      <c r="Y709" s="109"/>
      <c r="Z709" s="109"/>
    </row>
    <row r="710" ht="29.25" customHeight="1">
      <c r="A710" s="109"/>
      <c r="B710" s="109"/>
      <c r="C710" s="109"/>
      <c r="D710" s="109"/>
      <c r="E710" s="109"/>
      <c r="F710" s="109"/>
      <c r="G710" s="317"/>
      <c r="H710" s="109"/>
      <c r="I710" s="109"/>
      <c r="J710" s="109"/>
      <c r="K710" s="109"/>
      <c r="L710" s="109"/>
      <c r="M710" s="109"/>
      <c r="N710" s="109"/>
      <c r="O710" s="109"/>
      <c r="P710" s="109"/>
      <c r="Q710" s="109"/>
      <c r="R710" s="109"/>
      <c r="S710" s="109"/>
      <c r="T710" s="109"/>
      <c r="U710" s="109"/>
      <c r="V710" s="109"/>
      <c r="W710" s="109"/>
      <c r="X710" s="109"/>
      <c r="Y710" s="109"/>
      <c r="Z710" s="109"/>
    </row>
    <row r="711" ht="29.25" customHeight="1">
      <c r="A711" s="109"/>
      <c r="B711" s="109"/>
      <c r="C711" s="109"/>
      <c r="D711" s="109"/>
      <c r="E711" s="109"/>
      <c r="F711" s="109"/>
      <c r="G711" s="317"/>
      <c r="H711" s="109"/>
      <c r="I711" s="109"/>
      <c r="J711" s="109"/>
      <c r="K711" s="109"/>
      <c r="L711" s="109"/>
      <c r="M711" s="109"/>
      <c r="N711" s="109"/>
      <c r="O711" s="109"/>
      <c r="P711" s="109"/>
      <c r="Q711" s="109"/>
      <c r="R711" s="109"/>
      <c r="S711" s="109"/>
      <c r="T711" s="109"/>
      <c r="U711" s="109"/>
      <c r="V711" s="109"/>
      <c r="W711" s="109"/>
      <c r="X711" s="109"/>
      <c r="Y711" s="109"/>
      <c r="Z711" s="109"/>
    </row>
    <row r="712" ht="29.25" customHeight="1">
      <c r="A712" s="109"/>
      <c r="B712" s="109"/>
      <c r="C712" s="109"/>
      <c r="D712" s="109"/>
      <c r="E712" s="109"/>
      <c r="F712" s="109"/>
      <c r="G712" s="317"/>
      <c r="H712" s="109"/>
      <c r="I712" s="109"/>
      <c r="J712" s="109"/>
      <c r="K712" s="109"/>
      <c r="L712" s="109"/>
      <c r="M712" s="109"/>
      <c r="N712" s="109"/>
      <c r="O712" s="109"/>
      <c r="P712" s="109"/>
      <c r="Q712" s="109"/>
      <c r="R712" s="109"/>
      <c r="S712" s="109"/>
      <c r="T712" s="109"/>
      <c r="U712" s="109"/>
      <c r="V712" s="109"/>
      <c r="W712" s="109"/>
      <c r="X712" s="109"/>
      <c r="Y712" s="109"/>
      <c r="Z712" s="109"/>
    </row>
    <row r="713" ht="29.25" customHeight="1">
      <c r="A713" s="109"/>
      <c r="B713" s="109"/>
      <c r="C713" s="109"/>
      <c r="D713" s="109"/>
      <c r="E713" s="109"/>
      <c r="F713" s="109"/>
      <c r="G713" s="317"/>
      <c r="H713" s="109"/>
      <c r="I713" s="109"/>
      <c r="J713" s="109"/>
      <c r="K713" s="109"/>
      <c r="L713" s="109"/>
      <c r="M713" s="109"/>
      <c r="N713" s="109"/>
      <c r="O713" s="109"/>
      <c r="P713" s="109"/>
      <c r="Q713" s="109"/>
      <c r="R713" s="109"/>
      <c r="S713" s="109"/>
      <c r="T713" s="109"/>
      <c r="U713" s="109"/>
      <c r="V713" s="109"/>
      <c r="W713" s="109"/>
      <c r="X713" s="109"/>
      <c r="Y713" s="109"/>
      <c r="Z713" s="109"/>
    </row>
    <row r="714" ht="29.25" customHeight="1">
      <c r="A714" s="109"/>
      <c r="B714" s="109"/>
      <c r="C714" s="109"/>
      <c r="D714" s="109"/>
      <c r="E714" s="109"/>
      <c r="F714" s="109"/>
      <c r="G714" s="317"/>
      <c r="H714" s="109"/>
      <c r="I714" s="109"/>
      <c r="J714" s="109"/>
      <c r="K714" s="109"/>
      <c r="L714" s="109"/>
      <c r="M714" s="109"/>
      <c r="N714" s="109"/>
      <c r="O714" s="109"/>
      <c r="P714" s="109"/>
      <c r="Q714" s="109"/>
      <c r="R714" s="109"/>
      <c r="S714" s="109"/>
      <c r="T714" s="109"/>
      <c r="U714" s="109"/>
      <c r="V714" s="109"/>
      <c r="W714" s="109"/>
      <c r="X714" s="109"/>
      <c r="Y714" s="109"/>
      <c r="Z714" s="109"/>
    </row>
    <row r="715" ht="29.25" customHeight="1">
      <c r="A715" s="109"/>
      <c r="B715" s="109"/>
      <c r="C715" s="109"/>
      <c r="D715" s="109"/>
      <c r="E715" s="109"/>
      <c r="F715" s="109"/>
      <c r="G715" s="317"/>
      <c r="H715" s="109"/>
      <c r="I715" s="109"/>
      <c r="J715" s="109"/>
      <c r="K715" s="109"/>
      <c r="L715" s="109"/>
      <c r="M715" s="109"/>
      <c r="N715" s="109"/>
      <c r="O715" s="109"/>
      <c r="P715" s="109"/>
      <c r="Q715" s="109"/>
      <c r="R715" s="109"/>
      <c r="S715" s="109"/>
      <c r="T715" s="109"/>
      <c r="U715" s="109"/>
      <c r="V715" s="109"/>
      <c r="W715" s="109"/>
      <c r="X715" s="109"/>
      <c r="Y715" s="109"/>
      <c r="Z715" s="109"/>
    </row>
    <row r="716" ht="29.25" customHeight="1">
      <c r="A716" s="109"/>
      <c r="B716" s="109"/>
      <c r="C716" s="109"/>
      <c r="D716" s="109"/>
      <c r="E716" s="109"/>
      <c r="F716" s="109"/>
      <c r="G716" s="317"/>
      <c r="H716" s="109"/>
      <c r="I716" s="109"/>
      <c r="J716" s="109"/>
      <c r="K716" s="109"/>
      <c r="L716" s="109"/>
      <c r="M716" s="109"/>
      <c r="N716" s="109"/>
      <c r="O716" s="109"/>
      <c r="P716" s="109"/>
      <c r="Q716" s="109"/>
      <c r="R716" s="109"/>
      <c r="S716" s="109"/>
      <c r="T716" s="109"/>
      <c r="U716" s="109"/>
      <c r="V716" s="109"/>
      <c r="W716" s="109"/>
      <c r="X716" s="109"/>
      <c r="Y716" s="109"/>
      <c r="Z716" s="109"/>
    </row>
    <row r="717" ht="29.25" customHeight="1">
      <c r="A717" s="109"/>
      <c r="B717" s="109"/>
      <c r="C717" s="109"/>
      <c r="D717" s="109"/>
      <c r="E717" s="109"/>
      <c r="F717" s="109"/>
      <c r="G717" s="317"/>
      <c r="H717" s="109"/>
      <c r="I717" s="109"/>
      <c r="J717" s="109"/>
      <c r="K717" s="109"/>
      <c r="L717" s="109"/>
      <c r="M717" s="109"/>
      <c r="N717" s="109"/>
      <c r="O717" s="109"/>
      <c r="P717" s="109"/>
      <c r="Q717" s="109"/>
      <c r="R717" s="109"/>
      <c r="S717" s="109"/>
      <c r="T717" s="109"/>
      <c r="U717" s="109"/>
      <c r="V717" s="109"/>
      <c r="W717" s="109"/>
      <c r="X717" s="109"/>
      <c r="Y717" s="109"/>
      <c r="Z717" s="109"/>
    </row>
    <row r="718" ht="29.25" customHeight="1">
      <c r="A718" s="109"/>
      <c r="B718" s="109"/>
      <c r="C718" s="109"/>
      <c r="D718" s="109"/>
      <c r="E718" s="109"/>
      <c r="F718" s="109"/>
      <c r="G718" s="317"/>
      <c r="H718" s="109"/>
      <c r="I718" s="109"/>
      <c r="J718" s="109"/>
      <c r="K718" s="109"/>
      <c r="L718" s="109"/>
      <c r="M718" s="109"/>
      <c r="N718" s="109"/>
      <c r="O718" s="109"/>
      <c r="P718" s="109"/>
      <c r="Q718" s="109"/>
      <c r="R718" s="109"/>
      <c r="S718" s="109"/>
      <c r="T718" s="109"/>
      <c r="U718" s="109"/>
      <c r="V718" s="109"/>
      <c r="W718" s="109"/>
      <c r="X718" s="109"/>
      <c r="Y718" s="109"/>
      <c r="Z718" s="109"/>
    </row>
    <row r="719" ht="29.25" customHeight="1">
      <c r="A719" s="109"/>
      <c r="B719" s="109"/>
      <c r="C719" s="109"/>
      <c r="D719" s="109"/>
      <c r="E719" s="109"/>
      <c r="F719" s="109"/>
      <c r="G719" s="317"/>
      <c r="H719" s="109"/>
      <c r="I719" s="109"/>
      <c r="J719" s="109"/>
      <c r="K719" s="109"/>
      <c r="L719" s="109"/>
      <c r="M719" s="109"/>
      <c r="N719" s="109"/>
      <c r="O719" s="109"/>
      <c r="P719" s="109"/>
      <c r="Q719" s="109"/>
      <c r="R719" s="109"/>
      <c r="S719" s="109"/>
      <c r="T719" s="109"/>
      <c r="U719" s="109"/>
      <c r="V719" s="109"/>
      <c r="W719" s="109"/>
      <c r="X719" s="109"/>
      <c r="Y719" s="109"/>
      <c r="Z719" s="109"/>
    </row>
    <row r="720" ht="29.25" customHeight="1">
      <c r="A720" s="109"/>
      <c r="B720" s="109"/>
      <c r="C720" s="109"/>
      <c r="D720" s="109"/>
      <c r="E720" s="109"/>
      <c r="F720" s="109"/>
      <c r="G720" s="317"/>
      <c r="H720" s="109"/>
      <c r="I720" s="109"/>
      <c r="J720" s="109"/>
      <c r="K720" s="109"/>
      <c r="L720" s="109"/>
      <c r="M720" s="109"/>
      <c r="N720" s="109"/>
      <c r="O720" s="109"/>
      <c r="P720" s="109"/>
      <c r="Q720" s="109"/>
      <c r="R720" s="109"/>
      <c r="S720" s="109"/>
      <c r="T720" s="109"/>
      <c r="U720" s="109"/>
      <c r="V720" s="109"/>
      <c r="W720" s="109"/>
      <c r="X720" s="109"/>
      <c r="Y720" s="109"/>
      <c r="Z720" s="109"/>
    </row>
    <row r="721" ht="29.25" customHeight="1">
      <c r="A721" s="109"/>
      <c r="B721" s="109"/>
      <c r="C721" s="109"/>
      <c r="D721" s="109"/>
      <c r="E721" s="109"/>
      <c r="F721" s="109"/>
      <c r="G721" s="317"/>
      <c r="H721" s="109"/>
      <c r="I721" s="109"/>
      <c r="J721" s="109"/>
      <c r="K721" s="109"/>
      <c r="L721" s="109"/>
      <c r="M721" s="109"/>
      <c r="N721" s="109"/>
      <c r="O721" s="109"/>
      <c r="P721" s="109"/>
      <c r="Q721" s="109"/>
      <c r="R721" s="109"/>
      <c r="S721" s="109"/>
      <c r="T721" s="109"/>
      <c r="U721" s="109"/>
      <c r="V721" s="109"/>
      <c r="W721" s="109"/>
      <c r="X721" s="109"/>
      <c r="Y721" s="109"/>
      <c r="Z721" s="109"/>
    </row>
    <row r="722" ht="29.25" customHeight="1">
      <c r="A722" s="109"/>
      <c r="B722" s="109"/>
      <c r="C722" s="109"/>
      <c r="D722" s="109"/>
      <c r="E722" s="109"/>
      <c r="F722" s="109"/>
      <c r="G722" s="317"/>
      <c r="H722" s="109"/>
      <c r="I722" s="109"/>
      <c r="J722" s="109"/>
      <c r="K722" s="109"/>
      <c r="L722" s="109"/>
      <c r="M722" s="109"/>
      <c r="N722" s="109"/>
      <c r="O722" s="109"/>
      <c r="P722" s="109"/>
      <c r="Q722" s="109"/>
      <c r="R722" s="109"/>
      <c r="S722" s="109"/>
      <c r="T722" s="109"/>
      <c r="U722" s="109"/>
      <c r="V722" s="109"/>
      <c r="W722" s="109"/>
      <c r="X722" s="109"/>
      <c r="Y722" s="109"/>
      <c r="Z722" s="109"/>
    </row>
    <row r="723" ht="29.25" customHeight="1">
      <c r="A723" s="109"/>
      <c r="B723" s="109"/>
      <c r="C723" s="109"/>
      <c r="D723" s="109"/>
      <c r="E723" s="109"/>
      <c r="F723" s="109"/>
      <c r="G723" s="317"/>
      <c r="H723" s="109"/>
      <c r="I723" s="109"/>
      <c r="J723" s="109"/>
      <c r="K723" s="109"/>
      <c r="L723" s="109"/>
      <c r="M723" s="109"/>
      <c r="N723" s="109"/>
      <c r="O723" s="109"/>
      <c r="P723" s="109"/>
      <c r="Q723" s="109"/>
      <c r="R723" s="109"/>
      <c r="S723" s="109"/>
      <c r="T723" s="109"/>
      <c r="U723" s="109"/>
      <c r="V723" s="109"/>
      <c r="W723" s="109"/>
      <c r="X723" s="109"/>
      <c r="Y723" s="109"/>
      <c r="Z723" s="109"/>
    </row>
    <row r="724" ht="29.25" customHeight="1">
      <c r="A724" s="109"/>
      <c r="B724" s="109"/>
      <c r="C724" s="109"/>
      <c r="D724" s="109"/>
      <c r="E724" s="109"/>
      <c r="F724" s="109"/>
      <c r="G724" s="317"/>
      <c r="H724" s="109"/>
      <c r="I724" s="109"/>
      <c r="J724" s="109"/>
      <c r="K724" s="109"/>
      <c r="L724" s="109"/>
      <c r="M724" s="109"/>
      <c r="N724" s="109"/>
      <c r="O724" s="109"/>
      <c r="P724" s="109"/>
      <c r="Q724" s="109"/>
      <c r="R724" s="109"/>
      <c r="S724" s="109"/>
      <c r="T724" s="109"/>
      <c r="U724" s="109"/>
      <c r="V724" s="109"/>
      <c r="W724" s="109"/>
      <c r="X724" s="109"/>
      <c r="Y724" s="109"/>
      <c r="Z724" s="109"/>
    </row>
    <row r="725" ht="29.25" customHeight="1">
      <c r="A725" s="109"/>
      <c r="B725" s="109"/>
      <c r="C725" s="109"/>
      <c r="D725" s="109"/>
      <c r="E725" s="109"/>
      <c r="F725" s="109"/>
      <c r="G725" s="317"/>
      <c r="H725" s="109"/>
      <c r="I725" s="109"/>
      <c r="J725" s="109"/>
      <c r="K725" s="109"/>
      <c r="L725" s="109"/>
      <c r="M725" s="109"/>
      <c r="N725" s="109"/>
      <c r="O725" s="109"/>
      <c r="P725" s="109"/>
      <c r="Q725" s="109"/>
      <c r="R725" s="109"/>
      <c r="S725" s="109"/>
      <c r="T725" s="109"/>
      <c r="U725" s="109"/>
      <c r="V725" s="109"/>
      <c r="W725" s="109"/>
      <c r="X725" s="109"/>
      <c r="Y725" s="109"/>
      <c r="Z725" s="109"/>
    </row>
    <row r="726" ht="29.25" customHeight="1">
      <c r="A726" s="109"/>
      <c r="B726" s="109"/>
      <c r="C726" s="109"/>
      <c r="D726" s="109"/>
      <c r="E726" s="109"/>
      <c r="F726" s="109"/>
      <c r="G726" s="317"/>
      <c r="H726" s="109"/>
      <c r="I726" s="109"/>
      <c r="J726" s="109"/>
      <c r="K726" s="109"/>
      <c r="L726" s="109"/>
      <c r="M726" s="109"/>
      <c r="N726" s="109"/>
      <c r="O726" s="109"/>
      <c r="P726" s="109"/>
      <c r="Q726" s="109"/>
      <c r="R726" s="109"/>
      <c r="S726" s="109"/>
      <c r="T726" s="109"/>
      <c r="U726" s="109"/>
      <c r="V726" s="109"/>
      <c r="W726" s="109"/>
      <c r="X726" s="109"/>
      <c r="Y726" s="109"/>
      <c r="Z726" s="109"/>
    </row>
    <row r="727" ht="29.25" customHeight="1">
      <c r="A727" s="109"/>
      <c r="B727" s="109"/>
      <c r="C727" s="109"/>
      <c r="D727" s="109"/>
      <c r="E727" s="109"/>
      <c r="F727" s="109"/>
      <c r="G727" s="317"/>
      <c r="H727" s="109"/>
      <c r="I727" s="109"/>
      <c r="J727" s="109"/>
      <c r="K727" s="109"/>
      <c r="L727" s="109"/>
      <c r="M727" s="109"/>
      <c r="N727" s="109"/>
      <c r="O727" s="109"/>
      <c r="P727" s="109"/>
      <c r="Q727" s="109"/>
      <c r="R727" s="109"/>
      <c r="S727" s="109"/>
      <c r="T727" s="109"/>
      <c r="U727" s="109"/>
      <c r="V727" s="109"/>
      <c r="W727" s="109"/>
      <c r="X727" s="109"/>
      <c r="Y727" s="109"/>
      <c r="Z727" s="109"/>
    </row>
    <row r="728" ht="29.25" customHeight="1">
      <c r="A728" s="109"/>
      <c r="B728" s="109"/>
      <c r="C728" s="109"/>
      <c r="D728" s="109"/>
      <c r="E728" s="109"/>
      <c r="F728" s="109"/>
      <c r="G728" s="317"/>
      <c r="H728" s="109"/>
      <c r="I728" s="109"/>
      <c r="J728" s="109"/>
      <c r="K728" s="109"/>
      <c r="L728" s="109"/>
      <c r="M728" s="109"/>
      <c r="N728" s="109"/>
      <c r="O728" s="109"/>
      <c r="P728" s="109"/>
      <c r="Q728" s="109"/>
      <c r="R728" s="109"/>
      <c r="S728" s="109"/>
      <c r="T728" s="109"/>
      <c r="U728" s="109"/>
      <c r="V728" s="109"/>
      <c r="W728" s="109"/>
      <c r="X728" s="109"/>
      <c r="Y728" s="109"/>
      <c r="Z728" s="109"/>
    </row>
    <row r="729" ht="29.25" customHeight="1">
      <c r="A729" s="109"/>
      <c r="B729" s="109"/>
      <c r="C729" s="109"/>
      <c r="D729" s="109"/>
      <c r="E729" s="109"/>
      <c r="F729" s="109"/>
      <c r="G729" s="317"/>
      <c r="H729" s="109"/>
      <c r="I729" s="109"/>
      <c r="J729" s="109"/>
      <c r="K729" s="109"/>
      <c r="L729" s="109"/>
      <c r="M729" s="109"/>
      <c r="N729" s="109"/>
      <c r="O729" s="109"/>
      <c r="P729" s="109"/>
      <c r="Q729" s="109"/>
      <c r="R729" s="109"/>
      <c r="S729" s="109"/>
      <c r="T729" s="109"/>
      <c r="U729" s="109"/>
      <c r="V729" s="109"/>
      <c r="W729" s="109"/>
      <c r="X729" s="109"/>
      <c r="Y729" s="109"/>
      <c r="Z729" s="109"/>
    </row>
    <row r="730" ht="29.25" customHeight="1">
      <c r="A730" s="109"/>
      <c r="B730" s="109"/>
      <c r="C730" s="109"/>
      <c r="D730" s="109"/>
      <c r="E730" s="109"/>
      <c r="F730" s="109"/>
      <c r="G730" s="317"/>
      <c r="H730" s="109"/>
      <c r="I730" s="109"/>
      <c r="J730" s="109"/>
      <c r="K730" s="109"/>
      <c r="L730" s="109"/>
      <c r="M730" s="109"/>
      <c r="N730" s="109"/>
      <c r="O730" s="109"/>
      <c r="P730" s="109"/>
      <c r="Q730" s="109"/>
      <c r="R730" s="109"/>
      <c r="S730" s="109"/>
      <c r="T730" s="109"/>
      <c r="U730" s="109"/>
      <c r="V730" s="109"/>
      <c r="W730" s="109"/>
      <c r="X730" s="109"/>
      <c r="Y730" s="109"/>
      <c r="Z730" s="109"/>
    </row>
    <row r="731" ht="29.25" customHeight="1">
      <c r="A731" s="109"/>
      <c r="B731" s="109"/>
      <c r="C731" s="109"/>
      <c r="D731" s="109"/>
      <c r="E731" s="109"/>
      <c r="F731" s="109"/>
      <c r="G731" s="317"/>
      <c r="H731" s="109"/>
      <c r="I731" s="109"/>
      <c r="J731" s="109"/>
      <c r="K731" s="109"/>
      <c r="L731" s="109"/>
      <c r="M731" s="109"/>
      <c r="N731" s="109"/>
      <c r="O731" s="109"/>
      <c r="P731" s="109"/>
      <c r="Q731" s="109"/>
      <c r="R731" s="109"/>
      <c r="S731" s="109"/>
      <c r="T731" s="109"/>
      <c r="U731" s="109"/>
      <c r="V731" s="109"/>
      <c r="W731" s="109"/>
      <c r="X731" s="109"/>
      <c r="Y731" s="109"/>
      <c r="Z731" s="109"/>
    </row>
    <row r="732" ht="29.25" customHeight="1">
      <c r="A732" s="109"/>
      <c r="B732" s="109"/>
      <c r="C732" s="109"/>
      <c r="D732" s="109"/>
      <c r="E732" s="109"/>
      <c r="F732" s="109"/>
      <c r="G732" s="317"/>
      <c r="H732" s="109"/>
      <c r="I732" s="109"/>
      <c r="J732" s="109"/>
      <c r="K732" s="109"/>
      <c r="L732" s="109"/>
      <c r="M732" s="109"/>
      <c r="N732" s="109"/>
      <c r="O732" s="109"/>
      <c r="P732" s="109"/>
      <c r="Q732" s="109"/>
      <c r="R732" s="109"/>
      <c r="S732" s="109"/>
      <c r="T732" s="109"/>
      <c r="U732" s="109"/>
      <c r="V732" s="109"/>
      <c r="W732" s="109"/>
      <c r="X732" s="109"/>
      <c r="Y732" s="109"/>
      <c r="Z732" s="109"/>
    </row>
    <row r="733" ht="29.25" customHeight="1">
      <c r="A733" s="109"/>
      <c r="B733" s="109"/>
      <c r="C733" s="109"/>
      <c r="D733" s="109"/>
      <c r="E733" s="109"/>
      <c r="F733" s="109"/>
      <c r="G733" s="317"/>
      <c r="H733" s="109"/>
      <c r="I733" s="109"/>
      <c r="J733" s="109"/>
      <c r="K733" s="109"/>
      <c r="L733" s="109"/>
      <c r="M733" s="109"/>
      <c r="N733" s="109"/>
      <c r="O733" s="109"/>
      <c r="P733" s="109"/>
      <c r="Q733" s="109"/>
      <c r="R733" s="109"/>
      <c r="S733" s="109"/>
      <c r="T733" s="109"/>
      <c r="U733" s="109"/>
      <c r="V733" s="109"/>
      <c r="W733" s="109"/>
      <c r="X733" s="109"/>
      <c r="Y733" s="109"/>
      <c r="Z733" s="109"/>
    </row>
    <row r="734" ht="29.25" customHeight="1">
      <c r="A734" s="109"/>
      <c r="B734" s="109"/>
      <c r="C734" s="109"/>
      <c r="D734" s="109"/>
      <c r="E734" s="109"/>
      <c r="F734" s="109"/>
      <c r="G734" s="317"/>
      <c r="H734" s="109"/>
      <c r="I734" s="109"/>
      <c r="J734" s="109"/>
      <c r="K734" s="109"/>
      <c r="L734" s="109"/>
      <c r="M734" s="109"/>
      <c r="N734" s="109"/>
      <c r="O734" s="109"/>
      <c r="P734" s="109"/>
      <c r="Q734" s="109"/>
      <c r="R734" s="109"/>
      <c r="S734" s="109"/>
      <c r="T734" s="109"/>
      <c r="U734" s="109"/>
      <c r="V734" s="109"/>
      <c r="W734" s="109"/>
      <c r="X734" s="109"/>
      <c r="Y734" s="109"/>
      <c r="Z734" s="109"/>
    </row>
    <row r="735" ht="29.25" customHeight="1">
      <c r="A735" s="109"/>
      <c r="B735" s="109"/>
      <c r="C735" s="109"/>
      <c r="D735" s="109"/>
      <c r="E735" s="109"/>
      <c r="F735" s="109"/>
      <c r="G735" s="317"/>
      <c r="H735" s="109"/>
      <c r="I735" s="109"/>
      <c r="J735" s="109"/>
      <c r="K735" s="109"/>
      <c r="L735" s="109"/>
      <c r="M735" s="109"/>
      <c r="N735" s="109"/>
      <c r="O735" s="109"/>
      <c r="P735" s="109"/>
      <c r="Q735" s="109"/>
      <c r="R735" s="109"/>
      <c r="S735" s="109"/>
      <c r="T735" s="109"/>
      <c r="U735" s="109"/>
      <c r="V735" s="109"/>
      <c r="W735" s="109"/>
      <c r="X735" s="109"/>
      <c r="Y735" s="109"/>
      <c r="Z735" s="109"/>
    </row>
    <row r="736" ht="29.25" customHeight="1">
      <c r="A736" s="109"/>
      <c r="B736" s="109"/>
      <c r="C736" s="109"/>
      <c r="D736" s="109"/>
      <c r="E736" s="109"/>
      <c r="F736" s="109"/>
      <c r="G736" s="317"/>
      <c r="H736" s="109"/>
      <c r="I736" s="109"/>
      <c r="J736" s="109"/>
      <c r="K736" s="109"/>
      <c r="L736" s="109"/>
      <c r="M736" s="109"/>
      <c r="N736" s="109"/>
      <c r="O736" s="109"/>
      <c r="P736" s="109"/>
      <c r="Q736" s="109"/>
      <c r="R736" s="109"/>
      <c r="S736" s="109"/>
      <c r="T736" s="109"/>
      <c r="U736" s="109"/>
      <c r="V736" s="109"/>
      <c r="W736" s="109"/>
      <c r="X736" s="109"/>
      <c r="Y736" s="109"/>
      <c r="Z736" s="109"/>
    </row>
    <row r="737" ht="29.25" customHeight="1">
      <c r="A737" s="109"/>
      <c r="B737" s="109"/>
      <c r="C737" s="109"/>
      <c r="D737" s="109"/>
      <c r="E737" s="109"/>
      <c r="F737" s="109"/>
      <c r="G737" s="317"/>
      <c r="H737" s="109"/>
      <c r="I737" s="109"/>
      <c r="J737" s="109"/>
      <c r="K737" s="109"/>
      <c r="L737" s="109"/>
      <c r="M737" s="109"/>
      <c r="N737" s="109"/>
      <c r="O737" s="109"/>
      <c r="P737" s="109"/>
      <c r="Q737" s="109"/>
      <c r="R737" s="109"/>
      <c r="S737" s="109"/>
      <c r="T737" s="109"/>
      <c r="U737" s="109"/>
      <c r="V737" s="109"/>
      <c r="W737" s="109"/>
      <c r="X737" s="109"/>
      <c r="Y737" s="109"/>
      <c r="Z737" s="109"/>
    </row>
    <row r="738" ht="29.25" customHeight="1">
      <c r="A738" s="109"/>
      <c r="B738" s="109"/>
      <c r="C738" s="109"/>
      <c r="D738" s="109"/>
      <c r="E738" s="109"/>
      <c r="F738" s="109"/>
      <c r="G738" s="317"/>
      <c r="H738" s="109"/>
      <c r="I738" s="109"/>
      <c r="J738" s="109"/>
      <c r="K738" s="109"/>
      <c r="L738" s="109"/>
      <c r="M738" s="109"/>
      <c r="N738" s="109"/>
      <c r="O738" s="109"/>
      <c r="P738" s="109"/>
      <c r="Q738" s="109"/>
      <c r="R738" s="109"/>
      <c r="S738" s="109"/>
      <c r="T738" s="109"/>
      <c r="U738" s="109"/>
      <c r="V738" s="109"/>
      <c r="W738" s="109"/>
      <c r="X738" s="109"/>
      <c r="Y738" s="109"/>
      <c r="Z738" s="109"/>
    </row>
    <row r="739" ht="29.25" customHeight="1">
      <c r="A739" s="109"/>
      <c r="B739" s="109"/>
      <c r="C739" s="109"/>
      <c r="D739" s="109"/>
      <c r="E739" s="109"/>
      <c r="F739" s="109"/>
      <c r="G739" s="317"/>
      <c r="H739" s="109"/>
      <c r="I739" s="109"/>
      <c r="J739" s="109"/>
      <c r="K739" s="109"/>
      <c r="L739" s="109"/>
      <c r="M739" s="109"/>
      <c r="N739" s="109"/>
      <c r="O739" s="109"/>
      <c r="P739" s="109"/>
      <c r="Q739" s="109"/>
      <c r="R739" s="109"/>
      <c r="S739" s="109"/>
      <c r="T739" s="109"/>
      <c r="U739" s="109"/>
      <c r="V739" s="109"/>
      <c r="W739" s="109"/>
      <c r="X739" s="109"/>
      <c r="Y739" s="109"/>
      <c r="Z739" s="109"/>
    </row>
    <row r="740" ht="29.25" customHeight="1">
      <c r="A740" s="109"/>
      <c r="B740" s="109"/>
      <c r="C740" s="109"/>
      <c r="D740" s="109"/>
      <c r="E740" s="109"/>
      <c r="F740" s="109"/>
      <c r="G740" s="317"/>
      <c r="H740" s="109"/>
      <c r="I740" s="109"/>
      <c r="J740" s="109"/>
      <c r="K740" s="109"/>
      <c r="L740" s="109"/>
      <c r="M740" s="109"/>
      <c r="N740" s="109"/>
      <c r="O740" s="109"/>
      <c r="P740" s="109"/>
      <c r="Q740" s="109"/>
      <c r="R740" s="109"/>
      <c r="S740" s="109"/>
      <c r="T740" s="109"/>
      <c r="U740" s="109"/>
      <c r="V740" s="109"/>
      <c r="W740" s="109"/>
      <c r="X740" s="109"/>
      <c r="Y740" s="109"/>
      <c r="Z740" s="109"/>
    </row>
    <row r="741" ht="29.25" customHeight="1">
      <c r="A741" s="109"/>
      <c r="B741" s="109"/>
      <c r="C741" s="109"/>
      <c r="D741" s="109"/>
      <c r="E741" s="109"/>
      <c r="F741" s="109"/>
      <c r="G741" s="317"/>
      <c r="H741" s="109"/>
      <c r="I741" s="109"/>
      <c r="J741" s="109"/>
      <c r="K741" s="109"/>
      <c r="L741" s="109"/>
      <c r="M741" s="109"/>
      <c r="N741" s="109"/>
      <c r="O741" s="109"/>
      <c r="P741" s="109"/>
      <c r="Q741" s="109"/>
      <c r="R741" s="109"/>
      <c r="S741" s="109"/>
      <c r="T741" s="109"/>
      <c r="U741" s="109"/>
      <c r="V741" s="109"/>
      <c r="W741" s="109"/>
      <c r="X741" s="109"/>
      <c r="Y741" s="109"/>
      <c r="Z741" s="109"/>
    </row>
    <row r="742" ht="29.25" customHeight="1">
      <c r="A742" s="109"/>
      <c r="B742" s="109"/>
      <c r="C742" s="109"/>
      <c r="D742" s="109"/>
      <c r="E742" s="109"/>
      <c r="F742" s="109"/>
      <c r="G742" s="317"/>
      <c r="H742" s="109"/>
      <c r="I742" s="109"/>
      <c r="J742" s="109"/>
      <c r="K742" s="109"/>
      <c r="L742" s="109"/>
      <c r="M742" s="109"/>
      <c r="N742" s="109"/>
      <c r="O742" s="109"/>
      <c r="P742" s="109"/>
      <c r="Q742" s="109"/>
      <c r="R742" s="109"/>
      <c r="S742" s="109"/>
      <c r="T742" s="109"/>
      <c r="U742" s="109"/>
      <c r="V742" s="109"/>
      <c r="W742" s="109"/>
      <c r="X742" s="109"/>
      <c r="Y742" s="109"/>
      <c r="Z742" s="109"/>
    </row>
    <row r="743" ht="29.25" customHeight="1">
      <c r="A743" s="109"/>
      <c r="B743" s="109"/>
      <c r="C743" s="109"/>
      <c r="D743" s="109"/>
      <c r="E743" s="109"/>
      <c r="F743" s="109"/>
      <c r="G743" s="317"/>
      <c r="H743" s="109"/>
      <c r="I743" s="109"/>
      <c r="J743" s="109"/>
      <c r="K743" s="109"/>
      <c r="L743" s="109"/>
      <c r="M743" s="109"/>
      <c r="N743" s="109"/>
      <c r="O743" s="109"/>
      <c r="P743" s="109"/>
      <c r="Q743" s="109"/>
      <c r="R743" s="109"/>
      <c r="S743" s="109"/>
      <c r="T743" s="109"/>
      <c r="U743" s="109"/>
      <c r="V743" s="109"/>
      <c r="W743" s="109"/>
      <c r="X743" s="109"/>
      <c r="Y743" s="109"/>
      <c r="Z743" s="109"/>
    </row>
    <row r="744" ht="29.25" customHeight="1">
      <c r="A744" s="109"/>
      <c r="B744" s="109"/>
      <c r="C744" s="109"/>
      <c r="D744" s="109"/>
      <c r="E744" s="109"/>
      <c r="F744" s="109"/>
      <c r="G744" s="317"/>
      <c r="H744" s="109"/>
      <c r="I744" s="109"/>
      <c r="J744" s="109"/>
      <c r="K744" s="109"/>
      <c r="L744" s="109"/>
      <c r="M744" s="109"/>
      <c r="N744" s="109"/>
      <c r="O744" s="109"/>
      <c r="P744" s="109"/>
      <c r="Q744" s="109"/>
      <c r="R744" s="109"/>
      <c r="S744" s="109"/>
      <c r="T744" s="109"/>
      <c r="U744" s="109"/>
      <c r="V744" s="109"/>
      <c r="W744" s="109"/>
      <c r="X744" s="109"/>
      <c r="Y744" s="109"/>
      <c r="Z744" s="109"/>
    </row>
    <row r="745" ht="29.25" customHeight="1">
      <c r="A745" s="109"/>
      <c r="B745" s="109"/>
      <c r="C745" s="109"/>
      <c r="D745" s="109"/>
      <c r="E745" s="109"/>
      <c r="F745" s="109"/>
      <c r="G745" s="317"/>
      <c r="H745" s="109"/>
      <c r="I745" s="109"/>
      <c r="J745" s="109"/>
      <c r="K745" s="109"/>
      <c r="L745" s="109"/>
      <c r="M745" s="109"/>
      <c r="N745" s="109"/>
      <c r="O745" s="109"/>
      <c r="P745" s="109"/>
      <c r="Q745" s="109"/>
      <c r="R745" s="109"/>
      <c r="S745" s="109"/>
      <c r="T745" s="109"/>
      <c r="U745" s="109"/>
      <c r="V745" s="109"/>
      <c r="W745" s="109"/>
      <c r="X745" s="109"/>
      <c r="Y745" s="109"/>
      <c r="Z745" s="109"/>
    </row>
    <row r="746" ht="29.25" customHeight="1">
      <c r="A746" s="109"/>
      <c r="B746" s="109"/>
      <c r="C746" s="109"/>
      <c r="D746" s="109"/>
      <c r="E746" s="109"/>
      <c r="F746" s="109"/>
      <c r="G746" s="317"/>
      <c r="H746" s="109"/>
      <c r="I746" s="109"/>
      <c r="J746" s="109"/>
      <c r="K746" s="109"/>
      <c r="L746" s="109"/>
      <c r="M746" s="109"/>
      <c r="N746" s="109"/>
      <c r="O746" s="109"/>
      <c r="P746" s="109"/>
      <c r="Q746" s="109"/>
      <c r="R746" s="109"/>
      <c r="S746" s="109"/>
      <c r="T746" s="109"/>
      <c r="U746" s="109"/>
      <c r="V746" s="109"/>
      <c r="W746" s="109"/>
      <c r="X746" s="109"/>
      <c r="Y746" s="109"/>
      <c r="Z746" s="109"/>
    </row>
    <row r="747" ht="29.25" customHeight="1">
      <c r="A747" s="109"/>
      <c r="B747" s="109"/>
      <c r="C747" s="109"/>
      <c r="D747" s="109"/>
      <c r="E747" s="109"/>
      <c r="F747" s="109"/>
      <c r="G747" s="317"/>
      <c r="H747" s="109"/>
      <c r="I747" s="109"/>
      <c r="J747" s="109"/>
      <c r="K747" s="109"/>
      <c r="L747" s="109"/>
      <c r="M747" s="109"/>
      <c r="N747" s="109"/>
      <c r="O747" s="109"/>
      <c r="P747" s="109"/>
      <c r="Q747" s="109"/>
      <c r="R747" s="109"/>
      <c r="S747" s="109"/>
      <c r="T747" s="109"/>
      <c r="U747" s="109"/>
      <c r="V747" s="109"/>
      <c r="W747" s="109"/>
      <c r="X747" s="109"/>
      <c r="Y747" s="109"/>
      <c r="Z747" s="109"/>
    </row>
    <row r="748" ht="29.25" customHeight="1">
      <c r="A748" s="109"/>
      <c r="B748" s="109"/>
      <c r="C748" s="109"/>
      <c r="D748" s="109"/>
      <c r="E748" s="109"/>
      <c r="F748" s="109"/>
      <c r="G748" s="317"/>
      <c r="H748" s="109"/>
      <c r="I748" s="109"/>
      <c r="J748" s="109"/>
      <c r="K748" s="109"/>
      <c r="L748" s="109"/>
      <c r="M748" s="109"/>
      <c r="N748" s="109"/>
      <c r="O748" s="109"/>
      <c r="P748" s="109"/>
      <c r="Q748" s="109"/>
      <c r="R748" s="109"/>
      <c r="S748" s="109"/>
      <c r="T748" s="109"/>
      <c r="U748" s="109"/>
      <c r="V748" s="109"/>
      <c r="W748" s="109"/>
      <c r="X748" s="109"/>
      <c r="Y748" s="109"/>
      <c r="Z748" s="109"/>
    </row>
    <row r="749" ht="29.25" customHeight="1">
      <c r="A749" s="109"/>
      <c r="B749" s="109"/>
      <c r="C749" s="109"/>
      <c r="D749" s="109"/>
      <c r="E749" s="109"/>
      <c r="F749" s="109"/>
      <c r="G749" s="317"/>
      <c r="H749" s="109"/>
      <c r="I749" s="109"/>
      <c r="J749" s="109"/>
      <c r="K749" s="109"/>
      <c r="L749" s="109"/>
      <c r="M749" s="109"/>
      <c r="N749" s="109"/>
      <c r="O749" s="109"/>
      <c r="P749" s="109"/>
      <c r="Q749" s="109"/>
      <c r="R749" s="109"/>
      <c r="S749" s="109"/>
      <c r="T749" s="109"/>
      <c r="U749" s="109"/>
      <c r="V749" s="109"/>
      <c r="W749" s="109"/>
      <c r="X749" s="109"/>
      <c r="Y749" s="109"/>
      <c r="Z749" s="109"/>
    </row>
    <row r="750" ht="29.25" customHeight="1">
      <c r="A750" s="109"/>
      <c r="B750" s="109"/>
      <c r="C750" s="109"/>
      <c r="D750" s="109"/>
      <c r="E750" s="109"/>
      <c r="F750" s="109"/>
      <c r="G750" s="317"/>
      <c r="H750" s="109"/>
      <c r="I750" s="109"/>
      <c r="J750" s="109"/>
      <c r="K750" s="109"/>
      <c r="L750" s="109"/>
      <c r="M750" s="109"/>
      <c r="N750" s="109"/>
      <c r="O750" s="109"/>
      <c r="P750" s="109"/>
      <c r="Q750" s="109"/>
      <c r="R750" s="109"/>
      <c r="S750" s="109"/>
      <c r="T750" s="109"/>
      <c r="U750" s="109"/>
      <c r="V750" s="109"/>
      <c r="W750" s="109"/>
      <c r="X750" s="109"/>
      <c r="Y750" s="109"/>
      <c r="Z750" s="109"/>
    </row>
    <row r="751" ht="29.25" customHeight="1">
      <c r="A751" s="109"/>
      <c r="B751" s="109"/>
      <c r="C751" s="109"/>
      <c r="D751" s="109"/>
      <c r="E751" s="109"/>
      <c r="F751" s="109"/>
      <c r="G751" s="317"/>
      <c r="H751" s="109"/>
      <c r="I751" s="109"/>
      <c r="J751" s="109"/>
      <c r="K751" s="109"/>
      <c r="L751" s="109"/>
      <c r="M751" s="109"/>
      <c r="N751" s="109"/>
      <c r="O751" s="109"/>
      <c r="P751" s="109"/>
      <c r="Q751" s="109"/>
      <c r="R751" s="109"/>
      <c r="S751" s="109"/>
      <c r="T751" s="109"/>
      <c r="U751" s="109"/>
      <c r="V751" s="109"/>
      <c r="W751" s="109"/>
      <c r="X751" s="109"/>
      <c r="Y751" s="109"/>
      <c r="Z751" s="109"/>
    </row>
    <row r="752" ht="29.25" customHeight="1">
      <c r="A752" s="109"/>
      <c r="B752" s="109"/>
      <c r="C752" s="109"/>
      <c r="D752" s="109"/>
      <c r="E752" s="109"/>
      <c r="F752" s="109"/>
      <c r="G752" s="317"/>
      <c r="H752" s="109"/>
      <c r="I752" s="109"/>
      <c r="J752" s="109"/>
      <c r="K752" s="109"/>
      <c r="L752" s="109"/>
      <c r="M752" s="109"/>
      <c r="N752" s="109"/>
      <c r="O752" s="109"/>
      <c r="P752" s="109"/>
      <c r="Q752" s="109"/>
      <c r="R752" s="109"/>
      <c r="S752" s="109"/>
      <c r="T752" s="109"/>
      <c r="U752" s="109"/>
      <c r="V752" s="109"/>
      <c r="W752" s="109"/>
      <c r="X752" s="109"/>
      <c r="Y752" s="109"/>
      <c r="Z752" s="109"/>
    </row>
    <row r="753" ht="29.25" customHeight="1">
      <c r="A753" s="109"/>
      <c r="B753" s="109"/>
      <c r="C753" s="109"/>
      <c r="D753" s="109"/>
      <c r="E753" s="109"/>
      <c r="F753" s="109"/>
      <c r="G753" s="317"/>
      <c r="H753" s="109"/>
      <c r="I753" s="109"/>
      <c r="J753" s="109"/>
      <c r="K753" s="109"/>
      <c r="L753" s="109"/>
      <c r="M753" s="109"/>
      <c r="N753" s="109"/>
      <c r="O753" s="109"/>
      <c r="P753" s="109"/>
      <c r="Q753" s="109"/>
      <c r="R753" s="109"/>
      <c r="S753" s="109"/>
      <c r="T753" s="109"/>
      <c r="U753" s="109"/>
      <c r="V753" s="109"/>
      <c r="W753" s="109"/>
      <c r="X753" s="109"/>
      <c r="Y753" s="109"/>
      <c r="Z753" s="109"/>
    </row>
    <row r="754" ht="29.25" customHeight="1">
      <c r="A754" s="109"/>
      <c r="B754" s="109"/>
      <c r="C754" s="109"/>
      <c r="D754" s="109"/>
      <c r="E754" s="109"/>
      <c r="F754" s="109"/>
      <c r="G754" s="317"/>
      <c r="H754" s="109"/>
      <c r="I754" s="109"/>
      <c r="J754" s="109"/>
      <c r="K754" s="109"/>
      <c r="L754" s="109"/>
      <c r="M754" s="109"/>
      <c r="N754" s="109"/>
      <c r="O754" s="109"/>
      <c r="P754" s="109"/>
      <c r="Q754" s="109"/>
      <c r="R754" s="109"/>
      <c r="S754" s="109"/>
      <c r="T754" s="109"/>
      <c r="U754" s="109"/>
      <c r="V754" s="109"/>
      <c r="W754" s="109"/>
      <c r="X754" s="109"/>
      <c r="Y754" s="109"/>
      <c r="Z754" s="109"/>
    </row>
    <row r="755" ht="29.25" customHeight="1">
      <c r="A755" s="109"/>
      <c r="B755" s="109"/>
      <c r="C755" s="109"/>
      <c r="D755" s="109"/>
      <c r="E755" s="109"/>
      <c r="F755" s="109"/>
      <c r="G755" s="317"/>
      <c r="H755" s="109"/>
      <c r="I755" s="109"/>
      <c r="J755" s="109"/>
      <c r="K755" s="109"/>
      <c r="L755" s="109"/>
      <c r="M755" s="109"/>
      <c r="N755" s="109"/>
      <c r="O755" s="109"/>
      <c r="P755" s="109"/>
      <c r="Q755" s="109"/>
      <c r="R755" s="109"/>
      <c r="S755" s="109"/>
      <c r="T755" s="109"/>
      <c r="U755" s="109"/>
      <c r="V755" s="109"/>
      <c r="W755" s="109"/>
      <c r="X755" s="109"/>
      <c r="Y755" s="109"/>
      <c r="Z755" s="109"/>
    </row>
    <row r="756" ht="29.25" customHeight="1">
      <c r="A756" s="109"/>
      <c r="B756" s="109"/>
      <c r="C756" s="109"/>
      <c r="D756" s="109"/>
      <c r="E756" s="109"/>
      <c r="F756" s="109"/>
      <c r="G756" s="317"/>
      <c r="H756" s="109"/>
      <c r="I756" s="109"/>
      <c r="J756" s="109"/>
      <c r="K756" s="109"/>
      <c r="L756" s="109"/>
      <c r="M756" s="109"/>
      <c r="N756" s="109"/>
      <c r="O756" s="109"/>
      <c r="P756" s="109"/>
      <c r="Q756" s="109"/>
      <c r="R756" s="109"/>
      <c r="S756" s="109"/>
      <c r="T756" s="109"/>
      <c r="U756" s="109"/>
      <c r="V756" s="109"/>
      <c r="W756" s="109"/>
      <c r="X756" s="109"/>
      <c r="Y756" s="109"/>
      <c r="Z756" s="109"/>
    </row>
    <row r="757" ht="29.25" customHeight="1">
      <c r="A757" s="109"/>
      <c r="B757" s="109"/>
      <c r="C757" s="109"/>
      <c r="D757" s="109"/>
      <c r="E757" s="109"/>
      <c r="F757" s="109"/>
      <c r="G757" s="317"/>
      <c r="H757" s="109"/>
      <c r="I757" s="109"/>
      <c r="J757" s="109"/>
      <c r="K757" s="109"/>
      <c r="L757" s="109"/>
      <c r="M757" s="109"/>
      <c r="N757" s="109"/>
      <c r="O757" s="109"/>
      <c r="P757" s="109"/>
      <c r="Q757" s="109"/>
      <c r="R757" s="109"/>
      <c r="S757" s="109"/>
      <c r="T757" s="109"/>
      <c r="U757" s="109"/>
      <c r="V757" s="109"/>
      <c r="W757" s="109"/>
      <c r="X757" s="109"/>
      <c r="Y757" s="109"/>
      <c r="Z757" s="109"/>
    </row>
    <row r="758" ht="29.25" customHeight="1">
      <c r="A758" s="109"/>
      <c r="B758" s="109"/>
      <c r="C758" s="109"/>
      <c r="D758" s="109"/>
      <c r="E758" s="109"/>
      <c r="F758" s="109"/>
      <c r="G758" s="317"/>
      <c r="H758" s="109"/>
      <c r="I758" s="109"/>
      <c r="J758" s="109"/>
      <c r="K758" s="109"/>
      <c r="L758" s="109"/>
      <c r="M758" s="109"/>
      <c r="N758" s="109"/>
      <c r="O758" s="109"/>
      <c r="P758" s="109"/>
      <c r="Q758" s="109"/>
      <c r="R758" s="109"/>
      <c r="S758" s="109"/>
      <c r="T758" s="109"/>
      <c r="U758" s="109"/>
      <c r="V758" s="109"/>
      <c r="W758" s="109"/>
      <c r="X758" s="109"/>
      <c r="Y758" s="109"/>
      <c r="Z758" s="109"/>
    </row>
    <row r="759" ht="29.25" customHeight="1">
      <c r="A759" s="109"/>
      <c r="B759" s="109"/>
      <c r="C759" s="109"/>
      <c r="D759" s="109"/>
      <c r="E759" s="109"/>
      <c r="F759" s="109"/>
      <c r="G759" s="317"/>
      <c r="H759" s="109"/>
      <c r="I759" s="109"/>
      <c r="J759" s="109"/>
      <c r="K759" s="109"/>
      <c r="L759" s="109"/>
      <c r="M759" s="109"/>
      <c r="N759" s="109"/>
      <c r="O759" s="109"/>
      <c r="P759" s="109"/>
      <c r="Q759" s="109"/>
      <c r="R759" s="109"/>
      <c r="S759" s="109"/>
      <c r="T759" s="109"/>
      <c r="U759" s="109"/>
      <c r="V759" s="109"/>
      <c r="W759" s="109"/>
      <c r="X759" s="109"/>
      <c r="Y759" s="109"/>
      <c r="Z759" s="109"/>
    </row>
    <row r="760" ht="29.25" customHeight="1">
      <c r="A760" s="109"/>
      <c r="B760" s="109"/>
      <c r="C760" s="109"/>
      <c r="D760" s="109"/>
      <c r="E760" s="109"/>
      <c r="F760" s="109"/>
      <c r="G760" s="317"/>
      <c r="H760" s="109"/>
      <c r="I760" s="109"/>
      <c r="J760" s="109"/>
      <c r="K760" s="109"/>
      <c r="L760" s="109"/>
      <c r="M760" s="109"/>
      <c r="N760" s="109"/>
      <c r="O760" s="109"/>
      <c r="P760" s="109"/>
      <c r="Q760" s="109"/>
      <c r="R760" s="109"/>
      <c r="S760" s="109"/>
      <c r="T760" s="109"/>
      <c r="U760" s="109"/>
      <c r="V760" s="109"/>
      <c r="W760" s="109"/>
      <c r="X760" s="109"/>
      <c r="Y760" s="109"/>
      <c r="Z760" s="109"/>
    </row>
    <row r="761" ht="29.25" customHeight="1">
      <c r="A761" s="109"/>
      <c r="B761" s="109"/>
      <c r="C761" s="109"/>
      <c r="D761" s="109"/>
      <c r="E761" s="109"/>
      <c r="F761" s="109"/>
      <c r="G761" s="317"/>
      <c r="H761" s="109"/>
      <c r="I761" s="109"/>
      <c r="J761" s="109"/>
      <c r="K761" s="109"/>
      <c r="L761" s="109"/>
      <c r="M761" s="109"/>
      <c r="N761" s="109"/>
      <c r="O761" s="109"/>
      <c r="P761" s="109"/>
      <c r="Q761" s="109"/>
      <c r="R761" s="109"/>
      <c r="S761" s="109"/>
      <c r="T761" s="109"/>
      <c r="U761" s="109"/>
      <c r="V761" s="109"/>
      <c r="W761" s="109"/>
      <c r="X761" s="109"/>
      <c r="Y761" s="109"/>
      <c r="Z761" s="109"/>
    </row>
    <row r="762" ht="29.25" customHeight="1">
      <c r="A762" s="109"/>
      <c r="B762" s="109"/>
      <c r="C762" s="109"/>
      <c r="D762" s="109"/>
      <c r="E762" s="109"/>
      <c r="F762" s="109"/>
      <c r="G762" s="317"/>
      <c r="H762" s="109"/>
      <c r="I762" s="109"/>
      <c r="J762" s="109"/>
      <c r="K762" s="109"/>
      <c r="L762" s="109"/>
      <c r="M762" s="109"/>
      <c r="N762" s="109"/>
      <c r="O762" s="109"/>
      <c r="P762" s="109"/>
      <c r="Q762" s="109"/>
      <c r="R762" s="109"/>
      <c r="S762" s="109"/>
      <c r="T762" s="109"/>
      <c r="U762" s="109"/>
      <c r="V762" s="109"/>
      <c r="W762" s="109"/>
      <c r="X762" s="109"/>
      <c r="Y762" s="109"/>
      <c r="Z762" s="109"/>
    </row>
    <row r="763" ht="29.25" customHeight="1">
      <c r="A763" s="109"/>
      <c r="B763" s="109"/>
      <c r="C763" s="109"/>
      <c r="D763" s="109"/>
      <c r="E763" s="109"/>
      <c r="F763" s="109"/>
      <c r="G763" s="317"/>
      <c r="H763" s="109"/>
      <c r="I763" s="109"/>
      <c r="J763" s="109"/>
      <c r="K763" s="109"/>
      <c r="L763" s="109"/>
      <c r="M763" s="109"/>
      <c r="N763" s="109"/>
      <c r="O763" s="109"/>
      <c r="P763" s="109"/>
      <c r="Q763" s="109"/>
      <c r="R763" s="109"/>
      <c r="S763" s="109"/>
      <c r="T763" s="109"/>
      <c r="U763" s="109"/>
      <c r="V763" s="109"/>
      <c r="W763" s="109"/>
      <c r="X763" s="109"/>
      <c r="Y763" s="109"/>
      <c r="Z763" s="109"/>
    </row>
    <row r="764" ht="29.25" customHeight="1">
      <c r="A764" s="109"/>
      <c r="B764" s="109"/>
      <c r="C764" s="109"/>
      <c r="D764" s="109"/>
      <c r="E764" s="109"/>
      <c r="F764" s="109"/>
      <c r="G764" s="317"/>
      <c r="H764" s="109"/>
      <c r="I764" s="109"/>
      <c r="J764" s="109"/>
      <c r="K764" s="109"/>
      <c r="L764" s="109"/>
      <c r="M764" s="109"/>
      <c r="N764" s="109"/>
      <c r="O764" s="109"/>
      <c r="P764" s="109"/>
      <c r="Q764" s="109"/>
      <c r="R764" s="109"/>
      <c r="S764" s="109"/>
      <c r="T764" s="109"/>
      <c r="U764" s="109"/>
      <c r="V764" s="109"/>
      <c r="W764" s="109"/>
      <c r="X764" s="109"/>
      <c r="Y764" s="109"/>
      <c r="Z764" s="109"/>
    </row>
    <row r="765" ht="29.25" customHeight="1">
      <c r="A765" s="109"/>
      <c r="B765" s="109"/>
      <c r="C765" s="109"/>
      <c r="D765" s="109"/>
      <c r="E765" s="109"/>
      <c r="F765" s="109"/>
      <c r="G765" s="317"/>
      <c r="H765" s="109"/>
      <c r="I765" s="109"/>
      <c r="J765" s="109"/>
      <c r="K765" s="109"/>
      <c r="L765" s="109"/>
      <c r="M765" s="109"/>
      <c r="N765" s="109"/>
      <c r="O765" s="109"/>
      <c r="P765" s="109"/>
      <c r="Q765" s="109"/>
      <c r="R765" s="109"/>
      <c r="S765" s="109"/>
      <c r="T765" s="109"/>
      <c r="U765" s="109"/>
      <c r="V765" s="109"/>
      <c r="W765" s="109"/>
      <c r="X765" s="109"/>
      <c r="Y765" s="109"/>
      <c r="Z765" s="109"/>
    </row>
    <row r="766" ht="29.25" customHeight="1">
      <c r="A766" s="109"/>
      <c r="B766" s="109"/>
      <c r="C766" s="109"/>
      <c r="D766" s="109"/>
      <c r="E766" s="109"/>
      <c r="F766" s="109"/>
      <c r="G766" s="317"/>
      <c r="H766" s="109"/>
      <c r="I766" s="109"/>
      <c r="J766" s="109"/>
      <c r="K766" s="109"/>
      <c r="L766" s="109"/>
      <c r="M766" s="109"/>
      <c r="N766" s="109"/>
      <c r="O766" s="109"/>
      <c r="P766" s="109"/>
      <c r="Q766" s="109"/>
      <c r="R766" s="109"/>
      <c r="S766" s="109"/>
      <c r="T766" s="109"/>
      <c r="U766" s="109"/>
      <c r="V766" s="109"/>
      <c r="W766" s="109"/>
      <c r="X766" s="109"/>
      <c r="Y766" s="109"/>
      <c r="Z766" s="109"/>
    </row>
    <row r="767" ht="29.25" customHeight="1">
      <c r="A767" s="109"/>
      <c r="B767" s="109"/>
      <c r="C767" s="109"/>
      <c r="D767" s="109"/>
      <c r="E767" s="109"/>
      <c r="F767" s="109"/>
      <c r="G767" s="317"/>
      <c r="H767" s="109"/>
      <c r="I767" s="109"/>
      <c r="J767" s="109"/>
      <c r="K767" s="109"/>
      <c r="L767" s="109"/>
      <c r="M767" s="109"/>
      <c r="N767" s="109"/>
      <c r="O767" s="109"/>
      <c r="P767" s="109"/>
      <c r="Q767" s="109"/>
      <c r="R767" s="109"/>
      <c r="S767" s="109"/>
      <c r="T767" s="109"/>
      <c r="U767" s="109"/>
      <c r="V767" s="109"/>
      <c r="W767" s="109"/>
      <c r="X767" s="109"/>
      <c r="Y767" s="109"/>
      <c r="Z767" s="109"/>
    </row>
    <row r="768" ht="29.25" customHeight="1">
      <c r="A768" s="109"/>
      <c r="B768" s="109"/>
      <c r="C768" s="109"/>
      <c r="D768" s="109"/>
      <c r="E768" s="109"/>
      <c r="F768" s="109"/>
      <c r="G768" s="317"/>
      <c r="H768" s="109"/>
      <c r="I768" s="109"/>
      <c r="J768" s="109"/>
      <c r="K768" s="109"/>
      <c r="L768" s="109"/>
      <c r="M768" s="109"/>
      <c r="N768" s="109"/>
      <c r="O768" s="109"/>
      <c r="P768" s="109"/>
      <c r="Q768" s="109"/>
      <c r="R768" s="109"/>
      <c r="S768" s="109"/>
      <c r="T768" s="109"/>
      <c r="U768" s="109"/>
      <c r="V768" s="109"/>
      <c r="W768" s="109"/>
      <c r="X768" s="109"/>
      <c r="Y768" s="109"/>
      <c r="Z768" s="109"/>
    </row>
    <row r="769" ht="29.25" customHeight="1">
      <c r="A769" s="109"/>
      <c r="B769" s="109"/>
      <c r="C769" s="109"/>
      <c r="D769" s="109"/>
      <c r="E769" s="109"/>
      <c r="F769" s="109"/>
      <c r="G769" s="317"/>
      <c r="H769" s="109"/>
      <c r="I769" s="109"/>
      <c r="J769" s="109"/>
      <c r="K769" s="109"/>
      <c r="L769" s="109"/>
      <c r="M769" s="109"/>
      <c r="N769" s="109"/>
      <c r="O769" s="109"/>
      <c r="P769" s="109"/>
      <c r="Q769" s="109"/>
      <c r="R769" s="109"/>
      <c r="S769" s="109"/>
      <c r="T769" s="109"/>
      <c r="U769" s="109"/>
      <c r="V769" s="109"/>
      <c r="W769" s="109"/>
      <c r="X769" s="109"/>
      <c r="Y769" s="109"/>
      <c r="Z769" s="109"/>
    </row>
    <row r="770" ht="29.25" customHeight="1">
      <c r="A770" s="109"/>
      <c r="B770" s="109"/>
      <c r="C770" s="109"/>
      <c r="D770" s="109"/>
      <c r="E770" s="109"/>
      <c r="F770" s="109"/>
      <c r="G770" s="317"/>
      <c r="H770" s="109"/>
      <c r="I770" s="109"/>
      <c r="J770" s="109"/>
      <c r="K770" s="109"/>
      <c r="L770" s="109"/>
      <c r="M770" s="109"/>
      <c r="N770" s="109"/>
      <c r="O770" s="109"/>
      <c r="P770" s="109"/>
      <c r="Q770" s="109"/>
      <c r="R770" s="109"/>
      <c r="S770" s="109"/>
      <c r="T770" s="109"/>
      <c r="U770" s="109"/>
      <c r="V770" s="109"/>
      <c r="W770" s="109"/>
      <c r="X770" s="109"/>
      <c r="Y770" s="109"/>
      <c r="Z770" s="109"/>
    </row>
    <row r="771" ht="29.25" customHeight="1">
      <c r="A771" s="109"/>
      <c r="B771" s="109"/>
      <c r="C771" s="109"/>
      <c r="D771" s="109"/>
      <c r="E771" s="109"/>
      <c r="F771" s="109"/>
      <c r="G771" s="317"/>
      <c r="H771" s="109"/>
      <c r="I771" s="109"/>
      <c r="J771" s="109"/>
      <c r="K771" s="109"/>
      <c r="L771" s="109"/>
      <c r="M771" s="109"/>
      <c r="N771" s="109"/>
      <c r="O771" s="109"/>
      <c r="P771" s="109"/>
      <c r="Q771" s="109"/>
      <c r="R771" s="109"/>
      <c r="S771" s="109"/>
      <c r="T771" s="109"/>
      <c r="U771" s="109"/>
      <c r="V771" s="109"/>
      <c r="W771" s="109"/>
      <c r="X771" s="109"/>
      <c r="Y771" s="109"/>
      <c r="Z771" s="109"/>
    </row>
    <row r="772" ht="29.25" customHeight="1">
      <c r="A772" s="109"/>
      <c r="B772" s="109"/>
      <c r="C772" s="109"/>
      <c r="D772" s="109"/>
      <c r="E772" s="109"/>
      <c r="F772" s="109"/>
      <c r="G772" s="317"/>
      <c r="H772" s="109"/>
      <c r="I772" s="109"/>
      <c r="J772" s="109"/>
      <c r="K772" s="109"/>
      <c r="L772" s="109"/>
      <c r="M772" s="109"/>
      <c r="N772" s="109"/>
      <c r="O772" s="109"/>
      <c r="P772" s="109"/>
      <c r="Q772" s="109"/>
      <c r="R772" s="109"/>
      <c r="S772" s="109"/>
      <c r="T772" s="109"/>
      <c r="U772" s="109"/>
      <c r="V772" s="109"/>
      <c r="W772" s="109"/>
      <c r="X772" s="109"/>
      <c r="Y772" s="109"/>
      <c r="Z772" s="109"/>
    </row>
    <row r="773" ht="29.25" customHeight="1">
      <c r="A773" s="109"/>
      <c r="B773" s="109"/>
      <c r="C773" s="109"/>
      <c r="D773" s="109"/>
      <c r="E773" s="109"/>
      <c r="F773" s="109"/>
      <c r="G773" s="317"/>
      <c r="H773" s="109"/>
      <c r="I773" s="109"/>
      <c r="J773" s="109"/>
      <c r="K773" s="109"/>
      <c r="L773" s="109"/>
      <c r="M773" s="109"/>
      <c r="N773" s="109"/>
      <c r="O773" s="109"/>
      <c r="P773" s="109"/>
      <c r="Q773" s="109"/>
      <c r="R773" s="109"/>
      <c r="S773" s="109"/>
      <c r="T773" s="109"/>
      <c r="U773" s="109"/>
      <c r="V773" s="109"/>
      <c r="W773" s="109"/>
      <c r="X773" s="109"/>
      <c r="Y773" s="109"/>
      <c r="Z773" s="109"/>
    </row>
    <row r="774" ht="29.25" customHeight="1">
      <c r="A774" s="109"/>
      <c r="B774" s="109"/>
      <c r="C774" s="109"/>
      <c r="D774" s="109"/>
      <c r="E774" s="109"/>
      <c r="F774" s="109"/>
      <c r="G774" s="317"/>
      <c r="H774" s="109"/>
      <c r="I774" s="109"/>
      <c r="J774" s="109"/>
      <c r="K774" s="109"/>
      <c r="L774" s="109"/>
      <c r="M774" s="109"/>
      <c r="N774" s="109"/>
      <c r="O774" s="109"/>
      <c r="P774" s="109"/>
      <c r="Q774" s="109"/>
      <c r="R774" s="109"/>
      <c r="S774" s="109"/>
      <c r="T774" s="109"/>
      <c r="U774" s="109"/>
      <c r="V774" s="109"/>
      <c r="W774" s="109"/>
      <c r="X774" s="109"/>
      <c r="Y774" s="109"/>
      <c r="Z774" s="109"/>
    </row>
    <row r="775" ht="29.25" customHeight="1">
      <c r="A775" s="109"/>
      <c r="B775" s="109"/>
      <c r="C775" s="109"/>
      <c r="D775" s="109"/>
      <c r="E775" s="109"/>
      <c r="F775" s="109"/>
      <c r="G775" s="317"/>
      <c r="H775" s="109"/>
      <c r="I775" s="109"/>
      <c r="J775" s="109"/>
      <c r="K775" s="109"/>
      <c r="L775" s="109"/>
      <c r="M775" s="109"/>
      <c r="N775" s="109"/>
      <c r="O775" s="109"/>
      <c r="P775" s="109"/>
      <c r="Q775" s="109"/>
      <c r="R775" s="109"/>
      <c r="S775" s="109"/>
      <c r="T775" s="109"/>
      <c r="U775" s="109"/>
      <c r="V775" s="109"/>
      <c r="W775" s="109"/>
      <c r="X775" s="109"/>
      <c r="Y775" s="109"/>
      <c r="Z775" s="109"/>
    </row>
    <row r="776" ht="29.25" customHeight="1">
      <c r="A776" s="109"/>
      <c r="B776" s="109"/>
      <c r="C776" s="109"/>
      <c r="D776" s="109"/>
      <c r="E776" s="109"/>
      <c r="F776" s="109"/>
      <c r="G776" s="317"/>
      <c r="H776" s="109"/>
      <c r="I776" s="109"/>
      <c r="J776" s="109"/>
      <c r="K776" s="109"/>
      <c r="L776" s="109"/>
      <c r="M776" s="109"/>
      <c r="N776" s="109"/>
      <c r="O776" s="109"/>
      <c r="P776" s="109"/>
      <c r="Q776" s="109"/>
      <c r="R776" s="109"/>
      <c r="S776" s="109"/>
      <c r="T776" s="109"/>
      <c r="U776" s="109"/>
      <c r="V776" s="109"/>
      <c r="W776" s="109"/>
      <c r="X776" s="109"/>
      <c r="Y776" s="109"/>
      <c r="Z776" s="109"/>
    </row>
    <row r="777" ht="29.25" customHeight="1">
      <c r="A777" s="109"/>
      <c r="B777" s="109"/>
      <c r="C777" s="109"/>
      <c r="D777" s="109"/>
      <c r="E777" s="109"/>
      <c r="F777" s="109"/>
      <c r="G777" s="317"/>
      <c r="H777" s="109"/>
      <c r="I777" s="109"/>
      <c r="J777" s="109"/>
      <c r="K777" s="109"/>
      <c r="L777" s="109"/>
      <c r="M777" s="109"/>
      <c r="N777" s="109"/>
      <c r="O777" s="109"/>
      <c r="P777" s="109"/>
      <c r="Q777" s="109"/>
      <c r="R777" s="109"/>
      <c r="S777" s="109"/>
      <c r="T777" s="109"/>
      <c r="U777" s="109"/>
      <c r="V777" s="109"/>
      <c r="W777" s="109"/>
      <c r="X777" s="109"/>
      <c r="Y777" s="109"/>
      <c r="Z777" s="109"/>
    </row>
    <row r="778" ht="29.25" customHeight="1">
      <c r="A778" s="109"/>
      <c r="B778" s="109"/>
      <c r="C778" s="109"/>
      <c r="D778" s="109"/>
      <c r="E778" s="109"/>
      <c r="F778" s="109"/>
      <c r="G778" s="317"/>
      <c r="H778" s="109"/>
      <c r="I778" s="109"/>
      <c r="J778" s="109"/>
      <c r="K778" s="109"/>
      <c r="L778" s="109"/>
      <c r="M778" s="109"/>
      <c r="N778" s="109"/>
      <c r="O778" s="109"/>
      <c r="P778" s="109"/>
      <c r="Q778" s="109"/>
      <c r="R778" s="109"/>
      <c r="S778" s="109"/>
      <c r="T778" s="109"/>
      <c r="U778" s="109"/>
      <c r="V778" s="109"/>
      <c r="W778" s="109"/>
      <c r="X778" s="109"/>
      <c r="Y778" s="109"/>
      <c r="Z778" s="109"/>
    </row>
    <row r="779" ht="29.25" customHeight="1">
      <c r="A779" s="109"/>
      <c r="B779" s="109"/>
      <c r="C779" s="109"/>
      <c r="D779" s="109"/>
      <c r="E779" s="109"/>
      <c r="F779" s="109"/>
      <c r="G779" s="317"/>
      <c r="H779" s="109"/>
      <c r="I779" s="109"/>
      <c r="J779" s="109"/>
      <c r="K779" s="109"/>
      <c r="L779" s="109"/>
      <c r="M779" s="109"/>
      <c r="N779" s="109"/>
      <c r="O779" s="109"/>
      <c r="P779" s="109"/>
      <c r="Q779" s="109"/>
      <c r="R779" s="109"/>
      <c r="S779" s="109"/>
      <c r="T779" s="109"/>
      <c r="U779" s="109"/>
      <c r="V779" s="109"/>
      <c r="W779" s="109"/>
      <c r="X779" s="109"/>
      <c r="Y779" s="109"/>
      <c r="Z779" s="109"/>
    </row>
    <row r="780" ht="29.25" customHeight="1">
      <c r="A780" s="109"/>
      <c r="B780" s="109"/>
      <c r="C780" s="109"/>
      <c r="D780" s="109"/>
      <c r="E780" s="109"/>
      <c r="F780" s="109"/>
      <c r="G780" s="317"/>
      <c r="H780" s="109"/>
      <c r="I780" s="109"/>
      <c r="J780" s="109"/>
      <c r="K780" s="109"/>
      <c r="L780" s="109"/>
      <c r="M780" s="109"/>
      <c r="N780" s="109"/>
      <c r="O780" s="109"/>
      <c r="P780" s="109"/>
      <c r="Q780" s="109"/>
      <c r="R780" s="109"/>
      <c r="S780" s="109"/>
      <c r="T780" s="109"/>
      <c r="U780" s="109"/>
      <c r="V780" s="109"/>
      <c r="W780" s="109"/>
      <c r="X780" s="109"/>
      <c r="Y780" s="109"/>
      <c r="Z780" s="109"/>
    </row>
    <row r="781" ht="29.25" customHeight="1">
      <c r="A781" s="109"/>
      <c r="B781" s="109"/>
      <c r="C781" s="109"/>
      <c r="D781" s="109"/>
      <c r="E781" s="109"/>
      <c r="F781" s="109"/>
      <c r="G781" s="317"/>
      <c r="H781" s="109"/>
      <c r="I781" s="109"/>
      <c r="J781" s="109"/>
      <c r="K781" s="109"/>
      <c r="L781" s="109"/>
      <c r="M781" s="109"/>
      <c r="N781" s="109"/>
      <c r="O781" s="109"/>
      <c r="P781" s="109"/>
      <c r="Q781" s="109"/>
      <c r="R781" s="109"/>
      <c r="S781" s="109"/>
      <c r="T781" s="109"/>
      <c r="U781" s="109"/>
      <c r="V781" s="109"/>
      <c r="W781" s="109"/>
      <c r="X781" s="109"/>
      <c r="Y781" s="109"/>
      <c r="Z781" s="109"/>
    </row>
    <row r="782" ht="29.25" customHeight="1">
      <c r="A782" s="109"/>
      <c r="B782" s="109"/>
      <c r="C782" s="109"/>
      <c r="D782" s="109"/>
      <c r="E782" s="109"/>
      <c r="F782" s="109"/>
      <c r="G782" s="317"/>
      <c r="H782" s="109"/>
      <c r="I782" s="109"/>
      <c r="J782" s="109"/>
      <c r="K782" s="109"/>
      <c r="L782" s="109"/>
      <c r="M782" s="109"/>
      <c r="N782" s="109"/>
      <c r="O782" s="109"/>
      <c r="P782" s="109"/>
      <c r="Q782" s="109"/>
      <c r="R782" s="109"/>
      <c r="S782" s="109"/>
      <c r="T782" s="109"/>
      <c r="U782" s="109"/>
      <c r="V782" s="109"/>
      <c r="W782" s="109"/>
      <c r="X782" s="109"/>
      <c r="Y782" s="109"/>
      <c r="Z782" s="109"/>
    </row>
    <row r="783" ht="29.25" customHeight="1">
      <c r="A783" s="109"/>
      <c r="B783" s="109"/>
      <c r="C783" s="109"/>
      <c r="D783" s="109"/>
      <c r="E783" s="109"/>
      <c r="F783" s="109"/>
      <c r="G783" s="317"/>
      <c r="H783" s="109"/>
      <c r="I783" s="109"/>
      <c r="J783" s="109"/>
      <c r="K783" s="109"/>
      <c r="L783" s="109"/>
      <c r="M783" s="109"/>
      <c r="N783" s="109"/>
      <c r="O783" s="109"/>
      <c r="P783" s="109"/>
      <c r="Q783" s="109"/>
      <c r="R783" s="109"/>
      <c r="S783" s="109"/>
      <c r="T783" s="109"/>
      <c r="U783" s="109"/>
      <c r="V783" s="109"/>
      <c r="W783" s="109"/>
      <c r="X783" s="109"/>
      <c r="Y783" s="109"/>
      <c r="Z783" s="109"/>
    </row>
    <row r="784" ht="29.25" customHeight="1">
      <c r="A784" s="109"/>
      <c r="B784" s="109"/>
      <c r="C784" s="109"/>
      <c r="D784" s="109"/>
      <c r="E784" s="109"/>
      <c r="F784" s="109"/>
      <c r="G784" s="317"/>
      <c r="H784" s="109"/>
      <c r="I784" s="109"/>
      <c r="J784" s="109"/>
      <c r="K784" s="109"/>
      <c r="L784" s="109"/>
      <c r="M784" s="109"/>
      <c r="N784" s="109"/>
      <c r="O784" s="109"/>
      <c r="P784" s="109"/>
      <c r="Q784" s="109"/>
      <c r="R784" s="109"/>
      <c r="S784" s="109"/>
      <c r="T784" s="109"/>
      <c r="U784" s="109"/>
      <c r="V784" s="109"/>
      <c r="W784" s="109"/>
      <c r="X784" s="109"/>
      <c r="Y784" s="109"/>
      <c r="Z784" s="109"/>
    </row>
    <row r="785" ht="29.25" customHeight="1">
      <c r="A785" s="109"/>
      <c r="B785" s="109"/>
      <c r="C785" s="109"/>
      <c r="D785" s="109"/>
      <c r="E785" s="109"/>
      <c r="F785" s="109"/>
      <c r="G785" s="317"/>
      <c r="H785" s="109"/>
      <c r="I785" s="109"/>
      <c r="J785" s="109"/>
      <c r="K785" s="109"/>
      <c r="L785" s="109"/>
      <c r="M785" s="109"/>
      <c r="N785" s="109"/>
      <c r="O785" s="109"/>
      <c r="P785" s="109"/>
      <c r="Q785" s="109"/>
      <c r="R785" s="109"/>
      <c r="S785" s="109"/>
      <c r="T785" s="109"/>
      <c r="U785" s="109"/>
      <c r="V785" s="109"/>
      <c r="W785" s="109"/>
      <c r="X785" s="109"/>
      <c r="Y785" s="109"/>
      <c r="Z785" s="109"/>
    </row>
    <row r="786" ht="29.25" customHeight="1">
      <c r="A786" s="109"/>
      <c r="B786" s="109"/>
      <c r="C786" s="109"/>
      <c r="D786" s="109"/>
      <c r="E786" s="109"/>
      <c r="F786" s="109"/>
      <c r="G786" s="317"/>
      <c r="H786" s="109"/>
      <c r="I786" s="109"/>
      <c r="J786" s="109"/>
      <c r="K786" s="109"/>
      <c r="L786" s="109"/>
      <c r="M786" s="109"/>
      <c r="N786" s="109"/>
      <c r="O786" s="109"/>
      <c r="P786" s="109"/>
      <c r="Q786" s="109"/>
      <c r="R786" s="109"/>
      <c r="S786" s="109"/>
      <c r="T786" s="109"/>
      <c r="U786" s="109"/>
      <c r="V786" s="109"/>
      <c r="W786" s="109"/>
      <c r="X786" s="109"/>
      <c r="Y786" s="109"/>
      <c r="Z786" s="109"/>
    </row>
    <row r="787" ht="29.25" customHeight="1">
      <c r="A787" s="109"/>
      <c r="B787" s="109"/>
      <c r="C787" s="109"/>
      <c r="D787" s="109"/>
      <c r="E787" s="109"/>
      <c r="F787" s="109"/>
      <c r="G787" s="317"/>
      <c r="H787" s="109"/>
      <c r="I787" s="109"/>
      <c r="J787" s="109"/>
      <c r="K787" s="109"/>
      <c r="L787" s="109"/>
      <c r="M787" s="109"/>
      <c r="N787" s="109"/>
      <c r="O787" s="109"/>
      <c r="P787" s="109"/>
      <c r="Q787" s="109"/>
      <c r="R787" s="109"/>
      <c r="S787" s="109"/>
      <c r="T787" s="109"/>
      <c r="U787" s="109"/>
      <c r="V787" s="109"/>
      <c r="W787" s="109"/>
      <c r="X787" s="109"/>
      <c r="Y787" s="109"/>
      <c r="Z787" s="109"/>
    </row>
    <row r="788" ht="29.25" customHeight="1">
      <c r="A788" s="109"/>
      <c r="B788" s="109"/>
      <c r="C788" s="109"/>
      <c r="D788" s="109"/>
      <c r="E788" s="109"/>
      <c r="F788" s="109"/>
      <c r="G788" s="317"/>
      <c r="H788" s="109"/>
      <c r="I788" s="109"/>
      <c r="J788" s="109"/>
      <c r="K788" s="109"/>
      <c r="L788" s="109"/>
      <c r="M788" s="109"/>
      <c r="N788" s="109"/>
      <c r="O788" s="109"/>
      <c r="P788" s="109"/>
      <c r="Q788" s="109"/>
      <c r="R788" s="109"/>
      <c r="S788" s="109"/>
      <c r="T788" s="109"/>
      <c r="U788" s="109"/>
      <c r="V788" s="109"/>
      <c r="W788" s="109"/>
      <c r="X788" s="109"/>
      <c r="Y788" s="109"/>
      <c r="Z788" s="109"/>
    </row>
    <row r="789" ht="29.25" customHeight="1">
      <c r="A789" s="109"/>
      <c r="B789" s="109"/>
      <c r="C789" s="109"/>
      <c r="D789" s="109"/>
      <c r="E789" s="109"/>
      <c r="F789" s="109"/>
      <c r="G789" s="317"/>
      <c r="H789" s="109"/>
      <c r="I789" s="109"/>
      <c r="J789" s="109"/>
      <c r="K789" s="109"/>
      <c r="L789" s="109"/>
      <c r="M789" s="109"/>
      <c r="N789" s="109"/>
      <c r="O789" s="109"/>
      <c r="P789" s="109"/>
      <c r="Q789" s="109"/>
      <c r="R789" s="109"/>
      <c r="S789" s="109"/>
      <c r="T789" s="109"/>
      <c r="U789" s="109"/>
      <c r="V789" s="109"/>
      <c r="W789" s="109"/>
      <c r="X789" s="109"/>
      <c r="Y789" s="109"/>
      <c r="Z789" s="109"/>
    </row>
    <row r="790" ht="29.25" customHeight="1">
      <c r="A790" s="109"/>
      <c r="B790" s="109"/>
      <c r="C790" s="109"/>
      <c r="D790" s="109"/>
      <c r="E790" s="109"/>
      <c r="F790" s="109"/>
      <c r="G790" s="317"/>
      <c r="H790" s="109"/>
      <c r="I790" s="109"/>
      <c r="J790" s="109"/>
      <c r="K790" s="109"/>
      <c r="L790" s="109"/>
      <c r="M790" s="109"/>
      <c r="N790" s="109"/>
      <c r="O790" s="109"/>
      <c r="P790" s="109"/>
      <c r="Q790" s="109"/>
      <c r="R790" s="109"/>
      <c r="S790" s="109"/>
      <c r="T790" s="109"/>
      <c r="U790" s="109"/>
      <c r="V790" s="109"/>
      <c r="W790" s="109"/>
      <c r="X790" s="109"/>
      <c r="Y790" s="109"/>
      <c r="Z790" s="109"/>
    </row>
    <row r="791" ht="29.25" customHeight="1">
      <c r="A791" s="109"/>
      <c r="B791" s="109"/>
      <c r="C791" s="109"/>
      <c r="D791" s="109"/>
      <c r="E791" s="109"/>
      <c r="F791" s="109"/>
      <c r="G791" s="317"/>
      <c r="H791" s="109"/>
      <c r="I791" s="109"/>
      <c r="J791" s="109"/>
      <c r="K791" s="109"/>
      <c r="L791" s="109"/>
      <c r="M791" s="109"/>
      <c r="N791" s="109"/>
      <c r="O791" s="109"/>
      <c r="P791" s="109"/>
      <c r="Q791" s="109"/>
      <c r="R791" s="109"/>
      <c r="S791" s="109"/>
      <c r="T791" s="109"/>
      <c r="U791" s="109"/>
      <c r="V791" s="109"/>
      <c r="W791" s="109"/>
      <c r="X791" s="109"/>
      <c r="Y791" s="109"/>
      <c r="Z791" s="109"/>
    </row>
    <row r="792" ht="29.25" customHeight="1">
      <c r="A792" s="109"/>
      <c r="B792" s="109"/>
      <c r="C792" s="109"/>
      <c r="D792" s="109"/>
      <c r="E792" s="109"/>
      <c r="F792" s="109"/>
      <c r="G792" s="317"/>
      <c r="H792" s="109"/>
      <c r="I792" s="109"/>
      <c r="J792" s="109"/>
      <c r="K792" s="109"/>
      <c r="L792" s="109"/>
      <c r="M792" s="109"/>
      <c r="N792" s="109"/>
      <c r="O792" s="109"/>
      <c r="P792" s="109"/>
      <c r="Q792" s="109"/>
      <c r="R792" s="109"/>
      <c r="S792" s="109"/>
      <c r="T792" s="109"/>
      <c r="U792" s="109"/>
      <c r="V792" s="109"/>
      <c r="W792" s="109"/>
      <c r="X792" s="109"/>
      <c r="Y792" s="109"/>
      <c r="Z792" s="109"/>
    </row>
    <row r="793" ht="29.25" customHeight="1">
      <c r="A793" s="109"/>
      <c r="B793" s="109"/>
      <c r="C793" s="109"/>
      <c r="D793" s="109"/>
      <c r="E793" s="109"/>
      <c r="F793" s="109"/>
      <c r="G793" s="317"/>
      <c r="H793" s="109"/>
      <c r="I793" s="109"/>
      <c r="J793" s="109"/>
      <c r="K793" s="109"/>
      <c r="L793" s="109"/>
      <c r="M793" s="109"/>
      <c r="N793" s="109"/>
      <c r="O793" s="109"/>
      <c r="P793" s="109"/>
      <c r="Q793" s="109"/>
      <c r="R793" s="109"/>
      <c r="S793" s="109"/>
      <c r="T793" s="109"/>
      <c r="U793" s="109"/>
      <c r="V793" s="109"/>
      <c r="W793" s="109"/>
      <c r="X793" s="109"/>
      <c r="Y793" s="109"/>
      <c r="Z793" s="109"/>
    </row>
    <row r="794" ht="29.25" customHeight="1">
      <c r="A794" s="109"/>
      <c r="B794" s="109"/>
      <c r="C794" s="109"/>
      <c r="D794" s="109"/>
      <c r="E794" s="109"/>
      <c r="F794" s="109"/>
      <c r="G794" s="317"/>
      <c r="H794" s="109"/>
      <c r="I794" s="109"/>
      <c r="J794" s="109"/>
      <c r="K794" s="109"/>
      <c r="L794" s="109"/>
      <c r="M794" s="109"/>
      <c r="N794" s="109"/>
      <c r="O794" s="109"/>
      <c r="P794" s="109"/>
      <c r="Q794" s="109"/>
      <c r="R794" s="109"/>
      <c r="S794" s="109"/>
      <c r="T794" s="109"/>
      <c r="U794" s="109"/>
      <c r="V794" s="109"/>
      <c r="W794" s="109"/>
      <c r="X794" s="109"/>
      <c r="Y794" s="109"/>
      <c r="Z794" s="109"/>
    </row>
    <row r="795" ht="29.25" customHeight="1">
      <c r="A795" s="109"/>
      <c r="B795" s="109"/>
      <c r="C795" s="109"/>
      <c r="D795" s="109"/>
      <c r="E795" s="109"/>
      <c r="F795" s="109"/>
      <c r="G795" s="317"/>
      <c r="H795" s="109"/>
      <c r="I795" s="109"/>
      <c r="J795" s="109"/>
      <c r="K795" s="109"/>
      <c r="L795" s="109"/>
      <c r="M795" s="109"/>
      <c r="N795" s="109"/>
      <c r="O795" s="109"/>
      <c r="P795" s="109"/>
      <c r="Q795" s="109"/>
      <c r="R795" s="109"/>
      <c r="S795" s="109"/>
      <c r="T795" s="109"/>
      <c r="U795" s="109"/>
      <c r="V795" s="109"/>
      <c r="W795" s="109"/>
      <c r="X795" s="109"/>
      <c r="Y795" s="109"/>
      <c r="Z795" s="109"/>
    </row>
    <row r="796" ht="29.25" customHeight="1">
      <c r="A796" s="109"/>
      <c r="B796" s="109"/>
      <c r="C796" s="109"/>
      <c r="D796" s="109"/>
      <c r="E796" s="109"/>
      <c r="F796" s="109"/>
      <c r="G796" s="317"/>
      <c r="H796" s="109"/>
      <c r="I796" s="109"/>
      <c r="J796" s="109"/>
      <c r="K796" s="109"/>
      <c r="L796" s="109"/>
      <c r="M796" s="109"/>
      <c r="N796" s="109"/>
      <c r="O796" s="109"/>
      <c r="P796" s="109"/>
      <c r="Q796" s="109"/>
      <c r="R796" s="109"/>
      <c r="S796" s="109"/>
      <c r="T796" s="109"/>
      <c r="U796" s="109"/>
      <c r="V796" s="109"/>
      <c r="W796" s="109"/>
      <c r="X796" s="109"/>
      <c r="Y796" s="109"/>
      <c r="Z796" s="109"/>
    </row>
    <row r="797" ht="29.25" customHeight="1">
      <c r="A797" s="109"/>
      <c r="B797" s="109"/>
      <c r="C797" s="109"/>
      <c r="D797" s="109"/>
      <c r="E797" s="109"/>
      <c r="F797" s="109"/>
      <c r="G797" s="317"/>
      <c r="H797" s="109"/>
      <c r="I797" s="109"/>
      <c r="J797" s="109"/>
      <c r="K797" s="109"/>
      <c r="L797" s="109"/>
      <c r="M797" s="109"/>
      <c r="N797" s="109"/>
      <c r="O797" s="109"/>
      <c r="P797" s="109"/>
      <c r="Q797" s="109"/>
      <c r="R797" s="109"/>
      <c r="S797" s="109"/>
      <c r="T797" s="109"/>
      <c r="U797" s="109"/>
      <c r="V797" s="109"/>
      <c r="W797" s="109"/>
      <c r="X797" s="109"/>
      <c r="Y797" s="109"/>
      <c r="Z797" s="109"/>
    </row>
    <row r="798" ht="29.25" customHeight="1">
      <c r="A798" s="109"/>
      <c r="B798" s="109"/>
      <c r="C798" s="109"/>
      <c r="D798" s="109"/>
      <c r="E798" s="109"/>
      <c r="F798" s="109"/>
      <c r="G798" s="317"/>
      <c r="H798" s="109"/>
      <c r="I798" s="109"/>
      <c r="J798" s="109"/>
      <c r="K798" s="109"/>
      <c r="L798" s="109"/>
      <c r="M798" s="109"/>
      <c r="N798" s="109"/>
      <c r="O798" s="109"/>
      <c r="P798" s="109"/>
      <c r="Q798" s="109"/>
      <c r="R798" s="109"/>
      <c r="S798" s="109"/>
      <c r="T798" s="109"/>
      <c r="U798" s="109"/>
      <c r="V798" s="109"/>
      <c r="W798" s="109"/>
      <c r="X798" s="109"/>
      <c r="Y798" s="109"/>
      <c r="Z798" s="109"/>
    </row>
    <row r="799" ht="29.25" customHeight="1">
      <c r="A799" s="109"/>
      <c r="B799" s="109"/>
      <c r="C799" s="109"/>
      <c r="D799" s="109"/>
      <c r="E799" s="109"/>
      <c r="F799" s="109"/>
      <c r="G799" s="317"/>
      <c r="H799" s="109"/>
      <c r="I799" s="109"/>
      <c r="J799" s="109"/>
      <c r="K799" s="109"/>
      <c r="L799" s="109"/>
      <c r="M799" s="109"/>
      <c r="N799" s="109"/>
      <c r="O799" s="109"/>
      <c r="P799" s="109"/>
      <c r="Q799" s="109"/>
      <c r="R799" s="109"/>
      <c r="S799" s="109"/>
      <c r="T799" s="109"/>
      <c r="U799" s="109"/>
      <c r="V799" s="109"/>
      <c r="W799" s="109"/>
      <c r="X799" s="109"/>
      <c r="Y799" s="109"/>
      <c r="Z799" s="109"/>
    </row>
    <row r="800" ht="29.25" customHeight="1">
      <c r="A800" s="109"/>
      <c r="B800" s="109"/>
      <c r="C800" s="109"/>
      <c r="D800" s="109"/>
      <c r="E800" s="109"/>
      <c r="F800" s="109"/>
      <c r="G800" s="317"/>
      <c r="H800" s="109"/>
      <c r="I800" s="109"/>
      <c r="J800" s="109"/>
      <c r="K800" s="109"/>
      <c r="L800" s="109"/>
      <c r="M800" s="109"/>
      <c r="N800" s="109"/>
      <c r="O800" s="109"/>
      <c r="P800" s="109"/>
      <c r="Q800" s="109"/>
      <c r="R800" s="109"/>
      <c r="S800" s="109"/>
      <c r="T800" s="109"/>
      <c r="U800" s="109"/>
      <c r="V800" s="109"/>
      <c r="W800" s="109"/>
      <c r="X800" s="109"/>
      <c r="Y800" s="109"/>
      <c r="Z800" s="109"/>
    </row>
    <row r="801" ht="29.25" customHeight="1">
      <c r="A801" s="109"/>
      <c r="B801" s="109"/>
      <c r="C801" s="109"/>
      <c r="D801" s="109"/>
      <c r="E801" s="109"/>
      <c r="F801" s="109"/>
      <c r="G801" s="317"/>
      <c r="H801" s="109"/>
      <c r="I801" s="109"/>
      <c r="J801" s="109"/>
      <c r="K801" s="109"/>
      <c r="L801" s="109"/>
      <c r="M801" s="109"/>
      <c r="N801" s="109"/>
      <c r="O801" s="109"/>
      <c r="P801" s="109"/>
      <c r="Q801" s="109"/>
      <c r="R801" s="109"/>
      <c r="S801" s="109"/>
      <c r="T801" s="109"/>
      <c r="U801" s="109"/>
      <c r="V801" s="109"/>
      <c r="W801" s="109"/>
      <c r="X801" s="109"/>
      <c r="Y801" s="109"/>
      <c r="Z801" s="109"/>
    </row>
    <row r="802" ht="29.25" customHeight="1">
      <c r="A802" s="109"/>
      <c r="B802" s="109"/>
      <c r="C802" s="109"/>
      <c r="D802" s="109"/>
      <c r="E802" s="109"/>
      <c r="F802" s="109"/>
      <c r="G802" s="317"/>
      <c r="H802" s="109"/>
      <c r="I802" s="109"/>
      <c r="J802" s="109"/>
      <c r="K802" s="109"/>
      <c r="L802" s="109"/>
      <c r="M802" s="109"/>
      <c r="N802" s="109"/>
      <c r="O802" s="109"/>
      <c r="P802" s="109"/>
      <c r="Q802" s="109"/>
      <c r="R802" s="109"/>
      <c r="S802" s="109"/>
      <c r="T802" s="109"/>
      <c r="U802" s="109"/>
      <c r="V802" s="109"/>
      <c r="W802" s="109"/>
      <c r="X802" s="109"/>
      <c r="Y802" s="109"/>
      <c r="Z802" s="109"/>
    </row>
    <row r="803" ht="29.25" customHeight="1">
      <c r="A803" s="109"/>
      <c r="B803" s="109"/>
      <c r="C803" s="109"/>
      <c r="D803" s="109"/>
      <c r="E803" s="109"/>
      <c r="F803" s="109"/>
      <c r="G803" s="317"/>
      <c r="H803" s="109"/>
      <c r="I803" s="109"/>
      <c r="J803" s="109"/>
      <c r="K803" s="109"/>
      <c r="L803" s="109"/>
      <c r="M803" s="109"/>
      <c r="N803" s="109"/>
      <c r="O803" s="109"/>
      <c r="P803" s="109"/>
      <c r="Q803" s="109"/>
      <c r="R803" s="109"/>
      <c r="S803" s="109"/>
      <c r="T803" s="109"/>
      <c r="U803" s="109"/>
      <c r="V803" s="109"/>
      <c r="W803" s="109"/>
      <c r="X803" s="109"/>
      <c r="Y803" s="109"/>
      <c r="Z803" s="109"/>
    </row>
    <row r="804" ht="29.25" customHeight="1">
      <c r="A804" s="109"/>
      <c r="B804" s="109"/>
      <c r="C804" s="109"/>
      <c r="D804" s="109"/>
      <c r="E804" s="109"/>
      <c r="F804" s="109"/>
      <c r="G804" s="317"/>
      <c r="H804" s="109"/>
      <c r="I804" s="109"/>
      <c r="J804" s="109"/>
      <c r="K804" s="109"/>
      <c r="L804" s="109"/>
      <c r="M804" s="109"/>
      <c r="N804" s="109"/>
      <c r="O804" s="109"/>
      <c r="P804" s="109"/>
      <c r="Q804" s="109"/>
      <c r="R804" s="109"/>
      <c r="S804" s="109"/>
      <c r="T804" s="109"/>
      <c r="U804" s="109"/>
      <c r="V804" s="109"/>
      <c r="W804" s="109"/>
      <c r="X804" s="109"/>
      <c r="Y804" s="109"/>
      <c r="Z804" s="109"/>
    </row>
    <row r="805" ht="29.25" customHeight="1">
      <c r="A805" s="109"/>
      <c r="B805" s="109"/>
      <c r="C805" s="109"/>
      <c r="D805" s="109"/>
      <c r="E805" s="109"/>
      <c r="F805" s="109"/>
      <c r="G805" s="317"/>
      <c r="H805" s="109"/>
      <c r="I805" s="109"/>
      <c r="J805" s="109"/>
      <c r="K805" s="109"/>
      <c r="L805" s="109"/>
      <c r="M805" s="109"/>
      <c r="N805" s="109"/>
      <c r="O805" s="109"/>
      <c r="P805" s="109"/>
      <c r="Q805" s="109"/>
      <c r="R805" s="109"/>
      <c r="S805" s="109"/>
      <c r="T805" s="109"/>
      <c r="U805" s="109"/>
      <c r="V805" s="109"/>
      <c r="W805" s="109"/>
      <c r="X805" s="109"/>
      <c r="Y805" s="109"/>
      <c r="Z805" s="109"/>
    </row>
    <row r="806" ht="29.25" customHeight="1">
      <c r="A806" s="109"/>
      <c r="B806" s="109"/>
      <c r="C806" s="109"/>
      <c r="D806" s="109"/>
      <c r="E806" s="109"/>
      <c r="F806" s="109"/>
      <c r="G806" s="317"/>
      <c r="H806" s="109"/>
      <c r="I806" s="109"/>
      <c r="J806" s="109"/>
      <c r="K806" s="109"/>
      <c r="L806" s="109"/>
      <c r="M806" s="109"/>
      <c r="N806" s="109"/>
      <c r="O806" s="109"/>
      <c r="P806" s="109"/>
      <c r="Q806" s="109"/>
      <c r="R806" s="109"/>
      <c r="S806" s="109"/>
      <c r="T806" s="109"/>
      <c r="U806" s="109"/>
      <c r="V806" s="109"/>
      <c r="W806" s="109"/>
      <c r="X806" s="109"/>
      <c r="Y806" s="109"/>
      <c r="Z806" s="109"/>
    </row>
    <row r="807" ht="29.25" customHeight="1">
      <c r="A807" s="109"/>
      <c r="B807" s="109"/>
      <c r="C807" s="109"/>
      <c r="D807" s="109"/>
      <c r="E807" s="109"/>
      <c r="F807" s="109"/>
      <c r="G807" s="317"/>
      <c r="H807" s="109"/>
      <c r="I807" s="109"/>
      <c r="J807" s="109"/>
      <c r="K807" s="109"/>
      <c r="L807" s="109"/>
      <c r="M807" s="109"/>
      <c r="N807" s="109"/>
      <c r="O807" s="109"/>
      <c r="P807" s="109"/>
      <c r="Q807" s="109"/>
      <c r="R807" s="109"/>
      <c r="S807" s="109"/>
      <c r="T807" s="109"/>
      <c r="U807" s="109"/>
      <c r="V807" s="109"/>
      <c r="W807" s="109"/>
      <c r="X807" s="109"/>
      <c r="Y807" s="109"/>
      <c r="Z807" s="109"/>
    </row>
    <row r="808" ht="29.25" customHeight="1">
      <c r="A808" s="109"/>
      <c r="B808" s="109"/>
      <c r="C808" s="109"/>
      <c r="D808" s="109"/>
      <c r="E808" s="109"/>
      <c r="F808" s="109"/>
      <c r="G808" s="317"/>
      <c r="H808" s="109"/>
      <c r="I808" s="109"/>
      <c r="J808" s="109"/>
      <c r="K808" s="109"/>
      <c r="L808" s="109"/>
      <c r="M808" s="109"/>
      <c r="N808" s="109"/>
      <c r="O808" s="109"/>
      <c r="P808" s="109"/>
      <c r="Q808" s="109"/>
      <c r="R808" s="109"/>
      <c r="S808" s="109"/>
      <c r="T808" s="109"/>
      <c r="U808" s="109"/>
      <c r="V808" s="109"/>
      <c r="W808" s="109"/>
      <c r="X808" s="109"/>
      <c r="Y808" s="109"/>
      <c r="Z808" s="109"/>
    </row>
    <row r="809" ht="29.25" customHeight="1">
      <c r="A809" s="109"/>
      <c r="B809" s="109"/>
      <c r="C809" s="109"/>
      <c r="D809" s="109"/>
      <c r="E809" s="109"/>
      <c r="F809" s="109"/>
      <c r="G809" s="317"/>
      <c r="H809" s="109"/>
      <c r="I809" s="109"/>
      <c r="J809" s="109"/>
      <c r="K809" s="109"/>
      <c r="L809" s="109"/>
      <c r="M809" s="109"/>
      <c r="N809" s="109"/>
      <c r="O809" s="109"/>
      <c r="P809" s="109"/>
      <c r="Q809" s="109"/>
      <c r="R809" s="109"/>
      <c r="S809" s="109"/>
      <c r="T809" s="109"/>
      <c r="U809" s="109"/>
      <c r="V809" s="109"/>
      <c r="W809" s="109"/>
      <c r="X809" s="109"/>
      <c r="Y809" s="109"/>
      <c r="Z809" s="109"/>
    </row>
    <row r="810" ht="29.25" customHeight="1">
      <c r="A810" s="109"/>
      <c r="B810" s="109"/>
      <c r="C810" s="109"/>
      <c r="D810" s="109"/>
      <c r="E810" s="109"/>
      <c r="F810" s="109"/>
      <c r="G810" s="317"/>
      <c r="H810" s="109"/>
      <c r="I810" s="109"/>
      <c r="J810" s="109"/>
      <c r="K810" s="109"/>
      <c r="L810" s="109"/>
      <c r="M810" s="109"/>
      <c r="N810" s="109"/>
      <c r="O810" s="109"/>
      <c r="P810" s="109"/>
      <c r="Q810" s="109"/>
      <c r="R810" s="109"/>
      <c r="S810" s="109"/>
      <c r="T810" s="109"/>
      <c r="U810" s="109"/>
      <c r="V810" s="109"/>
      <c r="W810" s="109"/>
      <c r="X810" s="109"/>
      <c r="Y810" s="109"/>
      <c r="Z810" s="109"/>
    </row>
    <row r="811" ht="29.25" customHeight="1">
      <c r="A811" s="109"/>
      <c r="B811" s="109"/>
      <c r="C811" s="109"/>
      <c r="D811" s="109"/>
      <c r="E811" s="109"/>
      <c r="F811" s="109"/>
      <c r="G811" s="317"/>
      <c r="H811" s="109"/>
      <c r="I811" s="109"/>
      <c r="J811" s="109"/>
      <c r="K811" s="109"/>
      <c r="L811" s="109"/>
      <c r="M811" s="109"/>
      <c r="N811" s="109"/>
      <c r="O811" s="109"/>
      <c r="P811" s="109"/>
      <c r="Q811" s="109"/>
      <c r="R811" s="109"/>
      <c r="S811" s="109"/>
      <c r="T811" s="109"/>
      <c r="U811" s="109"/>
      <c r="V811" s="109"/>
      <c r="W811" s="109"/>
      <c r="X811" s="109"/>
      <c r="Y811" s="109"/>
      <c r="Z811" s="109"/>
    </row>
    <row r="812" ht="29.25" customHeight="1">
      <c r="A812" s="109"/>
      <c r="B812" s="109"/>
      <c r="C812" s="109"/>
      <c r="D812" s="109"/>
      <c r="E812" s="109"/>
      <c r="F812" s="109"/>
      <c r="G812" s="317"/>
      <c r="H812" s="109"/>
      <c r="I812" s="109"/>
      <c r="J812" s="109"/>
      <c r="K812" s="109"/>
      <c r="L812" s="109"/>
      <c r="M812" s="109"/>
      <c r="N812" s="109"/>
      <c r="O812" s="109"/>
      <c r="P812" s="109"/>
      <c r="Q812" s="109"/>
      <c r="R812" s="109"/>
      <c r="S812" s="109"/>
      <c r="T812" s="109"/>
      <c r="U812" s="109"/>
      <c r="V812" s="109"/>
      <c r="W812" s="109"/>
      <c r="X812" s="109"/>
      <c r="Y812" s="109"/>
      <c r="Z812" s="109"/>
    </row>
    <row r="813" ht="29.25" customHeight="1">
      <c r="A813" s="109"/>
      <c r="B813" s="109"/>
      <c r="C813" s="109"/>
      <c r="D813" s="109"/>
      <c r="E813" s="109"/>
      <c r="F813" s="109"/>
      <c r="G813" s="317"/>
      <c r="H813" s="109"/>
      <c r="I813" s="109"/>
      <c r="J813" s="109"/>
      <c r="K813" s="109"/>
      <c r="L813" s="109"/>
      <c r="M813" s="109"/>
      <c r="N813" s="109"/>
      <c r="O813" s="109"/>
      <c r="P813" s="109"/>
      <c r="Q813" s="109"/>
      <c r="R813" s="109"/>
      <c r="S813" s="109"/>
      <c r="T813" s="109"/>
      <c r="U813" s="109"/>
      <c r="V813" s="109"/>
      <c r="W813" s="109"/>
      <c r="X813" s="109"/>
      <c r="Y813" s="109"/>
      <c r="Z813" s="109"/>
    </row>
    <row r="814" ht="29.25" customHeight="1">
      <c r="A814" s="109"/>
      <c r="B814" s="109"/>
      <c r="C814" s="109"/>
      <c r="D814" s="109"/>
      <c r="E814" s="109"/>
      <c r="F814" s="109"/>
      <c r="G814" s="317"/>
      <c r="H814" s="109"/>
      <c r="I814" s="109"/>
      <c r="J814" s="109"/>
      <c r="K814" s="109"/>
      <c r="L814" s="109"/>
      <c r="M814" s="109"/>
      <c r="N814" s="109"/>
      <c r="O814" s="109"/>
      <c r="P814" s="109"/>
      <c r="Q814" s="109"/>
      <c r="R814" s="109"/>
      <c r="S814" s="109"/>
      <c r="T814" s="109"/>
      <c r="U814" s="109"/>
      <c r="V814" s="109"/>
      <c r="W814" s="109"/>
      <c r="X814" s="109"/>
      <c r="Y814" s="109"/>
      <c r="Z814" s="109"/>
    </row>
    <row r="815" ht="29.25" customHeight="1">
      <c r="A815" s="109"/>
      <c r="B815" s="109"/>
      <c r="C815" s="109"/>
      <c r="D815" s="109"/>
      <c r="E815" s="109"/>
      <c r="F815" s="109"/>
      <c r="G815" s="317"/>
      <c r="H815" s="109"/>
      <c r="I815" s="109"/>
      <c r="J815" s="109"/>
      <c r="K815" s="109"/>
      <c r="L815" s="109"/>
      <c r="M815" s="109"/>
      <c r="N815" s="109"/>
      <c r="O815" s="109"/>
      <c r="P815" s="109"/>
      <c r="Q815" s="109"/>
      <c r="R815" s="109"/>
      <c r="S815" s="109"/>
      <c r="T815" s="109"/>
      <c r="U815" s="109"/>
      <c r="V815" s="109"/>
      <c r="W815" s="109"/>
      <c r="X815" s="109"/>
      <c r="Y815" s="109"/>
      <c r="Z815" s="109"/>
    </row>
    <row r="816" ht="29.25" customHeight="1">
      <c r="A816" s="109"/>
      <c r="B816" s="109"/>
      <c r="C816" s="109"/>
      <c r="D816" s="109"/>
      <c r="E816" s="109"/>
      <c r="F816" s="109"/>
      <c r="G816" s="317"/>
      <c r="H816" s="109"/>
      <c r="I816" s="109"/>
      <c r="J816" s="109"/>
      <c r="K816" s="109"/>
      <c r="L816" s="109"/>
      <c r="M816" s="109"/>
      <c r="N816" s="109"/>
      <c r="O816" s="109"/>
      <c r="P816" s="109"/>
      <c r="Q816" s="109"/>
      <c r="R816" s="109"/>
      <c r="S816" s="109"/>
      <c r="T816" s="109"/>
      <c r="U816" s="109"/>
      <c r="V816" s="109"/>
      <c r="W816" s="109"/>
      <c r="X816" s="109"/>
      <c r="Y816" s="109"/>
      <c r="Z816" s="109"/>
    </row>
    <row r="817" ht="29.25" customHeight="1">
      <c r="A817" s="109"/>
      <c r="B817" s="109"/>
      <c r="C817" s="109"/>
      <c r="D817" s="109"/>
      <c r="E817" s="109"/>
      <c r="F817" s="109"/>
      <c r="G817" s="317"/>
      <c r="H817" s="109"/>
      <c r="I817" s="109"/>
      <c r="J817" s="109"/>
      <c r="K817" s="109"/>
      <c r="L817" s="109"/>
      <c r="M817" s="109"/>
      <c r="N817" s="109"/>
      <c r="O817" s="109"/>
      <c r="P817" s="109"/>
      <c r="Q817" s="109"/>
      <c r="R817" s="109"/>
      <c r="S817" s="109"/>
      <c r="T817" s="109"/>
      <c r="U817" s="109"/>
      <c r="V817" s="109"/>
      <c r="W817" s="109"/>
      <c r="X817" s="109"/>
      <c r="Y817" s="109"/>
      <c r="Z817" s="109"/>
    </row>
    <row r="818" ht="29.25" customHeight="1">
      <c r="A818" s="109"/>
      <c r="B818" s="109"/>
      <c r="C818" s="109"/>
      <c r="D818" s="109"/>
      <c r="E818" s="109"/>
      <c r="F818" s="109"/>
      <c r="G818" s="317"/>
      <c r="H818" s="109"/>
      <c r="I818" s="109"/>
      <c r="J818" s="109"/>
      <c r="K818" s="109"/>
      <c r="L818" s="109"/>
      <c r="M818" s="109"/>
      <c r="N818" s="109"/>
      <c r="O818" s="109"/>
      <c r="P818" s="109"/>
      <c r="Q818" s="109"/>
      <c r="R818" s="109"/>
      <c r="S818" s="109"/>
      <c r="T818" s="109"/>
      <c r="U818" s="109"/>
      <c r="V818" s="109"/>
      <c r="W818" s="109"/>
      <c r="X818" s="109"/>
      <c r="Y818" s="109"/>
      <c r="Z818" s="109"/>
    </row>
    <row r="819" ht="29.25" customHeight="1">
      <c r="A819" s="109"/>
      <c r="B819" s="109"/>
      <c r="C819" s="109"/>
      <c r="D819" s="109"/>
      <c r="E819" s="109"/>
      <c r="F819" s="109"/>
      <c r="G819" s="317"/>
      <c r="H819" s="109"/>
      <c r="I819" s="109"/>
      <c r="J819" s="109"/>
      <c r="K819" s="109"/>
      <c r="L819" s="109"/>
      <c r="M819" s="109"/>
      <c r="N819" s="109"/>
      <c r="O819" s="109"/>
      <c r="P819" s="109"/>
      <c r="Q819" s="109"/>
      <c r="R819" s="109"/>
      <c r="S819" s="109"/>
      <c r="T819" s="109"/>
      <c r="U819" s="109"/>
      <c r="V819" s="109"/>
      <c r="W819" s="109"/>
      <c r="X819" s="109"/>
      <c r="Y819" s="109"/>
      <c r="Z819" s="109"/>
    </row>
    <row r="820" ht="29.25" customHeight="1">
      <c r="A820" s="109"/>
      <c r="B820" s="109"/>
      <c r="C820" s="109"/>
      <c r="D820" s="109"/>
      <c r="E820" s="109"/>
      <c r="F820" s="109"/>
      <c r="G820" s="317"/>
      <c r="H820" s="109"/>
      <c r="I820" s="109"/>
      <c r="J820" s="109"/>
      <c r="K820" s="109"/>
      <c r="L820" s="109"/>
      <c r="M820" s="109"/>
      <c r="N820" s="109"/>
      <c r="O820" s="109"/>
      <c r="P820" s="109"/>
      <c r="Q820" s="109"/>
      <c r="R820" s="109"/>
      <c r="S820" s="109"/>
      <c r="T820" s="109"/>
      <c r="U820" s="109"/>
      <c r="V820" s="109"/>
      <c r="W820" s="109"/>
      <c r="X820" s="109"/>
      <c r="Y820" s="109"/>
      <c r="Z820" s="109"/>
    </row>
    <row r="821" ht="29.25" customHeight="1">
      <c r="A821" s="109"/>
      <c r="B821" s="109"/>
      <c r="C821" s="109"/>
      <c r="D821" s="109"/>
      <c r="E821" s="109"/>
      <c r="F821" s="109"/>
      <c r="G821" s="317"/>
      <c r="H821" s="109"/>
      <c r="I821" s="109"/>
      <c r="J821" s="109"/>
      <c r="K821" s="109"/>
      <c r="L821" s="109"/>
      <c r="M821" s="109"/>
      <c r="N821" s="109"/>
      <c r="O821" s="109"/>
      <c r="P821" s="109"/>
      <c r="Q821" s="109"/>
      <c r="R821" s="109"/>
      <c r="S821" s="109"/>
      <c r="T821" s="109"/>
      <c r="U821" s="109"/>
      <c r="V821" s="109"/>
      <c r="W821" s="109"/>
      <c r="X821" s="109"/>
      <c r="Y821" s="109"/>
      <c r="Z821" s="109"/>
    </row>
    <row r="822" ht="29.25" customHeight="1">
      <c r="A822" s="109"/>
      <c r="B822" s="109"/>
      <c r="C822" s="109"/>
      <c r="D822" s="109"/>
      <c r="E822" s="109"/>
      <c r="F822" s="109"/>
      <c r="G822" s="317"/>
      <c r="H822" s="109"/>
      <c r="I822" s="109"/>
      <c r="J822" s="109"/>
      <c r="K822" s="109"/>
      <c r="L822" s="109"/>
      <c r="M822" s="109"/>
      <c r="N822" s="109"/>
      <c r="O822" s="109"/>
      <c r="P822" s="109"/>
      <c r="Q822" s="109"/>
      <c r="R822" s="109"/>
      <c r="S822" s="109"/>
      <c r="T822" s="109"/>
      <c r="U822" s="109"/>
      <c r="V822" s="109"/>
      <c r="W822" s="109"/>
      <c r="X822" s="109"/>
      <c r="Y822" s="109"/>
      <c r="Z822" s="109"/>
    </row>
    <row r="823" ht="29.25" customHeight="1">
      <c r="A823" s="109"/>
      <c r="B823" s="109"/>
      <c r="C823" s="109"/>
      <c r="D823" s="109"/>
      <c r="E823" s="109"/>
      <c r="F823" s="109"/>
      <c r="G823" s="317"/>
      <c r="H823" s="109"/>
      <c r="I823" s="109"/>
      <c r="J823" s="109"/>
      <c r="K823" s="109"/>
      <c r="L823" s="109"/>
      <c r="M823" s="109"/>
      <c r="N823" s="109"/>
      <c r="O823" s="109"/>
      <c r="P823" s="109"/>
      <c r="Q823" s="109"/>
      <c r="R823" s="109"/>
      <c r="S823" s="109"/>
      <c r="T823" s="109"/>
      <c r="U823" s="109"/>
      <c r="V823" s="109"/>
      <c r="W823" s="109"/>
      <c r="X823" s="109"/>
      <c r="Y823" s="109"/>
      <c r="Z823" s="109"/>
    </row>
    <row r="824" ht="29.25" customHeight="1">
      <c r="A824" s="109"/>
      <c r="B824" s="109"/>
      <c r="C824" s="109"/>
      <c r="D824" s="109"/>
      <c r="E824" s="109"/>
      <c r="F824" s="109"/>
      <c r="G824" s="317"/>
      <c r="H824" s="109"/>
      <c r="I824" s="109"/>
      <c r="J824" s="109"/>
      <c r="K824" s="109"/>
      <c r="L824" s="109"/>
      <c r="M824" s="109"/>
      <c r="N824" s="109"/>
      <c r="O824" s="109"/>
      <c r="P824" s="109"/>
      <c r="Q824" s="109"/>
      <c r="R824" s="109"/>
      <c r="S824" s="109"/>
      <c r="T824" s="109"/>
      <c r="U824" s="109"/>
      <c r="V824" s="109"/>
      <c r="W824" s="109"/>
      <c r="X824" s="109"/>
      <c r="Y824" s="109"/>
      <c r="Z824" s="109"/>
    </row>
    <row r="825" ht="29.25" customHeight="1">
      <c r="A825" s="109"/>
      <c r="B825" s="109"/>
      <c r="C825" s="109"/>
      <c r="D825" s="109"/>
      <c r="E825" s="109"/>
      <c r="F825" s="109"/>
      <c r="G825" s="317"/>
      <c r="H825" s="109"/>
      <c r="I825" s="109"/>
      <c r="J825" s="109"/>
      <c r="K825" s="109"/>
      <c r="L825" s="109"/>
      <c r="M825" s="109"/>
      <c r="N825" s="109"/>
      <c r="O825" s="109"/>
      <c r="P825" s="109"/>
      <c r="Q825" s="109"/>
      <c r="R825" s="109"/>
      <c r="S825" s="109"/>
      <c r="T825" s="109"/>
      <c r="U825" s="109"/>
      <c r="V825" s="109"/>
      <c r="W825" s="109"/>
      <c r="X825" s="109"/>
      <c r="Y825" s="109"/>
      <c r="Z825" s="109"/>
    </row>
    <row r="826" ht="29.25" customHeight="1">
      <c r="A826" s="109"/>
      <c r="B826" s="109"/>
      <c r="C826" s="109"/>
      <c r="D826" s="109"/>
      <c r="E826" s="109"/>
      <c r="F826" s="109"/>
      <c r="G826" s="317"/>
      <c r="H826" s="109"/>
      <c r="I826" s="109"/>
      <c r="J826" s="109"/>
      <c r="K826" s="109"/>
      <c r="L826" s="109"/>
      <c r="M826" s="109"/>
      <c r="N826" s="109"/>
      <c r="O826" s="109"/>
      <c r="P826" s="109"/>
      <c r="Q826" s="109"/>
      <c r="R826" s="109"/>
      <c r="S826" s="109"/>
      <c r="T826" s="109"/>
      <c r="U826" s="109"/>
      <c r="V826" s="109"/>
      <c r="W826" s="109"/>
      <c r="X826" s="109"/>
      <c r="Y826" s="109"/>
      <c r="Z826" s="109"/>
    </row>
    <row r="827" ht="29.25" customHeight="1">
      <c r="A827" s="109"/>
      <c r="B827" s="109"/>
      <c r="C827" s="109"/>
      <c r="D827" s="109"/>
      <c r="E827" s="109"/>
      <c r="F827" s="109"/>
      <c r="G827" s="317"/>
      <c r="H827" s="109"/>
      <c r="I827" s="109"/>
      <c r="J827" s="109"/>
      <c r="K827" s="109"/>
      <c r="L827" s="109"/>
      <c r="M827" s="109"/>
      <c r="N827" s="109"/>
      <c r="O827" s="109"/>
      <c r="P827" s="109"/>
      <c r="Q827" s="109"/>
      <c r="R827" s="109"/>
      <c r="S827" s="109"/>
      <c r="T827" s="109"/>
      <c r="U827" s="109"/>
      <c r="V827" s="109"/>
      <c r="W827" s="109"/>
      <c r="X827" s="109"/>
      <c r="Y827" s="109"/>
      <c r="Z827" s="109"/>
    </row>
    <row r="828" ht="29.25" customHeight="1">
      <c r="A828" s="109"/>
      <c r="B828" s="109"/>
      <c r="C828" s="109"/>
      <c r="D828" s="109"/>
      <c r="E828" s="109"/>
      <c r="F828" s="109"/>
      <c r="G828" s="317"/>
      <c r="H828" s="109"/>
      <c r="I828" s="109"/>
      <c r="J828" s="109"/>
      <c r="K828" s="109"/>
      <c r="L828" s="109"/>
      <c r="M828" s="109"/>
      <c r="N828" s="109"/>
      <c r="O828" s="109"/>
      <c r="P828" s="109"/>
      <c r="Q828" s="109"/>
      <c r="R828" s="109"/>
      <c r="S828" s="109"/>
      <c r="T828" s="109"/>
      <c r="U828" s="109"/>
      <c r="V828" s="109"/>
      <c r="W828" s="109"/>
      <c r="X828" s="109"/>
      <c r="Y828" s="109"/>
      <c r="Z828" s="109"/>
    </row>
    <row r="829" ht="29.25" customHeight="1">
      <c r="A829" s="109"/>
      <c r="B829" s="109"/>
      <c r="C829" s="109"/>
      <c r="D829" s="109"/>
      <c r="E829" s="109"/>
      <c r="F829" s="109"/>
      <c r="G829" s="317"/>
      <c r="H829" s="109"/>
      <c r="I829" s="109"/>
      <c r="J829" s="109"/>
      <c r="K829" s="109"/>
      <c r="L829" s="109"/>
      <c r="M829" s="109"/>
      <c r="N829" s="109"/>
      <c r="O829" s="109"/>
      <c r="P829" s="109"/>
      <c r="Q829" s="109"/>
      <c r="R829" s="109"/>
      <c r="S829" s="109"/>
      <c r="T829" s="109"/>
      <c r="U829" s="109"/>
      <c r="V829" s="109"/>
      <c r="W829" s="109"/>
      <c r="X829" s="109"/>
      <c r="Y829" s="109"/>
      <c r="Z829" s="109"/>
    </row>
    <row r="830" ht="29.25" customHeight="1">
      <c r="A830" s="109"/>
      <c r="B830" s="109"/>
      <c r="C830" s="109"/>
      <c r="D830" s="109"/>
      <c r="E830" s="109"/>
      <c r="F830" s="109"/>
      <c r="G830" s="317"/>
      <c r="H830" s="109"/>
      <c r="I830" s="109"/>
      <c r="J830" s="109"/>
      <c r="K830" s="109"/>
      <c r="L830" s="109"/>
      <c r="M830" s="109"/>
      <c r="N830" s="109"/>
      <c r="O830" s="109"/>
      <c r="P830" s="109"/>
      <c r="Q830" s="109"/>
      <c r="R830" s="109"/>
      <c r="S830" s="109"/>
      <c r="T830" s="109"/>
      <c r="U830" s="109"/>
      <c r="V830" s="109"/>
      <c r="W830" s="109"/>
      <c r="X830" s="109"/>
      <c r="Y830" s="109"/>
      <c r="Z830" s="109"/>
    </row>
    <row r="831" ht="29.25" customHeight="1">
      <c r="A831" s="109"/>
      <c r="B831" s="109"/>
      <c r="C831" s="109"/>
      <c r="D831" s="109"/>
      <c r="E831" s="109"/>
      <c r="F831" s="109"/>
      <c r="G831" s="317"/>
      <c r="H831" s="109"/>
      <c r="I831" s="109"/>
      <c r="J831" s="109"/>
      <c r="K831" s="109"/>
      <c r="L831" s="109"/>
      <c r="M831" s="109"/>
      <c r="N831" s="109"/>
      <c r="O831" s="109"/>
      <c r="P831" s="109"/>
      <c r="Q831" s="109"/>
      <c r="R831" s="109"/>
      <c r="S831" s="109"/>
      <c r="T831" s="109"/>
      <c r="U831" s="109"/>
      <c r="V831" s="109"/>
      <c r="W831" s="109"/>
      <c r="X831" s="109"/>
      <c r="Y831" s="109"/>
      <c r="Z831" s="109"/>
    </row>
    <row r="832" ht="29.25" customHeight="1">
      <c r="A832" s="109"/>
      <c r="B832" s="109"/>
      <c r="C832" s="109"/>
      <c r="D832" s="109"/>
      <c r="E832" s="109"/>
      <c r="F832" s="109"/>
      <c r="G832" s="317"/>
      <c r="H832" s="109"/>
      <c r="I832" s="109"/>
      <c r="J832" s="109"/>
      <c r="K832" s="109"/>
      <c r="L832" s="109"/>
      <c r="M832" s="109"/>
      <c r="N832" s="109"/>
      <c r="O832" s="109"/>
      <c r="P832" s="109"/>
      <c r="Q832" s="109"/>
      <c r="R832" s="109"/>
      <c r="S832" s="109"/>
      <c r="T832" s="109"/>
      <c r="U832" s="109"/>
      <c r="V832" s="109"/>
      <c r="W832" s="109"/>
      <c r="X832" s="109"/>
      <c r="Y832" s="109"/>
      <c r="Z832" s="109"/>
    </row>
    <row r="833" ht="29.25" customHeight="1">
      <c r="A833" s="109"/>
      <c r="B833" s="109"/>
      <c r="C833" s="109"/>
      <c r="D833" s="109"/>
      <c r="E833" s="109"/>
      <c r="F833" s="109"/>
      <c r="G833" s="317"/>
      <c r="H833" s="109"/>
      <c r="I833" s="109"/>
      <c r="J833" s="109"/>
      <c r="K833" s="109"/>
      <c r="L833" s="109"/>
      <c r="M833" s="109"/>
      <c r="N833" s="109"/>
      <c r="O833" s="109"/>
      <c r="P833" s="109"/>
      <c r="Q833" s="109"/>
      <c r="R833" s="109"/>
      <c r="S833" s="109"/>
      <c r="T833" s="109"/>
      <c r="U833" s="109"/>
      <c r="V833" s="109"/>
      <c r="W833" s="109"/>
      <c r="X833" s="109"/>
      <c r="Y833" s="109"/>
      <c r="Z833" s="109"/>
    </row>
    <row r="834" ht="29.25" customHeight="1">
      <c r="A834" s="109"/>
      <c r="B834" s="109"/>
      <c r="C834" s="109"/>
      <c r="D834" s="109"/>
      <c r="E834" s="109"/>
      <c r="F834" s="109"/>
      <c r="G834" s="317"/>
      <c r="H834" s="109"/>
      <c r="I834" s="109"/>
      <c r="J834" s="109"/>
      <c r="K834" s="109"/>
      <c r="L834" s="109"/>
      <c r="M834" s="109"/>
      <c r="N834" s="109"/>
      <c r="O834" s="109"/>
      <c r="P834" s="109"/>
      <c r="Q834" s="109"/>
      <c r="R834" s="109"/>
      <c r="S834" s="109"/>
      <c r="T834" s="109"/>
      <c r="U834" s="109"/>
      <c r="V834" s="109"/>
      <c r="W834" s="109"/>
      <c r="X834" s="109"/>
      <c r="Y834" s="109"/>
      <c r="Z834" s="109"/>
    </row>
    <row r="835" ht="29.25" customHeight="1">
      <c r="A835" s="109"/>
      <c r="B835" s="109"/>
      <c r="C835" s="109"/>
      <c r="D835" s="109"/>
      <c r="E835" s="109"/>
      <c r="F835" s="109"/>
      <c r="G835" s="317"/>
      <c r="H835" s="109"/>
      <c r="I835" s="109"/>
      <c r="J835" s="109"/>
      <c r="K835" s="109"/>
      <c r="L835" s="109"/>
      <c r="M835" s="109"/>
      <c r="N835" s="109"/>
      <c r="O835" s="109"/>
      <c r="P835" s="109"/>
      <c r="Q835" s="109"/>
      <c r="R835" s="109"/>
      <c r="S835" s="109"/>
      <c r="T835" s="109"/>
      <c r="U835" s="109"/>
      <c r="V835" s="109"/>
      <c r="W835" s="109"/>
      <c r="X835" s="109"/>
      <c r="Y835" s="109"/>
      <c r="Z835" s="109"/>
    </row>
    <row r="836" ht="29.25" customHeight="1">
      <c r="A836" s="109"/>
      <c r="B836" s="109"/>
      <c r="C836" s="109"/>
      <c r="D836" s="109"/>
      <c r="E836" s="109"/>
      <c r="F836" s="109"/>
      <c r="G836" s="317"/>
      <c r="H836" s="109"/>
      <c r="I836" s="109"/>
      <c r="J836" s="109"/>
      <c r="K836" s="109"/>
      <c r="L836" s="109"/>
      <c r="M836" s="109"/>
      <c r="N836" s="109"/>
      <c r="O836" s="109"/>
      <c r="P836" s="109"/>
      <c r="Q836" s="109"/>
      <c r="R836" s="109"/>
      <c r="S836" s="109"/>
      <c r="T836" s="109"/>
      <c r="U836" s="109"/>
      <c r="V836" s="109"/>
      <c r="W836" s="109"/>
      <c r="X836" s="109"/>
      <c r="Y836" s="109"/>
      <c r="Z836" s="109"/>
    </row>
    <row r="837" ht="29.25" customHeight="1">
      <c r="A837" s="109"/>
      <c r="B837" s="109"/>
      <c r="C837" s="109"/>
      <c r="D837" s="109"/>
      <c r="E837" s="109"/>
      <c r="F837" s="109"/>
      <c r="G837" s="317"/>
      <c r="H837" s="109"/>
      <c r="I837" s="109"/>
      <c r="J837" s="109"/>
      <c r="K837" s="109"/>
      <c r="L837" s="109"/>
      <c r="M837" s="109"/>
      <c r="N837" s="109"/>
      <c r="O837" s="109"/>
      <c r="P837" s="109"/>
      <c r="Q837" s="109"/>
      <c r="R837" s="109"/>
      <c r="S837" s="109"/>
      <c r="T837" s="109"/>
      <c r="U837" s="109"/>
      <c r="V837" s="109"/>
      <c r="W837" s="109"/>
      <c r="X837" s="109"/>
      <c r="Y837" s="109"/>
      <c r="Z837" s="109"/>
    </row>
    <row r="838" ht="29.25" customHeight="1">
      <c r="A838" s="109"/>
      <c r="B838" s="109"/>
      <c r="C838" s="109"/>
      <c r="D838" s="109"/>
      <c r="E838" s="109"/>
      <c r="F838" s="109"/>
      <c r="G838" s="317"/>
      <c r="H838" s="109"/>
      <c r="I838" s="109"/>
      <c r="J838" s="109"/>
      <c r="K838" s="109"/>
      <c r="L838" s="109"/>
      <c r="M838" s="109"/>
      <c r="N838" s="109"/>
      <c r="O838" s="109"/>
      <c r="P838" s="109"/>
      <c r="Q838" s="109"/>
      <c r="R838" s="109"/>
      <c r="S838" s="109"/>
      <c r="T838" s="109"/>
      <c r="U838" s="109"/>
      <c r="V838" s="109"/>
      <c r="W838" s="109"/>
      <c r="X838" s="109"/>
      <c r="Y838" s="109"/>
      <c r="Z838" s="109"/>
    </row>
    <row r="839" ht="29.25" customHeight="1">
      <c r="A839" s="109"/>
      <c r="B839" s="109"/>
      <c r="C839" s="109"/>
      <c r="D839" s="109"/>
      <c r="E839" s="109"/>
      <c r="F839" s="109"/>
      <c r="G839" s="317"/>
      <c r="H839" s="109"/>
      <c r="I839" s="109"/>
      <c r="J839" s="109"/>
      <c r="K839" s="109"/>
      <c r="L839" s="109"/>
      <c r="M839" s="109"/>
      <c r="N839" s="109"/>
      <c r="O839" s="109"/>
      <c r="P839" s="109"/>
      <c r="Q839" s="109"/>
      <c r="R839" s="109"/>
      <c r="S839" s="109"/>
      <c r="T839" s="109"/>
      <c r="U839" s="109"/>
      <c r="V839" s="109"/>
      <c r="W839" s="109"/>
      <c r="X839" s="109"/>
      <c r="Y839" s="109"/>
      <c r="Z839" s="109"/>
    </row>
    <row r="840" ht="29.25" customHeight="1">
      <c r="A840" s="109"/>
      <c r="B840" s="109"/>
      <c r="C840" s="109"/>
      <c r="D840" s="109"/>
      <c r="E840" s="109"/>
      <c r="F840" s="109"/>
      <c r="G840" s="317"/>
      <c r="H840" s="109"/>
      <c r="I840" s="109"/>
      <c r="J840" s="109"/>
      <c r="K840" s="109"/>
      <c r="L840" s="109"/>
      <c r="M840" s="109"/>
      <c r="N840" s="109"/>
      <c r="O840" s="109"/>
      <c r="P840" s="109"/>
      <c r="Q840" s="109"/>
      <c r="R840" s="109"/>
      <c r="S840" s="109"/>
      <c r="T840" s="109"/>
      <c r="U840" s="109"/>
      <c r="V840" s="109"/>
      <c r="W840" s="109"/>
      <c r="X840" s="109"/>
      <c r="Y840" s="109"/>
      <c r="Z840" s="109"/>
    </row>
    <row r="841" ht="29.25" customHeight="1">
      <c r="A841" s="109"/>
      <c r="B841" s="109"/>
      <c r="C841" s="109"/>
      <c r="D841" s="109"/>
      <c r="E841" s="109"/>
      <c r="F841" s="109"/>
      <c r="G841" s="317"/>
      <c r="H841" s="109"/>
      <c r="I841" s="109"/>
      <c r="J841" s="109"/>
      <c r="K841" s="109"/>
      <c r="L841" s="109"/>
      <c r="M841" s="109"/>
      <c r="N841" s="109"/>
      <c r="O841" s="109"/>
      <c r="P841" s="109"/>
      <c r="Q841" s="109"/>
      <c r="R841" s="109"/>
      <c r="S841" s="109"/>
      <c r="T841" s="109"/>
      <c r="U841" s="109"/>
      <c r="V841" s="109"/>
      <c r="W841" s="109"/>
      <c r="X841" s="109"/>
      <c r="Y841" s="109"/>
      <c r="Z841" s="109"/>
    </row>
    <row r="842" ht="29.25" customHeight="1">
      <c r="A842" s="109"/>
      <c r="B842" s="109"/>
      <c r="C842" s="109"/>
      <c r="D842" s="109"/>
      <c r="E842" s="109"/>
      <c r="F842" s="109"/>
      <c r="G842" s="317"/>
      <c r="H842" s="109"/>
      <c r="I842" s="109"/>
      <c r="J842" s="109"/>
      <c r="K842" s="109"/>
      <c r="L842" s="109"/>
      <c r="M842" s="109"/>
      <c r="N842" s="109"/>
      <c r="O842" s="109"/>
      <c r="P842" s="109"/>
      <c r="Q842" s="109"/>
      <c r="R842" s="109"/>
      <c r="S842" s="109"/>
      <c r="T842" s="109"/>
      <c r="U842" s="109"/>
      <c r="V842" s="109"/>
      <c r="W842" s="109"/>
      <c r="X842" s="109"/>
      <c r="Y842" s="109"/>
      <c r="Z842" s="109"/>
    </row>
    <row r="843" ht="29.25" customHeight="1">
      <c r="A843" s="109"/>
      <c r="B843" s="109"/>
      <c r="C843" s="109"/>
      <c r="D843" s="109"/>
      <c r="E843" s="109"/>
      <c r="F843" s="109"/>
      <c r="G843" s="317"/>
      <c r="H843" s="109"/>
      <c r="I843" s="109"/>
      <c r="J843" s="109"/>
      <c r="K843" s="109"/>
      <c r="L843" s="109"/>
      <c r="M843" s="109"/>
      <c r="N843" s="109"/>
      <c r="O843" s="109"/>
      <c r="P843" s="109"/>
      <c r="Q843" s="109"/>
      <c r="R843" s="109"/>
      <c r="S843" s="109"/>
      <c r="T843" s="109"/>
      <c r="U843" s="109"/>
      <c r="V843" s="109"/>
      <c r="W843" s="109"/>
      <c r="X843" s="109"/>
      <c r="Y843" s="109"/>
      <c r="Z843" s="109"/>
    </row>
    <row r="844" ht="29.25" customHeight="1">
      <c r="A844" s="109"/>
      <c r="B844" s="109"/>
      <c r="C844" s="109"/>
      <c r="D844" s="109"/>
      <c r="E844" s="109"/>
      <c r="F844" s="109"/>
      <c r="G844" s="317"/>
      <c r="H844" s="109"/>
      <c r="I844" s="109"/>
      <c r="J844" s="109"/>
      <c r="K844" s="109"/>
      <c r="L844" s="109"/>
      <c r="M844" s="109"/>
      <c r="N844" s="109"/>
      <c r="O844" s="109"/>
      <c r="P844" s="109"/>
      <c r="Q844" s="109"/>
      <c r="R844" s="109"/>
      <c r="S844" s="109"/>
      <c r="T844" s="109"/>
      <c r="U844" s="109"/>
      <c r="V844" s="109"/>
      <c r="W844" s="109"/>
      <c r="X844" s="109"/>
      <c r="Y844" s="109"/>
      <c r="Z844" s="109"/>
    </row>
    <row r="845" ht="29.25" customHeight="1">
      <c r="A845" s="109"/>
      <c r="B845" s="109"/>
      <c r="C845" s="109"/>
      <c r="D845" s="109"/>
      <c r="E845" s="109"/>
      <c r="F845" s="109"/>
      <c r="G845" s="317"/>
      <c r="H845" s="109"/>
      <c r="I845" s="109"/>
      <c r="J845" s="109"/>
      <c r="K845" s="109"/>
      <c r="L845" s="109"/>
      <c r="M845" s="109"/>
      <c r="N845" s="109"/>
      <c r="O845" s="109"/>
      <c r="P845" s="109"/>
      <c r="Q845" s="109"/>
      <c r="R845" s="109"/>
      <c r="S845" s="109"/>
      <c r="T845" s="109"/>
      <c r="U845" s="109"/>
      <c r="V845" s="109"/>
      <c r="W845" s="109"/>
      <c r="X845" s="109"/>
      <c r="Y845" s="109"/>
      <c r="Z845" s="109"/>
    </row>
    <row r="846" ht="29.25" customHeight="1">
      <c r="A846" s="109"/>
      <c r="B846" s="109"/>
      <c r="C846" s="109"/>
      <c r="D846" s="109"/>
      <c r="E846" s="109"/>
      <c r="F846" s="109"/>
      <c r="G846" s="317"/>
      <c r="H846" s="109"/>
      <c r="I846" s="109"/>
      <c r="J846" s="109"/>
      <c r="K846" s="109"/>
      <c r="L846" s="109"/>
      <c r="M846" s="109"/>
      <c r="N846" s="109"/>
      <c r="O846" s="109"/>
      <c r="P846" s="109"/>
      <c r="Q846" s="109"/>
      <c r="R846" s="109"/>
      <c r="S846" s="109"/>
      <c r="T846" s="109"/>
      <c r="U846" s="109"/>
      <c r="V846" s="109"/>
      <c r="W846" s="109"/>
      <c r="X846" s="109"/>
      <c r="Y846" s="109"/>
      <c r="Z846" s="109"/>
    </row>
    <row r="847" ht="29.25" customHeight="1">
      <c r="A847" s="109"/>
      <c r="B847" s="109"/>
      <c r="C847" s="109"/>
      <c r="D847" s="109"/>
      <c r="E847" s="109"/>
      <c r="F847" s="109"/>
      <c r="G847" s="317"/>
      <c r="H847" s="109"/>
      <c r="I847" s="109"/>
      <c r="J847" s="109"/>
      <c r="K847" s="109"/>
      <c r="L847" s="109"/>
      <c r="M847" s="109"/>
      <c r="N847" s="109"/>
      <c r="O847" s="109"/>
      <c r="P847" s="109"/>
      <c r="Q847" s="109"/>
      <c r="R847" s="109"/>
      <c r="S847" s="109"/>
      <c r="T847" s="109"/>
      <c r="U847" s="109"/>
      <c r="V847" s="109"/>
      <c r="W847" s="109"/>
      <c r="X847" s="109"/>
      <c r="Y847" s="109"/>
      <c r="Z847" s="109"/>
    </row>
    <row r="848" ht="29.25" customHeight="1">
      <c r="A848" s="109"/>
      <c r="B848" s="109"/>
      <c r="C848" s="109"/>
      <c r="D848" s="109"/>
      <c r="E848" s="109"/>
      <c r="F848" s="109"/>
      <c r="G848" s="317"/>
      <c r="H848" s="109"/>
      <c r="I848" s="109"/>
      <c r="J848" s="109"/>
      <c r="K848" s="109"/>
      <c r="L848" s="109"/>
      <c r="M848" s="109"/>
      <c r="N848" s="109"/>
      <c r="O848" s="109"/>
      <c r="P848" s="109"/>
      <c r="Q848" s="109"/>
      <c r="R848" s="109"/>
      <c r="S848" s="109"/>
      <c r="T848" s="109"/>
      <c r="U848" s="109"/>
      <c r="V848" s="109"/>
      <c r="W848" s="109"/>
      <c r="X848" s="109"/>
      <c r="Y848" s="109"/>
      <c r="Z848" s="109"/>
    </row>
    <row r="849" ht="29.25" customHeight="1">
      <c r="A849" s="109"/>
      <c r="B849" s="109"/>
      <c r="C849" s="109"/>
      <c r="D849" s="109"/>
      <c r="E849" s="109"/>
      <c r="F849" s="109"/>
      <c r="G849" s="317"/>
      <c r="H849" s="109"/>
      <c r="I849" s="109"/>
      <c r="J849" s="109"/>
      <c r="K849" s="109"/>
      <c r="L849" s="109"/>
      <c r="M849" s="109"/>
      <c r="N849" s="109"/>
      <c r="O849" s="109"/>
      <c r="P849" s="109"/>
      <c r="Q849" s="109"/>
      <c r="R849" s="109"/>
      <c r="S849" s="109"/>
      <c r="T849" s="109"/>
      <c r="U849" s="109"/>
      <c r="V849" s="109"/>
      <c r="W849" s="109"/>
      <c r="X849" s="109"/>
      <c r="Y849" s="109"/>
      <c r="Z849" s="109"/>
    </row>
    <row r="850" ht="29.25" customHeight="1">
      <c r="A850" s="109"/>
      <c r="B850" s="109"/>
      <c r="C850" s="109"/>
      <c r="D850" s="109"/>
      <c r="E850" s="109"/>
      <c r="F850" s="109"/>
      <c r="G850" s="317"/>
      <c r="H850" s="109"/>
      <c r="I850" s="109"/>
      <c r="J850" s="109"/>
      <c r="K850" s="109"/>
      <c r="L850" s="109"/>
      <c r="M850" s="109"/>
      <c r="N850" s="109"/>
      <c r="O850" s="109"/>
      <c r="P850" s="109"/>
      <c r="Q850" s="109"/>
      <c r="R850" s="109"/>
      <c r="S850" s="109"/>
      <c r="T850" s="109"/>
      <c r="U850" s="109"/>
      <c r="V850" s="109"/>
      <c r="W850" s="109"/>
      <c r="X850" s="109"/>
      <c r="Y850" s="109"/>
      <c r="Z850" s="109"/>
    </row>
    <row r="851" ht="29.25" customHeight="1">
      <c r="A851" s="109"/>
      <c r="B851" s="109"/>
      <c r="C851" s="109"/>
      <c r="D851" s="109"/>
      <c r="E851" s="109"/>
      <c r="F851" s="109"/>
      <c r="G851" s="317"/>
      <c r="H851" s="109"/>
      <c r="I851" s="109"/>
      <c r="J851" s="109"/>
      <c r="K851" s="109"/>
      <c r="L851" s="109"/>
      <c r="M851" s="109"/>
      <c r="N851" s="109"/>
      <c r="O851" s="109"/>
      <c r="P851" s="109"/>
      <c r="Q851" s="109"/>
      <c r="R851" s="109"/>
      <c r="S851" s="109"/>
      <c r="T851" s="109"/>
      <c r="U851" s="109"/>
      <c r="V851" s="109"/>
      <c r="W851" s="109"/>
      <c r="X851" s="109"/>
      <c r="Y851" s="109"/>
      <c r="Z851" s="109"/>
    </row>
    <row r="852" ht="29.25" customHeight="1">
      <c r="A852" s="109"/>
      <c r="B852" s="109"/>
      <c r="C852" s="109"/>
      <c r="D852" s="109"/>
      <c r="E852" s="109"/>
      <c r="F852" s="109"/>
      <c r="G852" s="317"/>
      <c r="H852" s="109"/>
      <c r="I852" s="109"/>
      <c r="J852" s="109"/>
      <c r="K852" s="109"/>
      <c r="L852" s="109"/>
      <c r="M852" s="109"/>
      <c r="N852" s="109"/>
      <c r="O852" s="109"/>
      <c r="P852" s="109"/>
      <c r="Q852" s="109"/>
      <c r="R852" s="109"/>
      <c r="S852" s="109"/>
      <c r="T852" s="109"/>
      <c r="U852" s="109"/>
      <c r="V852" s="109"/>
      <c r="W852" s="109"/>
      <c r="X852" s="109"/>
      <c r="Y852" s="109"/>
      <c r="Z852" s="109"/>
    </row>
    <row r="853" ht="29.25" customHeight="1">
      <c r="A853" s="109"/>
      <c r="B853" s="109"/>
      <c r="C853" s="109"/>
      <c r="D853" s="109"/>
      <c r="E853" s="109"/>
      <c r="F853" s="109"/>
      <c r="G853" s="317"/>
      <c r="H853" s="109"/>
      <c r="I853" s="109"/>
      <c r="J853" s="109"/>
      <c r="K853" s="109"/>
      <c r="L853" s="109"/>
      <c r="M853" s="109"/>
      <c r="N853" s="109"/>
      <c r="O853" s="109"/>
      <c r="P853" s="109"/>
      <c r="Q853" s="109"/>
      <c r="R853" s="109"/>
      <c r="S853" s="109"/>
      <c r="T853" s="109"/>
      <c r="U853" s="109"/>
      <c r="V853" s="109"/>
      <c r="W853" s="109"/>
      <c r="X853" s="109"/>
      <c r="Y853" s="109"/>
      <c r="Z853" s="109"/>
    </row>
    <row r="854" ht="29.25" customHeight="1">
      <c r="A854" s="109"/>
      <c r="B854" s="109"/>
      <c r="C854" s="109"/>
      <c r="D854" s="109"/>
      <c r="E854" s="109"/>
      <c r="F854" s="109"/>
      <c r="G854" s="317"/>
      <c r="H854" s="109"/>
      <c r="I854" s="109"/>
      <c r="J854" s="109"/>
      <c r="K854" s="109"/>
      <c r="L854" s="109"/>
      <c r="M854" s="109"/>
      <c r="N854" s="109"/>
      <c r="O854" s="109"/>
      <c r="P854" s="109"/>
      <c r="Q854" s="109"/>
      <c r="R854" s="109"/>
      <c r="S854" s="109"/>
      <c r="T854" s="109"/>
      <c r="U854" s="109"/>
      <c r="V854" s="109"/>
      <c r="W854" s="109"/>
      <c r="X854" s="109"/>
      <c r="Y854" s="109"/>
      <c r="Z854" s="109"/>
    </row>
    <row r="855" ht="29.25" customHeight="1">
      <c r="A855" s="109"/>
      <c r="B855" s="109"/>
      <c r="C855" s="109"/>
      <c r="D855" s="109"/>
      <c r="E855" s="109"/>
      <c r="F855" s="109"/>
      <c r="G855" s="317"/>
      <c r="H855" s="109"/>
      <c r="I855" s="109"/>
      <c r="J855" s="109"/>
      <c r="K855" s="109"/>
      <c r="L855" s="109"/>
      <c r="M855" s="109"/>
      <c r="N855" s="109"/>
      <c r="O855" s="109"/>
      <c r="P855" s="109"/>
      <c r="Q855" s="109"/>
      <c r="R855" s="109"/>
      <c r="S855" s="109"/>
      <c r="T855" s="109"/>
      <c r="U855" s="109"/>
      <c r="V855" s="109"/>
      <c r="W855" s="109"/>
      <c r="X855" s="109"/>
      <c r="Y855" s="109"/>
      <c r="Z855" s="109"/>
    </row>
    <row r="856" ht="29.25" customHeight="1">
      <c r="A856" s="109"/>
      <c r="B856" s="109"/>
      <c r="C856" s="109"/>
      <c r="D856" s="109"/>
      <c r="E856" s="109"/>
      <c r="F856" s="109"/>
      <c r="G856" s="317"/>
      <c r="H856" s="109"/>
      <c r="I856" s="109"/>
      <c r="J856" s="109"/>
      <c r="K856" s="109"/>
      <c r="L856" s="109"/>
      <c r="M856" s="109"/>
      <c r="N856" s="109"/>
      <c r="O856" s="109"/>
      <c r="P856" s="109"/>
      <c r="Q856" s="109"/>
      <c r="R856" s="109"/>
      <c r="S856" s="109"/>
      <c r="T856" s="109"/>
      <c r="U856" s="109"/>
      <c r="V856" s="109"/>
      <c r="W856" s="109"/>
      <c r="X856" s="109"/>
      <c r="Y856" s="109"/>
      <c r="Z856" s="109"/>
    </row>
    <row r="857" ht="29.25" customHeight="1">
      <c r="A857" s="109"/>
      <c r="B857" s="109"/>
      <c r="C857" s="109"/>
      <c r="D857" s="109"/>
      <c r="E857" s="109"/>
      <c r="F857" s="109"/>
      <c r="G857" s="317"/>
      <c r="H857" s="109"/>
      <c r="I857" s="109"/>
      <c r="J857" s="109"/>
      <c r="K857" s="109"/>
      <c r="L857" s="109"/>
      <c r="M857" s="109"/>
      <c r="N857" s="109"/>
      <c r="O857" s="109"/>
      <c r="P857" s="109"/>
      <c r="Q857" s="109"/>
      <c r="R857" s="109"/>
      <c r="S857" s="109"/>
      <c r="T857" s="109"/>
      <c r="U857" s="109"/>
      <c r="V857" s="109"/>
      <c r="W857" s="109"/>
      <c r="X857" s="109"/>
      <c r="Y857" s="109"/>
      <c r="Z857" s="109"/>
    </row>
    <row r="858" ht="29.25" customHeight="1">
      <c r="A858" s="109"/>
      <c r="B858" s="109"/>
      <c r="C858" s="109"/>
      <c r="D858" s="109"/>
      <c r="E858" s="109"/>
      <c r="F858" s="109"/>
      <c r="G858" s="317"/>
      <c r="H858" s="109"/>
      <c r="I858" s="109"/>
      <c r="J858" s="109"/>
      <c r="K858" s="109"/>
      <c r="L858" s="109"/>
      <c r="M858" s="109"/>
      <c r="N858" s="109"/>
      <c r="O858" s="109"/>
      <c r="P858" s="109"/>
      <c r="Q858" s="109"/>
      <c r="R858" s="109"/>
      <c r="S858" s="109"/>
      <c r="T858" s="109"/>
      <c r="U858" s="109"/>
      <c r="V858" s="109"/>
      <c r="W858" s="109"/>
      <c r="X858" s="109"/>
      <c r="Y858" s="109"/>
      <c r="Z858" s="109"/>
    </row>
    <row r="859" ht="29.25" customHeight="1">
      <c r="A859" s="109"/>
      <c r="B859" s="109"/>
      <c r="C859" s="109"/>
      <c r="D859" s="109"/>
      <c r="E859" s="109"/>
      <c r="F859" s="109"/>
      <c r="G859" s="317"/>
      <c r="H859" s="109"/>
      <c r="I859" s="109"/>
      <c r="J859" s="109"/>
      <c r="K859" s="109"/>
      <c r="L859" s="109"/>
      <c r="M859" s="109"/>
      <c r="N859" s="109"/>
      <c r="O859" s="109"/>
      <c r="P859" s="109"/>
      <c r="Q859" s="109"/>
      <c r="R859" s="109"/>
      <c r="S859" s="109"/>
      <c r="T859" s="109"/>
      <c r="U859" s="109"/>
      <c r="V859" s="109"/>
      <c r="W859" s="109"/>
      <c r="X859" s="109"/>
      <c r="Y859" s="109"/>
      <c r="Z859" s="109"/>
    </row>
    <row r="860" ht="29.25" customHeight="1">
      <c r="A860" s="109"/>
      <c r="B860" s="109"/>
      <c r="C860" s="109"/>
      <c r="D860" s="109"/>
      <c r="E860" s="109"/>
      <c r="F860" s="109"/>
      <c r="G860" s="317"/>
      <c r="H860" s="109"/>
      <c r="I860" s="109"/>
      <c r="J860" s="109"/>
      <c r="K860" s="109"/>
      <c r="L860" s="109"/>
      <c r="M860" s="109"/>
      <c r="N860" s="109"/>
      <c r="O860" s="109"/>
      <c r="P860" s="109"/>
      <c r="Q860" s="109"/>
      <c r="R860" s="109"/>
      <c r="S860" s="109"/>
      <c r="T860" s="109"/>
      <c r="U860" s="109"/>
      <c r="V860" s="109"/>
      <c r="W860" s="109"/>
      <c r="X860" s="109"/>
      <c r="Y860" s="109"/>
      <c r="Z860" s="109"/>
    </row>
    <row r="861" ht="29.25" customHeight="1">
      <c r="A861" s="109"/>
      <c r="B861" s="109"/>
      <c r="C861" s="109"/>
      <c r="D861" s="109"/>
      <c r="E861" s="109"/>
      <c r="F861" s="109"/>
      <c r="G861" s="317"/>
      <c r="H861" s="109"/>
      <c r="I861" s="109"/>
      <c r="J861" s="109"/>
      <c r="K861" s="109"/>
      <c r="L861" s="109"/>
      <c r="M861" s="109"/>
      <c r="N861" s="109"/>
      <c r="O861" s="109"/>
      <c r="P861" s="109"/>
      <c r="Q861" s="109"/>
      <c r="R861" s="109"/>
      <c r="S861" s="109"/>
      <c r="T861" s="109"/>
      <c r="U861" s="109"/>
      <c r="V861" s="109"/>
      <c r="W861" s="109"/>
      <c r="X861" s="109"/>
      <c r="Y861" s="109"/>
      <c r="Z861" s="109"/>
    </row>
    <row r="862" ht="29.25" customHeight="1">
      <c r="A862" s="109"/>
      <c r="B862" s="109"/>
      <c r="C862" s="109"/>
      <c r="D862" s="109"/>
      <c r="E862" s="109"/>
      <c r="F862" s="109"/>
      <c r="G862" s="317"/>
      <c r="H862" s="109"/>
      <c r="I862" s="109"/>
      <c r="J862" s="109"/>
      <c r="K862" s="109"/>
      <c r="L862" s="109"/>
      <c r="M862" s="109"/>
      <c r="N862" s="109"/>
      <c r="O862" s="109"/>
      <c r="P862" s="109"/>
      <c r="Q862" s="109"/>
      <c r="R862" s="109"/>
      <c r="S862" s="109"/>
      <c r="T862" s="109"/>
      <c r="U862" s="109"/>
      <c r="V862" s="109"/>
      <c r="W862" s="109"/>
      <c r="X862" s="109"/>
      <c r="Y862" s="109"/>
      <c r="Z862" s="109"/>
    </row>
    <row r="863" ht="29.25" customHeight="1">
      <c r="A863" s="109"/>
      <c r="B863" s="109"/>
      <c r="C863" s="109"/>
      <c r="D863" s="109"/>
      <c r="E863" s="109"/>
      <c r="F863" s="109"/>
      <c r="G863" s="317"/>
      <c r="H863" s="109"/>
      <c r="I863" s="109"/>
      <c r="J863" s="109"/>
      <c r="K863" s="109"/>
      <c r="L863" s="109"/>
      <c r="M863" s="109"/>
      <c r="N863" s="109"/>
      <c r="O863" s="109"/>
      <c r="P863" s="109"/>
      <c r="Q863" s="109"/>
      <c r="R863" s="109"/>
      <c r="S863" s="109"/>
      <c r="T863" s="109"/>
      <c r="U863" s="109"/>
      <c r="V863" s="109"/>
      <c r="W863" s="109"/>
      <c r="X863" s="109"/>
      <c r="Y863" s="109"/>
      <c r="Z863" s="109"/>
    </row>
    <row r="864" ht="29.25" customHeight="1">
      <c r="A864" s="109"/>
      <c r="B864" s="109"/>
      <c r="C864" s="109"/>
      <c r="D864" s="109"/>
      <c r="E864" s="109"/>
      <c r="F864" s="109"/>
      <c r="G864" s="317"/>
      <c r="H864" s="109"/>
      <c r="I864" s="109"/>
      <c r="J864" s="109"/>
      <c r="K864" s="109"/>
      <c r="L864" s="109"/>
      <c r="M864" s="109"/>
      <c r="N864" s="109"/>
      <c r="O864" s="109"/>
      <c r="P864" s="109"/>
      <c r="Q864" s="109"/>
      <c r="R864" s="109"/>
      <c r="S864" s="109"/>
      <c r="T864" s="109"/>
      <c r="U864" s="109"/>
      <c r="V864" s="109"/>
      <c r="W864" s="109"/>
      <c r="X864" s="109"/>
      <c r="Y864" s="109"/>
      <c r="Z864" s="109"/>
    </row>
    <row r="865" ht="29.25" customHeight="1">
      <c r="A865" s="109"/>
      <c r="B865" s="109"/>
      <c r="C865" s="109"/>
      <c r="D865" s="109"/>
      <c r="E865" s="109"/>
      <c r="F865" s="109"/>
      <c r="G865" s="317"/>
      <c r="H865" s="109"/>
      <c r="I865" s="109"/>
      <c r="J865" s="109"/>
      <c r="K865" s="109"/>
      <c r="L865" s="109"/>
      <c r="M865" s="109"/>
      <c r="N865" s="109"/>
      <c r="O865" s="109"/>
      <c r="P865" s="109"/>
      <c r="Q865" s="109"/>
      <c r="R865" s="109"/>
      <c r="S865" s="109"/>
      <c r="T865" s="109"/>
      <c r="U865" s="109"/>
      <c r="V865" s="109"/>
      <c r="W865" s="109"/>
      <c r="X865" s="109"/>
      <c r="Y865" s="109"/>
      <c r="Z865" s="109"/>
    </row>
    <row r="866" ht="29.25" customHeight="1">
      <c r="A866" s="109"/>
      <c r="B866" s="109"/>
      <c r="C866" s="109"/>
      <c r="D866" s="109"/>
      <c r="E866" s="109"/>
      <c r="F866" s="109"/>
      <c r="G866" s="317"/>
      <c r="H866" s="109"/>
      <c r="I866" s="109"/>
      <c r="J866" s="109"/>
      <c r="K866" s="109"/>
      <c r="L866" s="109"/>
      <c r="M866" s="109"/>
      <c r="N866" s="109"/>
      <c r="O866" s="109"/>
      <c r="P866" s="109"/>
      <c r="Q866" s="109"/>
      <c r="R866" s="109"/>
      <c r="S866" s="109"/>
      <c r="T866" s="109"/>
      <c r="U866" s="109"/>
      <c r="V866" s="109"/>
      <c r="W866" s="109"/>
      <c r="X866" s="109"/>
      <c r="Y866" s="109"/>
      <c r="Z866" s="109"/>
    </row>
    <row r="867" ht="29.25" customHeight="1">
      <c r="A867" s="109"/>
      <c r="B867" s="109"/>
      <c r="C867" s="109"/>
      <c r="D867" s="109"/>
      <c r="E867" s="109"/>
      <c r="F867" s="109"/>
      <c r="G867" s="317"/>
      <c r="H867" s="109"/>
      <c r="I867" s="109"/>
      <c r="J867" s="109"/>
      <c r="K867" s="109"/>
      <c r="L867" s="109"/>
      <c r="M867" s="109"/>
      <c r="N867" s="109"/>
      <c r="O867" s="109"/>
      <c r="P867" s="109"/>
      <c r="Q867" s="109"/>
      <c r="R867" s="109"/>
      <c r="S867" s="109"/>
      <c r="T867" s="109"/>
      <c r="U867" s="109"/>
      <c r="V867" s="109"/>
      <c r="W867" s="109"/>
      <c r="X867" s="109"/>
      <c r="Y867" s="109"/>
      <c r="Z867" s="109"/>
    </row>
    <row r="868" ht="29.25" customHeight="1">
      <c r="A868" s="109"/>
      <c r="B868" s="109"/>
      <c r="C868" s="109"/>
      <c r="D868" s="109"/>
      <c r="E868" s="109"/>
      <c r="F868" s="109"/>
      <c r="G868" s="317"/>
      <c r="H868" s="109"/>
      <c r="I868" s="109"/>
      <c r="J868" s="109"/>
      <c r="K868" s="109"/>
      <c r="L868" s="109"/>
      <c r="M868" s="109"/>
      <c r="N868" s="109"/>
      <c r="O868" s="109"/>
      <c r="P868" s="109"/>
      <c r="Q868" s="109"/>
      <c r="R868" s="109"/>
      <c r="S868" s="109"/>
      <c r="T868" s="109"/>
      <c r="U868" s="109"/>
      <c r="V868" s="109"/>
      <c r="W868" s="109"/>
      <c r="X868" s="109"/>
      <c r="Y868" s="109"/>
      <c r="Z868" s="109"/>
    </row>
    <row r="869" ht="29.25" customHeight="1">
      <c r="A869" s="109"/>
      <c r="B869" s="109"/>
      <c r="C869" s="109"/>
      <c r="D869" s="109"/>
      <c r="E869" s="109"/>
      <c r="F869" s="109"/>
      <c r="G869" s="317"/>
      <c r="H869" s="109"/>
      <c r="I869" s="109"/>
      <c r="J869" s="109"/>
      <c r="K869" s="109"/>
      <c r="L869" s="109"/>
      <c r="M869" s="109"/>
      <c r="N869" s="109"/>
      <c r="O869" s="109"/>
      <c r="P869" s="109"/>
      <c r="Q869" s="109"/>
      <c r="R869" s="109"/>
      <c r="S869" s="109"/>
      <c r="T869" s="109"/>
      <c r="U869" s="109"/>
      <c r="V869" s="109"/>
      <c r="W869" s="109"/>
      <c r="X869" s="109"/>
      <c r="Y869" s="109"/>
      <c r="Z869" s="109"/>
    </row>
    <row r="870" ht="29.25" customHeight="1">
      <c r="A870" s="109"/>
      <c r="B870" s="109"/>
      <c r="C870" s="109"/>
      <c r="D870" s="109"/>
      <c r="E870" s="109"/>
      <c r="F870" s="109"/>
      <c r="G870" s="317"/>
      <c r="H870" s="109"/>
      <c r="I870" s="109"/>
      <c r="J870" s="109"/>
      <c r="K870" s="109"/>
      <c r="L870" s="109"/>
      <c r="M870" s="109"/>
      <c r="N870" s="109"/>
      <c r="O870" s="109"/>
      <c r="P870" s="109"/>
      <c r="Q870" s="109"/>
      <c r="R870" s="109"/>
      <c r="S870" s="109"/>
      <c r="T870" s="109"/>
      <c r="U870" s="109"/>
      <c r="V870" s="109"/>
      <c r="W870" s="109"/>
      <c r="X870" s="109"/>
      <c r="Y870" s="109"/>
      <c r="Z870" s="109"/>
    </row>
    <row r="871" ht="29.25" customHeight="1">
      <c r="A871" s="109"/>
      <c r="B871" s="109"/>
      <c r="C871" s="109"/>
      <c r="D871" s="109"/>
      <c r="E871" s="109"/>
      <c r="F871" s="109"/>
      <c r="G871" s="317"/>
      <c r="H871" s="109"/>
      <c r="I871" s="109"/>
      <c r="J871" s="109"/>
      <c r="K871" s="109"/>
      <c r="L871" s="109"/>
      <c r="M871" s="109"/>
      <c r="N871" s="109"/>
      <c r="O871" s="109"/>
      <c r="P871" s="109"/>
      <c r="Q871" s="109"/>
      <c r="R871" s="109"/>
      <c r="S871" s="109"/>
      <c r="T871" s="109"/>
      <c r="U871" s="109"/>
      <c r="V871" s="109"/>
      <c r="W871" s="109"/>
      <c r="X871" s="109"/>
      <c r="Y871" s="109"/>
      <c r="Z871" s="109"/>
    </row>
    <row r="872" ht="29.25" customHeight="1">
      <c r="A872" s="109"/>
      <c r="B872" s="109"/>
      <c r="C872" s="109"/>
      <c r="D872" s="109"/>
      <c r="E872" s="109"/>
      <c r="F872" s="109"/>
      <c r="G872" s="317"/>
      <c r="H872" s="109"/>
      <c r="I872" s="109"/>
      <c r="J872" s="109"/>
      <c r="K872" s="109"/>
      <c r="L872" s="109"/>
      <c r="M872" s="109"/>
      <c r="N872" s="109"/>
      <c r="O872" s="109"/>
      <c r="P872" s="109"/>
      <c r="Q872" s="109"/>
      <c r="R872" s="109"/>
      <c r="S872" s="109"/>
      <c r="T872" s="109"/>
      <c r="U872" s="109"/>
      <c r="V872" s="109"/>
      <c r="W872" s="109"/>
      <c r="X872" s="109"/>
      <c r="Y872" s="109"/>
      <c r="Z872" s="109"/>
    </row>
    <row r="873" ht="29.25" customHeight="1">
      <c r="A873" s="109"/>
      <c r="B873" s="109"/>
      <c r="C873" s="109"/>
      <c r="D873" s="109"/>
      <c r="E873" s="109"/>
      <c r="F873" s="109"/>
      <c r="G873" s="317"/>
      <c r="H873" s="109"/>
      <c r="I873" s="109"/>
      <c r="J873" s="109"/>
      <c r="K873" s="109"/>
      <c r="L873" s="109"/>
      <c r="M873" s="109"/>
      <c r="N873" s="109"/>
      <c r="O873" s="109"/>
      <c r="P873" s="109"/>
      <c r="Q873" s="109"/>
      <c r="R873" s="109"/>
      <c r="S873" s="109"/>
      <c r="T873" s="109"/>
      <c r="U873" s="109"/>
      <c r="V873" s="109"/>
      <c r="W873" s="109"/>
      <c r="X873" s="109"/>
      <c r="Y873" s="109"/>
      <c r="Z873" s="109"/>
    </row>
    <row r="874" ht="29.25" customHeight="1">
      <c r="A874" s="109"/>
      <c r="B874" s="109"/>
      <c r="C874" s="109"/>
      <c r="D874" s="109"/>
      <c r="E874" s="109"/>
      <c r="F874" s="109"/>
      <c r="G874" s="317"/>
      <c r="H874" s="109"/>
      <c r="I874" s="109"/>
      <c r="J874" s="109"/>
      <c r="K874" s="109"/>
      <c r="L874" s="109"/>
      <c r="M874" s="109"/>
      <c r="N874" s="109"/>
      <c r="O874" s="109"/>
      <c r="P874" s="109"/>
      <c r="Q874" s="109"/>
      <c r="R874" s="109"/>
      <c r="S874" s="109"/>
      <c r="T874" s="109"/>
      <c r="U874" s="109"/>
      <c r="V874" s="109"/>
      <c r="W874" s="109"/>
      <c r="X874" s="109"/>
      <c r="Y874" s="109"/>
      <c r="Z874" s="109"/>
    </row>
    <row r="875" ht="29.25" customHeight="1">
      <c r="A875" s="109"/>
      <c r="B875" s="109"/>
      <c r="C875" s="109"/>
      <c r="D875" s="109"/>
      <c r="E875" s="109"/>
      <c r="F875" s="109"/>
      <c r="G875" s="317"/>
      <c r="H875" s="109"/>
      <c r="I875" s="109"/>
      <c r="J875" s="109"/>
      <c r="K875" s="109"/>
      <c r="L875" s="109"/>
      <c r="M875" s="109"/>
      <c r="N875" s="109"/>
      <c r="O875" s="109"/>
      <c r="P875" s="109"/>
      <c r="Q875" s="109"/>
      <c r="R875" s="109"/>
      <c r="S875" s="109"/>
      <c r="T875" s="109"/>
      <c r="U875" s="109"/>
      <c r="V875" s="109"/>
      <c r="W875" s="109"/>
      <c r="X875" s="109"/>
      <c r="Y875" s="109"/>
      <c r="Z875" s="109"/>
    </row>
    <row r="876" ht="29.25" customHeight="1">
      <c r="A876" s="109"/>
      <c r="B876" s="109"/>
      <c r="C876" s="109"/>
      <c r="D876" s="109"/>
      <c r="E876" s="109"/>
      <c r="F876" s="109"/>
      <c r="G876" s="317"/>
      <c r="H876" s="109"/>
      <c r="I876" s="109"/>
      <c r="J876" s="109"/>
      <c r="K876" s="109"/>
      <c r="L876" s="109"/>
      <c r="M876" s="109"/>
      <c r="N876" s="109"/>
      <c r="O876" s="109"/>
      <c r="P876" s="109"/>
      <c r="Q876" s="109"/>
      <c r="R876" s="109"/>
      <c r="S876" s="109"/>
      <c r="T876" s="109"/>
      <c r="U876" s="109"/>
      <c r="V876" s="109"/>
      <c r="W876" s="109"/>
      <c r="X876" s="109"/>
      <c r="Y876" s="109"/>
      <c r="Z876" s="109"/>
    </row>
    <row r="877" ht="29.25" customHeight="1">
      <c r="A877" s="109"/>
      <c r="B877" s="109"/>
      <c r="C877" s="109"/>
      <c r="D877" s="109"/>
      <c r="E877" s="109"/>
      <c r="F877" s="109"/>
      <c r="G877" s="317"/>
      <c r="H877" s="109"/>
      <c r="I877" s="109"/>
      <c r="J877" s="109"/>
      <c r="K877" s="109"/>
      <c r="L877" s="109"/>
      <c r="M877" s="109"/>
      <c r="N877" s="109"/>
      <c r="O877" s="109"/>
      <c r="P877" s="109"/>
      <c r="Q877" s="109"/>
      <c r="R877" s="109"/>
      <c r="S877" s="109"/>
      <c r="T877" s="109"/>
      <c r="U877" s="109"/>
      <c r="V877" s="109"/>
      <c r="W877" s="109"/>
      <c r="X877" s="109"/>
      <c r="Y877" s="109"/>
      <c r="Z877" s="109"/>
    </row>
    <row r="878" ht="29.25" customHeight="1">
      <c r="A878" s="109"/>
      <c r="B878" s="109"/>
      <c r="C878" s="109"/>
      <c r="D878" s="109"/>
      <c r="E878" s="109"/>
      <c r="F878" s="109"/>
      <c r="G878" s="317"/>
      <c r="H878" s="109"/>
      <c r="I878" s="109"/>
      <c r="J878" s="109"/>
      <c r="K878" s="109"/>
      <c r="L878" s="109"/>
      <c r="M878" s="109"/>
      <c r="N878" s="109"/>
      <c r="O878" s="109"/>
      <c r="P878" s="109"/>
      <c r="Q878" s="109"/>
      <c r="R878" s="109"/>
      <c r="S878" s="109"/>
      <c r="T878" s="109"/>
      <c r="U878" s="109"/>
      <c r="V878" s="109"/>
      <c r="W878" s="109"/>
      <c r="X878" s="109"/>
      <c r="Y878" s="109"/>
      <c r="Z878" s="109"/>
    </row>
    <row r="879" ht="29.25" customHeight="1">
      <c r="A879" s="109"/>
      <c r="B879" s="109"/>
      <c r="C879" s="109"/>
      <c r="D879" s="109"/>
      <c r="E879" s="109"/>
      <c r="F879" s="109"/>
      <c r="G879" s="317"/>
      <c r="H879" s="109"/>
      <c r="I879" s="109"/>
      <c r="J879" s="109"/>
      <c r="K879" s="109"/>
      <c r="L879" s="109"/>
      <c r="M879" s="109"/>
      <c r="N879" s="109"/>
      <c r="O879" s="109"/>
      <c r="P879" s="109"/>
      <c r="Q879" s="109"/>
      <c r="R879" s="109"/>
      <c r="S879" s="109"/>
      <c r="T879" s="109"/>
      <c r="U879" s="109"/>
      <c r="V879" s="109"/>
      <c r="W879" s="109"/>
      <c r="X879" s="109"/>
      <c r="Y879" s="109"/>
      <c r="Z879" s="109"/>
    </row>
    <row r="880" ht="29.25" customHeight="1">
      <c r="A880" s="109"/>
      <c r="B880" s="109"/>
      <c r="C880" s="109"/>
      <c r="D880" s="109"/>
      <c r="E880" s="109"/>
      <c r="F880" s="109"/>
      <c r="G880" s="317"/>
      <c r="H880" s="109"/>
      <c r="I880" s="109"/>
      <c r="J880" s="109"/>
      <c r="K880" s="109"/>
      <c r="L880" s="109"/>
      <c r="M880" s="109"/>
      <c r="N880" s="109"/>
      <c r="O880" s="109"/>
      <c r="P880" s="109"/>
      <c r="Q880" s="109"/>
      <c r="R880" s="109"/>
      <c r="S880" s="109"/>
      <c r="T880" s="109"/>
      <c r="U880" s="109"/>
      <c r="V880" s="109"/>
      <c r="W880" s="109"/>
      <c r="X880" s="109"/>
      <c r="Y880" s="109"/>
      <c r="Z880" s="109"/>
    </row>
    <row r="881" ht="29.25" customHeight="1">
      <c r="A881" s="109"/>
      <c r="B881" s="109"/>
      <c r="C881" s="109"/>
      <c r="D881" s="109"/>
      <c r="E881" s="109"/>
      <c r="F881" s="109"/>
      <c r="G881" s="317"/>
      <c r="H881" s="109"/>
      <c r="I881" s="109"/>
      <c r="J881" s="109"/>
      <c r="K881" s="109"/>
      <c r="L881" s="109"/>
      <c r="M881" s="109"/>
      <c r="N881" s="109"/>
      <c r="O881" s="109"/>
      <c r="P881" s="109"/>
      <c r="Q881" s="109"/>
      <c r="R881" s="109"/>
      <c r="S881" s="109"/>
      <c r="T881" s="109"/>
      <c r="U881" s="109"/>
      <c r="V881" s="109"/>
      <c r="W881" s="109"/>
      <c r="X881" s="109"/>
      <c r="Y881" s="109"/>
      <c r="Z881" s="109"/>
    </row>
    <row r="882" ht="29.25" customHeight="1">
      <c r="A882" s="109"/>
      <c r="B882" s="109"/>
      <c r="C882" s="109"/>
      <c r="D882" s="109"/>
      <c r="E882" s="109"/>
      <c r="F882" s="109"/>
      <c r="G882" s="317"/>
      <c r="H882" s="109"/>
      <c r="I882" s="109"/>
      <c r="J882" s="109"/>
      <c r="K882" s="109"/>
      <c r="L882" s="109"/>
      <c r="M882" s="109"/>
      <c r="N882" s="109"/>
      <c r="O882" s="109"/>
      <c r="P882" s="109"/>
      <c r="Q882" s="109"/>
      <c r="R882" s="109"/>
      <c r="S882" s="109"/>
      <c r="T882" s="109"/>
      <c r="U882" s="109"/>
      <c r="V882" s="109"/>
      <c r="W882" s="109"/>
      <c r="X882" s="109"/>
      <c r="Y882" s="109"/>
      <c r="Z882" s="109"/>
    </row>
    <row r="883" ht="29.25" customHeight="1">
      <c r="A883" s="109"/>
      <c r="B883" s="109"/>
      <c r="C883" s="109"/>
      <c r="D883" s="109"/>
      <c r="E883" s="109"/>
      <c r="F883" s="109"/>
      <c r="G883" s="317"/>
      <c r="H883" s="109"/>
      <c r="I883" s="109"/>
      <c r="J883" s="109"/>
      <c r="K883" s="109"/>
      <c r="L883" s="109"/>
      <c r="M883" s="109"/>
      <c r="N883" s="109"/>
      <c r="O883" s="109"/>
      <c r="P883" s="109"/>
      <c r="Q883" s="109"/>
      <c r="R883" s="109"/>
      <c r="S883" s="109"/>
      <c r="T883" s="109"/>
      <c r="U883" s="109"/>
      <c r="V883" s="109"/>
      <c r="W883" s="109"/>
      <c r="X883" s="109"/>
      <c r="Y883" s="109"/>
      <c r="Z883" s="109"/>
    </row>
    <row r="884" ht="29.25" customHeight="1">
      <c r="A884" s="109"/>
      <c r="B884" s="109"/>
      <c r="C884" s="109"/>
      <c r="D884" s="109"/>
      <c r="E884" s="109"/>
      <c r="F884" s="109"/>
      <c r="G884" s="317"/>
      <c r="H884" s="109"/>
      <c r="I884" s="109"/>
      <c r="J884" s="109"/>
      <c r="K884" s="109"/>
      <c r="L884" s="109"/>
      <c r="M884" s="109"/>
      <c r="N884" s="109"/>
      <c r="O884" s="109"/>
      <c r="P884" s="109"/>
      <c r="Q884" s="109"/>
      <c r="R884" s="109"/>
      <c r="S884" s="109"/>
      <c r="T884" s="109"/>
      <c r="U884" s="109"/>
      <c r="V884" s="109"/>
      <c r="W884" s="109"/>
      <c r="X884" s="109"/>
      <c r="Y884" s="109"/>
      <c r="Z884" s="109"/>
    </row>
    <row r="885" ht="29.25" customHeight="1">
      <c r="A885" s="109"/>
      <c r="B885" s="109"/>
      <c r="C885" s="109"/>
      <c r="D885" s="109"/>
      <c r="E885" s="109"/>
      <c r="F885" s="109"/>
      <c r="G885" s="317"/>
      <c r="H885" s="109"/>
      <c r="I885" s="109"/>
      <c r="J885" s="109"/>
      <c r="K885" s="109"/>
      <c r="L885" s="109"/>
      <c r="M885" s="109"/>
      <c r="N885" s="109"/>
      <c r="O885" s="109"/>
      <c r="P885" s="109"/>
      <c r="Q885" s="109"/>
      <c r="R885" s="109"/>
      <c r="S885" s="109"/>
      <c r="T885" s="109"/>
      <c r="U885" s="109"/>
      <c r="V885" s="109"/>
      <c r="W885" s="109"/>
      <c r="X885" s="109"/>
      <c r="Y885" s="109"/>
      <c r="Z885" s="109"/>
    </row>
    <row r="886" ht="29.25" customHeight="1">
      <c r="A886" s="109"/>
      <c r="B886" s="109"/>
      <c r="C886" s="109"/>
      <c r="D886" s="109"/>
      <c r="E886" s="109"/>
      <c r="F886" s="109"/>
      <c r="G886" s="317"/>
      <c r="H886" s="109"/>
      <c r="I886" s="109"/>
      <c r="J886" s="109"/>
      <c r="K886" s="109"/>
      <c r="L886" s="109"/>
      <c r="M886" s="109"/>
      <c r="N886" s="109"/>
      <c r="O886" s="109"/>
      <c r="P886" s="109"/>
      <c r="Q886" s="109"/>
      <c r="R886" s="109"/>
      <c r="S886" s="109"/>
      <c r="T886" s="109"/>
      <c r="U886" s="109"/>
      <c r="V886" s="109"/>
      <c r="W886" s="109"/>
      <c r="X886" s="109"/>
      <c r="Y886" s="109"/>
      <c r="Z886" s="109"/>
    </row>
    <row r="887" ht="29.25" customHeight="1">
      <c r="A887" s="109"/>
      <c r="B887" s="109"/>
      <c r="C887" s="109"/>
      <c r="D887" s="109"/>
      <c r="E887" s="109"/>
      <c r="F887" s="109"/>
      <c r="G887" s="317"/>
      <c r="H887" s="109"/>
      <c r="I887" s="109"/>
      <c r="J887" s="109"/>
      <c r="K887" s="109"/>
      <c r="L887" s="109"/>
      <c r="M887" s="109"/>
      <c r="N887" s="109"/>
      <c r="O887" s="109"/>
      <c r="P887" s="109"/>
      <c r="Q887" s="109"/>
      <c r="R887" s="109"/>
      <c r="S887" s="109"/>
      <c r="T887" s="109"/>
      <c r="U887" s="109"/>
      <c r="V887" s="109"/>
      <c r="W887" s="109"/>
      <c r="X887" s="109"/>
      <c r="Y887" s="109"/>
      <c r="Z887" s="109"/>
    </row>
    <row r="888" ht="29.25" customHeight="1">
      <c r="A888" s="109"/>
      <c r="B888" s="109"/>
      <c r="C888" s="109"/>
      <c r="D888" s="109"/>
      <c r="E888" s="109"/>
      <c r="F888" s="109"/>
      <c r="G888" s="317"/>
      <c r="H888" s="109"/>
      <c r="I888" s="109"/>
      <c r="J888" s="109"/>
      <c r="K888" s="109"/>
      <c r="L888" s="109"/>
      <c r="M888" s="109"/>
      <c r="N888" s="109"/>
      <c r="O888" s="109"/>
      <c r="P888" s="109"/>
      <c r="Q888" s="109"/>
      <c r="R888" s="109"/>
      <c r="S888" s="109"/>
      <c r="T888" s="109"/>
      <c r="U888" s="109"/>
      <c r="V888" s="109"/>
      <c r="W888" s="109"/>
      <c r="X888" s="109"/>
      <c r="Y888" s="109"/>
      <c r="Z888" s="109"/>
    </row>
    <row r="889" ht="29.25" customHeight="1">
      <c r="A889" s="109"/>
      <c r="B889" s="109"/>
      <c r="C889" s="109"/>
      <c r="D889" s="109"/>
      <c r="E889" s="109"/>
      <c r="F889" s="109"/>
      <c r="G889" s="317"/>
      <c r="H889" s="109"/>
      <c r="I889" s="109"/>
      <c r="J889" s="109"/>
      <c r="K889" s="109"/>
      <c r="L889" s="109"/>
      <c r="M889" s="109"/>
      <c r="N889" s="109"/>
      <c r="O889" s="109"/>
      <c r="P889" s="109"/>
      <c r="Q889" s="109"/>
      <c r="R889" s="109"/>
      <c r="S889" s="109"/>
      <c r="T889" s="109"/>
      <c r="U889" s="109"/>
      <c r="V889" s="109"/>
      <c r="W889" s="109"/>
      <c r="X889" s="109"/>
      <c r="Y889" s="109"/>
      <c r="Z889" s="109"/>
    </row>
    <row r="890" ht="29.25" customHeight="1">
      <c r="A890" s="109"/>
      <c r="B890" s="109"/>
      <c r="C890" s="109"/>
      <c r="D890" s="109"/>
      <c r="E890" s="109"/>
      <c r="F890" s="109"/>
      <c r="G890" s="317"/>
      <c r="H890" s="109"/>
      <c r="I890" s="109"/>
      <c r="J890" s="109"/>
      <c r="K890" s="109"/>
      <c r="L890" s="109"/>
      <c r="M890" s="109"/>
      <c r="N890" s="109"/>
      <c r="O890" s="109"/>
      <c r="P890" s="109"/>
      <c r="Q890" s="109"/>
      <c r="R890" s="109"/>
      <c r="S890" s="109"/>
      <c r="T890" s="109"/>
      <c r="U890" s="109"/>
      <c r="V890" s="109"/>
      <c r="W890" s="109"/>
      <c r="X890" s="109"/>
      <c r="Y890" s="109"/>
      <c r="Z890" s="109"/>
    </row>
    <row r="891" ht="29.25" customHeight="1">
      <c r="A891" s="109"/>
      <c r="B891" s="109"/>
      <c r="C891" s="109"/>
      <c r="D891" s="109"/>
      <c r="E891" s="109"/>
      <c r="F891" s="109"/>
      <c r="G891" s="317"/>
      <c r="H891" s="109"/>
      <c r="I891" s="109"/>
      <c r="J891" s="109"/>
      <c r="K891" s="109"/>
      <c r="L891" s="109"/>
      <c r="M891" s="109"/>
      <c r="N891" s="109"/>
      <c r="O891" s="109"/>
      <c r="P891" s="109"/>
      <c r="Q891" s="109"/>
      <c r="R891" s="109"/>
      <c r="S891" s="109"/>
      <c r="T891" s="109"/>
      <c r="U891" s="109"/>
      <c r="V891" s="109"/>
      <c r="W891" s="109"/>
      <c r="X891" s="109"/>
      <c r="Y891" s="109"/>
      <c r="Z891" s="109"/>
    </row>
    <row r="892" ht="29.25" customHeight="1">
      <c r="A892" s="109"/>
      <c r="B892" s="109"/>
      <c r="C892" s="109"/>
      <c r="D892" s="109"/>
      <c r="E892" s="109"/>
      <c r="F892" s="109"/>
      <c r="G892" s="317"/>
      <c r="H892" s="109"/>
      <c r="I892" s="109"/>
      <c r="J892" s="109"/>
      <c r="K892" s="109"/>
      <c r="L892" s="109"/>
      <c r="M892" s="109"/>
      <c r="N892" s="109"/>
      <c r="O892" s="109"/>
      <c r="P892" s="109"/>
      <c r="Q892" s="109"/>
      <c r="R892" s="109"/>
      <c r="S892" s="109"/>
      <c r="T892" s="109"/>
      <c r="U892" s="109"/>
      <c r="V892" s="109"/>
      <c r="W892" s="109"/>
      <c r="X892" s="109"/>
      <c r="Y892" s="109"/>
      <c r="Z892" s="109"/>
    </row>
    <row r="893" ht="29.25" customHeight="1">
      <c r="A893" s="109"/>
      <c r="B893" s="109"/>
      <c r="C893" s="109"/>
      <c r="D893" s="109"/>
      <c r="E893" s="109"/>
      <c r="F893" s="109"/>
      <c r="G893" s="317"/>
      <c r="H893" s="109"/>
      <c r="I893" s="109"/>
      <c r="J893" s="109"/>
      <c r="K893" s="109"/>
      <c r="L893" s="109"/>
      <c r="M893" s="109"/>
      <c r="N893" s="109"/>
      <c r="O893" s="109"/>
      <c r="P893" s="109"/>
      <c r="Q893" s="109"/>
      <c r="R893" s="109"/>
      <c r="S893" s="109"/>
      <c r="T893" s="109"/>
      <c r="U893" s="109"/>
      <c r="V893" s="109"/>
      <c r="W893" s="109"/>
      <c r="X893" s="109"/>
      <c r="Y893" s="109"/>
      <c r="Z893" s="109"/>
    </row>
    <row r="894" ht="29.25" customHeight="1">
      <c r="A894" s="109"/>
      <c r="B894" s="109"/>
      <c r="C894" s="109"/>
      <c r="D894" s="109"/>
      <c r="E894" s="109"/>
      <c r="F894" s="109"/>
      <c r="G894" s="317"/>
      <c r="H894" s="109"/>
      <c r="I894" s="109"/>
      <c r="J894" s="109"/>
      <c r="K894" s="109"/>
      <c r="L894" s="109"/>
      <c r="M894" s="109"/>
      <c r="N894" s="109"/>
      <c r="O894" s="109"/>
      <c r="P894" s="109"/>
      <c r="Q894" s="109"/>
      <c r="R894" s="109"/>
      <c r="S894" s="109"/>
      <c r="T894" s="109"/>
      <c r="U894" s="109"/>
      <c r="V894" s="109"/>
      <c r="W894" s="109"/>
      <c r="X894" s="109"/>
      <c r="Y894" s="109"/>
      <c r="Z894" s="109"/>
    </row>
    <row r="895" ht="29.25" customHeight="1">
      <c r="A895" s="109"/>
      <c r="B895" s="109"/>
      <c r="C895" s="109"/>
      <c r="D895" s="109"/>
      <c r="E895" s="109"/>
      <c r="F895" s="109"/>
      <c r="G895" s="317"/>
      <c r="H895" s="109"/>
      <c r="I895" s="109"/>
      <c r="J895" s="109"/>
      <c r="K895" s="109"/>
      <c r="L895" s="109"/>
      <c r="M895" s="109"/>
      <c r="N895" s="109"/>
      <c r="O895" s="109"/>
      <c r="P895" s="109"/>
      <c r="Q895" s="109"/>
      <c r="R895" s="109"/>
      <c r="S895" s="109"/>
      <c r="T895" s="109"/>
      <c r="U895" s="109"/>
      <c r="V895" s="109"/>
      <c r="W895" s="109"/>
      <c r="X895" s="109"/>
      <c r="Y895" s="109"/>
      <c r="Z895" s="109"/>
    </row>
    <row r="896" ht="29.25" customHeight="1">
      <c r="A896" s="109"/>
      <c r="B896" s="109"/>
      <c r="C896" s="109"/>
      <c r="D896" s="109"/>
      <c r="E896" s="109"/>
      <c r="F896" s="109"/>
      <c r="G896" s="317"/>
      <c r="H896" s="109"/>
      <c r="I896" s="109"/>
      <c r="J896" s="109"/>
      <c r="K896" s="109"/>
      <c r="L896" s="109"/>
      <c r="M896" s="109"/>
      <c r="N896" s="109"/>
      <c r="O896" s="109"/>
      <c r="P896" s="109"/>
      <c r="Q896" s="109"/>
      <c r="R896" s="109"/>
      <c r="S896" s="109"/>
      <c r="T896" s="109"/>
      <c r="U896" s="109"/>
      <c r="V896" s="109"/>
      <c r="W896" s="109"/>
      <c r="X896" s="109"/>
      <c r="Y896" s="109"/>
      <c r="Z896" s="109"/>
    </row>
    <row r="897" ht="29.25" customHeight="1">
      <c r="A897" s="109"/>
      <c r="B897" s="109"/>
      <c r="C897" s="109"/>
      <c r="D897" s="109"/>
      <c r="E897" s="109"/>
      <c r="F897" s="109"/>
      <c r="G897" s="317"/>
      <c r="H897" s="109"/>
      <c r="I897" s="109"/>
      <c r="J897" s="109"/>
      <c r="K897" s="109"/>
      <c r="L897" s="109"/>
      <c r="M897" s="109"/>
      <c r="N897" s="109"/>
      <c r="O897" s="109"/>
      <c r="P897" s="109"/>
      <c r="Q897" s="109"/>
      <c r="R897" s="109"/>
      <c r="S897" s="109"/>
      <c r="T897" s="109"/>
      <c r="U897" s="109"/>
      <c r="V897" s="109"/>
      <c r="W897" s="109"/>
      <c r="X897" s="109"/>
      <c r="Y897" s="109"/>
      <c r="Z897" s="109"/>
    </row>
    <row r="898" ht="29.25" customHeight="1">
      <c r="A898" s="109"/>
      <c r="B898" s="109"/>
      <c r="C898" s="109"/>
      <c r="D898" s="109"/>
      <c r="E898" s="109"/>
      <c r="F898" s="109"/>
      <c r="G898" s="317"/>
      <c r="H898" s="109"/>
      <c r="I898" s="109"/>
      <c r="J898" s="109"/>
      <c r="K898" s="109"/>
      <c r="L898" s="109"/>
      <c r="M898" s="109"/>
      <c r="N898" s="109"/>
      <c r="O898" s="109"/>
      <c r="P898" s="109"/>
      <c r="Q898" s="109"/>
      <c r="R898" s="109"/>
      <c r="S898" s="109"/>
      <c r="T898" s="109"/>
      <c r="U898" s="109"/>
      <c r="V898" s="109"/>
      <c r="W898" s="109"/>
      <c r="X898" s="109"/>
      <c r="Y898" s="109"/>
      <c r="Z898" s="109"/>
    </row>
    <row r="899" ht="29.25" customHeight="1">
      <c r="A899" s="109"/>
      <c r="B899" s="109"/>
      <c r="C899" s="109"/>
      <c r="D899" s="109"/>
      <c r="E899" s="109"/>
      <c r="F899" s="109"/>
      <c r="G899" s="317"/>
      <c r="H899" s="109"/>
      <c r="I899" s="109"/>
      <c r="J899" s="109"/>
      <c r="K899" s="109"/>
      <c r="L899" s="109"/>
      <c r="M899" s="109"/>
      <c r="N899" s="109"/>
      <c r="O899" s="109"/>
      <c r="P899" s="109"/>
      <c r="Q899" s="109"/>
      <c r="R899" s="109"/>
      <c r="S899" s="109"/>
      <c r="T899" s="109"/>
      <c r="U899" s="109"/>
      <c r="V899" s="109"/>
      <c r="W899" s="109"/>
      <c r="X899" s="109"/>
      <c r="Y899" s="109"/>
      <c r="Z899" s="109"/>
    </row>
    <row r="900" ht="29.25" customHeight="1">
      <c r="A900" s="109"/>
      <c r="B900" s="109"/>
      <c r="C900" s="109"/>
      <c r="D900" s="109"/>
      <c r="E900" s="109"/>
      <c r="F900" s="109"/>
      <c r="G900" s="317"/>
      <c r="H900" s="109"/>
      <c r="I900" s="109"/>
      <c r="J900" s="109"/>
      <c r="K900" s="109"/>
      <c r="L900" s="109"/>
      <c r="M900" s="109"/>
      <c r="N900" s="109"/>
      <c r="O900" s="109"/>
      <c r="P900" s="109"/>
      <c r="Q900" s="109"/>
      <c r="R900" s="109"/>
      <c r="S900" s="109"/>
      <c r="T900" s="109"/>
      <c r="U900" s="109"/>
      <c r="V900" s="109"/>
      <c r="W900" s="109"/>
      <c r="X900" s="109"/>
      <c r="Y900" s="109"/>
      <c r="Z900" s="109"/>
    </row>
    <row r="901" ht="29.25" customHeight="1">
      <c r="A901" s="109"/>
      <c r="B901" s="109"/>
      <c r="C901" s="109"/>
      <c r="D901" s="109"/>
      <c r="E901" s="109"/>
      <c r="F901" s="109"/>
      <c r="G901" s="317"/>
      <c r="H901" s="109"/>
      <c r="I901" s="109"/>
      <c r="J901" s="109"/>
      <c r="K901" s="109"/>
      <c r="L901" s="109"/>
      <c r="M901" s="109"/>
      <c r="N901" s="109"/>
      <c r="O901" s="109"/>
      <c r="P901" s="109"/>
      <c r="Q901" s="109"/>
      <c r="R901" s="109"/>
      <c r="S901" s="109"/>
      <c r="T901" s="109"/>
      <c r="U901" s="109"/>
      <c r="V901" s="109"/>
      <c r="W901" s="109"/>
      <c r="X901" s="109"/>
      <c r="Y901" s="109"/>
      <c r="Z901" s="109"/>
    </row>
    <row r="902" ht="29.25" customHeight="1">
      <c r="A902" s="109"/>
      <c r="B902" s="109"/>
      <c r="C902" s="109"/>
      <c r="D902" s="109"/>
      <c r="E902" s="109"/>
      <c r="F902" s="109"/>
      <c r="G902" s="317"/>
      <c r="H902" s="109"/>
      <c r="I902" s="109"/>
      <c r="J902" s="109"/>
      <c r="K902" s="109"/>
      <c r="L902" s="109"/>
      <c r="M902" s="109"/>
      <c r="N902" s="109"/>
      <c r="O902" s="109"/>
      <c r="P902" s="109"/>
      <c r="Q902" s="109"/>
      <c r="R902" s="109"/>
      <c r="S902" s="109"/>
      <c r="T902" s="109"/>
      <c r="U902" s="109"/>
      <c r="V902" s="109"/>
      <c r="W902" s="109"/>
      <c r="X902" s="109"/>
      <c r="Y902" s="109"/>
      <c r="Z902" s="109"/>
    </row>
    <row r="903" ht="29.25" customHeight="1">
      <c r="A903" s="109"/>
      <c r="B903" s="109"/>
      <c r="C903" s="109"/>
      <c r="D903" s="109"/>
      <c r="E903" s="109"/>
      <c r="F903" s="109"/>
      <c r="G903" s="317"/>
      <c r="H903" s="109"/>
      <c r="I903" s="109"/>
      <c r="J903" s="109"/>
      <c r="K903" s="109"/>
      <c r="L903" s="109"/>
      <c r="M903" s="109"/>
      <c r="N903" s="109"/>
      <c r="O903" s="109"/>
      <c r="P903" s="109"/>
      <c r="Q903" s="109"/>
      <c r="R903" s="109"/>
      <c r="S903" s="109"/>
      <c r="T903" s="109"/>
      <c r="U903" s="109"/>
      <c r="V903" s="109"/>
      <c r="W903" s="109"/>
      <c r="X903" s="109"/>
      <c r="Y903" s="109"/>
      <c r="Z903" s="109"/>
    </row>
    <row r="904" ht="29.25" customHeight="1">
      <c r="A904" s="109"/>
      <c r="B904" s="109"/>
      <c r="C904" s="109"/>
      <c r="D904" s="109"/>
      <c r="E904" s="109"/>
      <c r="F904" s="109"/>
      <c r="G904" s="317"/>
      <c r="H904" s="109"/>
      <c r="I904" s="109"/>
      <c r="J904" s="109"/>
      <c r="K904" s="109"/>
      <c r="L904" s="109"/>
      <c r="M904" s="109"/>
      <c r="N904" s="109"/>
      <c r="O904" s="109"/>
      <c r="P904" s="109"/>
      <c r="Q904" s="109"/>
      <c r="R904" s="109"/>
      <c r="S904" s="109"/>
      <c r="T904" s="109"/>
      <c r="U904" s="109"/>
      <c r="V904" s="109"/>
      <c r="W904" s="109"/>
      <c r="X904" s="109"/>
      <c r="Y904" s="109"/>
      <c r="Z904" s="109"/>
    </row>
    <row r="905" ht="29.25" customHeight="1">
      <c r="A905" s="109"/>
      <c r="B905" s="109"/>
      <c r="C905" s="109"/>
      <c r="D905" s="109"/>
      <c r="E905" s="109"/>
      <c r="F905" s="109"/>
      <c r="G905" s="317"/>
      <c r="H905" s="109"/>
      <c r="I905" s="109"/>
      <c r="J905" s="109"/>
      <c r="K905" s="109"/>
      <c r="L905" s="109"/>
      <c r="M905" s="109"/>
      <c r="N905" s="109"/>
      <c r="O905" s="109"/>
      <c r="P905" s="109"/>
      <c r="Q905" s="109"/>
      <c r="R905" s="109"/>
      <c r="S905" s="109"/>
      <c r="T905" s="109"/>
      <c r="U905" s="109"/>
      <c r="V905" s="109"/>
      <c r="W905" s="109"/>
      <c r="X905" s="109"/>
      <c r="Y905" s="109"/>
      <c r="Z905" s="109"/>
    </row>
    <row r="906" ht="29.25" customHeight="1">
      <c r="A906" s="109"/>
      <c r="B906" s="109"/>
      <c r="C906" s="109"/>
      <c r="D906" s="109"/>
      <c r="E906" s="109"/>
      <c r="F906" s="109"/>
      <c r="G906" s="317"/>
      <c r="H906" s="109"/>
      <c r="I906" s="109"/>
      <c r="J906" s="109"/>
      <c r="K906" s="109"/>
      <c r="L906" s="109"/>
      <c r="M906" s="109"/>
      <c r="N906" s="109"/>
      <c r="O906" s="109"/>
      <c r="P906" s="109"/>
      <c r="Q906" s="109"/>
      <c r="R906" s="109"/>
      <c r="S906" s="109"/>
      <c r="T906" s="109"/>
      <c r="U906" s="109"/>
      <c r="V906" s="109"/>
      <c r="W906" s="109"/>
      <c r="X906" s="109"/>
      <c r="Y906" s="109"/>
      <c r="Z906" s="109"/>
    </row>
    <row r="907" ht="29.25" customHeight="1">
      <c r="A907" s="109"/>
      <c r="B907" s="109"/>
      <c r="C907" s="109"/>
      <c r="D907" s="109"/>
      <c r="E907" s="109"/>
      <c r="F907" s="109"/>
      <c r="G907" s="317"/>
      <c r="H907" s="109"/>
      <c r="I907" s="109"/>
      <c r="J907" s="109"/>
      <c r="K907" s="109"/>
      <c r="L907" s="109"/>
      <c r="M907" s="109"/>
      <c r="N907" s="109"/>
      <c r="O907" s="109"/>
      <c r="P907" s="109"/>
      <c r="Q907" s="109"/>
      <c r="R907" s="109"/>
      <c r="S907" s="109"/>
      <c r="T907" s="109"/>
      <c r="U907" s="109"/>
      <c r="V907" s="109"/>
      <c r="W907" s="109"/>
      <c r="X907" s="109"/>
      <c r="Y907" s="109"/>
      <c r="Z907" s="109"/>
    </row>
    <row r="908" ht="29.25" customHeight="1">
      <c r="A908" s="109"/>
      <c r="B908" s="109"/>
      <c r="C908" s="109"/>
      <c r="D908" s="109"/>
      <c r="E908" s="109"/>
      <c r="F908" s="109"/>
      <c r="G908" s="317"/>
      <c r="H908" s="109"/>
      <c r="I908" s="109"/>
      <c r="J908" s="109"/>
      <c r="K908" s="109"/>
      <c r="L908" s="109"/>
      <c r="M908" s="109"/>
      <c r="N908" s="109"/>
      <c r="O908" s="109"/>
      <c r="P908" s="109"/>
      <c r="Q908" s="109"/>
      <c r="R908" s="109"/>
      <c r="S908" s="109"/>
      <c r="T908" s="109"/>
      <c r="U908" s="109"/>
      <c r="V908" s="109"/>
      <c r="W908" s="109"/>
      <c r="X908" s="109"/>
      <c r="Y908" s="109"/>
      <c r="Z908" s="109"/>
    </row>
    <row r="909" ht="29.25" customHeight="1">
      <c r="A909" s="109"/>
      <c r="B909" s="109"/>
      <c r="C909" s="109"/>
      <c r="D909" s="109"/>
      <c r="E909" s="109"/>
      <c r="F909" s="109"/>
      <c r="G909" s="317"/>
      <c r="H909" s="109"/>
      <c r="I909" s="109"/>
      <c r="J909" s="109"/>
      <c r="K909" s="109"/>
      <c r="L909" s="109"/>
      <c r="M909" s="109"/>
      <c r="N909" s="109"/>
      <c r="O909" s="109"/>
      <c r="P909" s="109"/>
      <c r="Q909" s="109"/>
      <c r="R909" s="109"/>
      <c r="S909" s="109"/>
      <c r="T909" s="109"/>
      <c r="U909" s="109"/>
      <c r="V909" s="109"/>
      <c r="W909" s="109"/>
      <c r="X909" s="109"/>
      <c r="Y909" s="109"/>
      <c r="Z909" s="109"/>
    </row>
    <row r="910" ht="29.25" customHeight="1">
      <c r="A910" s="109"/>
      <c r="B910" s="109"/>
      <c r="C910" s="109"/>
      <c r="D910" s="109"/>
      <c r="E910" s="109"/>
      <c r="F910" s="109"/>
      <c r="G910" s="317"/>
      <c r="H910" s="109"/>
      <c r="I910" s="109"/>
      <c r="J910" s="109"/>
      <c r="K910" s="109"/>
      <c r="L910" s="109"/>
      <c r="M910" s="109"/>
      <c r="N910" s="109"/>
      <c r="O910" s="109"/>
      <c r="P910" s="109"/>
      <c r="Q910" s="109"/>
      <c r="R910" s="109"/>
      <c r="S910" s="109"/>
      <c r="T910" s="109"/>
      <c r="U910" s="109"/>
      <c r="V910" s="109"/>
      <c r="W910" s="109"/>
      <c r="X910" s="109"/>
      <c r="Y910" s="109"/>
      <c r="Z910" s="109"/>
    </row>
    <row r="911" ht="29.25" customHeight="1">
      <c r="A911" s="109"/>
      <c r="B911" s="109"/>
      <c r="C911" s="109"/>
      <c r="D911" s="109"/>
      <c r="E911" s="109"/>
      <c r="F911" s="109"/>
      <c r="G911" s="317"/>
      <c r="H911" s="109"/>
      <c r="I911" s="109"/>
      <c r="J911" s="109"/>
      <c r="K911" s="109"/>
      <c r="L911" s="109"/>
      <c r="M911" s="109"/>
      <c r="N911" s="109"/>
      <c r="O911" s="109"/>
      <c r="P911" s="109"/>
      <c r="Q911" s="109"/>
      <c r="R911" s="109"/>
      <c r="S911" s="109"/>
      <c r="T911" s="109"/>
      <c r="U911" s="109"/>
      <c r="V911" s="109"/>
      <c r="W911" s="109"/>
      <c r="X911" s="109"/>
      <c r="Y911" s="109"/>
      <c r="Z911" s="109"/>
    </row>
    <row r="912" ht="29.25" customHeight="1">
      <c r="A912" s="109"/>
      <c r="B912" s="109"/>
      <c r="C912" s="109"/>
      <c r="D912" s="109"/>
      <c r="E912" s="109"/>
      <c r="F912" s="109"/>
      <c r="G912" s="317"/>
      <c r="H912" s="109"/>
      <c r="I912" s="109"/>
      <c r="J912" s="109"/>
      <c r="K912" s="109"/>
      <c r="L912" s="109"/>
      <c r="M912" s="109"/>
      <c r="N912" s="109"/>
      <c r="O912" s="109"/>
      <c r="P912" s="109"/>
      <c r="Q912" s="109"/>
      <c r="R912" s="109"/>
      <c r="S912" s="109"/>
      <c r="T912" s="109"/>
      <c r="U912" s="109"/>
      <c r="V912" s="109"/>
      <c r="W912" s="109"/>
      <c r="X912" s="109"/>
      <c r="Y912" s="109"/>
      <c r="Z912" s="109"/>
    </row>
    <row r="913" ht="29.25" customHeight="1">
      <c r="A913" s="109"/>
      <c r="B913" s="109"/>
      <c r="C913" s="109"/>
      <c r="D913" s="109"/>
      <c r="E913" s="109"/>
      <c r="F913" s="109"/>
      <c r="G913" s="317"/>
      <c r="H913" s="109"/>
      <c r="I913" s="109"/>
      <c r="J913" s="109"/>
      <c r="K913" s="109"/>
      <c r="L913" s="109"/>
      <c r="M913" s="109"/>
      <c r="N913" s="109"/>
      <c r="O913" s="109"/>
      <c r="P913" s="109"/>
      <c r="Q913" s="109"/>
      <c r="R913" s="109"/>
      <c r="S913" s="109"/>
      <c r="T913" s="109"/>
      <c r="U913" s="109"/>
      <c r="V913" s="109"/>
      <c r="W913" s="109"/>
      <c r="X913" s="109"/>
      <c r="Y913" s="109"/>
      <c r="Z913" s="109"/>
    </row>
    <row r="914" ht="29.25" customHeight="1">
      <c r="A914" s="109"/>
      <c r="B914" s="109"/>
      <c r="C914" s="109"/>
      <c r="D914" s="109"/>
      <c r="E914" s="109"/>
      <c r="F914" s="109"/>
      <c r="G914" s="317"/>
      <c r="H914" s="109"/>
      <c r="I914" s="109"/>
      <c r="J914" s="109"/>
      <c r="K914" s="109"/>
      <c r="L914" s="109"/>
      <c r="M914" s="109"/>
      <c r="N914" s="109"/>
      <c r="O914" s="109"/>
      <c r="P914" s="109"/>
      <c r="Q914" s="109"/>
      <c r="R914" s="109"/>
      <c r="S914" s="109"/>
      <c r="T914" s="109"/>
      <c r="U914" s="109"/>
      <c r="V914" s="109"/>
      <c r="W914" s="109"/>
      <c r="X914" s="109"/>
      <c r="Y914" s="109"/>
      <c r="Z914" s="109"/>
    </row>
    <row r="915" ht="29.25" customHeight="1">
      <c r="A915" s="109"/>
      <c r="B915" s="109"/>
      <c r="C915" s="109"/>
      <c r="D915" s="109"/>
      <c r="E915" s="109"/>
      <c r="F915" s="109"/>
      <c r="G915" s="317"/>
      <c r="H915" s="109"/>
      <c r="I915" s="109"/>
      <c r="J915" s="109"/>
      <c r="K915" s="109"/>
      <c r="L915" s="109"/>
      <c r="M915" s="109"/>
      <c r="N915" s="109"/>
      <c r="O915" s="109"/>
      <c r="P915" s="109"/>
      <c r="Q915" s="109"/>
      <c r="R915" s="109"/>
      <c r="S915" s="109"/>
      <c r="T915" s="109"/>
      <c r="U915" s="109"/>
      <c r="V915" s="109"/>
      <c r="W915" s="109"/>
      <c r="X915" s="109"/>
      <c r="Y915" s="109"/>
      <c r="Z915" s="109"/>
    </row>
    <row r="916" ht="29.25" customHeight="1">
      <c r="A916" s="109"/>
      <c r="B916" s="109"/>
      <c r="C916" s="109"/>
      <c r="D916" s="109"/>
      <c r="E916" s="109"/>
      <c r="F916" s="109"/>
      <c r="G916" s="317"/>
      <c r="H916" s="109"/>
      <c r="I916" s="109"/>
      <c r="J916" s="109"/>
      <c r="K916" s="109"/>
      <c r="L916" s="109"/>
      <c r="M916" s="109"/>
      <c r="N916" s="109"/>
      <c r="O916" s="109"/>
      <c r="P916" s="109"/>
      <c r="Q916" s="109"/>
      <c r="R916" s="109"/>
      <c r="S916" s="109"/>
      <c r="T916" s="109"/>
      <c r="U916" s="109"/>
      <c r="V916" s="109"/>
      <c r="W916" s="109"/>
      <c r="X916" s="109"/>
      <c r="Y916" s="109"/>
      <c r="Z916" s="109"/>
    </row>
    <row r="917" ht="29.25" customHeight="1">
      <c r="A917" s="109"/>
      <c r="B917" s="109"/>
      <c r="C917" s="109"/>
      <c r="D917" s="109"/>
      <c r="E917" s="109"/>
      <c r="F917" s="109"/>
      <c r="G917" s="317"/>
      <c r="H917" s="109"/>
      <c r="I917" s="109"/>
      <c r="J917" s="109"/>
      <c r="K917" s="109"/>
      <c r="L917" s="109"/>
      <c r="M917" s="109"/>
      <c r="N917" s="109"/>
      <c r="O917" s="109"/>
      <c r="P917" s="109"/>
      <c r="Q917" s="109"/>
      <c r="R917" s="109"/>
      <c r="S917" s="109"/>
      <c r="T917" s="109"/>
      <c r="U917" s="109"/>
      <c r="V917" s="109"/>
      <c r="W917" s="109"/>
      <c r="X917" s="109"/>
      <c r="Y917" s="109"/>
      <c r="Z917" s="109"/>
    </row>
    <row r="918" ht="29.25" customHeight="1">
      <c r="A918" s="109"/>
      <c r="B918" s="109"/>
      <c r="C918" s="109"/>
      <c r="D918" s="109"/>
      <c r="E918" s="109"/>
      <c r="F918" s="109"/>
      <c r="G918" s="317"/>
      <c r="H918" s="109"/>
      <c r="I918" s="109"/>
      <c r="J918" s="109"/>
      <c r="K918" s="109"/>
      <c r="L918" s="109"/>
      <c r="M918" s="109"/>
      <c r="N918" s="109"/>
      <c r="O918" s="109"/>
      <c r="P918" s="109"/>
      <c r="Q918" s="109"/>
      <c r="R918" s="109"/>
      <c r="S918" s="109"/>
      <c r="T918" s="109"/>
      <c r="U918" s="109"/>
      <c r="V918" s="109"/>
      <c r="W918" s="109"/>
      <c r="X918" s="109"/>
      <c r="Y918" s="109"/>
      <c r="Z918" s="109"/>
    </row>
    <row r="919" ht="29.25" customHeight="1">
      <c r="A919" s="109"/>
      <c r="B919" s="109"/>
      <c r="C919" s="109"/>
      <c r="D919" s="109"/>
      <c r="E919" s="109"/>
      <c r="F919" s="109"/>
      <c r="G919" s="317"/>
      <c r="H919" s="109"/>
      <c r="I919" s="109"/>
      <c r="J919" s="109"/>
      <c r="K919" s="109"/>
      <c r="L919" s="109"/>
      <c r="M919" s="109"/>
      <c r="N919" s="109"/>
      <c r="O919" s="109"/>
      <c r="P919" s="109"/>
      <c r="Q919" s="109"/>
      <c r="R919" s="109"/>
      <c r="S919" s="109"/>
      <c r="T919" s="109"/>
      <c r="U919" s="109"/>
      <c r="V919" s="109"/>
      <c r="W919" s="109"/>
      <c r="X919" s="109"/>
      <c r="Y919" s="109"/>
      <c r="Z919" s="109"/>
    </row>
    <row r="920" ht="29.25" customHeight="1">
      <c r="A920" s="109"/>
      <c r="B920" s="109"/>
      <c r="C920" s="109"/>
      <c r="D920" s="109"/>
      <c r="E920" s="109"/>
      <c r="F920" s="109"/>
      <c r="G920" s="317"/>
      <c r="H920" s="109"/>
      <c r="I920" s="109"/>
      <c r="J920" s="109"/>
      <c r="K920" s="109"/>
      <c r="L920" s="109"/>
      <c r="M920" s="109"/>
      <c r="N920" s="109"/>
      <c r="O920" s="109"/>
      <c r="P920" s="109"/>
      <c r="Q920" s="109"/>
      <c r="R920" s="109"/>
      <c r="S920" s="109"/>
      <c r="T920" s="109"/>
      <c r="U920" s="109"/>
      <c r="V920" s="109"/>
      <c r="W920" s="109"/>
      <c r="X920" s="109"/>
      <c r="Y920" s="109"/>
      <c r="Z920" s="109"/>
    </row>
    <row r="921" ht="29.25" customHeight="1">
      <c r="A921" s="109"/>
      <c r="B921" s="109"/>
      <c r="C921" s="109"/>
      <c r="D921" s="109"/>
      <c r="E921" s="109"/>
      <c r="F921" s="109"/>
      <c r="G921" s="317"/>
      <c r="H921" s="109"/>
      <c r="I921" s="109"/>
      <c r="J921" s="109"/>
      <c r="K921" s="109"/>
      <c r="L921" s="109"/>
      <c r="M921" s="109"/>
      <c r="N921" s="109"/>
      <c r="O921" s="109"/>
      <c r="P921" s="109"/>
      <c r="Q921" s="109"/>
      <c r="R921" s="109"/>
      <c r="S921" s="109"/>
      <c r="T921" s="109"/>
      <c r="U921" s="109"/>
      <c r="V921" s="109"/>
      <c r="W921" s="109"/>
      <c r="X921" s="109"/>
      <c r="Y921" s="109"/>
      <c r="Z921" s="109"/>
    </row>
    <row r="922" ht="29.25" customHeight="1">
      <c r="A922" s="109"/>
      <c r="B922" s="109"/>
      <c r="C922" s="109"/>
      <c r="D922" s="109"/>
      <c r="E922" s="109"/>
      <c r="F922" s="109"/>
      <c r="G922" s="317"/>
      <c r="H922" s="109"/>
      <c r="I922" s="109"/>
      <c r="J922" s="109"/>
      <c r="K922" s="109"/>
      <c r="L922" s="109"/>
      <c r="M922" s="109"/>
      <c r="N922" s="109"/>
      <c r="O922" s="109"/>
      <c r="P922" s="109"/>
      <c r="Q922" s="109"/>
      <c r="R922" s="109"/>
      <c r="S922" s="109"/>
      <c r="T922" s="109"/>
      <c r="U922" s="109"/>
      <c r="V922" s="109"/>
      <c r="W922" s="109"/>
      <c r="X922" s="109"/>
      <c r="Y922" s="109"/>
      <c r="Z922" s="109"/>
    </row>
    <row r="923" ht="29.25" customHeight="1">
      <c r="A923" s="109"/>
      <c r="B923" s="109"/>
      <c r="C923" s="109"/>
      <c r="D923" s="109"/>
      <c r="E923" s="109"/>
      <c r="F923" s="109"/>
      <c r="G923" s="317"/>
      <c r="H923" s="109"/>
      <c r="I923" s="109"/>
      <c r="J923" s="109"/>
      <c r="K923" s="109"/>
      <c r="L923" s="109"/>
      <c r="M923" s="109"/>
      <c r="N923" s="109"/>
      <c r="O923" s="109"/>
      <c r="P923" s="109"/>
      <c r="Q923" s="109"/>
      <c r="R923" s="109"/>
      <c r="S923" s="109"/>
      <c r="T923" s="109"/>
      <c r="U923" s="109"/>
      <c r="V923" s="109"/>
      <c r="W923" s="109"/>
      <c r="X923" s="109"/>
      <c r="Y923" s="109"/>
      <c r="Z923" s="109"/>
    </row>
    <row r="924" ht="29.25" customHeight="1">
      <c r="A924" s="109"/>
      <c r="B924" s="109"/>
      <c r="C924" s="109"/>
      <c r="D924" s="109"/>
      <c r="E924" s="109"/>
      <c r="F924" s="109"/>
      <c r="G924" s="317"/>
      <c r="H924" s="109"/>
      <c r="I924" s="109"/>
      <c r="J924" s="109"/>
      <c r="K924" s="109"/>
      <c r="L924" s="109"/>
      <c r="M924" s="109"/>
      <c r="N924" s="109"/>
      <c r="O924" s="109"/>
      <c r="P924" s="109"/>
      <c r="Q924" s="109"/>
      <c r="R924" s="109"/>
      <c r="S924" s="109"/>
      <c r="T924" s="109"/>
      <c r="U924" s="109"/>
      <c r="V924" s="109"/>
      <c r="W924" s="109"/>
      <c r="X924" s="109"/>
      <c r="Y924" s="109"/>
      <c r="Z924" s="109"/>
    </row>
    <row r="925" ht="29.25" customHeight="1">
      <c r="A925" s="109"/>
      <c r="B925" s="109"/>
      <c r="C925" s="109"/>
      <c r="D925" s="109"/>
      <c r="E925" s="109"/>
      <c r="F925" s="109"/>
      <c r="G925" s="317"/>
      <c r="H925" s="109"/>
      <c r="I925" s="109"/>
      <c r="J925" s="109"/>
      <c r="K925" s="109"/>
      <c r="L925" s="109"/>
      <c r="M925" s="109"/>
      <c r="N925" s="109"/>
      <c r="O925" s="109"/>
      <c r="P925" s="109"/>
      <c r="Q925" s="109"/>
      <c r="R925" s="109"/>
      <c r="S925" s="109"/>
      <c r="T925" s="109"/>
      <c r="U925" s="109"/>
      <c r="V925" s="109"/>
      <c r="W925" s="109"/>
      <c r="X925" s="109"/>
      <c r="Y925" s="109"/>
      <c r="Z925" s="109"/>
    </row>
    <row r="926" ht="29.25" customHeight="1">
      <c r="A926" s="109"/>
      <c r="B926" s="109"/>
      <c r="C926" s="109"/>
      <c r="D926" s="109"/>
      <c r="E926" s="109"/>
      <c r="F926" s="109"/>
      <c r="G926" s="317"/>
      <c r="H926" s="109"/>
      <c r="I926" s="109"/>
      <c r="J926" s="109"/>
      <c r="K926" s="109"/>
      <c r="L926" s="109"/>
      <c r="M926" s="109"/>
      <c r="N926" s="109"/>
      <c r="O926" s="109"/>
      <c r="P926" s="109"/>
      <c r="Q926" s="109"/>
      <c r="R926" s="109"/>
      <c r="S926" s="109"/>
      <c r="T926" s="109"/>
      <c r="U926" s="109"/>
      <c r="V926" s="109"/>
      <c r="W926" s="109"/>
      <c r="X926" s="109"/>
      <c r="Y926" s="109"/>
      <c r="Z926" s="109"/>
    </row>
    <row r="927" ht="29.25" customHeight="1">
      <c r="A927" s="109"/>
      <c r="B927" s="109"/>
      <c r="C927" s="109"/>
      <c r="D927" s="109"/>
      <c r="E927" s="109"/>
      <c r="F927" s="109"/>
      <c r="G927" s="317"/>
      <c r="H927" s="109"/>
      <c r="I927" s="109"/>
      <c r="J927" s="109"/>
      <c r="K927" s="109"/>
      <c r="L927" s="109"/>
      <c r="M927" s="109"/>
      <c r="N927" s="109"/>
      <c r="O927" s="109"/>
      <c r="P927" s="109"/>
      <c r="Q927" s="109"/>
      <c r="R927" s="109"/>
      <c r="S927" s="109"/>
      <c r="T927" s="109"/>
      <c r="U927" s="109"/>
      <c r="V927" s="109"/>
      <c r="W927" s="109"/>
      <c r="X927" s="109"/>
      <c r="Y927" s="109"/>
      <c r="Z927" s="109"/>
    </row>
    <row r="928" ht="29.25" customHeight="1">
      <c r="A928" s="109"/>
      <c r="B928" s="109"/>
      <c r="C928" s="109"/>
      <c r="D928" s="109"/>
      <c r="E928" s="109"/>
      <c r="F928" s="109"/>
      <c r="G928" s="317"/>
      <c r="H928" s="109"/>
      <c r="I928" s="109"/>
      <c r="J928" s="109"/>
      <c r="K928" s="109"/>
      <c r="L928" s="109"/>
      <c r="M928" s="109"/>
      <c r="N928" s="109"/>
      <c r="O928" s="109"/>
      <c r="P928" s="109"/>
      <c r="Q928" s="109"/>
      <c r="R928" s="109"/>
      <c r="S928" s="109"/>
      <c r="T928" s="109"/>
      <c r="U928" s="109"/>
      <c r="V928" s="109"/>
      <c r="W928" s="109"/>
      <c r="X928" s="109"/>
      <c r="Y928" s="109"/>
      <c r="Z928" s="109"/>
    </row>
    <row r="929" ht="29.25" customHeight="1">
      <c r="A929" s="109"/>
      <c r="B929" s="109"/>
      <c r="C929" s="109"/>
      <c r="D929" s="109"/>
      <c r="E929" s="109"/>
      <c r="F929" s="109"/>
      <c r="G929" s="317"/>
      <c r="H929" s="109"/>
      <c r="I929" s="109"/>
      <c r="J929" s="109"/>
      <c r="K929" s="109"/>
      <c r="L929" s="109"/>
      <c r="M929" s="109"/>
      <c r="N929" s="109"/>
      <c r="O929" s="109"/>
      <c r="P929" s="109"/>
      <c r="Q929" s="109"/>
      <c r="R929" s="109"/>
      <c r="S929" s="109"/>
      <c r="T929" s="109"/>
      <c r="U929" s="109"/>
      <c r="V929" s="109"/>
      <c r="W929" s="109"/>
      <c r="X929" s="109"/>
      <c r="Y929" s="109"/>
      <c r="Z929" s="109"/>
    </row>
    <row r="930" ht="29.25" customHeight="1">
      <c r="A930" s="109"/>
      <c r="B930" s="109"/>
      <c r="C930" s="109"/>
      <c r="D930" s="109"/>
      <c r="E930" s="109"/>
      <c r="F930" s="109"/>
      <c r="G930" s="317"/>
      <c r="H930" s="109"/>
      <c r="I930" s="109"/>
      <c r="J930" s="109"/>
      <c r="K930" s="109"/>
      <c r="L930" s="109"/>
      <c r="M930" s="109"/>
      <c r="N930" s="109"/>
      <c r="O930" s="109"/>
      <c r="P930" s="109"/>
      <c r="Q930" s="109"/>
      <c r="R930" s="109"/>
      <c r="S930" s="109"/>
      <c r="T930" s="109"/>
      <c r="U930" s="109"/>
      <c r="V930" s="109"/>
      <c r="W930" s="109"/>
      <c r="X930" s="109"/>
      <c r="Y930" s="109"/>
      <c r="Z930" s="109"/>
    </row>
    <row r="931" ht="29.25" customHeight="1">
      <c r="A931" s="109"/>
      <c r="B931" s="109"/>
      <c r="C931" s="109"/>
      <c r="D931" s="109"/>
      <c r="E931" s="109"/>
      <c r="F931" s="109"/>
      <c r="G931" s="317"/>
      <c r="H931" s="109"/>
      <c r="I931" s="109"/>
      <c r="J931" s="109"/>
      <c r="K931" s="109"/>
      <c r="L931" s="109"/>
      <c r="M931" s="109"/>
      <c r="N931" s="109"/>
      <c r="O931" s="109"/>
      <c r="P931" s="109"/>
      <c r="Q931" s="109"/>
      <c r="R931" s="109"/>
      <c r="S931" s="109"/>
      <c r="T931" s="109"/>
      <c r="U931" s="109"/>
      <c r="V931" s="109"/>
      <c r="W931" s="109"/>
      <c r="X931" s="109"/>
      <c r="Y931" s="109"/>
      <c r="Z931" s="109"/>
    </row>
    <row r="932" ht="29.25" customHeight="1">
      <c r="A932" s="109"/>
      <c r="B932" s="109"/>
      <c r="C932" s="109"/>
      <c r="D932" s="109"/>
      <c r="E932" s="109"/>
      <c r="F932" s="109"/>
      <c r="G932" s="317"/>
      <c r="H932" s="109"/>
      <c r="I932" s="109"/>
      <c r="J932" s="109"/>
      <c r="K932" s="109"/>
      <c r="L932" s="109"/>
      <c r="M932" s="109"/>
      <c r="N932" s="109"/>
      <c r="O932" s="109"/>
      <c r="P932" s="109"/>
      <c r="Q932" s="109"/>
      <c r="R932" s="109"/>
      <c r="S932" s="109"/>
      <c r="T932" s="109"/>
      <c r="U932" s="109"/>
      <c r="V932" s="109"/>
      <c r="W932" s="109"/>
      <c r="X932" s="109"/>
      <c r="Y932" s="109"/>
      <c r="Z932" s="109"/>
    </row>
    <row r="933" ht="29.25" customHeight="1">
      <c r="A933" s="109"/>
      <c r="B933" s="109"/>
      <c r="C933" s="109"/>
      <c r="D933" s="109"/>
      <c r="E933" s="109"/>
      <c r="F933" s="109"/>
      <c r="G933" s="317"/>
      <c r="H933" s="109"/>
      <c r="I933" s="109"/>
      <c r="J933" s="109"/>
      <c r="K933" s="109"/>
      <c r="L933" s="109"/>
      <c r="M933" s="109"/>
      <c r="N933" s="109"/>
      <c r="O933" s="109"/>
      <c r="P933" s="109"/>
      <c r="Q933" s="109"/>
      <c r="R933" s="109"/>
      <c r="S933" s="109"/>
      <c r="T933" s="109"/>
      <c r="U933" s="109"/>
      <c r="V933" s="109"/>
      <c r="W933" s="109"/>
      <c r="X933" s="109"/>
      <c r="Y933" s="109"/>
      <c r="Z933" s="109"/>
    </row>
    <row r="934" ht="29.25" customHeight="1">
      <c r="A934" s="109"/>
      <c r="B934" s="109"/>
      <c r="C934" s="109"/>
      <c r="D934" s="109"/>
      <c r="E934" s="109"/>
      <c r="F934" s="109"/>
      <c r="G934" s="317"/>
      <c r="H934" s="109"/>
      <c r="I934" s="109"/>
      <c r="J934" s="109"/>
      <c r="K934" s="109"/>
      <c r="L934" s="109"/>
      <c r="M934" s="109"/>
      <c r="N934" s="109"/>
      <c r="O934" s="109"/>
      <c r="P934" s="109"/>
      <c r="Q934" s="109"/>
      <c r="R934" s="109"/>
      <c r="S934" s="109"/>
      <c r="T934" s="109"/>
      <c r="U934" s="109"/>
      <c r="V934" s="109"/>
      <c r="W934" s="109"/>
      <c r="X934" s="109"/>
      <c r="Y934" s="109"/>
      <c r="Z934" s="109"/>
    </row>
    <row r="935" ht="29.25" customHeight="1">
      <c r="A935" s="109"/>
      <c r="B935" s="109"/>
      <c r="C935" s="109"/>
      <c r="D935" s="109"/>
      <c r="E935" s="109"/>
      <c r="F935" s="109"/>
      <c r="G935" s="317"/>
      <c r="H935" s="109"/>
      <c r="I935" s="109"/>
      <c r="J935" s="109"/>
      <c r="K935" s="109"/>
      <c r="L935" s="109"/>
      <c r="M935" s="109"/>
      <c r="N935" s="109"/>
      <c r="O935" s="109"/>
      <c r="P935" s="109"/>
      <c r="Q935" s="109"/>
      <c r="R935" s="109"/>
      <c r="S935" s="109"/>
      <c r="T935" s="109"/>
      <c r="U935" s="109"/>
      <c r="V935" s="109"/>
      <c r="W935" s="109"/>
      <c r="X935" s="109"/>
      <c r="Y935" s="109"/>
      <c r="Z935" s="109"/>
    </row>
    <row r="936" ht="29.25" customHeight="1">
      <c r="A936" s="109"/>
      <c r="B936" s="109"/>
      <c r="C936" s="109"/>
      <c r="D936" s="109"/>
      <c r="E936" s="109"/>
      <c r="F936" s="109"/>
      <c r="G936" s="317"/>
      <c r="H936" s="109"/>
      <c r="I936" s="109"/>
      <c r="J936" s="109"/>
      <c r="K936" s="109"/>
      <c r="L936" s="109"/>
      <c r="M936" s="109"/>
      <c r="N936" s="109"/>
      <c r="O936" s="109"/>
      <c r="P936" s="109"/>
      <c r="Q936" s="109"/>
      <c r="R936" s="109"/>
      <c r="S936" s="109"/>
      <c r="T936" s="109"/>
      <c r="U936" s="109"/>
      <c r="V936" s="109"/>
      <c r="W936" s="109"/>
      <c r="X936" s="109"/>
      <c r="Y936" s="109"/>
      <c r="Z936" s="109"/>
    </row>
    <row r="937" ht="29.25" customHeight="1">
      <c r="A937" s="109"/>
      <c r="B937" s="109"/>
      <c r="C937" s="109"/>
      <c r="D937" s="109"/>
      <c r="E937" s="109"/>
      <c r="F937" s="109"/>
      <c r="G937" s="317"/>
      <c r="H937" s="109"/>
      <c r="I937" s="109"/>
      <c r="J937" s="109"/>
      <c r="K937" s="109"/>
      <c r="L937" s="109"/>
      <c r="M937" s="109"/>
      <c r="N937" s="109"/>
      <c r="O937" s="109"/>
      <c r="P937" s="109"/>
      <c r="Q937" s="109"/>
      <c r="R937" s="109"/>
      <c r="S937" s="109"/>
      <c r="T937" s="109"/>
      <c r="U937" s="109"/>
      <c r="V937" s="109"/>
      <c r="W937" s="109"/>
      <c r="X937" s="109"/>
      <c r="Y937" s="109"/>
      <c r="Z937" s="109"/>
    </row>
    <row r="938" ht="29.25" customHeight="1">
      <c r="A938" s="109"/>
      <c r="B938" s="109"/>
      <c r="C938" s="109"/>
      <c r="D938" s="109"/>
      <c r="E938" s="109"/>
      <c r="F938" s="109"/>
      <c r="G938" s="317"/>
      <c r="H938" s="109"/>
      <c r="I938" s="109"/>
      <c r="J938" s="109"/>
      <c r="K938" s="109"/>
      <c r="L938" s="109"/>
      <c r="M938" s="109"/>
      <c r="N938" s="109"/>
      <c r="O938" s="109"/>
      <c r="P938" s="109"/>
      <c r="Q938" s="109"/>
      <c r="R938" s="109"/>
      <c r="S938" s="109"/>
      <c r="T938" s="109"/>
      <c r="U938" s="109"/>
      <c r="V938" s="109"/>
      <c r="W938" s="109"/>
      <c r="X938" s="109"/>
      <c r="Y938" s="109"/>
      <c r="Z938" s="109"/>
    </row>
    <row r="939" ht="29.25" customHeight="1">
      <c r="A939" s="109"/>
      <c r="B939" s="109"/>
      <c r="C939" s="109"/>
      <c r="D939" s="109"/>
      <c r="E939" s="109"/>
      <c r="F939" s="109"/>
      <c r="G939" s="317"/>
      <c r="H939" s="109"/>
      <c r="I939" s="109"/>
      <c r="J939" s="109"/>
      <c r="K939" s="109"/>
      <c r="L939" s="109"/>
      <c r="M939" s="109"/>
      <c r="N939" s="109"/>
      <c r="O939" s="109"/>
      <c r="P939" s="109"/>
      <c r="Q939" s="109"/>
      <c r="R939" s="109"/>
      <c r="S939" s="109"/>
      <c r="T939" s="109"/>
      <c r="U939" s="109"/>
      <c r="V939" s="109"/>
      <c r="W939" s="109"/>
      <c r="X939" s="109"/>
      <c r="Y939" s="109"/>
      <c r="Z939" s="109"/>
    </row>
    <row r="940" ht="29.25" customHeight="1">
      <c r="A940" s="109"/>
      <c r="B940" s="109"/>
      <c r="C940" s="109"/>
      <c r="D940" s="109"/>
      <c r="E940" s="109"/>
      <c r="F940" s="109"/>
      <c r="G940" s="317"/>
      <c r="H940" s="109"/>
      <c r="I940" s="109"/>
      <c r="J940" s="109"/>
      <c r="K940" s="109"/>
      <c r="L940" s="109"/>
      <c r="M940" s="109"/>
      <c r="N940" s="109"/>
      <c r="O940" s="109"/>
      <c r="P940" s="109"/>
      <c r="Q940" s="109"/>
      <c r="R940" s="109"/>
      <c r="S940" s="109"/>
      <c r="T940" s="109"/>
      <c r="U940" s="109"/>
      <c r="V940" s="109"/>
      <c r="W940" s="109"/>
      <c r="X940" s="109"/>
      <c r="Y940" s="109"/>
      <c r="Z940" s="109"/>
    </row>
    <row r="941" ht="29.25" customHeight="1">
      <c r="A941" s="109"/>
      <c r="B941" s="109"/>
      <c r="C941" s="109"/>
      <c r="D941" s="109"/>
      <c r="E941" s="109"/>
      <c r="F941" s="109"/>
      <c r="G941" s="317"/>
      <c r="H941" s="109"/>
      <c r="I941" s="109"/>
      <c r="J941" s="109"/>
      <c r="K941" s="109"/>
      <c r="L941" s="109"/>
      <c r="M941" s="109"/>
      <c r="N941" s="109"/>
      <c r="O941" s="109"/>
      <c r="P941" s="109"/>
      <c r="Q941" s="109"/>
      <c r="R941" s="109"/>
      <c r="S941" s="109"/>
      <c r="T941" s="109"/>
      <c r="U941" s="109"/>
      <c r="V941" s="109"/>
      <c r="W941" s="109"/>
      <c r="X941" s="109"/>
      <c r="Y941" s="109"/>
      <c r="Z941" s="109"/>
    </row>
    <row r="942" ht="29.25" customHeight="1">
      <c r="A942" s="109"/>
      <c r="B942" s="109"/>
      <c r="C942" s="109"/>
      <c r="D942" s="109"/>
      <c r="E942" s="109"/>
      <c r="F942" s="109"/>
      <c r="G942" s="317"/>
      <c r="H942" s="109"/>
      <c r="I942" s="109"/>
      <c r="J942" s="109"/>
      <c r="K942" s="109"/>
      <c r="L942" s="109"/>
      <c r="M942" s="109"/>
      <c r="N942" s="109"/>
      <c r="O942" s="109"/>
      <c r="P942" s="109"/>
      <c r="Q942" s="109"/>
      <c r="R942" s="109"/>
      <c r="S942" s="109"/>
      <c r="T942" s="109"/>
      <c r="U942" s="109"/>
      <c r="V942" s="109"/>
      <c r="W942" s="109"/>
      <c r="X942" s="109"/>
      <c r="Y942" s="109"/>
      <c r="Z942" s="109"/>
    </row>
    <row r="943" ht="29.25" customHeight="1">
      <c r="A943" s="109"/>
      <c r="B943" s="109"/>
      <c r="C943" s="109"/>
      <c r="D943" s="109"/>
      <c r="E943" s="109"/>
      <c r="F943" s="109"/>
      <c r="G943" s="317"/>
      <c r="H943" s="109"/>
      <c r="I943" s="109"/>
      <c r="J943" s="109"/>
      <c r="K943" s="109"/>
      <c r="L943" s="109"/>
      <c r="M943" s="109"/>
      <c r="N943" s="109"/>
      <c r="O943" s="109"/>
      <c r="P943" s="109"/>
      <c r="Q943" s="109"/>
      <c r="R943" s="109"/>
      <c r="S943" s="109"/>
      <c r="T943" s="109"/>
      <c r="U943" s="109"/>
      <c r="V943" s="109"/>
      <c r="W943" s="109"/>
      <c r="X943" s="109"/>
      <c r="Y943" s="109"/>
      <c r="Z943" s="109"/>
    </row>
    <row r="944" ht="29.25" customHeight="1">
      <c r="A944" s="109"/>
      <c r="B944" s="109"/>
      <c r="C944" s="109"/>
      <c r="D944" s="109"/>
      <c r="E944" s="109"/>
      <c r="F944" s="109"/>
      <c r="G944" s="317"/>
      <c r="H944" s="109"/>
      <c r="I944" s="109"/>
      <c r="J944" s="109"/>
      <c r="K944" s="109"/>
      <c r="L944" s="109"/>
      <c r="M944" s="109"/>
      <c r="N944" s="109"/>
      <c r="O944" s="109"/>
      <c r="P944" s="109"/>
      <c r="Q944" s="109"/>
      <c r="R944" s="109"/>
      <c r="S944" s="109"/>
      <c r="T944" s="109"/>
      <c r="U944" s="109"/>
      <c r="V944" s="109"/>
      <c r="W944" s="109"/>
      <c r="X944" s="109"/>
      <c r="Y944" s="109"/>
      <c r="Z944" s="109"/>
    </row>
    <row r="945" ht="29.25" customHeight="1">
      <c r="A945" s="109"/>
      <c r="B945" s="109"/>
      <c r="C945" s="109"/>
      <c r="D945" s="109"/>
      <c r="E945" s="109"/>
      <c r="F945" s="109"/>
      <c r="G945" s="317"/>
      <c r="H945" s="109"/>
      <c r="I945" s="109"/>
      <c r="J945" s="109"/>
      <c r="K945" s="109"/>
      <c r="L945" s="109"/>
      <c r="M945" s="109"/>
      <c r="N945" s="109"/>
      <c r="O945" s="109"/>
      <c r="P945" s="109"/>
      <c r="Q945" s="109"/>
      <c r="R945" s="109"/>
      <c r="S945" s="109"/>
      <c r="T945" s="109"/>
      <c r="U945" s="109"/>
      <c r="V945" s="109"/>
      <c r="W945" s="109"/>
      <c r="X945" s="109"/>
      <c r="Y945" s="109"/>
      <c r="Z945" s="109"/>
    </row>
    <row r="946" ht="29.25" customHeight="1">
      <c r="A946" s="109"/>
      <c r="B946" s="109"/>
      <c r="C946" s="109"/>
      <c r="D946" s="109"/>
      <c r="E946" s="109"/>
      <c r="F946" s="109"/>
      <c r="G946" s="317"/>
      <c r="H946" s="109"/>
      <c r="I946" s="109"/>
      <c r="J946" s="109"/>
      <c r="K946" s="109"/>
      <c r="L946" s="109"/>
      <c r="M946" s="109"/>
      <c r="N946" s="109"/>
      <c r="O946" s="109"/>
      <c r="P946" s="109"/>
      <c r="Q946" s="109"/>
      <c r="R946" s="109"/>
      <c r="S946" s="109"/>
      <c r="T946" s="109"/>
      <c r="U946" s="109"/>
      <c r="V946" s="109"/>
      <c r="W946" s="109"/>
      <c r="X946" s="109"/>
      <c r="Y946" s="109"/>
      <c r="Z946" s="109"/>
    </row>
    <row r="947" ht="29.25" customHeight="1">
      <c r="A947" s="109"/>
      <c r="B947" s="109"/>
      <c r="C947" s="109"/>
      <c r="D947" s="109"/>
      <c r="E947" s="109"/>
      <c r="F947" s="109"/>
      <c r="G947" s="317"/>
      <c r="H947" s="109"/>
      <c r="I947" s="109"/>
      <c r="J947" s="109"/>
      <c r="K947" s="109"/>
      <c r="L947" s="109"/>
      <c r="M947" s="109"/>
      <c r="N947" s="109"/>
      <c r="O947" s="109"/>
      <c r="P947" s="109"/>
      <c r="Q947" s="109"/>
      <c r="R947" s="109"/>
      <c r="S947" s="109"/>
      <c r="T947" s="109"/>
      <c r="U947" s="109"/>
      <c r="V947" s="109"/>
      <c r="W947" s="109"/>
      <c r="X947" s="109"/>
      <c r="Y947" s="109"/>
      <c r="Z947" s="109"/>
    </row>
    <row r="948" ht="29.25" customHeight="1">
      <c r="A948" s="109"/>
      <c r="B948" s="109"/>
      <c r="C948" s="109"/>
      <c r="D948" s="109"/>
      <c r="E948" s="109"/>
      <c r="F948" s="109"/>
      <c r="G948" s="317"/>
      <c r="H948" s="109"/>
      <c r="I948" s="109"/>
      <c r="J948" s="109"/>
      <c r="K948" s="109"/>
      <c r="L948" s="109"/>
      <c r="M948" s="109"/>
      <c r="N948" s="109"/>
      <c r="O948" s="109"/>
      <c r="P948" s="109"/>
      <c r="Q948" s="109"/>
      <c r="R948" s="109"/>
      <c r="S948" s="109"/>
      <c r="T948" s="109"/>
      <c r="U948" s="109"/>
      <c r="V948" s="109"/>
      <c r="W948" s="109"/>
      <c r="X948" s="109"/>
      <c r="Y948" s="109"/>
      <c r="Z948" s="109"/>
    </row>
    <row r="949" ht="29.25" customHeight="1">
      <c r="A949" s="109"/>
      <c r="B949" s="109"/>
      <c r="C949" s="109"/>
      <c r="D949" s="109"/>
      <c r="E949" s="109"/>
      <c r="F949" s="109"/>
      <c r="G949" s="317"/>
      <c r="H949" s="109"/>
      <c r="I949" s="109"/>
      <c r="J949" s="109"/>
      <c r="K949" s="109"/>
      <c r="L949" s="109"/>
      <c r="M949" s="109"/>
      <c r="N949" s="109"/>
      <c r="O949" s="109"/>
      <c r="P949" s="109"/>
      <c r="Q949" s="109"/>
      <c r="R949" s="109"/>
      <c r="S949" s="109"/>
      <c r="T949" s="109"/>
      <c r="U949" s="109"/>
      <c r="V949" s="109"/>
      <c r="W949" s="109"/>
      <c r="X949" s="109"/>
      <c r="Y949" s="109"/>
      <c r="Z949" s="109"/>
    </row>
    <row r="950" ht="29.25" customHeight="1">
      <c r="A950" s="109"/>
      <c r="B950" s="109"/>
      <c r="C950" s="109"/>
      <c r="D950" s="109"/>
      <c r="E950" s="109"/>
      <c r="F950" s="109"/>
      <c r="G950" s="317"/>
      <c r="H950" s="109"/>
      <c r="I950" s="109"/>
      <c r="J950" s="109"/>
      <c r="K950" s="109"/>
      <c r="L950" s="109"/>
      <c r="M950" s="109"/>
      <c r="N950" s="109"/>
      <c r="O950" s="109"/>
      <c r="P950" s="109"/>
      <c r="Q950" s="109"/>
      <c r="R950" s="109"/>
      <c r="S950" s="109"/>
      <c r="T950" s="109"/>
      <c r="U950" s="109"/>
      <c r="V950" s="109"/>
      <c r="W950" s="109"/>
      <c r="X950" s="109"/>
      <c r="Y950" s="109"/>
      <c r="Z950" s="109"/>
    </row>
    <row r="951" ht="29.25" customHeight="1">
      <c r="A951" s="109"/>
      <c r="B951" s="109"/>
      <c r="C951" s="109"/>
      <c r="D951" s="109"/>
      <c r="E951" s="109"/>
      <c r="F951" s="109"/>
      <c r="G951" s="317"/>
      <c r="H951" s="109"/>
      <c r="I951" s="109"/>
      <c r="J951" s="109"/>
      <c r="K951" s="109"/>
      <c r="L951" s="109"/>
      <c r="M951" s="109"/>
      <c r="N951" s="109"/>
      <c r="O951" s="109"/>
      <c r="P951" s="109"/>
      <c r="Q951" s="109"/>
      <c r="R951" s="109"/>
      <c r="S951" s="109"/>
      <c r="T951" s="109"/>
      <c r="U951" s="109"/>
      <c r="V951" s="109"/>
      <c r="W951" s="109"/>
      <c r="X951" s="109"/>
      <c r="Y951" s="109"/>
      <c r="Z951" s="109"/>
    </row>
    <row r="952" ht="29.25" customHeight="1">
      <c r="A952" s="109"/>
      <c r="B952" s="109"/>
      <c r="C952" s="109"/>
      <c r="D952" s="109"/>
      <c r="E952" s="109"/>
      <c r="F952" s="109"/>
      <c r="G952" s="317"/>
      <c r="H952" s="109"/>
      <c r="I952" s="109"/>
      <c r="J952" s="109"/>
      <c r="K952" s="109"/>
      <c r="L952" s="109"/>
      <c r="M952" s="109"/>
      <c r="N952" s="109"/>
      <c r="O952" s="109"/>
      <c r="P952" s="109"/>
      <c r="Q952" s="109"/>
      <c r="R952" s="109"/>
      <c r="S952" s="109"/>
      <c r="T952" s="109"/>
      <c r="U952" s="109"/>
      <c r="V952" s="109"/>
      <c r="W952" s="109"/>
      <c r="X952" s="109"/>
      <c r="Y952" s="109"/>
      <c r="Z952" s="109"/>
    </row>
    <row r="953" ht="29.25" customHeight="1">
      <c r="A953" s="109"/>
      <c r="B953" s="109"/>
      <c r="C953" s="109"/>
      <c r="D953" s="109"/>
      <c r="E953" s="109"/>
      <c r="F953" s="109"/>
      <c r="G953" s="317"/>
      <c r="H953" s="109"/>
      <c r="I953" s="109"/>
      <c r="J953" s="109"/>
      <c r="K953" s="109"/>
      <c r="L953" s="109"/>
      <c r="M953" s="109"/>
      <c r="N953" s="109"/>
      <c r="O953" s="109"/>
      <c r="P953" s="109"/>
      <c r="Q953" s="109"/>
      <c r="R953" s="109"/>
      <c r="S953" s="109"/>
      <c r="T953" s="109"/>
      <c r="U953" s="109"/>
      <c r="V953" s="109"/>
      <c r="W953" s="109"/>
      <c r="X953" s="109"/>
      <c r="Y953" s="109"/>
      <c r="Z953" s="109"/>
    </row>
    <row r="954" ht="29.25" customHeight="1">
      <c r="A954" s="109"/>
      <c r="B954" s="109"/>
      <c r="C954" s="109"/>
      <c r="D954" s="109"/>
      <c r="E954" s="109"/>
      <c r="F954" s="109"/>
      <c r="G954" s="317"/>
      <c r="H954" s="109"/>
      <c r="I954" s="109"/>
      <c r="J954" s="109"/>
      <c r="K954" s="109"/>
      <c r="L954" s="109"/>
      <c r="M954" s="109"/>
      <c r="N954" s="109"/>
      <c r="O954" s="109"/>
      <c r="P954" s="109"/>
      <c r="Q954" s="109"/>
      <c r="R954" s="109"/>
      <c r="S954" s="109"/>
      <c r="T954" s="109"/>
      <c r="U954" s="109"/>
      <c r="V954" s="109"/>
      <c r="W954" s="109"/>
      <c r="X954" s="109"/>
      <c r="Y954" s="109"/>
      <c r="Z954" s="109"/>
    </row>
    <row r="955" ht="29.25" customHeight="1">
      <c r="A955" s="109"/>
      <c r="B955" s="109"/>
      <c r="C955" s="109"/>
      <c r="D955" s="109"/>
      <c r="E955" s="109"/>
      <c r="F955" s="109"/>
      <c r="G955" s="317"/>
      <c r="H955" s="109"/>
      <c r="I955" s="109"/>
      <c r="J955" s="109"/>
      <c r="K955" s="109"/>
      <c r="L955" s="109"/>
      <c r="M955" s="109"/>
      <c r="N955" s="109"/>
      <c r="O955" s="109"/>
      <c r="P955" s="109"/>
      <c r="Q955" s="109"/>
      <c r="R955" s="109"/>
      <c r="S955" s="109"/>
      <c r="T955" s="109"/>
      <c r="U955" s="109"/>
      <c r="V955" s="109"/>
      <c r="W955" s="109"/>
      <c r="X955" s="109"/>
      <c r="Y955" s="109"/>
      <c r="Z955" s="109"/>
    </row>
    <row r="956" ht="29.25" customHeight="1">
      <c r="A956" s="109"/>
      <c r="B956" s="109"/>
      <c r="C956" s="109"/>
      <c r="D956" s="109"/>
      <c r="E956" s="109"/>
      <c r="F956" s="109"/>
      <c r="G956" s="317"/>
      <c r="H956" s="109"/>
      <c r="I956" s="109"/>
      <c r="J956" s="109"/>
      <c r="K956" s="109"/>
      <c r="L956" s="109"/>
      <c r="M956" s="109"/>
      <c r="N956" s="109"/>
      <c r="O956" s="109"/>
      <c r="P956" s="109"/>
      <c r="Q956" s="109"/>
      <c r="R956" s="109"/>
      <c r="S956" s="109"/>
      <c r="T956" s="109"/>
      <c r="U956" s="109"/>
      <c r="V956" s="109"/>
      <c r="W956" s="109"/>
      <c r="X956" s="109"/>
      <c r="Y956" s="109"/>
      <c r="Z956" s="109"/>
    </row>
    <row r="957" ht="29.25" customHeight="1">
      <c r="A957" s="109"/>
      <c r="B957" s="109"/>
      <c r="C957" s="109"/>
      <c r="D957" s="109"/>
      <c r="E957" s="109"/>
      <c r="F957" s="109"/>
      <c r="G957" s="317"/>
      <c r="H957" s="109"/>
      <c r="I957" s="109"/>
      <c r="J957" s="109"/>
      <c r="K957" s="109"/>
      <c r="L957" s="109"/>
      <c r="M957" s="109"/>
      <c r="N957" s="109"/>
      <c r="O957" s="109"/>
      <c r="P957" s="109"/>
      <c r="Q957" s="109"/>
      <c r="R957" s="109"/>
      <c r="S957" s="109"/>
      <c r="T957" s="109"/>
      <c r="U957" s="109"/>
      <c r="V957" s="109"/>
      <c r="W957" s="109"/>
      <c r="X957" s="109"/>
      <c r="Y957" s="109"/>
      <c r="Z957" s="109"/>
    </row>
    <row r="958" ht="29.25" customHeight="1">
      <c r="A958" s="109"/>
      <c r="B958" s="109"/>
      <c r="C958" s="109"/>
      <c r="D958" s="109"/>
      <c r="E958" s="109"/>
      <c r="F958" s="109"/>
      <c r="G958" s="317"/>
      <c r="H958" s="109"/>
      <c r="I958" s="109"/>
      <c r="J958" s="109"/>
      <c r="K958" s="109"/>
      <c r="L958" s="109"/>
      <c r="M958" s="109"/>
      <c r="N958" s="109"/>
      <c r="O958" s="109"/>
      <c r="P958" s="109"/>
      <c r="Q958" s="109"/>
      <c r="R958" s="109"/>
      <c r="S958" s="109"/>
      <c r="T958" s="109"/>
      <c r="U958" s="109"/>
      <c r="V958" s="109"/>
      <c r="W958" s="109"/>
      <c r="X958" s="109"/>
      <c r="Y958" s="109"/>
      <c r="Z958" s="109"/>
    </row>
    <row r="959" ht="29.25" customHeight="1">
      <c r="A959" s="109"/>
      <c r="B959" s="109"/>
      <c r="C959" s="109"/>
      <c r="D959" s="109"/>
      <c r="E959" s="109"/>
      <c r="F959" s="109"/>
      <c r="G959" s="317"/>
      <c r="H959" s="109"/>
      <c r="I959" s="109"/>
      <c r="J959" s="109"/>
      <c r="K959" s="109"/>
      <c r="L959" s="109"/>
      <c r="M959" s="109"/>
      <c r="N959" s="109"/>
      <c r="O959" s="109"/>
      <c r="P959" s="109"/>
      <c r="Q959" s="109"/>
      <c r="R959" s="109"/>
      <c r="S959" s="109"/>
      <c r="T959" s="109"/>
      <c r="U959" s="109"/>
      <c r="V959" s="109"/>
      <c r="W959" s="109"/>
      <c r="X959" s="109"/>
      <c r="Y959" s="109"/>
      <c r="Z959" s="109"/>
    </row>
    <row r="960" ht="29.25" customHeight="1">
      <c r="A960" s="109"/>
      <c r="B960" s="109"/>
      <c r="C960" s="109"/>
      <c r="D960" s="109"/>
      <c r="E960" s="109"/>
      <c r="F960" s="109"/>
      <c r="G960" s="317"/>
      <c r="H960" s="109"/>
      <c r="I960" s="109"/>
      <c r="J960" s="109"/>
      <c r="K960" s="109"/>
      <c r="L960" s="109"/>
      <c r="M960" s="109"/>
      <c r="N960" s="109"/>
      <c r="O960" s="109"/>
      <c r="P960" s="109"/>
      <c r="Q960" s="109"/>
      <c r="R960" s="109"/>
      <c r="S960" s="109"/>
      <c r="T960" s="109"/>
      <c r="U960" s="109"/>
      <c r="V960" s="109"/>
      <c r="W960" s="109"/>
      <c r="X960" s="109"/>
      <c r="Y960" s="109"/>
      <c r="Z960" s="109"/>
    </row>
    <row r="961" ht="29.25" customHeight="1">
      <c r="A961" s="109"/>
      <c r="B961" s="109"/>
      <c r="C961" s="109"/>
      <c r="D961" s="109"/>
      <c r="E961" s="109"/>
      <c r="F961" s="109"/>
      <c r="G961" s="317"/>
      <c r="H961" s="109"/>
      <c r="I961" s="109"/>
      <c r="J961" s="109"/>
      <c r="K961" s="109"/>
      <c r="L961" s="109"/>
      <c r="M961" s="109"/>
      <c r="N961" s="109"/>
      <c r="O961" s="109"/>
      <c r="P961" s="109"/>
      <c r="Q961" s="109"/>
      <c r="R961" s="109"/>
      <c r="S961" s="109"/>
      <c r="T961" s="109"/>
      <c r="U961" s="109"/>
      <c r="V961" s="109"/>
      <c r="W961" s="109"/>
      <c r="X961" s="109"/>
      <c r="Y961" s="109"/>
      <c r="Z961" s="109"/>
    </row>
    <row r="962" ht="29.25" customHeight="1">
      <c r="A962" s="109"/>
      <c r="B962" s="109"/>
      <c r="C962" s="109"/>
      <c r="D962" s="109"/>
      <c r="E962" s="109"/>
      <c r="F962" s="109"/>
      <c r="G962" s="317"/>
      <c r="H962" s="109"/>
      <c r="I962" s="109"/>
      <c r="J962" s="109"/>
      <c r="K962" s="109"/>
      <c r="L962" s="109"/>
      <c r="M962" s="109"/>
      <c r="N962" s="109"/>
      <c r="O962" s="109"/>
      <c r="P962" s="109"/>
      <c r="Q962" s="109"/>
      <c r="R962" s="109"/>
      <c r="S962" s="109"/>
      <c r="T962" s="109"/>
      <c r="U962" s="109"/>
      <c r="V962" s="109"/>
      <c r="W962" s="109"/>
      <c r="X962" s="109"/>
      <c r="Y962" s="109"/>
      <c r="Z962" s="109"/>
    </row>
    <row r="963" ht="29.25" customHeight="1">
      <c r="A963" s="109"/>
      <c r="B963" s="109"/>
      <c r="C963" s="109"/>
      <c r="D963" s="109"/>
      <c r="E963" s="109"/>
      <c r="F963" s="109"/>
      <c r="G963" s="317"/>
      <c r="H963" s="109"/>
      <c r="I963" s="109"/>
      <c r="J963" s="109"/>
      <c r="K963" s="109"/>
      <c r="L963" s="109"/>
      <c r="M963" s="109"/>
      <c r="N963" s="109"/>
      <c r="O963" s="109"/>
      <c r="P963" s="109"/>
      <c r="Q963" s="109"/>
      <c r="R963" s="109"/>
      <c r="S963" s="109"/>
      <c r="T963" s="109"/>
      <c r="U963" s="109"/>
      <c r="V963" s="109"/>
      <c r="W963" s="109"/>
      <c r="X963" s="109"/>
      <c r="Y963" s="109"/>
      <c r="Z963" s="109"/>
    </row>
    <row r="964" ht="29.25" customHeight="1">
      <c r="A964" s="109"/>
      <c r="B964" s="109"/>
      <c r="C964" s="109"/>
      <c r="D964" s="109"/>
      <c r="E964" s="109"/>
      <c r="F964" s="109"/>
      <c r="G964" s="317"/>
      <c r="H964" s="109"/>
      <c r="I964" s="109"/>
      <c r="J964" s="109"/>
      <c r="K964" s="109"/>
      <c r="L964" s="109"/>
      <c r="M964" s="109"/>
      <c r="N964" s="109"/>
      <c r="O964" s="109"/>
      <c r="P964" s="109"/>
      <c r="Q964" s="109"/>
      <c r="R964" s="109"/>
      <c r="S964" s="109"/>
      <c r="T964" s="109"/>
      <c r="U964" s="109"/>
      <c r="V964" s="109"/>
      <c r="W964" s="109"/>
      <c r="X964" s="109"/>
      <c r="Y964" s="109"/>
      <c r="Z964" s="109"/>
    </row>
    <row r="965" ht="29.25" customHeight="1">
      <c r="A965" s="109"/>
      <c r="B965" s="109"/>
      <c r="C965" s="109"/>
      <c r="D965" s="109"/>
      <c r="E965" s="109"/>
      <c r="F965" s="109"/>
      <c r="G965" s="317"/>
      <c r="H965" s="109"/>
      <c r="I965" s="109"/>
      <c r="J965" s="109"/>
      <c r="K965" s="109"/>
      <c r="L965" s="109"/>
      <c r="M965" s="109"/>
      <c r="N965" s="109"/>
      <c r="O965" s="109"/>
      <c r="P965" s="109"/>
      <c r="Q965" s="109"/>
      <c r="R965" s="109"/>
      <c r="S965" s="109"/>
      <c r="T965" s="109"/>
      <c r="U965" s="109"/>
      <c r="V965" s="109"/>
      <c r="W965" s="109"/>
      <c r="X965" s="109"/>
      <c r="Y965" s="109"/>
      <c r="Z965" s="109"/>
    </row>
    <row r="966" ht="29.25" customHeight="1">
      <c r="A966" s="109"/>
      <c r="B966" s="109"/>
      <c r="C966" s="109"/>
      <c r="D966" s="109"/>
      <c r="E966" s="109"/>
      <c r="F966" s="109"/>
      <c r="G966" s="317"/>
      <c r="H966" s="109"/>
      <c r="I966" s="109"/>
      <c r="J966" s="109"/>
      <c r="K966" s="109"/>
      <c r="L966" s="109"/>
      <c r="M966" s="109"/>
      <c r="N966" s="109"/>
      <c r="O966" s="109"/>
      <c r="P966" s="109"/>
      <c r="Q966" s="109"/>
      <c r="R966" s="109"/>
      <c r="S966" s="109"/>
      <c r="T966" s="109"/>
      <c r="U966" s="109"/>
      <c r="V966" s="109"/>
      <c r="W966" s="109"/>
      <c r="X966" s="109"/>
      <c r="Y966" s="109"/>
      <c r="Z966" s="109"/>
    </row>
    <row r="967" ht="29.25" customHeight="1">
      <c r="A967" s="109"/>
      <c r="B967" s="109"/>
      <c r="C967" s="109"/>
      <c r="D967" s="109"/>
      <c r="E967" s="109"/>
      <c r="F967" s="109"/>
      <c r="G967" s="317"/>
      <c r="H967" s="109"/>
      <c r="I967" s="109"/>
      <c r="J967" s="109"/>
      <c r="K967" s="109"/>
      <c r="L967" s="109"/>
      <c r="M967" s="109"/>
      <c r="N967" s="109"/>
      <c r="O967" s="109"/>
      <c r="P967" s="109"/>
      <c r="Q967" s="109"/>
      <c r="R967" s="109"/>
      <c r="S967" s="109"/>
      <c r="T967" s="109"/>
      <c r="U967" s="109"/>
      <c r="V967" s="109"/>
      <c r="W967" s="109"/>
      <c r="X967" s="109"/>
      <c r="Y967" s="109"/>
      <c r="Z967" s="109"/>
    </row>
    <row r="968" ht="29.25" customHeight="1">
      <c r="A968" s="109"/>
      <c r="B968" s="109"/>
      <c r="C968" s="109"/>
      <c r="D968" s="109"/>
      <c r="E968" s="109"/>
      <c r="F968" s="109"/>
      <c r="G968" s="317"/>
      <c r="H968" s="109"/>
      <c r="I968" s="109"/>
      <c r="J968" s="109"/>
      <c r="K968" s="109"/>
      <c r="L968" s="109"/>
      <c r="M968" s="109"/>
      <c r="N968" s="109"/>
      <c r="O968" s="109"/>
      <c r="P968" s="109"/>
      <c r="Q968" s="109"/>
      <c r="R968" s="109"/>
      <c r="S968" s="109"/>
      <c r="T968" s="109"/>
      <c r="U968" s="109"/>
      <c r="V968" s="109"/>
      <c r="W968" s="109"/>
      <c r="X968" s="109"/>
      <c r="Y968" s="109"/>
      <c r="Z968" s="109"/>
    </row>
    <row r="969" ht="29.25" customHeight="1">
      <c r="A969" s="109"/>
      <c r="B969" s="109"/>
      <c r="C969" s="109"/>
      <c r="D969" s="109"/>
      <c r="E969" s="109"/>
      <c r="F969" s="109"/>
      <c r="G969" s="317"/>
      <c r="H969" s="109"/>
      <c r="I969" s="109"/>
      <c r="J969" s="109"/>
      <c r="K969" s="109"/>
      <c r="L969" s="109"/>
      <c r="M969" s="109"/>
      <c r="N969" s="109"/>
      <c r="O969" s="109"/>
      <c r="P969" s="109"/>
      <c r="Q969" s="109"/>
      <c r="R969" s="109"/>
      <c r="S969" s="109"/>
      <c r="T969" s="109"/>
      <c r="U969" s="109"/>
      <c r="V969" s="109"/>
      <c r="W969" s="109"/>
      <c r="X969" s="109"/>
      <c r="Y969" s="109"/>
      <c r="Z969" s="109"/>
    </row>
    <row r="970" ht="29.25" customHeight="1">
      <c r="A970" s="109"/>
      <c r="B970" s="109"/>
      <c r="C970" s="109"/>
      <c r="D970" s="109"/>
      <c r="E970" s="109"/>
      <c r="F970" s="109"/>
      <c r="G970" s="317"/>
      <c r="H970" s="109"/>
      <c r="I970" s="109"/>
      <c r="J970" s="109"/>
      <c r="K970" s="109"/>
      <c r="L970" s="109"/>
      <c r="M970" s="109"/>
      <c r="N970" s="109"/>
      <c r="O970" s="109"/>
      <c r="P970" s="109"/>
      <c r="Q970" s="109"/>
      <c r="R970" s="109"/>
      <c r="S970" s="109"/>
      <c r="T970" s="109"/>
      <c r="U970" s="109"/>
      <c r="V970" s="109"/>
      <c r="W970" s="109"/>
      <c r="X970" s="109"/>
      <c r="Y970" s="109"/>
      <c r="Z970" s="109"/>
    </row>
    <row r="971" ht="29.25" customHeight="1">
      <c r="A971" s="109"/>
      <c r="B971" s="109"/>
      <c r="C971" s="109"/>
      <c r="D971" s="109"/>
      <c r="E971" s="109"/>
      <c r="F971" s="109"/>
      <c r="G971" s="317"/>
      <c r="H971" s="109"/>
      <c r="I971" s="109"/>
      <c r="J971" s="109"/>
      <c r="K971" s="109"/>
      <c r="L971" s="109"/>
      <c r="M971" s="109"/>
      <c r="N971" s="109"/>
      <c r="O971" s="109"/>
      <c r="P971" s="109"/>
      <c r="Q971" s="109"/>
      <c r="R971" s="109"/>
      <c r="S971" s="109"/>
      <c r="T971" s="109"/>
      <c r="U971" s="109"/>
      <c r="V971" s="109"/>
      <c r="W971" s="109"/>
      <c r="X971" s="109"/>
      <c r="Y971" s="109"/>
      <c r="Z971" s="109"/>
    </row>
    <row r="972" ht="29.25" customHeight="1">
      <c r="A972" s="109"/>
      <c r="B972" s="109"/>
      <c r="C972" s="109"/>
      <c r="D972" s="109"/>
      <c r="E972" s="109"/>
      <c r="F972" s="109"/>
      <c r="G972" s="317"/>
      <c r="H972" s="109"/>
      <c r="I972" s="109"/>
      <c r="J972" s="109"/>
      <c r="K972" s="109"/>
      <c r="L972" s="109"/>
      <c r="M972" s="109"/>
      <c r="N972" s="109"/>
      <c r="O972" s="109"/>
      <c r="P972" s="109"/>
      <c r="Q972" s="109"/>
      <c r="R972" s="109"/>
      <c r="S972" s="109"/>
      <c r="T972" s="109"/>
      <c r="U972" s="109"/>
      <c r="V972" s="109"/>
      <c r="W972" s="109"/>
      <c r="X972" s="109"/>
      <c r="Y972" s="109"/>
      <c r="Z972" s="109"/>
    </row>
    <row r="973" ht="29.25" customHeight="1">
      <c r="A973" s="109"/>
      <c r="B973" s="109"/>
      <c r="C973" s="109"/>
      <c r="D973" s="109"/>
      <c r="E973" s="109"/>
      <c r="F973" s="109"/>
      <c r="G973" s="317"/>
      <c r="H973" s="109"/>
      <c r="I973" s="109"/>
      <c r="J973" s="109"/>
      <c r="K973" s="109"/>
      <c r="L973" s="109"/>
      <c r="M973" s="109"/>
      <c r="N973" s="109"/>
      <c r="O973" s="109"/>
      <c r="P973" s="109"/>
      <c r="Q973" s="109"/>
      <c r="R973" s="109"/>
      <c r="S973" s="109"/>
      <c r="T973" s="109"/>
      <c r="U973" s="109"/>
      <c r="V973" s="109"/>
      <c r="W973" s="109"/>
      <c r="X973" s="109"/>
      <c r="Y973" s="109"/>
      <c r="Z973" s="109"/>
    </row>
    <row r="974" ht="29.25" customHeight="1">
      <c r="A974" s="109"/>
      <c r="B974" s="109"/>
      <c r="C974" s="109"/>
      <c r="D974" s="109"/>
      <c r="E974" s="109"/>
      <c r="F974" s="109"/>
      <c r="G974" s="317"/>
      <c r="H974" s="109"/>
      <c r="I974" s="109"/>
      <c r="J974" s="109"/>
      <c r="K974" s="109"/>
      <c r="L974" s="109"/>
      <c r="M974" s="109"/>
      <c r="N974" s="109"/>
      <c r="O974" s="109"/>
      <c r="P974" s="109"/>
      <c r="Q974" s="109"/>
      <c r="R974" s="109"/>
      <c r="S974" s="109"/>
      <c r="T974" s="109"/>
      <c r="U974" s="109"/>
      <c r="V974" s="109"/>
      <c r="W974" s="109"/>
      <c r="X974" s="109"/>
      <c r="Y974" s="109"/>
      <c r="Z974" s="109"/>
    </row>
    <row r="975" ht="29.25" customHeight="1">
      <c r="A975" s="109"/>
      <c r="B975" s="109"/>
      <c r="C975" s="109"/>
      <c r="D975" s="109"/>
      <c r="E975" s="109"/>
      <c r="F975" s="109"/>
      <c r="G975" s="317"/>
      <c r="H975" s="109"/>
      <c r="I975" s="109"/>
      <c r="J975" s="109"/>
      <c r="K975" s="109"/>
      <c r="L975" s="109"/>
      <c r="M975" s="109"/>
      <c r="N975" s="109"/>
      <c r="O975" s="109"/>
      <c r="P975" s="109"/>
      <c r="Q975" s="109"/>
      <c r="R975" s="109"/>
      <c r="S975" s="109"/>
      <c r="T975" s="109"/>
      <c r="U975" s="109"/>
      <c r="V975" s="109"/>
      <c r="W975" s="109"/>
      <c r="X975" s="109"/>
      <c r="Y975" s="109"/>
      <c r="Z975" s="109"/>
    </row>
    <row r="976" ht="29.25" customHeight="1">
      <c r="A976" s="109"/>
      <c r="B976" s="109"/>
      <c r="C976" s="109"/>
      <c r="D976" s="109"/>
      <c r="E976" s="109"/>
      <c r="F976" s="109"/>
      <c r="G976" s="317"/>
      <c r="H976" s="109"/>
      <c r="I976" s="109"/>
      <c r="J976" s="109"/>
      <c r="K976" s="109"/>
      <c r="L976" s="109"/>
      <c r="M976" s="109"/>
      <c r="N976" s="109"/>
      <c r="O976" s="109"/>
      <c r="P976" s="109"/>
      <c r="Q976" s="109"/>
      <c r="R976" s="109"/>
      <c r="S976" s="109"/>
      <c r="T976" s="109"/>
      <c r="U976" s="109"/>
      <c r="V976" s="109"/>
      <c r="W976" s="109"/>
      <c r="X976" s="109"/>
      <c r="Y976" s="109"/>
      <c r="Z976" s="109"/>
    </row>
    <row r="977" ht="29.25" customHeight="1">
      <c r="A977" s="109"/>
      <c r="B977" s="109"/>
      <c r="C977" s="109"/>
      <c r="D977" s="109"/>
      <c r="E977" s="109"/>
      <c r="F977" s="109"/>
      <c r="G977" s="317"/>
      <c r="H977" s="109"/>
      <c r="I977" s="109"/>
      <c r="J977" s="109"/>
      <c r="K977" s="109"/>
      <c r="L977" s="109"/>
      <c r="M977" s="109"/>
      <c r="N977" s="109"/>
      <c r="O977" s="109"/>
      <c r="P977" s="109"/>
      <c r="Q977" s="109"/>
      <c r="R977" s="109"/>
      <c r="S977" s="109"/>
      <c r="T977" s="109"/>
      <c r="U977" s="109"/>
      <c r="V977" s="109"/>
      <c r="W977" s="109"/>
      <c r="X977" s="109"/>
      <c r="Y977" s="109"/>
      <c r="Z977" s="109"/>
    </row>
    <row r="978" ht="29.25" customHeight="1">
      <c r="A978" s="109"/>
      <c r="B978" s="109"/>
      <c r="C978" s="109"/>
      <c r="D978" s="109"/>
      <c r="E978" s="109"/>
      <c r="F978" s="109"/>
      <c r="G978" s="317"/>
      <c r="H978" s="109"/>
      <c r="I978" s="109"/>
      <c r="J978" s="109"/>
      <c r="K978" s="109"/>
      <c r="L978" s="109"/>
      <c r="M978" s="109"/>
      <c r="N978" s="109"/>
      <c r="O978" s="109"/>
      <c r="P978" s="109"/>
      <c r="Q978" s="109"/>
      <c r="R978" s="109"/>
      <c r="S978" s="109"/>
      <c r="T978" s="109"/>
      <c r="U978" s="109"/>
      <c r="V978" s="109"/>
      <c r="W978" s="109"/>
      <c r="X978" s="109"/>
      <c r="Y978" s="109"/>
      <c r="Z978" s="109"/>
    </row>
    <row r="979" ht="29.25" customHeight="1">
      <c r="A979" s="109"/>
      <c r="B979" s="109"/>
      <c r="C979" s="109"/>
      <c r="D979" s="109"/>
      <c r="E979" s="109"/>
      <c r="F979" s="109"/>
      <c r="G979" s="317"/>
      <c r="H979" s="109"/>
      <c r="I979" s="109"/>
      <c r="J979" s="109"/>
      <c r="K979" s="109"/>
      <c r="L979" s="109"/>
      <c r="M979" s="109"/>
      <c r="N979" s="109"/>
      <c r="O979" s="109"/>
      <c r="P979" s="109"/>
      <c r="Q979" s="109"/>
      <c r="R979" s="109"/>
      <c r="S979" s="109"/>
      <c r="T979" s="109"/>
      <c r="U979" s="109"/>
      <c r="V979" s="109"/>
      <c r="W979" s="109"/>
      <c r="X979" s="109"/>
      <c r="Y979" s="109"/>
      <c r="Z979" s="109"/>
    </row>
    <row r="980" ht="29.25" customHeight="1">
      <c r="A980" s="109"/>
      <c r="B980" s="109"/>
      <c r="C980" s="109"/>
      <c r="D980" s="109"/>
      <c r="E980" s="109"/>
      <c r="F980" s="109"/>
      <c r="G980" s="317"/>
      <c r="H980" s="109"/>
      <c r="I980" s="109"/>
      <c r="J980" s="109"/>
      <c r="K980" s="109"/>
      <c r="L980" s="109"/>
      <c r="M980" s="109"/>
      <c r="N980" s="109"/>
      <c r="O980" s="109"/>
      <c r="P980" s="109"/>
      <c r="Q980" s="109"/>
      <c r="R980" s="109"/>
      <c r="S980" s="109"/>
      <c r="T980" s="109"/>
      <c r="U980" s="109"/>
      <c r="V980" s="109"/>
      <c r="W980" s="109"/>
      <c r="X980" s="109"/>
      <c r="Y980" s="109"/>
      <c r="Z980" s="109"/>
    </row>
    <row r="981" ht="29.25" customHeight="1">
      <c r="A981" s="109"/>
      <c r="B981" s="109"/>
      <c r="C981" s="109"/>
      <c r="D981" s="109"/>
      <c r="E981" s="109"/>
      <c r="F981" s="109"/>
      <c r="G981" s="317"/>
      <c r="H981" s="109"/>
      <c r="I981" s="109"/>
      <c r="J981" s="109"/>
      <c r="K981" s="109"/>
      <c r="L981" s="109"/>
      <c r="M981" s="109"/>
      <c r="N981" s="109"/>
      <c r="O981" s="109"/>
      <c r="P981" s="109"/>
      <c r="Q981" s="109"/>
      <c r="R981" s="109"/>
      <c r="S981" s="109"/>
      <c r="T981" s="109"/>
      <c r="U981" s="109"/>
      <c r="V981" s="109"/>
      <c r="W981" s="109"/>
      <c r="X981" s="109"/>
      <c r="Y981" s="109"/>
      <c r="Z981" s="109"/>
    </row>
    <row r="982" ht="29.25" customHeight="1">
      <c r="A982" s="109"/>
      <c r="B982" s="109"/>
      <c r="C982" s="109"/>
      <c r="D982" s="109"/>
      <c r="E982" s="109"/>
      <c r="F982" s="109"/>
      <c r="G982" s="317"/>
      <c r="H982" s="109"/>
      <c r="I982" s="109"/>
      <c r="J982" s="109"/>
      <c r="K982" s="109"/>
      <c r="L982" s="109"/>
      <c r="M982" s="109"/>
      <c r="N982" s="109"/>
      <c r="O982" s="109"/>
      <c r="P982" s="109"/>
      <c r="Q982" s="109"/>
      <c r="R982" s="109"/>
      <c r="S982" s="109"/>
      <c r="T982" s="109"/>
      <c r="U982" s="109"/>
      <c r="V982" s="109"/>
      <c r="W982" s="109"/>
      <c r="X982" s="109"/>
      <c r="Y982" s="109"/>
      <c r="Z982" s="109"/>
    </row>
    <row r="983" ht="29.25" customHeight="1">
      <c r="A983" s="109"/>
      <c r="B983" s="109"/>
      <c r="C983" s="109"/>
      <c r="D983" s="109"/>
      <c r="E983" s="109"/>
      <c r="F983" s="109"/>
      <c r="G983" s="317"/>
      <c r="H983" s="109"/>
      <c r="I983" s="109"/>
      <c r="J983" s="109"/>
      <c r="K983" s="109"/>
      <c r="L983" s="109"/>
      <c r="M983" s="109"/>
      <c r="N983" s="109"/>
      <c r="O983" s="109"/>
      <c r="P983" s="109"/>
      <c r="Q983" s="109"/>
      <c r="R983" s="109"/>
      <c r="S983" s="109"/>
      <c r="T983" s="109"/>
      <c r="U983" s="109"/>
      <c r="V983" s="109"/>
      <c r="W983" s="109"/>
      <c r="X983" s="109"/>
      <c r="Y983" s="109"/>
      <c r="Z983" s="109"/>
    </row>
    <row r="984" ht="29.25" customHeight="1">
      <c r="A984" s="109"/>
      <c r="B984" s="109"/>
      <c r="C984" s="109"/>
      <c r="D984" s="109"/>
      <c r="E984" s="109"/>
      <c r="F984" s="109"/>
      <c r="G984" s="317"/>
      <c r="H984" s="109"/>
      <c r="I984" s="109"/>
      <c r="J984" s="109"/>
      <c r="K984" s="109"/>
      <c r="L984" s="109"/>
      <c r="M984" s="109"/>
      <c r="N984" s="109"/>
      <c r="O984" s="109"/>
      <c r="P984" s="109"/>
      <c r="Q984" s="109"/>
      <c r="R984" s="109"/>
      <c r="S984" s="109"/>
      <c r="T984" s="109"/>
      <c r="U984" s="109"/>
      <c r="V984" s="109"/>
      <c r="W984" s="109"/>
      <c r="X984" s="109"/>
      <c r="Y984" s="109"/>
      <c r="Z984" s="109"/>
    </row>
    <row r="985" ht="29.25" customHeight="1">
      <c r="A985" s="109"/>
      <c r="B985" s="109"/>
      <c r="C985" s="109"/>
      <c r="D985" s="109"/>
      <c r="E985" s="109"/>
      <c r="F985" s="109"/>
      <c r="G985" s="317"/>
      <c r="H985" s="109"/>
      <c r="I985" s="109"/>
      <c r="J985" s="109"/>
      <c r="K985" s="109"/>
      <c r="L985" s="109"/>
      <c r="M985" s="109"/>
      <c r="N985" s="109"/>
      <c r="O985" s="109"/>
      <c r="P985" s="109"/>
      <c r="Q985" s="109"/>
      <c r="R985" s="109"/>
      <c r="S985" s="109"/>
      <c r="T985" s="109"/>
      <c r="U985" s="109"/>
      <c r="V985" s="109"/>
      <c r="W985" s="109"/>
      <c r="X985" s="109"/>
      <c r="Y985" s="109"/>
      <c r="Z985" s="109"/>
    </row>
    <row r="986" ht="29.25" customHeight="1">
      <c r="A986" s="109"/>
      <c r="B986" s="109"/>
      <c r="C986" s="109"/>
      <c r="D986" s="109"/>
      <c r="E986" s="109"/>
      <c r="F986" s="109"/>
      <c r="G986" s="317"/>
      <c r="H986" s="109"/>
      <c r="I986" s="109"/>
      <c r="J986" s="109"/>
      <c r="K986" s="109"/>
      <c r="L986" s="109"/>
      <c r="M986" s="109"/>
      <c r="N986" s="109"/>
      <c r="O986" s="109"/>
      <c r="P986" s="109"/>
      <c r="Q986" s="109"/>
      <c r="R986" s="109"/>
      <c r="S986" s="109"/>
      <c r="T986" s="109"/>
      <c r="U986" s="109"/>
      <c r="V986" s="109"/>
      <c r="W986" s="109"/>
      <c r="X986" s="109"/>
      <c r="Y986" s="109"/>
      <c r="Z986" s="109"/>
    </row>
    <row r="987" ht="29.25" customHeight="1">
      <c r="A987" s="109"/>
      <c r="B987" s="109"/>
      <c r="C987" s="109"/>
      <c r="D987" s="109"/>
      <c r="E987" s="109"/>
      <c r="F987" s="109"/>
      <c r="G987" s="317"/>
      <c r="H987" s="109"/>
      <c r="I987" s="109"/>
      <c r="J987" s="109"/>
      <c r="K987" s="109"/>
      <c r="L987" s="109"/>
      <c r="M987" s="109"/>
      <c r="N987" s="109"/>
      <c r="O987" s="109"/>
      <c r="P987" s="109"/>
      <c r="Q987" s="109"/>
      <c r="R987" s="109"/>
      <c r="S987" s="109"/>
      <c r="T987" s="109"/>
      <c r="U987" s="109"/>
      <c r="V987" s="109"/>
      <c r="W987" s="109"/>
      <c r="X987" s="109"/>
      <c r="Y987" s="109"/>
      <c r="Z987" s="109"/>
    </row>
    <row r="988" ht="29.25" customHeight="1">
      <c r="A988" s="109"/>
      <c r="B988" s="109"/>
      <c r="C988" s="109"/>
      <c r="D988" s="109"/>
      <c r="E988" s="109"/>
      <c r="F988" s="109"/>
      <c r="G988" s="317"/>
      <c r="H988" s="109"/>
      <c r="I988" s="109"/>
      <c r="J988" s="109"/>
      <c r="K988" s="109"/>
      <c r="L988" s="109"/>
      <c r="M988" s="109"/>
      <c r="N988" s="109"/>
      <c r="O988" s="109"/>
      <c r="P988" s="109"/>
      <c r="Q988" s="109"/>
      <c r="R988" s="109"/>
      <c r="S988" s="109"/>
      <c r="T988" s="109"/>
      <c r="U988" s="109"/>
      <c r="V988" s="109"/>
      <c r="W988" s="109"/>
      <c r="X988" s="109"/>
      <c r="Y988" s="109"/>
      <c r="Z988" s="109"/>
    </row>
    <row r="989" ht="29.25" customHeight="1">
      <c r="A989" s="109"/>
      <c r="B989" s="109"/>
      <c r="C989" s="109"/>
      <c r="D989" s="109"/>
      <c r="E989" s="109"/>
      <c r="F989" s="109"/>
      <c r="G989" s="317"/>
      <c r="H989" s="109"/>
      <c r="I989" s="109"/>
      <c r="J989" s="109"/>
      <c r="K989" s="109"/>
      <c r="L989" s="109"/>
      <c r="M989" s="109"/>
      <c r="N989" s="109"/>
      <c r="O989" s="109"/>
      <c r="P989" s="109"/>
      <c r="Q989" s="109"/>
      <c r="R989" s="109"/>
      <c r="S989" s="109"/>
      <c r="T989" s="109"/>
      <c r="U989" s="109"/>
      <c r="V989" s="109"/>
      <c r="W989" s="109"/>
      <c r="X989" s="109"/>
      <c r="Y989" s="109"/>
      <c r="Z989" s="109"/>
    </row>
    <row r="990" ht="29.25" customHeight="1">
      <c r="A990" s="109"/>
      <c r="B990" s="109"/>
      <c r="C990" s="109"/>
      <c r="D990" s="109"/>
      <c r="E990" s="109"/>
      <c r="F990" s="109"/>
      <c r="G990" s="317"/>
      <c r="H990" s="109"/>
      <c r="I990" s="109"/>
      <c r="J990" s="109"/>
      <c r="K990" s="109"/>
      <c r="L990" s="109"/>
      <c r="M990" s="109"/>
      <c r="N990" s="109"/>
      <c r="O990" s="109"/>
      <c r="P990" s="109"/>
      <c r="Q990" s="109"/>
      <c r="R990" s="109"/>
      <c r="S990" s="109"/>
      <c r="T990" s="109"/>
      <c r="U990" s="109"/>
      <c r="V990" s="109"/>
      <c r="W990" s="109"/>
      <c r="X990" s="109"/>
      <c r="Y990" s="109"/>
      <c r="Z990" s="109"/>
    </row>
    <row r="991" ht="29.25" customHeight="1">
      <c r="A991" s="109"/>
      <c r="B991" s="109"/>
      <c r="C991" s="109"/>
      <c r="D991" s="109"/>
      <c r="E991" s="109"/>
      <c r="F991" s="109"/>
      <c r="G991" s="317"/>
      <c r="H991" s="109"/>
      <c r="I991" s="109"/>
      <c r="J991" s="109"/>
      <c r="K991" s="109"/>
      <c r="L991" s="109"/>
      <c r="M991" s="109"/>
      <c r="N991" s="109"/>
      <c r="O991" s="109"/>
      <c r="P991" s="109"/>
      <c r="Q991" s="109"/>
      <c r="R991" s="109"/>
      <c r="S991" s="109"/>
      <c r="T991" s="109"/>
      <c r="U991" s="109"/>
      <c r="V991" s="109"/>
      <c r="W991" s="109"/>
      <c r="X991" s="109"/>
      <c r="Y991" s="109"/>
      <c r="Z991" s="109"/>
    </row>
    <row r="992" ht="29.25" customHeight="1">
      <c r="A992" s="109"/>
      <c r="B992" s="109"/>
      <c r="C992" s="109"/>
      <c r="D992" s="109"/>
      <c r="E992" s="109"/>
      <c r="F992" s="109"/>
      <c r="G992" s="317"/>
      <c r="H992" s="109"/>
      <c r="I992" s="109"/>
      <c r="J992" s="109"/>
      <c r="K992" s="109"/>
      <c r="L992" s="109"/>
      <c r="M992" s="109"/>
      <c r="N992" s="109"/>
      <c r="O992" s="109"/>
      <c r="P992" s="109"/>
      <c r="Q992" s="109"/>
      <c r="R992" s="109"/>
      <c r="S992" s="109"/>
      <c r="T992" s="109"/>
      <c r="U992" s="109"/>
      <c r="V992" s="109"/>
      <c r="W992" s="109"/>
      <c r="X992" s="109"/>
      <c r="Y992" s="109"/>
      <c r="Z992" s="109"/>
    </row>
    <row r="993" ht="29.25" customHeight="1">
      <c r="A993" s="109"/>
      <c r="B993" s="109"/>
      <c r="C993" s="109"/>
      <c r="D993" s="109"/>
      <c r="E993" s="109"/>
      <c r="F993" s="109"/>
      <c r="G993" s="317"/>
      <c r="H993" s="109"/>
      <c r="I993" s="109"/>
      <c r="J993" s="109"/>
      <c r="K993" s="109"/>
      <c r="L993" s="109"/>
      <c r="M993" s="109"/>
      <c r="N993" s="109"/>
      <c r="O993" s="109"/>
      <c r="P993" s="109"/>
      <c r="Q993" s="109"/>
      <c r="R993" s="109"/>
      <c r="S993" s="109"/>
      <c r="T993" s="109"/>
      <c r="U993" s="109"/>
      <c r="V993" s="109"/>
      <c r="W993" s="109"/>
      <c r="X993" s="109"/>
      <c r="Y993" s="109"/>
      <c r="Z993" s="109"/>
    </row>
    <row r="994" ht="29.25" customHeight="1">
      <c r="A994" s="109"/>
      <c r="B994" s="109"/>
      <c r="C994" s="109"/>
      <c r="D994" s="109"/>
      <c r="E994" s="109"/>
      <c r="F994" s="109"/>
      <c r="G994" s="317"/>
      <c r="H994" s="109"/>
      <c r="I994" s="109"/>
      <c r="J994" s="109"/>
      <c r="K994" s="109"/>
      <c r="L994" s="109"/>
      <c r="M994" s="109"/>
      <c r="N994" s="109"/>
      <c r="O994" s="109"/>
      <c r="P994" s="109"/>
      <c r="Q994" s="109"/>
      <c r="R994" s="109"/>
      <c r="S994" s="109"/>
      <c r="T994" s="109"/>
      <c r="U994" s="109"/>
      <c r="V994" s="109"/>
      <c r="W994" s="109"/>
      <c r="X994" s="109"/>
      <c r="Y994" s="109"/>
      <c r="Z994" s="109"/>
    </row>
    <row r="995" ht="29.25" customHeight="1">
      <c r="A995" s="109"/>
      <c r="B995" s="109"/>
      <c r="C995" s="109"/>
      <c r="D995" s="109"/>
      <c r="E995" s="109"/>
      <c r="F995" s="109"/>
      <c r="G995" s="317"/>
      <c r="H995" s="109"/>
      <c r="I995" s="109"/>
      <c r="J995" s="109"/>
      <c r="K995" s="109"/>
      <c r="L995" s="109"/>
      <c r="M995" s="109"/>
      <c r="N995" s="109"/>
      <c r="O995" s="109"/>
      <c r="P995" s="109"/>
      <c r="Q995" s="109"/>
      <c r="R995" s="109"/>
      <c r="S995" s="109"/>
      <c r="T995" s="109"/>
      <c r="U995" s="109"/>
      <c r="V995" s="109"/>
      <c r="W995" s="109"/>
      <c r="X995" s="109"/>
      <c r="Y995" s="109"/>
      <c r="Z995" s="109"/>
    </row>
    <row r="996" ht="29.25" customHeight="1">
      <c r="A996" s="109"/>
      <c r="B996" s="109"/>
      <c r="C996" s="109"/>
      <c r="D996" s="109"/>
      <c r="E996" s="109"/>
      <c r="F996" s="109"/>
      <c r="G996" s="317"/>
      <c r="H996" s="109"/>
      <c r="I996" s="109"/>
      <c r="J996" s="109"/>
      <c r="K996" s="109"/>
      <c r="L996" s="109"/>
      <c r="M996" s="109"/>
      <c r="N996" s="109"/>
      <c r="O996" s="109"/>
      <c r="P996" s="109"/>
      <c r="Q996" s="109"/>
      <c r="R996" s="109"/>
      <c r="S996" s="109"/>
      <c r="T996" s="109"/>
      <c r="U996" s="109"/>
      <c r="V996" s="109"/>
      <c r="W996" s="109"/>
      <c r="X996" s="109"/>
      <c r="Y996" s="109"/>
      <c r="Z996" s="109"/>
    </row>
    <row r="997" ht="29.25" customHeight="1">
      <c r="A997" s="109"/>
      <c r="B997" s="109"/>
      <c r="C997" s="109"/>
      <c r="D997" s="109"/>
      <c r="E997" s="109"/>
      <c r="F997" s="109"/>
      <c r="G997" s="317"/>
      <c r="H997" s="109"/>
      <c r="I997" s="109"/>
      <c r="J997" s="109"/>
      <c r="K997" s="109"/>
      <c r="L997" s="109"/>
      <c r="M997" s="109"/>
      <c r="N997" s="109"/>
      <c r="O997" s="109"/>
      <c r="P997" s="109"/>
      <c r="Q997" s="109"/>
      <c r="R997" s="109"/>
      <c r="S997" s="109"/>
      <c r="T997" s="109"/>
      <c r="U997" s="109"/>
      <c r="V997" s="109"/>
      <c r="W997" s="109"/>
      <c r="X997" s="109"/>
      <c r="Y997" s="109"/>
      <c r="Z997" s="109"/>
    </row>
    <row r="998" ht="29.25" customHeight="1">
      <c r="A998" s="109"/>
      <c r="B998" s="109"/>
      <c r="C998" s="109"/>
      <c r="D998" s="109"/>
      <c r="E998" s="109"/>
      <c r="F998" s="109"/>
      <c r="G998" s="317"/>
      <c r="H998" s="109"/>
      <c r="I998" s="109"/>
      <c r="J998" s="109"/>
      <c r="K998" s="109"/>
      <c r="L998" s="109"/>
      <c r="M998" s="109"/>
      <c r="N998" s="109"/>
      <c r="O998" s="109"/>
      <c r="P998" s="109"/>
      <c r="Q998" s="109"/>
      <c r="R998" s="109"/>
      <c r="S998" s="109"/>
      <c r="T998" s="109"/>
      <c r="U998" s="109"/>
      <c r="V998" s="109"/>
      <c r="W998" s="109"/>
      <c r="X998" s="109"/>
      <c r="Y998" s="109"/>
      <c r="Z998" s="109"/>
    </row>
    <row r="999" ht="29.25" customHeight="1">
      <c r="A999" s="109"/>
      <c r="B999" s="109"/>
      <c r="C999" s="109"/>
      <c r="D999" s="109"/>
      <c r="E999" s="109"/>
      <c r="F999" s="109"/>
      <c r="G999" s="317"/>
      <c r="H999" s="109"/>
      <c r="I999" s="109"/>
      <c r="J999" s="109"/>
      <c r="K999" s="109"/>
      <c r="L999" s="109"/>
      <c r="M999" s="109"/>
      <c r="N999" s="109"/>
      <c r="O999" s="109"/>
      <c r="P999" s="109"/>
      <c r="Q999" s="109"/>
      <c r="R999" s="109"/>
      <c r="S999" s="109"/>
      <c r="T999" s="109"/>
      <c r="U999" s="109"/>
      <c r="V999" s="109"/>
      <c r="W999" s="109"/>
      <c r="X999" s="109"/>
      <c r="Y999" s="109"/>
      <c r="Z999" s="109"/>
    </row>
    <row r="1000" ht="29.25" customHeight="1">
      <c r="A1000" s="109"/>
      <c r="B1000" s="109"/>
      <c r="C1000" s="109"/>
      <c r="D1000" s="109"/>
      <c r="E1000" s="109"/>
      <c r="F1000" s="109"/>
      <c r="G1000" s="317"/>
      <c r="H1000" s="109"/>
      <c r="I1000" s="109"/>
      <c r="J1000" s="109"/>
      <c r="K1000" s="109"/>
      <c r="L1000" s="109"/>
      <c r="M1000" s="109"/>
      <c r="N1000" s="109"/>
      <c r="O1000" s="109"/>
      <c r="P1000" s="109"/>
      <c r="Q1000" s="109"/>
      <c r="R1000" s="109"/>
      <c r="S1000" s="109"/>
      <c r="T1000" s="109"/>
      <c r="U1000" s="109"/>
      <c r="V1000" s="109"/>
      <c r="W1000" s="109"/>
      <c r="X1000" s="109"/>
      <c r="Y1000" s="109"/>
      <c r="Z1000" s="109"/>
    </row>
  </sheetData>
  <drawing r:id="rId1"/>
</worksheet>
</file>